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 /><Relationship Id="rId2" Type="http://schemas.microsoft.com/office/2020/02/relationships/classificationlabels" Target="docMetadata/LabelInfo.xml" /><Relationship Id="rId1" Type="http://schemas.openxmlformats.org/officeDocument/2006/relationships/officeDocument" Target="xl/workbook.xml" /><Relationship Id="rId4"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135127244E\Downloads\"/>
    </mc:Choice>
  </mc:AlternateContent>
  <xr:revisionPtr revIDLastSave="0" documentId="8_{78799C28-EB18-A642-9DDF-578B4DB218B0}" xr6:coauthVersionLast="47" xr6:coauthVersionMax="47" xr10:uidLastSave="{00000000-0000-0000-0000-000000000000}"/>
  <bookViews>
    <workbookView xWindow="-120" yWindow="-120" windowWidth="29040" windowHeight="15720" tabRatio="908" xr2:uid="{00000000-000D-0000-FFFF-FFFF00000000}"/>
  </bookViews>
  <sheets>
    <sheet name="DASHBOARD" sheetId="1" r:id="rId1"/>
    <sheet name="INTRO" sheetId="2" r:id="rId2"/>
    <sheet name="Settings" sheetId="3" r:id="rId3"/>
    <sheet name="Arrivals" sheetId="4" r:id="rId4"/>
    <sheet name="RGS_Ground_Run" sheetId="5" r:id="rId5"/>
    <sheet name="Edge_Run" sheetId="6" r:id="rId6"/>
    <sheet name="Comparison" sheetId="7" r:id="rId7"/>
    <sheet name="Replications" sheetId="8" r:id="rId8"/>
    <sheet name="Hand_Check" sheetId="9" r:id="rId9"/>
    <sheet name="MATLAB_Map" sheetId="10" r:id="rId10"/>
    <sheet name="_Build_Check" sheetId="11" r:id="rId11"/>
    <sheet name="v9_Original_Readme" sheetId="12" r:id="rId12"/>
    <sheet name="Protocol" sheetId="13" r:id="rId13"/>
    <sheet name="AI_Segments" sheetId="14" r:id="rId14"/>
    <sheet name="AI_Telemetry" sheetId="15" r:id="rId15"/>
    <sheet name="COMM_Receptions" sheetId="16" r:id="rId16"/>
    <sheet name="OMNI_Raw" sheetId="17" r:id="rId17"/>
    <sheet name="OMNI_Normalized" sheetId="18" r:id="rId18"/>
    <sheet name="Join_Audit" sheetId="19" r:id="rId19"/>
    <sheet name="ACE_Input" sheetId="20" r:id="rId20"/>
    <sheet name="Common_Timeline" sheetId="21" r:id="rId21"/>
    <sheet name="Fit_Decision" sheetId="22" r:id="rId22"/>
    <sheet name="Validation" sheetId="23" r:id="rId23"/>
    <sheet name="Scenario_Snapshots" sheetId="24" r:id="rId24"/>
    <sheet name="Sensitivity" sheetId="25" r:id="rId25"/>
    <sheet name="Provenance" sheetId="26" r:id="rId26"/>
    <sheet name="MATLAB Handoff" sheetId="27" r:id="rId27"/>
    <sheet name="Change_Log" sheetId="28" r:id="rId28"/>
    <sheet name="COMM_Decoded" sheetId="29" r:id="rId29"/>
    <sheet name="COMM_Beacons" sheetId="30" r:id="rId30"/>
    <sheet name="COMM_Counter_Deltas" sheetId="31" r:id="rId31"/>
    <sheet name="COMM_Rejected" sheetId="32" r:id="rId32"/>
    <sheet name="COMM_Field_Map" sheetId="33" r:id="rId33"/>
    <sheet name="COMM_Decode_QC" sheetId="34" r:id="rId34"/>
    <sheet name="Latency_Bins" sheetId="35" r:id="rId35"/>
    <sheet name="A_Run_Snapshot" sheetId="36" r:id="rId36"/>
    <sheet name="C_Run_Snapshot" sheetId="37" r:id="rId37"/>
    <sheet name="E_Run_Snapshot" sheetId="38" r:id="rId38"/>
  </sheets>
  <definedNames>
    <definedName name="_xlnm.Print_Area" localSheetId="0">DASHBOARD!$A$1:$S$90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5" l="1"/>
  <c r="D18" i="35"/>
  <c r="C18" i="35"/>
  <c r="B18" i="35"/>
  <c r="C17" i="35"/>
  <c r="B17" i="35"/>
  <c r="C16" i="35"/>
  <c r="B16" i="35"/>
  <c r="C15" i="35"/>
  <c r="B15" i="35"/>
  <c r="D14" i="35"/>
  <c r="C14" i="35"/>
  <c r="B14" i="35"/>
  <c r="C13" i="35"/>
  <c r="B13" i="35"/>
  <c r="C12" i="35"/>
  <c r="B12" i="35"/>
  <c r="D12" i="35"/>
  <c r="C11" i="35"/>
  <c r="B11" i="35"/>
  <c r="D10" i="35"/>
  <c r="C10" i="35"/>
  <c r="B10" i="35"/>
  <c r="C9" i="35"/>
  <c r="B9" i="35"/>
  <c r="D9" i="35"/>
  <c r="C8" i="35"/>
  <c r="B8" i="35"/>
  <c r="C7" i="35"/>
  <c r="B7" i="35"/>
  <c r="D33" i="34"/>
  <c r="B31" i="34"/>
  <c r="D31" i="34"/>
  <c r="B29" i="34"/>
  <c r="D29" i="34"/>
  <c r="B19" i="34"/>
  <c r="D19" i="34"/>
  <c r="B18" i="34"/>
  <c r="D18" i="34"/>
  <c r="D17" i="34"/>
  <c r="D16" i="34"/>
  <c r="B14" i="34"/>
  <c r="D14" i="34"/>
  <c r="B13" i="34"/>
  <c r="D13" i="34"/>
  <c r="B12" i="34"/>
  <c r="D12" i="34"/>
  <c r="B11" i="34"/>
  <c r="D11" i="34"/>
  <c r="B10" i="34"/>
  <c r="D10" i="34"/>
  <c r="B9" i="34"/>
  <c r="D9" i="34"/>
  <c r="B8" i="34"/>
  <c r="D8" i="34"/>
  <c r="B7" i="34"/>
  <c r="B6" i="34"/>
  <c r="D6" i="34"/>
  <c r="D23" i="33"/>
  <c r="C23" i="33"/>
  <c r="D22" i="33"/>
  <c r="C22" i="33"/>
  <c r="D21" i="33"/>
  <c r="C21" i="33"/>
  <c r="D20" i="33"/>
  <c r="C20" i="33"/>
  <c r="D19" i="33"/>
  <c r="C19" i="33"/>
  <c r="D18" i="33"/>
  <c r="C18" i="33"/>
  <c r="D17" i="33"/>
  <c r="C17" i="33"/>
  <c r="D16" i="33"/>
  <c r="C16" i="33"/>
  <c r="D15" i="33"/>
  <c r="C15" i="33"/>
  <c r="D14" i="33"/>
  <c r="C14" i="33"/>
  <c r="D13" i="33"/>
  <c r="C13" i="33"/>
  <c r="D12" i="33"/>
  <c r="C12" i="33"/>
  <c r="D11" i="33"/>
  <c r="C11" i="33"/>
  <c r="D10" i="33"/>
  <c r="C10" i="33"/>
  <c r="D9" i="33"/>
  <c r="C9" i="33"/>
  <c r="D8" i="33"/>
  <c r="C8" i="33"/>
  <c r="D7" i="33"/>
  <c r="C7" i="33"/>
  <c r="D6" i="33"/>
  <c r="C6" i="33"/>
  <c r="O65" i="31"/>
  <c r="M65" i="31"/>
  <c r="H65" i="31"/>
  <c r="G65" i="31"/>
  <c r="F65" i="31"/>
  <c r="E65" i="31"/>
  <c r="D65" i="31"/>
  <c r="O64" i="31"/>
  <c r="M64" i="31"/>
  <c r="H64" i="31"/>
  <c r="G64" i="31"/>
  <c r="F64" i="31"/>
  <c r="P64" i="31"/>
  <c r="E64" i="31"/>
  <c r="D64" i="31"/>
  <c r="O63" i="31"/>
  <c r="M63" i="31"/>
  <c r="H63" i="31"/>
  <c r="G63" i="31"/>
  <c r="F63" i="31"/>
  <c r="E63" i="31"/>
  <c r="D63" i="31"/>
  <c r="O62" i="31"/>
  <c r="M62" i="31"/>
  <c r="H62" i="31"/>
  <c r="G62" i="31"/>
  <c r="F62" i="31"/>
  <c r="E62" i="31"/>
  <c r="Q62" i="31"/>
  <c r="D62" i="31"/>
  <c r="O61" i="31"/>
  <c r="M61" i="31"/>
  <c r="H61" i="31"/>
  <c r="G61" i="31"/>
  <c r="F61" i="31"/>
  <c r="E61" i="31"/>
  <c r="D61" i="31"/>
  <c r="O60" i="31"/>
  <c r="M60" i="31"/>
  <c r="H60" i="31"/>
  <c r="G60" i="31"/>
  <c r="F60" i="31"/>
  <c r="Q60" i="31"/>
  <c r="E60" i="31"/>
  <c r="D60" i="31"/>
  <c r="O59" i="31"/>
  <c r="M59" i="31"/>
  <c r="H59" i="31"/>
  <c r="G59" i="31"/>
  <c r="F59" i="31"/>
  <c r="E59" i="31"/>
  <c r="D59" i="31"/>
  <c r="O58" i="31"/>
  <c r="M58" i="31"/>
  <c r="H58" i="31"/>
  <c r="G58" i="31"/>
  <c r="F58" i="31"/>
  <c r="Q58" i="31"/>
  <c r="E58" i="31"/>
  <c r="D58" i="31"/>
  <c r="O57" i="31"/>
  <c r="M57" i="31"/>
  <c r="H57" i="31"/>
  <c r="G57" i="31"/>
  <c r="F57" i="31"/>
  <c r="E57" i="31"/>
  <c r="D57" i="31"/>
  <c r="O56" i="31"/>
  <c r="M56" i="31"/>
  <c r="H56" i="31"/>
  <c r="G56" i="31"/>
  <c r="F56" i="31"/>
  <c r="Q56" i="31"/>
  <c r="E56" i="31"/>
  <c r="D56" i="31"/>
  <c r="O55" i="31"/>
  <c r="M55" i="31"/>
  <c r="H55" i="31"/>
  <c r="G55" i="31"/>
  <c r="F55" i="31"/>
  <c r="E55" i="31"/>
  <c r="D55" i="31"/>
  <c r="O54" i="31"/>
  <c r="M54" i="31"/>
  <c r="H54" i="31"/>
  <c r="G54" i="31"/>
  <c r="F54" i="31"/>
  <c r="E54" i="31"/>
  <c r="Q54" i="31"/>
  <c r="D54" i="31"/>
  <c r="Q53" i="31"/>
  <c r="O53" i="31"/>
  <c r="M53" i="31"/>
  <c r="H53" i="31"/>
  <c r="G53" i="31"/>
  <c r="F53" i="31"/>
  <c r="E53" i="31"/>
  <c r="D53" i="31"/>
  <c r="O52" i="31"/>
  <c r="M52" i="31"/>
  <c r="H52" i="31"/>
  <c r="G52" i="31"/>
  <c r="F52" i="31"/>
  <c r="P52" i="31"/>
  <c r="E52" i="31"/>
  <c r="Q52" i="31"/>
  <c r="D52" i="31"/>
  <c r="O51" i="31"/>
  <c r="M51" i="31"/>
  <c r="H51" i="31"/>
  <c r="G51" i="31"/>
  <c r="F51" i="31"/>
  <c r="E51" i="31"/>
  <c r="D51" i="31"/>
  <c r="Q50" i="31"/>
  <c r="P50" i="31"/>
  <c r="R50" i="31"/>
  <c r="L50" i="31"/>
  <c r="O50" i="31"/>
  <c r="M50" i="31"/>
  <c r="H50" i="31"/>
  <c r="G50" i="31"/>
  <c r="F50" i="31"/>
  <c r="E50" i="31"/>
  <c r="D50" i="31"/>
  <c r="Q49" i="31"/>
  <c r="O49" i="31"/>
  <c r="M49" i="31"/>
  <c r="H49" i="31"/>
  <c r="G49" i="31"/>
  <c r="F49" i="31"/>
  <c r="E49" i="31"/>
  <c r="D49" i="31"/>
  <c r="O48" i="31"/>
  <c r="M48" i="31"/>
  <c r="H48" i="31"/>
  <c r="G48" i="31"/>
  <c r="F48" i="31"/>
  <c r="E48" i="31"/>
  <c r="D48" i="31"/>
  <c r="O47" i="31"/>
  <c r="M47" i="31"/>
  <c r="H47" i="31"/>
  <c r="G47" i="31"/>
  <c r="F47" i="31"/>
  <c r="E47" i="31"/>
  <c r="D47" i="31"/>
  <c r="O46" i="31"/>
  <c r="M46" i="31"/>
  <c r="H46" i="31"/>
  <c r="G46" i="31"/>
  <c r="F46" i="31"/>
  <c r="E46" i="31"/>
  <c r="D46" i="31"/>
  <c r="Q45" i="31"/>
  <c r="O45" i="31"/>
  <c r="M45" i="31"/>
  <c r="H45" i="31"/>
  <c r="G45" i="31"/>
  <c r="F45" i="31"/>
  <c r="E45" i="31"/>
  <c r="D45" i="31"/>
  <c r="O44" i="31"/>
  <c r="M44" i="31"/>
  <c r="H44" i="31"/>
  <c r="G44" i="31"/>
  <c r="F44" i="31"/>
  <c r="P44" i="31"/>
  <c r="E44" i="31"/>
  <c r="Q44" i="31"/>
  <c r="D44" i="31"/>
  <c r="O43" i="31"/>
  <c r="M43" i="31"/>
  <c r="H43" i="31"/>
  <c r="G43" i="31"/>
  <c r="F43" i="31"/>
  <c r="E43" i="31"/>
  <c r="D43" i="31"/>
  <c r="Q42" i="31"/>
  <c r="P42" i="31"/>
  <c r="R42" i="31"/>
  <c r="O42" i="31"/>
  <c r="M42" i="31"/>
  <c r="L42" i="31"/>
  <c r="H42" i="31"/>
  <c r="G42" i="31"/>
  <c r="F42" i="31"/>
  <c r="E42" i="31"/>
  <c r="D42" i="31"/>
  <c r="Q41" i="31"/>
  <c r="O41" i="31"/>
  <c r="M41" i="31"/>
  <c r="H41" i="31"/>
  <c r="G41" i="31"/>
  <c r="F41" i="31"/>
  <c r="E41" i="31"/>
  <c r="D41" i="31"/>
  <c r="P40" i="31"/>
  <c r="R40" i="31"/>
  <c r="O40" i="31"/>
  <c r="M40" i="31"/>
  <c r="H40" i="31"/>
  <c r="G40" i="31"/>
  <c r="F40" i="31"/>
  <c r="Q40" i="31"/>
  <c r="E40" i="31"/>
  <c r="D40" i="31"/>
  <c r="O39" i="31"/>
  <c r="M39" i="31"/>
  <c r="H39" i="31"/>
  <c r="G39" i="31"/>
  <c r="F39" i="31"/>
  <c r="E39" i="31"/>
  <c r="D39" i="31"/>
  <c r="O38" i="31"/>
  <c r="M38" i="31"/>
  <c r="H38" i="31"/>
  <c r="G38" i="31"/>
  <c r="F38" i="31"/>
  <c r="E38" i="31"/>
  <c r="D38" i="31"/>
  <c r="Q37" i="31"/>
  <c r="O37" i="31"/>
  <c r="M37" i="31"/>
  <c r="H37" i="31"/>
  <c r="G37" i="31"/>
  <c r="F37" i="31"/>
  <c r="E37" i="31"/>
  <c r="D37" i="31"/>
  <c r="O36" i="31"/>
  <c r="M36" i="31"/>
  <c r="H36" i="31"/>
  <c r="G36" i="31"/>
  <c r="F36" i="31"/>
  <c r="P36" i="31"/>
  <c r="E36" i="31"/>
  <c r="Q36" i="31"/>
  <c r="D36" i="31"/>
  <c r="O35" i="31"/>
  <c r="M35" i="31"/>
  <c r="H35" i="31"/>
  <c r="G35" i="31"/>
  <c r="F35" i="31"/>
  <c r="E35" i="31"/>
  <c r="D35" i="31"/>
  <c r="Q34" i="31"/>
  <c r="P34" i="31"/>
  <c r="R34" i="31"/>
  <c r="L34" i="31"/>
  <c r="O34" i="31"/>
  <c r="M34" i="31"/>
  <c r="H34" i="31"/>
  <c r="G34" i="31"/>
  <c r="F34" i="31"/>
  <c r="E34" i="31"/>
  <c r="D34" i="31"/>
  <c r="Q33" i="31"/>
  <c r="O33" i="31"/>
  <c r="M33" i="31"/>
  <c r="H33" i="31"/>
  <c r="G33" i="31"/>
  <c r="F33" i="31"/>
  <c r="E33" i="31"/>
  <c r="D33" i="31"/>
  <c r="O32" i="31"/>
  <c r="M32" i="31"/>
  <c r="H32" i="31"/>
  <c r="G32" i="31"/>
  <c r="F32" i="31"/>
  <c r="Q32" i="31"/>
  <c r="E32" i="31"/>
  <c r="D32" i="31"/>
  <c r="O31" i="31"/>
  <c r="M31" i="31"/>
  <c r="H31" i="31"/>
  <c r="G31" i="31"/>
  <c r="F31" i="31"/>
  <c r="E31" i="31"/>
  <c r="D31" i="31"/>
  <c r="O30" i="31"/>
  <c r="M30" i="31"/>
  <c r="H30" i="31"/>
  <c r="G30" i="31"/>
  <c r="F30" i="31"/>
  <c r="E30" i="31"/>
  <c r="D30" i="31"/>
  <c r="Q29" i="31"/>
  <c r="O29" i="31"/>
  <c r="M29" i="31"/>
  <c r="H29" i="31"/>
  <c r="G29" i="31"/>
  <c r="F29" i="31"/>
  <c r="E29" i="31"/>
  <c r="D29" i="31"/>
  <c r="O28" i="31"/>
  <c r="N28" i="31"/>
  <c r="M28" i="31"/>
  <c r="J28" i="31"/>
  <c r="H28" i="31"/>
  <c r="G28" i="31"/>
  <c r="F28" i="31"/>
  <c r="P28" i="31"/>
  <c r="R28" i="31"/>
  <c r="E28" i="31"/>
  <c r="Q28" i="31"/>
  <c r="D28" i="31"/>
  <c r="O27" i="31"/>
  <c r="M27" i="31"/>
  <c r="H27" i="31"/>
  <c r="G27" i="31"/>
  <c r="F27" i="31"/>
  <c r="E27" i="31"/>
  <c r="D27" i="31"/>
  <c r="Q26" i="31"/>
  <c r="P26" i="31"/>
  <c r="R26" i="31"/>
  <c r="O26" i="31"/>
  <c r="M26" i="31"/>
  <c r="H26" i="31"/>
  <c r="G26" i="31"/>
  <c r="F26" i="31"/>
  <c r="E26" i="31"/>
  <c r="D26" i="31"/>
  <c r="Q25" i="31"/>
  <c r="O25" i="31"/>
  <c r="M25" i="31"/>
  <c r="H25" i="31"/>
  <c r="G25" i="31"/>
  <c r="F25" i="31"/>
  <c r="E25" i="31"/>
  <c r="D25" i="31"/>
  <c r="O24" i="31"/>
  <c r="M24" i="31"/>
  <c r="H24" i="31"/>
  <c r="G24" i="31"/>
  <c r="F24" i="31"/>
  <c r="E24" i="31"/>
  <c r="D24" i="31"/>
  <c r="O23" i="31"/>
  <c r="M23" i="31"/>
  <c r="H23" i="31"/>
  <c r="G23" i="31"/>
  <c r="F23" i="31"/>
  <c r="E23" i="31"/>
  <c r="D23" i="31"/>
  <c r="O22" i="31"/>
  <c r="M22" i="31"/>
  <c r="H22" i="31"/>
  <c r="G22" i="31"/>
  <c r="F22" i="31"/>
  <c r="E22" i="31"/>
  <c r="D22" i="31"/>
  <c r="Q21" i="31"/>
  <c r="O21" i="31"/>
  <c r="M21" i="31"/>
  <c r="H21" i="31"/>
  <c r="G21" i="31"/>
  <c r="F21" i="31"/>
  <c r="E21" i="31"/>
  <c r="D21" i="31"/>
  <c r="O20" i="31"/>
  <c r="M20" i="31"/>
  <c r="H20" i="31"/>
  <c r="G20" i="31"/>
  <c r="F20" i="31"/>
  <c r="P20" i="31"/>
  <c r="R20" i="31"/>
  <c r="E20" i="31"/>
  <c r="Q20" i="31"/>
  <c r="D20" i="31"/>
  <c r="O19" i="31"/>
  <c r="M19" i="31"/>
  <c r="H19" i="31"/>
  <c r="G19" i="31"/>
  <c r="F19" i="31"/>
  <c r="E19" i="31"/>
  <c r="D19" i="31"/>
  <c r="Q18" i="31"/>
  <c r="P18" i="31"/>
  <c r="R18" i="31"/>
  <c r="O18" i="31"/>
  <c r="M18" i="31"/>
  <c r="L18" i="31"/>
  <c r="H18" i="31"/>
  <c r="G18" i="31"/>
  <c r="F18" i="31"/>
  <c r="E18" i="31"/>
  <c r="D18" i="31"/>
  <c r="Q17" i="31"/>
  <c r="O17" i="31"/>
  <c r="M17" i="31"/>
  <c r="H17" i="31"/>
  <c r="G17" i="31"/>
  <c r="F17" i="31"/>
  <c r="E17" i="31"/>
  <c r="D17" i="31"/>
  <c r="P16" i="31"/>
  <c r="R16" i="31"/>
  <c r="O16" i="31"/>
  <c r="M16" i="31"/>
  <c r="H16" i="31"/>
  <c r="G16" i="31"/>
  <c r="F16" i="31"/>
  <c r="Q16" i="31"/>
  <c r="E16" i="31"/>
  <c r="D16" i="31"/>
  <c r="O15" i="31"/>
  <c r="M15" i="31"/>
  <c r="H15" i="31"/>
  <c r="G15" i="31"/>
  <c r="F15" i="31"/>
  <c r="E15" i="31"/>
  <c r="D15" i="31"/>
  <c r="O14" i="31"/>
  <c r="M14" i="31"/>
  <c r="H14" i="31"/>
  <c r="G14" i="31"/>
  <c r="F14" i="31"/>
  <c r="E14" i="31"/>
  <c r="D14" i="31"/>
  <c r="Q13" i="31"/>
  <c r="O13" i="31"/>
  <c r="M13" i="31"/>
  <c r="H13" i="31"/>
  <c r="G13" i="31"/>
  <c r="F13" i="31"/>
  <c r="E13" i="31"/>
  <c r="D13" i="31"/>
  <c r="O12" i="31"/>
  <c r="M12" i="31"/>
  <c r="H12" i="31"/>
  <c r="G12" i="31"/>
  <c r="F12" i="31"/>
  <c r="P12" i="31"/>
  <c r="E12" i="31"/>
  <c r="Q12" i="31"/>
  <c r="D12" i="31"/>
  <c r="O11" i="31"/>
  <c r="M11" i="31"/>
  <c r="H11" i="31"/>
  <c r="G11" i="31"/>
  <c r="F11" i="31"/>
  <c r="E11" i="31"/>
  <c r="D11" i="31"/>
  <c r="Q10" i="31"/>
  <c r="P10" i="31"/>
  <c r="R10" i="31"/>
  <c r="L10" i="31"/>
  <c r="O10" i="31"/>
  <c r="M10" i="31"/>
  <c r="H10" i="31"/>
  <c r="G10" i="31"/>
  <c r="F10" i="31"/>
  <c r="E10" i="31"/>
  <c r="D10" i="31"/>
  <c r="Q9" i="31"/>
  <c r="O9" i="31"/>
  <c r="M9" i="31"/>
  <c r="H9" i="31"/>
  <c r="G9" i="31"/>
  <c r="F9" i="31"/>
  <c r="E9" i="31"/>
  <c r="D9" i="31"/>
  <c r="P8" i="31"/>
  <c r="R8" i="31"/>
  <c r="O8" i="31"/>
  <c r="M8" i="31"/>
  <c r="L8" i="31"/>
  <c r="H8" i="31"/>
  <c r="G8" i="31"/>
  <c r="F8" i="31"/>
  <c r="Q8" i="31"/>
  <c r="E8" i="31"/>
  <c r="D8" i="31"/>
  <c r="O7" i="31"/>
  <c r="M7" i="31"/>
  <c r="H7" i="31"/>
  <c r="G7" i="31"/>
  <c r="F7" i="31"/>
  <c r="E7" i="31"/>
  <c r="D7" i="31"/>
  <c r="O6" i="31"/>
  <c r="M6" i="31"/>
  <c r="H6" i="31"/>
  <c r="G6" i="31"/>
  <c r="F6" i="31"/>
  <c r="E6" i="31"/>
  <c r="D6" i="31"/>
  <c r="C66" i="30"/>
  <c r="C65" i="30"/>
  <c r="C64" i="30"/>
  <c r="C63" i="30"/>
  <c r="C62" i="30"/>
  <c r="C61" i="30"/>
  <c r="C60" i="30"/>
  <c r="C59" i="30"/>
  <c r="C58" i="30"/>
  <c r="C57" i="30"/>
  <c r="C56" i="30"/>
  <c r="C55" i="30"/>
  <c r="C54" i="30"/>
  <c r="C53" i="30"/>
  <c r="C52" i="30"/>
  <c r="C51" i="30"/>
  <c r="C50" i="30"/>
  <c r="C49" i="30"/>
  <c r="C48" i="30"/>
  <c r="C47" i="30"/>
  <c r="C46" i="30"/>
  <c r="C45" i="30"/>
  <c r="C44" i="30"/>
  <c r="C43" i="30"/>
  <c r="C42" i="30"/>
  <c r="C41" i="30"/>
  <c r="C40" i="30"/>
  <c r="C39" i="30"/>
  <c r="C38" i="30"/>
  <c r="C37" i="30"/>
  <c r="C36" i="30"/>
  <c r="C35" i="30"/>
  <c r="C34" i="30"/>
  <c r="C33" i="30"/>
  <c r="C32" i="30"/>
  <c r="C31" i="30"/>
  <c r="C30" i="30"/>
  <c r="C29" i="30"/>
  <c r="C28" i="30"/>
  <c r="C27" i="30"/>
  <c r="C26" i="30"/>
  <c r="C25" i="30"/>
  <c r="C24" i="30"/>
  <c r="C23" i="30"/>
  <c r="C22" i="30"/>
  <c r="C21" i="30"/>
  <c r="C20" i="30"/>
  <c r="C19" i="30"/>
  <c r="C18" i="30"/>
  <c r="C17" i="30"/>
  <c r="C16" i="30"/>
  <c r="C15" i="30"/>
  <c r="C14" i="30"/>
  <c r="C13" i="30"/>
  <c r="C12" i="30"/>
  <c r="C11" i="30"/>
  <c r="C10" i="30"/>
  <c r="C9" i="30"/>
  <c r="C8" i="30"/>
  <c r="C7" i="30"/>
  <c r="C6" i="30"/>
  <c r="M10" i="25"/>
  <c r="L10" i="25"/>
  <c r="K10" i="25"/>
  <c r="J10" i="25"/>
  <c r="H10" i="25"/>
  <c r="G10" i="25"/>
  <c r="M9" i="25"/>
  <c r="L9" i="25"/>
  <c r="K9" i="25"/>
  <c r="J9" i="25"/>
  <c r="H9" i="25"/>
  <c r="G9" i="25"/>
  <c r="I9" i="25"/>
  <c r="O9" i="25"/>
  <c r="M8" i="25"/>
  <c r="L8" i="25"/>
  <c r="K8" i="25"/>
  <c r="J8" i="25"/>
  <c r="H8" i="25"/>
  <c r="G8" i="25"/>
  <c r="O7" i="25"/>
  <c r="M7" i="25"/>
  <c r="L7" i="25"/>
  <c r="K7" i="25"/>
  <c r="J7" i="25"/>
  <c r="H7" i="25"/>
  <c r="G7" i="25"/>
  <c r="I7" i="25"/>
  <c r="M6" i="25"/>
  <c r="L6" i="25"/>
  <c r="K6" i="25"/>
  <c r="J6" i="25"/>
  <c r="H6" i="25"/>
  <c r="G6" i="25"/>
  <c r="AW105" i="20"/>
  <c r="AV105" i="20"/>
  <c r="AT105" i="20"/>
  <c r="AS105" i="20"/>
  <c r="AR105" i="20"/>
  <c r="AQ105" i="20"/>
  <c r="AP105" i="20"/>
  <c r="AO105" i="20"/>
  <c r="AN105" i="20"/>
  <c r="AM105" i="20"/>
  <c r="AL105" i="20"/>
  <c r="AK105" i="20"/>
  <c r="AJ105" i="20"/>
  <c r="AI105" i="20"/>
  <c r="AH105" i="20"/>
  <c r="AG105" i="20"/>
  <c r="AF105" i="20"/>
  <c r="AE105" i="20"/>
  <c r="AD105" i="20"/>
  <c r="AC105" i="20"/>
  <c r="AB105" i="20"/>
  <c r="X105" i="20"/>
  <c r="W105" i="20"/>
  <c r="V105" i="20"/>
  <c r="U105" i="20"/>
  <c r="T105" i="20"/>
  <c r="S105" i="20"/>
  <c r="L105" i="20"/>
  <c r="K105" i="20"/>
  <c r="I105" i="20"/>
  <c r="H105" i="20"/>
  <c r="G105" i="20"/>
  <c r="F105" i="20"/>
  <c r="E105" i="20"/>
  <c r="C105" i="20"/>
  <c r="AW104" i="20"/>
  <c r="AV104" i="20"/>
  <c r="AT104" i="20"/>
  <c r="AS104" i="20"/>
  <c r="AR104" i="20"/>
  <c r="AQ104" i="20"/>
  <c r="AP104" i="20"/>
  <c r="AO104" i="20"/>
  <c r="AN104" i="20"/>
  <c r="AM104" i="20"/>
  <c r="AL104" i="20"/>
  <c r="AK104" i="20"/>
  <c r="AJ104" i="20"/>
  <c r="AI104" i="20"/>
  <c r="AH104" i="20"/>
  <c r="AG104" i="20"/>
  <c r="AF104" i="20"/>
  <c r="AE104" i="20"/>
  <c r="AD104" i="20"/>
  <c r="AC104" i="20"/>
  <c r="AB104" i="20"/>
  <c r="X104" i="20"/>
  <c r="W104" i="20"/>
  <c r="V104" i="20"/>
  <c r="U104" i="20"/>
  <c r="T104" i="20"/>
  <c r="S104" i="20"/>
  <c r="L104" i="20"/>
  <c r="K104" i="20"/>
  <c r="I104" i="20"/>
  <c r="H104" i="20"/>
  <c r="G104" i="20"/>
  <c r="F104" i="20"/>
  <c r="E104" i="20"/>
  <c r="C104" i="20"/>
  <c r="AW103" i="20"/>
  <c r="AV103" i="20"/>
  <c r="AT103" i="20"/>
  <c r="AS103" i="20"/>
  <c r="AR103" i="20"/>
  <c r="AQ103" i="20"/>
  <c r="AP103" i="20"/>
  <c r="AO103" i="20"/>
  <c r="AN103" i="20"/>
  <c r="AM103" i="20"/>
  <c r="AL103" i="20"/>
  <c r="AK103" i="20"/>
  <c r="AJ103" i="20"/>
  <c r="AI103" i="20"/>
  <c r="AH103" i="20"/>
  <c r="AG103" i="20"/>
  <c r="AF103" i="20"/>
  <c r="AE103" i="20"/>
  <c r="AD103" i="20"/>
  <c r="AC103" i="20"/>
  <c r="AB103" i="20"/>
  <c r="X103" i="20"/>
  <c r="W103" i="20"/>
  <c r="V103" i="20"/>
  <c r="U103" i="20"/>
  <c r="T103" i="20"/>
  <c r="S103" i="20"/>
  <c r="L103" i="20"/>
  <c r="K103" i="20"/>
  <c r="I103" i="20"/>
  <c r="H103" i="20"/>
  <c r="G103" i="20"/>
  <c r="F103" i="20"/>
  <c r="E103" i="20"/>
  <c r="C103" i="20"/>
  <c r="AW102" i="20"/>
  <c r="AV102" i="20"/>
  <c r="AT102" i="20"/>
  <c r="AS102" i="20"/>
  <c r="AR102" i="20"/>
  <c r="AQ102" i="20"/>
  <c r="AP102" i="20"/>
  <c r="AO102" i="20"/>
  <c r="AN102" i="20"/>
  <c r="AM102" i="20"/>
  <c r="AL102" i="20"/>
  <c r="AK102" i="20"/>
  <c r="AJ102" i="20"/>
  <c r="AI102" i="20"/>
  <c r="AH102" i="20"/>
  <c r="AG102" i="20"/>
  <c r="AF102" i="20"/>
  <c r="AE102" i="20"/>
  <c r="AD102" i="20"/>
  <c r="AC102" i="20"/>
  <c r="AB102" i="20"/>
  <c r="X102" i="20"/>
  <c r="W102" i="20"/>
  <c r="V102" i="20"/>
  <c r="U102" i="20"/>
  <c r="T102" i="20"/>
  <c r="S102" i="20"/>
  <c r="L102" i="20"/>
  <c r="K102" i="20"/>
  <c r="I102" i="20"/>
  <c r="H102" i="20"/>
  <c r="G102" i="20"/>
  <c r="F102" i="20"/>
  <c r="E102" i="20"/>
  <c r="C102" i="20"/>
  <c r="AW101" i="20"/>
  <c r="AV101" i="20"/>
  <c r="AT101" i="20"/>
  <c r="AS101" i="20"/>
  <c r="AR101" i="20"/>
  <c r="AQ101" i="20"/>
  <c r="AP101" i="20"/>
  <c r="AO101" i="20"/>
  <c r="AN101" i="20"/>
  <c r="AM101" i="20"/>
  <c r="AL101" i="20"/>
  <c r="AK101" i="20"/>
  <c r="AJ101" i="20"/>
  <c r="AI101" i="20"/>
  <c r="AH101" i="20"/>
  <c r="AG101" i="20"/>
  <c r="AF101" i="20"/>
  <c r="AE101" i="20"/>
  <c r="AD101" i="20"/>
  <c r="AC101" i="20"/>
  <c r="AB101" i="20"/>
  <c r="X101" i="20"/>
  <c r="W101" i="20"/>
  <c r="V101" i="20"/>
  <c r="U101" i="20"/>
  <c r="T101" i="20"/>
  <c r="S101" i="20"/>
  <c r="L101" i="20"/>
  <c r="K101" i="20"/>
  <c r="I101" i="20"/>
  <c r="H101" i="20"/>
  <c r="G101" i="20"/>
  <c r="F101" i="20"/>
  <c r="E101" i="20"/>
  <c r="C101" i="20"/>
  <c r="AW100" i="20"/>
  <c r="AV100" i="20"/>
  <c r="AT100" i="20"/>
  <c r="AS100" i="20"/>
  <c r="AR100" i="20"/>
  <c r="AQ100" i="20"/>
  <c r="AP100" i="20"/>
  <c r="AO100" i="20"/>
  <c r="AN100" i="20"/>
  <c r="AM100" i="20"/>
  <c r="AL100" i="20"/>
  <c r="AK100" i="20"/>
  <c r="AJ100" i="20"/>
  <c r="AI100" i="20"/>
  <c r="AH100" i="20"/>
  <c r="AG100" i="20"/>
  <c r="AF100" i="20"/>
  <c r="AE100" i="20"/>
  <c r="AD100" i="20"/>
  <c r="AC100" i="20"/>
  <c r="AB100" i="20"/>
  <c r="X100" i="20"/>
  <c r="W100" i="20"/>
  <c r="V100" i="20"/>
  <c r="U100" i="20"/>
  <c r="T100" i="20"/>
  <c r="S100" i="20"/>
  <c r="L100" i="20"/>
  <c r="K100" i="20"/>
  <c r="I100" i="20"/>
  <c r="H100" i="20"/>
  <c r="G100" i="20"/>
  <c r="F100" i="20"/>
  <c r="E100" i="20"/>
  <c r="C100" i="20"/>
  <c r="AW99" i="20"/>
  <c r="AV99" i="20"/>
  <c r="AT99" i="20"/>
  <c r="AS99" i="20"/>
  <c r="AR99" i="20"/>
  <c r="AQ99" i="20"/>
  <c r="AP99" i="20"/>
  <c r="AO99" i="20"/>
  <c r="AN99" i="20"/>
  <c r="AM99" i="20"/>
  <c r="AL99" i="20"/>
  <c r="AK99" i="20"/>
  <c r="AJ99" i="20"/>
  <c r="AI99" i="20"/>
  <c r="AH99" i="20"/>
  <c r="AG99" i="20"/>
  <c r="AF99" i="20"/>
  <c r="AE99" i="20"/>
  <c r="AD99" i="20"/>
  <c r="AC99" i="20"/>
  <c r="AB99" i="20"/>
  <c r="X99" i="20"/>
  <c r="W99" i="20"/>
  <c r="V99" i="20"/>
  <c r="U99" i="20"/>
  <c r="T99" i="20"/>
  <c r="S99" i="20"/>
  <c r="L99" i="20"/>
  <c r="K99" i="20"/>
  <c r="I99" i="20"/>
  <c r="H99" i="20"/>
  <c r="G99" i="20"/>
  <c r="F99" i="20"/>
  <c r="E99" i="20"/>
  <c r="C99" i="20"/>
  <c r="AW98" i="20"/>
  <c r="AV98" i="20"/>
  <c r="AT98" i="20"/>
  <c r="AS98" i="20"/>
  <c r="AR98" i="20"/>
  <c r="AQ98" i="20"/>
  <c r="AP98" i="20"/>
  <c r="AO98" i="20"/>
  <c r="AN98" i="20"/>
  <c r="AM98" i="20"/>
  <c r="AL98" i="20"/>
  <c r="AK98" i="20"/>
  <c r="AJ98" i="20"/>
  <c r="AI98" i="20"/>
  <c r="AH98" i="20"/>
  <c r="AG98" i="20"/>
  <c r="AF98" i="20"/>
  <c r="AE98" i="20"/>
  <c r="AD98" i="20"/>
  <c r="AC98" i="20"/>
  <c r="AB98" i="20"/>
  <c r="X98" i="20"/>
  <c r="W98" i="20"/>
  <c r="V98" i="20"/>
  <c r="U98" i="20"/>
  <c r="T98" i="20"/>
  <c r="S98" i="20"/>
  <c r="L98" i="20"/>
  <c r="K98" i="20"/>
  <c r="I98" i="20"/>
  <c r="H98" i="20"/>
  <c r="G98" i="20"/>
  <c r="F98" i="20"/>
  <c r="E98" i="20"/>
  <c r="C98" i="20"/>
  <c r="AW97" i="20"/>
  <c r="AV97" i="20"/>
  <c r="AT97" i="20"/>
  <c r="AS97" i="20"/>
  <c r="AR97" i="20"/>
  <c r="AQ97" i="20"/>
  <c r="AP97" i="20"/>
  <c r="AO97" i="20"/>
  <c r="AN97" i="20"/>
  <c r="AM97" i="20"/>
  <c r="AL97" i="20"/>
  <c r="AK97" i="20"/>
  <c r="AJ97" i="20"/>
  <c r="AI97" i="20"/>
  <c r="AH97" i="20"/>
  <c r="AG97" i="20"/>
  <c r="AF97" i="20"/>
  <c r="AE97" i="20"/>
  <c r="AD97" i="20"/>
  <c r="AC97" i="20"/>
  <c r="AB97" i="20"/>
  <c r="X97" i="20"/>
  <c r="W97" i="20"/>
  <c r="V97" i="20"/>
  <c r="U97" i="20"/>
  <c r="T97" i="20"/>
  <c r="S97" i="20"/>
  <c r="L97" i="20"/>
  <c r="K97" i="20"/>
  <c r="I97" i="20"/>
  <c r="H97" i="20"/>
  <c r="G97" i="20"/>
  <c r="F97" i="20"/>
  <c r="E97" i="20"/>
  <c r="C97" i="20"/>
  <c r="AW96" i="20"/>
  <c r="AV96" i="20"/>
  <c r="AT96" i="20"/>
  <c r="AS96" i="20"/>
  <c r="AR96" i="20"/>
  <c r="AQ96" i="20"/>
  <c r="AP96" i="20"/>
  <c r="AO96" i="20"/>
  <c r="AN96" i="20"/>
  <c r="AM96" i="20"/>
  <c r="AL96" i="20"/>
  <c r="AK96" i="20"/>
  <c r="AJ96" i="20"/>
  <c r="AI96" i="20"/>
  <c r="AH96" i="20"/>
  <c r="AG96" i="20"/>
  <c r="AF96" i="20"/>
  <c r="AE96" i="20"/>
  <c r="AD96" i="20"/>
  <c r="AC96" i="20"/>
  <c r="AB96" i="20"/>
  <c r="X96" i="20"/>
  <c r="W96" i="20"/>
  <c r="V96" i="20"/>
  <c r="U96" i="20"/>
  <c r="T96" i="20"/>
  <c r="S96" i="20"/>
  <c r="L96" i="20"/>
  <c r="K96" i="20"/>
  <c r="I96" i="20"/>
  <c r="H96" i="20"/>
  <c r="G96" i="20"/>
  <c r="F96" i="20"/>
  <c r="E96" i="20"/>
  <c r="C96" i="20"/>
  <c r="AW95" i="20"/>
  <c r="AV95" i="20"/>
  <c r="AT95" i="20"/>
  <c r="AS95" i="20"/>
  <c r="AR95" i="20"/>
  <c r="AQ95" i="20"/>
  <c r="AP95" i="20"/>
  <c r="AO95" i="20"/>
  <c r="AN95" i="20"/>
  <c r="AM95" i="20"/>
  <c r="AL95" i="20"/>
  <c r="AK95" i="20"/>
  <c r="AJ95" i="20"/>
  <c r="AI95" i="20"/>
  <c r="AH95" i="20"/>
  <c r="AG95" i="20"/>
  <c r="AF95" i="20"/>
  <c r="AE95" i="20"/>
  <c r="AD95" i="20"/>
  <c r="AC95" i="20"/>
  <c r="AB95" i="20"/>
  <c r="X95" i="20"/>
  <c r="W95" i="20"/>
  <c r="V95" i="20"/>
  <c r="U95" i="20"/>
  <c r="T95" i="20"/>
  <c r="S95" i="20"/>
  <c r="L95" i="20"/>
  <c r="K95" i="20"/>
  <c r="I95" i="20"/>
  <c r="H95" i="20"/>
  <c r="G95" i="20"/>
  <c r="F95" i="20"/>
  <c r="E95" i="20"/>
  <c r="C95" i="20"/>
  <c r="AW94" i="20"/>
  <c r="AV94" i="20"/>
  <c r="AT94" i="20"/>
  <c r="AS94" i="20"/>
  <c r="AR94" i="20"/>
  <c r="AQ94" i="20"/>
  <c r="AP94" i="20"/>
  <c r="AO94" i="20"/>
  <c r="AN94" i="20"/>
  <c r="AM94" i="20"/>
  <c r="AL94" i="20"/>
  <c r="AK94" i="20"/>
  <c r="AJ94" i="20"/>
  <c r="AI94" i="20"/>
  <c r="AH94" i="20"/>
  <c r="AG94" i="20"/>
  <c r="AF94" i="20"/>
  <c r="AE94" i="20"/>
  <c r="AD94" i="20"/>
  <c r="AC94" i="20"/>
  <c r="AB94" i="20"/>
  <c r="X94" i="20"/>
  <c r="W94" i="20"/>
  <c r="V94" i="20"/>
  <c r="U94" i="20"/>
  <c r="T94" i="20"/>
  <c r="S94" i="20"/>
  <c r="L94" i="20"/>
  <c r="K94" i="20"/>
  <c r="I94" i="20"/>
  <c r="H94" i="20"/>
  <c r="G94" i="20"/>
  <c r="F94" i="20"/>
  <c r="E94" i="20"/>
  <c r="C94" i="20"/>
  <c r="AW93" i="20"/>
  <c r="AV93" i="20"/>
  <c r="AT93" i="20"/>
  <c r="AS93" i="20"/>
  <c r="AR93" i="20"/>
  <c r="AQ93" i="20"/>
  <c r="AP93" i="20"/>
  <c r="AO93" i="20"/>
  <c r="AN93" i="20"/>
  <c r="AM93" i="20"/>
  <c r="AL93" i="20"/>
  <c r="AK93" i="20"/>
  <c r="AJ93" i="20"/>
  <c r="AI93" i="20"/>
  <c r="AH93" i="20"/>
  <c r="AG93" i="20"/>
  <c r="AF93" i="20"/>
  <c r="AE93" i="20"/>
  <c r="AD93" i="20"/>
  <c r="AC93" i="20"/>
  <c r="AB93" i="20"/>
  <c r="X93" i="20"/>
  <c r="W93" i="20"/>
  <c r="V93" i="20"/>
  <c r="U93" i="20"/>
  <c r="T93" i="20"/>
  <c r="S93" i="20"/>
  <c r="L93" i="20"/>
  <c r="K93" i="20"/>
  <c r="I93" i="20"/>
  <c r="H93" i="20"/>
  <c r="G93" i="20"/>
  <c r="F93" i="20"/>
  <c r="E93" i="20"/>
  <c r="C93" i="20"/>
  <c r="AW92" i="20"/>
  <c r="AV92" i="20"/>
  <c r="AT92" i="20"/>
  <c r="AS92" i="20"/>
  <c r="AR92" i="20"/>
  <c r="AQ92" i="20"/>
  <c r="AP92" i="20"/>
  <c r="AO92" i="20"/>
  <c r="AN92" i="20"/>
  <c r="AM92" i="20"/>
  <c r="AL92" i="20"/>
  <c r="AK92" i="20"/>
  <c r="AJ92" i="20"/>
  <c r="AI92" i="20"/>
  <c r="AH92" i="20"/>
  <c r="AG92" i="20"/>
  <c r="AF92" i="20"/>
  <c r="AE92" i="20"/>
  <c r="AD92" i="20"/>
  <c r="AC92" i="20"/>
  <c r="AB92" i="20"/>
  <c r="X92" i="20"/>
  <c r="W92" i="20"/>
  <c r="V92" i="20"/>
  <c r="U92" i="20"/>
  <c r="T92" i="20"/>
  <c r="S92" i="20"/>
  <c r="L92" i="20"/>
  <c r="K92" i="20"/>
  <c r="I92" i="20"/>
  <c r="H92" i="20"/>
  <c r="G92" i="20"/>
  <c r="F92" i="20"/>
  <c r="E92" i="20"/>
  <c r="C92" i="20"/>
  <c r="AW91" i="20"/>
  <c r="AV91" i="20"/>
  <c r="AT91" i="20"/>
  <c r="AS91" i="20"/>
  <c r="AR91" i="20"/>
  <c r="AQ91" i="20"/>
  <c r="AP91" i="20"/>
  <c r="AO91" i="20"/>
  <c r="AN91" i="20"/>
  <c r="AM91" i="20"/>
  <c r="AL91" i="20"/>
  <c r="AK91" i="20"/>
  <c r="AJ91" i="20"/>
  <c r="AI91" i="20"/>
  <c r="AH91" i="20"/>
  <c r="AG91" i="20"/>
  <c r="AF91" i="20"/>
  <c r="AE91" i="20"/>
  <c r="AD91" i="20"/>
  <c r="AC91" i="20"/>
  <c r="AB91" i="20"/>
  <c r="X91" i="20"/>
  <c r="W91" i="20"/>
  <c r="V91" i="20"/>
  <c r="U91" i="20"/>
  <c r="T91" i="20"/>
  <c r="S91" i="20"/>
  <c r="L91" i="20"/>
  <c r="K91" i="20"/>
  <c r="I91" i="20"/>
  <c r="H91" i="20"/>
  <c r="G91" i="20"/>
  <c r="F91" i="20"/>
  <c r="E91" i="20"/>
  <c r="C91" i="20"/>
  <c r="AW90" i="20"/>
  <c r="AV90" i="20"/>
  <c r="AT90" i="20"/>
  <c r="AS90" i="20"/>
  <c r="AR90" i="20"/>
  <c r="AQ90" i="20"/>
  <c r="AP90" i="20"/>
  <c r="AO90" i="20"/>
  <c r="AN90" i="20"/>
  <c r="AM90" i="20"/>
  <c r="AL90" i="20"/>
  <c r="AK90" i="20"/>
  <c r="AJ90" i="20"/>
  <c r="AI90" i="20"/>
  <c r="AH90" i="20"/>
  <c r="AG90" i="20"/>
  <c r="AF90" i="20"/>
  <c r="AE90" i="20"/>
  <c r="AD90" i="20"/>
  <c r="AC90" i="20"/>
  <c r="AB90" i="20"/>
  <c r="X90" i="20"/>
  <c r="W90" i="20"/>
  <c r="V90" i="20"/>
  <c r="U90" i="20"/>
  <c r="T90" i="20"/>
  <c r="S90" i="20"/>
  <c r="L90" i="20"/>
  <c r="K90" i="20"/>
  <c r="I90" i="20"/>
  <c r="H90" i="20"/>
  <c r="G90" i="20"/>
  <c r="F90" i="20"/>
  <c r="E90" i="20"/>
  <c r="C90" i="20"/>
  <c r="AW89" i="20"/>
  <c r="AV89" i="20"/>
  <c r="AT89" i="20"/>
  <c r="AS89" i="20"/>
  <c r="AR89" i="20"/>
  <c r="AQ89" i="20"/>
  <c r="AP89" i="20"/>
  <c r="AO89" i="20"/>
  <c r="AN89" i="20"/>
  <c r="AM89" i="20"/>
  <c r="AL89" i="20"/>
  <c r="AK89" i="20"/>
  <c r="AJ89" i="20"/>
  <c r="AI89" i="20"/>
  <c r="AH89" i="20"/>
  <c r="AG89" i="20"/>
  <c r="AF89" i="20"/>
  <c r="AE89" i="20"/>
  <c r="AD89" i="20"/>
  <c r="AC89" i="20"/>
  <c r="AB89" i="20"/>
  <c r="X89" i="20"/>
  <c r="W89" i="20"/>
  <c r="V89" i="20"/>
  <c r="U89" i="20"/>
  <c r="T89" i="20"/>
  <c r="S89" i="20"/>
  <c r="L89" i="20"/>
  <c r="K89" i="20"/>
  <c r="I89" i="20"/>
  <c r="H89" i="20"/>
  <c r="G89" i="20"/>
  <c r="F89" i="20"/>
  <c r="E89" i="20"/>
  <c r="C89" i="20"/>
  <c r="AW88" i="20"/>
  <c r="AV88" i="20"/>
  <c r="AT88" i="20"/>
  <c r="AS88" i="20"/>
  <c r="AR88" i="20"/>
  <c r="AQ88" i="20"/>
  <c r="AP88" i="20"/>
  <c r="AO88" i="20"/>
  <c r="AN88" i="20"/>
  <c r="AM88" i="20"/>
  <c r="AL88" i="20"/>
  <c r="AK88" i="20"/>
  <c r="AJ88" i="20"/>
  <c r="AI88" i="20"/>
  <c r="AH88" i="20"/>
  <c r="AG88" i="20"/>
  <c r="AF88" i="20"/>
  <c r="AE88" i="20"/>
  <c r="AD88" i="20"/>
  <c r="AC88" i="20"/>
  <c r="AB88" i="20"/>
  <c r="X88" i="20"/>
  <c r="W88" i="20"/>
  <c r="V88" i="20"/>
  <c r="U88" i="20"/>
  <c r="T88" i="20"/>
  <c r="S88" i="20"/>
  <c r="L88" i="20"/>
  <c r="K88" i="20"/>
  <c r="I88" i="20"/>
  <c r="H88" i="20"/>
  <c r="G88" i="20"/>
  <c r="F88" i="20"/>
  <c r="E88" i="20"/>
  <c r="C88" i="20"/>
  <c r="AW87" i="20"/>
  <c r="AV87" i="20"/>
  <c r="AT87" i="20"/>
  <c r="AS87" i="20"/>
  <c r="AR87" i="20"/>
  <c r="AQ87" i="20"/>
  <c r="AP87" i="20"/>
  <c r="AO87" i="20"/>
  <c r="AN87" i="20"/>
  <c r="AM87" i="20"/>
  <c r="AL87" i="20"/>
  <c r="AK87" i="20"/>
  <c r="AJ87" i="20"/>
  <c r="AI87" i="20"/>
  <c r="AH87" i="20"/>
  <c r="AG87" i="20"/>
  <c r="AF87" i="20"/>
  <c r="AE87" i="20"/>
  <c r="AD87" i="20"/>
  <c r="AC87" i="20"/>
  <c r="AB87" i="20"/>
  <c r="X87" i="20"/>
  <c r="W87" i="20"/>
  <c r="V87" i="20"/>
  <c r="U87" i="20"/>
  <c r="T87" i="20"/>
  <c r="S87" i="20"/>
  <c r="L87" i="20"/>
  <c r="K87" i="20"/>
  <c r="I87" i="20"/>
  <c r="H87" i="20"/>
  <c r="G87" i="20"/>
  <c r="F87" i="20"/>
  <c r="E87" i="20"/>
  <c r="C87" i="20"/>
  <c r="AW86" i="20"/>
  <c r="AV86" i="20"/>
  <c r="AT86" i="20"/>
  <c r="AS86" i="20"/>
  <c r="AR86" i="20"/>
  <c r="AQ86" i="20"/>
  <c r="AP86" i="20"/>
  <c r="AO86" i="20"/>
  <c r="AN86" i="20"/>
  <c r="AM86" i="20"/>
  <c r="AL86" i="20"/>
  <c r="AK86" i="20"/>
  <c r="AJ86" i="20"/>
  <c r="AI86" i="20"/>
  <c r="AH86" i="20"/>
  <c r="AG86" i="20"/>
  <c r="AF86" i="20"/>
  <c r="AE86" i="20"/>
  <c r="AD86" i="20"/>
  <c r="AC86" i="20"/>
  <c r="AB86" i="20"/>
  <c r="X86" i="20"/>
  <c r="W86" i="20"/>
  <c r="V86" i="20"/>
  <c r="U86" i="20"/>
  <c r="T86" i="20"/>
  <c r="S86" i="20"/>
  <c r="L86" i="20"/>
  <c r="K86" i="20"/>
  <c r="I86" i="20"/>
  <c r="H86" i="20"/>
  <c r="G86" i="20"/>
  <c r="F86" i="20"/>
  <c r="E86" i="20"/>
  <c r="C86" i="20"/>
  <c r="AW85" i="20"/>
  <c r="AV85" i="20"/>
  <c r="AT85" i="20"/>
  <c r="AS85" i="20"/>
  <c r="AR85" i="20"/>
  <c r="AQ85" i="20"/>
  <c r="AP85" i="20"/>
  <c r="AO85" i="20"/>
  <c r="AN85" i="20"/>
  <c r="AM85" i="20"/>
  <c r="AL85" i="20"/>
  <c r="AK85" i="20"/>
  <c r="AJ85" i="20"/>
  <c r="AI85" i="20"/>
  <c r="AH85" i="20"/>
  <c r="AG85" i="20"/>
  <c r="AF85" i="20"/>
  <c r="AE85" i="20"/>
  <c r="AD85" i="20"/>
  <c r="AC85" i="20"/>
  <c r="AB85" i="20"/>
  <c r="X85" i="20"/>
  <c r="W85" i="20"/>
  <c r="V85" i="20"/>
  <c r="U85" i="20"/>
  <c r="T85" i="20"/>
  <c r="S85" i="20"/>
  <c r="L85" i="20"/>
  <c r="K85" i="20"/>
  <c r="I85" i="20"/>
  <c r="H85" i="20"/>
  <c r="G85" i="20"/>
  <c r="F85" i="20"/>
  <c r="E85" i="20"/>
  <c r="C85" i="20"/>
  <c r="AW84" i="20"/>
  <c r="AV84" i="20"/>
  <c r="AT84" i="20"/>
  <c r="AS84" i="20"/>
  <c r="AR84" i="20"/>
  <c r="AQ84" i="20"/>
  <c r="AP84" i="20"/>
  <c r="AO84" i="20"/>
  <c r="AN84" i="20"/>
  <c r="AM84" i="20"/>
  <c r="AL84" i="20"/>
  <c r="AK84" i="20"/>
  <c r="AJ84" i="20"/>
  <c r="AI84" i="20"/>
  <c r="AH84" i="20"/>
  <c r="AG84" i="20"/>
  <c r="AF84" i="20"/>
  <c r="AE84" i="20"/>
  <c r="AD84" i="20"/>
  <c r="AC84" i="20"/>
  <c r="AB84" i="20"/>
  <c r="X84" i="20"/>
  <c r="W84" i="20"/>
  <c r="V84" i="20"/>
  <c r="U84" i="20"/>
  <c r="T84" i="20"/>
  <c r="S84" i="20"/>
  <c r="L84" i="20"/>
  <c r="K84" i="20"/>
  <c r="I84" i="20"/>
  <c r="H84" i="20"/>
  <c r="G84" i="20"/>
  <c r="F84" i="20"/>
  <c r="E84" i="20"/>
  <c r="C84" i="20"/>
  <c r="AW83" i="20"/>
  <c r="AV83" i="20"/>
  <c r="AT83" i="20"/>
  <c r="AS83" i="20"/>
  <c r="AR83" i="20"/>
  <c r="AQ83" i="20"/>
  <c r="AP83" i="20"/>
  <c r="AO83" i="20"/>
  <c r="AN83" i="20"/>
  <c r="AM83" i="20"/>
  <c r="AL83" i="20"/>
  <c r="AK83" i="20"/>
  <c r="AJ83" i="20"/>
  <c r="AI83" i="20"/>
  <c r="AH83" i="20"/>
  <c r="AG83" i="20"/>
  <c r="AF83" i="20"/>
  <c r="AE83" i="20"/>
  <c r="AD83" i="20"/>
  <c r="AC83" i="20"/>
  <c r="AB83" i="20"/>
  <c r="X83" i="20"/>
  <c r="W83" i="20"/>
  <c r="V83" i="20"/>
  <c r="U83" i="20"/>
  <c r="T83" i="20"/>
  <c r="S83" i="20"/>
  <c r="L83" i="20"/>
  <c r="K83" i="20"/>
  <c r="I83" i="20"/>
  <c r="H83" i="20"/>
  <c r="G83" i="20"/>
  <c r="F83" i="20"/>
  <c r="E83" i="20"/>
  <c r="C83" i="20"/>
  <c r="AW82" i="20"/>
  <c r="AV82" i="20"/>
  <c r="AT82" i="20"/>
  <c r="AS82" i="20"/>
  <c r="AR82" i="20"/>
  <c r="AQ82" i="20"/>
  <c r="AP82" i="20"/>
  <c r="AO82" i="20"/>
  <c r="AN82" i="20"/>
  <c r="AM82" i="20"/>
  <c r="AL82" i="20"/>
  <c r="AK82" i="20"/>
  <c r="AJ82" i="20"/>
  <c r="AI82" i="20"/>
  <c r="AH82" i="20"/>
  <c r="AG82" i="20"/>
  <c r="AF82" i="20"/>
  <c r="AE82" i="20"/>
  <c r="AD82" i="20"/>
  <c r="AC82" i="20"/>
  <c r="AB82" i="20"/>
  <c r="X82" i="20"/>
  <c r="W82" i="20"/>
  <c r="V82" i="20"/>
  <c r="U82" i="20"/>
  <c r="T82" i="20"/>
  <c r="S82" i="20"/>
  <c r="L82" i="20"/>
  <c r="K82" i="20"/>
  <c r="I82" i="20"/>
  <c r="H82" i="20"/>
  <c r="G82" i="20"/>
  <c r="F82" i="20"/>
  <c r="E82" i="20"/>
  <c r="C82" i="20"/>
  <c r="AW81" i="20"/>
  <c r="AV81" i="20"/>
  <c r="AT81" i="20"/>
  <c r="AS81" i="20"/>
  <c r="AR81" i="20"/>
  <c r="AQ81" i="20"/>
  <c r="AP81" i="20"/>
  <c r="AO81" i="20"/>
  <c r="AN81" i="20"/>
  <c r="AM81" i="20"/>
  <c r="AL81" i="20"/>
  <c r="AK81" i="20"/>
  <c r="AJ81" i="20"/>
  <c r="AI81" i="20"/>
  <c r="AH81" i="20"/>
  <c r="AG81" i="20"/>
  <c r="AF81" i="20"/>
  <c r="AE81" i="20"/>
  <c r="AD81" i="20"/>
  <c r="AC81" i="20"/>
  <c r="AB81" i="20"/>
  <c r="X81" i="20"/>
  <c r="W81" i="20"/>
  <c r="V81" i="20"/>
  <c r="U81" i="20"/>
  <c r="T81" i="20"/>
  <c r="S81" i="20"/>
  <c r="L81" i="20"/>
  <c r="K81" i="20"/>
  <c r="I81" i="20"/>
  <c r="H81" i="20"/>
  <c r="G81" i="20"/>
  <c r="F81" i="20"/>
  <c r="E81" i="20"/>
  <c r="C81" i="20"/>
  <c r="AW80" i="20"/>
  <c r="AV80" i="20"/>
  <c r="AT80" i="20"/>
  <c r="AS80" i="20"/>
  <c r="AR80" i="20"/>
  <c r="AQ80" i="20"/>
  <c r="AP80" i="20"/>
  <c r="AO80" i="20"/>
  <c r="AN80" i="20"/>
  <c r="AM80" i="20"/>
  <c r="AL80" i="20"/>
  <c r="AK80" i="20"/>
  <c r="AJ80" i="20"/>
  <c r="AI80" i="20"/>
  <c r="AH80" i="20"/>
  <c r="AG80" i="20"/>
  <c r="AF80" i="20"/>
  <c r="AE80" i="20"/>
  <c r="AD80" i="20"/>
  <c r="AC80" i="20"/>
  <c r="AB80" i="20"/>
  <c r="X80" i="20"/>
  <c r="W80" i="20"/>
  <c r="V80" i="20"/>
  <c r="U80" i="20"/>
  <c r="T80" i="20"/>
  <c r="S80" i="20"/>
  <c r="L80" i="20"/>
  <c r="K80" i="20"/>
  <c r="I80" i="20"/>
  <c r="H80" i="20"/>
  <c r="G80" i="20"/>
  <c r="F80" i="20"/>
  <c r="E80" i="20"/>
  <c r="C80" i="20"/>
  <c r="AW79" i="20"/>
  <c r="AV79" i="20"/>
  <c r="AT79" i="20"/>
  <c r="AS79" i="20"/>
  <c r="AR79" i="20"/>
  <c r="AQ79" i="20"/>
  <c r="AP79" i="20"/>
  <c r="AO79" i="20"/>
  <c r="AN79" i="20"/>
  <c r="AM79" i="20"/>
  <c r="AL79" i="20"/>
  <c r="AK79" i="20"/>
  <c r="AJ79" i="20"/>
  <c r="AI79" i="20"/>
  <c r="AH79" i="20"/>
  <c r="AG79" i="20"/>
  <c r="AF79" i="20"/>
  <c r="AE79" i="20"/>
  <c r="AD79" i="20"/>
  <c r="AC79" i="20"/>
  <c r="AB79" i="20"/>
  <c r="X79" i="20"/>
  <c r="W79" i="20"/>
  <c r="V79" i="20"/>
  <c r="U79" i="20"/>
  <c r="T79" i="20"/>
  <c r="S79" i="20"/>
  <c r="L79" i="20"/>
  <c r="K79" i="20"/>
  <c r="I79" i="20"/>
  <c r="H79" i="20"/>
  <c r="G79" i="20"/>
  <c r="F79" i="20"/>
  <c r="E79" i="20"/>
  <c r="C79" i="20"/>
  <c r="AW78" i="20"/>
  <c r="AV78" i="20"/>
  <c r="AT78" i="20"/>
  <c r="AS78" i="20"/>
  <c r="AR78" i="20"/>
  <c r="AQ78" i="20"/>
  <c r="AP78" i="20"/>
  <c r="AO78" i="20"/>
  <c r="AN78" i="20"/>
  <c r="AM78" i="20"/>
  <c r="AL78" i="20"/>
  <c r="AK78" i="20"/>
  <c r="AJ78" i="20"/>
  <c r="AI78" i="20"/>
  <c r="AH78" i="20"/>
  <c r="AG78" i="20"/>
  <c r="AF78" i="20"/>
  <c r="AE78" i="20"/>
  <c r="AD78" i="20"/>
  <c r="AC78" i="20"/>
  <c r="AB78" i="20"/>
  <c r="X78" i="20"/>
  <c r="W78" i="20"/>
  <c r="V78" i="20"/>
  <c r="U78" i="20"/>
  <c r="T78" i="20"/>
  <c r="S78" i="20"/>
  <c r="L78" i="20"/>
  <c r="K78" i="20"/>
  <c r="I78" i="20"/>
  <c r="H78" i="20"/>
  <c r="G78" i="20"/>
  <c r="F78" i="20"/>
  <c r="E78" i="20"/>
  <c r="C78" i="20"/>
  <c r="AW77" i="20"/>
  <c r="AV77" i="20"/>
  <c r="AT77" i="20"/>
  <c r="AS77" i="20"/>
  <c r="AR77" i="20"/>
  <c r="AQ77" i="20"/>
  <c r="AP77" i="20"/>
  <c r="AO77" i="20"/>
  <c r="AN77" i="20"/>
  <c r="AM77" i="20"/>
  <c r="AL77" i="20"/>
  <c r="AK77" i="20"/>
  <c r="AJ77" i="20"/>
  <c r="AI77" i="20"/>
  <c r="AH77" i="20"/>
  <c r="AG77" i="20"/>
  <c r="AF77" i="20"/>
  <c r="AE77" i="20"/>
  <c r="AD77" i="20"/>
  <c r="AC77" i="20"/>
  <c r="AB77" i="20"/>
  <c r="X77" i="20"/>
  <c r="W77" i="20"/>
  <c r="V77" i="20"/>
  <c r="U77" i="20"/>
  <c r="T77" i="20"/>
  <c r="S77" i="20"/>
  <c r="L77" i="20"/>
  <c r="K77" i="20"/>
  <c r="I77" i="20"/>
  <c r="H77" i="20"/>
  <c r="G77" i="20"/>
  <c r="F77" i="20"/>
  <c r="E77" i="20"/>
  <c r="C77" i="20"/>
  <c r="AW76" i="20"/>
  <c r="AV76" i="20"/>
  <c r="AT76" i="20"/>
  <c r="AS76" i="20"/>
  <c r="AR76" i="20"/>
  <c r="AQ76" i="20"/>
  <c r="AP76" i="20"/>
  <c r="AO76" i="20"/>
  <c r="AN76" i="20"/>
  <c r="AM76" i="20"/>
  <c r="AL76" i="20"/>
  <c r="AK76" i="20"/>
  <c r="AJ76" i="20"/>
  <c r="AI76" i="20"/>
  <c r="AH76" i="20"/>
  <c r="AG76" i="20"/>
  <c r="AF76" i="20"/>
  <c r="AE76" i="20"/>
  <c r="AD76" i="20"/>
  <c r="AC76" i="20"/>
  <c r="AB76" i="20"/>
  <c r="X76" i="20"/>
  <c r="W76" i="20"/>
  <c r="V76" i="20"/>
  <c r="U76" i="20"/>
  <c r="T76" i="20"/>
  <c r="S76" i="20"/>
  <c r="L76" i="20"/>
  <c r="K76" i="20"/>
  <c r="I76" i="20"/>
  <c r="H76" i="20"/>
  <c r="G76" i="20"/>
  <c r="F76" i="20"/>
  <c r="E76" i="20"/>
  <c r="C76" i="20"/>
  <c r="AW75" i="20"/>
  <c r="AV75" i="20"/>
  <c r="AT75" i="20"/>
  <c r="AS75" i="20"/>
  <c r="AR75" i="20"/>
  <c r="AQ75" i="20"/>
  <c r="AP75" i="20"/>
  <c r="AO75" i="20"/>
  <c r="AN75" i="20"/>
  <c r="AM75" i="20"/>
  <c r="AL75" i="20"/>
  <c r="AK75" i="20"/>
  <c r="AJ75" i="20"/>
  <c r="AI75" i="20"/>
  <c r="AH75" i="20"/>
  <c r="AG75" i="20"/>
  <c r="AF75" i="20"/>
  <c r="AE75" i="20"/>
  <c r="AD75" i="20"/>
  <c r="AC75" i="20"/>
  <c r="AB75" i="20"/>
  <c r="X75" i="20"/>
  <c r="W75" i="20"/>
  <c r="V75" i="20"/>
  <c r="U75" i="20"/>
  <c r="T75" i="20"/>
  <c r="S75" i="20"/>
  <c r="L75" i="20"/>
  <c r="K75" i="20"/>
  <c r="I75" i="20"/>
  <c r="H75" i="20"/>
  <c r="G75" i="20"/>
  <c r="F75" i="20"/>
  <c r="E75" i="20"/>
  <c r="C75" i="20"/>
  <c r="AW74" i="20"/>
  <c r="AV74" i="20"/>
  <c r="AT74" i="20"/>
  <c r="AS74" i="20"/>
  <c r="AR74" i="20"/>
  <c r="AQ74" i="20"/>
  <c r="AP74" i="20"/>
  <c r="AO74" i="20"/>
  <c r="AN74" i="20"/>
  <c r="AM74" i="20"/>
  <c r="AL74" i="20"/>
  <c r="AK74" i="20"/>
  <c r="AJ74" i="20"/>
  <c r="AI74" i="20"/>
  <c r="AH74" i="20"/>
  <c r="AG74" i="20"/>
  <c r="AF74" i="20"/>
  <c r="AE74" i="20"/>
  <c r="AD74" i="20"/>
  <c r="AC74" i="20"/>
  <c r="AB74" i="20"/>
  <c r="X74" i="20"/>
  <c r="W74" i="20"/>
  <c r="V74" i="20"/>
  <c r="U74" i="20"/>
  <c r="T74" i="20"/>
  <c r="S74" i="20"/>
  <c r="L74" i="20"/>
  <c r="K74" i="20"/>
  <c r="I74" i="20"/>
  <c r="H74" i="20"/>
  <c r="G74" i="20"/>
  <c r="F74" i="20"/>
  <c r="E74" i="20"/>
  <c r="C74" i="20"/>
  <c r="AW73" i="20"/>
  <c r="AV73" i="20"/>
  <c r="AT73" i="20"/>
  <c r="AS73" i="20"/>
  <c r="AR73" i="20"/>
  <c r="AQ73" i="20"/>
  <c r="AP73" i="20"/>
  <c r="AO73" i="20"/>
  <c r="AN73" i="20"/>
  <c r="AM73" i="20"/>
  <c r="AL73" i="20"/>
  <c r="AK73" i="20"/>
  <c r="AJ73" i="20"/>
  <c r="AI73" i="20"/>
  <c r="AH73" i="20"/>
  <c r="AG73" i="20"/>
  <c r="AF73" i="20"/>
  <c r="AE73" i="20"/>
  <c r="AD73" i="20"/>
  <c r="AC73" i="20"/>
  <c r="AB73" i="20"/>
  <c r="X73" i="20"/>
  <c r="W73" i="20"/>
  <c r="V73" i="20"/>
  <c r="U73" i="20"/>
  <c r="T73" i="20"/>
  <c r="S73" i="20"/>
  <c r="L73" i="20"/>
  <c r="K73" i="20"/>
  <c r="I73" i="20"/>
  <c r="H73" i="20"/>
  <c r="G73" i="20"/>
  <c r="F73" i="20"/>
  <c r="E73" i="20"/>
  <c r="C73" i="20"/>
  <c r="AW72" i="20"/>
  <c r="AV72" i="20"/>
  <c r="AT72" i="20"/>
  <c r="AS72" i="20"/>
  <c r="AR72" i="20"/>
  <c r="AQ72" i="20"/>
  <c r="AP72" i="20"/>
  <c r="AO72" i="20"/>
  <c r="AN72" i="20"/>
  <c r="AM72" i="20"/>
  <c r="AL72" i="20"/>
  <c r="AK72" i="20"/>
  <c r="AJ72" i="20"/>
  <c r="AI72" i="20"/>
  <c r="AH72" i="20"/>
  <c r="AG72" i="20"/>
  <c r="AF72" i="20"/>
  <c r="AE72" i="20"/>
  <c r="AD72" i="20"/>
  <c r="AC72" i="20"/>
  <c r="AB72" i="20"/>
  <c r="X72" i="20"/>
  <c r="W72" i="20"/>
  <c r="V72" i="20"/>
  <c r="U72" i="20"/>
  <c r="T72" i="20"/>
  <c r="S72" i="20"/>
  <c r="L72" i="20"/>
  <c r="K72" i="20"/>
  <c r="I72" i="20"/>
  <c r="H72" i="20"/>
  <c r="G72" i="20"/>
  <c r="F72" i="20"/>
  <c r="E72" i="20"/>
  <c r="C72" i="20"/>
  <c r="AW71" i="20"/>
  <c r="AV71" i="20"/>
  <c r="AT71" i="20"/>
  <c r="AS71" i="20"/>
  <c r="AR71" i="20"/>
  <c r="AQ71" i="20"/>
  <c r="AP71" i="20"/>
  <c r="AO71" i="20"/>
  <c r="AN71" i="20"/>
  <c r="AM71" i="20"/>
  <c r="AL71" i="20"/>
  <c r="AK71" i="20"/>
  <c r="AJ71" i="20"/>
  <c r="AI71" i="20"/>
  <c r="AH71" i="20"/>
  <c r="AG71" i="20"/>
  <c r="AF71" i="20"/>
  <c r="AE71" i="20"/>
  <c r="AD71" i="20"/>
  <c r="AC71" i="20"/>
  <c r="AB71" i="20"/>
  <c r="X71" i="20"/>
  <c r="W71" i="20"/>
  <c r="V71" i="20"/>
  <c r="U71" i="20"/>
  <c r="T71" i="20"/>
  <c r="S71" i="20"/>
  <c r="L71" i="20"/>
  <c r="K71" i="20"/>
  <c r="I71" i="20"/>
  <c r="H71" i="20"/>
  <c r="G71" i="20"/>
  <c r="F71" i="20"/>
  <c r="E71" i="20"/>
  <c r="C71" i="20"/>
  <c r="AW70" i="20"/>
  <c r="AV70" i="20"/>
  <c r="AT70" i="20"/>
  <c r="AS70" i="20"/>
  <c r="AR70" i="20"/>
  <c r="AQ70" i="20"/>
  <c r="AP70" i="20"/>
  <c r="AO70" i="20"/>
  <c r="AN70" i="20"/>
  <c r="AM70" i="20"/>
  <c r="AL70" i="20"/>
  <c r="AK70" i="20"/>
  <c r="AJ70" i="20"/>
  <c r="AI70" i="20"/>
  <c r="AH70" i="20"/>
  <c r="AG70" i="20"/>
  <c r="AF70" i="20"/>
  <c r="AE70" i="20"/>
  <c r="AD70" i="20"/>
  <c r="AC70" i="20"/>
  <c r="AB70" i="20"/>
  <c r="X70" i="20"/>
  <c r="W70" i="20"/>
  <c r="V70" i="20"/>
  <c r="U70" i="20"/>
  <c r="T70" i="20"/>
  <c r="S70" i="20"/>
  <c r="L70" i="20"/>
  <c r="K70" i="20"/>
  <c r="I70" i="20"/>
  <c r="H70" i="20"/>
  <c r="G70" i="20"/>
  <c r="F70" i="20"/>
  <c r="E70" i="20"/>
  <c r="C70" i="20"/>
  <c r="AW69" i="20"/>
  <c r="AV69" i="20"/>
  <c r="AT69" i="20"/>
  <c r="AS69" i="20"/>
  <c r="AR69" i="20"/>
  <c r="AQ69" i="20"/>
  <c r="AP69" i="20"/>
  <c r="AO69" i="20"/>
  <c r="AN69" i="20"/>
  <c r="AM69" i="20"/>
  <c r="AL69" i="20"/>
  <c r="AK69" i="20"/>
  <c r="AJ69" i="20"/>
  <c r="AI69" i="20"/>
  <c r="AH69" i="20"/>
  <c r="AG69" i="20"/>
  <c r="AF69" i="20"/>
  <c r="AE69" i="20"/>
  <c r="AD69" i="20"/>
  <c r="AC69" i="20"/>
  <c r="AB69" i="20"/>
  <c r="X69" i="20"/>
  <c r="W69" i="20"/>
  <c r="V69" i="20"/>
  <c r="U69" i="20"/>
  <c r="T69" i="20"/>
  <c r="S69" i="20"/>
  <c r="L69" i="20"/>
  <c r="K69" i="20"/>
  <c r="I69" i="20"/>
  <c r="H69" i="20"/>
  <c r="G69" i="20"/>
  <c r="F69" i="20"/>
  <c r="E69" i="20"/>
  <c r="C69" i="20"/>
  <c r="AW68" i="20"/>
  <c r="AV68" i="20"/>
  <c r="AT68" i="20"/>
  <c r="AS68" i="20"/>
  <c r="AR68" i="20"/>
  <c r="AQ68" i="20"/>
  <c r="AP68" i="20"/>
  <c r="AO68" i="20"/>
  <c r="AN68" i="20"/>
  <c r="AM68" i="20"/>
  <c r="AL68" i="20"/>
  <c r="AK68" i="20"/>
  <c r="AJ68" i="20"/>
  <c r="AI68" i="20"/>
  <c r="AH68" i="20"/>
  <c r="AG68" i="20"/>
  <c r="AF68" i="20"/>
  <c r="AE68" i="20"/>
  <c r="AD68" i="20"/>
  <c r="AC68" i="20"/>
  <c r="AB68" i="20"/>
  <c r="X68" i="20"/>
  <c r="W68" i="20"/>
  <c r="V68" i="20"/>
  <c r="U68" i="20"/>
  <c r="T68" i="20"/>
  <c r="S68" i="20"/>
  <c r="L68" i="20"/>
  <c r="K68" i="20"/>
  <c r="I68" i="20"/>
  <c r="H68" i="20"/>
  <c r="G68" i="20"/>
  <c r="F68" i="20"/>
  <c r="E68" i="20"/>
  <c r="C68" i="20"/>
  <c r="AW67" i="20"/>
  <c r="AV67" i="20"/>
  <c r="AT67" i="20"/>
  <c r="AS67" i="20"/>
  <c r="AR67" i="20"/>
  <c r="AQ67" i="20"/>
  <c r="AP67" i="20"/>
  <c r="AO67" i="20"/>
  <c r="AN67" i="20"/>
  <c r="AM67" i="20"/>
  <c r="AL67" i="20"/>
  <c r="AK67" i="20"/>
  <c r="AJ67" i="20"/>
  <c r="AI67" i="20"/>
  <c r="AH67" i="20"/>
  <c r="AG67" i="20"/>
  <c r="AF67" i="20"/>
  <c r="AE67" i="20"/>
  <c r="AD67" i="20"/>
  <c r="AC67" i="20"/>
  <c r="AB67" i="20"/>
  <c r="X67" i="20"/>
  <c r="W67" i="20"/>
  <c r="V67" i="20"/>
  <c r="U67" i="20"/>
  <c r="T67" i="20"/>
  <c r="S67" i="20"/>
  <c r="L67" i="20"/>
  <c r="K67" i="20"/>
  <c r="I67" i="20"/>
  <c r="H67" i="20"/>
  <c r="G67" i="20"/>
  <c r="F67" i="20"/>
  <c r="E67" i="20"/>
  <c r="C67" i="20"/>
  <c r="AW66" i="20"/>
  <c r="AV66" i="20"/>
  <c r="AT66" i="20"/>
  <c r="AS66" i="20"/>
  <c r="AR66" i="20"/>
  <c r="AQ66" i="20"/>
  <c r="AP66" i="20"/>
  <c r="AO66" i="20"/>
  <c r="AN66" i="20"/>
  <c r="AM66" i="20"/>
  <c r="AL66" i="20"/>
  <c r="AK66" i="20"/>
  <c r="AJ66" i="20"/>
  <c r="AI66" i="20"/>
  <c r="AH66" i="20"/>
  <c r="AG66" i="20"/>
  <c r="AF66" i="20"/>
  <c r="AE66" i="20"/>
  <c r="AD66" i="20"/>
  <c r="AC66" i="20"/>
  <c r="AB66" i="20"/>
  <c r="X66" i="20"/>
  <c r="W66" i="20"/>
  <c r="V66" i="20"/>
  <c r="U66" i="20"/>
  <c r="T66" i="20"/>
  <c r="S66" i="20"/>
  <c r="L66" i="20"/>
  <c r="K66" i="20"/>
  <c r="I66" i="20"/>
  <c r="H66" i="20"/>
  <c r="G66" i="20"/>
  <c r="F66" i="20"/>
  <c r="E66" i="20"/>
  <c r="C66" i="20"/>
  <c r="AW65" i="20"/>
  <c r="AV65" i="20"/>
  <c r="AT65" i="20"/>
  <c r="AS65" i="20"/>
  <c r="AR65" i="20"/>
  <c r="AQ65" i="20"/>
  <c r="AP65" i="20"/>
  <c r="AO65" i="20"/>
  <c r="AN65" i="20"/>
  <c r="AM65" i="20"/>
  <c r="AL65" i="20"/>
  <c r="AK65" i="20"/>
  <c r="AJ65" i="20"/>
  <c r="AI65" i="20"/>
  <c r="AH65" i="20"/>
  <c r="AG65" i="20"/>
  <c r="AF65" i="20"/>
  <c r="AE65" i="20"/>
  <c r="AD65" i="20"/>
  <c r="AC65" i="20"/>
  <c r="AB65" i="20"/>
  <c r="X65" i="20"/>
  <c r="W65" i="20"/>
  <c r="V65" i="20"/>
  <c r="U65" i="20"/>
  <c r="T65" i="20"/>
  <c r="S65" i="20"/>
  <c r="L65" i="20"/>
  <c r="K65" i="20"/>
  <c r="I65" i="20"/>
  <c r="H65" i="20"/>
  <c r="G65" i="20"/>
  <c r="F65" i="20"/>
  <c r="E65" i="20"/>
  <c r="C65" i="20"/>
  <c r="AW64" i="20"/>
  <c r="AV64" i="20"/>
  <c r="AT64" i="20"/>
  <c r="AS64" i="20"/>
  <c r="AR64" i="20"/>
  <c r="AQ64" i="20"/>
  <c r="AP64" i="20"/>
  <c r="AO64" i="20"/>
  <c r="AN64" i="20"/>
  <c r="AM64" i="20"/>
  <c r="AL64" i="20"/>
  <c r="AK64" i="20"/>
  <c r="AJ64" i="20"/>
  <c r="AI64" i="20"/>
  <c r="AH64" i="20"/>
  <c r="AG64" i="20"/>
  <c r="AF64" i="20"/>
  <c r="AE64" i="20"/>
  <c r="AD64" i="20"/>
  <c r="AC64" i="20"/>
  <c r="AB64" i="20"/>
  <c r="X64" i="20"/>
  <c r="W64" i="20"/>
  <c r="V64" i="20"/>
  <c r="U64" i="20"/>
  <c r="T64" i="20"/>
  <c r="S64" i="20"/>
  <c r="L64" i="20"/>
  <c r="K64" i="20"/>
  <c r="I64" i="20"/>
  <c r="H64" i="20"/>
  <c r="G64" i="20"/>
  <c r="F64" i="20"/>
  <c r="E64" i="20"/>
  <c r="C64" i="20"/>
  <c r="AW63" i="20"/>
  <c r="AV63" i="20"/>
  <c r="AT63" i="20"/>
  <c r="AS63" i="20"/>
  <c r="AR63" i="20"/>
  <c r="AQ63" i="20"/>
  <c r="AP63" i="20"/>
  <c r="AO63" i="20"/>
  <c r="AN63" i="20"/>
  <c r="AM63" i="20"/>
  <c r="AL63" i="20"/>
  <c r="AK63" i="20"/>
  <c r="AJ63" i="20"/>
  <c r="AI63" i="20"/>
  <c r="AH63" i="20"/>
  <c r="AG63" i="20"/>
  <c r="AF63" i="20"/>
  <c r="AE63" i="20"/>
  <c r="AD63" i="20"/>
  <c r="AC63" i="20"/>
  <c r="AB63" i="20"/>
  <c r="X63" i="20"/>
  <c r="W63" i="20"/>
  <c r="V63" i="20"/>
  <c r="U63" i="20"/>
  <c r="T63" i="20"/>
  <c r="S63" i="20"/>
  <c r="L63" i="20"/>
  <c r="K63" i="20"/>
  <c r="I63" i="20"/>
  <c r="H63" i="20"/>
  <c r="G63" i="20"/>
  <c r="F63" i="20"/>
  <c r="E63" i="20"/>
  <c r="C63" i="20"/>
  <c r="AW62" i="20"/>
  <c r="AV62" i="20"/>
  <c r="AT62" i="20"/>
  <c r="AS62" i="20"/>
  <c r="AR62" i="20"/>
  <c r="AQ62" i="20"/>
  <c r="AP62" i="20"/>
  <c r="AO62" i="20"/>
  <c r="AN62" i="20"/>
  <c r="AM62" i="20"/>
  <c r="AL62" i="20"/>
  <c r="AK62" i="20"/>
  <c r="AJ62" i="20"/>
  <c r="AI62" i="20"/>
  <c r="AH62" i="20"/>
  <c r="AG62" i="20"/>
  <c r="AF62" i="20"/>
  <c r="AE62" i="20"/>
  <c r="AD62" i="20"/>
  <c r="AC62" i="20"/>
  <c r="AB62" i="20"/>
  <c r="X62" i="20"/>
  <c r="W62" i="20"/>
  <c r="V62" i="20"/>
  <c r="U62" i="20"/>
  <c r="T62" i="20"/>
  <c r="S62" i="20"/>
  <c r="L62" i="20"/>
  <c r="K62" i="20"/>
  <c r="I62" i="20"/>
  <c r="H62" i="20"/>
  <c r="G62" i="20"/>
  <c r="F62" i="20"/>
  <c r="E62" i="20"/>
  <c r="C62" i="20"/>
  <c r="AW61" i="20"/>
  <c r="AV61" i="20"/>
  <c r="AT61" i="20"/>
  <c r="AS61" i="20"/>
  <c r="AR61" i="20"/>
  <c r="AQ61" i="20"/>
  <c r="AP61" i="20"/>
  <c r="AO61" i="20"/>
  <c r="AN61" i="20"/>
  <c r="AM61" i="20"/>
  <c r="AL61" i="20"/>
  <c r="AK61" i="20"/>
  <c r="AJ61" i="20"/>
  <c r="AI61" i="20"/>
  <c r="AH61" i="20"/>
  <c r="AG61" i="20"/>
  <c r="AF61" i="20"/>
  <c r="AE61" i="20"/>
  <c r="AD61" i="20"/>
  <c r="AC61" i="20"/>
  <c r="AB61" i="20"/>
  <c r="X61" i="20"/>
  <c r="W61" i="20"/>
  <c r="V61" i="20"/>
  <c r="U61" i="20"/>
  <c r="T61" i="20"/>
  <c r="S61" i="20"/>
  <c r="L61" i="20"/>
  <c r="K61" i="20"/>
  <c r="I61" i="20"/>
  <c r="H61" i="20"/>
  <c r="G61" i="20"/>
  <c r="F61" i="20"/>
  <c r="E61" i="20"/>
  <c r="C61" i="20"/>
  <c r="AW60" i="20"/>
  <c r="AV60" i="20"/>
  <c r="AT60" i="20"/>
  <c r="AS60" i="20"/>
  <c r="AR60" i="20"/>
  <c r="AQ60" i="20"/>
  <c r="AP60" i="20"/>
  <c r="AO60" i="20"/>
  <c r="AN60" i="20"/>
  <c r="AM60" i="20"/>
  <c r="AL60" i="20"/>
  <c r="AK60" i="20"/>
  <c r="AJ60" i="20"/>
  <c r="AI60" i="20"/>
  <c r="AH60" i="20"/>
  <c r="AG60" i="20"/>
  <c r="AF60" i="20"/>
  <c r="AE60" i="20"/>
  <c r="AD60" i="20"/>
  <c r="AC60" i="20"/>
  <c r="AB60" i="20"/>
  <c r="X60" i="20"/>
  <c r="W60" i="20"/>
  <c r="V60" i="20"/>
  <c r="U60" i="20"/>
  <c r="T60" i="20"/>
  <c r="S60" i="20"/>
  <c r="L60" i="20"/>
  <c r="K60" i="20"/>
  <c r="I60" i="20"/>
  <c r="H60" i="20"/>
  <c r="G60" i="20"/>
  <c r="F60" i="20"/>
  <c r="E60" i="20"/>
  <c r="C60" i="20"/>
  <c r="AW59" i="20"/>
  <c r="AV59" i="20"/>
  <c r="AT59" i="20"/>
  <c r="AS59" i="20"/>
  <c r="AR59" i="20"/>
  <c r="AQ59" i="20"/>
  <c r="AP59" i="20"/>
  <c r="AO59" i="20"/>
  <c r="AN59" i="20"/>
  <c r="AM59" i="20"/>
  <c r="AL59" i="20"/>
  <c r="AK59" i="20"/>
  <c r="AJ59" i="20"/>
  <c r="AI59" i="20"/>
  <c r="AH59" i="20"/>
  <c r="AG59" i="20"/>
  <c r="AF59" i="20"/>
  <c r="AE59" i="20"/>
  <c r="AD59" i="20"/>
  <c r="AC59" i="20"/>
  <c r="AB59" i="20"/>
  <c r="Y59" i="20"/>
  <c r="X59" i="20"/>
  <c r="W59" i="20"/>
  <c r="V59" i="20"/>
  <c r="U59" i="20"/>
  <c r="T59" i="20"/>
  <c r="S59" i="20"/>
  <c r="Q59" i="20"/>
  <c r="L59" i="20"/>
  <c r="K59" i="20"/>
  <c r="I59" i="20"/>
  <c r="H59" i="20"/>
  <c r="G59" i="20"/>
  <c r="F59" i="20"/>
  <c r="E59" i="20"/>
  <c r="C59" i="20"/>
  <c r="AW58" i="20"/>
  <c r="AV58" i="20"/>
  <c r="AT58" i="20"/>
  <c r="AS58" i="20"/>
  <c r="AR58" i="20"/>
  <c r="AQ58" i="20"/>
  <c r="AP58" i="20"/>
  <c r="AO58" i="20"/>
  <c r="AN58" i="20"/>
  <c r="AM58" i="20"/>
  <c r="AL58" i="20"/>
  <c r="AK58" i="20"/>
  <c r="AJ58" i="20"/>
  <c r="AI58" i="20"/>
  <c r="AH58" i="20"/>
  <c r="AG58" i="20"/>
  <c r="AF58" i="20"/>
  <c r="AE58" i="20"/>
  <c r="AD58" i="20"/>
  <c r="AC58" i="20"/>
  <c r="AB58" i="20"/>
  <c r="X58" i="20"/>
  <c r="W58" i="20"/>
  <c r="V58" i="20"/>
  <c r="U58" i="20"/>
  <c r="T58" i="20"/>
  <c r="S58" i="20"/>
  <c r="L58" i="20"/>
  <c r="K58" i="20"/>
  <c r="I58" i="20"/>
  <c r="H58" i="20"/>
  <c r="G58" i="20"/>
  <c r="F58" i="20"/>
  <c r="E58" i="20"/>
  <c r="C58" i="20"/>
  <c r="AW57" i="20"/>
  <c r="AV57" i="20"/>
  <c r="AT57" i="20"/>
  <c r="AS57" i="20"/>
  <c r="AR57" i="20"/>
  <c r="AQ57" i="20"/>
  <c r="AP57" i="20"/>
  <c r="AO57" i="20"/>
  <c r="AN57" i="20"/>
  <c r="AM57" i="20"/>
  <c r="AL57" i="20"/>
  <c r="AK57" i="20"/>
  <c r="AJ57" i="20"/>
  <c r="AI57" i="20"/>
  <c r="AH57" i="20"/>
  <c r="AG57" i="20"/>
  <c r="AF57" i="20"/>
  <c r="AE57" i="20"/>
  <c r="AD57" i="20"/>
  <c r="AC57" i="20"/>
  <c r="AB57" i="20"/>
  <c r="X57" i="20"/>
  <c r="W57" i="20"/>
  <c r="V57" i="20"/>
  <c r="U57" i="20"/>
  <c r="T57" i="20"/>
  <c r="S57" i="20"/>
  <c r="L57" i="20"/>
  <c r="K57" i="20"/>
  <c r="I57" i="20"/>
  <c r="H57" i="20"/>
  <c r="G57" i="20"/>
  <c r="F57" i="20"/>
  <c r="E57" i="20"/>
  <c r="C57" i="20"/>
  <c r="AW56" i="20"/>
  <c r="AV56" i="20"/>
  <c r="AT56" i="20"/>
  <c r="AS56" i="20"/>
  <c r="AR56" i="20"/>
  <c r="AQ56" i="20"/>
  <c r="AP56" i="20"/>
  <c r="AO56" i="20"/>
  <c r="AN56" i="20"/>
  <c r="AM56" i="20"/>
  <c r="AL56" i="20"/>
  <c r="AK56" i="20"/>
  <c r="AJ56" i="20"/>
  <c r="AI56" i="20"/>
  <c r="AH56" i="20"/>
  <c r="AG56" i="20"/>
  <c r="AF56" i="20"/>
  <c r="AE56" i="20"/>
  <c r="AD56" i="20"/>
  <c r="AC56" i="20"/>
  <c r="AB56" i="20"/>
  <c r="X56" i="20"/>
  <c r="W56" i="20"/>
  <c r="V56" i="20"/>
  <c r="U56" i="20"/>
  <c r="T56" i="20"/>
  <c r="S56" i="20"/>
  <c r="L56" i="20"/>
  <c r="K56" i="20"/>
  <c r="I56" i="20"/>
  <c r="H56" i="20"/>
  <c r="G56" i="20"/>
  <c r="F56" i="20"/>
  <c r="E56" i="20"/>
  <c r="C56" i="20"/>
  <c r="AW55" i="20"/>
  <c r="AV55" i="20"/>
  <c r="AT55" i="20"/>
  <c r="AS55" i="20"/>
  <c r="AR55" i="20"/>
  <c r="AQ55" i="20"/>
  <c r="AP55" i="20"/>
  <c r="AO55" i="20"/>
  <c r="AN55" i="20"/>
  <c r="AM55" i="20"/>
  <c r="AL55" i="20"/>
  <c r="AK55" i="20"/>
  <c r="AJ55" i="20"/>
  <c r="AI55" i="20"/>
  <c r="AH55" i="20"/>
  <c r="AG55" i="20"/>
  <c r="AF55" i="20"/>
  <c r="AE55" i="20"/>
  <c r="AD55" i="20"/>
  <c r="AC55" i="20"/>
  <c r="AB55" i="20"/>
  <c r="X55" i="20"/>
  <c r="W55" i="20"/>
  <c r="V55" i="20"/>
  <c r="U55" i="20"/>
  <c r="T55" i="20"/>
  <c r="S55" i="20"/>
  <c r="L55" i="20"/>
  <c r="K55" i="20"/>
  <c r="I55" i="20"/>
  <c r="H55" i="20"/>
  <c r="G55" i="20"/>
  <c r="F55" i="20"/>
  <c r="E55" i="20"/>
  <c r="C55" i="20"/>
  <c r="AW54" i="20"/>
  <c r="AV54" i="20"/>
  <c r="AT54" i="20"/>
  <c r="AS54" i="20"/>
  <c r="AR54" i="20"/>
  <c r="AQ54" i="20"/>
  <c r="AP54" i="20"/>
  <c r="AO54" i="20"/>
  <c r="AN54" i="20"/>
  <c r="AM54" i="20"/>
  <c r="AL54" i="20"/>
  <c r="AK54" i="20"/>
  <c r="AJ54" i="20"/>
  <c r="AI54" i="20"/>
  <c r="AH54" i="20"/>
  <c r="AG54" i="20"/>
  <c r="AF54" i="20"/>
  <c r="AE54" i="20"/>
  <c r="AD54" i="20"/>
  <c r="AC54" i="20"/>
  <c r="AB54" i="20"/>
  <c r="X54" i="20"/>
  <c r="W54" i="20"/>
  <c r="V54" i="20"/>
  <c r="U54" i="20"/>
  <c r="T54" i="20"/>
  <c r="S54" i="20"/>
  <c r="L54" i="20"/>
  <c r="K54" i="20"/>
  <c r="I54" i="20"/>
  <c r="H54" i="20"/>
  <c r="G54" i="20"/>
  <c r="F54" i="20"/>
  <c r="E54" i="20"/>
  <c r="C54" i="20"/>
  <c r="AW53" i="20"/>
  <c r="AV53" i="20"/>
  <c r="AT53" i="20"/>
  <c r="AS53" i="20"/>
  <c r="AR53" i="20"/>
  <c r="AQ53" i="20"/>
  <c r="AP53" i="20"/>
  <c r="AO53" i="20"/>
  <c r="AN53" i="20"/>
  <c r="AM53" i="20"/>
  <c r="AL53" i="20"/>
  <c r="AK53" i="20"/>
  <c r="AJ53" i="20"/>
  <c r="AI53" i="20"/>
  <c r="AH53" i="20"/>
  <c r="AG53" i="20"/>
  <c r="AF53" i="20"/>
  <c r="AE53" i="20"/>
  <c r="AD53" i="20"/>
  <c r="AC53" i="20"/>
  <c r="AB53" i="20"/>
  <c r="X53" i="20"/>
  <c r="W53" i="20"/>
  <c r="V53" i="20"/>
  <c r="U53" i="20"/>
  <c r="T53" i="20"/>
  <c r="S53" i="20"/>
  <c r="L53" i="20"/>
  <c r="K53" i="20"/>
  <c r="I53" i="20"/>
  <c r="H53" i="20"/>
  <c r="G53" i="20"/>
  <c r="F53" i="20"/>
  <c r="E53" i="20"/>
  <c r="C53" i="20"/>
  <c r="AW52" i="20"/>
  <c r="AV52" i="20"/>
  <c r="AT52" i="20"/>
  <c r="AS52" i="20"/>
  <c r="AR52" i="20"/>
  <c r="AQ52" i="20"/>
  <c r="AP52" i="20"/>
  <c r="AO52" i="20"/>
  <c r="AN52" i="20"/>
  <c r="AM52" i="20"/>
  <c r="AL52" i="20"/>
  <c r="AK52" i="20"/>
  <c r="AJ52" i="20"/>
  <c r="AI52" i="20"/>
  <c r="AH52" i="20"/>
  <c r="AG52" i="20"/>
  <c r="AF52" i="20"/>
  <c r="AE52" i="20"/>
  <c r="AD52" i="20"/>
  <c r="AC52" i="20"/>
  <c r="AB52" i="20"/>
  <c r="X52" i="20"/>
  <c r="W52" i="20"/>
  <c r="V52" i="20"/>
  <c r="U52" i="20"/>
  <c r="T52" i="20"/>
  <c r="S52" i="20"/>
  <c r="L52" i="20"/>
  <c r="BD52" i="20"/>
  <c r="K52" i="20"/>
  <c r="I52" i="20"/>
  <c r="H52" i="20"/>
  <c r="G52" i="20"/>
  <c r="F52" i="20"/>
  <c r="E52" i="20"/>
  <c r="C52" i="20"/>
  <c r="BB51" i="20"/>
  <c r="AW51" i="20"/>
  <c r="AV51" i="20"/>
  <c r="AT51" i="20"/>
  <c r="AS51" i="20"/>
  <c r="AR51" i="20"/>
  <c r="AQ51" i="20"/>
  <c r="AP51" i="20"/>
  <c r="AO51" i="20"/>
  <c r="AN51" i="20"/>
  <c r="AM51" i="20"/>
  <c r="AL51" i="20"/>
  <c r="AK51" i="20"/>
  <c r="AJ51" i="20"/>
  <c r="AI51" i="20"/>
  <c r="AH51" i="20"/>
  <c r="AG51" i="20"/>
  <c r="AF51" i="20"/>
  <c r="AE51" i="20"/>
  <c r="AD51" i="20"/>
  <c r="AC51" i="20"/>
  <c r="AB51" i="20"/>
  <c r="Y51" i="20"/>
  <c r="X51" i="20"/>
  <c r="W51" i="20"/>
  <c r="V51" i="20"/>
  <c r="U51" i="20"/>
  <c r="T51" i="20"/>
  <c r="S51" i="20"/>
  <c r="Q51" i="20"/>
  <c r="L51" i="20"/>
  <c r="BD51" i="20"/>
  <c r="K51" i="20"/>
  <c r="I51" i="20"/>
  <c r="H51" i="20"/>
  <c r="G51" i="20"/>
  <c r="F51" i="20"/>
  <c r="E51" i="20"/>
  <c r="C51" i="20"/>
  <c r="AW50" i="20"/>
  <c r="AV50" i="20"/>
  <c r="AT50" i="20"/>
  <c r="AS50" i="20"/>
  <c r="AR50" i="20"/>
  <c r="AQ50" i="20"/>
  <c r="AP50" i="20"/>
  <c r="AO50" i="20"/>
  <c r="AN50" i="20"/>
  <c r="AM50" i="20"/>
  <c r="AL50" i="20"/>
  <c r="AK50" i="20"/>
  <c r="AJ50" i="20"/>
  <c r="AI50" i="20"/>
  <c r="AH50" i="20"/>
  <c r="AG50" i="20"/>
  <c r="AF50" i="20"/>
  <c r="AE50" i="20"/>
  <c r="AD50" i="20"/>
  <c r="AC50" i="20"/>
  <c r="AB50" i="20"/>
  <c r="X50" i="20"/>
  <c r="W50" i="20"/>
  <c r="V50" i="20"/>
  <c r="U50" i="20"/>
  <c r="T50" i="20"/>
  <c r="S50" i="20"/>
  <c r="L50" i="20"/>
  <c r="K50" i="20"/>
  <c r="I50" i="20"/>
  <c r="H50" i="20"/>
  <c r="G50" i="20"/>
  <c r="F50" i="20"/>
  <c r="E50" i="20"/>
  <c r="C50" i="20"/>
  <c r="AW49" i="20"/>
  <c r="AV49" i="20"/>
  <c r="AT49" i="20"/>
  <c r="AS49" i="20"/>
  <c r="AR49" i="20"/>
  <c r="AQ49" i="20"/>
  <c r="AP49" i="20"/>
  <c r="AO49" i="20"/>
  <c r="AN49" i="20"/>
  <c r="AM49" i="20"/>
  <c r="AL49" i="20"/>
  <c r="AK49" i="20"/>
  <c r="AJ49" i="20"/>
  <c r="AI49" i="20"/>
  <c r="AH49" i="20"/>
  <c r="AG49" i="20"/>
  <c r="AF49" i="20"/>
  <c r="AE49" i="20"/>
  <c r="AD49" i="20"/>
  <c r="AC49" i="20"/>
  <c r="AB49" i="20"/>
  <c r="X49" i="20"/>
  <c r="W49" i="20"/>
  <c r="V49" i="20"/>
  <c r="U49" i="20"/>
  <c r="T49" i="20"/>
  <c r="S49" i="20"/>
  <c r="L49" i="20"/>
  <c r="K49" i="20"/>
  <c r="I49" i="20"/>
  <c r="H49" i="20"/>
  <c r="G49" i="20"/>
  <c r="F49" i="20"/>
  <c r="E49" i="20"/>
  <c r="D49" i="20"/>
  <c r="C49" i="20"/>
  <c r="AW48" i="20"/>
  <c r="AV48" i="20"/>
  <c r="AT48" i="20"/>
  <c r="AS48" i="20"/>
  <c r="AR48" i="20"/>
  <c r="AQ48" i="20"/>
  <c r="AP48" i="20"/>
  <c r="AO48" i="20"/>
  <c r="AN48" i="20"/>
  <c r="AM48" i="20"/>
  <c r="AL48" i="20"/>
  <c r="AK48" i="20"/>
  <c r="AJ48" i="20"/>
  <c r="AI48" i="20"/>
  <c r="AH48" i="20"/>
  <c r="AG48" i="20"/>
  <c r="AF48" i="20"/>
  <c r="AE48" i="20"/>
  <c r="AD48" i="20"/>
  <c r="AC48" i="20"/>
  <c r="AB48" i="20"/>
  <c r="X48" i="20"/>
  <c r="W48" i="20"/>
  <c r="V48" i="20"/>
  <c r="U48" i="20"/>
  <c r="T48" i="20"/>
  <c r="S48" i="20"/>
  <c r="L48" i="20"/>
  <c r="K48" i="20"/>
  <c r="I48" i="20"/>
  <c r="H48" i="20"/>
  <c r="G48" i="20"/>
  <c r="F48" i="20"/>
  <c r="E48" i="20"/>
  <c r="C48" i="20"/>
  <c r="BA47" i="20"/>
  <c r="AZ47" i="20"/>
  <c r="AW47" i="20"/>
  <c r="AV47" i="20"/>
  <c r="AT47" i="20"/>
  <c r="AS47" i="20"/>
  <c r="AR47" i="20"/>
  <c r="AQ47" i="20"/>
  <c r="AP47" i="20"/>
  <c r="AO47" i="20"/>
  <c r="AN47" i="20"/>
  <c r="AM47" i="20"/>
  <c r="AL47" i="20"/>
  <c r="AK47" i="20"/>
  <c r="AJ47" i="20"/>
  <c r="AI47" i="20"/>
  <c r="AH47" i="20"/>
  <c r="AG47" i="20"/>
  <c r="AF47" i="20"/>
  <c r="AE47" i="20"/>
  <c r="AD47" i="20"/>
  <c r="AC47" i="20"/>
  <c r="AB47" i="20"/>
  <c r="X47" i="20"/>
  <c r="W47" i="20"/>
  <c r="V47" i="20"/>
  <c r="U47" i="20"/>
  <c r="T47" i="20"/>
  <c r="S47" i="20"/>
  <c r="L47" i="20"/>
  <c r="K47" i="20"/>
  <c r="J47" i="20"/>
  <c r="I47" i="20"/>
  <c r="H47" i="20"/>
  <c r="G47" i="20"/>
  <c r="F47" i="20"/>
  <c r="E47" i="20"/>
  <c r="C47" i="20"/>
  <c r="BD46" i="20"/>
  <c r="AW46" i="20"/>
  <c r="AV46" i="20"/>
  <c r="AT46" i="20"/>
  <c r="AS46" i="20"/>
  <c r="AR46" i="20"/>
  <c r="AQ46" i="20"/>
  <c r="AP46" i="20"/>
  <c r="AO46" i="20"/>
  <c r="AN46" i="20"/>
  <c r="AM46" i="20"/>
  <c r="AL46" i="20"/>
  <c r="AK46" i="20"/>
  <c r="AJ46" i="20"/>
  <c r="AI46" i="20"/>
  <c r="AH46" i="20"/>
  <c r="AG46" i="20"/>
  <c r="AF46" i="20"/>
  <c r="AE46" i="20"/>
  <c r="AD46" i="20"/>
  <c r="AC46" i="20"/>
  <c r="AB46" i="20"/>
  <c r="X46" i="20"/>
  <c r="W46" i="20"/>
  <c r="V46" i="20"/>
  <c r="U46" i="20"/>
  <c r="T46" i="20"/>
  <c r="S46" i="20"/>
  <c r="L46" i="20"/>
  <c r="K46" i="20"/>
  <c r="I46" i="20"/>
  <c r="H46" i="20"/>
  <c r="G46" i="20"/>
  <c r="F46" i="20"/>
  <c r="E46" i="20"/>
  <c r="C46" i="20"/>
  <c r="AW45" i="20"/>
  <c r="AV45" i="20"/>
  <c r="AT45" i="20"/>
  <c r="AS45" i="20"/>
  <c r="AR45" i="20"/>
  <c r="AQ45" i="20"/>
  <c r="AP45" i="20"/>
  <c r="AO45" i="20"/>
  <c r="AN45" i="20"/>
  <c r="AM45" i="20"/>
  <c r="AL45" i="20"/>
  <c r="AK45" i="20"/>
  <c r="AJ45" i="20"/>
  <c r="AI45" i="20"/>
  <c r="AH45" i="20"/>
  <c r="AG45" i="20"/>
  <c r="AF45" i="20"/>
  <c r="AE45" i="20"/>
  <c r="AD45" i="20"/>
  <c r="AC45" i="20"/>
  <c r="AB45" i="20"/>
  <c r="X45" i="20"/>
  <c r="W45" i="20"/>
  <c r="V45" i="20"/>
  <c r="U45" i="20"/>
  <c r="T45" i="20"/>
  <c r="S45" i="20"/>
  <c r="L45" i="20"/>
  <c r="K45" i="20"/>
  <c r="I45" i="20"/>
  <c r="H45" i="20"/>
  <c r="G45" i="20"/>
  <c r="F45" i="20"/>
  <c r="E45" i="20"/>
  <c r="C45" i="20"/>
  <c r="AW44" i="20"/>
  <c r="AV44" i="20"/>
  <c r="AT44" i="20"/>
  <c r="AS44" i="20"/>
  <c r="AR44" i="20"/>
  <c r="AQ44" i="20"/>
  <c r="AP44" i="20"/>
  <c r="AO44" i="20"/>
  <c r="AN44" i="20"/>
  <c r="AM44" i="20"/>
  <c r="AL44" i="20"/>
  <c r="AK44" i="20"/>
  <c r="AJ44" i="20"/>
  <c r="AI44" i="20"/>
  <c r="AH44" i="20"/>
  <c r="AG44" i="20"/>
  <c r="AF44" i="20"/>
  <c r="AE44" i="20"/>
  <c r="AD44" i="20"/>
  <c r="AC44" i="20"/>
  <c r="AB44" i="20"/>
  <c r="X44" i="20"/>
  <c r="W44" i="20"/>
  <c r="V44" i="20"/>
  <c r="U44" i="20"/>
  <c r="T44" i="20"/>
  <c r="S44" i="20"/>
  <c r="L44" i="20"/>
  <c r="K44" i="20"/>
  <c r="I44" i="20"/>
  <c r="H44" i="20"/>
  <c r="G44" i="20"/>
  <c r="F44" i="20"/>
  <c r="E44" i="20"/>
  <c r="C44" i="20"/>
  <c r="BA43" i="20"/>
  <c r="AW43" i="20"/>
  <c r="AV43" i="20"/>
  <c r="AT43" i="20"/>
  <c r="AS43" i="20"/>
  <c r="AR43" i="20"/>
  <c r="AQ43" i="20"/>
  <c r="AP43" i="20"/>
  <c r="AO43" i="20"/>
  <c r="AN43" i="20"/>
  <c r="AM43" i="20"/>
  <c r="AL43" i="20"/>
  <c r="AK43" i="20"/>
  <c r="AJ43" i="20"/>
  <c r="AI43" i="20"/>
  <c r="AH43" i="20"/>
  <c r="AG43" i="20"/>
  <c r="AF43" i="20"/>
  <c r="AE43" i="20"/>
  <c r="AD43" i="20"/>
  <c r="AC43" i="20"/>
  <c r="AB43" i="20"/>
  <c r="X43" i="20"/>
  <c r="W43" i="20"/>
  <c r="V43" i="20"/>
  <c r="U43" i="20"/>
  <c r="T43" i="20"/>
  <c r="S43" i="20"/>
  <c r="L43" i="20"/>
  <c r="K43" i="20"/>
  <c r="I43" i="20"/>
  <c r="H43" i="20"/>
  <c r="G43" i="20"/>
  <c r="F43" i="20"/>
  <c r="E43" i="20"/>
  <c r="C43" i="20"/>
  <c r="AW42" i="20"/>
  <c r="AV42" i="20"/>
  <c r="AT42" i="20"/>
  <c r="AS42" i="20"/>
  <c r="AR42" i="20"/>
  <c r="AQ42" i="20"/>
  <c r="AP42" i="20"/>
  <c r="AO42" i="20"/>
  <c r="AN42" i="20"/>
  <c r="AM42" i="20"/>
  <c r="AL42" i="20"/>
  <c r="AK42" i="20"/>
  <c r="AJ42" i="20"/>
  <c r="AI42" i="20"/>
  <c r="AH42" i="20"/>
  <c r="AG42" i="20"/>
  <c r="AF42" i="20"/>
  <c r="AE42" i="20"/>
  <c r="AD42" i="20"/>
  <c r="AC42" i="20"/>
  <c r="AB42" i="20"/>
  <c r="X42" i="20"/>
  <c r="W42" i="20"/>
  <c r="V42" i="20"/>
  <c r="U42" i="20"/>
  <c r="T42" i="20"/>
  <c r="S42" i="20"/>
  <c r="L42" i="20"/>
  <c r="K42" i="20"/>
  <c r="I42" i="20"/>
  <c r="H42" i="20"/>
  <c r="G42" i="20"/>
  <c r="F42" i="20"/>
  <c r="E42" i="20"/>
  <c r="C42" i="20"/>
  <c r="AW41" i="20"/>
  <c r="AV41" i="20"/>
  <c r="AT41" i="20"/>
  <c r="AS41" i="20"/>
  <c r="AR41" i="20"/>
  <c r="AQ41" i="20"/>
  <c r="AP41" i="20"/>
  <c r="AO41" i="20"/>
  <c r="AN41" i="20"/>
  <c r="AM41" i="20"/>
  <c r="AL41" i="20"/>
  <c r="AK41" i="20"/>
  <c r="AJ41" i="20"/>
  <c r="AI41" i="20"/>
  <c r="AH41" i="20"/>
  <c r="AG41" i="20"/>
  <c r="AF41" i="20"/>
  <c r="AE41" i="20"/>
  <c r="AD41" i="20"/>
  <c r="AC41" i="20"/>
  <c r="AB41" i="20"/>
  <c r="X41" i="20"/>
  <c r="W41" i="20"/>
  <c r="V41" i="20"/>
  <c r="U41" i="20"/>
  <c r="T41" i="20"/>
  <c r="S41" i="20"/>
  <c r="L41" i="20"/>
  <c r="K41" i="20"/>
  <c r="I41" i="20"/>
  <c r="H41" i="20"/>
  <c r="G41" i="20"/>
  <c r="F41" i="20"/>
  <c r="E41" i="20"/>
  <c r="D41" i="20"/>
  <c r="C41" i="20"/>
  <c r="AW40" i="20"/>
  <c r="AV40" i="20"/>
  <c r="AT40" i="20"/>
  <c r="AS40" i="20"/>
  <c r="AR40" i="20"/>
  <c r="AQ40" i="20"/>
  <c r="AP40" i="20"/>
  <c r="AO40" i="20"/>
  <c r="AN40" i="20"/>
  <c r="AM40" i="20"/>
  <c r="AL40" i="20"/>
  <c r="AK40" i="20"/>
  <c r="AJ40" i="20"/>
  <c r="AI40" i="20"/>
  <c r="AH40" i="20"/>
  <c r="AG40" i="20"/>
  <c r="AF40" i="20"/>
  <c r="AE40" i="20"/>
  <c r="AD40" i="20"/>
  <c r="AC40" i="20"/>
  <c r="AB40" i="20"/>
  <c r="X40" i="20"/>
  <c r="W40" i="20"/>
  <c r="V40" i="20"/>
  <c r="U40" i="20"/>
  <c r="T40" i="20"/>
  <c r="S40" i="20"/>
  <c r="O40" i="20"/>
  <c r="L40" i="20"/>
  <c r="BD40" i="20"/>
  <c r="K40" i="20"/>
  <c r="I40" i="20"/>
  <c r="H40" i="20"/>
  <c r="G40" i="20"/>
  <c r="F40" i="20"/>
  <c r="E40" i="20"/>
  <c r="C40" i="20"/>
  <c r="AW39" i="20"/>
  <c r="AV39" i="20"/>
  <c r="AT39" i="20"/>
  <c r="AS39" i="20"/>
  <c r="AR39" i="20"/>
  <c r="AQ39" i="20"/>
  <c r="AP39" i="20"/>
  <c r="AO39" i="20"/>
  <c r="AN39" i="20"/>
  <c r="AM39" i="20"/>
  <c r="AL39" i="20"/>
  <c r="AK39" i="20"/>
  <c r="AJ39" i="20"/>
  <c r="AI39" i="20"/>
  <c r="AH39" i="20"/>
  <c r="AG39" i="20"/>
  <c r="AF39" i="20"/>
  <c r="AE39" i="20"/>
  <c r="AD39" i="20"/>
  <c r="AC39" i="20"/>
  <c r="AB39" i="20"/>
  <c r="X39" i="20"/>
  <c r="W39" i="20"/>
  <c r="V39" i="20"/>
  <c r="U39" i="20"/>
  <c r="T39" i="20"/>
  <c r="S39" i="20"/>
  <c r="L39" i="20"/>
  <c r="K39" i="20"/>
  <c r="I39" i="20"/>
  <c r="H39" i="20"/>
  <c r="G39" i="20"/>
  <c r="F39" i="20"/>
  <c r="E39" i="20"/>
  <c r="C39" i="20"/>
  <c r="AW38" i="20"/>
  <c r="AV38" i="20"/>
  <c r="AT38" i="20"/>
  <c r="AS38" i="20"/>
  <c r="AR38" i="20"/>
  <c r="AQ38" i="20"/>
  <c r="AP38" i="20"/>
  <c r="AO38" i="20"/>
  <c r="AN38" i="20"/>
  <c r="AM38" i="20"/>
  <c r="AL38" i="20"/>
  <c r="AK38" i="20"/>
  <c r="AJ38" i="20"/>
  <c r="AI38" i="20"/>
  <c r="AH38" i="20"/>
  <c r="AG38" i="20"/>
  <c r="AF38" i="20"/>
  <c r="AE38" i="20"/>
  <c r="AD38" i="20"/>
  <c r="AC38" i="20"/>
  <c r="AB38" i="20"/>
  <c r="X38" i="20"/>
  <c r="W38" i="20"/>
  <c r="V38" i="20"/>
  <c r="U38" i="20"/>
  <c r="T38" i="20"/>
  <c r="S38" i="20"/>
  <c r="L38" i="20"/>
  <c r="K38" i="20"/>
  <c r="I38" i="20"/>
  <c r="H38" i="20"/>
  <c r="G38" i="20"/>
  <c r="F38" i="20"/>
  <c r="E38" i="20"/>
  <c r="C38" i="20"/>
  <c r="AW37" i="20"/>
  <c r="AV37" i="20"/>
  <c r="AU37" i="20"/>
  <c r="AT37" i="20"/>
  <c r="AS37" i="20"/>
  <c r="AR37" i="20"/>
  <c r="AQ37" i="20"/>
  <c r="AP37" i="20"/>
  <c r="AO37" i="20"/>
  <c r="AN37" i="20"/>
  <c r="AM37" i="20"/>
  <c r="AL37" i="20"/>
  <c r="AK37" i="20"/>
  <c r="AJ37" i="20"/>
  <c r="AI37" i="20"/>
  <c r="AH37" i="20"/>
  <c r="AG37" i="20"/>
  <c r="AF37" i="20"/>
  <c r="AE37" i="20"/>
  <c r="AD37" i="20"/>
  <c r="AC37" i="20"/>
  <c r="AB37" i="20"/>
  <c r="X37" i="20"/>
  <c r="W37" i="20"/>
  <c r="V37" i="20"/>
  <c r="U37" i="20"/>
  <c r="T37" i="20"/>
  <c r="S37" i="20"/>
  <c r="L37" i="20"/>
  <c r="K37" i="20"/>
  <c r="I37" i="20"/>
  <c r="H37" i="20"/>
  <c r="G37" i="20"/>
  <c r="F37" i="20"/>
  <c r="E37" i="20"/>
  <c r="D37" i="20"/>
  <c r="C37" i="20"/>
  <c r="AW36" i="20"/>
  <c r="AV36" i="20"/>
  <c r="AU36" i="20"/>
  <c r="AT36" i="20"/>
  <c r="AS36" i="20"/>
  <c r="AR36" i="20"/>
  <c r="AQ36" i="20"/>
  <c r="AP36" i="20"/>
  <c r="AO36" i="20"/>
  <c r="AN36" i="20"/>
  <c r="AM36" i="20"/>
  <c r="AL36" i="20"/>
  <c r="AK36" i="20"/>
  <c r="AJ36" i="20"/>
  <c r="AI36" i="20"/>
  <c r="AH36" i="20"/>
  <c r="AG36" i="20"/>
  <c r="AF36" i="20"/>
  <c r="AE36" i="20"/>
  <c r="AD36" i="20"/>
  <c r="AC36" i="20"/>
  <c r="AB36" i="20"/>
  <c r="X36" i="20"/>
  <c r="W36" i="20"/>
  <c r="V36" i="20"/>
  <c r="U36" i="20"/>
  <c r="T36" i="20"/>
  <c r="S36" i="20"/>
  <c r="L36" i="20"/>
  <c r="K36" i="20"/>
  <c r="I36" i="20"/>
  <c r="H36" i="20"/>
  <c r="G36" i="20"/>
  <c r="F36" i="20"/>
  <c r="E36" i="20"/>
  <c r="C36" i="20"/>
  <c r="AW35" i="20"/>
  <c r="AV35" i="20"/>
  <c r="AT35" i="20"/>
  <c r="AS35" i="20"/>
  <c r="AR35" i="20"/>
  <c r="AQ35" i="20"/>
  <c r="AP35" i="20"/>
  <c r="AO35" i="20"/>
  <c r="AN35" i="20"/>
  <c r="AM35" i="20"/>
  <c r="AL35" i="20"/>
  <c r="AK35" i="20"/>
  <c r="AJ35" i="20"/>
  <c r="AI35" i="20"/>
  <c r="AH35" i="20"/>
  <c r="AG35" i="20"/>
  <c r="AF35" i="20"/>
  <c r="AE35" i="20"/>
  <c r="AD35" i="20"/>
  <c r="AC35" i="20"/>
  <c r="AB35" i="20"/>
  <c r="X35" i="20"/>
  <c r="W35" i="20"/>
  <c r="V35" i="20"/>
  <c r="U35" i="20"/>
  <c r="T35" i="20"/>
  <c r="S35" i="20"/>
  <c r="L35" i="20"/>
  <c r="BD35" i="20"/>
  <c r="K35" i="20"/>
  <c r="I35" i="20"/>
  <c r="H35" i="20"/>
  <c r="G35" i="20"/>
  <c r="F35" i="20"/>
  <c r="E35" i="20"/>
  <c r="C35" i="20"/>
  <c r="BD34" i="20"/>
  <c r="AW34" i="20"/>
  <c r="AV34" i="20"/>
  <c r="AT34" i="20"/>
  <c r="AS34" i="20"/>
  <c r="AR34" i="20"/>
  <c r="AQ34" i="20"/>
  <c r="AP34" i="20"/>
  <c r="AO34" i="20"/>
  <c r="AN34" i="20"/>
  <c r="AM34" i="20"/>
  <c r="AL34" i="20"/>
  <c r="AK34" i="20"/>
  <c r="AJ34" i="20"/>
  <c r="AI34" i="20"/>
  <c r="AH34" i="20"/>
  <c r="AG34" i="20"/>
  <c r="AF34" i="20"/>
  <c r="AE34" i="20"/>
  <c r="AD34" i="20"/>
  <c r="AC34" i="20"/>
  <c r="AB34" i="20"/>
  <c r="X34" i="20"/>
  <c r="W34" i="20"/>
  <c r="V34" i="20"/>
  <c r="U34" i="20"/>
  <c r="T34" i="20"/>
  <c r="S34" i="20"/>
  <c r="L34" i="20"/>
  <c r="K34" i="20"/>
  <c r="I34" i="20"/>
  <c r="H34" i="20"/>
  <c r="G34" i="20"/>
  <c r="F34" i="20"/>
  <c r="E34" i="20"/>
  <c r="C34" i="20"/>
  <c r="BD33" i="20"/>
  <c r="AW33" i="20"/>
  <c r="AV33" i="20"/>
  <c r="AT33" i="20"/>
  <c r="AS33" i="20"/>
  <c r="AR33" i="20"/>
  <c r="AQ33" i="20"/>
  <c r="AP33" i="20"/>
  <c r="AO33" i="20"/>
  <c r="AN33" i="20"/>
  <c r="AM33" i="20"/>
  <c r="AL33" i="20"/>
  <c r="AK33" i="20"/>
  <c r="AJ33" i="20"/>
  <c r="AI33" i="20"/>
  <c r="AH33" i="20"/>
  <c r="AG33" i="20"/>
  <c r="AF33" i="20"/>
  <c r="AE33" i="20"/>
  <c r="AD33" i="20"/>
  <c r="AC33" i="20"/>
  <c r="AB33" i="20"/>
  <c r="X33" i="20"/>
  <c r="W33" i="20"/>
  <c r="V33" i="20"/>
  <c r="U33" i="20"/>
  <c r="T33" i="20"/>
  <c r="S33" i="20"/>
  <c r="P33" i="20"/>
  <c r="O33" i="20"/>
  <c r="L33" i="20"/>
  <c r="K33" i="20"/>
  <c r="I33" i="20"/>
  <c r="H33" i="20"/>
  <c r="G33" i="20"/>
  <c r="F33" i="20"/>
  <c r="E33" i="20"/>
  <c r="D33" i="20"/>
  <c r="C33" i="20"/>
  <c r="AW32" i="20"/>
  <c r="AV32" i="20"/>
  <c r="AT32" i="20"/>
  <c r="AS32" i="20"/>
  <c r="AR32" i="20"/>
  <c r="AQ32" i="20"/>
  <c r="AP32" i="20"/>
  <c r="AO32" i="20"/>
  <c r="AN32" i="20"/>
  <c r="AM32" i="20"/>
  <c r="AL32" i="20"/>
  <c r="AK32" i="20"/>
  <c r="AJ32" i="20"/>
  <c r="AI32" i="20"/>
  <c r="AH32" i="20"/>
  <c r="AG32" i="20"/>
  <c r="AF32" i="20"/>
  <c r="AE32" i="20"/>
  <c r="AD32" i="20"/>
  <c r="AC32" i="20"/>
  <c r="AB32" i="20"/>
  <c r="X32" i="20"/>
  <c r="W32" i="20"/>
  <c r="V32" i="20"/>
  <c r="U32" i="20"/>
  <c r="T32" i="20"/>
  <c r="S32" i="20"/>
  <c r="P32" i="20"/>
  <c r="O32" i="20"/>
  <c r="L32" i="20"/>
  <c r="K32" i="20"/>
  <c r="I32" i="20"/>
  <c r="H32" i="20"/>
  <c r="G32" i="20"/>
  <c r="F32" i="20"/>
  <c r="E32" i="20"/>
  <c r="C32" i="20"/>
  <c r="AW31" i="20"/>
  <c r="AV31" i="20"/>
  <c r="AT31" i="20"/>
  <c r="AS31" i="20"/>
  <c r="AR31" i="20"/>
  <c r="AQ31" i="20"/>
  <c r="AP31" i="20"/>
  <c r="AO31" i="20"/>
  <c r="AN31" i="20"/>
  <c r="AM31" i="20"/>
  <c r="AL31" i="20"/>
  <c r="AK31" i="20"/>
  <c r="AJ31" i="20"/>
  <c r="AI31" i="20"/>
  <c r="AH31" i="20"/>
  <c r="AG31" i="20"/>
  <c r="AF31" i="20"/>
  <c r="AE31" i="20"/>
  <c r="AD31" i="20"/>
  <c r="AC31" i="20"/>
  <c r="AB31" i="20"/>
  <c r="Y31" i="20"/>
  <c r="X31" i="20"/>
  <c r="W31" i="20"/>
  <c r="V31" i="20"/>
  <c r="U31" i="20"/>
  <c r="T31" i="20"/>
  <c r="S31" i="20"/>
  <c r="L31" i="20"/>
  <c r="K31" i="20"/>
  <c r="I31" i="20"/>
  <c r="H31" i="20"/>
  <c r="G31" i="20"/>
  <c r="F31" i="20"/>
  <c r="E31" i="20"/>
  <c r="C31" i="20"/>
  <c r="BA30" i="20"/>
  <c r="AW30" i="20"/>
  <c r="AV30" i="20"/>
  <c r="AT30" i="20"/>
  <c r="AS30" i="20"/>
  <c r="AR30" i="20"/>
  <c r="AQ30" i="20"/>
  <c r="AP30" i="20"/>
  <c r="AO30" i="20"/>
  <c r="AN30" i="20"/>
  <c r="AM30" i="20"/>
  <c r="AL30" i="20"/>
  <c r="AK30" i="20"/>
  <c r="AJ30" i="20"/>
  <c r="AI30" i="20"/>
  <c r="AH30" i="20"/>
  <c r="AG30" i="20"/>
  <c r="AF30" i="20"/>
  <c r="AE30" i="20"/>
  <c r="AD30" i="20"/>
  <c r="AC30" i="20"/>
  <c r="AB30" i="20"/>
  <c r="X30" i="20"/>
  <c r="W30" i="20"/>
  <c r="V30" i="20"/>
  <c r="U30" i="20"/>
  <c r="T30" i="20"/>
  <c r="S30" i="20"/>
  <c r="L30" i="20"/>
  <c r="K30" i="20"/>
  <c r="I30" i="20"/>
  <c r="H30" i="20"/>
  <c r="G30" i="20"/>
  <c r="F30" i="20"/>
  <c r="E30" i="20"/>
  <c r="C30" i="20"/>
  <c r="AW29" i="20"/>
  <c r="AV29" i="20"/>
  <c r="AT29" i="20"/>
  <c r="AS29" i="20"/>
  <c r="AR29" i="20"/>
  <c r="AQ29" i="20"/>
  <c r="AP29" i="20"/>
  <c r="AO29" i="20"/>
  <c r="AN29" i="20"/>
  <c r="AM29" i="20"/>
  <c r="AL29" i="20"/>
  <c r="AK29" i="20"/>
  <c r="AJ29" i="20"/>
  <c r="AI29" i="20"/>
  <c r="AH29" i="20"/>
  <c r="AG29" i="20"/>
  <c r="AF29" i="20"/>
  <c r="AE29" i="20"/>
  <c r="AD29" i="20"/>
  <c r="AC29" i="20"/>
  <c r="AB29" i="20"/>
  <c r="X29" i="20"/>
  <c r="W29" i="20"/>
  <c r="V29" i="20"/>
  <c r="U29" i="20"/>
  <c r="T29" i="20"/>
  <c r="S29" i="20"/>
  <c r="L29" i="20"/>
  <c r="K29" i="20"/>
  <c r="I29" i="20"/>
  <c r="H29" i="20"/>
  <c r="G29" i="20"/>
  <c r="F29" i="20"/>
  <c r="E29" i="20"/>
  <c r="C29" i="20"/>
  <c r="AW28" i="20"/>
  <c r="AV28" i="20"/>
  <c r="AT28" i="20"/>
  <c r="AS28" i="20"/>
  <c r="AR28" i="20"/>
  <c r="AQ28" i="20"/>
  <c r="AP28" i="20"/>
  <c r="AO28" i="20"/>
  <c r="AN28" i="20"/>
  <c r="AM28" i="20"/>
  <c r="AL28" i="20"/>
  <c r="AK28" i="20"/>
  <c r="AJ28" i="20"/>
  <c r="AI28" i="20"/>
  <c r="AH28" i="20"/>
  <c r="AG28" i="20"/>
  <c r="AF28" i="20"/>
  <c r="AE28" i="20"/>
  <c r="AD28" i="20"/>
  <c r="AC28" i="20"/>
  <c r="AB28" i="20"/>
  <c r="X28" i="20"/>
  <c r="W28" i="20"/>
  <c r="V28" i="20"/>
  <c r="U28" i="20"/>
  <c r="T28" i="20"/>
  <c r="S28" i="20"/>
  <c r="P28" i="20"/>
  <c r="L28" i="20"/>
  <c r="K28" i="20"/>
  <c r="I28" i="20"/>
  <c r="H28" i="20"/>
  <c r="G28" i="20"/>
  <c r="F28" i="20"/>
  <c r="E28" i="20"/>
  <c r="C28" i="20"/>
  <c r="AW27" i="20"/>
  <c r="AV27" i="20"/>
  <c r="AT27" i="20"/>
  <c r="AS27" i="20"/>
  <c r="AR27" i="20"/>
  <c r="AQ27" i="20"/>
  <c r="AP27" i="20"/>
  <c r="AO27" i="20"/>
  <c r="AN27" i="20"/>
  <c r="AM27" i="20"/>
  <c r="AL27" i="20"/>
  <c r="AK27" i="20"/>
  <c r="AJ27" i="20"/>
  <c r="AI27" i="20"/>
  <c r="AH27" i="20"/>
  <c r="AG27" i="20"/>
  <c r="AF27" i="20"/>
  <c r="AE27" i="20"/>
  <c r="AD27" i="20"/>
  <c r="AC27" i="20"/>
  <c r="AB27" i="20"/>
  <c r="X27" i="20"/>
  <c r="W27" i="20"/>
  <c r="V27" i="20"/>
  <c r="U27" i="20"/>
  <c r="T27" i="20"/>
  <c r="S27" i="20"/>
  <c r="L27" i="20"/>
  <c r="K27" i="20"/>
  <c r="J27" i="20"/>
  <c r="I27" i="20"/>
  <c r="H27" i="20"/>
  <c r="G27" i="20"/>
  <c r="F27" i="20"/>
  <c r="E27" i="20"/>
  <c r="C27" i="20"/>
  <c r="BD26" i="20"/>
  <c r="AW26" i="20"/>
  <c r="AV26" i="20"/>
  <c r="AT26" i="20"/>
  <c r="AS26" i="20"/>
  <c r="AR26" i="20"/>
  <c r="AQ26" i="20"/>
  <c r="AP26" i="20"/>
  <c r="AO26" i="20"/>
  <c r="AN26" i="20"/>
  <c r="AM26" i="20"/>
  <c r="AL26" i="20"/>
  <c r="AK26" i="20"/>
  <c r="AJ26" i="20"/>
  <c r="AI26" i="20"/>
  <c r="AH26" i="20"/>
  <c r="AG26" i="20"/>
  <c r="AF26" i="20"/>
  <c r="AE26" i="20"/>
  <c r="AD26" i="20"/>
  <c r="AC26" i="20"/>
  <c r="AB26" i="20"/>
  <c r="X26" i="20"/>
  <c r="W26" i="20"/>
  <c r="V26" i="20"/>
  <c r="U26" i="20"/>
  <c r="T26" i="20"/>
  <c r="S26" i="20"/>
  <c r="L26" i="20"/>
  <c r="BA26" i="20"/>
  <c r="K26" i="20"/>
  <c r="I26" i="20"/>
  <c r="H26" i="20"/>
  <c r="G26" i="20"/>
  <c r="F26" i="20"/>
  <c r="E26" i="20"/>
  <c r="C26" i="20"/>
  <c r="AW25" i="20"/>
  <c r="AV25" i="20"/>
  <c r="AT25" i="20"/>
  <c r="AS25" i="20"/>
  <c r="AR25" i="20"/>
  <c r="AQ25" i="20"/>
  <c r="AP25" i="20"/>
  <c r="AO25" i="20"/>
  <c r="AN25" i="20"/>
  <c r="AM25" i="20"/>
  <c r="AL25" i="20"/>
  <c r="AK25" i="20"/>
  <c r="AJ25" i="20"/>
  <c r="AI25" i="20"/>
  <c r="AH25" i="20"/>
  <c r="AG25" i="20"/>
  <c r="AF25" i="20"/>
  <c r="AE25" i="20"/>
  <c r="AD25" i="20"/>
  <c r="AC25" i="20"/>
  <c r="AB25" i="20"/>
  <c r="X25" i="20"/>
  <c r="W25" i="20"/>
  <c r="V25" i="20"/>
  <c r="U25" i="20"/>
  <c r="T25" i="20"/>
  <c r="S25" i="20"/>
  <c r="L25" i="20"/>
  <c r="K25" i="20"/>
  <c r="I25" i="20"/>
  <c r="H25" i="20"/>
  <c r="G25" i="20"/>
  <c r="F25" i="20"/>
  <c r="E25" i="20"/>
  <c r="C25" i="20"/>
  <c r="AW24" i="20"/>
  <c r="AV24" i="20"/>
  <c r="AT24" i="20"/>
  <c r="AS24" i="20"/>
  <c r="AR24" i="20"/>
  <c r="AQ24" i="20"/>
  <c r="AP24" i="20"/>
  <c r="AO24" i="20"/>
  <c r="AN24" i="20"/>
  <c r="AM24" i="20"/>
  <c r="AL24" i="20"/>
  <c r="AK24" i="20"/>
  <c r="AJ24" i="20"/>
  <c r="AI24" i="20"/>
  <c r="AH24" i="20"/>
  <c r="AG24" i="20"/>
  <c r="AF24" i="20"/>
  <c r="AE24" i="20"/>
  <c r="AD24" i="20"/>
  <c r="AC24" i="20"/>
  <c r="AB24" i="20"/>
  <c r="X24" i="20"/>
  <c r="W24" i="20"/>
  <c r="V24" i="20"/>
  <c r="U24" i="20"/>
  <c r="T24" i="20"/>
  <c r="S24" i="20"/>
  <c r="L24" i="20"/>
  <c r="K24" i="20"/>
  <c r="I24" i="20"/>
  <c r="H24" i="20"/>
  <c r="G24" i="20"/>
  <c r="F24" i="20"/>
  <c r="E24" i="20"/>
  <c r="C24" i="20"/>
  <c r="AW23" i="20"/>
  <c r="AV23" i="20"/>
  <c r="AT23" i="20"/>
  <c r="AS23" i="20"/>
  <c r="AR23" i="20"/>
  <c r="AQ23" i="20"/>
  <c r="AP23" i="20"/>
  <c r="AO23" i="20"/>
  <c r="AN23" i="20"/>
  <c r="AM23" i="20"/>
  <c r="AL23" i="20"/>
  <c r="AK23" i="20"/>
  <c r="AJ23" i="20"/>
  <c r="AI23" i="20"/>
  <c r="AH23" i="20"/>
  <c r="AG23" i="20"/>
  <c r="AF23" i="20"/>
  <c r="AE23" i="20"/>
  <c r="AD23" i="20"/>
  <c r="AC23" i="20"/>
  <c r="AB23" i="20"/>
  <c r="X23" i="20"/>
  <c r="W23" i="20"/>
  <c r="V23" i="20"/>
  <c r="U23" i="20"/>
  <c r="T23" i="20"/>
  <c r="S23" i="20"/>
  <c r="O23" i="20"/>
  <c r="L23" i="20"/>
  <c r="K23" i="20"/>
  <c r="J23" i="20"/>
  <c r="I23" i="20"/>
  <c r="H23" i="20"/>
  <c r="G23" i="20"/>
  <c r="F23" i="20"/>
  <c r="E23" i="20"/>
  <c r="C23" i="20"/>
  <c r="AW22" i="20"/>
  <c r="AV22" i="20"/>
  <c r="AT22" i="20"/>
  <c r="AS22" i="20"/>
  <c r="AR22" i="20"/>
  <c r="AQ22" i="20"/>
  <c r="AP22" i="20"/>
  <c r="AO22" i="20"/>
  <c r="AN22" i="20"/>
  <c r="AM22" i="20"/>
  <c r="AL22" i="20"/>
  <c r="AK22" i="20"/>
  <c r="AJ22" i="20"/>
  <c r="AI22" i="20"/>
  <c r="AH22" i="20"/>
  <c r="AG22" i="20"/>
  <c r="AF22" i="20"/>
  <c r="AE22" i="20"/>
  <c r="AD22" i="20"/>
  <c r="AC22" i="20"/>
  <c r="AB22" i="20"/>
  <c r="X22" i="20"/>
  <c r="W22" i="20"/>
  <c r="V22" i="20"/>
  <c r="U22" i="20"/>
  <c r="T22" i="20"/>
  <c r="S22" i="20"/>
  <c r="L22" i="20"/>
  <c r="K22" i="20"/>
  <c r="I22" i="20"/>
  <c r="H22" i="20"/>
  <c r="G22" i="20"/>
  <c r="F22" i="20"/>
  <c r="E22" i="20"/>
  <c r="C22" i="20"/>
  <c r="AW21" i="20"/>
  <c r="AV21" i="20"/>
  <c r="AT21" i="20"/>
  <c r="AS21" i="20"/>
  <c r="AR21" i="20"/>
  <c r="AQ21" i="20"/>
  <c r="AP21" i="20"/>
  <c r="AO21" i="20"/>
  <c r="AN21" i="20"/>
  <c r="AM21" i="20"/>
  <c r="AL21" i="20"/>
  <c r="AK21" i="20"/>
  <c r="AJ21" i="20"/>
  <c r="AI21" i="20"/>
  <c r="AH21" i="20"/>
  <c r="AG21" i="20"/>
  <c r="AF21" i="20"/>
  <c r="AE21" i="20"/>
  <c r="AD21" i="20"/>
  <c r="AC21" i="20"/>
  <c r="AB21" i="20"/>
  <c r="X21" i="20"/>
  <c r="W21" i="20"/>
  <c r="V21" i="20"/>
  <c r="U21" i="20"/>
  <c r="T21" i="20"/>
  <c r="S21" i="20"/>
  <c r="N21" i="20"/>
  <c r="M21" i="20"/>
  <c r="L21" i="20"/>
  <c r="K21" i="20"/>
  <c r="I21" i="20"/>
  <c r="H21" i="20"/>
  <c r="G21" i="20"/>
  <c r="F21" i="20"/>
  <c r="E21" i="20"/>
  <c r="C21" i="20"/>
  <c r="AW20" i="20"/>
  <c r="AV20" i="20"/>
  <c r="AT20" i="20"/>
  <c r="AS20" i="20"/>
  <c r="AR20" i="20"/>
  <c r="AQ20" i="20"/>
  <c r="AP20" i="20"/>
  <c r="AO20" i="20"/>
  <c r="AN20" i="20"/>
  <c r="AM20" i="20"/>
  <c r="AL20" i="20"/>
  <c r="AK20" i="20"/>
  <c r="AJ20" i="20"/>
  <c r="AI20" i="20"/>
  <c r="AH20" i="20"/>
  <c r="AG20" i="20"/>
  <c r="AF20" i="20"/>
  <c r="AE20" i="20"/>
  <c r="AD20" i="20"/>
  <c r="AC20" i="20"/>
  <c r="AB20" i="20"/>
  <c r="X20" i="20"/>
  <c r="W20" i="20"/>
  <c r="V20" i="20"/>
  <c r="U20" i="20"/>
  <c r="T20" i="20"/>
  <c r="S20" i="20"/>
  <c r="O20" i="20"/>
  <c r="M20" i="20"/>
  <c r="L20" i="20"/>
  <c r="K20" i="20"/>
  <c r="I20" i="20"/>
  <c r="H20" i="20"/>
  <c r="G20" i="20"/>
  <c r="F20" i="20"/>
  <c r="E20" i="20"/>
  <c r="C20" i="20"/>
  <c r="BA19" i="20"/>
  <c r="AW19" i="20"/>
  <c r="AV19" i="20"/>
  <c r="AT19" i="20"/>
  <c r="AS19" i="20"/>
  <c r="AR19" i="20"/>
  <c r="AQ19" i="20"/>
  <c r="AP19" i="20"/>
  <c r="AO19" i="20"/>
  <c r="AN19" i="20"/>
  <c r="AM19" i="20"/>
  <c r="AL19" i="20"/>
  <c r="AK19" i="20"/>
  <c r="AJ19" i="20"/>
  <c r="AI19" i="20"/>
  <c r="AH19" i="20"/>
  <c r="AG19" i="20"/>
  <c r="AF19" i="20"/>
  <c r="AE19" i="20"/>
  <c r="AD19" i="20"/>
  <c r="AC19" i="20"/>
  <c r="AB19" i="20"/>
  <c r="Y19" i="20"/>
  <c r="X19" i="20"/>
  <c r="W19" i="20"/>
  <c r="V19" i="20"/>
  <c r="U19" i="20"/>
  <c r="T19" i="20"/>
  <c r="S19" i="20"/>
  <c r="O19" i="20"/>
  <c r="L19" i="20"/>
  <c r="K19" i="20"/>
  <c r="I19" i="20"/>
  <c r="H19" i="20"/>
  <c r="G19" i="20"/>
  <c r="F19" i="20"/>
  <c r="E19" i="20"/>
  <c r="C19" i="20"/>
  <c r="AW18" i="20"/>
  <c r="AV18" i="20"/>
  <c r="AT18" i="20"/>
  <c r="AS18" i="20"/>
  <c r="AR18" i="20"/>
  <c r="AQ18" i="20"/>
  <c r="AP18" i="20"/>
  <c r="AO18" i="20"/>
  <c r="AN18" i="20"/>
  <c r="AM18" i="20"/>
  <c r="AL18" i="20"/>
  <c r="AK18" i="20"/>
  <c r="AJ18" i="20"/>
  <c r="AI18" i="20"/>
  <c r="AH18" i="20"/>
  <c r="AG18" i="20"/>
  <c r="AF18" i="20"/>
  <c r="AE18" i="20"/>
  <c r="AD18" i="20"/>
  <c r="AC18" i="20"/>
  <c r="AB18" i="20"/>
  <c r="X18" i="20"/>
  <c r="W18" i="20"/>
  <c r="V18" i="20"/>
  <c r="U18" i="20"/>
  <c r="T18" i="20"/>
  <c r="S18" i="20"/>
  <c r="Q18" i="20"/>
  <c r="L18" i="20"/>
  <c r="K18" i="20"/>
  <c r="I18" i="20"/>
  <c r="H18" i="20"/>
  <c r="G18" i="20"/>
  <c r="F18" i="20"/>
  <c r="E18" i="20"/>
  <c r="C18" i="20"/>
  <c r="AW17" i="20"/>
  <c r="AV17" i="20"/>
  <c r="AT17" i="20"/>
  <c r="AS17" i="20"/>
  <c r="AR17" i="20"/>
  <c r="AQ17" i="20"/>
  <c r="AP17" i="20"/>
  <c r="AO17" i="20"/>
  <c r="AN17" i="20"/>
  <c r="AM17" i="20"/>
  <c r="AL17" i="20"/>
  <c r="AK17" i="20"/>
  <c r="AJ17" i="20"/>
  <c r="AI17" i="20"/>
  <c r="AH17" i="20"/>
  <c r="AG17" i="20"/>
  <c r="AF17" i="20"/>
  <c r="AE17" i="20"/>
  <c r="AD17" i="20"/>
  <c r="AC17" i="20"/>
  <c r="AB17" i="20"/>
  <c r="X17" i="20"/>
  <c r="W17" i="20"/>
  <c r="V17" i="20"/>
  <c r="U17" i="20"/>
  <c r="T17" i="20"/>
  <c r="S17" i="20"/>
  <c r="N17" i="20"/>
  <c r="M17" i="20"/>
  <c r="L17" i="20"/>
  <c r="K17" i="20"/>
  <c r="I17" i="20"/>
  <c r="H17" i="20"/>
  <c r="G17" i="20"/>
  <c r="F17" i="20"/>
  <c r="E17" i="20"/>
  <c r="C17" i="20"/>
  <c r="AW16" i="20"/>
  <c r="AV16" i="20"/>
  <c r="AT16" i="20"/>
  <c r="AS16" i="20"/>
  <c r="AR16" i="20"/>
  <c r="AQ16" i="20"/>
  <c r="AP16" i="20"/>
  <c r="AO16" i="20"/>
  <c r="AN16" i="20"/>
  <c r="AM16" i="20"/>
  <c r="AL16" i="20"/>
  <c r="AK16" i="20"/>
  <c r="AJ16" i="20"/>
  <c r="AI16" i="20"/>
  <c r="AH16" i="20"/>
  <c r="AG16" i="20"/>
  <c r="AF16" i="20"/>
  <c r="AE16" i="20"/>
  <c r="AD16" i="20"/>
  <c r="AC16" i="20"/>
  <c r="AB16" i="20"/>
  <c r="X16" i="20"/>
  <c r="W16" i="20"/>
  <c r="V16" i="20"/>
  <c r="U16" i="20"/>
  <c r="T16" i="20"/>
  <c r="S16" i="20"/>
  <c r="M16" i="20"/>
  <c r="L16" i="20"/>
  <c r="K16" i="20"/>
  <c r="I16" i="20"/>
  <c r="H16" i="20"/>
  <c r="G16" i="20"/>
  <c r="F16" i="20"/>
  <c r="E16" i="20"/>
  <c r="C16" i="20"/>
  <c r="AW15" i="20"/>
  <c r="AV15" i="20"/>
  <c r="AT15" i="20"/>
  <c r="AS15" i="20"/>
  <c r="AR15" i="20"/>
  <c r="AQ15" i="20"/>
  <c r="AP15" i="20"/>
  <c r="AO15" i="20"/>
  <c r="AN15" i="20"/>
  <c r="AM15" i="20"/>
  <c r="AL15" i="20"/>
  <c r="AK15" i="20"/>
  <c r="AJ15" i="20"/>
  <c r="AI15" i="20"/>
  <c r="AH15" i="20"/>
  <c r="AG15" i="20"/>
  <c r="AF15" i="20"/>
  <c r="AE15" i="20"/>
  <c r="AD15" i="20"/>
  <c r="AC15" i="20"/>
  <c r="AB15" i="20"/>
  <c r="Y15" i="20"/>
  <c r="X15" i="20"/>
  <c r="W15" i="20"/>
  <c r="V15" i="20"/>
  <c r="U15" i="20"/>
  <c r="T15" i="20"/>
  <c r="S15" i="20"/>
  <c r="R15" i="20"/>
  <c r="Q15" i="20"/>
  <c r="L15" i="20"/>
  <c r="K15" i="20"/>
  <c r="I15" i="20"/>
  <c r="H15" i="20"/>
  <c r="G15" i="20"/>
  <c r="F15" i="20"/>
  <c r="E15" i="20"/>
  <c r="C15" i="20"/>
  <c r="AW14" i="20"/>
  <c r="AV14" i="20"/>
  <c r="AT14" i="20"/>
  <c r="AS14" i="20"/>
  <c r="AR14" i="20"/>
  <c r="AQ14" i="20"/>
  <c r="AP14" i="20"/>
  <c r="AO14" i="20"/>
  <c r="AN14" i="20"/>
  <c r="AM14" i="20"/>
  <c r="AL14" i="20"/>
  <c r="AK14" i="20"/>
  <c r="AJ14" i="20"/>
  <c r="AI14" i="20"/>
  <c r="AH14" i="20"/>
  <c r="AG14" i="20"/>
  <c r="AF14" i="20"/>
  <c r="AE14" i="20"/>
  <c r="AD14" i="20"/>
  <c r="AC14" i="20"/>
  <c r="AB14" i="20"/>
  <c r="X14" i="20"/>
  <c r="W14" i="20"/>
  <c r="V14" i="20"/>
  <c r="U14" i="20"/>
  <c r="T14" i="20"/>
  <c r="S14" i="20"/>
  <c r="L14" i="20"/>
  <c r="K14" i="20"/>
  <c r="I14" i="20"/>
  <c r="H14" i="20"/>
  <c r="G14" i="20"/>
  <c r="F14" i="20"/>
  <c r="E14" i="20"/>
  <c r="C14" i="20"/>
  <c r="AW13" i="20"/>
  <c r="AV13" i="20"/>
  <c r="AT13" i="20"/>
  <c r="AS13" i="20"/>
  <c r="AR13" i="20"/>
  <c r="AQ13" i="20"/>
  <c r="AP13" i="20"/>
  <c r="AO13" i="20"/>
  <c r="AN13" i="20"/>
  <c r="AM13" i="20"/>
  <c r="AL13" i="20"/>
  <c r="AK13" i="20"/>
  <c r="AJ13" i="20"/>
  <c r="AI13" i="20"/>
  <c r="AH13" i="20"/>
  <c r="AG13" i="20"/>
  <c r="AF13" i="20"/>
  <c r="AE13" i="20"/>
  <c r="AD13" i="20"/>
  <c r="AC13" i="20"/>
  <c r="AB13" i="20"/>
  <c r="X13" i="20"/>
  <c r="W13" i="20"/>
  <c r="V13" i="20"/>
  <c r="U13" i="20"/>
  <c r="T13" i="20"/>
  <c r="S13" i="20"/>
  <c r="L13" i="20"/>
  <c r="K13" i="20"/>
  <c r="I13" i="20"/>
  <c r="H13" i="20"/>
  <c r="G13" i="20"/>
  <c r="F13" i="20"/>
  <c r="E13" i="20"/>
  <c r="C13" i="20"/>
  <c r="BD12" i="20"/>
  <c r="AW12" i="20"/>
  <c r="AV12" i="20"/>
  <c r="AT12" i="20"/>
  <c r="AS12" i="20"/>
  <c r="AR12" i="20"/>
  <c r="AQ12" i="20"/>
  <c r="AP12" i="20"/>
  <c r="AO12" i="20"/>
  <c r="AN12" i="20"/>
  <c r="AM12" i="20"/>
  <c r="AL12" i="20"/>
  <c r="AK12" i="20"/>
  <c r="AJ12" i="20"/>
  <c r="AI12" i="20"/>
  <c r="AH12" i="20"/>
  <c r="AG12" i="20"/>
  <c r="AF12" i="20"/>
  <c r="AE12" i="20"/>
  <c r="AD12" i="20"/>
  <c r="AC12" i="20"/>
  <c r="AB12" i="20"/>
  <c r="X12" i="20"/>
  <c r="W12" i="20"/>
  <c r="V12" i="20"/>
  <c r="U12" i="20"/>
  <c r="T12" i="20"/>
  <c r="S12" i="20"/>
  <c r="L12" i="20"/>
  <c r="K12" i="20"/>
  <c r="I12" i="20"/>
  <c r="H12" i="20"/>
  <c r="G12" i="20"/>
  <c r="F12" i="20"/>
  <c r="E12" i="20"/>
  <c r="D12" i="20"/>
  <c r="C12" i="20"/>
  <c r="BC11" i="20"/>
  <c r="BB11" i="20"/>
  <c r="AW11" i="20"/>
  <c r="AV11" i="20"/>
  <c r="AT11" i="20"/>
  <c r="AS11" i="20"/>
  <c r="AR11" i="20"/>
  <c r="AQ11" i="20"/>
  <c r="AP11" i="20"/>
  <c r="AO11" i="20"/>
  <c r="AN11" i="20"/>
  <c r="AM11" i="20"/>
  <c r="AL11" i="20"/>
  <c r="AK11" i="20"/>
  <c r="AJ11" i="20"/>
  <c r="AI11" i="20"/>
  <c r="AH11" i="20"/>
  <c r="AG11" i="20"/>
  <c r="AF11" i="20"/>
  <c r="AE11" i="20"/>
  <c r="AD11" i="20"/>
  <c r="AC11" i="20"/>
  <c r="AB11" i="20"/>
  <c r="X11" i="20"/>
  <c r="W11" i="20"/>
  <c r="V11" i="20"/>
  <c r="U11" i="20"/>
  <c r="T11" i="20"/>
  <c r="S11" i="20"/>
  <c r="O11" i="20"/>
  <c r="L11" i="20"/>
  <c r="K11" i="20"/>
  <c r="I11" i="20"/>
  <c r="H11" i="20"/>
  <c r="G11" i="20"/>
  <c r="F11" i="20"/>
  <c r="E11" i="20"/>
  <c r="C11" i="20"/>
  <c r="BC10" i="20"/>
  <c r="BA10" i="20"/>
  <c r="AZ10" i="20"/>
  <c r="AW10" i="20"/>
  <c r="AV10" i="20"/>
  <c r="AT10" i="20"/>
  <c r="AS10" i="20"/>
  <c r="AR10" i="20"/>
  <c r="AQ10" i="20"/>
  <c r="AP10" i="20"/>
  <c r="AO10" i="20"/>
  <c r="AN10" i="20"/>
  <c r="AM10" i="20"/>
  <c r="AL10" i="20"/>
  <c r="AK10" i="20"/>
  <c r="AJ10" i="20"/>
  <c r="AI10" i="20"/>
  <c r="AH10" i="20"/>
  <c r="AG10" i="20"/>
  <c r="AF10" i="20"/>
  <c r="AE10" i="20"/>
  <c r="AD10" i="20"/>
  <c r="AC10" i="20"/>
  <c r="AB10" i="20"/>
  <c r="Y10" i="20"/>
  <c r="X10" i="20"/>
  <c r="W10" i="20"/>
  <c r="V10" i="20"/>
  <c r="U10" i="20"/>
  <c r="T10" i="20"/>
  <c r="S10" i="20"/>
  <c r="P10" i="20"/>
  <c r="O10" i="20"/>
  <c r="L10" i="20"/>
  <c r="BD10" i="20"/>
  <c r="K10" i="20"/>
  <c r="I10" i="20"/>
  <c r="H10" i="20"/>
  <c r="G10" i="20"/>
  <c r="F10" i="20"/>
  <c r="E10" i="20"/>
  <c r="C10" i="20"/>
  <c r="BA9" i="20"/>
  <c r="AZ9" i="20"/>
  <c r="AW9" i="20"/>
  <c r="AV9" i="20"/>
  <c r="AT9" i="20"/>
  <c r="AS9" i="20"/>
  <c r="AR9" i="20"/>
  <c r="AQ9" i="20"/>
  <c r="AP9" i="20"/>
  <c r="AO9" i="20"/>
  <c r="AN9" i="20"/>
  <c r="AM9" i="20"/>
  <c r="AL9" i="20"/>
  <c r="AK9" i="20"/>
  <c r="AJ9" i="20"/>
  <c r="AI9" i="20"/>
  <c r="AH9" i="20"/>
  <c r="AG9" i="20"/>
  <c r="AF9" i="20"/>
  <c r="AE9" i="20"/>
  <c r="AD9" i="20"/>
  <c r="AC9" i="20"/>
  <c r="AB9" i="20"/>
  <c r="X9" i="20"/>
  <c r="W9" i="20"/>
  <c r="V9" i="20"/>
  <c r="U9" i="20"/>
  <c r="T9" i="20"/>
  <c r="S9" i="20"/>
  <c r="P9" i="20"/>
  <c r="O9" i="20"/>
  <c r="L9" i="20"/>
  <c r="K9" i="20"/>
  <c r="I9" i="20"/>
  <c r="H9" i="20"/>
  <c r="G9" i="20"/>
  <c r="F9" i="20"/>
  <c r="E9" i="20"/>
  <c r="C9" i="20"/>
  <c r="BA8" i="20"/>
  <c r="AZ8" i="20"/>
  <c r="AW8" i="20"/>
  <c r="AV8" i="20"/>
  <c r="AT8" i="20"/>
  <c r="AS8" i="20"/>
  <c r="AR8" i="20"/>
  <c r="AQ8" i="20"/>
  <c r="AP8" i="20"/>
  <c r="AO8" i="20"/>
  <c r="AN8" i="20"/>
  <c r="AM8" i="20"/>
  <c r="AL8" i="20"/>
  <c r="AK8" i="20"/>
  <c r="AJ8" i="20"/>
  <c r="AI8" i="20"/>
  <c r="AH8" i="20"/>
  <c r="AG8" i="20"/>
  <c r="AF8" i="20"/>
  <c r="AE8" i="20"/>
  <c r="AD8" i="20"/>
  <c r="AC8" i="20"/>
  <c r="AB8" i="20"/>
  <c r="Y8" i="20"/>
  <c r="X8" i="20"/>
  <c r="W8" i="20"/>
  <c r="V8" i="20"/>
  <c r="U8" i="20"/>
  <c r="T8" i="20"/>
  <c r="S8" i="20"/>
  <c r="R8" i="20"/>
  <c r="P8" i="20"/>
  <c r="O8" i="20"/>
  <c r="L8" i="20"/>
  <c r="BD8" i="20"/>
  <c r="K8" i="20"/>
  <c r="I8" i="20"/>
  <c r="H8" i="20"/>
  <c r="G8" i="20"/>
  <c r="F8" i="20"/>
  <c r="E8" i="20"/>
  <c r="C8" i="20"/>
  <c r="BC7" i="20"/>
  <c r="AW7" i="20"/>
  <c r="AV7" i="20"/>
  <c r="AU7" i="20"/>
  <c r="AT7" i="20"/>
  <c r="AS7" i="20"/>
  <c r="AR7" i="20"/>
  <c r="AQ7" i="20"/>
  <c r="AP7" i="20"/>
  <c r="AO7" i="20"/>
  <c r="AN7" i="20"/>
  <c r="AM7" i="20"/>
  <c r="AL7" i="20"/>
  <c r="AK7" i="20"/>
  <c r="AJ7" i="20"/>
  <c r="AI7" i="20"/>
  <c r="AH7" i="20"/>
  <c r="AG7" i="20"/>
  <c r="AF7" i="20"/>
  <c r="AE7" i="20"/>
  <c r="AD7" i="20"/>
  <c r="AC7" i="20"/>
  <c r="AB7" i="20"/>
  <c r="X7" i="20"/>
  <c r="W7" i="20"/>
  <c r="V7" i="20"/>
  <c r="U7" i="20"/>
  <c r="T7" i="20"/>
  <c r="S7" i="20"/>
  <c r="P7" i="20"/>
  <c r="L7" i="20"/>
  <c r="BD7" i="20"/>
  <c r="K7" i="20"/>
  <c r="J7" i="20"/>
  <c r="I7" i="20"/>
  <c r="H7" i="20"/>
  <c r="G7" i="20"/>
  <c r="F7" i="20"/>
  <c r="E7" i="20"/>
  <c r="C7" i="20"/>
  <c r="AW6" i="20"/>
  <c r="AV6" i="20"/>
  <c r="AU6" i="20"/>
  <c r="AT6" i="20"/>
  <c r="AS6" i="20"/>
  <c r="AR6" i="20"/>
  <c r="AQ6" i="20"/>
  <c r="AP6" i="20"/>
  <c r="AO6" i="20"/>
  <c r="AN6" i="20"/>
  <c r="AM6" i="20"/>
  <c r="AL6" i="20"/>
  <c r="AK6" i="20"/>
  <c r="AJ6" i="20"/>
  <c r="AI6" i="20"/>
  <c r="AH6" i="20"/>
  <c r="AG6" i="20"/>
  <c r="AF6" i="20"/>
  <c r="AE6" i="20"/>
  <c r="AD6" i="20"/>
  <c r="AC6" i="20"/>
  <c r="AB6" i="20"/>
  <c r="X6" i="20"/>
  <c r="W6" i="20"/>
  <c r="V6" i="20"/>
  <c r="U6" i="20"/>
  <c r="T6" i="20"/>
  <c r="S6" i="20"/>
  <c r="R6" i="20"/>
  <c r="M6" i="20"/>
  <c r="L6" i="20"/>
  <c r="K6" i="20"/>
  <c r="B32" i="34"/>
  <c r="D32" i="34"/>
  <c r="J6" i="20"/>
  <c r="I6" i="20"/>
  <c r="H6" i="20"/>
  <c r="G6" i="20"/>
  <c r="F6" i="20"/>
  <c r="E6" i="20"/>
  <c r="D6" i="20"/>
  <c r="C6" i="20"/>
  <c r="T116" i="19"/>
  <c r="S116" i="19"/>
  <c r="Y105" i="20"/>
  <c r="O116" i="19"/>
  <c r="J105" i="20"/>
  <c r="E116" i="19"/>
  <c r="D105" i="20"/>
  <c r="S115" i="19"/>
  <c r="Y104" i="20"/>
  <c r="O115" i="19"/>
  <c r="E115" i="19"/>
  <c r="D104" i="20"/>
  <c r="T114" i="19"/>
  <c r="S114" i="19"/>
  <c r="Y103" i="20"/>
  <c r="O114" i="19"/>
  <c r="J103" i="20"/>
  <c r="E114" i="19"/>
  <c r="D103" i="20"/>
  <c r="O113" i="19"/>
  <c r="E113" i="19"/>
  <c r="D102" i="20"/>
  <c r="T112" i="19"/>
  <c r="S112" i="19"/>
  <c r="Y101" i="20"/>
  <c r="O112" i="19"/>
  <c r="J101" i="20"/>
  <c r="E112" i="19"/>
  <c r="D101" i="20"/>
  <c r="O111" i="19"/>
  <c r="E111" i="19"/>
  <c r="D100" i="20"/>
  <c r="T110" i="19"/>
  <c r="S110" i="19"/>
  <c r="Y99" i="20"/>
  <c r="O110" i="19"/>
  <c r="J99" i="20"/>
  <c r="E110" i="19"/>
  <c r="D99" i="20"/>
  <c r="S109" i="19"/>
  <c r="Y98" i="20"/>
  <c r="O109" i="19"/>
  <c r="E109" i="19"/>
  <c r="D98" i="20"/>
  <c r="T108" i="19"/>
  <c r="S108" i="19"/>
  <c r="Y97" i="20"/>
  <c r="O108" i="19"/>
  <c r="J97" i="20"/>
  <c r="E108" i="19"/>
  <c r="D97" i="20"/>
  <c r="S107" i="19"/>
  <c r="Y96" i="20"/>
  <c r="O107" i="19"/>
  <c r="E107" i="19"/>
  <c r="D96" i="20"/>
  <c r="T106" i="19"/>
  <c r="S106" i="19"/>
  <c r="Y95" i="20"/>
  <c r="O106" i="19"/>
  <c r="J95" i="20"/>
  <c r="E106" i="19"/>
  <c r="D95" i="20"/>
  <c r="O105" i="19"/>
  <c r="E105" i="19"/>
  <c r="D94" i="20"/>
  <c r="T104" i="19"/>
  <c r="S104" i="19"/>
  <c r="Y93" i="20"/>
  <c r="O104" i="19"/>
  <c r="J93" i="20"/>
  <c r="E104" i="19"/>
  <c r="D93" i="20"/>
  <c r="S103" i="19"/>
  <c r="Y92" i="20"/>
  <c r="O103" i="19"/>
  <c r="E103" i="19"/>
  <c r="D92" i="20"/>
  <c r="T102" i="19"/>
  <c r="S102" i="19"/>
  <c r="Y91" i="20"/>
  <c r="O102" i="19"/>
  <c r="J91" i="20"/>
  <c r="E102" i="19"/>
  <c r="D91" i="20"/>
  <c r="O101" i="19"/>
  <c r="E101" i="19"/>
  <c r="D90" i="20"/>
  <c r="T100" i="19"/>
  <c r="S100" i="19"/>
  <c r="Y89" i="20"/>
  <c r="O100" i="19"/>
  <c r="J89" i="20"/>
  <c r="E100" i="19"/>
  <c r="D89" i="20"/>
  <c r="S99" i="19"/>
  <c r="Y88" i="20"/>
  <c r="O99" i="19"/>
  <c r="E99" i="19"/>
  <c r="D88" i="20"/>
  <c r="T98" i="19"/>
  <c r="S98" i="19"/>
  <c r="Y87" i="20"/>
  <c r="O98" i="19"/>
  <c r="J87" i="20"/>
  <c r="E98" i="19"/>
  <c r="D87" i="20"/>
  <c r="O97" i="19"/>
  <c r="E97" i="19"/>
  <c r="D86" i="20"/>
  <c r="T96" i="19"/>
  <c r="S96" i="19"/>
  <c r="Y85" i="20"/>
  <c r="O96" i="19"/>
  <c r="J85" i="20"/>
  <c r="E96" i="19"/>
  <c r="D85" i="20"/>
  <c r="O95" i="19"/>
  <c r="E95" i="19"/>
  <c r="D84" i="20"/>
  <c r="T94" i="19"/>
  <c r="S94" i="19"/>
  <c r="Y83" i="20"/>
  <c r="O94" i="19"/>
  <c r="J83" i="20"/>
  <c r="E94" i="19"/>
  <c r="D83" i="20"/>
  <c r="S93" i="19"/>
  <c r="Y82" i="20"/>
  <c r="O93" i="19"/>
  <c r="E93" i="19"/>
  <c r="D82" i="20"/>
  <c r="T92" i="19"/>
  <c r="S92" i="19"/>
  <c r="Y81" i="20"/>
  <c r="O92" i="19"/>
  <c r="J81" i="20"/>
  <c r="E92" i="19"/>
  <c r="D81" i="20"/>
  <c r="S91" i="19"/>
  <c r="Y80" i="20"/>
  <c r="O91" i="19"/>
  <c r="E91" i="19"/>
  <c r="D80" i="20"/>
  <c r="T90" i="19"/>
  <c r="S90" i="19"/>
  <c r="Y79" i="20"/>
  <c r="O90" i="19"/>
  <c r="J79" i="20"/>
  <c r="E90" i="19"/>
  <c r="D79" i="20"/>
  <c r="O89" i="19"/>
  <c r="E89" i="19"/>
  <c r="D78" i="20"/>
  <c r="T88" i="19"/>
  <c r="S88" i="19"/>
  <c r="Y77" i="20"/>
  <c r="O88" i="19"/>
  <c r="J77" i="20"/>
  <c r="E88" i="19"/>
  <c r="D77" i="20"/>
  <c r="S87" i="19"/>
  <c r="Y76" i="20"/>
  <c r="O87" i="19"/>
  <c r="E87" i="19"/>
  <c r="D76" i="20"/>
  <c r="T86" i="19"/>
  <c r="S86" i="19"/>
  <c r="Y75" i="20"/>
  <c r="O86" i="19"/>
  <c r="J75" i="20"/>
  <c r="E86" i="19"/>
  <c r="D75" i="20"/>
  <c r="O85" i="19"/>
  <c r="E85" i="19"/>
  <c r="D74" i="20"/>
  <c r="T84" i="19"/>
  <c r="S84" i="19"/>
  <c r="O84" i="19"/>
  <c r="E84" i="19"/>
  <c r="S83" i="19"/>
  <c r="O83" i="19"/>
  <c r="T83" i="19"/>
  <c r="E83" i="19"/>
  <c r="T82" i="19"/>
  <c r="S82" i="19"/>
  <c r="Y73" i="20"/>
  <c r="O82" i="19"/>
  <c r="J73" i="20"/>
  <c r="E82" i="19"/>
  <c r="D73" i="20"/>
  <c r="O81" i="19"/>
  <c r="E81" i="19"/>
  <c r="D72" i="20"/>
  <c r="T80" i="19"/>
  <c r="S80" i="19"/>
  <c r="O80" i="19"/>
  <c r="E80" i="19"/>
  <c r="O79" i="19"/>
  <c r="T79" i="19"/>
  <c r="E79" i="19"/>
  <c r="T78" i="19"/>
  <c r="S78" i="19"/>
  <c r="Y71" i="20"/>
  <c r="O78" i="19"/>
  <c r="J71" i="20"/>
  <c r="E78" i="19"/>
  <c r="D71" i="20"/>
  <c r="S77" i="19"/>
  <c r="Y70" i="20"/>
  <c r="O77" i="19"/>
  <c r="E77" i="19"/>
  <c r="D70" i="20"/>
  <c r="T76" i="19"/>
  <c r="S76" i="19"/>
  <c r="Y69" i="20"/>
  <c r="O76" i="19"/>
  <c r="J69" i="20"/>
  <c r="E76" i="19"/>
  <c r="D69" i="20"/>
  <c r="S75" i="19"/>
  <c r="Y68" i="20"/>
  <c r="O75" i="19"/>
  <c r="E75" i="19"/>
  <c r="D68" i="20"/>
  <c r="T74" i="19"/>
  <c r="S74" i="19"/>
  <c r="Y67" i="20"/>
  <c r="O74" i="19"/>
  <c r="J67" i="20"/>
  <c r="E74" i="19"/>
  <c r="D67" i="20"/>
  <c r="O73" i="19"/>
  <c r="E73" i="19"/>
  <c r="D66" i="20"/>
  <c r="T72" i="19"/>
  <c r="S72" i="19"/>
  <c r="Y65" i="20"/>
  <c r="O72" i="19"/>
  <c r="J65" i="20"/>
  <c r="E72" i="19"/>
  <c r="D65" i="20"/>
  <c r="S71" i="19"/>
  <c r="Y64" i="20"/>
  <c r="O71" i="19"/>
  <c r="E71" i="19"/>
  <c r="D64" i="20"/>
  <c r="T70" i="19"/>
  <c r="S70" i="19"/>
  <c r="Y63" i="20"/>
  <c r="O70" i="19"/>
  <c r="J63" i="20"/>
  <c r="E70" i="19"/>
  <c r="D63" i="20"/>
  <c r="O69" i="19"/>
  <c r="E69" i="19"/>
  <c r="D62" i="20"/>
  <c r="T68" i="19"/>
  <c r="S68" i="19"/>
  <c r="Y61" i="20"/>
  <c r="O68" i="19"/>
  <c r="J61" i="20"/>
  <c r="E68" i="19"/>
  <c r="D61" i="20"/>
  <c r="S67" i="19"/>
  <c r="Y60" i="20"/>
  <c r="O67" i="19"/>
  <c r="E67" i="19"/>
  <c r="D60" i="20"/>
  <c r="T66" i="19"/>
  <c r="S66" i="19"/>
  <c r="O66" i="19"/>
  <c r="J59" i="20"/>
  <c r="E66" i="19"/>
  <c r="D59" i="20"/>
  <c r="O65" i="19"/>
  <c r="E65" i="19"/>
  <c r="D58" i="20"/>
  <c r="T64" i="19"/>
  <c r="S64" i="19"/>
  <c r="Y57" i="20"/>
  <c r="O64" i="19"/>
  <c r="J57" i="20"/>
  <c r="E64" i="19"/>
  <c r="D57" i="20"/>
  <c r="O63" i="19"/>
  <c r="E63" i="19"/>
  <c r="D56" i="20"/>
  <c r="T62" i="19"/>
  <c r="S62" i="19"/>
  <c r="Y55" i="20"/>
  <c r="O62" i="19"/>
  <c r="J55" i="20"/>
  <c r="E62" i="19"/>
  <c r="D55" i="20"/>
  <c r="S61" i="19"/>
  <c r="Y54" i="20"/>
  <c r="O61" i="19"/>
  <c r="E61" i="19"/>
  <c r="D54" i="20"/>
  <c r="T60" i="19"/>
  <c r="S60" i="19"/>
  <c r="Y53" i="20"/>
  <c r="O60" i="19"/>
  <c r="J53" i="20"/>
  <c r="E60" i="19"/>
  <c r="D53" i="20"/>
  <c r="S59" i="19"/>
  <c r="Y52" i="20"/>
  <c r="O59" i="19"/>
  <c r="E59" i="19"/>
  <c r="D52" i="20"/>
  <c r="T58" i="19"/>
  <c r="S58" i="19"/>
  <c r="O58" i="19"/>
  <c r="J51" i="20"/>
  <c r="E58" i="19"/>
  <c r="D51" i="20"/>
  <c r="O57" i="19"/>
  <c r="E57" i="19"/>
  <c r="D50" i="20"/>
  <c r="T56" i="19"/>
  <c r="S56" i="19"/>
  <c r="Y49" i="20"/>
  <c r="O56" i="19"/>
  <c r="J49" i="20"/>
  <c r="E56" i="19"/>
  <c r="S55" i="19"/>
  <c r="Y48" i="20"/>
  <c r="O55" i="19"/>
  <c r="E55" i="19"/>
  <c r="D48" i="20"/>
  <c r="T54" i="19"/>
  <c r="S54" i="19"/>
  <c r="Y47" i="20"/>
  <c r="O54" i="19"/>
  <c r="E54" i="19"/>
  <c r="D47" i="20"/>
  <c r="O53" i="19"/>
  <c r="E53" i="19"/>
  <c r="D46" i="20"/>
  <c r="T52" i="19"/>
  <c r="S52" i="19"/>
  <c r="Y45" i="20"/>
  <c r="O52" i="19"/>
  <c r="J45" i="20"/>
  <c r="E52" i="19"/>
  <c r="D45" i="20"/>
  <c r="S51" i="19"/>
  <c r="Y44" i="20"/>
  <c r="O51" i="19"/>
  <c r="E51" i="19"/>
  <c r="D44" i="20"/>
  <c r="T50" i="19"/>
  <c r="S50" i="19"/>
  <c r="Y43" i="20"/>
  <c r="O50" i="19"/>
  <c r="J43" i="20"/>
  <c r="E50" i="19"/>
  <c r="D43" i="20"/>
  <c r="O49" i="19"/>
  <c r="E49" i="19"/>
  <c r="D42" i="20"/>
  <c r="T48" i="19"/>
  <c r="S48" i="19"/>
  <c r="Y41" i="20"/>
  <c r="O48" i="19"/>
  <c r="J41" i="20"/>
  <c r="E48" i="19"/>
  <c r="O47" i="19"/>
  <c r="E47" i="19"/>
  <c r="D40" i="20"/>
  <c r="T46" i="19"/>
  <c r="S46" i="19"/>
  <c r="Y39" i="20"/>
  <c r="O46" i="19"/>
  <c r="J39" i="20"/>
  <c r="E46" i="19"/>
  <c r="D39" i="20"/>
  <c r="S45" i="19"/>
  <c r="Y38" i="20"/>
  <c r="O45" i="19"/>
  <c r="E45" i="19"/>
  <c r="D38" i="20"/>
  <c r="T44" i="19"/>
  <c r="S44" i="19"/>
  <c r="Y37" i="20"/>
  <c r="O44" i="19"/>
  <c r="J37" i="20"/>
  <c r="E44" i="19"/>
  <c r="S43" i="19"/>
  <c r="Y36" i="20"/>
  <c r="O43" i="19"/>
  <c r="E43" i="19"/>
  <c r="D36" i="20"/>
  <c r="T42" i="19"/>
  <c r="S42" i="19"/>
  <c r="Y35" i="20"/>
  <c r="O42" i="19"/>
  <c r="J35" i="20"/>
  <c r="E42" i="19"/>
  <c r="D35" i="20"/>
  <c r="O41" i="19"/>
  <c r="E41" i="19"/>
  <c r="D34" i="20"/>
  <c r="T40" i="19"/>
  <c r="S40" i="19"/>
  <c r="Y33" i="20"/>
  <c r="O40" i="19"/>
  <c r="J33" i="20"/>
  <c r="E40" i="19"/>
  <c r="S39" i="19"/>
  <c r="Y32" i="20"/>
  <c r="O39" i="19"/>
  <c r="E39" i="19"/>
  <c r="D32" i="20"/>
  <c r="T38" i="19"/>
  <c r="S38" i="19"/>
  <c r="O38" i="19"/>
  <c r="J31" i="20"/>
  <c r="E38" i="19"/>
  <c r="D31" i="20"/>
  <c r="O37" i="19"/>
  <c r="E37" i="19"/>
  <c r="D30" i="20"/>
  <c r="T36" i="19"/>
  <c r="S36" i="19"/>
  <c r="Y29" i="20"/>
  <c r="O36" i="19"/>
  <c r="J29" i="20"/>
  <c r="E36" i="19"/>
  <c r="D29" i="20"/>
  <c r="S35" i="19"/>
  <c r="Y28" i="20"/>
  <c r="O35" i="19"/>
  <c r="E35" i="19"/>
  <c r="D28" i="20"/>
  <c r="T34" i="19"/>
  <c r="S34" i="19"/>
  <c r="Y27" i="20"/>
  <c r="O34" i="19"/>
  <c r="E34" i="19"/>
  <c r="D27" i="20"/>
  <c r="O33" i="19"/>
  <c r="E33" i="19"/>
  <c r="D26" i="20"/>
  <c r="T32" i="19"/>
  <c r="S32" i="19"/>
  <c r="Y25" i="20"/>
  <c r="O32" i="19"/>
  <c r="J25" i="20"/>
  <c r="E32" i="19"/>
  <c r="D25" i="20"/>
  <c r="O31" i="19"/>
  <c r="E31" i="19"/>
  <c r="D24" i="20"/>
  <c r="T30" i="19"/>
  <c r="S30" i="19"/>
  <c r="Y23" i="20"/>
  <c r="O30" i="19"/>
  <c r="E30" i="19"/>
  <c r="D23" i="20"/>
  <c r="S29" i="19"/>
  <c r="Y22" i="20"/>
  <c r="O29" i="19"/>
  <c r="E29" i="19"/>
  <c r="D22" i="20"/>
  <c r="T28" i="19"/>
  <c r="S28" i="19"/>
  <c r="Y21" i="20"/>
  <c r="O28" i="19"/>
  <c r="J21" i="20"/>
  <c r="E28" i="19"/>
  <c r="D21" i="20"/>
  <c r="S27" i="19"/>
  <c r="Y20" i="20"/>
  <c r="O27" i="19"/>
  <c r="E27" i="19"/>
  <c r="D20" i="20"/>
  <c r="T26" i="19"/>
  <c r="S26" i="19"/>
  <c r="O26" i="19"/>
  <c r="J19" i="20"/>
  <c r="E26" i="19"/>
  <c r="D19" i="20"/>
  <c r="O25" i="19"/>
  <c r="E25" i="19"/>
  <c r="D18" i="20"/>
  <c r="T24" i="19"/>
  <c r="S24" i="19"/>
  <c r="Y17" i="20"/>
  <c r="O24" i="19"/>
  <c r="J17" i="20"/>
  <c r="E24" i="19"/>
  <c r="D17" i="20"/>
  <c r="S23" i="19"/>
  <c r="Y16" i="20"/>
  <c r="O23" i="19"/>
  <c r="E23" i="19"/>
  <c r="D16" i="20"/>
  <c r="T22" i="19"/>
  <c r="S22" i="19"/>
  <c r="O22" i="19"/>
  <c r="J15" i="20"/>
  <c r="E22" i="19"/>
  <c r="D15" i="20"/>
  <c r="O21" i="19"/>
  <c r="E21" i="19"/>
  <c r="D14" i="20"/>
  <c r="T20" i="19"/>
  <c r="S20" i="19"/>
  <c r="O20" i="19"/>
  <c r="E20" i="19"/>
  <c r="S19" i="19"/>
  <c r="O19" i="19"/>
  <c r="T19" i="19"/>
  <c r="E19" i="19"/>
  <c r="T18" i="19"/>
  <c r="S18" i="19"/>
  <c r="O18" i="19"/>
  <c r="E18" i="19"/>
  <c r="O17" i="19"/>
  <c r="E17" i="19"/>
  <c r="D13" i="20"/>
  <c r="T16" i="19"/>
  <c r="S16" i="19"/>
  <c r="Y12" i="20"/>
  <c r="O16" i="19"/>
  <c r="J12" i="20"/>
  <c r="E16" i="19"/>
  <c r="O15" i="19"/>
  <c r="T15" i="19"/>
  <c r="E15" i="19"/>
  <c r="D11" i="20"/>
  <c r="T14" i="19"/>
  <c r="S14" i="19"/>
  <c r="O14" i="19"/>
  <c r="J10" i="20"/>
  <c r="E14" i="19"/>
  <c r="D10" i="20"/>
  <c r="S13" i="19"/>
  <c r="Y9" i="20"/>
  <c r="O13" i="19"/>
  <c r="E13" i="19"/>
  <c r="D9" i="20"/>
  <c r="T12" i="19"/>
  <c r="S12" i="19"/>
  <c r="O12" i="19"/>
  <c r="J8" i="20"/>
  <c r="E12" i="19"/>
  <c r="D8" i="20"/>
  <c r="S11" i="19"/>
  <c r="O11" i="19"/>
  <c r="T11" i="19"/>
  <c r="E11" i="19"/>
  <c r="T10" i="19"/>
  <c r="S10" i="19"/>
  <c r="O10" i="19"/>
  <c r="E10" i="19"/>
  <c r="O9" i="19"/>
  <c r="E9" i="19"/>
  <c r="T8" i="19"/>
  <c r="S8" i="19"/>
  <c r="O8" i="19"/>
  <c r="E8" i="19"/>
  <c r="S7" i="19"/>
  <c r="Y7" i="20"/>
  <c r="O7" i="19"/>
  <c r="T7" i="19"/>
  <c r="E7" i="19"/>
  <c r="D7" i="20"/>
  <c r="T6" i="19"/>
  <c r="S6" i="19"/>
  <c r="O6" i="19"/>
  <c r="E6" i="19"/>
  <c r="Q18" i="18"/>
  <c r="P18" i="18"/>
  <c r="O18" i="18"/>
  <c r="N18" i="18"/>
  <c r="AZ105" i="20"/>
  <c r="M18" i="18"/>
  <c r="L18" i="18"/>
  <c r="K18" i="18"/>
  <c r="J18" i="18"/>
  <c r="I18" i="18"/>
  <c r="H18" i="18"/>
  <c r="G18" i="18"/>
  <c r="BD105" i="20"/>
  <c r="F18" i="18"/>
  <c r="E18" i="18"/>
  <c r="Q17" i="18"/>
  <c r="P17" i="18"/>
  <c r="O17" i="18"/>
  <c r="N17" i="18"/>
  <c r="M17" i="18"/>
  <c r="L17" i="18"/>
  <c r="K17" i="18"/>
  <c r="J17" i="18"/>
  <c r="I17" i="18"/>
  <c r="H17" i="18"/>
  <c r="G17" i="18"/>
  <c r="F17" i="18"/>
  <c r="E17" i="18"/>
  <c r="Q16" i="18"/>
  <c r="P16" i="18"/>
  <c r="O16" i="18"/>
  <c r="N16" i="18"/>
  <c r="M16" i="18"/>
  <c r="L16" i="18"/>
  <c r="K16" i="18"/>
  <c r="J16" i="18"/>
  <c r="I16" i="18"/>
  <c r="H16" i="18"/>
  <c r="G16" i="18"/>
  <c r="F16" i="18"/>
  <c r="E16" i="18"/>
  <c r="Q15" i="18"/>
  <c r="P15" i="18"/>
  <c r="O15" i="18"/>
  <c r="N15" i="18"/>
  <c r="M15" i="18"/>
  <c r="L15" i="18"/>
  <c r="K15" i="18"/>
  <c r="J15" i="18"/>
  <c r="I15" i="18"/>
  <c r="H15" i="18"/>
  <c r="G15" i="18"/>
  <c r="BD81" i="20"/>
  <c r="F15" i="18"/>
  <c r="E15" i="18"/>
  <c r="Q14" i="18"/>
  <c r="P14" i="18"/>
  <c r="O14" i="18"/>
  <c r="N14" i="18"/>
  <c r="M14" i="18"/>
  <c r="L14" i="18"/>
  <c r="K14" i="18"/>
  <c r="J14" i="18"/>
  <c r="I14" i="18"/>
  <c r="H14" i="18"/>
  <c r="G14" i="18"/>
  <c r="F14" i="18"/>
  <c r="E14" i="18"/>
  <c r="Q13" i="18"/>
  <c r="R59" i="20"/>
  <c r="P13" i="18"/>
  <c r="O13" i="18"/>
  <c r="N13" i="18"/>
  <c r="M13" i="18"/>
  <c r="L13" i="18"/>
  <c r="K13" i="18"/>
  <c r="J13" i="18"/>
  <c r="I13" i="18"/>
  <c r="H13" i="18"/>
  <c r="BB62" i="20"/>
  <c r="G13" i="18"/>
  <c r="BD62" i="20"/>
  <c r="F13" i="18"/>
  <c r="E13" i="18"/>
  <c r="Q12" i="18"/>
  <c r="R46" i="20"/>
  <c r="P12" i="18"/>
  <c r="O12" i="18"/>
  <c r="N12" i="18"/>
  <c r="M12" i="18"/>
  <c r="L12" i="18"/>
  <c r="K12" i="18"/>
  <c r="J12" i="18"/>
  <c r="I12" i="18"/>
  <c r="H12" i="18"/>
  <c r="BB42" i="20"/>
  <c r="G12" i="18"/>
  <c r="BD43" i="20"/>
  <c r="F12" i="18"/>
  <c r="BC42" i="20"/>
  <c r="E12" i="18"/>
  <c r="Q11" i="18"/>
  <c r="P11" i="18"/>
  <c r="O11" i="18"/>
  <c r="BA31" i="20"/>
  <c r="N11" i="18"/>
  <c r="M11" i="18"/>
  <c r="P40" i="20"/>
  <c r="L11" i="18"/>
  <c r="K11" i="18"/>
  <c r="J11" i="18"/>
  <c r="I11" i="18"/>
  <c r="H11" i="18"/>
  <c r="G11" i="18"/>
  <c r="F11" i="18"/>
  <c r="BC38" i="20"/>
  <c r="E11" i="18"/>
  <c r="Q10" i="18"/>
  <c r="P10" i="18"/>
  <c r="O10" i="18"/>
  <c r="N10" i="18"/>
  <c r="M10" i="18"/>
  <c r="P24" i="20"/>
  <c r="L10" i="18"/>
  <c r="O27" i="20"/>
  <c r="K10" i="18"/>
  <c r="J10" i="18"/>
  <c r="I10" i="18"/>
  <c r="H10" i="18"/>
  <c r="BB19" i="20"/>
  <c r="G10" i="18"/>
  <c r="F10" i="18"/>
  <c r="E10" i="18"/>
  <c r="Q9" i="18"/>
  <c r="P9" i="18"/>
  <c r="O9" i="18"/>
  <c r="N9" i="18"/>
  <c r="M9" i="18"/>
  <c r="L9" i="18"/>
  <c r="K9" i="18"/>
  <c r="J9" i="18"/>
  <c r="I9" i="18"/>
  <c r="H9" i="18"/>
  <c r="BB17" i="20"/>
  <c r="G9" i="18"/>
  <c r="F9" i="18"/>
  <c r="E9" i="18"/>
  <c r="Q8" i="18"/>
  <c r="P8" i="18"/>
  <c r="O8" i="18"/>
  <c r="N8" i="18"/>
  <c r="M8" i="18"/>
  <c r="L8" i="18"/>
  <c r="K8" i="18"/>
  <c r="J8" i="18"/>
  <c r="I8" i="18"/>
  <c r="H8" i="18"/>
  <c r="G8" i="18"/>
  <c r="F8" i="18"/>
  <c r="E8" i="18"/>
  <c r="Q7" i="18"/>
  <c r="P7" i="18"/>
  <c r="Q11" i="20"/>
  <c r="O7" i="18"/>
  <c r="BA11" i="20"/>
  <c r="N7" i="18"/>
  <c r="AZ11" i="20"/>
  <c r="M7" i="18"/>
  <c r="L7" i="18"/>
  <c r="O13" i="20"/>
  <c r="K7" i="18"/>
  <c r="N9" i="20"/>
  <c r="J7" i="18"/>
  <c r="M12" i="20"/>
  <c r="I7" i="18"/>
  <c r="H7" i="18"/>
  <c r="BB8" i="20"/>
  <c r="G7" i="18"/>
  <c r="F7" i="18"/>
  <c r="BC9" i="20"/>
  <c r="E7" i="18"/>
  <c r="Q6" i="18"/>
  <c r="R7" i="20"/>
  <c r="P6" i="18"/>
  <c r="O6" i="18"/>
  <c r="BA7" i="20"/>
  <c r="N6" i="18"/>
  <c r="AZ7" i="20"/>
  <c r="M6" i="18"/>
  <c r="P6" i="20"/>
  <c r="L6" i="18"/>
  <c r="O7" i="20"/>
  <c r="K6" i="18"/>
  <c r="N7" i="20"/>
  <c r="J6" i="18"/>
  <c r="M7" i="20"/>
  <c r="I6" i="18"/>
  <c r="H6" i="18"/>
  <c r="BB7" i="20"/>
  <c r="G6" i="18"/>
  <c r="F6" i="18"/>
  <c r="E6" i="18"/>
  <c r="D6" i="9"/>
  <c r="A15" i="8"/>
  <c r="A14" i="8"/>
  <c r="A13" i="8"/>
  <c r="A12" i="8"/>
  <c r="A11" i="8"/>
  <c r="A10" i="8"/>
  <c r="A9" i="8"/>
  <c r="A8" i="8"/>
  <c r="A7" i="8"/>
  <c r="A6" i="8"/>
  <c r="B33" i="7"/>
  <c r="B22" i="7"/>
  <c r="B8" i="7"/>
  <c r="B5" i="7"/>
  <c r="J1086" i="6"/>
  <c r="E1086" i="6"/>
  <c r="J966" i="6"/>
  <c r="E966" i="6"/>
  <c r="J846" i="6"/>
  <c r="E846" i="6"/>
  <c r="J726" i="6"/>
  <c r="E726" i="6"/>
  <c r="J606" i="6"/>
  <c r="E606" i="6"/>
  <c r="J486" i="6"/>
  <c r="E486" i="6"/>
  <c r="J366" i="6"/>
  <c r="E366" i="6"/>
  <c r="J246" i="6"/>
  <c r="E246" i="6"/>
  <c r="J126" i="6"/>
  <c r="E126" i="6"/>
  <c r="J6" i="6"/>
  <c r="E6" i="6"/>
  <c r="M1086" i="5"/>
  <c r="G1086" i="5"/>
  <c r="M966" i="5"/>
  <c r="G966" i="5"/>
  <c r="M846" i="5"/>
  <c r="G846" i="5"/>
  <c r="M726" i="5"/>
  <c r="G726" i="5"/>
  <c r="M606" i="5"/>
  <c r="G606" i="5"/>
  <c r="C537" i="5"/>
  <c r="M486" i="5"/>
  <c r="G486" i="5"/>
  <c r="M366" i="5"/>
  <c r="G366" i="5"/>
  <c r="M246" i="5"/>
  <c r="G246" i="5"/>
  <c r="B168" i="5"/>
  <c r="M126" i="5"/>
  <c r="G126" i="5"/>
  <c r="B68" i="5"/>
  <c r="M6" i="5"/>
  <c r="G6" i="5"/>
  <c r="L1185" i="4"/>
  <c r="H1185" i="6"/>
  <c r="I1185" i="6"/>
  <c r="K1185" i="4"/>
  <c r="D1185" i="5"/>
  <c r="E1185" i="5"/>
  <c r="F1185" i="4"/>
  <c r="E1185" i="4"/>
  <c r="B1185" i="4"/>
  <c r="A1185" i="4"/>
  <c r="K1184" i="4"/>
  <c r="D1184" i="5"/>
  <c r="E1184" i="5"/>
  <c r="F1184" i="4"/>
  <c r="B1184" i="4"/>
  <c r="A1184" i="4"/>
  <c r="L1183" i="4"/>
  <c r="H1183" i="6"/>
  <c r="I1183" i="6"/>
  <c r="K1183" i="4"/>
  <c r="D1183" i="5"/>
  <c r="E1183" i="5"/>
  <c r="F1183" i="4"/>
  <c r="B1183" i="4"/>
  <c r="A1183" i="4"/>
  <c r="K1182" i="4"/>
  <c r="D1182" i="5"/>
  <c r="E1182" i="5"/>
  <c r="F1182" i="4"/>
  <c r="B1182" i="4"/>
  <c r="A1182" i="4"/>
  <c r="L1181" i="4"/>
  <c r="H1181" i="6"/>
  <c r="I1181" i="6"/>
  <c r="K1181" i="4"/>
  <c r="D1181" i="5"/>
  <c r="E1181" i="5"/>
  <c r="F1181" i="4"/>
  <c r="E1181" i="4"/>
  <c r="B1181" i="4"/>
  <c r="A1181" i="4"/>
  <c r="K1180" i="4"/>
  <c r="D1180" i="5"/>
  <c r="E1180" i="5"/>
  <c r="F1180" i="4"/>
  <c r="B1180" i="4"/>
  <c r="A1180" i="4"/>
  <c r="L1179" i="4"/>
  <c r="H1179" i="6"/>
  <c r="I1179" i="6"/>
  <c r="K1179" i="4"/>
  <c r="D1179" i="5"/>
  <c r="E1179" i="5"/>
  <c r="F1179" i="4"/>
  <c r="B1179" i="4"/>
  <c r="A1179" i="4"/>
  <c r="K1178" i="4"/>
  <c r="D1178" i="5"/>
  <c r="E1178" i="5"/>
  <c r="F1178" i="4"/>
  <c r="B1178" i="4"/>
  <c r="A1178" i="4"/>
  <c r="L1177" i="4"/>
  <c r="H1177" i="6"/>
  <c r="I1177" i="6"/>
  <c r="K1177" i="4"/>
  <c r="D1177" i="5"/>
  <c r="E1177" i="5"/>
  <c r="F1177" i="4"/>
  <c r="E1177" i="4"/>
  <c r="B1177" i="4"/>
  <c r="A1177" i="4"/>
  <c r="K1176" i="4"/>
  <c r="D1176" i="5"/>
  <c r="E1176" i="5"/>
  <c r="F1176" i="4"/>
  <c r="B1176" i="4"/>
  <c r="A1176" i="4"/>
  <c r="L1175" i="4"/>
  <c r="H1175" i="6"/>
  <c r="I1175" i="6"/>
  <c r="K1175" i="4"/>
  <c r="D1175" i="5"/>
  <c r="E1175" i="5"/>
  <c r="F1175" i="4"/>
  <c r="B1175" i="4"/>
  <c r="A1175" i="4"/>
  <c r="K1174" i="4"/>
  <c r="D1174" i="5"/>
  <c r="E1174" i="5"/>
  <c r="F1174" i="4"/>
  <c r="B1174" i="4"/>
  <c r="A1174" i="4"/>
  <c r="L1173" i="4"/>
  <c r="H1173" i="6"/>
  <c r="I1173" i="6"/>
  <c r="K1173" i="4"/>
  <c r="D1173" i="5"/>
  <c r="E1173" i="5"/>
  <c r="F1173" i="4"/>
  <c r="E1173" i="4"/>
  <c r="B1173" i="4"/>
  <c r="A1173" i="4"/>
  <c r="K1172" i="4"/>
  <c r="D1172" i="5"/>
  <c r="E1172" i="5"/>
  <c r="F1172" i="4"/>
  <c r="B1172" i="4"/>
  <c r="A1172" i="4"/>
  <c r="L1171" i="4"/>
  <c r="H1171" i="6"/>
  <c r="I1171" i="6"/>
  <c r="K1171" i="4"/>
  <c r="D1171" i="5"/>
  <c r="E1171" i="5"/>
  <c r="F1171" i="4"/>
  <c r="B1171" i="4"/>
  <c r="A1171" i="4"/>
  <c r="K1170" i="4"/>
  <c r="D1170" i="5"/>
  <c r="E1170" i="5"/>
  <c r="F1170" i="4"/>
  <c r="B1170" i="4"/>
  <c r="A1170" i="4"/>
  <c r="L1169" i="4"/>
  <c r="H1169" i="6"/>
  <c r="I1169" i="6"/>
  <c r="K1169" i="4"/>
  <c r="D1169" i="5"/>
  <c r="E1169" i="5"/>
  <c r="F1169" i="4"/>
  <c r="E1169" i="4"/>
  <c r="B1169" i="4"/>
  <c r="A1169" i="4"/>
  <c r="K1168" i="4"/>
  <c r="D1168" i="5"/>
  <c r="E1168" i="5"/>
  <c r="F1168" i="4"/>
  <c r="B1168" i="4"/>
  <c r="A1168" i="4"/>
  <c r="L1167" i="4"/>
  <c r="H1167" i="6"/>
  <c r="I1167" i="6"/>
  <c r="K1167" i="4"/>
  <c r="D1167" i="5"/>
  <c r="E1167" i="5"/>
  <c r="F1167" i="4"/>
  <c r="B1167" i="4"/>
  <c r="A1167" i="4"/>
  <c r="K1166" i="4"/>
  <c r="D1166" i="5"/>
  <c r="E1166" i="5"/>
  <c r="F1166" i="4"/>
  <c r="B1166" i="4"/>
  <c r="A1166" i="4"/>
  <c r="L1165" i="4"/>
  <c r="H1165" i="6"/>
  <c r="I1165" i="6"/>
  <c r="K1165" i="4"/>
  <c r="D1165" i="5"/>
  <c r="E1165" i="5"/>
  <c r="F1165" i="4"/>
  <c r="E1165" i="4"/>
  <c r="B1165" i="4"/>
  <c r="A1165" i="4"/>
  <c r="K1164" i="4"/>
  <c r="D1164" i="5"/>
  <c r="E1164" i="5"/>
  <c r="F1164" i="4"/>
  <c r="B1164" i="4"/>
  <c r="A1164" i="4"/>
  <c r="L1163" i="4"/>
  <c r="H1163" i="6"/>
  <c r="I1163" i="6"/>
  <c r="K1163" i="4"/>
  <c r="D1163" i="5"/>
  <c r="E1163" i="5"/>
  <c r="F1163" i="4"/>
  <c r="B1163" i="4"/>
  <c r="A1163" i="4"/>
  <c r="K1162" i="4"/>
  <c r="D1162" i="5"/>
  <c r="E1162" i="5"/>
  <c r="F1162" i="4"/>
  <c r="B1162" i="4"/>
  <c r="A1162" i="4"/>
  <c r="L1161" i="4"/>
  <c r="H1161" i="6"/>
  <c r="I1161" i="6"/>
  <c r="K1161" i="4"/>
  <c r="D1161" i="5"/>
  <c r="E1161" i="5"/>
  <c r="F1161" i="4"/>
  <c r="E1161" i="4"/>
  <c r="B1161" i="4"/>
  <c r="A1161" i="4"/>
  <c r="K1160" i="4"/>
  <c r="D1160" i="5"/>
  <c r="E1160" i="5"/>
  <c r="F1160" i="4"/>
  <c r="B1160" i="4"/>
  <c r="A1160" i="4"/>
  <c r="L1159" i="4"/>
  <c r="H1159" i="6"/>
  <c r="I1159" i="6"/>
  <c r="K1159" i="4"/>
  <c r="D1159" i="5"/>
  <c r="E1159" i="5"/>
  <c r="F1159" i="4"/>
  <c r="B1159" i="4"/>
  <c r="A1159" i="4"/>
  <c r="K1158" i="4"/>
  <c r="D1158" i="5"/>
  <c r="E1158" i="5"/>
  <c r="F1158" i="4"/>
  <c r="B1158" i="4"/>
  <c r="A1158" i="4"/>
  <c r="L1157" i="4"/>
  <c r="H1157" i="6"/>
  <c r="I1157" i="6"/>
  <c r="K1157" i="4"/>
  <c r="D1157" i="5"/>
  <c r="E1157" i="5"/>
  <c r="F1157" i="4"/>
  <c r="E1157" i="4"/>
  <c r="B1157" i="4"/>
  <c r="A1157" i="4"/>
  <c r="K1156" i="4"/>
  <c r="D1156" i="5"/>
  <c r="E1156" i="5"/>
  <c r="F1156" i="4"/>
  <c r="B1156" i="4"/>
  <c r="A1156" i="4"/>
  <c r="L1155" i="4"/>
  <c r="H1155" i="6"/>
  <c r="I1155" i="6"/>
  <c r="K1155" i="4"/>
  <c r="D1155" i="5"/>
  <c r="E1155" i="5"/>
  <c r="F1155" i="4"/>
  <c r="B1155" i="4"/>
  <c r="A1155" i="4"/>
  <c r="K1154" i="4"/>
  <c r="D1154" i="5"/>
  <c r="E1154" i="5"/>
  <c r="F1154" i="4"/>
  <c r="B1154" i="4"/>
  <c r="A1154" i="4"/>
  <c r="L1153" i="4"/>
  <c r="H1153" i="6"/>
  <c r="I1153" i="6"/>
  <c r="K1153" i="4"/>
  <c r="D1153" i="5"/>
  <c r="E1153" i="5"/>
  <c r="F1153" i="4"/>
  <c r="E1153" i="4"/>
  <c r="B1153" i="4"/>
  <c r="A1153" i="4"/>
  <c r="K1152" i="4"/>
  <c r="D1152" i="5"/>
  <c r="E1152" i="5"/>
  <c r="F1152" i="4"/>
  <c r="B1152" i="4"/>
  <c r="A1152" i="4"/>
  <c r="L1151" i="4"/>
  <c r="H1151" i="6"/>
  <c r="I1151" i="6"/>
  <c r="K1151" i="4"/>
  <c r="D1151" i="5"/>
  <c r="E1151" i="5"/>
  <c r="F1151" i="4"/>
  <c r="B1151" i="4"/>
  <c r="A1151" i="4"/>
  <c r="K1150" i="4"/>
  <c r="D1150" i="5"/>
  <c r="E1150" i="5"/>
  <c r="F1150" i="4"/>
  <c r="B1150" i="4"/>
  <c r="A1150" i="4"/>
  <c r="L1149" i="4"/>
  <c r="H1149" i="6"/>
  <c r="I1149" i="6"/>
  <c r="K1149" i="4"/>
  <c r="D1149" i="5"/>
  <c r="E1149" i="5"/>
  <c r="F1149" i="4"/>
  <c r="E1149" i="4"/>
  <c r="B1149" i="4"/>
  <c r="A1149" i="4"/>
  <c r="K1148" i="4"/>
  <c r="D1148" i="5"/>
  <c r="E1148" i="5"/>
  <c r="F1148" i="4"/>
  <c r="B1148" i="4"/>
  <c r="A1148" i="4"/>
  <c r="L1147" i="4"/>
  <c r="H1147" i="6"/>
  <c r="I1147" i="6"/>
  <c r="K1147" i="4"/>
  <c r="D1147" i="5"/>
  <c r="E1147" i="5"/>
  <c r="F1147" i="4"/>
  <c r="B1147" i="4"/>
  <c r="A1147" i="4"/>
  <c r="K1146" i="4"/>
  <c r="D1146" i="5"/>
  <c r="E1146" i="5"/>
  <c r="F1146" i="4"/>
  <c r="B1146" i="4"/>
  <c r="A1146" i="4"/>
  <c r="L1145" i="4"/>
  <c r="H1145" i="6"/>
  <c r="I1145" i="6"/>
  <c r="K1145" i="4"/>
  <c r="D1145" i="5"/>
  <c r="E1145" i="5"/>
  <c r="F1145" i="4"/>
  <c r="E1145" i="4"/>
  <c r="B1145" i="4"/>
  <c r="A1145" i="4"/>
  <c r="K1144" i="4"/>
  <c r="D1144" i="5"/>
  <c r="E1144" i="5"/>
  <c r="F1144" i="4"/>
  <c r="B1144" i="4"/>
  <c r="A1144" i="4"/>
  <c r="L1143" i="4"/>
  <c r="H1143" i="6"/>
  <c r="I1143" i="6"/>
  <c r="K1143" i="4"/>
  <c r="D1143" i="5"/>
  <c r="E1143" i="5"/>
  <c r="F1143" i="4"/>
  <c r="B1143" i="4"/>
  <c r="A1143" i="4"/>
  <c r="K1142" i="4"/>
  <c r="D1142" i="5"/>
  <c r="E1142" i="5"/>
  <c r="F1142" i="4"/>
  <c r="B1142" i="4"/>
  <c r="A1142" i="4"/>
  <c r="L1141" i="4"/>
  <c r="H1141" i="6"/>
  <c r="I1141" i="6"/>
  <c r="K1141" i="4"/>
  <c r="D1141" i="5"/>
  <c r="E1141" i="5"/>
  <c r="F1141" i="4"/>
  <c r="E1141" i="4"/>
  <c r="B1141" i="4"/>
  <c r="A1141" i="4"/>
  <c r="K1140" i="4"/>
  <c r="D1140" i="5"/>
  <c r="E1140" i="5"/>
  <c r="F1140" i="4"/>
  <c r="B1140" i="4"/>
  <c r="A1140" i="4"/>
  <c r="L1139" i="4"/>
  <c r="H1139" i="6"/>
  <c r="I1139" i="6"/>
  <c r="K1139" i="4"/>
  <c r="D1139" i="5"/>
  <c r="E1139" i="5"/>
  <c r="F1139" i="4"/>
  <c r="B1139" i="4"/>
  <c r="A1139" i="4"/>
  <c r="K1138" i="4"/>
  <c r="D1138" i="5"/>
  <c r="E1138" i="5"/>
  <c r="F1138" i="4"/>
  <c r="B1138" i="4"/>
  <c r="A1138" i="4"/>
  <c r="L1137" i="4"/>
  <c r="H1137" i="6"/>
  <c r="I1137" i="6"/>
  <c r="K1137" i="4"/>
  <c r="D1137" i="5"/>
  <c r="E1137" i="5"/>
  <c r="F1137" i="4"/>
  <c r="E1137" i="4"/>
  <c r="B1137" i="4"/>
  <c r="A1137" i="4"/>
  <c r="K1136" i="4"/>
  <c r="D1136" i="5"/>
  <c r="E1136" i="5"/>
  <c r="F1136" i="4"/>
  <c r="B1136" i="4"/>
  <c r="A1136" i="4"/>
  <c r="L1135" i="4"/>
  <c r="H1135" i="6"/>
  <c r="I1135" i="6"/>
  <c r="K1135" i="4"/>
  <c r="D1135" i="5"/>
  <c r="E1135" i="5"/>
  <c r="F1135" i="4"/>
  <c r="B1135" i="4"/>
  <c r="A1135" i="4"/>
  <c r="K1134" i="4"/>
  <c r="D1134" i="5"/>
  <c r="E1134" i="5"/>
  <c r="F1134" i="4"/>
  <c r="B1134" i="4"/>
  <c r="A1134" i="4"/>
  <c r="L1133" i="4"/>
  <c r="H1133" i="6"/>
  <c r="I1133" i="6"/>
  <c r="K1133" i="4"/>
  <c r="D1133" i="5"/>
  <c r="E1133" i="5"/>
  <c r="F1133" i="4"/>
  <c r="E1133" i="4"/>
  <c r="B1133" i="4"/>
  <c r="A1133" i="4"/>
  <c r="K1132" i="4"/>
  <c r="D1132" i="5"/>
  <c r="E1132" i="5"/>
  <c r="F1132" i="4"/>
  <c r="B1132" i="4"/>
  <c r="A1132" i="4"/>
  <c r="L1131" i="4"/>
  <c r="H1131" i="6"/>
  <c r="I1131" i="6"/>
  <c r="K1131" i="4"/>
  <c r="D1131" i="5"/>
  <c r="E1131" i="5"/>
  <c r="F1131" i="4"/>
  <c r="B1131" i="4"/>
  <c r="A1131" i="4"/>
  <c r="K1130" i="4"/>
  <c r="D1130" i="5"/>
  <c r="E1130" i="5"/>
  <c r="F1130" i="4"/>
  <c r="B1130" i="4"/>
  <c r="A1130" i="4"/>
  <c r="L1129" i="4"/>
  <c r="H1129" i="6"/>
  <c r="I1129" i="6"/>
  <c r="K1129" i="4"/>
  <c r="D1129" i="5"/>
  <c r="E1129" i="5"/>
  <c r="F1129" i="4"/>
  <c r="E1129" i="4"/>
  <c r="B1129" i="4"/>
  <c r="A1129" i="4"/>
  <c r="K1128" i="4"/>
  <c r="D1128" i="5"/>
  <c r="E1128" i="5"/>
  <c r="F1128" i="4"/>
  <c r="B1128" i="4"/>
  <c r="A1128" i="4"/>
  <c r="L1127" i="4"/>
  <c r="H1127" i="6"/>
  <c r="I1127" i="6"/>
  <c r="K1127" i="4"/>
  <c r="D1127" i="5"/>
  <c r="E1127" i="5"/>
  <c r="F1127" i="4"/>
  <c r="B1127" i="4"/>
  <c r="A1127" i="4"/>
  <c r="K1126" i="4"/>
  <c r="D1126" i="5"/>
  <c r="E1126" i="5"/>
  <c r="F1126" i="4"/>
  <c r="B1126" i="4"/>
  <c r="A1126" i="4"/>
  <c r="L1125" i="4"/>
  <c r="H1125" i="6"/>
  <c r="I1125" i="6"/>
  <c r="K1125" i="4"/>
  <c r="D1125" i="5"/>
  <c r="E1125" i="5"/>
  <c r="F1125" i="4"/>
  <c r="B1125" i="4"/>
  <c r="A1125" i="4"/>
  <c r="K1124" i="4"/>
  <c r="D1124" i="5"/>
  <c r="E1124" i="5"/>
  <c r="F1124" i="4"/>
  <c r="E1125" i="4"/>
  <c r="B1124" i="4"/>
  <c r="A1124" i="4"/>
  <c r="L1123" i="4"/>
  <c r="H1123" i="6"/>
  <c r="I1123" i="6"/>
  <c r="K1123" i="4"/>
  <c r="D1123" i="5"/>
  <c r="E1123" i="5"/>
  <c r="F1123" i="4"/>
  <c r="B1123" i="4"/>
  <c r="A1123" i="4"/>
  <c r="K1122" i="4"/>
  <c r="D1122" i="5"/>
  <c r="E1122" i="5"/>
  <c r="F1122" i="4"/>
  <c r="B1122" i="4"/>
  <c r="A1122" i="4"/>
  <c r="L1121" i="4"/>
  <c r="H1121" i="6"/>
  <c r="I1121" i="6"/>
  <c r="K1121" i="4"/>
  <c r="D1121" i="5"/>
  <c r="E1121" i="5"/>
  <c r="F1121" i="4"/>
  <c r="E1121" i="4"/>
  <c r="B1121" i="4"/>
  <c r="A1121" i="4"/>
  <c r="K1120" i="4"/>
  <c r="D1120" i="5"/>
  <c r="E1120" i="5"/>
  <c r="F1120" i="4"/>
  <c r="B1120" i="4"/>
  <c r="A1120" i="4"/>
  <c r="L1119" i="4"/>
  <c r="H1119" i="6"/>
  <c r="I1119" i="6"/>
  <c r="K1119" i="4"/>
  <c r="D1119" i="5"/>
  <c r="E1119" i="5"/>
  <c r="F1119" i="4"/>
  <c r="E1119" i="4"/>
  <c r="B1119" i="4"/>
  <c r="A1119" i="4"/>
  <c r="K1118" i="4"/>
  <c r="D1118" i="5"/>
  <c r="E1118" i="5"/>
  <c r="F1118" i="4"/>
  <c r="B1118" i="4"/>
  <c r="A1118" i="4"/>
  <c r="L1117" i="4"/>
  <c r="H1117" i="6"/>
  <c r="I1117" i="6"/>
  <c r="K1117" i="4"/>
  <c r="D1117" i="5"/>
  <c r="E1117" i="5"/>
  <c r="F1117" i="4"/>
  <c r="B1117" i="4"/>
  <c r="A1117" i="4"/>
  <c r="K1116" i="4"/>
  <c r="D1116" i="5"/>
  <c r="E1116" i="5"/>
  <c r="F1116" i="4"/>
  <c r="B1116" i="4"/>
  <c r="A1116" i="4"/>
  <c r="L1115" i="4"/>
  <c r="H1115" i="6"/>
  <c r="I1115" i="6"/>
  <c r="K1115" i="4"/>
  <c r="D1115" i="5"/>
  <c r="E1115" i="5"/>
  <c r="F1115" i="4"/>
  <c r="B1115" i="4"/>
  <c r="A1115" i="4"/>
  <c r="K1114" i="4"/>
  <c r="D1114" i="5"/>
  <c r="E1114" i="5"/>
  <c r="F1114" i="4"/>
  <c r="B1114" i="4"/>
  <c r="A1114" i="4"/>
  <c r="L1113" i="4"/>
  <c r="H1113" i="6"/>
  <c r="I1113" i="6"/>
  <c r="K1113" i="4"/>
  <c r="D1113" i="5"/>
  <c r="E1113" i="5"/>
  <c r="F1113" i="4"/>
  <c r="B1113" i="4"/>
  <c r="A1113" i="4"/>
  <c r="K1112" i="4"/>
  <c r="D1112" i="5"/>
  <c r="E1112" i="5"/>
  <c r="F1112" i="4"/>
  <c r="B1112" i="4"/>
  <c r="A1112" i="4"/>
  <c r="L1111" i="4"/>
  <c r="H1111" i="6"/>
  <c r="I1111" i="6"/>
  <c r="K1111" i="4"/>
  <c r="D1111" i="5"/>
  <c r="E1111" i="5"/>
  <c r="F1111" i="4"/>
  <c r="E1111" i="4"/>
  <c r="B1111" i="4"/>
  <c r="A1111" i="4"/>
  <c r="K1110" i="4"/>
  <c r="D1110" i="5"/>
  <c r="E1110" i="5"/>
  <c r="F1110" i="4"/>
  <c r="B1110" i="4"/>
  <c r="A1110" i="4"/>
  <c r="L1109" i="4"/>
  <c r="H1109" i="6"/>
  <c r="I1109" i="6"/>
  <c r="K1109" i="4"/>
  <c r="D1109" i="5"/>
  <c r="E1109" i="5"/>
  <c r="F1109" i="4"/>
  <c r="B1109" i="4"/>
  <c r="A1109" i="4"/>
  <c r="K1108" i="4"/>
  <c r="D1108" i="5"/>
  <c r="E1108" i="5"/>
  <c r="F1108" i="4"/>
  <c r="B1108" i="4"/>
  <c r="A1108" i="4"/>
  <c r="L1107" i="4"/>
  <c r="H1107" i="6"/>
  <c r="I1107" i="6"/>
  <c r="K1107" i="4"/>
  <c r="D1107" i="5"/>
  <c r="E1107" i="5"/>
  <c r="F1107" i="4"/>
  <c r="E1107" i="4"/>
  <c r="B1107" i="4"/>
  <c r="A1107" i="4"/>
  <c r="K1106" i="4"/>
  <c r="D1106" i="5"/>
  <c r="E1106" i="5"/>
  <c r="F1106" i="4"/>
  <c r="B1106" i="4"/>
  <c r="A1106" i="4"/>
  <c r="L1105" i="4"/>
  <c r="H1105" i="6"/>
  <c r="I1105" i="6"/>
  <c r="K1105" i="4"/>
  <c r="D1105" i="5"/>
  <c r="E1105" i="5"/>
  <c r="F1105" i="4"/>
  <c r="B1105" i="4"/>
  <c r="A1105" i="4"/>
  <c r="K1104" i="4"/>
  <c r="D1104" i="5"/>
  <c r="E1104" i="5"/>
  <c r="F1104" i="4"/>
  <c r="B1104" i="4"/>
  <c r="A1104" i="4"/>
  <c r="L1103" i="4"/>
  <c r="H1103" i="6"/>
  <c r="I1103" i="6"/>
  <c r="K1103" i="4"/>
  <c r="D1103" i="5"/>
  <c r="E1103" i="5"/>
  <c r="F1103" i="4"/>
  <c r="B1103" i="4"/>
  <c r="A1103" i="4"/>
  <c r="K1102" i="4"/>
  <c r="D1102" i="5"/>
  <c r="E1102" i="5"/>
  <c r="F1102" i="4"/>
  <c r="B1102" i="4"/>
  <c r="A1102" i="4"/>
  <c r="L1101" i="4"/>
  <c r="H1101" i="6"/>
  <c r="I1101" i="6"/>
  <c r="K1101" i="4"/>
  <c r="D1101" i="5"/>
  <c r="E1101" i="5"/>
  <c r="F1101" i="4"/>
  <c r="B1101" i="4"/>
  <c r="A1101" i="4"/>
  <c r="K1100" i="4"/>
  <c r="D1100" i="5"/>
  <c r="E1100" i="5"/>
  <c r="F1100" i="4"/>
  <c r="E1101" i="4"/>
  <c r="B1100" i="4"/>
  <c r="A1100" i="4"/>
  <c r="L1099" i="4"/>
  <c r="H1099" i="6"/>
  <c r="I1099" i="6"/>
  <c r="K1099" i="4"/>
  <c r="D1099" i="5"/>
  <c r="E1099" i="5"/>
  <c r="F1099" i="4"/>
  <c r="B1099" i="4"/>
  <c r="A1099" i="4"/>
  <c r="K1098" i="4"/>
  <c r="D1098" i="5"/>
  <c r="E1098" i="5"/>
  <c r="F1098" i="4"/>
  <c r="B1098" i="4"/>
  <c r="A1098" i="4"/>
  <c r="L1097" i="4"/>
  <c r="H1097" i="6"/>
  <c r="I1097" i="6"/>
  <c r="K1097" i="4"/>
  <c r="D1097" i="5"/>
  <c r="E1097" i="5"/>
  <c r="F1097" i="4"/>
  <c r="E1097" i="4"/>
  <c r="B1097" i="4"/>
  <c r="A1097" i="4"/>
  <c r="K1096" i="4"/>
  <c r="D1096" i="5"/>
  <c r="E1096" i="5"/>
  <c r="F1096" i="4"/>
  <c r="B1096" i="4"/>
  <c r="A1096" i="4"/>
  <c r="L1095" i="4"/>
  <c r="H1095" i="6"/>
  <c r="I1095" i="6"/>
  <c r="K1095" i="4"/>
  <c r="D1095" i="5"/>
  <c r="E1095" i="5"/>
  <c r="F1095" i="4"/>
  <c r="E1095" i="4"/>
  <c r="B1095" i="4"/>
  <c r="A1095" i="4"/>
  <c r="K1094" i="4"/>
  <c r="D1094" i="5"/>
  <c r="E1094" i="5"/>
  <c r="F1094" i="4"/>
  <c r="B1094" i="4"/>
  <c r="A1094" i="4"/>
  <c r="L1093" i="4"/>
  <c r="H1093" i="6"/>
  <c r="I1093" i="6"/>
  <c r="K1093" i="4"/>
  <c r="D1093" i="5"/>
  <c r="E1093" i="5"/>
  <c r="F1093" i="4"/>
  <c r="B1093" i="4"/>
  <c r="A1093" i="4"/>
  <c r="K1092" i="4"/>
  <c r="D1092" i="5"/>
  <c r="E1092" i="5"/>
  <c r="F1092" i="4"/>
  <c r="B1092" i="4"/>
  <c r="A1092" i="4"/>
  <c r="L1091" i="4"/>
  <c r="H1091" i="6"/>
  <c r="I1091" i="6"/>
  <c r="K1091" i="4"/>
  <c r="D1091" i="5"/>
  <c r="E1091" i="5"/>
  <c r="F1091" i="4"/>
  <c r="B1091" i="4"/>
  <c r="A1091" i="4"/>
  <c r="K1090" i="4"/>
  <c r="D1090" i="5"/>
  <c r="E1090" i="5"/>
  <c r="F1090" i="4"/>
  <c r="B1090" i="4"/>
  <c r="A1090" i="4"/>
  <c r="L1089" i="4"/>
  <c r="H1089" i="6"/>
  <c r="I1089" i="6"/>
  <c r="K1089" i="4"/>
  <c r="D1089" i="5"/>
  <c r="E1089" i="5"/>
  <c r="F1089" i="4"/>
  <c r="B1089" i="4"/>
  <c r="A1089" i="4"/>
  <c r="K1088" i="4"/>
  <c r="D1088" i="5"/>
  <c r="E1088" i="5"/>
  <c r="F1088" i="4"/>
  <c r="B1088" i="4"/>
  <c r="A1088" i="4"/>
  <c r="L1087" i="4"/>
  <c r="H1087" i="6"/>
  <c r="I1087" i="6"/>
  <c r="K1087" i="4"/>
  <c r="D1087" i="5"/>
  <c r="E1087" i="5"/>
  <c r="F1087" i="4"/>
  <c r="B1087" i="4"/>
  <c r="A1087" i="4"/>
  <c r="K1086" i="4"/>
  <c r="D1086" i="5"/>
  <c r="E1086" i="5"/>
  <c r="F1086" i="4"/>
  <c r="B1086" i="4"/>
  <c r="A1086" i="4"/>
  <c r="L1065" i="4"/>
  <c r="H1065" i="6"/>
  <c r="I1065" i="6"/>
  <c r="K1065" i="4"/>
  <c r="D1065" i="5"/>
  <c r="E1065" i="5"/>
  <c r="F1065" i="4"/>
  <c r="B1065" i="4"/>
  <c r="A1065" i="4"/>
  <c r="K1064" i="4"/>
  <c r="D1064" i="5"/>
  <c r="E1064" i="5"/>
  <c r="F1064" i="4"/>
  <c r="B1064" i="4"/>
  <c r="A1064" i="4"/>
  <c r="L1063" i="4"/>
  <c r="H1063" i="6"/>
  <c r="I1063" i="6"/>
  <c r="K1063" i="4"/>
  <c r="D1063" i="5"/>
  <c r="E1063" i="5"/>
  <c r="F1063" i="4"/>
  <c r="B1063" i="4"/>
  <c r="A1063" i="4"/>
  <c r="K1062" i="4"/>
  <c r="D1062" i="5"/>
  <c r="E1062" i="5"/>
  <c r="F1062" i="4"/>
  <c r="B1062" i="4"/>
  <c r="A1062" i="4"/>
  <c r="L1061" i="4"/>
  <c r="H1061" i="6"/>
  <c r="I1061" i="6"/>
  <c r="K1061" i="4"/>
  <c r="D1061" i="5"/>
  <c r="E1061" i="5"/>
  <c r="F1061" i="4"/>
  <c r="B1061" i="4"/>
  <c r="A1061" i="4"/>
  <c r="K1060" i="4"/>
  <c r="D1060" i="5"/>
  <c r="E1060" i="5"/>
  <c r="F1060" i="4"/>
  <c r="B1060" i="4"/>
  <c r="A1060" i="4"/>
  <c r="L1059" i="4"/>
  <c r="H1059" i="6"/>
  <c r="I1059" i="6"/>
  <c r="K1059" i="4"/>
  <c r="D1059" i="5"/>
  <c r="E1059" i="5"/>
  <c r="F1059" i="4"/>
  <c r="B1059" i="4"/>
  <c r="A1059" i="4"/>
  <c r="K1058" i="4"/>
  <c r="D1058" i="5"/>
  <c r="E1058" i="5"/>
  <c r="F1058" i="4"/>
  <c r="B1058" i="4"/>
  <c r="A1058" i="4"/>
  <c r="L1057" i="4"/>
  <c r="H1057" i="6"/>
  <c r="I1057" i="6"/>
  <c r="K1057" i="4"/>
  <c r="D1057" i="5"/>
  <c r="E1057" i="5"/>
  <c r="F1057" i="4"/>
  <c r="B1057" i="4"/>
  <c r="A1057" i="4"/>
  <c r="K1056" i="4"/>
  <c r="D1056" i="5"/>
  <c r="E1056" i="5"/>
  <c r="F1056" i="4"/>
  <c r="B1056" i="4"/>
  <c r="A1056" i="4"/>
  <c r="L1055" i="4"/>
  <c r="H1055" i="6"/>
  <c r="I1055" i="6"/>
  <c r="K1055" i="4"/>
  <c r="D1055" i="5"/>
  <c r="E1055" i="5"/>
  <c r="F1055" i="4"/>
  <c r="B1055" i="4"/>
  <c r="A1055" i="4"/>
  <c r="K1054" i="4"/>
  <c r="D1054" i="5"/>
  <c r="E1054" i="5"/>
  <c r="F1054" i="4"/>
  <c r="B1054" i="4"/>
  <c r="A1054" i="4"/>
  <c r="L1053" i="4"/>
  <c r="H1053" i="6"/>
  <c r="I1053" i="6"/>
  <c r="K1053" i="4"/>
  <c r="D1053" i="5"/>
  <c r="E1053" i="5"/>
  <c r="F1053" i="4"/>
  <c r="B1053" i="4"/>
  <c r="A1053" i="4"/>
  <c r="K1052" i="4"/>
  <c r="D1052" i="5"/>
  <c r="E1052" i="5"/>
  <c r="F1052" i="4"/>
  <c r="B1052" i="4"/>
  <c r="A1052" i="4"/>
  <c r="L1051" i="4"/>
  <c r="H1051" i="6"/>
  <c r="I1051" i="6"/>
  <c r="K1051" i="4"/>
  <c r="D1051" i="5"/>
  <c r="E1051" i="5"/>
  <c r="F1051" i="4"/>
  <c r="B1051" i="4"/>
  <c r="A1051" i="4"/>
  <c r="K1050" i="4"/>
  <c r="D1050" i="5"/>
  <c r="E1050" i="5"/>
  <c r="F1050" i="4"/>
  <c r="B1050" i="4"/>
  <c r="A1050" i="4"/>
  <c r="L1049" i="4"/>
  <c r="H1049" i="6"/>
  <c r="I1049" i="6"/>
  <c r="K1049" i="4"/>
  <c r="D1049" i="5"/>
  <c r="E1049" i="5"/>
  <c r="F1049" i="4"/>
  <c r="B1049" i="4"/>
  <c r="A1049" i="4"/>
  <c r="K1048" i="4"/>
  <c r="D1048" i="5"/>
  <c r="E1048" i="5"/>
  <c r="F1048" i="4"/>
  <c r="B1048" i="4"/>
  <c r="A1048" i="4"/>
  <c r="L1047" i="4"/>
  <c r="H1047" i="6"/>
  <c r="I1047" i="6"/>
  <c r="K1047" i="4"/>
  <c r="D1047" i="5"/>
  <c r="E1047" i="5"/>
  <c r="F1047" i="4"/>
  <c r="B1047" i="4"/>
  <c r="A1047" i="4"/>
  <c r="K1046" i="4"/>
  <c r="D1046" i="5"/>
  <c r="E1046" i="5"/>
  <c r="F1046" i="4"/>
  <c r="B1046" i="4"/>
  <c r="A1046" i="4"/>
  <c r="L1045" i="4"/>
  <c r="H1045" i="6"/>
  <c r="I1045" i="6"/>
  <c r="K1045" i="4"/>
  <c r="D1045" i="5"/>
  <c r="E1045" i="5"/>
  <c r="F1045" i="4"/>
  <c r="B1045" i="4"/>
  <c r="A1045" i="4"/>
  <c r="K1044" i="4"/>
  <c r="D1044" i="5"/>
  <c r="E1044" i="5"/>
  <c r="F1044" i="4"/>
  <c r="B1044" i="4"/>
  <c r="A1044" i="4"/>
  <c r="L1043" i="4"/>
  <c r="H1043" i="6"/>
  <c r="I1043" i="6"/>
  <c r="K1043" i="4"/>
  <c r="D1043" i="5"/>
  <c r="E1043" i="5"/>
  <c r="F1043" i="4"/>
  <c r="B1043" i="4"/>
  <c r="A1043" i="4"/>
  <c r="K1042" i="4"/>
  <c r="D1042" i="5"/>
  <c r="E1042" i="5"/>
  <c r="F1042" i="4"/>
  <c r="B1042" i="4"/>
  <c r="A1042" i="4"/>
  <c r="L1041" i="4"/>
  <c r="H1041" i="6"/>
  <c r="I1041" i="6"/>
  <c r="K1041" i="4"/>
  <c r="D1041" i="5"/>
  <c r="E1041" i="5"/>
  <c r="F1041" i="4"/>
  <c r="B1041" i="4"/>
  <c r="A1041" i="4"/>
  <c r="K1040" i="4"/>
  <c r="F1040" i="4"/>
  <c r="E1041" i="4"/>
  <c r="B1040" i="4"/>
  <c r="A1040" i="4"/>
  <c r="L1039" i="4"/>
  <c r="H1039" i="6"/>
  <c r="I1039" i="6"/>
  <c r="K1039" i="4"/>
  <c r="D1039" i="5"/>
  <c r="E1039" i="5"/>
  <c r="F1039" i="4"/>
  <c r="B1039" i="4"/>
  <c r="A1039" i="4"/>
  <c r="K1038" i="4"/>
  <c r="F1038" i="4"/>
  <c r="B1038" i="4"/>
  <c r="A1038" i="4"/>
  <c r="K1037" i="4"/>
  <c r="F1037" i="4"/>
  <c r="E1037" i="4"/>
  <c r="B1037" i="4"/>
  <c r="A1037" i="4"/>
  <c r="K1036" i="4"/>
  <c r="F1036" i="4"/>
  <c r="B1036" i="4"/>
  <c r="A1036" i="4"/>
  <c r="L1035" i="4"/>
  <c r="H1035" i="6"/>
  <c r="I1035" i="6"/>
  <c r="K1035" i="4"/>
  <c r="D1035" i="5"/>
  <c r="E1035" i="5"/>
  <c r="F1035" i="4"/>
  <c r="B1035" i="4"/>
  <c r="A1035" i="4"/>
  <c r="K1034" i="4"/>
  <c r="F1034" i="4"/>
  <c r="B1034" i="4"/>
  <c r="A1034" i="4"/>
  <c r="K1033" i="4"/>
  <c r="F1033" i="4"/>
  <c r="E1033" i="4"/>
  <c r="B1033" i="4"/>
  <c r="A1033" i="4"/>
  <c r="K1032" i="4"/>
  <c r="F1032" i="4"/>
  <c r="B1032" i="4"/>
  <c r="A1032" i="4"/>
  <c r="L1031" i="4"/>
  <c r="H1031" i="6"/>
  <c r="I1031" i="6"/>
  <c r="K1031" i="4"/>
  <c r="D1031" i="5"/>
  <c r="E1031" i="5"/>
  <c r="F1031" i="4"/>
  <c r="B1031" i="4"/>
  <c r="A1031" i="4"/>
  <c r="K1030" i="4"/>
  <c r="F1030" i="4"/>
  <c r="B1030" i="4"/>
  <c r="A1030" i="4"/>
  <c r="K1029" i="4"/>
  <c r="F1029" i="4"/>
  <c r="E1029" i="4"/>
  <c r="B1029" i="4"/>
  <c r="A1029" i="4"/>
  <c r="K1028" i="4"/>
  <c r="F1028" i="4"/>
  <c r="B1028" i="4"/>
  <c r="A1028" i="4"/>
  <c r="L1027" i="4"/>
  <c r="H1027" i="6"/>
  <c r="I1027" i="6"/>
  <c r="K1027" i="4"/>
  <c r="D1027" i="5"/>
  <c r="E1027" i="5"/>
  <c r="F1027" i="4"/>
  <c r="B1027" i="4"/>
  <c r="A1027" i="4"/>
  <c r="K1026" i="4"/>
  <c r="F1026" i="4"/>
  <c r="B1026" i="4"/>
  <c r="A1026" i="4"/>
  <c r="K1025" i="4"/>
  <c r="F1025" i="4"/>
  <c r="E1025" i="4"/>
  <c r="B1025" i="4"/>
  <c r="A1025" i="4"/>
  <c r="K1024" i="4"/>
  <c r="F1024" i="4"/>
  <c r="B1024" i="4"/>
  <c r="A1024" i="4"/>
  <c r="L1023" i="4"/>
  <c r="H1023" i="6"/>
  <c r="I1023" i="6"/>
  <c r="K1023" i="4"/>
  <c r="D1023" i="5"/>
  <c r="E1023" i="5"/>
  <c r="F1023" i="4"/>
  <c r="B1023" i="4"/>
  <c r="A1023" i="4"/>
  <c r="K1022" i="4"/>
  <c r="F1022" i="4"/>
  <c r="B1022" i="4"/>
  <c r="A1022" i="4"/>
  <c r="K1021" i="4"/>
  <c r="F1021" i="4"/>
  <c r="B1021" i="4"/>
  <c r="A1021" i="4"/>
  <c r="K1020" i="4"/>
  <c r="F1020" i="4"/>
  <c r="B1020" i="4"/>
  <c r="A1020" i="4"/>
  <c r="L1019" i="4"/>
  <c r="H1019" i="6"/>
  <c r="I1019" i="6"/>
  <c r="K1019" i="4"/>
  <c r="D1019" i="5"/>
  <c r="E1019" i="5"/>
  <c r="F1019" i="4"/>
  <c r="B1019" i="4"/>
  <c r="A1019" i="4"/>
  <c r="K1018" i="4"/>
  <c r="F1018" i="4"/>
  <c r="B1018" i="4"/>
  <c r="A1018" i="4"/>
  <c r="K1017" i="4"/>
  <c r="F1017" i="4"/>
  <c r="B1017" i="4"/>
  <c r="A1017" i="4"/>
  <c r="K1016" i="4"/>
  <c r="F1016" i="4"/>
  <c r="E1017" i="4"/>
  <c r="B1016" i="4"/>
  <c r="A1016" i="4"/>
  <c r="L1015" i="4"/>
  <c r="H1015" i="6"/>
  <c r="I1015" i="6"/>
  <c r="K1015" i="4"/>
  <c r="D1015" i="5"/>
  <c r="E1015" i="5"/>
  <c r="F1015" i="4"/>
  <c r="B1015" i="4"/>
  <c r="A1015" i="4"/>
  <c r="K1014" i="4"/>
  <c r="F1014" i="4"/>
  <c r="B1014" i="4"/>
  <c r="A1014" i="4"/>
  <c r="K1013" i="4"/>
  <c r="F1013" i="4"/>
  <c r="B1013" i="4"/>
  <c r="A1013" i="4"/>
  <c r="K1012" i="4"/>
  <c r="F1012" i="4"/>
  <c r="B1012" i="4"/>
  <c r="A1012" i="4"/>
  <c r="L1011" i="4"/>
  <c r="H1011" i="6"/>
  <c r="I1011" i="6"/>
  <c r="K1011" i="4"/>
  <c r="D1011" i="5"/>
  <c r="E1011" i="5"/>
  <c r="F1011" i="4"/>
  <c r="B1011" i="4"/>
  <c r="A1011" i="4"/>
  <c r="K1010" i="4"/>
  <c r="F1010" i="4"/>
  <c r="B1010" i="4"/>
  <c r="A1010" i="4"/>
  <c r="K1009" i="4"/>
  <c r="F1009" i="4"/>
  <c r="B1009" i="4"/>
  <c r="A1009" i="4"/>
  <c r="K1008" i="4"/>
  <c r="F1008" i="4"/>
  <c r="E1009" i="4"/>
  <c r="B1008" i="4"/>
  <c r="A1008" i="4"/>
  <c r="L1007" i="4"/>
  <c r="H1007" i="6"/>
  <c r="I1007" i="6"/>
  <c r="K1007" i="4"/>
  <c r="D1007" i="5"/>
  <c r="E1007" i="5"/>
  <c r="F1007" i="4"/>
  <c r="B1007" i="4"/>
  <c r="A1007" i="4"/>
  <c r="K1006" i="4"/>
  <c r="F1006" i="4"/>
  <c r="B1006" i="4"/>
  <c r="A1006" i="4"/>
  <c r="K1005" i="4"/>
  <c r="F1005" i="4"/>
  <c r="E1005" i="4"/>
  <c r="B1005" i="4"/>
  <c r="A1005" i="4"/>
  <c r="K1004" i="4"/>
  <c r="F1004" i="4"/>
  <c r="B1004" i="4"/>
  <c r="A1004" i="4"/>
  <c r="L1003" i="4"/>
  <c r="H1003" i="6"/>
  <c r="I1003" i="6"/>
  <c r="K1003" i="4"/>
  <c r="D1003" i="5"/>
  <c r="E1003" i="5"/>
  <c r="F1003" i="4"/>
  <c r="B1003" i="4"/>
  <c r="A1003" i="4"/>
  <c r="K1002" i="4"/>
  <c r="F1002" i="4"/>
  <c r="B1002" i="4"/>
  <c r="A1002" i="4"/>
  <c r="K1001" i="4"/>
  <c r="F1001" i="4"/>
  <c r="E1001" i="4"/>
  <c r="B1001" i="4"/>
  <c r="A1001" i="4"/>
  <c r="K1000" i="4"/>
  <c r="F1000" i="4"/>
  <c r="B1000" i="4"/>
  <c r="A1000" i="4"/>
  <c r="L999" i="4"/>
  <c r="H999" i="6"/>
  <c r="I999" i="6"/>
  <c r="K999" i="4"/>
  <c r="D999" i="5"/>
  <c r="E999" i="5"/>
  <c r="F999" i="4"/>
  <c r="B999" i="4"/>
  <c r="A999" i="4"/>
  <c r="K998" i="4"/>
  <c r="F998" i="4"/>
  <c r="B998" i="4"/>
  <c r="A998" i="4"/>
  <c r="K997" i="4"/>
  <c r="F997" i="4"/>
  <c r="B997" i="4"/>
  <c r="A997" i="4"/>
  <c r="K996" i="4"/>
  <c r="F996" i="4"/>
  <c r="E997" i="4"/>
  <c r="B996" i="4"/>
  <c r="A996" i="4"/>
  <c r="L995" i="4"/>
  <c r="H995" i="6"/>
  <c r="I995" i="6"/>
  <c r="K995" i="4"/>
  <c r="D995" i="5"/>
  <c r="E995" i="5"/>
  <c r="F995" i="4"/>
  <c r="B995" i="4"/>
  <c r="A995" i="4"/>
  <c r="K994" i="4"/>
  <c r="F994" i="4"/>
  <c r="B994" i="4"/>
  <c r="A994" i="4"/>
  <c r="K993" i="4"/>
  <c r="F993" i="4"/>
  <c r="B993" i="4"/>
  <c r="A993" i="4"/>
  <c r="K992" i="4"/>
  <c r="F992" i="4"/>
  <c r="B992" i="4"/>
  <c r="A992" i="4"/>
  <c r="L991" i="4"/>
  <c r="H991" i="6"/>
  <c r="I991" i="6"/>
  <c r="K991" i="4"/>
  <c r="D991" i="5"/>
  <c r="E991" i="5"/>
  <c r="F991" i="4"/>
  <c r="B991" i="4"/>
  <c r="A991" i="4"/>
  <c r="K990" i="4"/>
  <c r="F990" i="4"/>
  <c r="B990" i="4"/>
  <c r="A990" i="4"/>
  <c r="L989" i="4"/>
  <c r="H989" i="6"/>
  <c r="I989" i="6"/>
  <c r="K989" i="4"/>
  <c r="D989" i="5"/>
  <c r="E989" i="5"/>
  <c r="F989" i="4"/>
  <c r="B989" i="4"/>
  <c r="A989" i="4"/>
  <c r="K988" i="4"/>
  <c r="F988" i="4"/>
  <c r="B988" i="4"/>
  <c r="A988" i="4"/>
  <c r="L987" i="4"/>
  <c r="H987" i="6"/>
  <c r="I987" i="6"/>
  <c r="K987" i="4"/>
  <c r="D987" i="5"/>
  <c r="E987" i="5"/>
  <c r="F987" i="4"/>
  <c r="E987" i="4"/>
  <c r="B987" i="4"/>
  <c r="A987" i="4"/>
  <c r="K986" i="4"/>
  <c r="F986" i="4"/>
  <c r="B986" i="4"/>
  <c r="A986" i="4"/>
  <c r="K985" i="4"/>
  <c r="F985" i="4"/>
  <c r="B985" i="4"/>
  <c r="A985" i="4"/>
  <c r="K984" i="4"/>
  <c r="F984" i="4"/>
  <c r="B984" i="4"/>
  <c r="A984" i="4"/>
  <c r="L983" i="4"/>
  <c r="H983" i="6"/>
  <c r="I983" i="6"/>
  <c r="K983" i="4"/>
  <c r="D983" i="5"/>
  <c r="E983" i="5"/>
  <c r="F983" i="4"/>
  <c r="B983" i="4"/>
  <c r="A983" i="4"/>
  <c r="K982" i="4"/>
  <c r="F982" i="4"/>
  <c r="B982" i="4"/>
  <c r="A982" i="4"/>
  <c r="L981" i="4"/>
  <c r="H981" i="6"/>
  <c r="I981" i="6"/>
  <c r="K981" i="4"/>
  <c r="D981" i="5"/>
  <c r="E981" i="5"/>
  <c r="F981" i="4"/>
  <c r="B981" i="4"/>
  <c r="A981" i="4"/>
  <c r="K980" i="4"/>
  <c r="F980" i="4"/>
  <c r="B980" i="4"/>
  <c r="A980" i="4"/>
  <c r="L979" i="4"/>
  <c r="H979" i="6"/>
  <c r="I979" i="6"/>
  <c r="K979" i="4"/>
  <c r="D979" i="5"/>
  <c r="E979" i="5"/>
  <c r="F979" i="4"/>
  <c r="E979" i="4"/>
  <c r="B979" i="4"/>
  <c r="A979" i="4"/>
  <c r="K978" i="4"/>
  <c r="F978" i="4"/>
  <c r="B978" i="4"/>
  <c r="A978" i="4"/>
  <c r="K977" i="4"/>
  <c r="F977" i="4"/>
  <c r="E977" i="4"/>
  <c r="B977" i="4"/>
  <c r="A977" i="4"/>
  <c r="K976" i="4"/>
  <c r="F976" i="4"/>
  <c r="B976" i="4"/>
  <c r="A976" i="4"/>
  <c r="L975" i="4"/>
  <c r="H975" i="6"/>
  <c r="I975" i="6"/>
  <c r="K975" i="4"/>
  <c r="D975" i="5"/>
  <c r="E975" i="5"/>
  <c r="F975" i="4"/>
  <c r="B975" i="4"/>
  <c r="A975" i="4"/>
  <c r="K974" i="4"/>
  <c r="F974" i="4"/>
  <c r="B974" i="4"/>
  <c r="A974" i="4"/>
  <c r="L973" i="4"/>
  <c r="H973" i="6"/>
  <c r="I973" i="6"/>
  <c r="K973" i="4"/>
  <c r="D973" i="5"/>
  <c r="E973" i="5"/>
  <c r="F973" i="4"/>
  <c r="B973" i="4"/>
  <c r="A973" i="4"/>
  <c r="K972" i="4"/>
  <c r="F972" i="4"/>
  <c r="B972" i="4"/>
  <c r="A972" i="4"/>
  <c r="L971" i="4"/>
  <c r="H971" i="6"/>
  <c r="I971" i="6"/>
  <c r="K971" i="4"/>
  <c r="D971" i="5"/>
  <c r="E971" i="5"/>
  <c r="F971" i="4"/>
  <c r="B971" i="4"/>
  <c r="A971" i="4"/>
  <c r="K970" i="4"/>
  <c r="F970" i="4"/>
  <c r="B970" i="4"/>
  <c r="A970" i="4"/>
  <c r="L969" i="4"/>
  <c r="H969" i="6"/>
  <c r="I969" i="6"/>
  <c r="K969" i="4"/>
  <c r="D969" i="5"/>
  <c r="E969" i="5"/>
  <c r="F969" i="4"/>
  <c r="E969" i="4"/>
  <c r="B969" i="4"/>
  <c r="A969" i="4"/>
  <c r="K968" i="4"/>
  <c r="F968" i="4"/>
  <c r="B968" i="4"/>
  <c r="A968" i="4"/>
  <c r="L967" i="4"/>
  <c r="H967" i="6"/>
  <c r="I967" i="6"/>
  <c r="K967" i="4"/>
  <c r="D967" i="5"/>
  <c r="E967" i="5"/>
  <c r="G967" i="4"/>
  <c r="H967" i="4"/>
  <c r="F967" i="4"/>
  <c r="E967" i="4"/>
  <c r="B967" i="4"/>
  <c r="A967" i="4"/>
  <c r="K966" i="4"/>
  <c r="G966" i="4"/>
  <c r="H966" i="4"/>
  <c r="I966" i="4"/>
  <c r="O966" i="5"/>
  <c r="F966" i="4"/>
  <c r="C966" i="4"/>
  <c r="D966" i="4"/>
  <c r="B966" i="4"/>
  <c r="A966" i="4"/>
  <c r="L945" i="4"/>
  <c r="H945" i="6"/>
  <c r="I945" i="6"/>
  <c r="K945" i="4"/>
  <c r="D945" i="5"/>
  <c r="E945" i="5"/>
  <c r="F945" i="4"/>
  <c r="E945" i="4"/>
  <c r="B945" i="4"/>
  <c r="A945" i="4"/>
  <c r="K944" i="4"/>
  <c r="F944" i="4"/>
  <c r="B944" i="4"/>
  <c r="A944" i="4"/>
  <c r="L943" i="4"/>
  <c r="H943" i="6"/>
  <c r="I943" i="6"/>
  <c r="K943" i="4"/>
  <c r="D943" i="5"/>
  <c r="E943" i="5"/>
  <c r="F943" i="4"/>
  <c r="E943" i="4"/>
  <c r="B943" i="4"/>
  <c r="A943" i="4"/>
  <c r="K942" i="4"/>
  <c r="F942" i="4"/>
  <c r="B942" i="4"/>
  <c r="A942" i="4"/>
  <c r="L941" i="4"/>
  <c r="H941" i="6"/>
  <c r="I941" i="6"/>
  <c r="K941" i="4"/>
  <c r="D941" i="5"/>
  <c r="E941" i="5"/>
  <c r="F941" i="4"/>
  <c r="B941" i="4"/>
  <c r="A941" i="4"/>
  <c r="K940" i="4"/>
  <c r="F940" i="4"/>
  <c r="B940" i="4"/>
  <c r="A940" i="4"/>
  <c r="L939" i="4"/>
  <c r="H939" i="6"/>
  <c r="I939" i="6"/>
  <c r="K939" i="4"/>
  <c r="D939" i="5"/>
  <c r="E939" i="5"/>
  <c r="F939" i="4"/>
  <c r="E939" i="4"/>
  <c r="B939" i="4"/>
  <c r="A939" i="4"/>
  <c r="K938" i="4"/>
  <c r="F938" i="4"/>
  <c r="B938" i="4"/>
  <c r="A938" i="4"/>
  <c r="K937" i="4"/>
  <c r="D937" i="5"/>
  <c r="E937" i="5"/>
  <c r="F937" i="4"/>
  <c r="B937" i="4"/>
  <c r="A937" i="4"/>
  <c r="K936" i="4"/>
  <c r="F936" i="4"/>
  <c r="B936" i="4"/>
  <c r="A936" i="4"/>
  <c r="K935" i="4"/>
  <c r="F935" i="4"/>
  <c r="B935" i="4"/>
  <c r="A935" i="4"/>
  <c r="K934" i="4"/>
  <c r="F934" i="4"/>
  <c r="B934" i="4"/>
  <c r="A934" i="4"/>
  <c r="K933" i="4"/>
  <c r="D933" i="5"/>
  <c r="E933" i="5"/>
  <c r="F933" i="4"/>
  <c r="B933" i="4"/>
  <c r="A933" i="4"/>
  <c r="K932" i="4"/>
  <c r="F932" i="4"/>
  <c r="B932" i="4"/>
  <c r="A932" i="4"/>
  <c r="K931" i="4"/>
  <c r="F931" i="4"/>
  <c r="E931" i="4"/>
  <c r="B931" i="4"/>
  <c r="A931" i="4"/>
  <c r="K930" i="4"/>
  <c r="F930" i="4"/>
  <c r="B930" i="4"/>
  <c r="A930" i="4"/>
  <c r="L929" i="4"/>
  <c r="H929" i="6"/>
  <c r="I929" i="6"/>
  <c r="K929" i="4"/>
  <c r="D929" i="5"/>
  <c r="E929" i="5"/>
  <c r="F929" i="4"/>
  <c r="E929" i="4"/>
  <c r="B929" i="4"/>
  <c r="A929" i="4"/>
  <c r="K928" i="4"/>
  <c r="F928" i="4"/>
  <c r="B928" i="4"/>
  <c r="A928" i="4"/>
  <c r="L927" i="4"/>
  <c r="H927" i="6"/>
  <c r="I927" i="6"/>
  <c r="K927" i="4"/>
  <c r="D927" i="5"/>
  <c r="E927" i="5"/>
  <c r="F927" i="4"/>
  <c r="E927" i="4"/>
  <c r="B927" i="4"/>
  <c r="A927" i="4"/>
  <c r="K926" i="4"/>
  <c r="F926" i="4"/>
  <c r="B926" i="4"/>
  <c r="A926" i="4"/>
  <c r="L925" i="4"/>
  <c r="H925" i="6"/>
  <c r="I925" i="6"/>
  <c r="K925" i="4"/>
  <c r="D925" i="5"/>
  <c r="E925" i="5"/>
  <c r="F925" i="4"/>
  <c r="E925" i="4"/>
  <c r="B925" i="4"/>
  <c r="A925" i="4"/>
  <c r="K924" i="4"/>
  <c r="F924" i="4"/>
  <c r="B924" i="4"/>
  <c r="A924" i="4"/>
  <c r="L923" i="4"/>
  <c r="H923" i="6"/>
  <c r="I923" i="6"/>
  <c r="K923" i="4"/>
  <c r="D923" i="5"/>
  <c r="E923" i="5"/>
  <c r="F923" i="4"/>
  <c r="B923" i="4"/>
  <c r="A923" i="4"/>
  <c r="K922" i="4"/>
  <c r="F922" i="4"/>
  <c r="E923" i="4"/>
  <c r="B922" i="4"/>
  <c r="A922" i="4"/>
  <c r="K921" i="4"/>
  <c r="D921" i="5"/>
  <c r="E921" i="5"/>
  <c r="F921" i="4"/>
  <c r="B921" i="4"/>
  <c r="A921" i="4"/>
  <c r="K920" i="4"/>
  <c r="F920" i="4"/>
  <c r="B920" i="4"/>
  <c r="A920" i="4"/>
  <c r="K919" i="4"/>
  <c r="F919" i="4"/>
  <c r="B919" i="4"/>
  <c r="A919" i="4"/>
  <c r="K918" i="4"/>
  <c r="F918" i="4"/>
  <c r="B918" i="4"/>
  <c r="A918" i="4"/>
  <c r="K917" i="4"/>
  <c r="D917" i="5"/>
  <c r="E917" i="5"/>
  <c r="F917" i="4"/>
  <c r="B917" i="4"/>
  <c r="A917" i="4"/>
  <c r="K916" i="4"/>
  <c r="F916" i="4"/>
  <c r="B916" i="4"/>
  <c r="A916" i="4"/>
  <c r="K915" i="4"/>
  <c r="F915" i="4"/>
  <c r="E915" i="4"/>
  <c r="B915" i="4"/>
  <c r="A915" i="4"/>
  <c r="K914" i="4"/>
  <c r="F914" i="4"/>
  <c r="B914" i="4"/>
  <c r="A914" i="4"/>
  <c r="L913" i="4"/>
  <c r="H913" i="6"/>
  <c r="I913" i="6"/>
  <c r="K913" i="4"/>
  <c r="D913" i="5"/>
  <c r="E913" i="5"/>
  <c r="F913" i="4"/>
  <c r="E913" i="4"/>
  <c r="B913" i="4"/>
  <c r="A913" i="4"/>
  <c r="K912" i="4"/>
  <c r="F912" i="4"/>
  <c r="B912" i="4"/>
  <c r="A912" i="4"/>
  <c r="L911" i="4"/>
  <c r="H911" i="6"/>
  <c r="I911" i="6"/>
  <c r="K911" i="4"/>
  <c r="D911" i="5"/>
  <c r="E911" i="5"/>
  <c r="F911" i="4"/>
  <c r="E911" i="4"/>
  <c r="B911" i="4"/>
  <c r="A911" i="4"/>
  <c r="K910" i="4"/>
  <c r="F910" i="4"/>
  <c r="B910" i="4"/>
  <c r="A910" i="4"/>
  <c r="L909" i="4"/>
  <c r="H909" i="6"/>
  <c r="I909" i="6"/>
  <c r="K909" i="4"/>
  <c r="D909" i="5"/>
  <c r="E909" i="5"/>
  <c r="F909" i="4"/>
  <c r="E909" i="4"/>
  <c r="B909" i="4"/>
  <c r="A909" i="4"/>
  <c r="K908" i="4"/>
  <c r="F908" i="4"/>
  <c r="B908" i="4"/>
  <c r="A908" i="4"/>
  <c r="L907" i="4"/>
  <c r="H907" i="6"/>
  <c r="I907" i="6"/>
  <c r="K907" i="4"/>
  <c r="D907" i="5"/>
  <c r="E907" i="5"/>
  <c r="F907" i="4"/>
  <c r="E907" i="4"/>
  <c r="B907" i="4"/>
  <c r="A907" i="4"/>
  <c r="K906" i="4"/>
  <c r="F906" i="4"/>
  <c r="B906" i="4"/>
  <c r="A906" i="4"/>
  <c r="K905" i="4"/>
  <c r="D905" i="5"/>
  <c r="E905" i="5"/>
  <c r="F905" i="4"/>
  <c r="B905" i="4"/>
  <c r="A905" i="4"/>
  <c r="K904" i="4"/>
  <c r="F904" i="4"/>
  <c r="B904" i="4"/>
  <c r="A904" i="4"/>
  <c r="K903" i="4"/>
  <c r="F903" i="4"/>
  <c r="B903" i="4"/>
  <c r="A903" i="4"/>
  <c r="K902" i="4"/>
  <c r="F902" i="4"/>
  <c r="B902" i="4"/>
  <c r="A902" i="4"/>
  <c r="K901" i="4"/>
  <c r="D901" i="5"/>
  <c r="E901" i="5"/>
  <c r="F901" i="4"/>
  <c r="B901" i="4"/>
  <c r="A901" i="4"/>
  <c r="K900" i="4"/>
  <c r="F900" i="4"/>
  <c r="B900" i="4"/>
  <c r="A900" i="4"/>
  <c r="K899" i="4"/>
  <c r="F899" i="4"/>
  <c r="E899" i="4"/>
  <c r="B899" i="4"/>
  <c r="A899" i="4"/>
  <c r="K898" i="4"/>
  <c r="F898" i="4"/>
  <c r="B898" i="4"/>
  <c r="A898" i="4"/>
  <c r="L897" i="4"/>
  <c r="H897" i="6"/>
  <c r="I897" i="6"/>
  <c r="K897" i="4"/>
  <c r="D897" i="5"/>
  <c r="E897" i="5"/>
  <c r="F897" i="4"/>
  <c r="E897" i="4"/>
  <c r="B897" i="4"/>
  <c r="A897" i="4"/>
  <c r="K896" i="4"/>
  <c r="F896" i="4"/>
  <c r="B896" i="4"/>
  <c r="A896" i="4"/>
  <c r="L895" i="4"/>
  <c r="H895" i="6"/>
  <c r="I895" i="6"/>
  <c r="K895" i="4"/>
  <c r="D895" i="5"/>
  <c r="E895" i="5"/>
  <c r="F895" i="4"/>
  <c r="E895" i="4"/>
  <c r="B895" i="4"/>
  <c r="A895" i="4"/>
  <c r="K894" i="4"/>
  <c r="F894" i="4"/>
  <c r="B894" i="4"/>
  <c r="A894" i="4"/>
  <c r="L893" i="4"/>
  <c r="H893" i="6"/>
  <c r="I893" i="6"/>
  <c r="K893" i="4"/>
  <c r="D893" i="5"/>
  <c r="E893" i="5"/>
  <c r="F893" i="4"/>
  <c r="E893" i="4"/>
  <c r="B893" i="4"/>
  <c r="A893" i="4"/>
  <c r="K892" i="4"/>
  <c r="F892" i="4"/>
  <c r="B892" i="4"/>
  <c r="A892" i="4"/>
  <c r="L891" i="4"/>
  <c r="H891" i="6"/>
  <c r="I891" i="6"/>
  <c r="K891" i="4"/>
  <c r="D891" i="5"/>
  <c r="E891" i="5"/>
  <c r="F891" i="4"/>
  <c r="B891" i="4"/>
  <c r="A891" i="4"/>
  <c r="K890" i="4"/>
  <c r="F890" i="4"/>
  <c r="B890" i="4"/>
  <c r="A890" i="4"/>
  <c r="K889" i="4"/>
  <c r="D889" i="5"/>
  <c r="E889" i="5"/>
  <c r="F889" i="4"/>
  <c r="B889" i="4"/>
  <c r="A889" i="4"/>
  <c r="K888" i="4"/>
  <c r="F888" i="4"/>
  <c r="B888" i="4"/>
  <c r="A888" i="4"/>
  <c r="K887" i="4"/>
  <c r="F887" i="4"/>
  <c r="B887" i="4"/>
  <c r="A887" i="4"/>
  <c r="K886" i="4"/>
  <c r="F886" i="4"/>
  <c r="B886" i="4"/>
  <c r="A886" i="4"/>
  <c r="L885" i="4"/>
  <c r="H885" i="6"/>
  <c r="I885" i="6"/>
  <c r="K885" i="4"/>
  <c r="D885" i="5"/>
  <c r="E885" i="5"/>
  <c r="F885" i="4"/>
  <c r="B885" i="4"/>
  <c r="A885" i="4"/>
  <c r="K884" i="4"/>
  <c r="F884" i="4"/>
  <c r="B884" i="4"/>
  <c r="A884" i="4"/>
  <c r="K883" i="4"/>
  <c r="F883" i="4"/>
  <c r="E883" i="4"/>
  <c r="B883" i="4"/>
  <c r="A883" i="4"/>
  <c r="K882" i="4"/>
  <c r="F882" i="4"/>
  <c r="B882" i="4"/>
  <c r="A882" i="4"/>
  <c r="L881" i="4"/>
  <c r="H881" i="6"/>
  <c r="I881" i="6"/>
  <c r="K881" i="4"/>
  <c r="D881" i="5"/>
  <c r="E881" i="5"/>
  <c r="F881" i="4"/>
  <c r="E881" i="4"/>
  <c r="B881" i="4"/>
  <c r="A881" i="4"/>
  <c r="K880" i="4"/>
  <c r="F880" i="4"/>
  <c r="B880" i="4"/>
  <c r="A880" i="4"/>
  <c r="L879" i="4"/>
  <c r="H879" i="6"/>
  <c r="I879" i="6"/>
  <c r="K879" i="4"/>
  <c r="D879" i="5"/>
  <c r="E879" i="5"/>
  <c r="F879" i="4"/>
  <c r="E879" i="4"/>
  <c r="B879" i="4"/>
  <c r="A879" i="4"/>
  <c r="K878" i="4"/>
  <c r="F878" i="4"/>
  <c r="B878" i="4"/>
  <c r="A878" i="4"/>
  <c r="L877" i="4"/>
  <c r="H877" i="6"/>
  <c r="I877" i="6"/>
  <c r="K877" i="4"/>
  <c r="D877" i="5"/>
  <c r="E877" i="5"/>
  <c r="F877" i="4"/>
  <c r="E877" i="4"/>
  <c r="B877" i="4"/>
  <c r="A877" i="4"/>
  <c r="K876" i="4"/>
  <c r="F876" i="4"/>
  <c r="B876" i="4"/>
  <c r="A876" i="4"/>
  <c r="K875" i="4"/>
  <c r="D875" i="5"/>
  <c r="E875" i="5"/>
  <c r="F875" i="4"/>
  <c r="E875" i="4"/>
  <c r="B875" i="4"/>
  <c r="A875" i="4"/>
  <c r="K874" i="4"/>
  <c r="F874" i="4"/>
  <c r="B874" i="4"/>
  <c r="A874" i="4"/>
  <c r="K873" i="4"/>
  <c r="D873" i="5"/>
  <c r="E873" i="5"/>
  <c r="F873" i="4"/>
  <c r="B873" i="4"/>
  <c r="A873" i="4"/>
  <c r="K872" i="4"/>
  <c r="F872" i="4"/>
  <c r="B872" i="4"/>
  <c r="A872" i="4"/>
  <c r="K871" i="4"/>
  <c r="F871" i="4"/>
  <c r="B871" i="4"/>
  <c r="A871" i="4"/>
  <c r="K870" i="4"/>
  <c r="F870" i="4"/>
  <c r="B870" i="4"/>
  <c r="A870" i="4"/>
  <c r="L869" i="4"/>
  <c r="H869" i="6"/>
  <c r="I869" i="6"/>
  <c r="K869" i="4"/>
  <c r="D869" i="5"/>
  <c r="E869" i="5"/>
  <c r="F869" i="4"/>
  <c r="B869" i="4"/>
  <c r="A869" i="4"/>
  <c r="K868" i="4"/>
  <c r="F868" i="4"/>
  <c r="B868" i="4"/>
  <c r="A868" i="4"/>
  <c r="K867" i="4"/>
  <c r="F867" i="4"/>
  <c r="E867" i="4"/>
  <c r="B867" i="4"/>
  <c r="A867" i="4"/>
  <c r="K866" i="4"/>
  <c r="F866" i="4"/>
  <c r="B866" i="4"/>
  <c r="A866" i="4"/>
  <c r="L865" i="4"/>
  <c r="H865" i="6"/>
  <c r="I865" i="6"/>
  <c r="K865" i="4"/>
  <c r="D865" i="5"/>
  <c r="E865" i="5"/>
  <c r="F865" i="4"/>
  <c r="E865" i="4"/>
  <c r="B865" i="4"/>
  <c r="A865" i="4"/>
  <c r="K864" i="4"/>
  <c r="F864" i="4"/>
  <c r="B864" i="4"/>
  <c r="A864" i="4"/>
  <c r="L863" i="4"/>
  <c r="H863" i="6"/>
  <c r="I863" i="6"/>
  <c r="K863" i="4"/>
  <c r="D863" i="5"/>
  <c r="E863" i="5"/>
  <c r="F863" i="4"/>
  <c r="E863" i="4"/>
  <c r="B863" i="4"/>
  <c r="A863" i="4"/>
  <c r="K862" i="4"/>
  <c r="F862" i="4"/>
  <c r="B862" i="4"/>
  <c r="A862" i="4"/>
  <c r="L861" i="4"/>
  <c r="H861" i="6"/>
  <c r="I861" i="6"/>
  <c r="K861" i="4"/>
  <c r="D861" i="5"/>
  <c r="E861" i="5"/>
  <c r="F861" i="4"/>
  <c r="E861" i="4"/>
  <c r="B861" i="4"/>
  <c r="A861" i="4"/>
  <c r="K860" i="4"/>
  <c r="F860" i="4"/>
  <c r="B860" i="4"/>
  <c r="A860" i="4"/>
  <c r="K859" i="4"/>
  <c r="D859" i="5"/>
  <c r="E859" i="5"/>
  <c r="F859" i="4"/>
  <c r="B859" i="4"/>
  <c r="A859" i="4"/>
  <c r="K858" i="4"/>
  <c r="F858" i="4"/>
  <c r="E859" i="4"/>
  <c r="B858" i="4"/>
  <c r="A858" i="4"/>
  <c r="K857" i="4"/>
  <c r="D857" i="5"/>
  <c r="E857" i="5"/>
  <c r="F857" i="4"/>
  <c r="B857" i="4"/>
  <c r="A857" i="4"/>
  <c r="K856" i="4"/>
  <c r="F856" i="4"/>
  <c r="B856" i="4"/>
  <c r="A856" i="4"/>
  <c r="K855" i="4"/>
  <c r="F855" i="4"/>
  <c r="B855" i="4"/>
  <c r="A855" i="4"/>
  <c r="K854" i="4"/>
  <c r="F854" i="4"/>
  <c r="B854" i="4"/>
  <c r="A854" i="4"/>
  <c r="L853" i="4"/>
  <c r="H853" i="6"/>
  <c r="I853" i="6"/>
  <c r="K853" i="4"/>
  <c r="D853" i="5"/>
  <c r="E853" i="5"/>
  <c r="F853" i="4"/>
  <c r="B853" i="4"/>
  <c r="A853" i="4"/>
  <c r="K852" i="4"/>
  <c r="F852" i="4"/>
  <c r="B852" i="4"/>
  <c r="A852" i="4"/>
  <c r="K851" i="4"/>
  <c r="F851" i="4"/>
  <c r="E851" i="4"/>
  <c r="B851" i="4"/>
  <c r="A851" i="4"/>
  <c r="K850" i="4"/>
  <c r="F850" i="4"/>
  <c r="B850" i="4"/>
  <c r="A850" i="4"/>
  <c r="L849" i="4"/>
  <c r="H849" i="6"/>
  <c r="I849" i="6"/>
  <c r="K849" i="4"/>
  <c r="D849" i="5"/>
  <c r="E849" i="5"/>
  <c r="F849" i="4"/>
  <c r="E849" i="4"/>
  <c r="B849" i="4"/>
  <c r="A849" i="4"/>
  <c r="K848" i="4"/>
  <c r="F848" i="4"/>
  <c r="B848" i="4"/>
  <c r="A848" i="4"/>
  <c r="L847" i="4"/>
  <c r="H847" i="6"/>
  <c r="I847" i="6"/>
  <c r="K847" i="4"/>
  <c r="D847" i="5"/>
  <c r="E847" i="5"/>
  <c r="F847" i="4"/>
  <c r="B847" i="4"/>
  <c r="A847" i="4"/>
  <c r="L846" i="4"/>
  <c r="H846" i="6"/>
  <c r="I846" i="6"/>
  <c r="K846" i="4"/>
  <c r="D846" i="5"/>
  <c r="E846" i="5"/>
  <c r="F846" i="4"/>
  <c r="C846" i="4"/>
  <c r="B846" i="4"/>
  <c r="A846" i="4"/>
  <c r="K825" i="4"/>
  <c r="D825" i="5"/>
  <c r="E825" i="5"/>
  <c r="F825" i="4"/>
  <c r="B825" i="4"/>
  <c r="A825" i="4"/>
  <c r="K824" i="4"/>
  <c r="D824" i="5"/>
  <c r="E824" i="5"/>
  <c r="F824" i="4"/>
  <c r="B824" i="4"/>
  <c r="A824" i="4"/>
  <c r="K823" i="4"/>
  <c r="F823" i="4"/>
  <c r="B823" i="4"/>
  <c r="A823" i="4"/>
  <c r="L822" i="4"/>
  <c r="H822" i="6"/>
  <c r="I822" i="6"/>
  <c r="K822" i="4"/>
  <c r="D822" i="5"/>
  <c r="E822" i="5"/>
  <c r="F822" i="4"/>
  <c r="B822" i="4"/>
  <c r="A822" i="4"/>
  <c r="L821" i="4"/>
  <c r="H821" i="6"/>
  <c r="I821" i="6"/>
  <c r="K821" i="4"/>
  <c r="D821" i="5"/>
  <c r="E821" i="5"/>
  <c r="F821" i="4"/>
  <c r="B821" i="4"/>
  <c r="A821" i="4"/>
  <c r="L820" i="4"/>
  <c r="H820" i="6"/>
  <c r="I820" i="6"/>
  <c r="K820" i="4"/>
  <c r="D820" i="5"/>
  <c r="E820" i="5"/>
  <c r="F820" i="4"/>
  <c r="B820" i="4"/>
  <c r="A820" i="4"/>
  <c r="L819" i="4"/>
  <c r="H819" i="6"/>
  <c r="I819" i="6"/>
  <c r="K819" i="4"/>
  <c r="D819" i="5"/>
  <c r="E819" i="5"/>
  <c r="F819" i="4"/>
  <c r="B819" i="4"/>
  <c r="A819" i="4"/>
  <c r="L818" i="4"/>
  <c r="H818" i="6"/>
  <c r="I818" i="6"/>
  <c r="K818" i="4"/>
  <c r="D818" i="5"/>
  <c r="E818" i="5"/>
  <c r="F818" i="4"/>
  <c r="B818" i="4"/>
  <c r="A818" i="4"/>
  <c r="L817" i="4"/>
  <c r="H817" i="6"/>
  <c r="I817" i="6"/>
  <c r="K817" i="4"/>
  <c r="D817" i="5"/>
  <c r="E817" i="5"/>
  <c r="F817" i="4"/>
  <c r="B817" i="4"/>
  <c r="A817" i="4"/>
  <c r="L816" i="4"/>
  <c r="H816" i="6"/>
  <c r="I816" i="6"/>
  <c r="K816" i="4"/>
  <c r="D816" i="5"/>
  <c r="E816" i="5"/>
  <c r="F816" i="4"/>
  <c r="B816" i="4"/>
  <c r="A816" i="4"/>
  <c r="L815" i="4"/>
  <c r="H815" i="6"/>
  <c r="I815" i="6"/>
  <c r="K815" i="4"/>
  <c r="D815" i="5"/>
  <c r="E815" i="5"/>
  <c r="F815" i="4"/>
  <c r="B815" i="4"/>
  <c r="A815" i="4"/>
  <c r="L814" i="4"/>
  <c r="H814" i="6"/>
  <c r="I814" i="6"/>
  <c r="K814" i="4"/>
  <c r="D814" i="5"/>
  <c r="E814" i="5"/>
  <c r="F814" i="4"/>
  <c r="B814" i="4"/>
  <c r="A814" i="4"/>
  <c r="L813" i="4"/>
  <c r="H813" i="6"/>
  <c r="I813" i="6"/>
  <c r="K813" i="4"/>
  <c r="D813" i="5"/>
  <c r="E813" i="5"/>
  <c r="F813" i="4"/>
  <c r="B813" i="4"/>
  <c r="A813" i="4"/>
  <c r="L812" i="4"/>
  <c r="H812" i="6"/>
  <c r="I812" i="6"/>
  <c r="K812" i="4"/>
  <c r="D812" i="5"/>
  <c r="E812" i="5"/>
  <c r="F812" i="4"/>
  <c r="B812" i="4"/>
  <c r="A812" i="4"/>
  <c r="L811" i="4"/>
  <c r="H811" i="6"/>
  <c r="I811" i="6"/>
  <c r="K811" i="4"/>
  <c r="D811" i="5"/>
  <c r="E811" i="5"/>
  <c r="F811" i="4"/>
  <c r="B811" i="4"/>
  <c r="A811" i="4"/>
  <c r="L810" i="4"/>
  <c r="H810" i="6"/>
  <c r="I810" i="6"/>
  <c r="K810" i="4"/>
  <c r="D810" i="5"/>
  <c r="E810" i="5"/>
  <c r="F810" i="4"/>
  <c r="B810" i="4"/>
  <c r="A810" i="4"/>
  <c r="L809" i="4"/>
  <c r="H809" i="6"/>
  <c r="I809" i="6"/>
  <c r="K809" i="4"/>
  <c r="D809" i="5"/>
  <c r="E809" i="5"/>
  <c r="F809" i="4"/>
  <c r="B809" i="4"/>
  <c r="A809" i="4"/>
  <c r="L808" i="4"/>
  <c r="H808" i="6"/>
  <c r="I808" i="6"/>
  <c r="K808" i="4"/>
  <c r="D808" i="5"/>
  <c r="E808" i="5"/>
  <c r="F808" i="4"/>
  <c r="B808" i="4"/>
  <c r="A808" i="4"/>
  <c r="L807" i="4"/>
  <c r="H807" i="6"/>
  <c r="I807" i="6"/>
  <c r="K807" i="4"/>
  <c r="D807" i="5"/>
  <c r="E807" i="5"/>
  <c r="F807" i="4"/>
  <c r="B807" i="4"/>
  <c r="A807" i="4"/>
  <c r="L806" i="4"/>
  <c r="H806" i="6"/>
  <c r="I806" i="6"/>
  <c r="K806" i="4"/>
  <c r="D806" i="5"/>
  <c r="E806" i="5"/>
  <c r="F806" i="4"/>
  <c r="B806" i="4"/>
  <c r="A806" i="4"/>
  <c r="L805" i="4"/>
  <c r="H805" i="6"/>
  <c r="I805" i="6"/>
  <c r="K805" i="4"/>
  <c r="D805" i="5"/>
  <c r="E805" i="5"/>
  <c r="F805" i="4"/>
  <c r="B805" i="4"/>
  <c r="A805" i="4"/>
  <c r="L804" i="4"/>
  <c r="H804" i="6"/>
  <c r="I804" i="6"/>
  <c r="K804" i="4"/>
  <c r="D804" i="5"/>
  <c r="E804" i="5"/>
  <c r="F804" i="4"/>
  <c r="B804" i="4"/>
  <c r="A804" i="4"/>
  <c r="L803" i="4"/>
  <c r="H803" i="6"/>
  <c r="I803" i="6"/>
  <c r="K803" i="4"/>
  <c r="D803" i="5"/>
  <c r="E803" i="5"/>
  <c r="F803" i="4"/>
  <c r="B803" i="4"/>
  <c r="A803" i="4"/>
  <c r="L802" i="4"/>
  <c r="H802" i="6"/>
  <c r="I802" i="6"/>
  <c r="K802" i="4"/>
  <c r="D802" i="5"/>
  <c r="E802" i="5"/>
  <c r="F802" i="4"/>
  <c r="B802" i="4"/>
  <c r="A802" i="4"/>
  <c r="L801" i="4"/>
  <c r="H801" i="6"/>
  <c r="I801" i="6"/>
  <c r="K801" i="4"/>
  <c r="D801" i="5"/>
  <c r="E801" i="5"/>
  <c r="F801" i="4"/>
  <c r="B801" i="4"/>
  <c r="A801" i="4"/>
  <c r="L800" i="4"/>
  <c r="H800" i="6"/>
  <c r="I800" i="6"/>
  <c r="K800" i="4"/>
  <c r="D800" i="5"/>
  <c r="E800" i="5"/>
  <c r="F800" i="4"/>
  <c r="B800" i="4"/>
  <c r="A800" i="4"/>
  <c r="L799" i="4"/>
  <c r="H799" i="6"/>
  <c r="I799" i="6"/>
  <c r="K799" i="4"/>
  <c r="D799" i="5"/>
  <c r="E799" i="5"/>
  <c r="F799" i="4"/>
  <c r="B799" i="4"/>
  <c r="A799" i="4"/>
  <c r="L798" i="4"/>
  <c r="H798" i="6"/>
  <c r="I798" i="6"/>
  <c r="K798" i="4"/>
  <c r="D798" i="5"/>
  <c r="E798" i="5"/>
  <c r="F798" i="4"/>
  <c r="B798" i="4"/>
  <c r="A798" i="4"/>
  <c r="L797" i="4"/>
  <c r="H797" i="6"/>
  <c r="I797" i="6"/>
  <c r="K797" i="4"/>
  <c r="D797" i="5"/>
  <c r="E797" i="5"/>
  <c r="F797" i="4"/>
  <c r="B797" i="4"/>
  <c r="A797" i="4"/>
  <c r="L796" i="4"/>
  <c r="H796" i="6"/>
  <c r="I796" i="6"/>
  <c r="K796" i="4"/>
  <c r="D796" i="5"/>
  <c r="E796" i="5"/>
  <c r="F796" i="4"/>
  <c r="B796" i="4"/>
  <c r="A796" i="4"/>
  <c r="A796" i="6"/>
  <c r="L795" i="4"/>
  <c r="H795" i="6"/>
  <c r="I795" i="6"/>
  <c r="K795" i="4"/>
  <c r="D795" i="5"/>
  <c r="E795" i="5"/>
  <c r="F795" i="4"/>
  <c r="B795" i="4"/>
  <c r="A795" i="4"/>
  <c r="L794" i="4"/>
  <c r="H794" i="6"/>
  <c r="I794" i="6"/>
  <c r="K794" i="4"/>
  <c r="D794" i="5"/>
  <c r="E794" i="5"/>
  <c r="F794" i="4"/>
  <c r="B794" i="4"/>
  <c r="A794" i="4"/>
  <c r="L793" i="4"/>
  <c r="H793" i="6"/>
  <c r="I793" i="6"/>
  <c r="K793" i="4"/>
  <c r="D793" i="5"/>
  <c r="E793" i="5"/>
  <c r="F793" i="4"/>
  <c r="B793" i="4"/>
  <c r="A793" i="4"/>
  <c r="L792" i="4"/>
  <c r="H792" i="6"/>
  <c r="I792" i="6"/>
  <c r="K792" i="4"/>
  <c r="D792" i="5"/>
  <c r="E792" i="5"/>
  <c r="F792" i="4"/>
  <c r="B792" i="4"/>
  <c r="A792" i="4"/>
  <c r="L791" i="4"/>
  <c r="H791" i="6"/>
  <c r="I791" i="6"/>
  <c r="K791" i="4"/>
  <c r="D791" i="5"/>
  <c r="E791" i="5"/>
  <c r="F791" i="4"/>
  <c r="B791" i="4"/>
  <c r="A791" i="4"/>
  <c r="L790" i="4"/>
  <c r="H790" i="6"/>
  <c r="I790" i="6"/>
  <c r="K790" i="4"/>
  <c r="D790" i="5"/>
  <c r="E790" i="5"/>
  <c r="F790" i="4"/>
  <c r="B790" i="4"/>
  <c r="A790" i="4"/>
  <c r="L789" i="4"/>
  <c r="H789" i="6"/>
  <c r="I789" i="6"/>
  <c r="K789" i="4"/>
  <c r="D789" i="5"/>
  <c r="E789" i="5"/>
  <c r="F789" i="4"/>
  <c r="B789" i="4"/>
  <c r="A789" i="4"/>
  <c r="L788" i="4"/>
  <c r="H788" i="6"/>
  <c r="I788" i="6"/>
  <c r="K788" i="4"/>
  <c r="D788" i="5"/>
  <c r="E788" i="5"/>
  <c r="F788" i="4"/>
  <c r="B788" i="4"/>
  <c r="A788" i="4"/>
  <c r="L787" i="4"/>
  <c r="H787" i="6"/>
  <c r="I787" i="6"/>
  <c r="K787" i="4"/>
  <c r="D787" i="5"/>
  <c r="E787" i="5"/>
  <c r="F787" i="4"/>
  <c r="B787" i="4"/>
  <c r="A787" i="4"/>
  <c r="L786" i="4"/>
  <c r="H786" i="6"/>
  <c r="I786" i="6"/>
  <c r="K786" i="4"/>
  <c r="D786" i="5"/>
  <c r="E786" i="5"/>
  <c r="F786" i="4"/>
  <c r="B786" i="4"/>
  <c r="A786" i="4"/>
  <c r="L785" i="4"/>
  <c r="H785" i="6"/>
  <c r="I785" i="6"/>
  <c r="K785" i="4"/>
  <c r="D785" i="5"/>
  <c r="E785" i="5"/>
  <c r="F785" i="4"/>
  <c r="B785" i="4"/>
  <c r="A785" i="4"/>
  <c r="L784" i="4"/>
  <c r="H784" i="6"/>
  <c r="I784" i="6"/>
  <c r="K784" i="4"/>
  <c r="D784" i="5"/>
  <c r="E784" i="5"/>
  <c r="F784" i="4"/>
  <c r="B784" i="4"/>
  <c r="A784" i="4"/>
  <c r="L783" i="4"/>
  <c r="H783" i="6"/>
  <c r="I783" i="6"/>
  <c r="K783" i="4"/>
  <c r="D783" i="5"/>
  <c r="E783" i="5"/>
  <c r="F783" i="4"/>
  <c r="B783" i="4"/>
  <c r="A783" i="4"/>
  <c r="L782" i="4"/>
  <c r="H782" i="6"/>
  <c r="I782" i="6"/>
  <c r="K782" i="4"/>
  <c r="D782" i="5"/>
  <c r="E782" i="5"/>
  <c r="F782" i="4"/>
  <c r="B782" i="4"/>
  <c r="A782" i="4"/>
  <c r="L781" i="4"/>
  <c r="H781" i="6"/>
  <c r="I781" i="6"/>
  <c r="K781" i="4"/>
  <c r="D781" i="5"/>
  <c r="E781" i="5"/>
  <c r="F781" i="4"/>
  <c r="B781" i="4"/>
  <c r="A781" i="4"/>
  <c r="L780" i="4"/>
  <c r="H780" i="6"/>
  <c r="I780" i="6"/>
  <c r="K780" i="4"/>
  <c r="D780" i="5"/>
  <c r="E780" i="5"/>
  <c r="F780" i="4"/>
  <c r="B780" i="4"/>
  <c r="A780" i="4"/>
  <c r="L779" i="4"/>
  <c r="H779" i="6"/>
  <c r="I779" i="6"/>
  <c r="K779" i="4"/>
  <c r="D779" i="5"/>
  <c r="E779" i="5"/>
  <c r="F779" i="4"/>
  <c r="B779" i="4"/>
  <c r="A779" i="4"/>
  <c r="L778" i="4"/>
  <c r="H778" i="6"/>
  <c r="I778" i="6"/>
  <c r="K778" i="4"/>
  <c r="D778" i="5"/>
  <c r="E778" i="5"/>
  <c r="F778" i="4"/>
  <c r="B778" i="4"/>
  <c r="A778" i="4"/>
  <c r="L777" i="4"/>
  <c r="H777" i="6"/>
  <c r="I777" i="6"/>
  <c r="K777" i="4"/>
  <c r="D777" i="5"/>
  <c r="E777" i="5"/>
  <c r="F777" i="4"/>
  <c r="B777" i="4"/>
  <c r="A777" i="4"/>
  <c r="L776" i="4"/>
  <c r="H776" i="6"/>
  <c r="I776" i="6"/>
  <c r="K776" i="4"/>
  <c r="D776" i="5"/>
  <c r="E776" i="5"/>
  <c r="F776" i="4"/>
  <c r="B776" i="4"/>
  <c r="A776" i="4"/>
  <c r="L775" i="4"/>
  <c r="H775" i="6"/>
  <c r="I775" i="6"/>
  <c r="K775" i="4"/>
  <c r="D775" i="5"/>
  <c r="E775" i="5"/>
  <c r="F775" i="4"/>
  <c r="B775" i="4"/>
  <c r="A775" i="4"/>
  <c r="L774" i="4"/>
  <c r="H774" i="6"/>
  <c r="I774" i="6"/>
  <c r="K774" i="4"/>
  <c r="D774" i="5"/>
  <c r="E774" i="5"/>
  <c r="F774" i="4"/>
  <c r="B774" i="4"/>
  <c r="A774" i="4"/>
  <c r="L773" i="4"/>
  <c r="H773" i="6"/>
  <c r="I773" i="6"/>
  <c r="K773" i="4"/>
  <c r="D773" i="5"/>
  <c r="E773" i="5"/>
  <c r="F773" i="4"/>
  <c r="B773" i="4"/>
  <c r="A773" i="4"/>
  <c r="L772" i="4"/>
  <c r="H772" i="6"/>
  <c r="I772" i="6"/>
  <c r="K772" i="4"/>
  <c r="D772" i="5"/>
  <c r="E772" i="5"/>
  <c r="F772" i="4"/>
  <c r="B772" i="4"/>
  <c r="A772" i="4"/>
  <c r="L771" i="4"/>
  <c r="H771" i="6"/>
  <c r="I771" i="6"/>
  <c r="K771" i="4"/>
  <c r="D771" i="5"/>
  <c r="E771" i="5"/>
  <c r="F771" i="4"/>
  <c r="B771" i="4"/>
  <c r="A771" i="4"/>
  <c r="L770" i="4"/>
  <c r="H770" i="6"/>
  <c r="I770" i="6"/>
  <c r="K770" i="4"/>
  <c r="D770" i="5"/>
  <c r="E770" i="5"/>
  <c r="F770" i="4"/>
  <c r="B770" i="4"/>
  <c r="A770" i="4"/>
  <c r="L769" i="4"/>
  <c r="H769" i="6"/>
  <c r="I769" i="6"/>
  <c r="K769" i="4"/>
  <c r="D769" i="5"/>
  <c r="E769" i="5"/>
  <c r="F769" i="4"/>
  <c r="B769" i="4"/>
  <c r="A769" i="4"/>
  <c r="L768" i="4"/>
  <c r="H768" i="6"/>
  <c r="I768" i="6"/>
  <c r="K768" i="4"/>
  <c r="D768" i="5"/>
  <c r="E768" i="5"/>
  <c r="F768" i="4"/>
  <c r="B768" i="4"/>
  <c r="A768" i="4"/>
  <c r="L767" i="4"/>
  <c r="H767" i="6"/>
  <c r="I767" i="6"/>
  <c r="K767" i="4"/>
  <c r="D767" i="5"/>
  <c r="E767" i="5"/>
  <c r="F767" i="4"/>
  <c r="D767" i="4"/>
  <c r="B767" i="4"/>
  <c r="A767" i="4"/>
  <c r="L766" i="4"/>
  <c r="H766" i="6"/>
  <c r="I766" i="6"/>
  <c r="K766" i="4"/>
  <c r="D766" i="5"/>
  <c r="E766" i="5"/>
  <c r="H766" i="4"/>
  <c r="F766" i="4"/>
  <c r="B766" i="4"/>
  <c r="A766" i="4"/>
  <c r="L765" i="4"/>
  <c r="H765" i="6"/>
  <c r="I765" i="6"/>
  <c r="K765" i="4"/>
  <c r="D765" i="5"/>
  <c r="E765" i="5"/>
  <c r="H765" i="4"/>
  <c r="I765" i="4"/>
  <c r="O765" i="5"/>
  <c r="F765" i="4"/>
  <c r="B765" i="4"/>
  <c r="A765" i="4"/>
  <c r="L764" i="4"/>
  <c r="H764" i="6"/>
  <c r="I764" i="6"/>
  <c r="K764" i="4"/>
  <c r="D764" i="5"/>
  <c r="E764" i="5"/>
  <c r="F764" i="4"/>
  <c r="B764" i="4"/>
  <c r="A764" i="4"/>
  <c r="L763" i="4"/>
  <c r="H763" i="6"/>
  <c r="I763" i="6"/>
  <c r="K763" i="4"/>
  <c r="D763" i="5"/>
  <c r="E763" i="5"/>
  <c r="F763" i="4"/>
  <c r="B763" i="4"/>
  <c r="A763" i="4"/>
  <c r="L762" i="4"/>
  <c r="H762" i="6"/>
  <c r="I762" i="6"/>
  <c r="K762" i="4"/>
  <c r="D762" i="5"/>
  <c r="E762" i="5"/>
  <c r="F762" i="4"/>
  <c r="D762" i="4"/>
  <c r="B762" i="4"/>
  <c r="A762" i="4"/>
  <c r="L761" i="4"/>
  <c r="H761" i="6"/>
  <c r="I761" i="6"/>
  <c r="K761" i="4"/>
  <c r="D761" i="5"/>
  <c r="E761" i="5"/>
  <c r="F761" i="4"/>
  <c r="D761" i="4"/>
  <c r="B761" i="4"/>
  <c r="A761" i="4"/>
  <c r="L760" i="4"/>
  <c r="H760" i="6"/>
  <c r="I760" i="6"/>
  <c r="K760" i="4"/>
  <c r="D760" i="5"/>
  <c r="E760" i="5"/>
  <c r="F760" i="4"/>
  <c r="B760" i="4"/>
  <c r="A760" i="4"/>
  <c r="L759" i="4"/>
  <c r="H759" i="6"/>
  <c r="I759" i="6"/>
  <c r="K759" i="4"/>
  <c r="D759" i="5"/>
  <c r="E759" i="5"/>
  <c r="F759" i="4"/>
  <c r="B759" i="4"/>
  <c r="A759" i="4"/>
  <c r="L758" i="4"/>
  <c r="H758" i="6"/>
  <c r="I758" i="6"/>
  <c r="K758" i="4"/>
  <c r="D758" i="5"/>
  <c r="E758" i="5"/>
  <c r="F758" i="4"/>
  <c r="D758" i="4"/>
  <c r="B758" i="4"/>
  <c r="A758" i="4"/>
  <c r="L757" i="4"/>
  <c r="H757" i="6"/>
  <c r="I757" i="6"/>
  <c r="K757" i="4"/>
  <c r="D757" i="5"/>
  <c r="E757" i="5"/>
  <c r="F757" i="4"/>
  <c r="D757" i="4"/>
  <c r="B757" i="4"/>
  <c r="A757" i="4"/>
  <c r="L756" i="4"/>
  <c r="H756" i="6"/>
  <c r="I756" i="6"/>
  <c r="K756" i="4"/>
  <c r="D756" i="5"/>
  <c r="E756" i="5"/>
  <c r="H756" i="4"/>
  <c r="F756" i="4"/>
  <c r="B756" i="4"/>
  <c r="A756" i="4"/>
  <c r="L755" i="4"/>
  <c r="H755" i="6"/>
  <c r="I755" i="6"/>
  <c r="K755" i="4"/>
  <c r="D755" i="5"/>
  <c r="E755" i="5"/>
  <c r="H755" i="4"/>
  <c r="I755" i="4"/>
  <c r="O755" i="5"/>
  <c r="F755" i="4"/>
  <c r="B755" i="4"/>
  <c r="A755" i="4"/>
  <c r="L754" i="4"/>
  <c r="H754" i="6"/>
  <c r="I754" i="6"/>
  <c r="K754" i="4"/>
  <c r="D754" i="5"/>
  <c r="E754" i="5"/>
  <c r="F754" i="4"/>
  <c r="D754" i="4"/>
  <c r="B754" i="4"/>
  <c r="A754" i="4"/>
  <c r="L753" i="4"/>
  <c r="H753" i="6"/>
  <c r="I753" i="6"/>
  <c r="K753" i="4"/>
  <c r="D753" i="5"/>
  <c r="E753" i="5"/>
  <c r="F753" i="4"/>
  <c r="D753" i="4"/>
  <c r="B753" i="4"/>
  <c r="A753" i="4"/>
  <c r="L752" i="4"/>
  <c r="H752" i="6"/>
  <c r="I752" i="6"/>
  <c r="K752" i="4"/>
  <c r="D752" i="5"/>
  <c r="E752" i="5"/>
  <c r="F752" i="4"/>
  <c r="D752" i="4"/>
  <c r="B752" i="4"/>
  <c r="A752" i="4"/>
  <c r="L751" i="4"/>
  <c r="H751" i="6"/>
  <c r="I751" i="6"/>
  <c r="K751" i="4"/>
  <c r="D751" i="5"/>
  <c r="E751" i="5"/>
  <c r="F751" i="4"/>
  <c r="D751" i="4"/>
  <c r="B751" i="4"/>
  <c r="A751" i="4"/>
  <c r="L750" i="4"/>
  <c r="H750" i="6"/>
  <c r="I750" i="6"/>
  <c r="K750" i="4"/>
  <c r="D750" i="5"/>
  <c r="E750" i="5"/>
  <c r="H750" i="4"/>
  <c r="F750" i="4"/>
  <c r="D750" i="4"/>
  <c r="B750" i="4"/>
  <c r="A750" i="4"/>
  <c r="L749" i="4"/>
  <c r="H749" i="6"/>
  <c r="I749" i="6"/>
  <c r="K749" i="4"/>
  <c r="D749" i="5"/>
  <c r="E749" i="5"/>
  <c r="H749" i="4"/>
  <c r="I749" i="4"/>
  <c r="O749" i="5"/>
  <c r="F749" i="4"/>
  <c r="D749" i="4"/>
  <c r="B749" i="4"/>
  <c r="A749" i="4"/>
  <c r="L748" i="4"/>
  <c r="H748" i="6"/>
  <c r="I748" i="6"/>
  <c r="K748" i="4"/>
  <c r="D748" i="5"/>
  <c r="E748" i="5"/>
  <c r="F748" i="4"/>
  <c r="B748" i="4"/>
  <c r="A748" i="4"/>
  <c r="L747" i="4"/>
  <c r="H747" i="6"/>
  <c r="I747" i="6"/>
  <c r="K747" i="4"/>
  <c r="D747" i="5"/>
  <c r="E747" i="5"/>
  <c r="F747" i="4"/>
  <c r="B747" i="4"/>
  <c r="A747" i="4"/>
  <c r="L746" i="4"/>
  <c r="H746" i="6"/>
  <c r="I746" i="6"/>
  <c r="K746" i="4"/>
  <c r="D746" i="5"/>
  <c r="E746" i="5"/>
  <c r="F746" i="4"/>
  <c r="D746" i="4"/>
  <c r="B746" i="4"/>
  <c r="A746" i="4"/>
  <c r="L745" i="4"/>
  <c r="H745" i="6"/>
  <c r="I745" i="6"/>
  <c r="K745" i="4"/>
  <c r="D745" i="5"/>
  <c r="E745" i="5"/>
  <c r="F745" i="4"/>
  <c r="D745" i="4"/>
  <c r="B745" i="4"/>
  <c r="A745" i="4"/>
  <c r="L744" i="4"/>
  <c r="H744" i="6"/>
  <c r="I744" i="6"/>
  <c r="K744" i="4"/>
  <c r="D744" i="5"/>
  <c r="E744" i="5"/>
  <c r="F744" i="4"/>
  <c r="B744" i="4"/>
  <c r="A744" i="4"/>
  <c r="L743" i="4"/>
  <c r="H743" i="6"/>
  <c r="I743" i="6"/>
  <c r="K743" i="4"/>
  <c r="D743" i="5"/>
  <c r="E743" i="5"/>
  <c r="F743" i="4"/>
  <c r="D743" i="4"/>
  <c r="B743" i="4"/>
  <c r="A743" i="4"/>
  <c r="L742" i="4"/>
  <c r="H742" i="6"/>
  <c r="I742" i="6"/>
  <c r="K742" i="4"/>
  <c r="D742" i="5"/>
  <c r="E742" i="5"/>
  <c r="H742" i="4"/>
  <c r="F742" i="4"/>
  <c r="D742" i="4"/>
  <c r="B742" i="4"/>
  <c r="A742" i="4"/>
  <c r="L741" i="4"/>
  <c r="H741" i="6"/>
  <c r="I741" i="6"/>
  <c r="K741" i="4"/>
  <c r="D741" i="5"/>
  <c r="E741" i="5"/>
  <c r="J741" i="4"/>
  <c r="D741" i="6"/>
  <c r="H741" i="4"/>
  <c r="I741" i="4"/>
  <c r="O741" i="5"/>
  <c r="F741" i="4"/>
  <c r="D741" i="4"/>
  <c r="B741" i="4"/>
  <c r="A741" i="4"/>
  <c r="L740" i="4"/>
  <c r="H740" i="6"/>
  <c r="I740" i="6"/>
  <c r="K740" i="4"/>
  <c r="D740" i="5"/>
  <c r="E740" i="5"/>
  <c r="H740" i="4"/>
  <c r="F740" i="4"/>
  <c r="B740" i="4"/>
  <c r="A740" i="4"/>
  <c r="L739" i="4"/>
  <c r="H739" i="6"/>
  <c r="I739" i="6"/>
  <c r="K739" i="4"/>
  <c r="D739" i="5"/>
  <c r="E739" i="5"/>
  <c r="H739" i="4"/>
  <c r="I739" i="4"/>
  <c r="O739" i="5"/>
  <c r="F739" i="4"/>
  <c r="B739" i="4"/>
  <c r="A739" i="4"/>
  <c r="L738" i="4"/>
  <c r="H738" i="6"/>
  <c r="I738" i="6"/>
  <c r="K738" i="4"/>
  <c r="D738" i="5"/>
  <c r="E738" i="5"/>
  <c r="F738" i="4"/>
  <c r="D738" i="4"/>
  <c r="B738" i="4"/>
  <c r="A738" i="4"/>
  <c r="L737" i="4"/>
  <c r="H737" i="6"/>
  <c r="I737" i="6"/>
  <c r="K737" i="4"/>
  <c r="D737" i="5"/>
  <c r="E737" i="5"/>
  <c r="F737" i="4"/>
  <c r="D737" i="4"/>
  <c r="B737" i="4"/>
  <c r="A737" i="4"/>
  <c r="L736" i="4"/>
  <c r="H736" i="6"/>
  <c r="I736" i="6"/>
  <c r="K736" i="4"/>
  <c r="D736" i="5"/>
  <c r="E736" i="5"/>
  <c r="F736" i="4"/>
  <c r="D736" i="4"/>
  <c r="B736" i="4"/>
  <c r="A736" i="4"/>
  <c r="L735" i="4"/>
  <c r="H735" i="6"/>
  <c r="I735" i="6"/>
  <c r="K735" i="4"/>
  <c r="D735" i="5"/>
  <c r="E735" i="5"/>
  <c r="F735" i="4"/>
  <c r="D735" i="4"/>
  <c r="B735" i="4"/>
  <c r="A735" i="4"/>
  <c r="L734" i="4"/>
  <c r="H734" i="6"/>
  <c r="I734" i="6"/>
  <c r="K734" i="4"/>
  <c r="D734" i="5"/>
  <c r="E734" i="5"/>
  <c r="H734" i="4"/>
  <c r="F734" i="4"/>
  <c r="D734" i="4"/>
  <c r="B734" i="4"/>
  <c r="A734" i="4"/>
  <c r="L733" i="4"/>
  <c r="H733" i="6"/>
  <c r="I733" i="6"/>
  <c r="K733" i="4"/>
  <c r="D733" i="5"/>
  <c r="E733" i="5"/>
  <c r="H733" i="4"/>
  <c r="I733" i="4"/>
  <c r="O733" i="5"/>
  <c r="F733" i="4"/>
  <c r="D733" i="4"/>
  <c r="B733" i="4"/>
  <c r="A733" i="4"/>
  <c r="L732" i="4"/>
  <c r="H732" i="6"/>
  <c r="I732" i="6"/>
  <c r="K732" i="4"/>
  <c r="D732" i="5"/>
  <c r="E732" i="5"/>
  <c r="F732" i="4"/>
  <c r="B732" i="4"/>
  <c r="A732" i="4"/>
  <c r="L731" i="4"/>
  <c r="H731" i="6"/>
  <c r="I731" i="6"/>
  <c r="K731" i="4"/>
  <c r="D731" i="5"/>
  <c r="E731" i="5"/>
  <c r="F731" i="4"/>
  <c r="B731" i="4"/>
  <c r="A731" i="4"/>
  <c r="L730" i="4"/>
  <c r="H730" i="6"/>
  <c r="I730" i="6"/>
  <c r="K730" i="4"/>
  <c r="D730" i="5"/>
  <c r="E730" i="5"/>
  <c r="F730" i="4"/>
  <c r="D730" i="4"/>
  <c r="B730" i="4"/>
  <c r="A730" i="4"/>
  <c r="L729" i="4"/>
  <c r="H729" i="6"/>
  <c r="I729" i="6"/>
  <c r="K729" i="4"/>
  <c r="D729" i="5"/>
  <c r="E729" i="5"/>
  <c r="F729" i="4"/>
  <c r="D729" i="4"/>
  <c r="B729" i="4"/>
  <c r="A729" i="4"/>
  <c r="L728" i="4"/>
  <c r="H728" i="6"/>
  <c r="I728" i="6"/>
  <c r="K728" i="4"/>
  <c r="D728" i="5"/>
  <c r="E728" i="5"/>
  <c r="F728" i="4"/>
  <c r="D728" i="4"/>
  <c r="B728" i="4"/>
  <c r="A728" i="4"/>
  <c r="L727" i="4"/>
  <c r="H727" i="6"/>
  <c r="I727" i="6"/>
  <c r="K727" i="4"/>
  <c r="D727" i="5"/>
  <c r="E727" i="5"/>
  <c r="J727" i="4"/>
  <c r="D727" i="6"/>
  <c r="H727" i="4"/>
  <c r="I727" i="4"/>
  <c r="O727" i="5"/>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F727" i="4"/>
  <c r="D727" i="4"/>
  <c r="B727" i="4"/>
  <c r="A727" i="4"/>
  <c r="L726" i="4"/>
  <c r="H726" i="6"/>
  <c r="I726" i="6"/>
  <c r="K726" i="4"/>
  <c r="D726" i="5"/>
  <c r="E726" i="5"/>
  <c r="H726" i="4"/>
  <c r="G726" i="4"/>
  <c r="F726" i="4"/>
  <c r="D726"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B726" i="4"/>
  <c r="A726" i="4"/>
  <c r="L705" i="4"/>
  <c r="H705" i="6"/>
  <c r="I705" i="6"/>
  <c r="K705" i="4"/>
  <c r="D705" i="5"/>
  <c r="E705" i="5"/>
  <c r="F705" i="4"/>
  <c r="B705" i="4"/>
  <c r="A705" i="4"/>
  <c r="L704" i="4"/>
  <c r="H704" i="6"/>
  <c r="I704" i="6"/>
  <c r="K704" i="4"/>
  <c r="D704" i="5"/>
  <c r="E704" i="5"/>
  <c r="F704" i="4"/>
  <c r="B704" i="4"/>
  <c r="A704" i="4"/>
  <c r="L703" i="4"/>
  <c r="H703" i="6"/>
  <c r="I703" i="6"/>
  <c r="K703" i="4"/>
  <c r="D703" i="5"/>
  <c r="E703" i="5"/>
  <c r="F703" i="4"/>
  <c r="B703" i="4"/>
  <c r="A703" i="4"/>
  <c r="L702" i="4"/>
  <c r="H702" i="6"/>
  <c r="I702" i="6"/>
  <c r="K702" i="4"/>
  <c r="D702" i="5"/>
  <c r="E702" i="5"/>
  <c r="F702" i="4"/>
  <c r="B702" i="4"/>
  <c r="A702" i="4"/>
  <c r="L701" i="4"/>
  <c r="H701" i="6"/>
  <c r="I701" i="6"/>
  <c r="K701" i="4"/>
  <c r="D701" i="5"/>
  <c r="E701" i="5"/>
  <c r="F701" i="4"/>
  <c r="B701" i="4"/>
  <c r="A701" i="4"/>
  <c r="L700" i="4"/>
  <c r="H700" i="6"/>
  <c r="I700" i="6"/>
  <c r="K700" i="4"/>
  <c r="D700" i="5"/>
  <c r="E700" i="5"/>
  <c r="F700" i="4"/>
  <c r="B700" i="4"/>
  <c r="A700" i="4"/>
  <c r="L699" i="4"/>
  <c r="H699" i="6"/>
  <c r="I699" i="6"/>
  <c r="K699" i="4"/>
  <c r="D699" i="5"/>
  <c r="E699" i="5"/>
  <c r="F699" i="4"/>
  <c r="B699" i="4"/>
  <c r="A699" i="4"/>
  <c r="L698" i="4"/>
  <c r="H698" i="6"/>
  <c r="I698" i="6"/>
  <c r="K698" i="4"/>
  <c r="D698" i="5"/>
  <c r="E698" i="5"/>
  <c r="F698" i="4"/>
  <c r="B698" i="4"/>
  <c r="A698" i="4"/>
  <c r="L697" i="4"/>
  <c r="H697" i="6"/>
  <c r="I697" i="6"/>
  <c r="K697" i="4"/>
  <c r="D697" i="5"/>
  <c r="E697" i="5"/>
  <c r="F697" i="4"/>
  <c r="E697" i="4"/>
  <c r="B697" i="4"/>
  <c r="A697" i="4"/>
  <c r="K696" i="4"/>
  <c r="D696" i="5"/>
  <c r="E696" i="5"/>
  <c r="F696" i="4"/>
  <c r="B696" i="4"/>
  <c r="A696" i="4"/>
  <c r="L695" i="4"/>
  <c r="H695" i="6"/>
  <c r="I695" i="6"/>
  <c r="K695" i="4"/>
  <c r="D695" i="5"/>
  <c r="E695" i="5"/>
  <c r="F695" i="4"/>
  <c r="B695" i="4"/>
  <c r="A695" i="4"/>
  <c r="L694" i="4"/>
  <c r="H694" i="6"/>
  <c r="I694" i="6"/>
  <c r="K694" i="4"/>
  <c r="D694" i="5"/>
  <c r="E694" i="5"/>
  <c r="F694" i="4"/>
  <c r="B694" i="4"/>
  <c r="A694" i="4"/>
  <c r="L693" i="4"/>
  <c r="H693" i="6"/>
  <c r="I693" i="6"/>
  <c r="K693" i="4"/>
  <c r="D693" i="5"/>
  <c r="E693" i="5"/>
  <c r="F693" i="4"/>
  <c r="E693" i="4"/>
  <c r="B693" i="4"/>
  <c r="A693" i="4"/>
  <c r="L692" i="4"/>
  <c r="H692" i="6"/>
  <c r="I692" i="6"/>
  <c r="K692" i="4"/>
  <c r="D692" i="5"/>
  <c r="E692" i="5"/>
  <c r="F692" i="4"/>
  <c r="B692" i="4"/>
  <c r="A692" i="4"/>
  <c r="L691" i="4"/>
  <c r="H691" i="6"/>
  <c r="I691" i="6"/>
  <c r="K691" i="4"/>
  <c r="D691" i="5"/>
  <c r="E691" i="5"/>
  <c r="F691" i="4"/>
  <c r="B691" i="4"/>
  <c r="A691" i="4"/>
  <c r="K690" i="4"/>
  <c r="D690" i="5"/>
  <c r="E690" i="5"/>
  <c r="F690" i="4"/>
  <c r="B690" i="4"/>
  <c r="A690" i="4"/>
  <c r="L689" i="4"/>
  <c r="H689" i="6"/>
  <c r="I689" i="6"/>
  <c r="K689" i="4"/>
  <c r="D689" i="5"/>
  <c r="E689" i="5"/>
  <c r="F689" i="4"/>
  <c r="E689" i="4"/>
  <c r="B689" i="4"/>
  <c r="A689" i="4"/>
  <c r="L688" i="4"/>
  <c r="H688" i="6"/>
  <c r="I688" i="6"/>
  <c r="K688" i="4"/>
  <c r="D688" i="5"/>
  <c r="E688" i="5"/>
  <c r="F688" i="4"/>
  <c r="B688" i="4"/>
  <c r="A688" i="4"/>
  <c r="L687" i="4"/>
  <c r="H687" i="6"/>
  <c r="I687" i="6"/>
  <c r="K687" i="4"/>
  <c r="D687" i="5"/>
  <c r="E687" i="5"/>
  <c r="F687" i="4"/>
  <c r="E687" i="4"/>
  <c r="B687" i="4"/>
  <c r="A687" i="4"/>
  <c r="K686" i="4"/>
  <c r="D686" i="5"/>
  <c r="E686" i="5"/>
  <c r="F686" i="4"/>
  <c r="B686" i="4"/>
  <c r="A686" i="4"/>
  <c r="L685" i="4"/>
  <c r="H685" i="6"/>
  <c r="I685" i="6"/>
  <c r="K685" i="4"/>
  <c r="D685" i="5"/>
  <c r="E685" i="5"/>
  <c r="F685" i="4"/>
  <c r="B685" i="4"/>
  <c r="A685" i="4"/>
  <c r="L684" i="4"/>
  <c r="H684" i="6"/>
  <c r="I684" i="6"/>
  <c r="K684" i="4"/>
  <c r="D684" i="5"/>
  <c r="E684" i="5"/>
  <c r="F684" i="4"/>
  <c r="B684" i="4"/>
  <c r="A684" i="4"/>
  <c r="L683" i="4"/>
  <c r="H683" i="6"/>
  <c r="I683" i="6"/>
  <c r="K683" i="4"/>
  <c r="D683" i="5"/>
  <c r="E683" i="5"/>
  <c r="F683" i="4"/>
  <c r="B683" i="4"/>
  <c r="A683" i="4"/>
  <c r="K682" i="4"/>
  <c r="D682" i="5"/>
  <c r="E682" i="5"/>
  <c r="F682" i="4"/>
  <c r="B682" i="4"/>
  <c r="A682" i="4"/>
  <c r="L681" i="4"/>
  <c r="H681" i="6"/>
  <c r="I681" i="6"/>
  <c r="K681" i="4"/>
  <c r="D681" i="5"/>
  <c r="E681" i="5"/>
  <c r="F681" i="4"/>
  <c r="E681" i="4"/>
  <c r="B681" i="4"/>
  <c r="A681" i="4"/>
  <c r="K680" i="4"/>
  <c r="D680" i="5"/>
  <c r="E680" i="5"/>
  <c r="F680" i="4"/>
  <c r="B680" i="4"/>
  <c r="A680" i="4"/>
  <c r="L679" i="4"/>
  <c r="H679" i="6"/>
  <c r="I679" i="6"/>
  <c r="K679" i="4"/>
  <c r="D679" i="5"/>
  <c r="E679" i="5"/>
  <c r="F679" i="4"/>
  <c r="B679" i="4"/>
  <c r="A679" i="4"/>
  <c r="L678" i="4"/>
  <c r="H678" i="6"/>
  <c r="I678" i="6"/>
  <c r="K678" i="4"/>
  <c r="D678" i="5"/>
  <c r="E678" i="5"/>
  <c r="F678" i="4"/>
  <c r="B678" i="4"/>
  <c r="A678" i="4"/>
  <c r="L677" i="4"/>
  <c r="H677" i="6"/>
  <c r="I677" i="6"/>
  <c r="K677" i="4"/>
  <c r="D677" i="5"/>
  <c r="E677" i="5"/>
  <c r="F677" i="4"/>
  <c r="E677" i="4"/>
  <c r="B677" i="4"/>
  <c r="A677" i="4"/>
  <c r="L676" i="4"/>
  <c r="H676" i="6"/>
  <c r="I676" i="6"/>
  <c r="K676" i="4"/>
  <c r="D676" i="5"/>
  <c r="E676" i="5"/>
  <c r="F676" i="4"/>
  <c r="B676" i="4"/>
  <c r="A676" i="4"/>
  <c r="L675" i="4"/>
  <c r="H675" i="6"/>
  <c r="I675" i="6"/>
  <c r="K675" i="4"/>
  <c r="D675" i="5"/>
  <c r="E675" i="5"/>
  <c r="F675" i="4"/>
  <c r="B675" i="4"/>
  <c r="A675" i="4"/>
  <c r="K674" i="4"/>
  <c r="D674" i="5"/>
  <c r="E674" i="5"/>
  <c r="F674" i="4"/>
  <c r="B674" i="4"/>
  <c r="A674" i="4"/>
  <c r="L673" i="4"/>
  <c r="H673" i="6"/>
  <c r="I673" i="6"/>
  <c r="K673" i="4"/>
  <c r="D673" i="5"/>
  <c r="E673" i="5"/>
  <c r="F673" i="4"/>
  <c r="E673" i="4"/>
  <c r="B673" i="4"/>
  <c r="A673" i="4"/>
  <c r="L672" i="4"/>
  <c r="H672" i="6"/>
  <c r="I672" i="6"/>
  <c r="K672" i="4"/>
  <c r="D672" i="5"/>
  <c r="E672" i="5"/>
  <c r="F672" i="4"/>
  <c r="B672" i="4"/>
  <c r="A672" i="4"/>
  <c r="L671" i="4"/>
  <c r="H671" i="6"/>
  <c r="I671" i="6"/>
  <c r="K671" i="4"/>
  <c r="D671" i="5"/>
  <c r="E671" i="5"/>
  <c r="F671" i="4"/>
  <c r="E671" i="4"/>
  <c r="B671" i="4"/>
  <c r="A671" i="4"/>
  <c r="K670" i="4"/>
  <c r="D670" i="5"/>
  <c r="E670" i="5"/>
  <c r="F670" i="4"/>
  <c r="B670" i="4"/>
  <c r="A670" i="4"/>
  <c r="L669" i="4"/>
  <c r="H669" i="6"/>
  <c r="I669" i="6"/>
  <c r="K669" i="4"/>
  <c r="D669" i="5"/>
  <c r="E669" i="5"/>
  <c r="F669" i="4"/>
  <c r="B669" i="4"/>
  <c r="A669" i="4"/>
  <c r="L668" i="4"/>
  <c r="H668" i="6"/>
  <c r="I668" i="6"/>
  <c r="K668" i="4"/>
  <c r="D668" i="5"/>
  <c r="E668" i="5"/>
  <c r="F668" i="4"/>
  <c r="B668" i="4"/>
  <c r="A668" i="4"/>
  <c r="L667" i="4"/>
  <c r="H667" i="6"/>
  <c r="I667" i="6"/>
  <c r="K667" i="4"/>
  <c r="D667" i="5"/>
  <c r="E667" i="5"/>
  <c r="F667" i="4"/>
  <c r="B667" i="4"/>
  <c r="A667" i="4"/>
  <c r="K666" i="4"/>
  <c r="D666" i="5"/>
  <c r="E666" i="5"/>
  <c r="F666" i="4"/>
  <c r="B666" i="4"/>
  <c r="A666" i="4"/>
  <c r="L665" i="4"/>
  <c r="H665" i="6"/>
  <c r="I665" i="6"/>
  <c r="K665" i="4"/>
  <c r="D665" i="5"/>
  <c r="E665" i="5"/>
  <c r="F665" i="4"/>
  <c r="E665" i="4"/>
  <c r="B665" i="4"/>
  <c r="A665" i="4"/>
  <c r="K664" i="4"/>
  <c r="D664" i="5"/>
  <c r="E664" i="5"/>
  <c r="F664" i="4"/>
  <c r="B664" i="4"/>
  <c r="A664" i="4"/>
  <c r="L663" i="4"/>
  <c r="H663" i="6"/>
  <c r="I663" i="6"/>
  <c r="K663" i="4"/>
  <c r="D663" i="5"/>
  <c r="E663" i="5"/>
  <c r="F663" i="4"/>
  <c r="B663" i="4"/>
  <c r="A663" i="4"/>
  <c r="L662" i="4"/>
  <c r="H662" i="6"/>
  <c r="I662" i="6"/>
  <c r="K662" i="4"/>
  <c r="D662" i="5"/>
  <c r="E662" i="5"/>
  <c r="F662" i="4"/>
  <c r="B662" i="4"/>
  <c r="A662" i="4"/>
  <c r="L661" i="4"/>
  <c r="H661" i="6"/>
  <c r="I661" i="6"/>
  <c r="K661" i="4"/>
  <c r="D661" i="5"/>
  <c r="E661" i="5"/>
  <c r="F661" i="4"/>
  <c r="E661" i="4"/>
  <c r="B661" i="4"/>
  <c r="A661" i="4"/>
  <c r="L660" i="4"/>
  <c r="H660" i="6"/>
  <c r="I660" i="6"/>
  <c r="K660" i="4"/>
  <c r="D660" i="5"/>
  <c r="E660" i="5"/>
  <c r="F660" i="4"/>
  <c r="B660" i="4"/>
  <c r="A660" i="4"/>
  <c r="L659" i="4"/>
  <c r="H659" i="6"/>
  <c r="I659" i="6"/>
  <c r="K659" i="4"/>
  <c r="D659" i="5"/>
  <c r="E659" i="5"/>
  <c r="F659" i="4"/>
  <c r="B659" i="4"/>
  <c r="A659" i="4"/>
  <c r="K658" i="4"/>
  <c r="D658" i="5"/>
  <c r="E658" i="5"/>
  <c r="F658" i="4"/>
  <c r="B658" i="4"/>
  <c r="A658" i="4"/>
  <c r="L657" i="4"/>
  <c r="H657" i="6"/>
  <c r="I657" i="6"/>
  <c r="K657" i="4"/>
  <c r="D657" i="5"/>
  <c r="E657" i="5"/>
  <c r="F657" i="4"/>
  <c r="E657" i="4"/>
  <c r="B657" i="4"/>
  <c r="A657" i="4"/>
  <c r="L656" i="4"/>
  <c r="H656" i="6"/>
  <c r="I656" i="6"/>
  <c r="K656" i="4"/>
  <c r="D656" i="5"/>
  <c r="E656" i="5"/>
  <c r="F656" i="4"/>
  <c r="B656" i="4"/>
  <c r="A656" i="4"/>
  <c r="L655" i="4"/>
  <c r="H655" i="6"/>
  <c r="I655" i="6"/>
  <c r="K655" i="4"/>
  <c r="D655" i="5"/>
  <c r="E655" i="5"/>
  <c r="F655" i="4"/>
  <c r="E655" i="4"/>
  <c r="B655" i="4"/>
  <c r="A655" i="4"/>
  <c r="L654" i="4"/>
  <c r="H654" i="6"/>
  <c r="I654" i="6"/>
  <c r="K654" i="4"/>
  <c r="D654" i="5"/>
  <c r="E654" i="5"/>
  <c r="F654" i="4"/>
  <c r="B654" i="4"/>
  <c r="A654" i="4"/>
  <c r="K653" i="4"/>
  <c r="D653" i="5"/>
  <c r="E653" i="5"/>
  <c r="F653" i="4"/>
  <c r="E653" i="4"/>
  <c r="B653" i="4"/>
  <c r="A653" i="4"/>
  <c r="L652" i="4"/>
  <c r="H652" i="6"/>
  <c r="I652" i="6"/>
  <c r="K652" i="4"/>
  <c r="D652" i="5"/>
  <c r="E652" i="5"/>
  <c r="F652" i="4"/>
  <c r="B652" i="4"/>
  <c r="A652" i="4"/>
  <c r="L651" i="4"/>
  <c r="H651" i="6"/>
  <c r="I651" i="6"/>
  <c r="K651" i="4"/>
  <c r="D651" i="5"/>
  <c r="E651" i="5"/>
  <c r="F651" i="4"/>
  <c r="B651" i="4"/>
  <c r="A651" i="4"/>
  <c r="L650" i="4"/>
  <c r="H650" i="6"/>
  <c r="I650" i="6"/>
  <c r="K650" i="4"/>
  <c r="D650" i="5"/>
  <c r="E650" i="5"/>
  <c r="F650" i="4"/>
  <c r="B650" i="4"/>
  <c r="A650" i="4"/>
  <c r="K649" i="4"/>
  <c r="D649" i="5"/>
  <c r="E649" i="5"/>
  <c r="F649" i="4"/>
  <c r="E649" i="4"/>
  <c r="B649" i="4"/>
  <c r="A649" i="4"/>
  <c r="K648" i="4"/>
  <c r="D648" i="5"/>
  <c r="E648" i="5"/>
  <c r="F648" i="4"/>
  <c r="B648" i="4"/>
  <c r="A648" i="4"/>
  <c r="K647" i="4"/>
  <c r="D647" i="5"/>
  <c r="E647" i="5"/>
  <c r="F647" i="4"/>
  <c r="B647" i="4"/>
  <c r="A647" i="4"/>
  <c r="L646" i="4"/>
  <c r="H646" i="6"/>
  <c r="I646" i="6"/>
  <c r="K646" i="4"/>
  <c r="D646" i="5"/>
  <c r="E646" i="5"/>
  <c r="F646" i="4"/>
  <c r="B646" i="4"/>
  <c r="A646" i="4"/>
  <c r="K645" i="4"/>
  <c r="D645" i="5"/>
  <c r="E645" i="5"/>
  <c r="F645" i="4"/>
  <c r="B645" i="4"/>
  <c r="A645" i="4"/>
  <c r="K644" i="4"/>
  <c r="D644" i="5"/>
  <c r="E644" i="5"/>
  <c r="F644" i="4"/>
  <c r="B644" i="4"/>
  <c r="A644" i="4"/>
  <c r="L643" i="4"/>
  <c r="H643" i="6"/>
  <c r="I643" i="6"/>
  <c r="K643" i="4"/>
  <c r="D643" i="5"/>
  <c r="E643" i="5"/>
  <c r="F643" i="4"/>
  <c r="B643" i="4"/>
  <c r="A643" i="4"/>
  <c r="K642" i="4"/>
  <c r="D642" i="5"/>
  <c r="E642" i="5"/>
  <c r="F642" i="4"/>
  <c r="B642" i="4"/>
  <c r="A642" i="4"/>
  <c r="L641" i="4"/>
  <c r="H641" i="6"/>
  <c r="I641" i="6"/>
  <c r="K641" i="4"/>
  <c r="D641" i="5"/>
  <c r="E641" i="5"/>
  <c r="F641" i="4"/>
  <c r="E641" i="4"/>
  <c r="B641" i="4"/>
  <c r="A641" i="4"/>
  <c r="K640" i="4"/>
  <c r="D640" i="5"/>
  <c r="E640" i="5"/>
  <c r="F640" i="4"/>
  <c r="B640" i="4"/>
  <c r="A640" i="4"/>
  <c r="L639" i="4"/>
  <c r="H639" i="6"/>
  <c r="I639" i="6"/>
  <c r="K639" i="4"/>
  <c r="D639" i="5"/>
  <c r="E639" i="5"/>
  <c r="F639" i="4"/>
  <c r="E639" i="4"/>
  <c r="B639" i="4"/>
  <c r="A639" i="4"/>
  <c r="L638" i="4"/>
  <c r="H638" i="6"/>
  <c r="I638" i="6"/>
  <c r="K638" i="4"/>
  <c r="D638" i="5"/>
  <c r="E638" i="5"/>
  <c r="F638" i="4"/>
  <c r="B638" i="4"/>
  <c r="A638" i="4"/>
  <c r="K637" i="4"/>
  <c r="D637" i="5"/>
  <c r="E637" i="5"/>
  <c r="F637" i="4"/>
  <c r="E637" i="4"/>
  <c r="B637" i="4"/>
  <c r="A637" i="4"/>
  <c r="L636" i="4"/>
  <c r="H636" i="6"/>
  <c r="I636" i="6"/>
  <c r="K636" i="4"/>
  <c r="D636" i="5"/>
  <c r="E636" i="5"/>
  <c r="F636" i="4"/>
  <c r="B636" i="4"/>
  <c r="A636" i="4"/>
  <c r="L635" i="4"/>
  <c r="H635" i="6"/>
  <c r="I635" i="6"/>
  <c r="K635" i="4"/>
  <c r="D635" i="5"/>
  <c r="E635" i="5"/>
  <c r="F635" i="4"/>
  <c r="B635" i="4"/>
  <c r="A635" i="4"/>
  <c r="L634" i="4"/>
  <c r="H634" i="6"/>
  <c r="I634" i="6"/>
  <c r="K634" i="4"/>
  <c r="D634" i="5"/>
  <c r="E634" i="5"/>
  <c r="F634" i="4"/>
  <c r="B634" i="4"/>
  <c r="A634" i="4"/>
  <c r="K633" i="4"/>
  <c r="D633" i="5"/>
  <c r="E633" i="5"/>
  <c r="F633" i="4"/>
  <c r="E633" i="4"/>
  <c r="B633" i="4"/>
  <c r="A633" i="4"/>
  <c r="K632" i="4"/>
  <c r="D632" i="5"/>
  <c r="E632" i="5"/>
  <c r="F632" i="4"/>
  <c r="B632" i="4"/>
  <c r="A632" i="4"/>
  <c r="K631" i="4"/>
  <c r="D631" i="5"/>
  <c r="E631" i="5"/>
  <c r="F631" i="4"/>
  <c r="B631" i="4"/>
  <c r="A631" i="4"/>
  <c r="L630" i="4"/>
  <c r="H630" i="6"/>
  <c r="I630" i="6"/>
  <c r="K630" i="4"/>
  <c r="D630" i="5"/>
  <c r="E630" i="5"/>
  <c r="F630" i="4"/>
  <c r="B630" i="4"/>
  <c r="A630" i="4"/>
  <c r="K629" i="4"/>
  <c r="D629" i="5"/>
  <c r="E629" i="5"/>
  <c r="F629" i="4"/>
  <c r="B629" i="4"/>
  <c r="A629" i="4"/>
  <c r="K628" i="4"/>
  <c r="D628" i="5"/>
  <c r="E628" i="5"/>
  <c r="F628" i="4"/>
  <c r="B628" i="4"/>
  <c r="A628" i="4"/>
  <c r="L627" i="4"/>
  <c r="H627" i="6"/>
  <c r="I627" i="6"/>
  <c r="K627" i="4"/>
  <c r="D627" i="5"/>
  <c r="E627" i="5"/>
  <c r="F627" i="4"/>
  <c r="B627" i="4"/>
  <c r="A627" i="4"/>
  <c r="K626" i="4"/>
  <c r="D626" i="5"/>
  <c r="E626" i="5"/>
  <c r="F626" i="4"/>
  <c r="B626" i="4"/>
  <c r="A626" i="4"/>
  <c r="L625" i="4"/>
  <c r="H625" i="6"/>
  <c r="I625" i="6"/>
  <c r="K625" i="4"/>
  <c r="D625" i="5"/>
  <c r="E625" i="5"/>
  <c r="F625" i="4"/>
  <c r="E625" i="4"/>
  <c r="B625" i="4"/>
  <c r="A625" i="4"/>
  <c r="K624" i="4"/>
  <c r="D624" i="5"/>
  <c r="E624" i="5"/>
  <c r="F624" i="4"/>
  <c r="B624" i="4"/>
  <c r="A624" i="4"/>
  <c r="L623" i="4"/>
  <c r="H623" i="6"/>
  <c r="I623" i="6"/>
  <c r="K623" i="4"/>
  <c r="D623" i="5"/>
  <c r="E623" i="5"/>
  <c r="F623" i="4"/>
  <c r="E623" i="4"/>
  <c r="B623" i="4"/>
  <c r="A623" i="4"/>
  <c r="L622" i="4"/>
  <c r="H622" i="6"/>
  <c r="I622" i="6"/>
  <c r="K622" i="4"/>
  <c r="D622" i="5"/>
  <c r="E622" i="5"/>
  <c r="F622" i="4"/>
  <c r="B622" i="4"/>
  <c r="A622" i="4"/>
  <c r="K621" i="4"/>
  <c r="D621" i="5"/>
  <c r="E621" i="5"/>
  <c r="F621" i="4"/>
  <c r="E621" i="4"/>
  <c r="B621" i="4"/>
  <c r="A621" i="4"/>
  <c r="L620" i="4"/>
  <c r="H620" i="6"/>
  <c r="I620" i="6"/>
  <c r="K620" i="4"/>
  <c r="D620" i="5"/>
  <c r="E620" i="5"/>
  <c r="F620" i="4"/>
  <c r="B620" i="4"/>
  <c r="A620" i="4"/>
  <c r="L619" i="4"/>
  <c r="H619" i="6"/>
  <c r="I619" i="6"/>
  <c r="K619" i="4"/>
  <c r="D619" i="5"/>
  <c r="E619" i="5"/>
  <c r="F619" i="4"/>
  <c r="B619" i="4"/>
  <c r="A619" i="4"/>
  <c r="L618" i="4"/>
  <c r="H618" i="6"/>
  <c r="I618" i="6"/>
  <c r="K618" i="4"/>
  <c r="D618" i="5"/>
  <c r="E618" i="5"/>
  <c r="F618" i="4"/>
  <c r="B618" i="4"/>
  <c r="A618" i="4"/>
  <c r="K617" i="4"/>
  <c r="D617" i="5"/>
  <c r="E617" i="5"/>
  <c r="F617" i="4"/>
  <c r="E617" i="4"/>
  <c r="B617" i="4"/>
  <c r="A617" i="4"/>
  <c r="K616" i="4"/>
  <c r="D616" i="5"/>
  <c r="E616" i="5"/>
  <c r="F616" i="4"/>
  <c r="B616" i="4"/>
  <c r="A616" i="4"/>
  <c r="K615" i="4"/>
  <c r="D615" i="5"/>
  <c r="E615" i="5"/>
  <c r="F615" i="4"/>
  <c r="B615" i="4"/>
  <c r="A615" i="4"/>
  <c r="L614" i="4"/>
  <c r="H614" i="6"/>
  <c r="I614" i="6"/>
  <c r="K614" i="4"/>
  <c r="D614" i="5"/>
  <c r="E614" i="5"/>
  <c r="F614" i="4"/>
  <c r="B614" i="4"/>
  <c r="A614" i="4"/>
  <c r="K613" i="4"/>
  <c r="D613" i="5"/>
  <c r="E613" i="5"/>
  <c r="F613" i="4"/>
  <c r="B613" i="4"/>
  <c r="A613" i="4"/>
  <c r="K612" i="4"/>
  <c r="D612" i="5"/>
  <c r="E612" i="5"/>
  <c r="F612" i="4"/>
  <c r="B612" i="4"/>
  <c r="A612" i="4"/>
  <c r="L611" i="4"/>
  <c r="H611" i="6"/>
  <c r="I611" i="6"/>
  <c r="K611" i="4"/>
  <c r="D611" i="5"/>
  <c r="E611" i="5"/>
  <c r="F611" i="4"/>
  <c r="B611" i="4"/>
  <c r="A611" i="4"/>
  <c r="K610" i="4"/>
  <c r="D610" i="5"/>
  <c r="E610" i="5"/>
  <c r="F610" i="4"/>
  <c r="B610" i="4"/>
  <c r="A610" i="4"/>
  <c r="L609" i="4"/>
  <c r="H609" i="6"/>
  <c r="I609" i="6"/>
  <c r="K609" i="4"/>
  <c r="D609" i="5"/>
  <c r="E609" i="5"/>
  <c r="F609" i="4"/>
  <c r="E609" i="4"/>
  <c r="B609" i="4"/>
  <c r="A609" i="4"/>
  <c r="K608" i="4"/>
  <c r="D608" i="5"/>
  <c r="E608" i="5"/>
  <c r="F608" i="4"/>
  <c r="B608" i="4"/>
  <c r="A608" i="4"/>
  <c r="L607" i="4"/>
  <c r="H607" i="6"/>
  <c r="I607" i="6"/>
  <c r="K607" i="4"/>
  <c r="D607" i="5"/>
  <c r="E607" i="5"/>
  <c r="F607" i="4"/>
  <c r="E607" i="4"/>
  <c r="B607" i="4"/>
  <c r="A607" i="4"/>
  <c r="L606" i="4"/>
  <c r="H606" i="6"/>
  <c r="I606" i="6"/>
  <c r="K606" i="4"/>
  <c r="D606" i="5"/>
  <c r="E606" i="5"/>
  <c r="G606" i="4"/>
  <c r="G607" i="4"/>
  <c r="F606" i="4"/>
  <c r="C606" i="4"/>
  <c r="C607" i="4"/>
  <c r="B606" i="4"/>
  <c r="A606" i="4"/>
  <c r="K585" i="4"/>
  <c r="D585" i="5"/>
  <c r="E585" i="5"/>
  <c r="F585" i="4"/>
  <c r="E585" i="4"/>
  <c r="B585" i="4"/>
  <c r="A585" i="4"/>
  <c r="L584" i="4"/>
  <c r="H584" i="6"/>
  <c r="I584" i="6"/>
  <c r="K584" i="4"/>
  <c r="D584" i="5"/>
  <c r="E584" i="5"/>
  <c r="F584" i="4"/>
  <c r="B584" i="4"/>
  <c r="A584" i="4"/>
  <c r="L583" i="4"/>
  <c r="H583" i="6"/>
  <c r="I583" i="6"/>
  <c r="K583" i="4"/>
  <c r="D583" i="5"/>
  <c r="E583" i="5"/>
  <c r="F583" i="4"/>
  <c r="B583" i="4"/>
  <c r="A583" i="4"/>
  <c r="L582" i="4"/>
  <c r="H582" i="6"/>
  <c r="I582" i="6"/>
  <c r="K582" i="4"/>
  <c r="D582" i="5"/>
  <c r="E582" i="5"/>
  <c r="F582" i="4"/>
  <c r="B582" i="4"/>
  <c r="A582" i="4"/>
  <c r="K581" i="4"/>
  <c r="D581" i="5"/>
  <c r="E581" i="5"/>
  <c r="F581" i="4"/>
  <c r="E581" i="4"/>
  <c r="B581" i="4"/>
  <c r="A581" i="4"/>
  <c r="K580" i="4"/>
  <c r="D580" i="5"/>
  <c r="E580" i="5"/>
  <c r="F580" i="4"/>
  <c r="B580" i="4"/>
  <c r="A580" i="4"/>
  <c r="K579" i="4"/>
  <c r="D579" i="5"/>
  <c r="E579" i="5"/>
  <c r="F579" i="4"/>
  <c r="B579" i="4"/>
  <c r="A579" i="4"/>
  <c r="L578" i="4"/>
  <c r="H578" i="6"/>
  <c r="I578" i="6"/>
  <c r="K578" i="4"/>
  <c r="D578" i="5"/>
  <c r="E578" i="5"/>
  <c r="F578" i="4"/>
  <c r="B578" i="4"/>
  <c r="A578" i="4"/>
  <c r="K577" i="4"/>
  <c r="D577" i="5"/>
  <c r="E577" i="5"/>
  <c r="F577" i="4"/>
  <c r="B577" i="4"/>
  <c r="A577" i="4"/>
  <c r="K576" i="4"/>
  <c r="D576" i="5"/>
  <c r="E576" i="5"/>
  <c r="F576" i="4"/>
  <c r="B576" i="4"/>
  <c r="A576" i="4"/>
  <c r="L575" i="4"/>
  <c r="H575" i="6"/>
  <c r="I575" i="6"/>
  <c r="K575" i="4"/>
  <c r="D575" i="5"/>
  <c r="E575" i="5"/>
  <c r="F575" i="4"/>
  <c r="B575" i="4"/>
  <c r="A575" i="4"/>
  <c r="K574" i="4"/>
  <c r="D574" i="5"/>
  <c r="E574" i="5"/>
  <c r="F574" i="4"/>
  <c r="B574" i="4"/>
  <c r="A574" i="4"/>
  <c r="L573" i="4"/>
  <c r="H573" i="6"/>
  <c r="I573" i="6"/>
  <c r="K573" i="4"/>
  <c r="D573" i="5"/>
  <c r="E573" i="5"/>
  <c r="F573" i="4"/>
  <c r="E573" i="4"/>
  <c r="B573" i="4"/>
  <c r="A573" i="4"/>
  <c r="K572" i="4"/>
  <c r="D572" i="5"/>
  <c r="E572" i="5"/>
  <c r="F572" i="4"/>
  <c r="B572" i="4"/>
  <c r="A572" i="4"/>
  <c r="L571" i="4"/>
  <c r="H571" i="6"/>
  <c r="I571" i="6"/>
  <c r="K571" i="4"/>
  <c r="D571" i="5"/>
  <c r="E571" i="5"/>
  <c r="F571" i="4"/>
  <c r="E571" i="4"/>
  <c r="B571" i="4"/>
  <c r="A571" i="4"/>
  <c r="L570" i="4"/>
  <c r="H570" i="6"/>
  <c r="I570" i="6"/>
  <c r="K570" i="4"/>
  <c r="D570" i="5"/>
  <c r="E570" i="5"/>
  <c r="F570" i="4"/>
  <c r="B570" i="4"/>
  <c r="A570" i="4"/>
  <c r="K569" i="4"/>
  <c r="D569" i="5"/>
  <c r="E569" i="5"/>
  <c r="F569" i="4"/>
  <c r="E569" i="4"/>
  <c r="B569" i="4"/>
  <c r="A569" i="4"/>
  <c r="L568" i="4"/>
  <c r="H568" i="6"/>
  <c r="I568" i="6"/>
  <c r="K568" i="4"/>
  <c r="D568" i="5"/>
  <c r="E568" i="5"/>
  <c r="F568" i="4"/>
  <c r="B568" i="4"/>
  <c r="A568" i="4"/>
  <c r="L567" i="4"/>
  <c r="H567" i="6"/>
  <c r="I567" i="6"/>
  <c r="K567" i="4"/>
  <c r="D567" i="5"/>
  <c r="E567" i="5"/>
  <c r="F567" i="4"/>
  <c r="B567" i="4"/>
  <c r="A567" i="4"/>
  <c r="L566" i="4"/>
  <c r="H566" i="6"/>
  <c r="I566" i="6"/>
  <c r="K566" i="4"/>
  <c r="D566" i="5"/>
  <c r="E566" i="5"/>
  <c r="F566" i="4"/>
  <c r="B566" i="4"/>
  <c r="A566" i="4"/>
  <c r="K565" i="4"/>
  <c r="D565" i="5"/>
  <c r="E565" i="5"/>
  <c r="F565" i="4"/>
  <c r="E565" i="4"/>
  <c r="B565" i="4"/>
  <c r="A565" i="4"/>
  <c r="K564" i="4"/>
  <c r="D564" i="5"/>
  <c r="E564" i="5"/>
  <c r="F564" i="4"/>
  <c r="B564" i="4"/>
  <c r="A564" i="4"/>
  <c r="K563" i="4"/>
  <c r="D563" i="5"/>
  <c r="E563" i="5"/>
  <c r="F563" i="4"/>
  <c r="B563" i="4"/>
  <c r="A563" i="4"/>
  <c r="L562" i="4"/>
  <c r="H562" i="6"/>
  <c r="I562" i="6"/>
  <c r="K562" i="4"/>
  <c r="D562" i="5"/>
  <c r="E562" i="5"/>
  <c r="F562" i="4"/>
  <c r="B562" i="4"/>
  <c r="A562" i="4"/>
  <c r="K561" i="4"/>
  <c r="D561" i="5"/>
  <c r="E561" i="5"/>
  <c r="F561" i="4"/>
  <c r="B561" i="4"/>
  <c r="A561" i="4"/>
  <c r="K560" i="4"/>
  <c r="D560" i="5"/>
  <c r="E560" i="5"/>
  <c r="F560" i="4"/>
  <c r="B560" i="4"/>
  <c r="A560" i="4"/>
  <c r="L559" i="4"/>
  <c r="H559" i="6"/>
  <c r="I559" i="6"/>
  <c r="K559" i="4"/>
  <c r="D559" i="5"/>
  <c r="E559" i="5"/>
  <c r="F559" i="4"/>
  <c r="B559" i="4"/>
  <c r="A559" i="4"/>
  <c r="K558" i="4"/>
  <c r="D558" i="5"/>
  <c r="E558" i="5"/>
  <c r="F558" i="4"/>
  <c r="B558" i="4"/>
  <c r="A558" i="4"/>
  <c r="L557" i="4"/>
  <c r="H557" i="6"/>
  <c r="I557" i="6"/>
  <c r="K557" i="4"/>
  <c r="D557" i="5"/>
  <c r="E557" i="5"/>
  <c r="F557" i="4"/>
  <c r="E557" i="4"/>
  <c r="B557" i="4"/>
  <c r="A557" i="4"/>
  <c r="K556" i="4"/>
  <c r="D556" i="5"/>
  <c r="E556" i="5"/>
  <c r="F556" i="4"/>
  <c r="B556" i="4"/>
  <c r="A556" i="4"/>
  <c r="L555" i="4"/>
  <c r="H555" i="6"/>
  <c r="I555" i="6"/>
  <c r="K555" i="4"/>
  <c r="D555" i="5"/>
  <c r="E555" i="5"/>
  <c r="F555" i="4"/>
  <c r="E555" i="4"/>
  <c r="B555" i="4"/>
  <c r="A555" i="4"/>
  <c r="L554" i="4"/>
  <c r="H554" i="6"/>
  <c r="I554" i="6"/>
  <c r="K554" i="4"/>
  <c r="D554" i="5"/>
  <c r="E554" i="5"/>
  <c r="F554" i="4"/>
  <c r="B554" i="4"/>
  <c r="A554" i="4"/>
  <c r="K553" i="4"/>
  <c r="D553" i="5"/>
  <c r="E553" i="5"/>
  <c r="F553" i="4"/>
  <c r="E553" i="4"/>
  <c r="B553" i="4"/>
  <c r="A553" i="4"/>
  <c r="L552" i="4"/>
  <c r="H552" i="6"/>
  <c r="I552" i="6"/>
  <c r="K552" i="4"/>
  <c r="D552" i="5"/>
  <c r="E552" i="5"/>
  <c r="F552" i="4"/>
  <c r="B552" i="4"/>
  <c r="A552" i="4"/>
  <c r="L551" i="4"/>
  <c r="H551" i="6"/>
  <c r="I551" i="6"/>
  <c r="K551" i="4"/>
  <c r="D551" i="5"/>
  <c r="E551" i="5"/>
  <c r="F551" i="4"/>
  <c r="B551" i="4"/>
  <c r="A551" i="4"/>
  <c r="L550" i="4"/>
  <c r="H550" i="6"/>
  <c r="I550" i="6"/>
  <c r="K550" i="4"/>
  <c r="D550" i="5"/>
  <c r="E550" i="5"/>
  <c r="F550" i="4"/>
  <c r="B550" i="4"/>
  <c r="A550" i="4"/>
  <c r="K549" i="4"/>
  <c r="D549" i="5"/>
  <c r="E549" i="5"/>
  <c r="F549" i="4"/>
  <c r="E549" i="4"/>
  <c r="B549" i="4"/>
  <c r="A549" i="4"/>
  <c r="K548" i="4"/>
  <c r="D548" i="5"/>
  <c r="E548" i="5"/>
  <c r="F548" i="4"/>
  <c r="B548" i="4"/>
  <c r="A548" i="4"/>
  <c r="K547" i="4"/>
  <c r="D547" i="5"/>
  <c r="E547" i="5"/>
  <c r="F547" i="4"/>
  <c r="B547" i="4"/>
  <c r="A547" i="4"/>
  <c r="L546" i="4"/>
  <c r="H546" i="6"/>
  <c r="I546" i="6"/>
  <c r="K546" i="4"/>
  <c r="D546" i="5"/>
  <c r="E546" i="5"/>
  <c r="F546" i="4"/>
  <c r="B546" i="4"/>
  <c r="A546" i="4"/>
  <c r="K545" i="4"/>
  <c r="D545" i="5"/>
  <c r="E545" i="5"/>
  <c r="F545" i="4"/>
  <c r="B545" i="4"/>
  <c r="A545" i="4"/>
  <c r="K544" i="4"/>
  <c r="D544" i="5"/>
  <c r="E544" i="5"/>
  <c r="F544" i="4"/>
  <c r="B544" i="4"/>
  <c r="A544" i="4"/>
  <c r="L543" i="4"/>
  <c r="H543" i="6"/>
  <c r="I543" i="6"/>
  <c r="K543" i="4"/>
  <c r="D543" i="5"/>
  <c r="E543" i="5"/>
  <c r="F543" i="4"/>
  <c r="B543" i="4"/>
  <c r="A543" i="4"/>
  <c r="K542" i="4"/>
  <c r="D542" i="5"/>
  <c r="E542" i="5"/>
  <c r="F542" i="4"/>
  <c r="B542" i="4"/>
  <c r="A542" i="4"/>
  <c r="L541" i="4"/>
  <c r="H541" i="6"/>
  <c r="I541" i="6"/>
  <c r="K541" i="4"/>
  <c r="D541" i="5"/>
  <c r="E541" i="5"/>
  <c r="F541" i="4"/>
  <c r="E541" i="4"/>
  <c r="B541" i="4"/>
  <c r="A541" i="4"/>
  <c r="K540" i="4"/>
  <c r="D540" i="5"/>
  <c r="E540" i="5"/>
  <c r="F540" i="4"/>
  <c r="B540" i="4"/>
  <c r="A540" i="4"/>
  <c r="L539" i="4"/>
  <c r="H539" i="6"/>
  <c r="I539" i="6"/>
  <c r="K539" i="4"/>
  <c r="D539" i="5"/>
  <c r="E539" i="5"/>
  <c r="F539" i="4"/>
  <c r="E539" i="4"/>
  <c r="B539" i="4"/>
  <c r="A539" i="4"/>
  <c r="L538" i="4"/>
  <c r="H538" i="6"/>
  <c r="I538" i="6"/>
  <c r="K538" i="4"/>
  <c r="D538" i="5"/>
  <c r="E538" i="5"/>
  <c r="F538" i="4"/>
  <c r="B538" i="4"/>
  <c r="A538" i="4"/>
  <c r="K537" i="4"/>
  <c r="D537" i="5"/>
  <c r="E537" i="5"/>
  <c r="F537" i="4"/>
  <c r="C537" i="6"/>
  <c r="B537" i="4"/>
  <c r="A537" i="4"/>
  <c r="L536" i="4"/>
  <c r="H536" i="6"/>
  <c r="I536" i="6"/>
  <c r="K536" i="4"/>
  <c r="D536" i="5"/>
  <c r="E536" i="5"/>
  <c r="F536" i="4"/>
  <c r="B536" i="4"/>
  <c r="A536" i="4"/>
  <c r="L535" i="4"/>
  <c r="H535" i="6"/>
  <c r="I535" i="6"/>
  <c r="K535" i="4"/>
  <c r="D535" i="5"/>
  <c r="E535" i="5"/>
  <c r="F535" i="4"/>
  <c r="B535" i="4"/>
  <c r="A535" i="4"/>
  <c r="L534" i="4"/>
  <c r="H534" i="6"/>
  <c r="I534" i="6"/>
  <c r="K534" i="4"/>
  <c r="D534" i="5"/>
  <c r="E534" i="5"/>
  <c r="F534" i="4"/>
  <c r="B534" i="4"/>
  <c r="A534" i="4"/>
  <c r="K533" i="4"/>
  <c r="D533" i="5"/>
  <c r="E533" i="5"/>
  <c r="F533" i="4"/>
  <c r="E533" i="4"/>
  <c r="B533" i="4"/>
  <c r="A533" i="4"/>
  <c r="K532" i="4"/>
  <c r="D532" i="5"/>
  <c r="E532" i="5"/>
  <c r="F532" i="4"/>
  <c r="B532" i="4"/>
  <c r="A532" i="4"/>
  <c r="K531" i="4"/>
  <c r="D531" i="5"/>
  <c r="E531" i="5"/>
  <c r="F531" i="4"/>
  <c r="B531" i="4"/>
  <c r="A531" i="4"/>
  <c r="L530" i="4"/>
  <c r="H530" i="6"/>
  <c r="I530" i="6"/>
  <c r="K530" i="4"/>
  <c r="D530" i="5"/>
  <c r="E530" i="5"/>
  <c r="F530" i="4"/>
  <c r="B530" i="4"/>
  <c r="A530" i="4"/>
  <c r="K529" i="4"/>
  <c r="D529" i="5"/>
  <c r="E529" i="5"/>
  <c r="F529" i="4"/>
  <c r="B529" i="4"/>
  <c r="A529" i="4"/>
  <c r="K528" i="4"/>
  <c r="D528" i="5"/>
  <c r="E528" i="5"/>
  <c r="F528" i="4"/>
  <c r="B528" i="4"/>
  <c r="A528" i="4"/>
  <c r="L527" i="4"/>
  <c r="H527" i="6"/>
  <c r="I527" i="6"/>
  <c r="K527" i="4"/>
  <c r="D527" i="5"/>
  <c r="E527" i="5"/>
  <c r="F527" i="4"/>
  <c r="B527" i="4"/>
  <c r="A527" i="4"/>
  <c r="K526" i="4"/>
  <c r="D526" i="5"/>
  <c r="E526" i="5"/>
  <c r="F526" i="4"/>
  <c r="B526" i="4"/>
  <c r="A526" i="4"/>
  <c r="L525" i="4"/>
  <c r="H525" i="6"/>
  <c r="I525" i="6"/>
  <c r="K525" i="4"/>
  <c r="D525" i="5"/>
  <c r="E525" i="5"/>
  <c r="F525" i="4"/>
  <c r="E525" i="4"/>
  <c r="B525" i="4"/>
  <c r="A525" i="4"/>
  <c r="K524" i="4"/>
  <c r="D524" i="5"/>
  <c r="E524" i="5"/>
  <c r="F524" i="4"/>
  <c r="B524" i="4"/>
  <c r="A524" i="4"/>
  <c r="L523" i="4"/>
  <c r="H523" i="6"/>
  <c r="I523" i="6"/>
  <c r="K523" i="4"/>
  <c r="D523" i="5"/>
  <c r="E523" i="5"/>
  <c r="F523" i="4"/>
  <c r="E523" i="4"/>
  <c r="B523" i="4"/>
  <c r="A523" i="4"/>
  <c r="L522" i="4"/>
  <c r="H522" i="6"/>
  <c r="I522" i="6"/>
  <c r="K522" i="4"/>
  <c r="D522" i="5"/>
  <c r="E522" i="5"/>
  <c r="F522" i="4"/>
  <c r="B522" i="4"/>
  <c r="A522" i="4"/>
  <c r="K521" i="4"/>
  <c r="D521" i="5"/>
  <c r="E521" i="5"/>
  <c r="F521" i="4"/>
  <c r="E521" i="4"/>
  <c r="B521" i="4"/>
  <c r="A521" i="4"/>
  <c r="L520" i="4"/>
  <c r="H520" i="6"/>
  <c r="I520" i="6"/>
  <c r="K520" i="4"/>
  <c r="D520" i="5"/>
  <c r="E520" i="5"/>
  <c r="F520" i="4"/>
  <c r="B520" i="4"/>
  <c r="A520" i="4"/>
  <c r="L519" i="4"/>
  <c r="H519" i="6"/>
  <c r="I519" i="6"/>
  <c r="K519" i="4"/>
  <c r="D519" i="5"/>
  <c r="E519" i="5"/>
  <c r="F519" i="4"/>
  <c r="B519" i="4"/>
  <c r="A519" i="4"/>
  <c r="L518" i="4"/>
  <c r="H518" i="6"/>
  <c r="I518" i="6"/>
  <c r="K518" i="4"/>
  <c r="D518" i="5"/>
  <c r="E518" i="5"/>
  <c r="F518" i="4"/>
  <c r="E518" i="4"/>
  <c r="B518" i="4"/>
  <c r="A518" i="4"/>
  <c r="L517" i="4"/>
  <c r="H517" i="6"/>
  <c r="I517" i="6"/>
  <c r="K517" i="4"/>
  <c r="D517" i="5"/>
  <c r="E517" i="5"/>
  <c r="F517" i="4"/>
  <c r="E517" i="4"/>
  <c r="B517" i="4"/>
  <c r="A517" i="4"/>
  <c r="L516" i="4"/>
  <c r="H516" i="6"/>
  <c r="I516" i="6"/>
  <c r="K516" i="4"/>
  <c r="D516" i="5"/>
  <c r="E516" i="5"/>
  <c r="F516" i="4"/>
  <c r="E516" i="4"/>
  <c r="B516" i="4"/>
  <c r="A516" i="4"/>
  <c r="K515" i="4"/>
  <c r="D515" i="5"/>
  <c r="E515" i="5"/>
  <c r="F515" i="4"/>
  <c r="E515" i="4"/>
  <c r="B515" i="4"/>
  <c r="A515" i="4"/>
  <c r="L514" i="4"/>
  <c r="H514" i="6"/>
  <c r="I514" i="6"/>
  <c r="K514" i="4"/>
  <c r="D514" i="5"/>
  <c r="E514" i="5"/>
  <c r="F514" i="4"/>
  <c r="E514" i="4"/>
  <c r="B514" i="4"/>
  <c r="A514" i="4"/>
  <c r="K513" i="4"/>
  <c r="D513" i="5"/>
  <c r="E513" i="5"/>
  <c r="F513" i="4"/>
  <c r="E513" i="4"/>
  <c r="B513" i="4"/>
  <c r="A513" i="4"/>
  <c r="K512" i="4"/>
  <c r="D512" i="5"/>
  <c r="E512" i="5"/>
  <c r="F512" i="4"/>
  <c r="E512" i="4"/>
  <c r="B512" i="4"/>
  <c r="A512" i="4"/>
  <c r="K511" i="4"/>
  <c r="D511" i="5"/>
  <c r="E511" i="5"/>
  <c r="F511" i="4"/>
  <c r="B511" i="4"/>
  <c r="A511" i="4"/>
  <c r="K510" i="4"/>
  <c r="D510" i="5"/>
  <c r="E510" i="5"/>
  <c r="F510" i="4"/>
  <c r="E510" i="4"/>
  <c r="B510" i="4"/>
  <c r="A510" i="4"/>
  <c r="L509" i="4"/>
  <c r="H509" i="6"/>
  <c r="I509" i="6"/>
  <c r="K509" i="4"/>
  <c r="D509" i="5"/>
  <c r="E509" i="5"/>
  <c r="F509" i="4"/>
  <c r="B509" i="4"/>
  <c r="A509" i="4"/>
  <c r="K508" i="4"/>
  <c r="D508" i="5"/>
  <c r="E508" i="5"/>
  <c r="F508" i="4"/>
  <c r="E508" i="4"/>
  <c r="B508" i="4"/>
  <c r="A508" i="4"/>
  <c r="K507" i="4"/>
  <c r="D507" i="5"/>
  <c r="E507" i="5"/>
  <c r="F507" i="4"/>
  <c r="B507" i="4"/>
  <c r="A507" i="4"/>
  <c r="L506" i="4"/>
  <c r="H506" i="6"/>
  <c r="I506" i="6"/>
  <c r="K506" i="4"/>
  <c r="D506" i="5"/>
  <c r="E506" i="5"/>
  <c r="F506" i="4"/>
  <c r="B506" i="4"/>
  <c r="A506" i="4"/>
  <c r="L505" i="4"/>
  <c r="H505" i="6"/>
  <c r="I505" i="6"/>
  <c r="K505" i="4"/>
  <c r="D505" i="5"/>
  <c r="E505" i="5"/>
  <c r="F505" i="4"/>
  <c r="E505" i="4"/>
  <c r="B505" i="4"/>
  <c r="A505" i="4"/>
  <c r="K504" i="4"/>
  <c r="D504" i="5"/>
  <c r="E504" i="5"/>
  <c r="F504" i="4"/>
  <c r="E504" i="4"/>
  <c r="B504" i="4"/>
  <c r="A504" i="4"/>
  <c r="L503" i="4"/>
  <c r="H503" i="6"/>
  <c r="I503" i="6"/>
  <c r="K503" i="4"/>
  <c r="D503" i="5"/>
  <c r="E503" i="5"/>
  <c r="F503" i="4"/>
  <c r="B503" i="4"/>
  <c r="A503" i="4"/>
  <c r="L502" i="4"/>
  <c r="H502" i="6"/>
  <c r="I502" i="6"/>
  <c r="K502" i="4"/>
  <c r="D502" i="5"/>
  <c r="E502" i="5"/>
  <c r="F502" i="4"/>
  <c r="E502" i="4"/>
  <c r="B502" i="4"/>
  <c r="A502" i="4"/>
  <c r="L501" i="4"/>
  <c r="H501" i="6"/>
  <c r="I501" i="6"/>
  <c r="K501" i="4"/>
  <c r="D501" i="5"/>
  <c r="E501" i="5"/>
  <c r="F501" i="4"/>
  <c r="E501" i="4"/>
  <c r="B501" i="4"/>
  <c r="A501" i="4"/>
  <c r="L500" i="4"/>
  <c r="H500" i="6"/>
  <c r="I500" i="6"/>
  <c r="K500" i="4"/>
  <c r="D500" i="5"/>
  <c r="E500" i="5"/>
  <c r="F500" i="4"/>
  <c r="E500" i="4"/>
  <c r="B500" i="4"/>
  <c r="A500" i="4"/>
  <c r="K499" i="4"/>
  <c r="D499" i="5"/>
  <c r="E499" i="5"/>
  <c r="F499" i="4"/>
  <c r="E499" i="4"/>
  <c r="B499" i="4"/>
  <c r="A499" i="4"/>
  <c r="L498" i="4"/>
  <c r="H498" i="6"/>
  <c r="I498" i="6"/>
  <c r="K498" i="4"/>
  <c r="D498" i="5"/>
  <c r="E498" i="5"/>
  <c r="F498" i="4"/>
  <c r="E498" i="4"/>
  <c r="B498" i="4"/>
  <c r="A498" i="4"/>
  <c r="K497" i="4"/>
  <c r="D497" i="5"/>
  <c r="E497" i="5"/>
  <c r="F497" i="4"/>
  <c r="E497" i="4"/>
  <c r="B497" i="4"/>
  <c r="A497" i="4"/>
  <c r="K496" i="4"/>
  <c r="D496" i="5"/>
  <c r="E496" i="5"/>
  <c r="F496" i="4"/>
  <c r="E496" i="4"/>
  <c r="B496" i="4"/>
  <c r="A496" i="4"/>
  <c r="K495" i="4"/>
  <c r="D495" i="5"/>
  <c r="E495" i="5"/>
  <c r="F495" i="4"/>
  <c r="B495" i="4"/>
  <c r="A495" i="4"/>
  <c r="K494" i="4"/>
  <c r="D494" i="5"/>
  <c r="E494" i="5"/>
  <c r="F494" i="4"/>
  <c r="E494" i="4"/>
  <c r="B494" i="4"/>
  <c r="A494" i="4"/>
  <c r="L493" i="4"/>
  <c r="H493" i="6"/>
  <c r="I493" i="6"/>
  <c r="K493" i="4"/>
  <c r="D493" i="5"/>
  <c r="E493" i="5"/>
  <c r="F493" i="4"/>
  <c r="B493" i="4"/>
  <c r="A493" i="4"/>
  <c r="K492" i="4"/>
  <c r="D492" i="5"/>
  <c r="E492" i="5"/>
  <c r="F492" i="4"/>
  <c r="E492" i="4"/>
  <c r="B492" i="4"/>
  <c r="A492" i="4"/>
  <c r="K491" i="4"/>
  <c r="D491" i="5"/>
  <c r="E491" i="5"/>
  <c r="F491" i="4"/>
  <c r="B491" i="4"/>
  <c r="A491" i="4"/>
  <c r="L490" i="4"/>
  <c r="H490" i="6"/>
  <c r="I490" i="6"/>
  <c r="K490" i="4"/>
  <c r="D490" i="5"/>
  <c r="E490" i="5"/>
  <c r="F490" i="4"/>
  <c r="B490" i="4"/>
  <c r="A490" i="4"/>
  <c r="L489" i="4"/>
  <c r="H489" i="6"/>
  <c r="I489" i="6"/>
  <c r="K489" i="4"/>
  <c r="D489" i="5"/>
  <c r="E489" i="5"/>
  <c r="F489" i="4"/>
  <c r="E489" i="4"/>
  <c r="B489" i="4"/>
  <c r="A489" i="4"/>
  <c r="K488" i="4"/>
  <c r="D488" i="5"/>
  <c r="E488" i="5"/>
  <c r="F488" i="4"/>
  <c r="E488" i="4"/>
  <c r="C488" i="4"/>
  <c r="C489" i="4"/>
  <c r="B488" i="4"/>
  <c r="A488" i="4"/>
  <c r="L487" i="4"/>
  <c r="H487" i="6"/>
  <c r="I487" i="6"/>
  <c r="K487" i="4"/>
  <c r="D487" i="5"/>
  <c r="E487" i="5"/>
  <c r="G487" i="4"/>
  <c r="G488" i="4"/>
  <c r="F487" i="4"/>
  <c r="C487" i="4"/>
  <c r="D487" i="4"/>
  <c r="B487" i="4"/>
  <c r="A487" i="4"/>
  <c r="L486" i="4"/>
  <c r="H486" i="6"/>
  <c r="I486" i="6"/>
  <c r="K486" i="4"/>
  <c r="D486" i="5"/>
  <c r="E486" i="5"/>
  <c r="H486" i="4"/>
  <c r="G486" i="4"/>
  <c r="F486" i="4"/>
  <c r="E486" i="4"/>
  <c r="D486" i="4"/>
  <c r="C486" i="4"/>
  <c r="B486" i="4"/>
  <c r="A486" i="4"/>
  <c r="L465" i="4"/>
  <c r="H465" i="6"/>
  <c r="I465" i="6"/>
  <c r="K465" i="4"/>
  <c r="D465" i="5"/>
  <c r="E465" i="5"/>
  <c r="F465" i="4"/>
  <c r="E465" i="4"/>
  <c r="B465" i="4"/>
  <c r="A465" i="4"/>
  <c r="L464" i="4"/>
  <c r="H464" i="6"/>
  <c r="I464" i="6"/>
  <c r="K464" i="4"/>
  <c r="D464" i="5"/>
  <c r="E464" i="5"/>
  <c r="F464" i="4"/>
  <c r="E464" i="4"/>
  <c r="B464" i="4"/>
  <c r="A464" i="4"/>
  <c r="K463" i="4"/>
  <c r="D463" i="5"/>
  <c r="E463" i="5"/>
  <c r="F463" i="4"/>
  <c r="E463" i="4"/>
  <c r="B463" i="4"/>
  <c r="A463" i="4"/>
  <c r="L462" i="4"/>
  <c r="H462" i="6"/>
  <c r="I462" i="6"/>
  <c r="K462" i="4"/>
  <c r="D462" i="5"/>
  <c r="E462" i="5"/>
  <c r="F462" i="4"/>
  <c r="E462" i="4"/>
  <c r="B462" i="4"/>
  <c r="A462" i="4"/>
  <c r="K461" i="4"/>
  <c r="D461" i="5"/>
  <c r="E461" i="5"/>
  <c r="F461" i="4"/>
  <c r="E461" i="4"/>
  <c r="B461" i="4"/>
  <c r="A461" i="4"/>
  <c r="K460" i="4"/>
  <c r="D460" i="5"/>
  <c r="E460" i="5"/>
  <c r="F460" i="4"/>
  <c r="E460" i="4"/>
  <c r="B460" i="4"/>
  <c r="A460" i="4"/>
  <c r="K459" i="4"/>
  <c r="D459" i="5"/>
  <c r="E459" i="5"/>
  <c r="F459" i="4"/>
  <c r="B459" i="4"/>
  <c r="A459" i="4"/>
  <c r="K458" i="4"/>
  <c r="D458" i="5"/>
  <c r="E458" i="5"/>
  <c r="F458" i="4"/>
  <c r="E458" i="4"/>
  <c r="B458" i="4"/>
  <c r="A458" i="4"/>
  <c r="L457" i="4"/>
  <c r="H457" i="6"/>
  <c r="I457" i="6"/>
  <c r="K457" i="4"/>
  <c r="D457" i="5"/>
  <c r="E457" i="5"/>
  <c r="F457" i="4"/>
  <c r="C457" i="6"/>
  <c r="B457" i="4"/>
  <c r="A457" i="4"/>
  <c r="K456" i="4"/>
  <c r="D456" i="5"/>
  <c r="E456" i="5"/>
  <c r="F456" i="4"/>
  <c r="E456" i="4"/>
  <c r="B456" i="4"/>
  <c r="A456" i="4"/>
  <c r="K455" i="4"/>
  <c r="D455" i="5"/>
  <c r="E455" i="5"/>
  <c r="F455" i="4"/>
  <c r="B455" i="4"/>
  <c r="A455" i="4"/>
  <c r="L454" i="4"/>
  <c r="H454" i="6"/>
  <c r="I454" i="6"/>
  <c r="K454" i="4"/>
  <c r="D454" i="5"/>
  <c r="E454" i="5"/>
  <c r="F454" i="4"/>
  <c r="B454" i="4"/>
  <c r="A454" i="4"/>
  <c r="L453" i="4"/>
  <c r="H453" i="6"/>
  <c r="I453" i="6"/>
  <c r="K453" i="4"/>
  <c r="D453" i="5"/>
  <c r="E453" i="5"/>
  <c r="F453" i="4"/>
  <c r="E453" i="4"/>
  <c r="B453" i="4"/>
  <c r="A453" i="4"/>
  <c r="K452" i="4"/>
  <c r="D452" i="5"/>
  <c r="E452" i="5"/>
  <c r="F452" i="4"/>
  <c r="E452" i="4"/>
  <c r="B452" i="4"/>
  <c r="A452" i="4"/>
  <c r="L451" i="4"/>
  <c r="H451" i="6"/>
  <c r="I451" i="6"/>
  <c r="K451" i="4"/>
  <c r="D451" i="5"/>
  <c r="E451" i="5"/>
  <c r="F451" i="4"/>
  <c r="B451" i="4"/>
  <c r="A451" i="4"/>
  <c r="L450" i="4"/>
  <c r="H450" i="6"/>
  <c r="I450" i="6"/>
  <c r="K450" i="4"/>
  <c r="D450" i="5"/>
  <c r="E450" i="5"/>
  <c r="F450" i="4"/>
  <c r="E450" i="4"/>
  <c r="B450" i="4"/>
  <c r="A450" i="4"/>
  <c r="L449" i="4"/>
  <c r="H449" i="6"/>
  <c r="I449" i="6"/>
  <c r="K449" i="4"/>
  <c r="D449" i="5"/>
  <c r="E449" i="5"/>
  <c r="F449" i="4"/>
  <c r="E449" i="4"/>
  <c r="B449" i="4"/>
  <c r="A449" i="4"/>
  <c r="L448" i="4"/>
  <c r="H448" i="6"/>
  <c r="I448" i="6"/>
  <c r="K448" i="4"/>
  <c r="D448" i="5"/>
  <c r="E448" i="5"/>
  <c r="F448" i="4"/>
  <c r="E448" i="4"/>
  <c r="B448" i="4"/>
  <c r="A448" i="4"/>
  <c r="K447" i="4"/>
  <c r="D447" i="5"/>
  <c r="E447" i="5"/>
  <c r="F447" i="4"/>
  <c r="E447" i="4"/>
  <c r="B447" i="4"/>
  <c r="A447" i="4"/>
  <c r="L446" i="4"/>
  <c r="H446" i="6"/>
  <c r="I446" i="6"/>
  <c r="K446" i="4"/>
  <c r="D446" i="5"/>
  <c r="E446" i="5"/>
  <c r="F446" i="4"/>
  <c r="E446" i="4"/>
  <c r="B446" i="4"/>
  <c r="A446" i="4"/>
  <c r="K445" i="4"/>
  <c r="D445" i="5"/>
  <c r="E445" i="5"/>
  <c r="F445" i="4"/>
  <c r="E445" i="4"/>
  <c r="B445" i="4"/>
  <c r="A445" i="4"/>
  <c r="K444" i="4"/>
  <c r="D444" i="5"/>
  <c r="E444" i="5"/>
  <c r="F444" i="4"/>
  <c r="E444" i="4"/>
  <c r="B444" i="4"/>
  <c r="A444" i="4"/>
  <c r="K443" i="4"/>
  <c r="D443" i="5"/>
  <c r="E443" i="5"/>
  <c r="F443" i="4"/>
  <c r="B443" i="4"/>
  <c r="A443" i="4"/>
  <c r="K442" i="4"/>
  <c r="D442" i="5"/>
  <c r="E442" i="5"/>
  <c r="F442" i="4"/>
  <c r="E442" i="4"/>
  <c r="B442" i="4"/>
  <c r="A442" i="4"/>
  <c r="L441" i="4"/>
  <c r="H441" i="6"/>
  <c r="I441" i="6"/>
  <c r="K441" i="4"/>
  <c r="D441" i="5"/>
  <c r="E441" i="5"/>
  <c r="F441" i="4"/>
  <c r="B441" i="4"/>
  <c r="A441" i="4"/>
  <c r="K440" i="4"/>
  <c r="D440" i="5"/>
  <c r="E440" i="5"/>
  <c r="F440" i="4"/>
  <c r="E440" i="4"/>
  <c r="B440" i="4"/>
  <c r="A440" i="4"/>
  <c r="K439" i="4"/>
  <c r="D439" i="5"/>
  <c r="E439" i="5"/>
  <c r="F439" i="4"/>
  <c r="B439" i="4"/>
  <c r="A439" i="4"/>
  <c r="L438" i="4"/>
  <c r="H438" i="6"/>
  <c r="I438" i="6"/>
  <c r="K438" i="4"/>
  <c r="D438" i="5"/>
  <c r="E438" i="5"/>
  <c r="F438" i="4"/>
  <c r="B438" i="4"/>
  <c r="A438" i="4"/>
  <c r="L437" i="4"/>
  <c r="H437" i="6"/>
  <c r="I437" i="6"/>
  <c r="K437" i="4"/>
  <c r="D437" i="5"/>
  <c r="E437" i="5"/>
  <c r="F437" i="4"/>
  <c r="E437" i="4"/>
  <c r="B437" i="4"/>
  <c r="A437" i="4"/>
  <c r="K436" i="4"/>
  <c r="D436" i="5"/>
  <c r="E436" i="5"/>
  <c r="F436" i="4"/>
  <c r="E436" i="4"/>
  <c r="B436" i="4"/>
  <c r="A436" i="4"/>
  <c r="L435" i="4"/>
  <c r="H435" i="6"/>
  <c r="I435" i="6"/>
  <c r="K435" i="4"/>
  <c r="D435" i="5"/>
  <c r="E435" i="5"/>
  <c r="F435" i="4"/>
  <c r="B435" i="4"/>
  <c r="A435" i="4"/>
  <c r="L434" i="4"/>
  <c r="H434" i="6"/>
  <c r="I434" i="6"/>
  <c r="K434" i="4"/>
  <c r="D434" i="5"/>
  <c r="E434" i="5"/>
  <c r="F434" i="4"/>
  <c r="E434" i="4"/>
  <c r="B434" i="4"/>
  <c r="A434" i="4"/>
  <c r="L433" i="4"/>
  <c r="H433" i="6"/>
  <c r="I433" i="6"/>
  <c r="K433" i="4"/>
  <c r="D433" i="5"/>
  <c r="E433" i="5"/>
  <c r="F433" i="4"/>
  <c r="E433" i="4"/>
  <c r="B433" i="4"/>
  <c r="A433" i="4"/>
  <c r="L432" i="4"/>
  <c r="H432" i="6"/>
  <c r="I432" i="6"/>
  <c r="K432" i="4"/>
  <c r="D432" i="5"/>
  <c r="E432" i="5"/>
  <c r="F432" i="4"/>
  <c r="E432" i="4"/>
  <c r="B432" i="4"/>
  <c r="A432" i="4"/>
  <c r="K431" i="4"/>
  <c r="D431" i="5"/>
  <c r="E431" i="5"/>
  <c r="F431" i="4"/>
  <c r="E431" i="4"/>
  <c r="B431" i="4"/>
  <c r="A431" i="4"/>
  <c r="L430" i="4"/>
  <c r="H430" i="6"/>
  <c r="I430" i="6"/>
  <c r="K430" i="4"/>
  <c r="D430" i="5"/>
  <c r="E430" i="5"/>
  <c r="F430" i="4"/>
  <c r="E430" i="4"/>
  <c r="B430" i="4"/>
  <c r="A430" i="4"/>
  <c r="K429" i="4"/>
  <c r="D429" i="5"/>
  <c r="E429" i="5"/>
  <c r="F429" i="4"/>
  <c r="E429" i="4"/>
  <c r="B429" i="4"/>
  <c r="A429" i="4"/>
  <c r="K428" i="4"/>
  <c r="D428" i="5"/>
  <c r="E428" i="5"/>
  <c r="F428" i="4"/>
  <c r="E428" i="4"/>
  <c r="B428" i="4"/>
  <c r="A428" i="4"/>
  <c r="K427" i="4"/>
  <c r="D427" i="5"/>
  <c r="E427" i="5"/>
  <c r="F427" i="4"/>
  <c r="B427" i="4"/>
  <c r="A427" i="4"/>
  <c r="K426" i="4"/>
  <c r="D426" i="5"/>
  <c r="E426" i="5"/>
  <c r="F426" i="4"/>
  <c r="E426" i="4"/>
  <c r="B426" i="4"/>
  <c r="A426" i="4"/>
  <c r="L425" i="4"/>
  <c r="H425" i="6"/>
  <c r="I425" i="6"/>
  <c r="K425" i="4"/>
  <c r="D425" i="5"/>
  <c r="E425" i="5"/>
  <c r="F425" i="4"/>
  <c r="B425" i="4"/>
  <c r="A425" i="4"/>
  <c r="K424" i="4"/>
  <c r="D424" i="5"/>
  <c r="E424" i="5"/>
  <c r="F424" i="4"/>
  <c r="E424" i="4"/>
  <c r="B424" i="4"/>
  <c r="A424" i="4"/>
  <c r="K423" i="4"/>
  <c r="D423" i="5"/>
  <c r="E423" i="5"/>
  <c r="F423" i="4"/>
  <c r="B423" i="4"/>
  <c r="A423" i="4"/>
  <c r="L422" i="4"/>
  <c r="H422" i="6"/>
  <c r="I422" i="6"/>
  <c r="K422" i="4"/>
  <c r="D422" i="5"/>
  <c r="E422" i="5"/>
  <c r="F422" i="4"/>
  <c r="B422" i="4"/>
  <c r="A422" i="4"/>
  <c r="L421" i="4"/>
  <c r="H421" i="6"/>
  <c r="I421" i="6"/>
  <c r="K421" i="4"/>
  <c r="D421" i="5"/>
  <c r="E421" i="5"/>
  <c r="F421" i="4"/>
  <c r="E421" i="4"/>
  <c r="B421" i="4"/>
  <c r="A421" i="4"/>
  <c r="K420" i="4"/>
  <c r="D420" i="5"/>
  <c r="E420" i="5"/>
  <c r="F420" i="4"/>
  <c r="E420" i="4"/>
  <c r="B420" i="4"/>
  <c r="A420" i="4"/>
  <c r="L419" i="4"/>
  <c r="H419" i="6"/>
  <c r="I419" i="6"/>
  <c r="K419" i="4"/>
  <c r="D419" i="5"/>
  <c r="E419" i="5"/>
  <c r="F419" i="4"/>
  <c r="B419" i="4"/>
  <c r="A419" i="4"/>
  <c r="L418" i="4"/>
  <c r="H418" i="6"/>
  <c r="I418" i="6"/>
  <c r="K418" i="4"/>
  <c r="D418" i="5"/>
  <c r="E418" i="5"/>
  <c r="F418" i="4"/>
  <c r="E418" i="4"/>
  <c r="B418" i="4"/>
  <c r="A418" i="4"/>
  <c r="L417" i="4"/>
  <c r="H417" i="6"/>
  <c r="I417" i="6"/>
  <c r="K417" i="4"/>
  <c r="D417" i="5"/>
  <c r="E417" i="5"/>
  <c r="F417" i="4"/>
  <c r="E417" i="4"/>
  <c r="B417" i="4"/>
  <c r="A417" i="4"/>
  <c r="L416" i="4"/>
  <c r="H416" i="6"/>
  <c r="I416" i="6"/>
  <c r="K416" i="4"/>
  <c r="D416" i="5"/>
  <c r="E416" i="5"/>
  <c r="F416" i="4"/>
  <c r="E416" i="4"/>
  <c r="B416" i="4"/>
  <c r="A416" i="4"/>
  <c r="K415" i="4"/>
  <c r="D415" i="5"/>
  <c r="E415" i="5"/>
  <c r="F415" i="4"/>
  <c r="E415" i="4"/>
  <c r="B415" i="4"/>
  <c r="A415" i="4"/>
  <c r="L414" i="4"/>
  <c r="H414" i="6"/>
  <c r="I414" i="6"/>
  <c r="K414" i="4"/>
  <c r="D414" i="5"/>
  <c r="E414" i="5"/>
  <c r="F414" i="4"/>
  <c r="E414" i="4"/>
  <c r="B414" i="4"/>
  <c r="B414" i="6"/>
  <c r="A414" i="4"/>
  <c r="K413" i="4"/>
  <c r="D413" i="5"/>
  <c r="E413" i="5"/>
  <c r="F413" i="4"/>
  <c r="E413" i="4"/>
  <c r="B413" i="4"/>
  <c r="A413" i="4"/>
  <c r="K412" i="4"/>
  <c r="D412" i="5"/>
  <c r="E412" i="5"/>
  <c r="F412" i="4"/>
  <c r="E412" i="4"/>
  <c r="B412" i="4"/>
  <c r="A412" i="4"/>
  <c r="K411" i="4"/>
  <c r="D411" i="5"/>
  <c r="E411" i="5"/>
  <c r="F411" i="4"/>
  <c r="B411" i="4"/>
  <c r="A411" i="4"/>
  <c r="K410" i="4"/>
  <c r="D410" i="5"/>
  <c r="E410" i="5"/>
  <c r="F410" i="4"/>
  <c r="E410" i="4"/>
  <c r="B410" i="4"/>
  <c r="A410" i="4"/>
  <c r="L409" i="4"/>
  <c r="H409" i="6"/>
  <c r="I409" i="6"/>
  <c r="K409" i="4"/>
  <c r="D409" i="5"/>
  <c r="E409" i="5"/>
  <c r="F409" i="4"/>
  <c r="B409" i="4"/>
  <c r="A409" i="4"/>
  <c r="K408" i="4"/>
  <c r="D408" i="5"/>
  <c r="E408" i="5"/>
  <c r="F408" i="4"/>
  <c r="E408" i="4"/>
  <c r="B408" i="4"/>
  <c r="A408" i="4"/>
  <c r="K407" i="4"/>
  <c r="D407" i="5"/>
  <c r="E407" i="5"/>
  <c r="F407" i="4"/>
  <c r="B407" i="4"/>
  <c r="A407" i="4"/>
  <c r="L406" i="4"/>
  <c r="H406" i="6"/>
  <c r="I406" i="6"/>
  <c r="K406" i="4"/>
  <c r="D406" i="5"/>
  <c r="E406" i="5"/>
  <c r="F406" i="4"/>
  <c r="B406" i="4"/>
  <c r="A406" i="4"/>
  <c r="L405" i="4"/>
  <c r="H405" i="6"/>
  <c r="I405" i="6"/>
  <c r="K405" i="4"/>
  <c r="D405" i="5"/>
  <c r="E405" i="5"/>
  <c r="F405" i="4"/>
  <c r="E405" i="4"/>
  <c r="B405" i="4"/>
  <c r="A405" i="4"/>
  <c r="K404" i="4"/>
  <c r="D404" i="5"/>
  <c r="E404" i="5"/>
  <c r="F404" i="4"/>
  <c r="E404" i="4"/>
  <c r="B404" i="4"/>
  <c r="A404" i="4"/>
  <c r="L403" i="4"/>
  <c r="H403" i="6"/>
  <c r="I403" i="6"/>
  <c r="K403" i="4"/>
  <c r="D403" i="5"/>
  <c r="E403" i="5"/>
  <c r="F403" i="4"/>
  <c r="B403" i="4"/>
  <c r="A403" i="4"/>
  <c r="L402" i="4"/>
  <c r="H402" i="6"/>
  <c r="I402" i="6"/>
  <c r="K402" i="4"/>
  <c r="D402" i="5"/>
  <c r="E402" i="5"/>
  <c r="F402" i="4"/>
  <c r="E402" i="4"/>
  <c r="B402" i="4"/>
  <c r="A402" i="4"/>
  <c r="L401" i="4"/>
  <c r="H401" i="6"/>
  <c r="I401" i="6"/>
  <c r="K401" i="4"/>
  <c r="D401" i="5"/>
  <c r="E401" i="5"/>
  <c r="F401" i="4"/>
  <c r="E401" i="4"/>
  <c r="B401" i="4"/>
  <c r="A401" i="4"/>
  <c r="L400" i="4"/>
  <c r="H400" i="6"/>
  <c r="I400" i="6"/>
  <c r="K400" i="4"/>
  <c r="D400" i="5"/>
  <c r="E400" i="5"/>
  <c r="F400" i="4"/>
  <c r="E400" i="4"/>
  <c r="B400" i="4"/>
  <c r="A400" i="4"/>
  <c r="K399" i="4"/>
  <c r="D399" i="5"/>
  <c r="E399" i="5"/>
  <c r="F399" i="4"/>
  <c r="E399" i="4"/>
  <c r="B399" i="4"/>
  <c r="A399" i="4"/>
  <c r="L398" i="4"/>
  <c r="H398" i="6"/>
  <c r="I398" i="6"/>
  <c r="K398" i="4"/>
  <c r="D398" i="5"/>
  <c r="E398" i="5"/>
  <c r="F398" i="4"/>
  <c r="E398" i="4"/>
  <c r="B398" i="4"/>
  <c r="B398" i="6"/>
  <c r="A398" i="4"/>
  <c r="K397" i="4"/>
  <c r="D397" i="5"/>
  <c r="E397" i="5"/>
  <c r="F397" i="4"/>
  <c r="E397" i="4"/>
  <c r="B397" i="4"/>
  <c r="A397" i="4"/>
  <c r="K396" i="4"/>
  <c r="D396" i="5"/>
  <c r="E396" i="5"/>
  <c r="F396" i="4"/>
  <c r="E396" i="4"/>
  <c r="B396" i="4"/>
  <c r="A396" i="4"/>
  <c r="K395" i="4"/>
  <c r="D395" i="5"/>
  <c r="E395" i="5"/>
  <c r="F395" i="4"/>
  <c r="B395" i="4"/>
  <c r="A395" i="4"/>
  <c r="K394" i="4"/>
  <c r="D394" i="5"/>
  <c r="E394" i="5"/>
  <c r="F394" i="4"/>
  <c r="E394" i="4"/>
  <c r="B394" i="4"/>
  <c r="A394" i="4"/>
  <c r="L393" i="4"/>
  <c r="H393" i="6"/>
  <c r="I393" i="6"/>
  <c r="K393" i="4"/>
  <c r="D393" i="5"/>
  <c r="E393" i="5"/>
  <c r="F393" i="4"/>
  <c r="B393" i="4"/>
  <c r="A393" i="4"/>
  <c r="K392" i="4"/>
  <c r="D392" i="5"/>
  <c r="E392" i="5"/>
  <c r="F392" i="4"/>
  <c r="E392" i="4"/>
  <c r="B392" i="4"/>
  <c r="A392" i="4"/>
  <c r="K391" i="4"/>
  <c r="D391" i="5"/>
  <c r="E391" i="5"/>
  <c r="F391" i="4"/>
  <c r="B391" i="4"/>
  <c r="A391" i="4"/>
  <c r="L390" i="4"/>
  <c r="H390" i="6"/>
  <c r="I390" i="6"/>
  <c r="K390" i="4"/>
  <c r="D390" i="5"/>
  <c r="E390" i="5"/>
  <c r="F390" i="4"/>
  <c r="B390" i="4"/>
  <c r="A390" i="4"/>
  <c r="L389" i="4"/>
  <c r="H389" i="6"/>
  <c r="I389" i="6"/>
  <c r="K389" i="4"/>
  <c r="D389" i="5"/>
  <c r="E389" i="5"/>
  <c r="F389" i="4"/>
  <c r="E389" i="4"/>
  <c r="B389" i="4"/>
  <c r="A389" i="4"/>
  <c r="K388" i="4"/>
  <c r="D388" i="5"/>
  <c r="E388" i="5"/>
  <c r="F388" i="4"/>
  <c r="E388" i="4"/>
  <c r="B388" i="4"/>
  <c r="A388" i="4"/>
  <c r="L387" i="4"/>
  <c r="H387" i="6"/>
  <c r="I387" i="6"/>
  <c r="K387" i="4"/>
  <c r="D387" i="5"/>
  <c r="E387" i="5"/>
  <c r="F387" i="4"/>
  <c r="B387" i="4"/>
  <c r="A387" i="4"/>
  <c r="L386" i="4"/>
  <c r="H386" i="6"/>
  <c r="I386" i="6"/>
  <c r="K386" i="4"/>
  <c r="D386" i="5"/>
  <c r="E386" i="5"/>
  <c r="F386" i="4"/>
  <c r="E386" i="4"/>
  <c r="B386" i="4"/>
  <c r="A386" i="4"/>
  <c r="L385" i="4"/>
  <c r="H385" i="6"/>
  <c r="I385" i="6"/>
  <c r="K385" i="4"/>
  <c r="D385" i="5"/>
  <c r="E385" i="5"/>
  <c r="F385" i="4"/>
  <c r="E385" i="4"/>
  <c r="B385" i="4"/>
  <c r="A385" i="4"/>
  <c r="L384" i="4"/>
  <c r="H384" i="6"/>
  <c r="I384" i="6"/>
  <c r="K384" i="4"/>
  <c r="D384" i="5"/>
  <c r="E384" i="5"/>
  <c r="F384" i="4"/>
  <c r="E384" i="4"/>
  <c r="B384" i="4"/>
  <c r="A384" i="4"/>
  <c r="K383" i="4"/>
  <c r="D383" i="5"/>
  <c r="E383" i="5"/>
  <c r="F383" i="4"/>
  <c r="E383" i="4"/>
  <c r="B383" i="4"/>
  <c r="A383" i="4"/>
  <c r="L382" i="4"/>
  <c r="H382" i="6"/>
  <c r="I382" i="6"/>
  <c r="K382" i="4"/>
  <c r="D382" i="5"/>
  <c r="E382" i="5"/>
  <c r="F382" i="4"/>
  <c r="E382" i="4"/>
  <c r="B382" i="4"/>
  <c r="A382" i="4"/>
  <c r="K381" i="4"/>
  <c r="D381" i="5"/>
  <c r="E381" i="5"/>
  <c r="F381" i="4"/>
  <c r="E381" i="4"/>
  <c r="B381" i="4"/>
  <c r="A381" i="4"/>
  <c r="K380" i="4"/>
  <c r="D380" i="5"/>
  <c r="E380" i="5"/>
  <c r="F380" i="4"/>
  <c r="E380" i="4"/>
  <c r="B380" i="4"/>
  <c r="A380" i="4"/>
  <c r="K379" i="4"/>
  <c r="D379" i="5"/>
  <c r="E379" i="5"/>
  <c r="F379" i="4"/>
  <c r="B379" i="4"/>
  <c r="A379" i="4"/>
  <c r="K378" i="4"/>
  <c r="D378" i="5"/>
  <c r="E378" i="5"/>
  <c r="F378" i="4"/>
  <c r="E378" i="4"/>
  <c r="B378" i="4"/>
  <c r="A378" i="4"/>
  <c r="L377" i="4"/>
  <c r="H377" i="6"/>
  <c r="I377" i="6"/>
  <c r="K377" i="4"/>
  <c r="D377" i="5"/>
  <c r="E377" i="5"/>
  <c r="F377" i="4"/>
  <c r="B377" i="4"/>
  <c r="A377" i="4"/>
  <c r="K376" i="4"/>
  <c r="D376" i="5"/>
  <c r="E376" i="5"/>
  <c r="F376" i="4"/>
  <c r="E376" i="4"/>
  <c r="B376" i="4"/>
  <c r="A376" i="4"/>
  <c r="K375" i="4"/>
  <c r="D375" i="5"/>
  <c r="E375" i="5"/>
  <c r="F375" i="4"/>
  <c r="B375" i="4"/>
  <c r="A375" i="4"/>
  <c r="L374" i="4"/>
  <c r="H374" i="6"/>
  <c r="I374" i="6"/>
  <c r="K374" i="4"/>
  <c r="D374" i="5"/>
  <c r="E374" i="5"/>
  <c r="F374" i="4"/>
  <c r="B374" i="4"/>
  <c r="A374" i="4"/>
  <c r="L373" i="4"/>
  <c r="H373" i="6"/>
  <c r="I373" i="6"/>
  <c r="K373" i="4"/>
  <c r="D373" i="5"/>
  <c r="E373" i="5"/>
  <c r="F373" i="4"/>
  <c r="E373" i="4"/>
  <c r="B373" i="4"/>
  <c r="A373" i="4"/>
  <c r="K372" i="4"/>
  <c r="D372" i="5"/>
  <c r="E372" i="5"/>
  <c r="F372" i="4"/>
  <c r="E372" i="4"/>
  <c r="B372" i="4"/>
  <c r="A372" i="4"/>
  <c r="L371" i="4"/>
  <c r="H371" i="6"/>
  <c r="I371" i="6"/>
  <c r="K371" i="4"/>
  <c r="D371" i="5"/>
  <c r="E371" i="5"/>
  <c r="F371" i="4"/>
  <c r="B371" i="4"/>
  <c r="A371" i="4"/>
  <c r="L370" i="4"/>
  <c r="H370" i="6"/>
  <c r="I370" i="6"/>
  <c r="K370" i="4"/>
  <c r="D370" i="5"/>
  <c r="E370" i="5"/>
  <c r="F370" i="4"/>
  <c r="E370" i="4"/>
  <c r="B370" i="4"/>
  <c r="A370" i="4"/>
  <c r="L369" i="4"/>
  <c r="H369" i="6"/>
  <c r="I369" i="6"/>
  <c r="K369" i="4"/>
  <c r="D369" i="5"/>
  <c r="E369" i="5"/>
  <c r="F369" i="4"/>
  <c r="E369" i="4"/>
  <c r="B369" i="4"/>
  <c r="A369" i="4"/>
  <c r="L368" i="4"/>
  <c r="H368" i="6"/>
  <c r="I368" i="6"/>
  <c r="K368" i="4"/>
  <c r="D368" i="5"/>
  <c r="E368" i="5"/>
  <c r="F368" i="4"/>
  <c r="E368" i="4"/>
  <c r="B368" i="4"/>
  <c r="A368" i="4"/>
  <c r="K367" i="4"/>
  <c r="D367" i="5"/>
  <c r="E367" i="5"/>
  <c r="F367" i="4"/>
  <c r="E367" i="4"/>
  <c r="B367" i="4"/>
  <c r="A367" i="4"/>
  <c r="L366" i="4"/>
  <c r="H366" i="6"/>
  <c r="I366" i="6"/>
  <c r="K366" i="4"/>
  <c r="D366" i="5"/>
  <c r="E366" i="5"/>
  <c r="G366" i="4"/>
  <c r="G367" i="4"/>
  <c r="F366" i="4"/>
  <c r="E366" i="4"/>
  <c r="D366" i="4"/>
  <c r="C366" i="4"/>
  <c r="C367" i="4"/>
  <c r="B366" i="4"/>
  <c r="A366" i="4"/>
  <c r="K345" i="4"/>
  <c r="D345" i="5"/>
  <c r="E345" i="5"/>
  <c r="F345" i="4"/>
  <c r="E345" i="4"/>
  <c r="B345" i="4"/>
  <c r="A345" i="4"/>
  <c r="K344" i="4"/>
  <c r="D344" i="5"/>
  <c r="E344" i="5"/>
  <c r="F344" i="4"/>
  <c r="E344" i="4"/>
  <c r="B344" i="4"/>
  <c r="A344" i="4"/>
  <c r="K343" i="4"/>
  <c r="D343" i="5"/>
  <c r="E343" i="5"/>
  <c r="F343" i="4"/>
  <c r="B343" i="4"/>
  <c r="A343" i="4"/>
  <c r="K342" i="4"/>
  <c r="D342" i="5"/>
  <c r="E342" i="5"/>
  <c r="F342" i="4"/>
  <c r="E342" i="4"/>
  <c r="B342" i="4"/>
  <c r="A342" i="4"/>
  <c r="L341" i="4"/>
  <c r="H341" i="6"/>
  <c r="I341" i="6"/>
  <c r="K341" i="4"/>
  <c r="D341" i="5"/>
  <c r="E341" i="5"/>
  <c r="F341" i="4"/>
  <c r="B341" i="4"/>
  <c r="A341" i="4"/>
  <c r="K340" i="4"/>
  <c r="D340" i="5"/>
  <c r="E340" i="5"/>
  <c r="F340" i="4"/>
  <c r="E340" i="4"/>
  <c r="B340" i="4"/>
  <c r="A340" i="4"/>
  <c r="K339" i="4"/>
  <c r="D339" i="5"/>
  <c r="E339" i="5"/>
  <c r="F339" i="4"/>
  <c r="B339" i="4"/>
  <c r="A339" i="4"/>
  <c r="L338" i="4"/>
  <c r="H338" i="6"/>
  <c r="I338" i="6"/>
  <c r="K338" i="4"/>
  <c r="D338" i="5"/>
  <c r="E338" i="5"/>
  <c r="F338" i="4"/>
  <c r="B338" i="4"/>
  <c r="A338" i="4"/>
  <c r="L337" i="4"/>
  <c r="H337" i="6"/>
  <c r="I337" i="6"/>
  <c r="K337" i="4"/>
  <c r="D337" i="5"/>
  <c r="E337" i="5"/>
  <c r="F337" i="4"/>
  <c r="E337" i="4"/>
  <c r="B337" i="4"/>
  <c r="A337" i="4"/>
  <c r="K336" i="4"/>
  <c r="D336" i="5"/>
  <c r="E336" i="5"/>
  <c r="F336" i="4"/>
  <c r="E336" i="4"/>
  <c r="B336" i="4"/>
  <c r="A336" i="4"/>
  <c r="L335" i="4"/>
  <c r="H335" i="6"/>
  <c r="I335" i="6"/>
  <c r="K335" i="4"/>
  <c r="D335" i="5"/>
  <c r="E335" i="5"/>
  <c r="F335" i="4"/>
  <c r="B335" i="4"/>
  <c r="A335" i="4"/>
  <c r="L334" i="4"/>
  <c r="H334" i="6"/>
  <c r="I334" i="6"/>
  <c r="K334" i="4"/>
  <c r="D334" i="5"/>
  <c r="E334" i="5"/>
  <c r="F334" i="4"/>
  <c r="E334" i="4"/>
  <c r="B334" i="4"/>
  <c r="A334" i="4"/>
  <c r="L333" i="4"/>
  <c r="H333" i="6"/>
  <c r="I333" i="6"/>
  <c r="K333" i="4"/>
  <c r="D333" i="5"/>
  <c r="E333" i="5"/>
  <c r="F333" i="4"/>
  <c r="E333" i="4"/>
  <c r="B333" i="4"/>
  <c r="A333" i="4"/>
  <c r="L332" i="4"/>
  <c r="H332" i="6"/>
  <c r="I332" i="6"/>
  <c r="K332" i="4"/>
  <c r="D332" i="5"/>
  <c r="E332" i="5"/>
  <c r="F332" i="4"/>
  <c r="E332" i="4"/>
  <c r="B332" i="4"/>
  <c r="A332" i="4"/>
  <c r="K331" i="4"/>
  <c r="D331" i="5"/>
  <c r="E331" i="5"/>
  <c r="F331" i="4"/>
  <c r="E331" i="4"/>
  <c r="B331" i="4"/>
  <c r="A331" i="4"/>
  <c r="L330" i="4"/>
  <c r="H330" i="6"/>
  <c r="I330" i="6"/>
  <c r="K330" i="4"/>
  <c r="D330" i="5"/>
  <c r="E330" i="5"/>
  <c r="F330" i="4"/>
  <c r="E330" i="4"/>
  <c r="B330" i="4"/>
  <c r="A330" i="4"/>
  <c r="L329" i="4"/>
  <c r="H329" i="6"/>
  <c r="I329" i="6"/>
  <c r="K329" i="4"/>
  <c r="D329" i="5"/>
  <c r="E329" i="5"/>
  <c r="F329" i="4"/>
  <c r="E329" i="4"/>
  <c r="B329" i="4"/>
  <c r="A329" i="4"/>
  <c r="K328" i="4"/>
  <c r="D328" i="5"/>
  <c r="E328" i="5"/>
  <c r="F328" i="4"/>
  <c r="E328" i="4"/>
  <c r="B328" i="4"/>
  <c r="A328" i="4"/>
  <c r="L327" i="4"/>
  <c r="H327" i="6"/>
  <c r="I327" i="6"/>
  <c r="K327" i="4"/>
  <c r="D327" i="5"/>
  <c r="E327" i="5"/>
  <c r="F327" i="4"/>
  <c r="E327" i="4"/>
  <c r="B327" i="4"/>
  <c r="A327" i="4"/>
  <c r="K326" i="4"/>
  <c r="D326" i="5"/>
  <c r="E326" i="5"/>
  <c r="F326" i="4"/>
  <c r="E326" i="4"/>
  <c r="B326" i="4"/>
  <c r="A326" i="4"/>
  <c r="L325" i="4"/>
  <c r="H325" i="6"/>
  <c r="I325" i="6"/>
  <c r="K325" i="4"/>
  <c r="D325" i="5"/>
  <c r="E325" i="5"/>
  <c r="F325" i="4"/>
  <c r="E325" i="4"/>
  <c r="B325" i="4"/>
  <c r="A325" i="4"/>
  <c r="K324" i="4"/>
  <c r="D324" i="5"/>
  <c r="E324" i="5"/>
  <c r="F324" i="4"/>
  <c r="E324" i="4"/>
  <c r="B324" i="4"/>
  <c r="A324" i="4"/>
  <c r="L323" i="4"/>
  <c r="H323" i="6"/>
  <c r="I323" i="6"/>
  <c r="K323" i="4"/>
  <c r="D323" i="5"/>
  <c r="E323" i="5"/>
  <c r="F323" i="4"/>
  <c r="E323" i="4"/>
  <c r="B323" i="4"/>
  <c r="A323" i="4"/>
  <c r="K322" i="4"/>
  <c r="D322" i="5"/>
  <c r="E322" i="5"/>
  <c r="F322" i="4"/>
  <c r="E322" i="4"/>
  <c r="B322" i="4"/>
  <c r="A322" i="4"/>
  <c r="L321" i="4"/>
  <c r="H321" i="6"/>
  <c r="I321" i="6"/>
  <c r="K321" i="4"/>
  <c r="D321" i="5"/>
  <c r="E321" i="5"/>
  <c r="F321" i="4"/>
  <c r="E321" i="4"/>
  <c r="B321" i="4"/>
  <c r="A321" i="4"/>
  <c r="K320" i="4"/>
  <c r="D320" i="5"/>
  <c r="E320" i="5"/>
  <c r="F320" i="4"/>
  <c r="E320" i="4"/>
  <c r="B320" i="4"/>
  <c r="A320" i="4"/>
  <c r="L319" i="4"/>
  <c r="H319" i="6"/>
  <c r="I319" i="6"/>
  <c r="K319" i="4"/>
  <c r="D319" i="5"/>
  <c r="E319" i="5"/>
  <c r="F319" i="4"/>
  <c r="E319" i="4"/>
  <c r="B319" i="4"/>
  <c r="A319" i="4"/>
  <c r="K318" i="4"/>
  <c r="D318" i="5"/>
  <c r="E318" i="5"/>
  <c r="F318" i="4"/>
  <c r="E318" i="4"/>
  <c r="B318" i="4"/>
  <c r="A318" i="4"/>
  <c r="L317" i="4"/>
  <c r="H317" i="6"/>
  <c r="I317" i="6"/>
  <c r="K317" i="4"/>
  <c r="D317" i="5"/>
  <c r="E317" i="5"/>
  <c r="F317" i="4"/>
  <c r="E317" i="4"/>
  <c r="B317" i="4"/>
  <c r="A317" i="4"/>
  <c r="K316" i="4"/>
  <c r="D316" i="5"/>
  <c r="E316" i="5"/>
  <c r="F316" i="4"/>
  <c r="E316" i="4"/>
  <c r="B316" i="4"/>
  <c r="A316" i="4"/>
  <c r="L315" i="4"/>
  <c r="H315" i="6"/>
  <c r="I315" i="6"/>
  <c r="K315" i="4"/>
  <c r="D315" i="5"/>
  <c r="E315" i="5"/>
  <c r="F315" i="4"/>
  <c r="E315" i="4"/>
  <c r="B315" i="4"/>
  <c r="A315" i="4"/>
  <c r="K314" i="4"/>
  <c r="D314" i="5"/>
  <c r="E314" i="5"/>
  <c r="F314" i="4"/>
  <c r="E314" i="4"/>
  <c r="B314" i="4"/>
  <c r="A314" i="4"/>
  <c r="L313" i="4"/>
  <c r="H313" i="6"/>
  <c r="I313" i="6"/>
  <c r="K313" i="4"/>
  <c r="D313" i="5"/>
  <c r="E313" i="5"/>
  <c r="F313" i="4"/>
  <c r="E313" i="4"/>
  <c r="B313" i="4"/>
  <c r="A313" i="4"/>
  <c r="K312" i="4"/>
  <c r="D312" i="5"/>
  <c r="E312" i="5"/>
  <c r="F312" i="4"/>
  <c r="E312" i="4"/>
  <c r="B312" i="4"/>
  <c r="A312" i="4"/>
  <c r="L311" i="4"/>
  <c r="H311" i="6"/>
  <c r="I311" i="6"/>
  <c r="K311" i="4"/>
  <c r="D311" i="5"/>
  <c r="E311" i="5"/>
  <c r="F311" i="4"/>
  <c r="E311" i="4"/>
  <c r="B311" i="4"/>
  <c r="A311" i="4"/>
  <c r="K310" i="4"/>
  <c r="D310" i="5"/>
  <c r="E310" i="5"/>
  <c r="F310" i="4"/>
  <c r="E310" i="4"/>
  <c r="B310" i="4"/>
  <c r="A310" i="4"/>
  <c r="L309" i="4"/>
  <c r="H309" i="6"/>
  <c r="I309" i="6"/>
  <c r="K309" i="4"/>
  <c r="D309" i="5"/>
  <c r="E309" i="5"/>
  <c r="F309" i="4"/>
  <c r="E309" i="4"/>
  <c r="B309" i="4"/>
  <c r="A309" i="4"/>
  <c r="K308" i="4"/>
  <c r="D308" i="5"/>
  <c r="E308" i="5"/>
  <c r="F308" i="4"/>
  <c r="E308" i="4"/>
  <c r="B308" i="4"/>
  <c r="A308" i="4"/>
  <c r="L307" i="4"/>
  <c r="H307" i="6"/>
  <c r="I307" i="6"/>
  <c r="K307" i="4"/>
  <c r="D307" i="5"/>
  <c r="E307" i="5"/>
  <c r="F307" i="4"/>
  <c r="E307" i="4"/>
  <c r="B307" i="4"/>
  <c r="A307" i="4"/>
  <c r="K306" i="4"/>
  <c r="D306" i="5"/>
  <c r="E306" i="5"/>
  <c r="F306" i="4"/>
  <c r="E306" i="4"/>
  <c r="B306" i="4"/>
  <c r="A306" i="4"/>
  <c r="L305" i="4"/>
  <c r="H305" i="6"/>
  <c r="I305" i="6"/>
  <c r="K305" i="4"/>
  <c r="D305" i="5"/>
  <c r="E305" i="5"/>
  <c r="F305" i="4"/>
  <c r="E305" i="4"/>
  <c r="B305" i="4"/>
  <c r="A305" i="4"/>
  <c r="K304" i="4"/>
  <c r="D304" i="5"/>
  <c r="E304" i="5"/>
  <c r="F304" i="4"/>
  <c r="E304" i="4"/>
  <c r="B304" i="4"/>
  <c r="A304" i="4"/>
  <c r="L303" i="4"/>
  <c r="H303" i="6"/>
  <c r="I303" i="6"/>
  <c r="K303" i="4"/>
  <c r="D303" i="5"/>
  <c r="E303" i="5"/>
  <c r="F303" i="4"/>
  <c r="E303" i="4"/>
  <c r="B303" i="4"/>
  <c r="A303" i="4"/>
  <c r="K302" i="4"/>
  <c r="D302" i="5"/>
  <c r="E302" i="5"/>
  <c r="F302" i="4"/>
  <c r="E302" i="4"/>
  <c r="B302" i="4"/>
  <c r="A302" i="4"/>
  <c r="L301" i="4"/>
  <c r="H301" i="6"/>
  <c r="I301" i="6"/>
  <c r="K301" i="4"/>
  <c r="D301" i="5"/>
  <c r="E301" i="5"/>
  <c r="F301" i="4"/>
  <c r="E301" i="4"/>
  <c r="B301" i="4"/>
  <c r="A301" i="4"/>
  <c r="K300" i="4"/>
  <c r="D300" i="5"/>
  <c r="E300" i="5"/>
  <c r="F300" i="4"/>
  <c r="E300" i="4"/>
  <c r="B300" i="4"/>
  <c r="A300" i="4"/>
  <c r="L299" i="4"/>
  <c r="H299" i="6"/>
  <c r="I299" i="6"/>
  <c r="K299" i="4"/>
  <c r="D299" i="5"/>
  <c r="E299" i="5"/>
  <c r="F299" i="4"/>
  <c r="E299" i="4"/>
  <c r="B299" i="4"/>
  <c r="A299" i="4"/>
  <c r="K298" i="4"/>
  <c r="D298" i="5"/>
  <c r="E298" i="5"/>
  <c r="F298" i="4"/>
  <c r="E298" i="4"/>
  <c r="B298" i="4"/>
  <c r="A298" i="4"/>
  <c r="L297" i="4"/>
  <c r="H297" i="6"/>
  <c r="I297" i="6"/>
  <c r="K297" i="4"/>
  <c r="D297" i="5"/>
  <c r="E297" i="5"/>
  <c r="F297" i="4"/>
  <c r="E297" i="4"/>
  <c r="B297" i="4"/>
  <c r="A297" i="4"/>
  <c r="K296" i="4"/>
  <c r="D296" i="5"/>
  <c r="E296" i="5"/>
  <c r="F296" i="4"/>
  <c r="E296" i="4"/>
  <c r="B296" i="4"/>
  <c r="A296" i="4"/>
  <c r="L295" i="4"/>
  <c r="H295" i="6"/>
  <c r="I295" i="6"/>
  <c r="K295" i="4"/>
  <c r="D295" i="5"/>
  <c r="E295" i="5"/>
  <c r="F295" i="4"/>
  <c r="E295" i="4"/>
  <c r="B295" i="4"/>
  <c r="A295" i="4"/>
  <c r="K294" i="4"/>
  <c r="D294" i="5"/>
  <c r="E294" i="5"/>
  <c r="F294" i="4"/>
  <c r="E294" i="4"/>
  <c r="B294" i="4"/>
  <c r="A294" i="4"/>
  <c r="L293" i="4"/>
  <c r="H293" i="6"/>
  <c r="I293" i="6"/>
  <c r="K293" i="4"/>
  <c r="D293" i="5"/>
  <c r="E293" i="5"/>
  <c r="F293" i="4"/>
  <c r="E293" i="4"/>
  <c r="B293" i="4"/>
  <c r="A293" i="4"/>
  <c r="K292" i="4"/>
  <c r="D292" i="5"/>
  <c r="E292" i="5"/>
  <c r="F292" i="4"/>
  <c r="E292" i="4"/>
  <c r="B292" i="4"/>
  <c r="A292" i="4"/>
  <c r="L291" i="4"/>
  <c r="H291" i="6"/>
  <c r="I291" i="6"/>
  <c r="K291" i="4"/>
  <c r="D291" i="5"/>
  <c r="E291" i="5"/>
  <c r="F291" i="4"/>
  <c r="E291" i="4"/>
  <c r="B291" i="4"/>
  <c r="A291" i="4"/>
  <c r="K290" i="4"/>
  <c r="D290" i="5"/>
  <c r="E290" i="5"/>
  <c r="F290" i="4"/>
  <c r="E290" i="4"/>
  <c r="B290" i="4"/>
  <c r="A290" i="4"/>
  <c r="L289" i="4"/>
  <c r="H289" i="6"/>
  <c r="I289" i="6"/>
  <c r="K289" i="4"/>
  <c r="D289" i="5"/>
  <c r="E289" i="5"/>
  <c r="F289" i="4"/>
  <c r="E289" i="4"/>
  <c r="B289" i="4"/>
  <c r="A289" i="4"/>
  <c r="K288" i="4"/>
  <c r="D288" i="5"/>
  <c r="E288" i="5"/>
  <c r="F288" i="4"/>
  <c r="E288" i="4"/>
  <c r="B288" i="4"/>
  <c r="A288" i="4"/>
  <c r="L287" i="4"/>
  <c r="H287" i="6"/>
  <c r="I287" i="6"/>
  <c r="K287" i="4"/>
  <c r="D287" i="5"/>
  <c r="E287" i="5"/>
  <c r="F287" i="4"/>
  <c r="E287" i="4"/>
  <c r="B287" i="4"/>
  <c r="A287" i="4"/>
  <c r="K286" i="4"/>
  <c r="D286" i="5"/>
  <c r="E286" i="5"/>
  <c r="F286" i="4"/>
  <c r="E286" i="4"/>
  <c r="B286" i="4"/>
  <c r="B286" i="6"/>
  <c r="A286" i="4"/>
  <c r="L285" i="4"/>
  <c r="H285" i="6"/>
  <c r="I285" i="6"/>
  <c r="K285" i="4"/>
  <c r="D285" i="5"/>
  <c r="E285" i="5"/>
  <c r="F285" i="4"/>
  <c r="E285" i="4"/>
  <c r="B285" i="4"/>
  <c r="A285" i="4"/>
  <c r="K284" i="4"/>
  <c r="D284" i="5"/>
  <c r="E284" i="5"/>
  <c r="F284" i="4"/>
  <c r="E284" i="4"/>
  <c r="B284" i="4"/>
  <c r="A284" i="4"/>
  <c r="L283" i="4"/>
  <c r="H283" i="6"/>
  <c r="I283" i="6"/>
  <c r="K283" i="4"/>
  <c r="D283" i="5"/>
  <c r="E283" i="5"/>
  <c r="F283" i="4"/>
  <c r="E283" i="4"/>
  <c r="B283" i="4"/>
  <c r="A283" i="4"/>
  <c r="K282" i="4"/>
  <c r="D282" i="5"/>
  <c r="E282" i="5"/>
  <c r="F282" i="4"/>
  <c r="E282" i="4"/>
  <c r="B282" i="4"/>
  <c r="A282" i="4"/>
  <c r="L281" i="4"/>
  <c r="H281" i="6"/>
  <c r="I281" i="6"/>
  <c r="K281" i="4"/>
  <c r="D281" i="5"/>
  <c r="E281" i="5"/>
  <c r="F281" i="4"/>
  <c r="E281" i="4"/>
  <c r="B281" i="4"/>
  <c r="A281" i="4"/>
  <c r="K280" i="4"/>
  <c r="D280" i="5"/>
  <c r="E280" i="5"/>
  <c r="F280" i="4"/>
  <c r="E280" i="4"/>
  <c r="B280" i="4"/>
  <c r="A280" i="4"/>
  <c r="L279" i="4"/>
  <c r="H279" i="6"/>
  <c r="I279" i="6"/>
  <c r="K279" i="4"/>
  <c r="D279" i="5"/>
  <c r="E279" i="5"/>
  <c r="F279" i="4"/>
  <c r="E279" i="4"/>
  <c r="B279" i="4"/>
  <c r="A279" i="4"/>
  <c r="K278" i="4"/>
  <c r="D278" i="5"/>
  <c r="E278" i="5"/>
  <c r="F278" i="4"/>
  <c r="E278" i="4"/>
  <c r="B278" i="4"/>
  <c r="A278" i="4"/>
  <c r="L277" i="4"/>
  <c r="H277" i="6"/>
  <c r="I277" i="6"/>
  <c r="K277" i="4"/>
  <c r="D277" i="5"/>
  <c r="E277" i="5"/>
  <c r="F277" i="4"/>
  <c r="E277" i="4"/>
  <c r="B277" i="4"/>
  <c r="A277" i="4"/>
  <c r="K276" i="4"/>
  <c r="D276" i="5"/>
  <c r="E276" i="5"/>
  <c r="F276" i="4"/>
  <c r="E276" i="4"/>
  <c r="B276" i="4"/>
  <c r="A276" i="4"/>
  <c r="L275" i="4"/>
  <c r="H275" i="6"/>
  <c r="I275" i="6"/>
  <c r="K275" i="4"/>
  <c r="D275" i="5"/>
  <c r="E275" i="5"/>
  <c r="F275" i="4"/>
  <c r="E275" i="4"/>
  <c r="B275" i="4"/>
  <c r="A275" i="4"/>
  <c r="K274" i="4"/>
  <c r="D274" i="5"/>
  <c r="E274" i="5"/>
  <c r="F274" i="4"/>
  <c r="E274" i="4"/>
  <c r="B274" i="4"/>
  <c r="A274" i="4"/>
  <c r="L273" i="4"/>
  <c r="H273" i="6"/>
  <c r="I273" i="6"/>
  <c r="K273" i="4"/>
  <c r="D273" i="5"/>
  <c r="E273" i="5"/>
  <c r="F273" i="4"/>
  <c r="E273" i="4"/>
  <c r="B273" i="4"/>
  <c r="A273" i="4"/>
  <c r="K272" i="4"/>
  <c r="D272" i="5"/>
  <c r="E272" i="5"/>
  <c r="F272" i="4"/>
  <c r="E272" i="4"/>
  <c r="B272" i="4"/>
  <c r="A272" i="4"/>
  <c r="L271" i="4"/>
  <c r="H271" i="6"/>
  <c r="I271" i="6"/>
  <c r="K271" i="4"/>
  <c r="D271" i="5"/>
  <c r="E271" i="5"/>
  <c r="F271" i="4"/>
  <c r="E271" i="4"/>
  <c r="B271" i="4"/>
  <c r="A271" i="4"/>
  <c r="K270" i="4"/>
  <c r="D270" i="5"/>
  <c r="E270" i="5"/>
  <c r="F270" i="4"/>
  <c r="E270" i="4"/>
  <c r="B270" i="4"/>
  <c r="A270" i="4"/>
  <c r="L269" i="4"/>
  <c r="H269" i="6"/>
  <c r="I269" i="6"/>
  <c r="K269" i="4"/>
  <c r="D269" i="5"/>
  <c r="E269" i="5"/>
  <c r="F269" i="4"/>
  <c r="E269" i="4"/>
  <c r="B269" i="4"/>
  <c r="A269" i="4"/>
  <c r="K268" i="4"/>
  <c r="D268" i="5"/>
  <c r="E268" i="5"/>
  <c r="F268" i="4"/>
  <c r="E268" i="4"/>
  <c r="B268" i="4"/>
  <c r="A268" i="4"/>
  <c r="L267" i="4"/>
  <c r="H267" i="6"/>
  <c r="I267" i="6"/>
  <c r="K267" i="4"/>
  <c r="D267" i="5"/>
  <c r="E267" i="5"/>
  <c r="F267" i="4"/>
  <c r="E267" i="4"/>
  <c r="B267" i="4"/>
  <c r="A267" i="4"/>
  <c r="K266" i="4"/>
  <c r="D266" i="5"/>
  <c r="E266" i="5"/>
  <c r="F266" i="4"/>
  <c r="E266" i="4"/>
  <c r="B266" i="4"/>
  <c r="A266" i="4"/>
  <c r="L265" i="4"/>
  <c r="H265" i="6"/>
  <c r="I265" i="6"/>
  <c r="K265" i="4"/>
  <c r="D265" i="5"/>
  <c r="E265" i="5"/>
  <c r="F265" i="4"/>
  <c r="E265" i="4"/>
  <c r="B265" i="4"/>
  <c r="A265" i="4"/>
  <c r="K264" i="4"/>
  <c r="D264" i="5"/>
  <c r="E264" i="5"/>
  <c r="F264" i="4"/>
  <c r="E264" i="4"/>
  <c r="B264" i="4"/>
  <c r="A264" i="4"/>
  <c r="L263" i="4"/>
  <c r="H263" i="6"/>
  <c r="I263" i="6"/>
  <c r="K263" i="4"/>
  <c r="D263" i="5"/>
  <c r="E263" i="5"/>
  <c r="F263" i="4"/>
  <c r="E263" i="4"/>
  <c r="B263" i="4"/>
  <c r="A263" i="4"/>
  <c r="K262" i="4"/>
  <c r="D262" i="5"/>
  <c r="E262" i="5"/>
  <c r="F262" i="4"/>
  <c r="E262" i="4"/>
  <c r="B262" i="4"/>
  <c r="A262" i="4"/>
  <c r="L261" i="4"/>
  <c r="H261" i="6"/>
  <c r="I261" i="6"/>
  <c r="K261" i="4"/>
  <c r="D261" i="5"/>
  <c r="E261" i="5"/>
  <c r="F261" i="4"/>
  <c r="E261" i="4"/>
  <c r="B261" i="4"/>
  <c r="A261" i="4"/>
  <c r="K260" i="4"/>
  <c r="D260" i="5"/>
  <c r="E260" i="5"/>
  <c r="F260" i="4"/>
  <c r="E260" i="4"/>
  <c r="B260" i="4"/>
  <c r="A260" i="4"/>
  <c r="L259" i="4"/>
  <c r="H259" i="6"/>
  <c r="I259" i="6"/>
  <c r="K259" i="4"/>
  <c r="D259" i="5"/>
  <c r="E259" i="5"/>
  <c r="F259" i="4"/>
  <c r="E259" i="4"/>
  <c r="B259" i="4"/>
  <c r="A259" i="4"/>
  <c r="K258" i="4"/>
  <c r="D258" i="5"/>
  <c r="E258" i="5"/>
  <c r="F258" i="4"/>
  <c r="E258" i="4"/>
  <c r="B258" i="4"/>
  <c r="A258" i="4"/>
  <c r="L257" i="4"/>
  <c r="H257" i="6"/>
  <c r="I257" i="6"/>
  <c r="K257" i="4"/>
  <c r="D257" i="5"/>
  <c r="E257" i="5"/>
  <c r="F257" i="4"/>
  <c r="E257" i="4"/>
  <c r="B257" i="4"/>
  <c r="A257" i="4"/>
  <c r="K256" i="4"/>
  <c r="D256" i="5"/>
  <c r="E256" i="5"/>
  <c r="F256" i="4"/>
  <c r="E256" i="4"/>
  <c r="B256" i="4"/>
  <c r="A256" i="4"/>
  <c r="L255" i="4"/>
  <c r="H255" i="6"/>
  <c r="I255" i="6"/>
  <c r="K255" i="4"/>
  <c r="D255" i="5"/>
  <c r="E255" i="5"/>
  <c r="F255" i="4"/>
  <c r="E255" i="4"/>
  <c r="B255" i="4"/>
  <c r="A255" i="4"/>
  <c r="K254" i="4"/>
  <c r="D254" i="5"/>
  <c r="E254" i="5"/>
  <c r="F254" i="4"/>
  <c r="E254" i="4"/>
  <c r="B254" i="4"/>
  <c r="A254" i="4"/>
  <c r="L253" i="4"/>
  <c r="H253" i="6"/>
  <c r="I253" i="6"/>
  <c r="K253" i="4"/>
  <c r="D253" i="5"/>
  <c r="E253" i="5"/>
  <c r="F253" i="4"/>
  <c r="C253" i="6"/>
  <c r="E253" i="4"/>
  <c r="B253" i="4"/>
  <c r="A253" i="4"/>
  <c r="K252" i="4"/>
  <c r="D252" i="5"/>
  <c r="E252" i="5"/>
  <c r="F252" i="4"/>
  <c r="E252" i="4"/>
  <c r="B252" i="4"/>
  <c r="A252" i="4"/>
  <c r="L251" i="4"/>
  <c r="H251" i="6"/>
  <c r="I251" i="6"/>
  <c r="K251" i="4"/>
  <c r="D251" i="5"/>
  <c r="E251" i="5"/>
  <c r="F251" i="4"/>
  <c r="E251" i="4"/>
  <c r="B251" i="4"/>
  <c r="A251" i="4"/>
  <c r="K250" i="4"/>
  <c r="D250" i="5"/>
  <c r="E250" i="5"/>
  <c r="F250" i="4"/>
  <c r="E250" i="4"/>
  <c r="B250" i="4"/>
  <c r="A250" i="4"/>
  <c r="L249" i="4"/>
  <c r="H249" i="6"/>
  <c r="I249" i="6"/>
  <c r="K249" i="4"/>
  <c r="D249" i="5"/>
  <c r="E249" i="5"/>
  <c r="F249" i="4"/>
  <c r="E249" i="4"/>
  <c r="B249" i="4"/>
  <c r="A249" i="4"/>
  <c r="K248" i="4"/>
  <c r="D248" i="5"/>
  <c r="E248" i="5"/>
  <c r="F248" i="4"/>
  <c r="E248" i="4"/>
  <c r="B248" i="4"/>
  <c r="A248" i="4"/>
  <c r="L247" i="4"/>
  <c r="H247" i="6"/>
  <c r="I247" i="6"/>
  <c r="K247" i="4"/>
  <c r="D247" i="5"/>
  <c r="E247" i="5"/>
  <c r="G247" i="4"/>
  <c r="G248" i="4"/>
  <c r="F247" i="4"/>
  <c r="E247" i="4"/>
  <c r="B247" i="4"/>
  <c r="A247" i="4"/>
  <c r="A247" i="6"/>
  <c r="K246" i="4"/>
  <c r="D246" i="5"/>
  <c r="E246" i="5"/>
  <c r="H246" i="4"/>
  <c r="J246" i="4"/>
  <c r="D246" i="6"/>
  <c r="G246" i="4"/>
  <c r="F246" i="4"/>
  <c r="E246" i="4"/>
  <c r="C246" i="4"/>
  <c r="C247" i="4"/>
  <c r="B246" i="4"/>
  <c r="A246" i="4"/>
  <c r="L225" i="4"/>
  <c r="H225" i="6"/>
  <c r="I225" i="6"/>
  <c r="K225" i="4"/>
  <c r="D225" i="5"/>
  <c r="E225" i="5"/>
  <c r="F225" i="4"/>
  <c r="E225" i="4"/>
  <c r="B225" i="4"/>
  <c r="A225" i="4"/>
  <c r="K224" i="4"/>
  <c r="D224" i="5"/>
  <c r="E224" i="5"/>
  <c r="F224" i="4"/>
  <c r="E224" i="4"/>
  <c r="B224" i="4"/>
  <c r="A224" i="4"/>
  <c r="L223" i="4"/>
  <c r="H223" i="6"/>
  <c r="I223" i="6"/>
  <c r="K223" i="4"/>
  <c r="D223" i="5"/>
  <c r="E223" i="5"/>
  <c r="F223" i="4"/>
  <c r="E223" i="4"/>
  <c r="B223" i="4"/>
  <c r="A223" i="4"/>
  <c r="K222" i="4"/>
  <c r="D222" i="5"/>
  <c r="E222" i="5"/>
  <c r="F222" i="4"/>
  <c r="E222" i="4"/>
  <c r="B222" i="4"/>
  <c r="A222" i="4"/>
  <c r="L221" i="4"/>
  <c r="H221" i="6"/>
  <c r="I221" i="6"/>
  <c r="K221" i="4"/>
  <c r="D221" i="5"/>
  <c r="E221" i="5"/>
  <c r="F221" i="4"/>
  <c r="E221" i="4"/>
  <c r="B221" i="4"/>
  <c r="A221" i="4"/>
  <c r="K220" i="4"/>
  <c r="D220" i="5"/>
  <c r="E220" i="5"/>
  <c r="F220" i="4"/>
  <c r="E220" i="4"/>
  <c r="B220" i="4"/>
  <c r="A220" i="4"/>
  <c r="L219" i="4"/>
  <c r="H219" i="6"/>
  <c r="I219" i="6"/>
  <c r="K219" i="4"/>
  <c r="D219" i="5"/>
  <c r="E219" i="5"/>
  <c r="F219" i="4"/>
  <c r="E219" i="4"/>
  <c r="B219" i="4"/>
  <c r="A219" i="4"/>
  <c r="K218" i="4"/>
  <c r="D218" i="5"/>
  <c r="E218" i="5"/>
  <c r="F218" i="4"/>
  <c r="E218" i="4"/>
  <c r="B218" i="4"/>
  <c r="A218" i="4"/>
  <c r="L217" i="4"/>
  <c r="H217" i="6"/>
  <c r="I217" i="6"/>
  <c r="K217" i="4"/>
  <c r="D217" i="5"/>
  <c r="E217" i="5"/>
  <c r="F217" i="4"/>
  <c r="E217" i="4"/>
  <c r="B217" i="4"/>
  <c r="A217" i="4"/>
  <c r="K216" i="4"/>
  <c r="D216" i="5"/>
  <c r="E216" i="5"/>
  <c r="F216" i="4"/>
  <c r="E216" i="4"/>
  <c r="B216" i="4"/>
  <c r="A216" i="4"/>
  <c r="L215" i="4"/>
  <c r="H215" i="6"/>
  <c r="I215" i="6"/>
  <c r="K215" i="4"/>
  <c r="D215" i="5"/>
  <c r="E215" i="5"/>
  <c r="F215" i="4"/>
  <c r="E215" i="4"/>
  <c r="B215" i="4"/>
  <c r="A215" i="4"/>
  <c r="K214" i="4"/>
  <c r="D214" i="5"/>
  <c r="E214" i="5"/>
  <c r="F214" i="4"/>
  <c r="E214" i="4"/>
  <c r="B214" i="4"/>
  <c r="A214" i="4"/>
  <c r="L213" i="4"/>
  <c r="H213" i="6"/>
  <c r="I213" i="6"/>
  <c r="K213" i="4"/>
  <c r="D213" i="5"/>
  <c r="E213" i="5"/>
  <c r="F213" i="4"/>
  <c r="E213" i="4"/>
  <c r="B213" i="4"/>
  <c r="A213" i="4"/>
  <c r="K212" i="4"/>
  <c r="D212" i="5"/>
  <c r="E212" i="5"/>
  <c r="F212" i="4"/>
  <c r="E212" i="4"/>
  <c r="B212" i="4"/>
  <c r="A212" i="4"/>
  <c r="L211" i="4"/>
  <c r="H211" i="6"/>
  <c r="I211" i="6"/>
  <c r="K211" i="4"/>
  <c r="D211" i="5"/>
  <c r="E211" i="5"/>
  <c r="F211" i="4"/>
  <c r="E211" i="4"/>
  <c r="B211" i="4"/>
  <c r="A211" i="4"/>
  <c r="K210" i="4"/>
  <c r="D210" i="5"/>
  <c r="E210" i="5"/>
  <c r="F210" i="4"/>
  <c r="E210" i="4"/>
  <c r="B210" i="4"/>
  <c r="A210" i="4"/>
  <c r="L209" i="4"/>
  <c r="H209" i="6"/>
  <c r="I209" i="6"/>
  <c r="K209" i="4"/>
  <c r="D209" i="5"/>
  <c r="E209" i="5"/>
  <c r="F209" i="4"/>
  <c r="E209" i="4"/>
  <c r="B209" i="4"/>
  <c r="A209" i="4"/>
  <c r="K208" i="4"/>
  <c r="D208" i="5"/>
  <c r="E208" i="5"/>
  <c r="F208" i="4"/>
  <c r="E208" i="4"/>
  <c r="B208" i="4"/>
  <c r="A208" i="4"/>
  <c r="L207" i="4"/>
  <c r="H207" i="6"/>
  <c r="I207" i="6"/>
  <c r="K207" i="4"/>
  <c r="D207" i="5"/>
  <c r="E207" i="5"/>
  <c r="F207" i="4"/>
  <c r="E207" i="4"/>
  <c r="B207" i="4"/>
  <c r="A207" i="4"/>
  <c r="K206" i="4"/>
  <c r="D206" i="5"/>
  <c r="E206" i="5"/>
  <c r="F206" i="4"/>
  <c r="E206" i="4"/>
  <c r="B206" i="4"/>
  <c r="A206" i="4"/>
  <c r="L205" i="4"/>
  <c r="H205" i="6"/>
  <c r="I205" i="6"/>
  <c r="K205" i="4"/>
  <c r="D205" i="5"/>
  <c r="E205" i="5"/>
  <c r="F205" i="4"/>
  <c r="E205" i="4"/>
  <c r="B205" i="4"/>
  <c r="A205" i="4"/>
  <c r="K204" i="4"/>
  <c r="D204" i="5"/>
  <c r="E204" i="5"/>
  <c r="F204" i="4"/>
  <c r="E204" i="4"/>
  <c r="B204" i="4"/>
  <c r="A204" i="4"/>
  <c r="L203" i="4"/>
  <c r="H203" i="6"/>
  <c r="I203" i="6"/>
  <c r="K203" i="4"/>
  <c r="D203" i="5"/>
  <c r="E203" i="5"/>
  <c r="F203" i="4"/>
  <c r="E203" i="4"/>
  <c r="B203" i="4"/>
  <c r="A203" i="4"/>
  <c r="K202" i="4"/>
  <c r="D202" i="5"/>
  <c r="E202" i="5"/>
  <c r="F202" i="4"/>
  <c r="E202" i="4"/>
  <c r="B202" i="4"/>
  <c r="A202" i="4"/>
  <c r="L201" i="4"/>
  <c r="H201" i="6"/>
  <c r="I201" i="6"/>
  <c r="K201" i="4"/>
  <c r="D201" i="5"/>
  <c r="E201" i="5"/>
  <c r="F201" i="4"/>
  <c r="E201" i="4"/>
  <c r="B201" i="4"/>
  <c r="A201" i="4"/>
  <c r="K200" i="4"/>
  <c r="D200" i="5"/>
  <c r="E200" i="5"/>
  <c r="F200" i="4"/>
  <c r="E200" i="4"/>
  <c r="B200" i="4"/>
  <c r="B200" i="6"/>
  <c r="A200" i="4"/>
  <c r="L199" i="4"/>
  <c r="H199" i="6"/>
  <c r="I199" i="6"/>
  <c r="K199" i="4"/>
  <c r="D199" i="5"/>
  <c r="E199" i="5"/>
  <c r="F199" i="4"/>
  <c r="E199" i="4"/>
  <c r="B199" i="4"/>
  <c r="A199" i="4"/>
  <c r="K198" i="4"/>
  <c r="D198" i="5"/>
  <c r="E198" i="5"/>
  <c r="F198" i="4"/>
  <c r="E198" i="4"/>
  <c r="B198" i="4"/>
  <c r="A198" i="4"/>
  <c r="L197" i="4"/>
  <c r="H197" i="6"/>
  <c r="I197" i="6"/>
  <c r="K197" i="4"/>
  <c r="D197" i="5"/>
  <c r="E197" i="5"/>
  <c r="F197" i="4"/>
  <c r="E197" i="4"/>
  <c r="B197" i="4"/>
  <c r="A197" i="4"/>
  <c r="K196" i="4"/>
  <c r="D196" i="5"/>
  <c r="E196" i="5"/>
  <c r="F196" i="4"/>
  <c r="E196" i="4"/>
  <c r="B196" i="4"/>
  <c r="A196" i="4"/>
  <c r="L195" i="4"/>
  <c r="H195" i="6"/>
  <c r="I195" i="6"/>
  <c r="K195" i="4"/>
  <c r="D195" i="5"/>
  <c r="E195" i="5"/>
  <c r="F195" i="4"/>
  <c r="E195" i="4"/>
  <c r="B195" i="4"/>
  <c r="A195" i="4"/>
  <c r="K194" i="4"/>
  <c r="D194" i="5"/>
  <c r="E194" i="5"/>
  <c r="F194" i="4"/>
  <c r="E194" i="4"/>
  <c r="B194" i="4"/>
  <c r="A194" i="4"/>
  <c r="L193" i="4"/>
  <c r="H193" i="6"/>
  <c r="I193" i="6"/>
  <c r="K193" i="4"/>
  <c r="D193" i="5"/>
  <c r="E193" i="5"/>
  <c r="F193" i="4"/>
  <c r="E193" i="4"/>
  <c r="B193" i="4"/>
  <c r="A193" i="4"/>
  <c r="K192" i="4"/>
  <c r="D192" i="5"/>
  <c r="E192" i="5"/>
  <c r="F192" i="4"/>
  <c r="E192" i="4"/>
  <c r="B192" i="4"/>
  <c r="A192" i="4"/>
  <c r="L191" i="4"/>
  <c r="H191" i="6"/>
  <c r="I191" i="6"/>
  <c r="K191" i="4"/>
  <c r="D191" i="5"/>
  <c r="E191" i="5"/>
  <c r="F191" i="4"/>
  <c r="E191" i="4"/>
  <c r="B191" i="4"/>
  <c r="A191" i="4"/>
  <c r="K190" i="4"/>
  <c r="D190" i="5"/>
  <c r="E190" i="5"/>
  <c r="F190" i="4"/>
  <c r="E190" i="4"/>
  <c r="B190" i="4"/>
  <c r="A190" i="4"/>
  <c r="L189" i="4"/>
  <c r="H189" i="6"/>
  <c r="I189" i="6"/>
  <c r="K189" i="4"/>
  <c r="D189" i="5"/>
  <c r="E189" i="5"/>
  <c r="F189" i="4"/>
  <c r="E189" i="4"/>
  <c r="B189" i="4"/>
  <c r="A189" i="4"/>
  <c r="K188" i="4"/>
  <c r="D188" i="5"/>
  <c r="E188" i="5"/>
  <c r="F188" i="4"/>
  <c r="E188" i="4"/>
  <c r="B188" i="4"/>
  <c r="B188" i="6"/>
  <c r="A188" i="4"/>
  <c r="L187" i="4"/>
  <c r="H187" i="6"/>
  <c r="I187" i="6"/>
  <c r="K187" i="4"/>
  <c r="D187" i="5"/>
  <c r="E187" i="5"/>
  <c r="F187" i="4"/>
  <c r="E187" i="4"/>
  <c r="B187" i="4"/>
  <c r="A187" i="4"/>
  <c r="K186" i="4"/>
  <c r="D186" i="5"/>
  <c r="E186" i="5"/>
  <c r="F186" i="4"/>
  <c r="E186" i="4"/>
  <c r="B186" i="4"/>
  <c r="A186" i="4"/>
  <c r="L185" i="4"/>
  <c r="H185" i="6"/>
  <c r="I185" i="6"/>
  <c r="K185" i="4"/>
  <c r="D185" i="5"/>
  <c r="E185" i="5"/>
  <c r="F185" i="4"/>
  <c r="E185" i="4"/>
  <c r="B185" i="4"/>
  <c r="A185" i="4"/>
  <c r="K184" i="4"/>
  <c r="D184" i="5"/>
  <c r="E184" i="5"/>
  <c r="F184" i="4"/>
  <c r="E184" i="4"/>
  <c r="B184" i="4"/>
  <c r="B184" i="6"/>
  <c r="A184" i="4"/>
  <c r="L183" i="4"/>
  <c r="H183" i="6"/>
  <c r="I183" i="6"/>
  <c r="K183" i="4"/>
  <c r="D183" i="5"/>
  <c r="E183" i="5"/>
  <c r="F183" i="4"/>
  <c r="E183" i="4"/>
  <c r="B183" i="4"/>
  <c r="A183" i="4"/>
  <c r="K182" i="4"/>
  <c r="D182" i="5"/>
  <c r="E182" i="5"/>
  <c r="F182" i="4"/>
  <c r="E182" i="4"/>
  <c r="B182" i="4"/>
  <c r="A182" i="4"/>
  <c r="L181" i="4"/>
  <c r="H181" i="6"/>
  <c r="I181" i="6"/>
  <c r="K181" i="4"/>
  <c r="D181" i="5"/>
  <c r="E181" i="5"/>
  <c r="F181" i="4"/>
  <c r="E181" i="4"/>
  <c r="B181" i="4"/>
  <c r="A181" i="4"/>
  <c r="K180" i="4"/>
  <c r="D180" i="5"/>
  <c r="E180" i="5"/>
  <c r="F180" i="4"/>
  <c r="E180" i="4"/>
  <c r="B180" i="4"/>
  <c r="A180" i="4"/>
  <c r="L179" i="4"/>
  <c r="H179" i="6"/>
  <c r="I179" i="6"/>
  <c r="K179" i="4"/>
  <c r="D179" i="5"/>
  <c r="E179" i="5"/>
  <c r="F179" i="4"/>
  <c r="E179" i="4"/>
  <c r="B179" i="4"/>
  <c r="A179" i="4"/>
  <c r="K178" i="4"/>
  <c r="D178" i="5"/>
  <c r="E178" i="5"/>
  <c r="F178" i="4"/>
  <c r="E178" i="4"/>
  <c r="B178" i="4"/>
  <c r="A178" i="4"/>
  <c r="L177" i="4"/>
  <c r="H177" i="6"/>
  <c r="I177" i="6"/>
  <c r="K177" i="4"/>
  <c r="D177" i="5"/>
  <c r="E177" i="5"/>
  <c r="F177" i="4"/>
  <c r="E177" i="4"/>
  <c r="B177" i="4"/>
  <c r="A177" i="4"/>
  <c r="K176" i="4"/>
  <c r="D176" i="5"/>
  <c r="E176" i="5"/>
  <c r="F176" i="4"/>
  <c r="E176" i="4"/>
  <c r="B176" i="4"/>
  <c r="A176" i="4"/>
  <c r="L175" i="4"/>
  <c r="H175" i="6"/>
  <c r="I175" i="6"/>
  <c r="K175" i="4"/>
  <c r="D175" i="5"/>
  <c r="E175" i="5"/>
  <c r="F175" i="4"/>
  <c r="E175" i="4"/>
  <c r="B175" i="4"/>
  <c r="A175" i="4"/>
  <c r="K174" i="4"/>
  <c r="D174" i="5"/>
  <c r="E174" i="5"/>
  <c r="F174" i="4"/>
  <c r="E174" i="4"/>
  <c r="B174" i="4"/>
  <c r="A174" i="4"/>
  <c r="L173" i="4"/>
  <c r="H173" i="6"/>
  <c r="I173" i="6"/>
  <c r="K173" i="4"/>
  <c r="D173" i="5"/>
  <c r="E173" i="5"/>
  <c r="F173" i="4"/>
  <c r="E173" i="4"/>
  <c r="B173" i="4"/>
  <c r="A173" i="4"/>
  <c r="K172" i="4"/>
  <c r="D172" i="5"/>
  <c r="E172" i="5"/>
  <c r="F172" i="4"/>
  <c r="E172" i="4"/>
  <c r="B172" i="4"/>
  <c r="B172" i="6"/>
  <c r="A172" i="4"/>
  <c r="L171" i="4"/>
  <c r="H171" i="6"/>
  <c r="I171" i="6"/>
  <c r="K171" i="4"/>
  <c r="D171" i="5"/>
  <c r="E171" i="5"/>
  <c r="F171" i="4"/>
  <c r="E171" i="4"/>
  <c r="B171" i="4"/>
  <c r="A171" i="4"/>
  <c r="K170" i="4"/>
  <c r="D170" i="5"/>
  <c r="E170" i="5"/>
  <c r="F170" i="4"/>
  <c r="E170" i="4"/>
  <c r="B170" i="4"/>
  <c r="A170" i="4"/>
  <c r="L169" i="4"/>
  <c r="H169" i="6"/>
  <c r="I169" i="6"/>
  <c r="K169" i="4"/>
  <c r="D169" i="5"/>
  <c r="E169" i="5"/>
  <c r="F169" i="4"/>
  <c r="E169" i="4"/>
  <c r="B169" i="4"/>
  <c r="A169" i="4"/>
  <c r="K168" i="4"/>
  <c r="D168" i="5"/>
  <c r="E168" i="5"/>
  <c r="F168" i="4"/>
  <c r="E168" i="4"/>
  <c r="B168" i="4"/>
  <c r="B168" i="6"/>
  <c r="A168" i="4"/>
  <c r="L167" i="4"/>
  <c r="H167" i="6"/>
  <c r="I167" i="6"/>
  <c r="K167" i="4"/>
  <c r="D167" i="5"/>
  <c r="E167" i="5"/>
  <c r="F167" i="4"/>
  <c r="E167" i="4"/>
  <c r="B167" i="4"/>
  <c r="A167" i="4"/>
  <c r="K166" i="4"/>
  <c r="D166" i="5"/>
  <c r="E166" i="5"/>
  <c r="F166" i="4"/>
  <c r="E166" i="4"/>
  <c r="B166" i="4"/>
  <c r="A166" i="4"/>
  <c r="L165" i="4"/>
  <c r="H165" i="6"/>
  <c r="I165" i="6"/>
  <c r="K165" i="4"/>
  <c r="D165" i="5"/>
  <c r="E165" i="5"/>
  <c r="F165" i="4"/>
  <c r="E165" i="4"/>
  <c r="B165" i="4"/>
  <c r="A165" i="4"/>
  <c r="K164" i="4"/>
  <c r="D164" i="5"/>
  <c r="E164" i="5"/>
  <c r="F164" i="4"/>
  <c r="E164" i="4"/>
  <c r="B164" i="4"/>
  <c r="A164" i="4"/>
  <c r="L163" i="4"/>
  <c r="H163" i="6"/>
  <c r="I163" i="6"/>
  <c r="K163" i="4"/>
  <c r="D163" i="5"/>
  <c r="E163" i="5"/>
  <c r="F163" i="4"/>
  <c r="E163" i="4"/>
  <c r="B163" i="4"/>
  <c r="A163" i="4"/>
  <c r="K162" i="4"/>
  <c r="D162" i="5"/>
  <c r="E162" i="5"/>
  <c r="F162" i="4"/>
  <c r="E162" i="4"/>
  <c r="B162" i="4"/>
  <c r="A162" i="4"/>
  <c r="L161" i="4"/>
  <c r="H161" i="6"/>
  <c r="I161" i="6"/>
  <c r="K161" i="4"/>
  <c r="D161" i="5"/>
  <c r="E161" i="5"/>
  <c r="F161" i="4"/>
  <c r="E161" i="4"/>
  <c r="B161" i="4"/>
  <c r="A161" i="4"/>
  <c r="K160" i="4"/>
  <c r="D160" i="5"/>
  <c r="E160" i="5"/>
  <c r="F160" i="4"/>
  <c r="E160" i="4"/>
  <c r="B160" i="4"/>
  <c r="A160" i="4"/>
  <c r="L159" i="4"/>
  <c r="H159" i="6"/>
  <c r="I159" i="6"/>
  <c r="K159" i="4"/>
  <c r="D159" i="5"/>
  <c r="E159" i="5"/>
  <c r="F159" i="4"/>
  <c r="E159" i="4"/>
  <c r="B159" i="4"/>
  <c r="A159" i="4"/>
  <c r="K158" i="4"/>
  <c r="D158" i="5"/>
  <c r="E158" i="5"/>
  <c r="F158" i="4"/>
  <c r="E158" i="4"/>
  <c r="B158" i="4"/>
  <c r="A158" i="4"/>
  <c r="L157" i="4"/>
  <c r="H157" i="6"/>
  <c r="I157" i="6"/>
  <c r="K157" i="4"/>
  <c r="D157" i="5"/>
  <c r="E157" i="5"/>
  <c r="F157" i="4"/>
  <c r="E157" i="4"/>
  <c r="B157" i="4"/>
  <c r="A157" i="4"/>
  <c r="K156" i="4"/>
  <c r="D156" i="5"/>
  <c r="E156" i="5"/>
  <c r="F156" i="4"/>
  <c r="E156" i="4"/>
  <c r="B156" i="4"/>
  <c r="B156" i="6"/>
  <c r="A156" i="4"/>
  <c r="L155" i="4"/>
  <c r="H155" i="6"/>
  <c r="I155" i="6"/>
  <c r="K155" i="4"/>
  <c r="D155" i="5"/>
  <c r="E155" i="5"/>
  <c r="F155" i="4"/>
  <c r="E155" i="4"/>
  <c r="B155" i="4"/>
  <c r="A155" i="4"/>
  <c r="K154" i="4"/>
  <c r="D154" i="5"/>
  <c r="E154" i="5"/>
  <c r="F154" i="4"/>
  <c r="E154" i="4"/>
  <c r="B154" i="4"/>
  <c r="A154" i="4"/>
  <c r="L153" i="4"/>
  <c r="H153" i="6"/>
  <c r="I153" i="6"/>
  <c r="K153" i="4"/>
  <c r="D153" i="5"/>
  <c r="E153" i="5"/>
  <c r="F153" i="4"/>
  <c r="E153" i="4"/>
  <c r="B153" i="4"/>
  <c r="A153" i="4"/>
  <c r="K152" i="4"/>
  <c r="D152" i="5"/>
  <c r="E152" i="5"/>
  <c r="F152" i="4"/>
  <c r="E152" i="4"/>
  <c r="B152" i="4"/>
  <c r="B152" i="6"/>
  <c r="A152" i="4"/>
  <c r="L151" i="4"/>
  <c r="H151" i="6"/>
  <c r="I151" i="6"/>
  <c r="K151" i="4"/>
  <c r="D151" i="5"/>
  <c r="E151" i="5"/>
  <c r="F151" i="4"/>
  <c r="E151" i="4"/>
  <c r="B151" i="4"/>
  <c r="A151" i="4"/>
  <c r="K150" i="4"/>
  <c r="D150" i="5"/>
  <c r="E150" i="5"/>
  <c r="F150" i="4"/>
  <c r="E150" i="4"/>
  <c r="B150" i="4"/>
  <c r="A150" i="4"/>
  <c r="L149" i="4"/>
  <c r="H149" i="6"/>
  <c r="I149" i="6"/>
  <c r="K149" i="4"/>
  <c r="D149" i="5"/>
  <c r="E149" i="5"/>
  <c r="F149" i="4"/>
  <c r="E149" i="4"/>
  <c r="B149" i="4"/>
  <c r="A149" i="4"/>
  <c r="K148" i="4"/>
  <c r="D148" i="5"/>
  <c r="E148" i="5"/>
  <c r="F148" i="4"/>
  <c r="E148" i="4"/>
  <c r="B148" i="4"/>
  <c r="A148" i="4"/>
  <c r="L147" i="4"/>
  <c r="H147" i="6"/>
  <c r="I147" i="6"/>
  <c r="K147" i="4"/>
  <c r="D147" i="5"/>
  <c r="E147" i="5"/>
  <c r="F147" i="4"/>
  <c r="E147" i="4"/>
  <c r="B147" i="4"/>
  <c r="A147" i="4"/>
  <c r="K146" i="4"/>
  <c r="D146" i="5"/>
  <c r="E146" i="5"/>
  <c r="F146" i="4"/>
  <c r="E146" i="4"/>
  <c r="B146" i="4"/>
  <c r="A146" i="4"/>
  <c r="L145" i="4"/>
  <c r="H145" i="6"/>
  <c r="I145" i="6"/>
  <c r="K145" i="4"/>
  <c r="D145" i="5"/>
  <c r="E145" i="5"/>
  <c r="F145" i="4"/>
  <c r="E145" i="4"/>
  <c r="B145" i="4"/>
  <c r="A145" i="4"/>
  <c r="K144" i="4"/>
  <c r="D144" i="5"/>
  <c r="E144" i="5"/>
  <c r="F144" i="4"/>
  <c r="E144" i="4"/>
  <c r="B144" i="4"/>
  <c r="A144" i="4"/>
  <c r="L143" i="4"/>
  <c r="H143" i="6"/>
  <c r="I143" i="6"/>
  <c r="K143" i="4"/>
  <c r="D143" i="5"/>
  <c r="E143" i="5"/>
  <c r="F143" i="4"/>
  <c r="E143" i="4"/>
  <c r="B143" i="4"/>
  <c r="A143" i="4"/>
  <c r="K142" i="4"/>
  <c r="D142" i="5"/>
  <c r="E142" i="5"/>
  <c r="F142" i="4"/>
  <c r="E142" i="4"/>
  <c r="B142" i="4"/>
  <c r="A142" i="4"/>
  <c r="L141" i="4"/>
  <c r="H141" i="6"/>
  <c r="I141" i="6"/>
  <c r="K141" i="4"/>
  <c r="D141" i="5"/>
  <c r="E141" i="5"/>
  <c r="F141" i="4"/>
  <c r="E141" i="4"/>
  <c r="B141" i="4"/>
  <c r="A141" i="4"/>
  <c r="K140" i="4"/>
  <c r="D140" i="5"/>
  <c r="E140" i="5"/>
  <c r="F140" i="4"/>
  <c r="E140" i="4"/>
  <c r="B140" i="4"/>
  <c r="B140" i="6"/>
  <c r="A140" i="4"/>
  <c r="L139" i="4"/>
  <c r="H139" i="6"/>
  <c r="I139" i="6"/>
  <c r="K139" i="4"/>
  <c r="D139" i="5"/>
  <c r="E139" i="5"/>
  <c r="F139" i="4"/>
  <c r="E139" i="4"/>
  <c r="B139" i="4"/>
  <c r="A139" i="4"/>
  <c r="K138" i="4"/>
  <c r="D138" i="5"/>
  <c r="E138" i="5"/>
  <c r="F138" i="4"/>
  <c r="E138" i="4"/>
  <c r="B138" i="4"/>
  <c r="A138" i="4"/>
  <c r="L137" i="4"/>
  <c r="H137" i="6"/>
  <c r="I137" i="6"/>
  <c r="K137" i="4"/>
  <c r="D137" i="5"/>
  <c r="E137" i="5"/>
  <c r="F137" i="4"/>
  <c r="E137" i="4"/>
  <c r="B137" i="4"/>
  <c r="A137" i="4"/>
  <c r="K136" i="4"/>
  <c r="D136" i="5"/>
  <c r="E136" i="5"/>
  <c r="F136" i="4"/>
  <c r="E136" i="4"/>
  <c r="B136" i="4"/>
  <c r="B136" i="6"/>
  <c r="A136" i="4"/>
  <c r="L135" i="4"/>
  <c r="H135" i="6"/>
  <c r="I135" i="6"/>
  <c r="K135" i="4"/>
  <c r="D135" i="5"/>
  <c r="E135" i="5"/>
  <c r="F135" i="4"/>
  <c r="E135" i="4"/>
  <c r="B135" i="4"/>
  <c r="A135" i="4"/>
  <c r="K134" i="4"/>
  <c r="D134" i="5"/>
  <c r="E134" i="5"/>
  <c r="F134" i="4"/>
  <c r="E134" i="4"/>
  <c r="B134" i="4"/>
  <c r="A134" i="4"/>
  <c r="L133" i="4"/>
  <c r="H133" i="6"/>
  <c r="I133" i="6"/>
  <c r="K133" i="4"/>
  <c r="D133" i="5"/>
  <c r="E133" i="5"/>
  <c r="F133" i="4"/>
  <c r="E133" i="4"/>
  <c r="B133" i="4"/>
  <c r="A133" i="4"/>
  <c r="K132" i="4"/>
  <c r="D132" i="5"/>
  <c r="E132" i="5"/>
  <c r="F132" i="4"/>
  <c r="E132" i="4"/>
  <c r="B132" i="4"/>
  <c r="A132" i="4"/>
  <c r="L131" i="4"/>
  <c r="H131" i="6"/>
  <c r="I131" i="6"/>
  <c r="K131" i="4"/>
  <c r="D131" i="5"/>
  <c r="E131" i="5"/>
  <c r="F131" i="4"/>
  <c r="E131" i="4"/>
  <c r="B131" i="4"/>
  <c r="A131" i="4"/>
  <c r="K130" i="4"/>
  <c r="D130" i="5"/>
  <c r="E130" i="5"/>
  <c r="F130" i="4"/>
  <c r="E130" i="4"/>
  <c r="B130" i="4"/>
  <c r="A130" i="4"/>
  <c r="L129" i="4"/>
  <c r="H129" i="6"/>
  <c r="I129" i="6"/>
  <c r="K129" i="4"/>
  <c r="D129" i="5"/>
  <c r="E129" i="5"/>
  <c r="F129" i="4"/>
  <c r="E129" i="4"/>
  <c r="B129" i="4"/>
  <c r="A129" i="4"/>
  <c r="K128" i="4"/>
  <c r="D128" i="5"/>
  <c r="E128" i="5"/>
  <c r="F128" i="4"/>
  <c r="E128" i="4"/>
  <c r="B128" i="4"/>
  <c r="A128" i="4"/>
  <c r="L127" i="4"/>
  <c r="H127" i="6"/>
  <c r="I127" i="6"/>
  <c r="K127" i="4"/>
  <c r="D127" i="5"/>
  <c r="E127" i="5"/>
  <c r="G127" i="4"/>
  <c r="G128" i="4"/>
  <c r="F127" i="4"/>
  <c r="E127" i="4"/>
  <c r="B127" i="4"/>
  <c r="A127" i="4"/>
  <c r="K126" i="4"/>
  <c r="D126" i="5"/>
  <c r="E126" i="5"/>
  <c r="H126" i="4"/>
  <c r="J126" i="4"/>
  <c r="D126" i="6"/>
  <c r="G126" i="4"/>
  <c r="F126" i="4"/>
  <c r="E126" i="4"/>
  <c r="C126" i="4"/>
  <c r="C127" i="4"/>
  <c r="B126" i="4"/>
  <c r="A126" i="4"/>
  <c r="L105" i="4"/>
  <c r="H105" i="6"/>
  <c r="I105" i="6"/>
  <c r="K105" i="4"/>
  <c r="D105" i="5"/>
  <c r="E105" i="5"/>
  <c r="F105" i="4"/>
  <c r="E105" i="4"/>
  <c r="B105" i="4"/>
  <c r="A105" i="4"/>
  <c r="K104" i="4"/>
  <c r="D104" i="5"/>
  <c r="E104" i="5"/>
  <c r="F104" i="4"/>
  <c r="E104" i="4"/>
  <c r="B104" i="4"/>
  <c r="A104" i="4"/>
  <c r="L103" i="4"/>
  <c r="H103" i="6"/>
  <c r="I103" i="6"/>
  <c r="K103" i="4"/>
  <c r="D103" i="5"/>
  <c r="E103" i="5"/>
  <c r="F103" i="4"/>
  <c r="E103" i="4"/>
  <c r="B103" i="4"/>
  <c r="A103" i="4"/>
  <c r="K102" i="4"/>
  <c r="D102" i="5"/>
  <c r="E102" i="5"/>
  <c r="F102" i="4"/>
  <c r="E102" i="4"/>
  <c r="B102" i="4"/>
  <c r="A102" i="4"/>
  <c r="L101" i="4"/>
  <c r="H101" i="6"/>
  <c r="I101" i="6"/>
  <c r="K101" i="4"/>
  <c r="D101" i="5"/>
  <c r="E101" i="5"/>
  <c r="F101" i="4"/>
  <c r="E101" i="4"/>
  <c r="B101" i="4"/>
  <c r="A101" i="4"/>
  <c r="K100" i="4"/>
  <c r="D100" i="5"/>
  <c r="E100" i="5"/>
  <c r="F100" i="4"/>
  <c r="E100" i="4"/>
  <c r="B100" i="4"/>
  <c r="B100" i="6"/>
  <c r="A100" i="4"/>
  <c r="L99" i="4"/>
  <c r="H99" i="6"/>
  <c r="I99" i="6"/>
  <c r="K99" i="4"/>
  <c r="D99" i="5"/>
  <c r="E99" i="5"/>
  <c r="F99" i="4"/>
  <c r="E99" i="4"/>
  <c r="B99" i="4"/>
  <c r="A99" i="4"/>
  <c r="K98" i="4"/>
  <c r="D98" i="5"/>
  <c r="E98" i="5"/>
  <c r="F98" i="4"/>
  <c r="E98" i="4"/>
  <c r="B98" i="4"/>
  <c r="A98" i="4"/>
  <c r="L97" i="4"/>
  <c r="H97" i="6"/>
  <c r="I97" i="6"/>
  <c r="K97" i="4"/>
  <c r="D97" i="5"/>
  <c r="E97" i="5"/>
  <c r="F97" i="4"/>
  <c r="E97" i="4"/>
  <c r="B97" i="4"/>
  <c r="A97" i="4"/>
  <c r="K96" i="4"/>
  <c r="D96" i="5"/>
  <c r="E96" i="5"/>
  <c r="F96" i="4"/>
  <c r="E96" i="4"/>
  <c r="B96" i="4"/>
  <c r="B96" i="6"/>
  <c r="A96" i="4"/>
  <c r="L95" i="4"/>
  <c r="H95" i="6"/>
  <c r="I95" i="6"/>
  <c r="K95" i="4"/>
  <c r="D95" i="5"/>
  <c r="E95" i="5"/>
  <c r="F95" i="4"/>
  <c r="E95" i="4"/>
  <c r="B95" i="4"/>
  <c r="A95" i="4"/>
  <c r="K94" i="4"/>
  <c r="D94" i="5"/>
  <c r="E94" i="5"/>
  <c r="F94" i="4"/>
  <c r="E94" i="4"/>
  <c r="B94" i="4"/>
  <c r="A94" i="4"/>
  <c r="L93" i="4"/>
  <c r="H93" i="6"/>
  <c r="I93" i="6"/>
  <c r="K93" i="4"/>
  <c r="D93" i="5"/>
  <c r="E93" i="5"/>
  <c r="F93" i="4"/>
  <c r="E93" i="4"/>
  <c r="B93" i="4"/>
  <c r="A93" i="4"/>
  <c r="K92" i="4"/>
  <c r="D92" i="5"/>
  <c r="E92" i="5"/>
  <c r="F92" i="4"/>
  <c r="E92" i="4"/>
  <c r="B92" i="4"/>
  <c r="A92" i="4"/>
  <c r="L91" i="4"/>
  <c r="H91" i="6"/>
  <c r="I91" i="6"/>
  <c r="K91" i="4"/>
  <c r="D91" i="5"/>
  <c r="E91" i="5"/>
  <c r="F91" i="4"/>
  <c r="E91" i="4"/>
  <c r="B91" i="4"/>
  <c r="A91" i="4"/>
  <c r="K90" i="4"/>
  <c r="D90" i="5"/>
  <c r="E90" i="5"/>
  <c r="F90" i="4"/>
  <c r="E90" i="4"/>
  <c r="B90" i="4"/>
  <c r="A90" i="4"/>
  <c r="L89" i="4"/>
  <c r="H89" i="6"/>
  <c r="I89" i="6"/>
  <c r="K89" i="4"/>
  <c r="D89" i="5"/>
  <c r="E89" i="5"/>
  <c r="F89" i="4"/>
  <c r="E89" i="4"/>
  <c r="B89" i="4"/>
  <c r="A89" i="4"/>
  <c r="K88" i="4"/>
  <c r="D88" i="5"/>
  <c r="E88" i="5"/>
  <c r="F88" i="4"/>
  <c r="E88" i="4"/>
  <c r="B88" i="4"/>
  <c r="A88" i="4"/>
  <c r="K87" i="4"/>
  <c r="D87" i="5"/>
  <c r="E87" i="5"/>
  <c r="F87" i="4"/>
  <c r="E87" i="4"/>
  <c r="B87" i="4"/>
  <c r="A87" i="4"/>
  <c r="K86" i="4"/>
  <c r="D86" i="5"/>
  <c r="E86" i="5"/>
  <c r="F86" i="4"/>
  <c r="E86" i="4"/>
  <c r="B86" i="4"/>
  <c r="A86" i="4"/>
  <c r="K85" i="4"/>
  <c r="D85" i="5"/>
  <c r="E85" i="5"/>
  <c r="F85" i="4"/>
  <c r="E85" i="4"/>
  <c r="B85" i="4"/>
  <c r="A85" i="4"/>
  <c r="K84" i="4"/>
  <c r="D84" i="5"/>
  <c r="E84" i="5"/>
  <c r="F84" i="4"/>
  <c r="E84" i="4"/>
  <c r="B84" i="4"/>
  <c r="B84" i="6"/>
  <c r="A84" i="4"/>
  <c r="K83" i="4"/>
  <c r="D83" i="5"/>
  <c r="E83" i="5"/>
  <c r="F83" i="4"/>
  <c r="E83" i="4"/>
  <c r="B83" i="4"/>
  <c r="A83" i="4"/>
  <c r="K82" i="4"/>
  <c r="D82" i="5"/>
  <c r="E82" i="5"/>
  <c r="F82" i="4"/>
  <c r="E82" i="4"/>
  <c r="B82" i="4"/>
  <c r="A82" i="4"/>
  <c r="K81" i="4"/>
  <c r="D81" i="5"/>
  <c r="E81" i="5"/>
  <c r="F81" i="4"/>
  <c r="E81" i="4"/>
  <c r="B81" i="4"/>
  <c r="A81" i="4"/>
  <c r="K80" i="4"/>
  <c r="D80" i="5"/>
  <c r="E80" i="5"/>
  <c r="F80" i="4"/>
  <c r="E80" i="4"/>
  <c r="B80" i="4"/>
  <c r="B80" i="6"/>
  <c r="A80" i="4"/>
  <c r="K79" i="4"/>
  <c r="D79" i="5"/>
  <c r="E79" i="5"/>
  <c r="F79" i="4"/>
  <c r="E79" i="4"/>
  <c r="B79" i="4"/>
  <c r="A79" i="4"/>
  <c r="K78" i="4"/>
  <c r="D78" i="5"/>
  <c r="E78" i="5"/>
  <c r="F78" i="4"/>
  <c r="E78" i="4"/>
  <c r="B78" i="4"/>
  <c r="A78" i="4"/>
  <c r="K77" i="4"/>
  <c r="D77" i="5"/>
  <c r="E77" i="5"/>
  <c r="F77" i="4"/>
  <c r="E77" i="4"/>
  <c r="B77" i="4"/>
  <c r="A77" i="4"/>
  <c r="K76" i="4"/>
  <c r="D76" i="5"/>
  <c r="E76" i="5"/>
  <c r="F76" i="4"/>
  <c r="E76" i="4"/>
  <c r="B76" i="4"/>
  <c r="A76" i="4"/>
  <c r="K75" i="4"/>
  <c r="D75" i="5"/>
  <c r="E75" i="5"/>
  <c r="F75" i="4"/>
  <c r="E75" i="4"/>
  <c r="B75" i="4"/>
  <c r="A75" i="4"/>
  <c r="K74" i="4"/>
  <c r="D74" i="5"/>
  <c r="E74" i="5"/>
  <c r="F74" i="4"/>
  <c r="E74" i="4"/>
  <c r="B74" i="4"/>
  <c r="A74" i="4"/>
  <c r="K73" i="4"/>
  <c r="D73" i="5"/>
  <c r="E73" i="5"/>
  <c r="F73" i="4"/>
  <c r="E73" i="4"/>
  <c r="B73" i="4"/>
  <c r="A73" i="4"/>
  <c r="K72" i="4"/>
  <c r="D72" i="5"/>
  <c r="E72" i="5"/>
  <c r="F72" i="4"/>
  <c r="E72" i="4"/>
  <c r="B72" i="4"/>
  <c r="A72" i="4"/>
  <c r="K71" i="4"/>
  <c r="D71" i="5"/>
  <c r="E71" i="5"/>
  <c r="F71" i="4"/>
  <c r="E71" i="4"/>
  <c r="B71" i="4"/>
  <c r="A71" i="4"/>
  <c r="K70" i="4"/>
  <c r="D70" i="5"/>
  <c r="E70" i="5"/>
  <c r="F70" i="4"/>
  <c r="E70" i="4"/>
  <c r="B70" i="4"/>
  <c r="A70" i="4"/>
  <c r="K69" i="4"/>
  <c r="D69" i="5"/>
  <c r="E69" i="5"/>
  <c r="F69" i="4"/>
  <c r="E69" i="4"/>
  <c r="B69" i="4"/>
  <c r="A69" i="4"/>
  <c r="K68" i="4"/>
  <c r="D68" i="5"/>
  <c r="E68" i="5"/>
  <c r="F68" i="4"/>
  <c r="E68" i="4"/>
  <c r="B68" i="4"/>
  <c r="B68" i="6"/>
  <c r="A68" i="4"/>
  <c r="K67" i="4"/>
  <c r="D67" i="5"/>
  <c r="E67" i="5"/>
  <c r="F67" i="4"/>
  <c r="E67" i="4"/>
  <c r="B67" i="4"/>
  <c r="A67" i="4"/>
  <c r="K66" i="4"/>
  <c r="D66" i="5"/>
  <c r="E66" i="5"/>
  <c r="F66" i="4"/>
  <c r="E66" i="4"/>
  <c r="B66" i="4"/>
  <c r="A66" i="4"/>
  <c r="K65" i="4"/>
  <c r="D65" i="5"/>
  <c r="E65" i="5"/>
  <c r="F65" i="4"/>
  <c r="E65" i="4"/>
  <c r="B65" i="4"/>
  <c r="A65" i="4"/>
  <c r="K64" i="4"/>
  <c r="D64" i="5"/>
  <c r="E64" i="5"/>
  <c r="F64" i="4"/>
  <c r="E64" i="4"/>
  <c r="B64" i="4"/>
  <c r="B64" i="6"/>
  <c r="A64" i="4"/>
  <c r="K63" i="4"/>
  <c r="D63" i="5"/>
  <c r="E63" i="5"/>
  <c r="F63" i="4"/>
  <c r="E63" i="4"/>
  <c r="B63" i="4"/>
  <c r="A63" i="4"/>
  <c r="K62" i="4"/>
  <c r="D62" i="5"/>
  <c r="E62" i="5"/>
  <c r="F62" i="4"/>
  <c r="E62" i="4"/>
  <c r="B62" i="4"/>
  <c r="A62" i="4"/>
  <c r="K61" i="4"/>
  <c r="D61" i="5"/>
  <c r="E61" i="5"/>
  <c r="F61" i="4"/>
  <c r="E61" i="4"/>
  <c r="B61" i="4"/>
  <c r="A61" i="4"/>
  <c r="K60" i="4"/>
  <c r="D60" i="5"/>
  <c r="E60" i="5"/>
  <c r="F60" i="4"/>
  <c r="E60" i="4"/>
  <c r="B60" i="4"/>
  <c r="A60" i="4"/>
  <c r="K59" i="4"/>
  <c r="D59" i="5"/>
  <c r="E59" i="5"/>
  <c r="F59" i="4"/>
  <c r="E59" i="4"/>
  <c r="B59" i="4"/>
  <c r="A59" i="4"/>
  <c r="K58" i="4"/>
  <c r="D58" i="5"/>
  <c r="E58" i="5"/>
  <c r="F58" i="4"/>
  <c r="E58" i="4"/>
  <c r="B58" i="4"/>
  <c r="A58" i="4"/>
  <c r="K57" i="4"/>
  <c r="D57" i="5"/>
  <c r="E57" i="5"/>
  <c r="F57" i="4"/>
  <c r="E57" i="4"/>
  <c r="B57" i="4"/>
  <c r="A57" i="4"/>
  <c r="K56" i="4"/>
  <c r="D56" i="5"/>
  <c r="E56" i="5"/>
  <c r="F56" i="4"/>
  <c r="E56" i="4"/>
  <c r="B56" i="4"/>
  <c r="A56" i="4"/>
  <c r="K55" i="4"/>
  <c r="D55" i="5"/>
  <c r="E55" i="5"/>
  <c r="F55" i="4"/>
  <c r="E55" i="4"/>
  <c r="B55" i="4"/>
  <c r="A55" i="4"/>
  <c r="K54" i="4"/>
  <c r="D54" i="5"/>
  <c r="E54" i="5"/>
  <c r="F54" i="4"/>
  <c r="E54" i="4"/>
  <c r="B54" i="4"/>
  <c r="A54" i="4"/>
  <c r="K53" i="4"/>
  <c r="D53" i="5"/>
  <c r="E53" i="5"/>
  <c r="F53" i="4"/>
  <c r="E53" i="4"/>
  <c r="B53" i="4"/>
  <c r="A53" i="4"/>
  <c r="K52" i="4"/>
  <c r="D52" i="5"/>
  <c r="E52" i="5"/>
  <c r="F52" i="4"/>
  <c r="E52" i="4"/>
  <c r="B52" i="4"/>
  <c r="B52" i="6"/>
  <c r="A52" i="4"/>
  <c r="K51" i="4"/>
  <c r="D51" i="5"/>
  <c r="E51" i="5"/>
  <c r="F51" i="4"/>
  <c r="E51" i="4"/>
  <c r="B51" i="4"/>
  <c r="A51" i="4"/>
  <c r="K50" i="4"/>
  <c r="D50" i="5"/>
  <c r="E50" i="5"/>
  <c r="F50" i="4"/>
  <c r="E50" i="4"/>
  <c r="B50" i="4"/>
  <c r="A50" i="4"/>
  <c r="K49" i="4"/>
  <c r="D49" i="5"/>
  <c r="E49" i="5"/>
  <c r="F49" i="4"/>
  <c r="E49" i="4"/>
  <c r="B49" i="4"/>
  <c r="A49" i="4"/>
  <c r="K48" i="4"/>
  <c r="D48" i="5"/>
  <c r="E48" i="5"/>
  <c r="F48" i="4"/>
  <c r="E48" i="4"/>
  <c r="B48" i="4"/>
  <c r="B48" i="6"/>
  <c r="A48" i="4"/>
  <c r="K47" i="4"/>
  <c r="D47" i="5"/>
  <c r="E47" i="5"/>
  <c r="F47" i="4"/>
  <c r="E47" i="4"/>
  <c r="B47" i="4"/>
  <c r="A47" i="4"/>
  <c r="K46" i="4"/>
  <c r="D46" i="5"/>
  <c r="E46" i="5"/>
  <c r="F46" i="4"/>
  <c r="E46" i="4"/>
  <c r="B46" i="4"/>
  <c r="A46" i="4"/>
  <c r="K45" i="4"/>
  <c r="D45" i="5"/>
  <c r="E45" i="5"/>
  <c r="F45" i="4"/>
  <c r="E45" i="4"/>
  <c r="B45" i="4"/>
  <c r="A45" i="4"/>
  <c r="K44" i="4"/>
  <c r="D44" i="5"/>
  <c r="E44" i="5"/>
  <c r="F44" i="4"/>
  <c r="E44" i="4"/>
  <c r="B44" i="4"/>
  <c r="A44" i="4"/>
  <c r="K43" i="4"/>
  <c r="D43" i="5"/>
  <c r="E43" i="5"/>
  <c r="F43" i="4"/>
  <c r="E43" i="4"/>
  <c r="B43" i="4"/>
  <c r="A43" i="4"/>
  <c r="K42" i="4"/>
  <c r="D42" i="5"/>
  <c r="E42" i="5"/>
  <c r="F42" i="4"/>
  <c r="E42" i="4"/>
  <c r="B42" i="4"/>
  <c r="A42" i="4"/>
  <c r="K41" i="4"/>
  <c r="D41" i="5"/>
  <c r="E41" i="5"/>
  <c r="F41" i="4"/>
  <c r="E41" i="4"/>
  <c r="B41" i="4"/>
  <c r="A41" i="4"/>
  <c r="K40" i="4"/>
  <c r="D40" i="5"/>
  <c r="E40" i="5"/>
  <c r="F40" i="4"/>
  <c r="E40" i="4"/>
  <c r="B40" i="4"/>
  <c r="A40" i="4"/>
  <c r="K39" i="4"/>
  <c r="D39" i="5"/>
  <c r="E39" i="5"/>
  <c r="F39" i="4"/>
  <c r="E39" i="4"/>
  <c r="B39" i="4"/>
  <c r="A39" i="4"/>
  <c r="K38" i="4"/>
  <c r="D38" i="5"/>
  <c r="E38" i="5"/>
  <c r="F38" i="4"/>
  <c r="E38" i="4"/>
  <c r="B38" i="4"/>
  <c r="A38" i="4"/>
  <c r="K37" i="4"/>
  <c r="D37" i="5"/>
  <c r="E37" i="5"/>
  <c r="F37" i="4"/>
  <c r="E37" i="4"/>
  <c r="B37" i="4"/>
  <c r="A37" i="4"/>
  <c r="K36" i="4"/>
  <c r="D36" i="5"/>
  <c r="E36" i="5"/>
  <c r="F36" i="4"/>
  <c r="E36" i="4"/>
  <c r="B36" i="4"/>
  <c r="B36" i="6"/>
  <c r="A36" i="4"/>
  <c r="K35" i="4"/>
  <c r="D35" i="5"/>
  <c r="E35" i="5"/>
  <c r="F35" i="4"/>
  <c r="E35" i="4"/>
  <c r="B35" i="4"/>
  <c r="A35" i="4"/>
  <c r="K34" i="4"/>
  <c r="D34" i="5"/>
  <c r="E34" i="5"/>
  <c r="F34" i="4"/>
  <c r="E34" i="4"/>
  <c r="B34" i="4"/>
  <c r="A34" i="4"/>
  <c r="K33" i="4"/>
  <c r="D33" i="5"/>
  <c r="E33" i="5"/>
  <c r="F33" i="4"/>
  <c r="E33" i="4"/>
  <c r="B33" i="4"/>
  <c r="A33" i="4"/>
  <c r="K32" i="4"/>
  <c r="D32" i="5"/>
  <c r="E32" i="5"/>
  <c r="F32" i="4"/>
  <c r="E32" i="4"/>
  <c r="B32" i="4"/>
  <c r="B32" i="6"/>
  <c r="A32" i="4"/>
  <c r="K31" i="4"/>
  <c r="D31" i="5"/>
  <c r="E31" i="5"/>
  <c r="F31" i="4"/>
  <c r="E31" i="4"/>
  <c r="B31" i="4"/>
  <c r="A31" i="4"/>
  <c r="K30" i="4"/>
  <c r="D30" i="5"/>
  <c r="E30" i="5"/>
  <c r="F30" i="4"/>
  <c r="E30" i="4"/>
  <c r="B30" i="4"/>
  <c r="A30" i="4"/>
  <c r="K29" i="4"/>
  <c r="D29" i="5"/>
  <c r="E29" i="5"/>
  <c r="F29" i="4"/>
  <c r="E29" i="4"/>
  <c r="B29" i="4"/>
  <c r="A29" i="4"/>
  <c r="K28" i="4"/>
  <c r="D28" i="5"/>
  <c r="E28" i="5"/>
  <c r="F28" i="4"/>
  <c r="E28" i="4"/>
  <c r="B28" i="4"/>
  <c r="A28" i="4"/>
  <c r="K27" i="4"/>
  <c r="D27" i="5"/>
  <c r="E27" i="5"/>
  <c r="F27" i="4"/>
  <c r="E27" i="4"/>
  <c r="B27" i="4"/>
  <c r="A27" i="4"/>
  <c r="K26" i="4"/>
  <c r="D26" i="5"/>
  <c r="E26" i="5"/>
  <c r="F26" i="4"/>
  <c r="E26" i="4"/>
  <c r="B26" i="4"/>
  <c r="A26" i="4"/>
  <c r="K25" i="4"/>
  <c r="D25" i="5"/>
  <c r="E25" i="5"/>
  <c r="F25" i="4"/>
  <c r="E25" i="4"/>
  <c r="B25" i="4"/>
  <c r="A25" i="4"/>
  <c r="K24" i="4"/>
  <c r="D24" i="5"/>
  <c r="E24" i="5"/>
  <c r="F24" i="4"/>
  <c r="E24" i="4"/>
  <c r="B24" i="4"/>
  <c r="A24" i="4"/>
  <c r="K23" i="4"/>
  <c r="D23" i="5"/>
  <c r="E23" i="5"/>
  <c r="F23" i="4"/>
  <c r="E23" i="4"/>
  <c r="B23" i="4"/>
  <c r="A23" i="4"/>
  <c r="K22" i="4"/>
  <c r="D22" i="5"/>
  <c r="E22" i="5"/>
  <c r="F22" i="4"/>
  <c r="E22" i="4"/>
  <c r="B22" i="4"/>
  <c r="A22" i="4"/>
  <c r="K21" i="4"/>
  <c r="D21" i="5"/>
  <c r="E21" i="5"/>
  <c r="F21" i="4"/>
  <c r="E21" i="4"/>
  <c r="B21" i="4"/>
  <c r="A21" i="4"/>
  <c r="K20" i="4"/>
  <c r="D20" i="5"/>
  <c r="E20" i="5"/>
  <c r="F20" i="4"/>
  <c r="E20" i="4"/>
  <c r="B20" i="4"/>
  <c r="B20" i="6"/>
  <c r="A20" i="4"/>
  <c r="K19" i="4"/>
  <c r="D19" i="5"/>
  <c r="E19" i="5"/>
  <c r="F19" i="4"/>
  <c r="E19" i="4"/>
  <c r="B19" i="4"/>
  <c r="A19" i="4"/>
  <c r="K18" i="4"/>
  <c r="D18" i="5"/>
  <c r="E18" i="5"/>
  <c r="F18" i="4"/>
  <c r="E18" i="4"/>
  <c r="B18" i="4"/>
  <c r="A18" i="4"/>
  <c r="K17" i="4"/>
  <c r="D17" i="5"/>
  <c r="E17" i="5"/>
  <c r="F17" i="4"/>
  <c r="E17" i="4"/>
  <c r="B17" i="4"/>
  <c r="A17" i="4"/>
  <c r="K16" i="4"/>
  <c r="D16" i="5"/>
  <c r="E16" i="5"/>
  <c r="F16" i="4"/>
  <c r="E16" i="4"/>
  <c r="B16" i="4"/>
  <c r="B16" i="6"/>
  <c r="A16" i="4"/>
  <c r="K15" i="4"/>
  <c r="D15" i="5"/>
  <c r="E15" i="5"/>
  <c r="F15" i="4"/>
  <c r="E15" i="4"/>
  <c r="B15" i="4"/>
  <c r="A15" i="4"/>
  <c r="K14" i="4"/>
  <c r="D14" i="5"/>
  <c r="E14" i="5"/>
  <c r="F14" i="4"/>
  <c r="E14" i="4"/>
  <c r="B14" i="4"/>
  <c r="A14" i="4"/>
  <c r="K13" i="4"/>
  <c r="D13" i="5"/>
  <c r="E13" i="5"/>
  <c r="F13" i="4"/>
  <c r="E13" i="4"/>
  <c r="B13" i="4"/>
  <c r="A13" i="4"/>
  <c r="K12" i="4"/>
  <c r="D12" i="5"/>
  <c r="E12" i="5"/>
  <c r="F12" i="4"/>
  <c r="E12" i="4"/>
  <c r="B12" i="4"/>
  <c r="A12" i="4"/>
  <c r="K11" i="4"/>
  <c r="D11" i="5"/>
  <c r="E11" i="5"/>
  <c r="F11" i="4"/>
  <c r="E11" i="4"/>
  <c r="B11" i="4"/>
  <c r="A11" i="4"/>
  <c r="K10" i="4"/>
  <c r="D10" i="5"/>
  <c r="E10" i="5"/>
  <c r="F10" i="4"/>
  <c r="E10" i="4"/>
  <c r="B10" i="4"/>
  <c r="A10" i="4"/>
  <c r="K9" i="4"/>
  <c r="D9" i="5"/>
  <c r="E9" i="5"/>
  <c r="F9" i="4"/>
  <c r="E9" i="4"/>
  <c r="B9" i="4"/>
  <c r="A9" i="4"/>
  <c r="K8" i="4"/>
  <c r="D8" i="5"/>
  <c r="E8" i="5"/>
  <c r="F8" i="4"/>
  <c r="E8" i="4"/>
  <c r="B8" i="4"/>
  <c r="A8" i="4"/>
  <c r="K7" i="4"/>
  <c r="D7" i="5"/>
  <c r="E7" i="5"/>
  <c r="G7" i="4"/>
  <c r="G8" i="4"/>
  <c r="F7" i="4"/>
  <c r="E7" i="4"/>
  <c r="B7" i="4"/>
  <c r="A7" i="4"/>
  <c r="K6" i="4"/>
  <c r="D6" i="5"/>
  <c r="E6" i="5"/>
  <c r="G6" i="4"/>
  <c r="H6" i="4"/>
  <c r="F6" i="4"/>
  <c r="E6" i="4"/>
  <c r="C6" i="4"/>
  <c r="C7" i="4"/>
  <c r="B6" i="4"/>
  <c r="A6" i="4"/>
  <c r="B33" i="3"/>
  <c r="B10" i="3"/>
  <c r="B9" i="3"/>
  <c r="C22" i="23"/>
  <c r="E22" i="23"/>
  <c r="B8" i="3"/>
  <c r="E27" i="2"/>
  <c r="G27" i="2"/>
  <c r="C27" i="2"/>
  <c r="E26" i="2"/>
  <c r="C26" i="2"/>
  <c r="G26" i="2"/>
  <c r="E25" i="2"/>
  <c r="C25" i="2"/>
  <c r="G25" i="2"/>
  <c r="G24" i="2"/>
  <c r="E24" i="2"/>
  <c r="C24" i="2"/>
  <c r="E23" i="2"/>
  <c r="G23" i="2"/>
  <c r="C23" i="2"/>
  <c r="G10" i="2"/>
  <c r="E10" i="2"/>
  <c r="C10" i="2"/>
  <c r="A10" i="2"/>
  <c r="B85" i="1"/>
  <c r="B84" i="1"/>
  <c r="C75" i="1"/>
  <c r="D75" i="1"/>
  <c r="B75" i="1"/>
  <c r="C74" i="1"/>
  <c r="B74" i="1"/>
  <c r="D74" i="1"/>
  <c r="C73" i="1"/>
  <c r="B73" i="1"/>
  <c r="D73" i="1"/>
  <c r="D72" i="1"/>
  <c r="C72" i="1"/>
  <c r="B72" i="1"/>
  <c r="C71" i="1"/>
  <c r="D71" i="1"/>
  <c r="B71" i="1"/>
  <c r="F64" i="1"/>
  <c r="B61" i="1"/>
  <c r="C60" i="1"/>
  <c r="C61" i="1"/>
  <c r="D61" i="1"/>
  <c r="B60" i="1"/>
  <c r="D47" i="1"/>
  <c r="B47" i="1"/>
  <c r="D46" i="1"/>
  <c r="B46" i="1"/>
  <c r="D45" i="1"/>
  <c r="B45" i="1"/>
  <c r="B44" i="1"/>
  <c r="D43" i="1"/>
  <c r="B43" i="1"/>
  <c r="D42" i="1"/>
  <c r="B42" i="1"/>
  <c r="D41" i="1"/>
  <c r="B41" i="1"/>
  <c r="D40" i="1"/>
  <c r="B40" i="1"/>
  <c r="D39" i="1"/>
  <c r="D33" i="1"/>
  <c r="D32" i="1"/>
  <c r="D31" i="1"/>
  <c r="D30" i="1"/>
  <c r="A30" i="1"/>
  <c r="A29" i="1"/>
  <c r="A28" i="1"/>
  <c r="A27" i="1"/>
  <c r="D26" i="1"/>
  <c r="A26" i="1"/>
  <c r="D25" i="1"/>
  <c r="A25" i="1"/>
  <c r="D24" i="1"/>
  <c r="A24" i="1"/>
  <c r="D23" i="1"/>
  <c r="A23" i="1"/>
  <c r="D22" i="1"/>
  <c r="A22" i="1"/>
  <c r="D21" i="1"/>
  <c r="C21" i="1"/>
  <c r="A21" i="1"/>
  <c r="F14" i="1"/>
  <c r="D14" i="1"/>
  <c r="B14" i="1"/>
  <c r="F13" i="1"/>
  <c r="D13" i="1"/>
  <c r="B13" i="1"/>
  <c r="F12" i="1"/>
  <c r="E12" i="1"/>
  <c r="D12" i="1"/>
  <c r="F11" i="1"/>
  <c r="D11" i="1"/>
  <c r="E9" i="1"/>
  <c r="D9" i="1"/>
  <c r="E8" i="1"/>
  <c r="D8" i="1"/>
  <c r="E7" i="1"/>
  <c r="D7" i="1"/>
  <c r="H367" i="4"/>
  <c r="G368" i="4"/>
  <c r="D7" i="4"/>
  <c r="C8" i="4"/>
  <c r="D127" i="4"/>
  <c r="C128" i="4"/>
  <c r="H248" i="4"/>
  <c r="G249" i="4"/>
  <c r="H8" i="4"/>
  <c r="G9" i="4"/>
  <c r="C368" i="4"/>
  <c r="D367" i="4"/>
  <c r="C490" i="4"/>
  <c r="D489" i="4"/>
  <c r="H128" i="4"/>
  <c r="G129" i="4"/>
  <c r="D247" i="4"/>
  <c r="C248" i="4"/>
  <c r="J6" i="4"/>
  <c r="D6" i="6"/>
  <c r="I6" i="4"/>
  <c r="O6" i="5"/>
  <c r="C608" i="4"/>
  <c r="D607" i="4"/>
  <c r="G489" i="4"/>
  <c r="H488" i="4"/>
  <c r="H607" i="4"/>
  <c r="G608" i="4"/>
  <c r="B343" i="6"/>
  <c r="B343" i="5"/>
  <c r="A373" i="6"/>
  <c r="A373" i="5"/>
  <c r="A389" i="6"/>
  <c r="A389" i="5"/>
  <c r="C390" i="6"/>
  <c r="C390" i="5"/>
  <c r="B395" i="6"/>
  <c r="B395" i="5"/>
  <c r="A405" i="6"/>
  <c r="A405" i="5"/>
  <c r="C406" i="6"/>
  <c r="C406" i="5"/>
  <c r="B411" i="6"/>
  <c r="B411" i="5"/>
  <c r="A421" i="6"/>
  <c r="A421" i="5"/>
  <c r="A437" i="6"/>
  <c r="A437" i="5"/>
  <c r="C454" i="6"/>
  <c r="C454" i="5"/>
  <c r="B459" i="6"/>
  <c r="B459" i="5"/>
  <c r="C530" i="6"/>
  <c r="C530" i="5"/>
  <c r="E530" i="4"/>
  <c r="C630" i="6"/>
  <c r="C630" i="5"/>
  <c r="E630" i="4"/>
  <c r="B643" i="6"/>
  <c r="B643" i="5"/>
  <c r="C646" i="6"/>
  <c r="C646" i="5"/>
  <c r="E646" i="4"/>
  <c r="C658" i="6"/>
  <c r="C658" i="5"/>
  <c r="E658" i="4"/>
  <c r="B665" i="6"/>
  <c r="B665" i="5"/>
  <c r="C674" i="6"/>
  <c r="C674" i="5"/>
  <c r="E674" i="4"/>
  <c r="B681" i="6"/>
  <c r="B681" i="5"/>
  <c r="C690" i="6"/>
  <c r="C690" i="5"/>
  <c r="E690" i="4"/>
  <c r="B697" i="6"/>
  <c r="B697" i="5"/>
  <c r="B701" i="6"/>
  <c r="B701" i="5"/>
  <c r="C732" i="6"/>
  <c r="C732" i="5"/>
  <c r="E732" i="4"/>
  <c r="E733" i="4"/>
  <c r="J734" i="4"/>
  <c r="D734" i="6"/>
  <c r="I734" i="4"/>
  <c r="O734" i="5"/>
  <c r="B743" i="6"/>
  <c r="B743" i="5"/>
  <c r="C748" i="6"/>
  <c r="C748" i="5"/>
  <c r="E748" i="4"/>
  <c r="E749" i="4"/>
  <c r="J750" i="4"/>
  <c r="D750" i="6"/>
  <c r="I750" i="4"/>
  <c r="O750" i="5"/>
  <c r="B759" i="6"/>
  <c r="B759" i="5"/>
  <c r="C764" i="6"/>
  <c r="C764" i="5"/>
  <c r="E764" i="4"/>
  <c r="E765" i="4"/>
  <c r="J766" i="4"/>
  <c r="D766" i="6"/>
  <c r="I766" i="4"/>
  <c r="O766" i="5"/>
  <c r="B775" i="6"/>
  <c r="B775" i="5"/>
  <c r="C776" i="6"/>
  <c r="C776" i="5"/>
  <c r="E776" i="4"/>
  <c r="E777" i="4"/>
  <c r="B791" i="6"/>
  <c r="B791" i="5"/>
  <c r="C792" i="6"/>
  <c r="C792" i="5"/>
  <c r="E792" i="4"/>
  <c r="E793" i="4"/>
  <c r="B807" i="6"/>
  <c r="B807" i="5"/>
  <c r="C808" i="6"/>
  <c r="C808" i="5"/>
  <c r="E808" i="4"/>
  <c r="E809" i="4"/>
  <c r="B823" i="6"/>
  <c r="B823" i="5"/>
  <c r="C847" i="6"/>
  <c r="C847" i="5"/>
  <c r="E847" i="4"/>
  <c r="D855" i="5"/>
  <c r="E855" i="5"/>
  <c r="L855" i="4"/>
  <c r="H855" i="6"/>
  <c r="I855" i="6"/>
  <c r="C857" i="6"/>
  <c r="C857" i="5"/>
  <c r="E857" i="4"/>
  <c r="A876" i="6"/>
  <c r="A876" i="5"/>
  <c r="C902" i="6"/>
  <c r="C902" i="5"/>
  <c r="E902" i="4"/>
  <c r="D919" i="5"/>
  <c r="E919" i="5"/>
  <c r="L919" i="4"/>
  <c r="H919" i="6"/>
  <c r="I919" i="6"/>
  <c r="C921" i="6"/>
  <c r="C921" i="5"/>
  <c r="E921" i="4"/>
  <c r="C933" i="6"/>
  <c r="C933" i="5"/>
  <c r="E933" i="4"/>
  <c r="B945" i="6"/>
  <c r="B945" i="5"/>
  <c r="I967" i="4"/>
  <c r="O967" i="5"/>
  <c r="J967" i="4"/>
  <c r="D967" i="6"/>
  <c r="B978" i="6"/>
  <c r="B978" i="5"/>
  <c r="B983" i="6"/>
  <c r="B983" i="5"/>
  <c r="B1000" i="6"/>
  <c r="B1000" i="5"/>
  <c r="B1011" i="6"/>
  <c r="B1011" i="5"/>
  <c r="A1018" i="6"/>
  <c r="A1018" i="5"/>
  <c r="A1060" i="6"/>
  <c r="A1060" i="5"/>
  <c r="C1088" i="6"/>
  <c r="C1088" i="5"/>
  <c r="E1088" i="4"/>
  <c r="E1089" i="4"/>
  <c r="V537" i="5"/>
  <c r="F537" i="5"/>
  <c r="D6" i="4"/>
  <c r="L6" i="4"/>
  <c r="H6" i="6"/>
  <c r="I6" i="6"/>
  <c r="H7" i="4"/>
  <c r="L8" i="4"/>
  <c r="H8" i="6"/>
  <c r="I8" i="6"/>
  <c r="L10" i="4"/>
  <c r="H10" i="6"/>
  <c r="I10" i="6"/>
  <c r="L12" i="4"/>
  <c r="H12" i="6"/>
  <c r="I12" i="6"/>
  <c r="L14" i="4"/>
  <c r="H14" i="6"/>
  <c r="I14" i="6"/>
  <c r="L16" i="4"/>
  <c r="H16" i="6"/>
  <c r="I16" i="6"/>
  <c r="L18" i="4"/>
  <c r="H18" i="6"/>
  <c r="I18" i="6"/>
  <c r="L20" i="4"/>
  <c r="H20" i="6"/>
  <c r="I20" i="6"/>
  <c r="L22" i="4"/>
  <c r="H22" i="6"/>
  <c r="I22" i="6"/>
  <c r="L24" i="4"/>
  <c r="H24" i="6"/>
  <c r="I24" i="6"/>
  <c r="L26" i="4"/>
  <c r="H26" i="6"/>
  <c r="I26" i="6"/>
  <c r="L28" i="4"/>
  <c r="H28" i="6"/>
  <c r="I28" i="6"/>
  <c r="L30" i="4"/>
  <c r="H30" i="6"/>
  <c r="I30" i="6"/>
  <c r="L32" i="4"/>
  <c r="H32" i="6"/>
  <c r="I32" i="6"/>
  <c r="L34" i="4"/>
  <c r="H34" i="6"/>
  <c r="I34" i="6"/>
  <c r="L36" i="4"/>
  <c r="H36" i="6"/>
  <c r="I36" i="6"/>
  <c r="L38" i="4"/>
  <c r="H38" i="6"/>
  <c r="I38" i="6"/>
  <c r="L40" i="4"/>
  <c r="H40" i="6"/>
  <c r="I40" i="6"/>
  <c r="L42" i="4"/>
  <c r="H42" i="6"/>
  <c r="I42" i="6"/>
  <c r="L44" i="4"/>
  <c r="H44" i="6"/>
  <c r="I44" i="6"/>
  <c r="L46" i="4"/>
  <c r="H46" i="6"/>
  <c r="I46" i="6"/>
  <c r="L48" i="4"/>
  <c r="H48" i="6"/>
  <c r="I48" i="6"/>
  <c r="L50" i="4"/>
  <c r="H50" i="6"/>
  <c r="I50" i="6"/>
  <c r="L52" i="4"/>
  <c r="H52" i="6"/>
  <c r="I52" i="6"/>
  <c r="L54" i="4"/>
  <c r="H54" i="6"/>
  <c r="I54" i="6"/>
  <c r="L56" i="4"/>
  <c r="H56" i="6"/>
  <c r="I56" i="6"/>
  <c r="L58" i="4"/>
  <c r="H58" i="6"/>
  <c r="I58" i="6"/>
  <c r="L60" i="4"/>
  <c r="H60" i="6"/>
  <c r="I60" i="6"/>
  <c r="L62" i="4"/>
  <c r="H62" i="6"/>
  <c r="I62" i="6"/>
  <c r="L64" i="4"/>
  <c r="H64" i="6"/>
  <c r="I64" i="6"/>
  <c r="L66" i="4"/>
  <c r="H66" i="6"/>
  <c r="I66" i="6"/>
  <c r="L68" i="4"/>
  <c r="H68" i="6"/>
  <c r="I68" i="6"/>
  <c r="L70" i="4"/>
  <c r="H70" i="6"/>
  <c r="I70" i="6"/>
  <c r="L72" i="4"/>
  <c r="H72" i="6"/>
  <c r="I72" i="6"/>
  <c r="L74" i="4"/>
  <c r="H74" i="6"/>
  <c r="I74" i="6"/>
  <c r="L76" i="4"/>
  <c r="H76" i="6"/>
  <c r="I76" i="6"/>
  <c r="L78" i="4"/>
  <c r="H78" i="6"/>
  <c r="I78" i="6"/>
  <c r="L80" i="4"/>
  <c r="H80" i="6"/>
  <c r="I80" i="6"/>
  <c r="L82" i="4"/>
  <c r="H82" i="6"/>
  <c r="I82" i="6"/>
  <c r="L84" i="4"/>
  <c r="H84" i="6"/>
  <c r="I84" i="6"/>
  <c r="L86" i="4"/>
  <c r="H86" i="6"/>
  <c r="I86" i="6"/>
  <c r="L88" i="4"/>
  <c r="H88" i="6"/>
  <c r="I88" i="6"/>
  <c r="L90" i="4"/>
  <c r="H90" i="6"/>
  <c r="I90" i="6"/>
  <c r="L92" i="4"/>
  <c r="H92" i="6"/>
  <c r="I92" i="6"/>
  <c r="L94" i="4"/>
  <c r="H94" i="6"/>
  <c r="I94" i="6"/>
  <c r="L96" i="4"/>
  <c r="H96" i="6"/>
  <c r="I96" i="6"/>
  <c r="L98" i="4"/>
  <c r="H98" i="6"/>
  <c r="I98" i="6"/>
  <c r="L100" i="4"/>
  <c r="H100" i="6"/>
  <c r="I100" i="6"/>
  <c r="L102" i="4"/>
  <c r="H102" i="6"/>
  <c r="I102" i="6"/>
  <c r="L104" i="4"/>
  <c r="H104" i="6"/>
  <c r="I104" i="6"/>
  <c r="D126" i="4"/>
  <c r="L126" i="4"/>
  <c r="H126" i="6"/>
  <c r="I126" i="6"/>
  <c r="H127" i="4"/>
  <c r="L128" i="4"/>
  <c r="H128" i="6"/>
  <c r="I128" i="6"/>
  <c r="L130" i="4"/>
  <c r="H130" i="6"/>
  <c r="I130" i="6"/>
  <c r="L132" i="4"/>
  <c r="H132" i="6"/>
  <c r="I132" i="6"/>
  <c r="L134" i="4"/>
  <c r="H134" i="6"/>
  <c r="I134" i="6"/>
  <c r="L136" i="4"/>
  <c r="H136" i="6"/>
  <c r="I136" i="6"/>
  <c r="L138" i="4"/>
  <c r="H138" i="6"/>
  <c r="I138" i="6"/>
  <c r="L140" i="4"/>
  <c r="H140" i="6"/>
  <c r="I140" i="6"/>
  <c r="L142" i="4"/>
  <c r="H142" i="6"/>
  <c r="I142" i="6"/>
  <c r="L144" i="4"/>
  <c r="H144" i="6"/>
  <c r="I144" i="6"/>
  <c r="L146" i="4"/>
  <c r="H146" i="6"/>
  <c r="I146" i="6"/>
  <c r="L148" i="4"/>
  <c r="H148" i="6"/>
  <c r="I148" i="6"/>
  <c r="L150" i="4"/>
  <c r="H150" i="6"/>
  <c r="I150" i="6"/>
  <c r="L152" i="4"/>
  <c r="H152" i="6"/>
  <c r="I152" i="6"/>
  <c r="L154" i="4"/>
  <c r="H154" i="6"/>
  <c r="I154" i="6"/>
  <c r="L156" i="4"/>
  <c r="H156" i="6"/>
  <c r="I156" i="6"/>
  <c r="L158" i="4"/>
  <c r="H158" i="6"/>
  <c r="I158" i="6"/>
  <c r="L160" i="4"/>
  <c r="H160" i="6"/>
  <c r="I160" i="6"/>
  <c r="L162" i="4"/>
  <c r="H162" i="6"/>
  <c r="I162" i="6"/>
  <c r="L164" i="4"/>
  <c r="H164" i="6"/>
  <c r="I164" i="6"/>
  <c r="L166" i="4"/>
  <c r="H166" i="6"/>
  <c r="I166" i="6"/>
  <c r="L168" i="4"/>
  <c r="H168" i="6"/>
  <c r="I168" i="6"/>
  <c r="L170" i="4"/>
  <c r="H170" i="6"/>
  <c r="I170" i="6"/>
  <c r="L172" i="4"/>
  <c r="H172" i="6"/>
  <c r="I172" i="6"/>
  <c r="L174" i="4"/>
  <c r="H174" i="6"/>
  <c r="I174" i="6"/>
  <c r="L176" i="4"/>
  <c r="H176" i="6"/>
  <c r="I176" i="6"/>
  <c r="L178" i="4"/>
  <c r="H178" i="6"/>
  <c r="I178" i="6"/>
  <c r="L180" i="4"/>
  <c r="H180" i="6"/>
  <c r="I180" i="6"/>
  <c r="L182" i="4"/>
  <c r="H182" i="6"/>
  <c r="I182" i="6"/>
  <c r="L184" i="4"/>
  <c r="H184" i="6"/>
  <c r="I184" i="6"/>
  <c r="L186" i="4"/>
  <c r="H186" i="6"/>
  <c r="I186" i="6"/>
  <c r="L188" i="4"/>
  <c r="H188" i="6"/>
  <c r="I188" i="6"/>
  <c r="L190" i="4"/>
  <c r="H190" i="6"/>
  <c r="I190" i="6"/>
  <c r="L192" i="4"/>
  <c r="H192" i="6"/>
  <c r="I192" i="6"/>
  <c r="L194" i="4"/>
  <c r="H194" i="6"/>
  <c r="I194" i="6"/>
  <c r="L196" i="4"/>
  <c r="H196" i="6"/>
  <c r="I196" i="6"/>
  <c r="L198" i="4"/>
  <c r="H198" i="6"/>
  <c r="I198" i="6"/>
  <c r="L200" i="4"/>
  <c r="H200" i="6"/>
  <c r="I200" i="6"/>
  <c r="L202" i="4"/>
  <c r="H202" i="6"/>
  <c r="I202" i="6"/>
  <c r="L204" i="4"/>
  <c r="H204" i="6"/>
  <c r="I204" i="6"/>
  <c r="L206" i="4"/>
  <c r="H206" i="6"/>
  <c r="I206" i="6"/>
  <c r="L208" i="4"/>
  <c r="H208" i="6"/>
  <c r="I208" i="6"/>
  <c r="L210" i="4"/>
  <c r="H210" i="6"/>
  <c r="I210" i="6"/>
  <c r="L212" i="4"/>
  <c r="H212" i="6"/>
  <c r="I212" i="6"/>
  <c r="L214" i="4"/>
  <c r="H214" i="6"/>
  <c r="I214" i="6"/>
  <c r="L216" i="4"/>
  <c r="H216" i="6"/>
  <c r="I216" i="6"/>
  <c r="L218" i="4"/>
  <c r="H218" i="6"/>
  <c r="I218" i="6"/>
  <c r="L220" i="4"/>
  <c r="H220" i="6"/>
  <c r="I220" i="6"/>
  <c r="L222" i="4"/>
  <c r="H222" i="6"/>
  <c r="I222" i="6"/>
  <c r="L224" i="4"/>
  <c r="H224" i="6"/>
  <c r="I224" i="6"/>
  <c r="D246" i="4"/>
  <c r="L246" i="4"/>
  <c r="H246" i="6"/>
  <c r="I246" i="6"/>
  <c r="H247" i="4"/>
  <c r="L248" i="4"/>
  <c r="H248" i="6"/>
  <c r="I248" i="6"/>
  <c r="L250" i="4"/>
  <c r="H250" i="6"/>
  <c r="I250" i="6"/>
  <c r="L252" i="4"/>
  <c r="H252" i="6"/>
  <c r="I252" i="6"/>
  <c r="L254" i="4"/>
  <c r="H254" i="6"/>
  <c r="I254" i="6"/>
  <c r="L256" i="4"/>
  <c r="H256" i="6"/>
  <c r="I256" i="6"/>
  <c r="L258" i="4"/>
  <c r="H258" i="6"/>
  <c r="I258" i="6"/>
  <c r="L260" i="4"/>
  <c r="H260" i="6"/>
  <c r="I260" i="6"/>
  <c r="L262" i="4"/>
  <c r="H262" i="6"/>
  <c r="I262" i="6"/>
  <c r="L264" i="4"/>
  <c r="H264" i="6"/>
  <c r="I264" i="6"/>
  <c r="L266" i="4"/>
  <c r="H266" i="6"/>
  <c r="I266" i="6"/>
  <c r="L268" i="4"/>
  <c r="H268" i="6"/>
  <c r="I268" i="6"/>
  <c r="L270" i="4"/>
  <c r="H270" i="6"/>
  <c r="I270" i="6"/>
  <c r="L272" i="4"/>
  <c r="H272" i="6"/>
  <c r="I272" i="6"/>
  <c r="L274" i="4"/>
  <c r="H274" i="6"/>
  <c r="I274" i="6"/>
  <c r="L276" i="4"/>
  <c r="H276" i="6"/>
  <c r="I276" i="6"/>
  <c r="L278" i="4"/>
  <c r="H278" i="6"/>
  <c r="I278" i="6"/>
  <c r="L280" i="4"/>
  <c r="H280" i="6"/>
  <c r="I280" i="6"/>
  <c r="L282" i="4"/>
  <c r="H282" i="6"/>
  <c r="I282" i="6"/>
  <c r="L284" i="4"/>
  <c r="H284" i="6"/>
  <c r="I284" i="6"/>
  <c r="L286" i="4"/>
  <c r="H286" i="6"/>
  <c r="I286" i="6"/>
  <c r="L288" i="4"/>
  <c r="H288" i="6"/>
  <c r="I288" i="6"/>
  <c r="L290" i="4"/>
  <c r="H290" i="6"/>
  <c r="I290" i="6"/>
  <c r="L292" i="4"/>
  <c r="H292" i="6"/>
  <c r="I292" i="6"/>
  <c r="L294" i="4"/>
  <c r="H294" i="6"/>
  <c r="I294" i="6"/>
  <c r="L296" i="4"/>
  <c r="H296" i="6"/>
  <c r="I296" i="6"/>
  <c r="L298" i="4"/>
  <c r="H298" i="6"/>
  <c r="I298" i="6"/>
  <c r="L300" i="4"/>
  <c r="H300" i="6"/>
  <c r="I300" i="6"/>
  <c r="L302" i="4"/>
  <c r="H302" i="6"/>
  <c r="I302" i="6"/>
  <c r="L304" i="4"/>
  <c r="H304" i="6"/>
  <c r="I304" i="6"/>
  <c r="L306" i="4"/>
  <c r="H306" i="6"/>
  <c r="I306" i="6"/>
  <c r="L308" i="4"/>
  <c r="H308" i="6"/>
  <c r="I308" i="6"/>
  <c r="L310" i="4"/>
  <c r="H310" i="6"/>
  <c r="I310" i="6"/>
  <c r="L312" i="4"/>
  <c r="H312" i="6"/>
  <c r="I312" i="6"/>
  <c r="L314" i="4"/>
  <c r="H314" i="6"/>
  <c r="I314" i="6"/>
  <c r="L316" i="4"/>
  <c r="H316" i="6"/>
  <c r="I316" i="6"/>
  <c r="L318" i="4"/>
  <c r="H318" i="6"/>
  <c r="I318" i="6"/>
  <c r="L320" i="4"/>
  <c r="H320" i="6"/>
  <c r="I320" i="6"/>
  <c r="L322" i="4"/>
  <c r="H322" i="6"/>
  <c r="I322" i="6"/>
  <c r="L324" i="4"/>
  <c r="H324" i="6"/>
  <c r="I324" i="6"/>
  <c r="L326" i="4"/>
  <c r="H326" i="6"/>
  <c r="I326" i="6"/>
  <c r="L328" i="4"/>
  <c r="H328" i="6"/>
  <c r="I328" i="6"/>
  <c r="A331" i="6"/>
  <c r="A331" i="5"/>
  <c r="C332" i="6"/>
  <c r="C332" i="5"/>
  <c r="B337" i="6"/>
  <c r="B337" i="5"/>
  <c r="E339" i="4"/>
  <c r="L340" i="4"/>
  <c r="H340" i="6"/>
  <c r="I340" i="6"/>
  <c r="L343" i="4"/>
  <c r="H343" i="6"/>
  <c r="I343" i="6"/>
  <c r="A367" i="6"/>
  <c r="A367" i="5"/>
  <c r="C368" i="6"/>
  <c r="C368" i="5"/>
  <c r="B373" i="6"/>
  <c r="B373" i="5"/>
  <c r="E375" i="4"/>
  <c r="L376" i="4"/>
  <c r="H376" i="6"/>
  <c r="I376" i="6"/>
  <c r="L379" i="4"/>
  <c r="H379" i="6"/>
  <c r="I379" i="6"/>
  <c r="A383" i="6"/>
  <c r="A383" i="5"/>
  <c r="C384" i="6"/>
  <c r="C384" i="5"/>
  <c r="B389" i="6"/>
  <c r="B389" i="5"/>
  <c r="E391" i="4"/>
  <c r="L392" i="4"/>
  <c r="H392" i="6"/>
  <c r="I392" i="6"/>
  <c r="L395" i="4"/>
  <c r="H395" i="6"/>
  <c r="I395" i="6"/>
  <c r="A399" i="6"/>
  <c r="A399" i="5"/>
  <c r="C400" i="6"/>
  <c r="C400" i="5"/>
  <c r="B405" i="6"/>
  <c r="B405" i="5"/>
  <c r="E407" i="4"/>
  <c r="L408" i="4"/>
  <c r="H408" i="6"/>
  <c r="I408" i="6"/>
  <c r="L411" i="4"/>
  <c r="H411" i="6"/>
  <c r="I411" i="6"/>
  <c r="A415" i="6"/>
  <c r="A415" i="5"/>
  <c r="C416" i="6"/>
  <c r="C416" i="5"/>
  <c r="B421" i="6"/>
  <c r="B421" i="5"/>
  <c r="E423" i="4"/>
  <c r="L424" i="4"/>
  <c r="H424" i="6"/>
  <c r="I424" i="6"/>
  <c r="L427" i="4"/>
  <c r="H427" i="6"/>
  <c r="I427" i="6"/>
  <c r="A431" i="6"/>
  <c r="A431" i="5"/>
  <c r="C432" i="6"/>
  <c r="C432" i="5"/>
  <c r="B437" i="6"/>
  <c r="B437" i="5"/>
  <c r="E439" i="4"/>
  <c r="L440" i="4"/>
  <c r="H440" i="6"/>
  <c r="I440" i="6"/>
  <c r="L443" i="4"/>
  <c r="H443" i="6"/>
  <c r="I443" i="6"/>
  <c r="A447" i="6"/>
  <c r="A447" i="5"/>
  <c r="C448" i="6"/>
  <c r="C448" i="5"/>
  <c r="B453" i="6"/>
  <c r="B453" i="5"/>
  <c r="E455" i="4"/>
  <c r="L456" i="4"/>
  <c r="H456" i="6"/>
  <c r="I456" i="6"/>
  <c r="L459" i="4"/>
  <c r="H459" i="6"/>
  <c r="I459" i="6"/>
  <c r="A463" i="6"/>
  <c r="A463" i="5"/>
  <c r="C464" i="6"/>
  <c r="C464" i="5"/>
  <c r="H487" i="4"/>
  <c r="D488" i="4"/>
  <c r="B489" i="6"/>
  <c r="B489" i="5"/>
  <c r="E491" i="4"/>
  <c r="L492" i="4"/>
  <c r="H492" i="6"/>
  <c r="I492" i="6"/>
  <c r="L495" i="4"/>
  <c r="H495" i="6"/>
  <c r="I495" i="6"/>
  <c r="A499" i="6"/>
  <c r="A499" i="5"/>
  <c r="C500" i="6"/>
  <c r="C500" i="5"/>
  <c r="B505" i="6"/>
  <c r="B505" i="5"/>
  <c r="E507" i="4"/>
  <c r="L508" i="4"/>
  <c r="H508" i="6"/>
  <c r="I508" i="6"/>
  <c r="L511" i="4"/>
  <c r="H511" i="6"/>
  <c r="I511" i="6"/>
  <c r="A515" i="6"/>
  <c r="A515" i="5"/>
  <c r="C516" i="6"/>
  <c r="C516" i="5"/>
  <c r="C520" i="6"/>
  <c r="C520" i="5"/>
  <c r="E520" i="4"/>
  <c r="L528" i="4"/>
  <c r="H528" i="6"/>
  <c r="I528" i="6"/>
  <c r="E531" i="4"/>
  <c r="B533" i="6"/>
  <c r="B533" i="5"/>
  <c r="L533" i="4"/>
  <c r="H533" i="6"/>
  <c r="I533" i="6"/>
  <c r="C536" i="6"/>
  <c r="C536" i="5"/>
  <c r="E536" i="4"/>
  <c r="L544" i="4"/>
  <c r="H544" i="6"/>
  <c r="I544" i="6"/>
  <c r="E547" i="4"/>
  <c r="B549" i="6"/>
  <c r="B549" i="5"/>
  <c r="L549" i="4"/>
  <c r="H549" i="6"/>
  <c r="I549" i="6"/>
  <c r="C552" i="6"/>
  <c r="C552" i="5"/>
  <c r="E552" i="4"/>
  <c r="L560" i="4"/>
  <c r="H560" i="6"/>
  <c r="I560" i="6"/>
  <c r="E563" i="4"/>
  <c r="B565" i="6"/>
  <c r="B565" i="5"/>
  <c r="L565" i="4"/>
  <c r="H565" i="6"/>
  <c r="I565" i="6"/>
  <c r="C568" i="6"/>
  <c r="C568" i="5"/>
  <c r="E568" i="4"/>
  <c r="L576" i="4"/>
  <c r="H576" i="6"/>
  <c r="I576" i="6"/>
  <c r="E579" i="4"/>
  <c r="B581" i="6"/>
  <c r="B581" i="5"/>
  <c r="L581" i="4"/>
  <c r="H581" i="6"/>
  <c r="I581" i="6"/>
  <c r="C584" i="6"/>
  <c r="C584" i="5"/>
  <c r="E584" i="4"/>
  <c r="L612" i="4"/>
  <c r="H612" i="6"/>
  <c r="I612" i="6"/>
  <c r="E615" i="4"/>
  <c r="B617" i="6"/>
  <c r="B617" i="5"/>
  <c r="L617" i="4"/>
  <c r="H617" i="6"/>
  <c r="I617" i="6"/>
  <c r="C620" i="6"/>
  <c r="C620" i="5"/>
  <c r="E620" i="4"/>
  <c r="L628" i="4"/>
  <c r="H628" i="6"/>
  <c r="I628" i="6"/>
  <c r="E631" i="4"/>
  <c r="B633" i="6"/>
  <c r="B633" i="5"/>
  <c r="L633" i="4"/>
  <c r="H633" i="6"/>
  <c r="I633" i="6"/>
  <c r="C636" i="6"/>
  <c r="C636" i="5"/>
  <c r="E636" i="4"/>
  <c r="L644" i="4"/>
  <c r="H644" i="6"/>
  <c r="I644" i="6"/>
  <c r="E647" i="4"/>
  <c r="B649" i="6"/>
  <c r="B649" i="5"/>
  <c r="L649" i="4"/>
  <c r="H649" i="6"/>
  <c r="I649" i="6"/>
  <c r="C652" i="6"/>
  <c r="C652" i="5"/>
  <c r="E652" i="4"/>
  <c r="C660" i="6"/>
  <c r="C660" i="5"/>
  <c r="E660" i="4"/>
  <c r="E663" i="4"/>
  <c r="B667" i="6"/>
  <c r="B667" i="5"/>
  <c r="L670" i="4"/>
  <c r="H670" i="6"/>
  <c r="I670" i="6"/>
  <c r="C676" i="6"/>
  <c r="C676" i="5"/>
  <c r="E676" i="4"/>
  <c r="E679" i="4"/>
  <c r="B683" i="6"/>
  <c r="B683" i="5"/>
  <c r="L686" i="4"/>
  <c r="H686" i="6"/>
  <c r="I686" i="6"/>
  <c r="C692" i="6"/>
  <c r="C692" i="5"/>
  <c r="E692" i="4"/>
  <c r="E695" i="4"/>
  <c r="B699" i="6"/>
  <c r="B699" i="5"/>
  <c r="C704" i="6"/>
  <c r="C704" i="5"/>
  <c r="E704" i="4"/>
  <c r="E705" i="4"/>
  <c r="C726" i="6"/>
  <c r="C726" i="5"/>
  <c r="E726" i="4"/>
  <c r="E727" i="4"/>
  <c r="C730" i="6"/>
  <c r="C730" i="5"/>
  <c r="E730" i="4"/>
  <c r="E731" i="4"/>
  <c r="H731" i="4"/>
  <c r="H732" i="4"/>
  <c r="J733" i="4"/>
  <c r="D733" i="6"/>
  <c r="B741" i="6"/>
  <c r="B741" i="5"/>
  <c r="D744" i="4"/>
  <c r="C746" i="6"/>
  <c r="C746" i="5"/>
  <c r="E746" i="4"/>
  <c r="E747" i="4"/>
  <c r="H747" i="4"/>
  <c r="H748" i="4"/>
  <c r="J749" i="4"/>
  <c r="D749" i="6"/>
  <c r="B757" i="6"/>
  <c r="B757" i="5"/>
  <c r="D759" i="4"/>
  <c r="D760" i="4"/>
  <c r="C762" i="6"/>
  <c r="C762" i="5"/>
  <c r="E762" i="4"/>
  <c r="E763" i="4"/>
  <c r="H763" i="4"/>
  <c r="H764" i="4"/>
  <c r="J765" i="4"/>
  <c r="D765" i="6"/>
  <c r="B769" i="6"/>
  <c r="B769" i="5"/>
  <c r="C770" i="6"/>
  <c r="C770" i="5"/>
  <c r="E770" i="4"/>
  <c r="E771" i="4"/>
  <c r="B785" i="6"/>
  <c r="B785" i="5"/>
  <c r="C786" i="6"/>
  <c r="C786" i="5"/>
  <c r="E786" i="4"/>
  <c r="E787" i="4"/>
  <c r="B801" i="6"/>
  <c r="B801" i="5"/>
  <c r="C802" i="6"/>
  <c r="C802" i="5"/>
  <c r="E802" i="4"/>
  <c r="E803" i="4"/>
  <c r="B817" i="6"/>
  <c r="B817" i="5"/>
  <c r="C818" i="6"/>
  <c r="C818" i="5"/>
  <c r="E818" i="4"/>
  <c r="E819" i="4"/>
  <c r="C847" i="4"/>
  <c r="D846" i="4"/>
  <c r="B854" i="6"/>
  <c r="B854" i="5"/>
  <c r="A856" i="6"/>
  <c r="A856" i="5"/>
  <c r="E871" i="4"/>
  <c r="C885" i="6"/>
  <c r="C885" i="5"/>
  <c r="E885" i="4"/>
  <c r="D888" i="5"/>
  <c r="E888" i="5"/>
  <c r="L888" i="4"/>
  <c r="H888" i="6"/>
  <c r="I888" i="6"/>
  <c r="C890" i="6"/>
  <c r="C890" i="5"/>
  <c r="E890" i="4"/>
  <c r="B893" i="6"/>
  <c r="B893" i="5"/>
  <c r="D908" i="5"/>
  <c r="E908" i="5"/>
  <c r="L908" i="4"/>
  <c r="H908" i="6"/>
  <c r="I908" i="6"/>
  <c r="B918" i="6"/>
  <c r="B918" i="5"/>
  <c r="A920" i="6"/>
  <c r="A920" i="5"/>
  <c r="E935" i="4"/>
  <c r="A940" i="6"/>
  <c r="A940" i="5"/>
  <c r="C971" i="6"/>
  <c r="C971" i="5"/>
  <c r="E971" i="4"/>
  <c r="C975" i="6"/>
  <c r="C975" i="5"/>
  <c r="E975" i="4"/>
  <c r="C995" i="6"/>
  <c r="C995" i="5"/>
  <c r="E995" i="4"/>
  <c r="C1048" i="6"/>
  <c r="C1048" i="5"/>
  <c r="E1048" i="4"/>
  <c r="E1049" i="4"/>
  <c r="A1092" i="6"/>
  <c r="A1092" i="5"/>
  <c r="C1135" i="6"/>
  <c r="C1135" i="5"/>
  <c r="E1135" i="4"/>
  <c r="B48" i="5"/>
  <c r="B172" i="5"/>
  <c r="B286" i="5"/>
  <c r="A337" i="6"/>
  <c r="A337" i="5"/>
  <c r="B379" i="6"/>
  <c r="B379" i="5"/>
  <c r="C422" i="6"/>
  <c r="C422" i="5"/>
  <c r="C438" i="6"/>
  <c r="C438" i="5"/>
  <c r="A453" i="6"/>
  <c r="A453" i="5"/>
  <c r="A489" i="6"/>
  <c r="A489" i="5"/>
  <c r="C490" i="6"/>
  <c r="C490" i="5"/>
  <c r="A505" i="6"/>
  <c r="A505" i="5"/>
  <c r="C506" i="6"/>
  <c r="C506" i="5"/>
  <c r="B511" i="6"/>
  <c r="B511" i="5"/>
  <c r="B543" i="6"/>
  <c r="B543" i="5"/>
  <c r="C562" i="6"/>
  <c r="C562" i="5"/>
  <c r="E562" i="4"/>
  <c r="B575" i="6"/>
  <c r="B575" i="5"/>
  <c r="C614" i="6"/>
  <c r="C614" i="5"/>
  <c r="E614" i="4"/>
  <c r="B627" i="6"/>
  <c r="B627" i="5"/>
  <c r="E21" i="35"/>
  <c r="A7" i="6"/>
  <c r="A7" i="5"/>
  <c r="A13" i="6"/>
  <c r="A13" i="5"/>
  <c r="A17" i="6"/>
  <c r="A17" i="5"/>
  <c r="A21" i="6"/>
  <c r="A21" i="5"/>
  <c r="A25" i="6"/>
  <c r="A25" i="5"/>
  <c r="A29" i="6"/>
  <c r="A29" i="5"/>
  <c r="A33" i="6"/>
  <c r="A33" i="5"/>
  <c r="A35" i="6"/>
  <c r="A35" i="5"/>
  <c r="A39" i="6"/>
  <c r="A39" i="5"/>
  <c r="A43" i="6"/>
  <c r="A43" i="5"/>
  <c r="A49" i="6"/>
  <c r="A49" i="5"/>
  <c r="A53" i="6"/>
  <c r="A53" i="5"/>
  <c r="A65" i="6"/>
  <c r="A65" i="5"/>
  <c r="A67" i="6"/>
  <c r="A67" i="5"/>
  <c r="A71" i="6"/>
  <c r="A71" i="5"/>
  <c r="A73" i="6"/>
  <c r="A73" i="5"/>
  <c r="A77" i="6"/>
  <c r="A77" i="5"/>
  <c r="A81" i="6"/>
  <c r="A81" i="5"/>
  <c r="A83" i="6"/>
  <c r="A83" i="5"/>
  <c r="A85" i="6"/>
  <c r="A85" i="5"/>
  <c r="A87" i="6"/>
  <c r="A87" i="5"/>
  <c r="A89" i="6"/>
  <c r="A89" i="5"/>
  <c r="A91" i="6"/>
  <c r="A91" i="5"/>
  <c r="A93" i="6"/>
  <c r="A93" i="5"/>
  <c r="A95" i="6"/>
  <c r="A95" i="5"/>
  <c r="A97" i="6"/>
  <c r="A97" i="5"/>
  <c r="A99" i="6"/>
  <c r="A99" i="5"/>
  <c r="A101" i="6"/>
  <c r="A101" i="5"/>
  <c r="A103" i="6"/>
  <c r="A103" i="5"/>
  <c r="A105" i="6"/>
  <c r="A105" i="5"/>
  <c r="A127" i="6"/>
  <c r="A127" i="5"/>
  <c r="A129" i="6"/>
  <c r="A129" i="5"/>
  <c r="A131" i="6"/>
  <c r="A131" i="5"/>
  <c r="A133" i="6"/>
  <c r="A133" i="5"/>
  <c r="A135" i="6"/>
  <c r="A135" i="5"/>
  <c r="A137" i="6"/>
  <c r="A137" i="5"/>
  <c r="A139" i="6"/>
  <c r="A139" i="5"/>
  <c r="A141" i="6"/>
  <c r="A141" i="5"/>
  <c r="A143" i="6"/>
  <c r="A143" i="5"/>
  <c r="A145" i="6"/>
  <c r="A145" i="5"/>
  <c r="A147" i="6"/>
  <c r="A147" i="5"/>
  <c r="A149" i="6"/>
  <c r="A149" i="5"/>
  <c r="A151" i="6"/>
  <c r="A151" i="5"/>
  <c r="A153" i="6"/>
  <c r="A153" i="5"/>
  <c r="A155" i="6"/>
  <c r="A155" i="5"/>
  <c r="A157" i="6"/>
  <c r="A157" i="5"/>
  <c r="A159" i="6"/>
  <c r="A159" i="5"/>
  <c r="A161" i="6"/>
  <c r="A161" i="5"/>
  <c r="A163" i="6"/>
  <c r="A163" i="5"/>
  <c r="A165" i="6"/>
  <c r="A165" i="5"/>
  <c r="A167" i="6"/>
  <c r="A167" i="5"/>
  <c r="A169" i="6"/>
  <c r="A169" i="5"/>
  <c r="A171" i="6"/>
  <c r="A171" i="5"/>
  <c r="A173" i="6"/>
  <c r="A173" i="5"/>
  <c r="A175" i="6"/>
  <c r="A175" i="5"/>
  <c r="A177" i="6"/>
  <c r="A177" i="5"/>
  <c r="A179" i="6"/>
  <c r="A179" i="5"/>
  <c r="A181" i="6"/>
  <c r="A181" i="5"/>
  <c r="A183" i="6"/>
  <c r="A183" i="5"/>
  <c r="A185" i="6"/>
  <c r="A185" i="5"/>
  <c r="A187" i="6"/>
  <c r="A187" i="5"/>
  <c r="A189" i="6"/>
  <c r="A189" i="5"/>
  <c r="A191" i="6"/>
  <c r="A191" i="5"/>
  <c r="A193" i="6"/>
  <c r="A193" i="5"/>
  <c r="A195" i="6"/>
  <c r="A195" i="5"/>
  <c r="A197" i="6"/>
  <c r="A197" i="5"/>
  <c r="A199" i="6"/>
  <c r="A199" i="5"/>
  <c r="A201" i="6"/>
  <c r="A201" i="5"/>
  <c r="A203" i="6"/>
  <c r="A203" i="5"/>
  <c r="A205" i="6"/>
  <c r="A205" i="5"/>
  <c r="A207" i="6"/>
  <c r="A207" i="5"/>
  <c r="A209" i="6"/>
  <c r="A209" i="5"/>
  <c r="A211" i="6"/>
  <c r="A211" i="5"/>
  <c r="A213" i="6"/>
  <c r="A213" i="5"/>
  <c r="A215" i="6"/>
  <c r="A215" i="5"/>
  <c r="A217" i="6"/>
  <c r="A217" i="5"/>
  <c r="A219" i="6"/>
  <c r="A219" i="5"/>
  <c r="A221" i="6"/>
  <c r="A221" i="5"/>
  <c r="A223" i="6"/>
  <c r="A223" i="5"/>
  <c r="A225" i="6"/>
  <c r="A225" i="5"/>
  <c r="A249" i="6"/>
  <c r="A249" i="5"/>
  <c r="A251" i="6"/>
  <c r="A251" i="5"/>
  <c r="A253" i="6"/>
  <c r="A253" i="5"/>
  <c r="A255" i="6"/>
  <c r="A255" i="5"/>
  <c r="A257" i="6"/>
  <c r="A257" i="5"/>
  <c r="A259" i="6"/>
  <c r="A259" i="5"/>
  <c r="A261" i="6"/>
  <c r="A261" i="5"/>
  <c r="A263" i="6"/>
  <c r="A263" i="5"/>
  <c r="A265" i="6"/>
  <c r="A265" i="5"/>
  <c r="A267" i="6"/>
  <c r="A267" i="5"/>
  <c r="A269" i="6"/>
  <c r="A269" i="5"/>
  <c r="A271" i="6"/>
  <c r="A271" i="5"/>
  <c r="A273" i="6"/>
  <c r="A273" i="5"/>
  <c r="A275" i="6"/>
  <c r="A275" i="5"/>
  <c r="A277" i="6"/>
  <c r="A277" i="5"/>
  <c r="A279" i="6"/>
  <c r="A279" i="5"/>
  <c r="A281" i="6"/>
  <c r="A281" i="5"/>
  <c r="A283" i="6"/>
  <c r="A283" i="5"/>
  <c r="A285" i="6"/>
  <c r="A285" i="5"/>
  <c r="A287" i="6"/>
  <c r="A287" i="5"/>
  <c r="A289" i="6"/>
  <c r="A289" i="5"/>
  <c r="A291" i="6"/>
  <c r="A291" i="5"/>
  <c r="A293" i="6"/>
  <c r="A293" i="5"/>
  <c r="A295" i="6"/>
  <c r="A295" i="5"/>
  <c r="A297" i="6"/>
  <c r="A297" i="5"/>
  <c r="A299" i="6"/>
  <c r="A299" i="5"/>
  <c r="A301" i="6"/>
  <c r="A301" i="5"/>
  <c r="A303" i="6"/>
  <c r="A303" i="5"/>
  <c r="A305" i="6"/>
  <c r="A305" i="5"/>
  <c r="A307" i="6"/>
  <c r="A307" i="5"/>
  <c r="A309" i="6"/>
  <c r="A309" i="5"/>
  <c r="A311" i="6"/>
  <c r="A311" i="5"/>
  <c r="A313" i="6"/>
  <c r="A313" i="5"/>
  <c r="A315" i="6"/>
  <c r="A315" i="5"/>
  <c r="A317" i="6"/>
  <c r="A317" i="5"/>
  <c r="A319" i="6"/>
  <c r="A319" i="5"/>
  <c r="A321" i="6"/>
  <c r="A321" i="5"/>
  <c r="A323" i="6"/>
  <c r="A323" i="5"/>
  <c r="A325" i="6"/>
  <c r="A325" i="5"/>
  <c r="A327" i="6"/>
  <c r="A327" i="5"/>
  <c r="A329" i="6"/>
  <c r="A329" i="5"/>
  <c r="B331" i="6"/>
  <c r="B331" i="5"/>
  <c r="A341" i="6"/>
  <c r="A341" i="5"/>
  <c r="C342" i="6"/>
  <c r="C342" i="5"/>
  <c r="B367" i="6"/>
  <c r="B367" i="5"/>
  <c r="A377" i="6"/>
  <c r="A377" i="5"/>
  <c r="C378" i="6"/>
  <c r="C378" i="5"/>
  <c r="B383" i="6"/>
  <c r="B383" i="5"/>
  <c r="A393" i="6"/>
  <c r="A393" i="5"/>
  <c r="C394" i="6"/>
  <c r="C394" i="5"/>
  <c r="B399" i="6"/>
  <c r="B399" i="5"/>
  <c r="A409" i="6"/>
  <c r="A409" i="5"/>
  <c r="C410" i="6"/>
  <c r="C410" i="5"/>
  <c r="B415" i="6"/>
  <c r="B415" i="5"/>
  <c r="A425" i="6"/>
  <c r="A425" i="5"/>
  <c r="C426" i="6"/>
  <c r="C426" i="5"/>
  <c r="B431" i="6"/>
  <c r="B431" i="5"/>
  <c r="A441" i="6"/>
  <c r="A441" i="5"/>
  <c r="C442" i="6"/>
  <c r="C442" i="5"/>
  <c r="B447" i="6"/>
  <c r="B447" i="5"/>
  <c r="A457" i="6"/>
  <c r="A457" i="5"/>
  <c r="C458" i="6"/>
  <c r="C458" i="5"/>
  <c r="B463" i="6"/>
  <c r="B463" i="5"/>
  <c r="A493" i="6"/>
  <c r="A493" i="5"/>
  <c r="C494" i="6"/>
  <c r="C494" i="5"/>
  <c r="B499" i="6"/>
  <c r="B499" i="5"/>
  <c r="A509" i="6"/>
  <c r="A509" i="5"/>
  <c r="C510" i="6"/>
  <c r="C510" i="5"/>
  <c r="B515" i="6"/>
  <c r="B515" i="5"/>
  <c r="B523" i="6"/>
  <c r="B523" i="5"/>
  <c r="C526" i="6"/>
  <c r="C526" i="5"/>
  <c r="E526" i="4"/>
  <c r="B539" i="6"/>
  <c r="B539" i="5"/>
  <c r="C542" i="6"/>
  <c r="C542" i="5"/>
  <c r="E542" i="4"/>
  <c r="B555" i="6"/>
  <c r="B555" i="5"/>
  <c r="C558" i="6"/>
  <c r="C558" i="5"/>
  <c r="E558" i="4"/>
  <c r="B571" i="6"/>
  <c r="B571" i="5"/>
  <c r="C574" i="6"/>
  <c r="C574" i="5"/>
  <c r="E574" i="4"/>
  <c r="B607" i="6"/>
  <c r="B607" i="5"/>
  <c r="C610" i="6"/>
  <c r="C610" i="5"/>
  <c r="E610" i="4"/>
  <c r="B623" i="6"/>
  <c r="B623" i="5"/>
  <c r="C626" i="6"/>
  <c r="C626" i="5"/>
  <c r="E626" i="4"/>
  <c r="B639" i="6"/>
  <c r="B639" i="5"/>
  <c r="C642" i="6"/>
  <c r="C642" i="5"/>
  <c r="E642" i="4"/>
  <c r="B655" i="6"/>
  <c r="B655" i="5"/>
  <c r="C662" i="6"/>
  <c r="C662" i="5"/>
  <c r="E662" i="4"/>
  <c r="B669" i="6"/>
  <c r="B669" i="5"/>
  <c r="C678" i="6"/>
  <c r="C678" i="5"/>
  <c r="E678" i="4"/>
  <c r="B685" i="6"/>
  <c r="B685" i="5"/>
  <c r="C694" i="6"/>
  <c r="C694" i="5"/>
  <c r="E694" i="4"/>
  <c r="C702" i="6"/>
  <c r="C702" i="5"/>
  <c r="E702" i="4"/>
  <c r="E703" i="4"/>
  <c r="G768" i="4"/>
  <c r="H767" i="4"/>
  <c r="C728" i="6"/>
  <c r="C728" i="5"/>
  <c r="E728" i="4"/>
  <c r="E729" i="4"/>
  <c r="H729" i="4"/>
  <c r="H730" i="4"/>
  <c r="B739" i="6"/>
  <c r="B739" i="5"/>
  <c r="C744" i="6"/>
  <c r="C744" i="5"/>
  <c r="E744" i="4"/>
  <c r="E745" i="4"/>
  <c r="H745" i="4"/>
  <c r="H746" i="4"/>
  <c r="B755" i="6"/>
  <c r="B755" i="5"/>
  <c r="C760" i="6"/>
  <c r="C760" i="5"/>
  <c r="E760" i="4"/>
  <c r="E761" i="4"/>
  <c r="H761" i="4"/>
  <c r="H762" i="4"/>
  <c r="B779" i="6"/>
  <c r="B779" i="5"/>
  <c r="C780" i="6"/>
  <c r="C780" i="5"/>
  <c r="E780" i="4"/>
  <c r="E781" i="4"/>
  <c r="B795" i="6"/>
  <c r="B795" i="5"/>
  <c r="C796" i="6"/>
  <c r="C796" i="5"/>
  <c r="E796" i="4"/>
  <c r="E797" i="4"/>
  <c r="B811" i="6"/>
  <c r="B811" i="5"/>
  <c r="C812" i="6"/>
  <c r="C812" i="5"/>
  <c r="E812" i="4"/>
  <c r="E813" i="4"/>
  <c r="B850" i="6"/>
  <c r="B850" i="5"/>
  <c r="C854" i="6"/>
  <c r="C854" i="5"/>
  <c r="E854" i="4"/>
  <c r="D860" i="5"/>
  <c r="E860" i="5"/>
  <c r="L860" i="4"/>
  <c r="H860" i="6"/>
  <c r="I860" i="6"/>
  <c r="D871" i="5"/>
  <c r="E871" i="5"/>
  <c r="L871" i="4"/>
  <c r="H871" i="6"/>
  <c r="I871" i="6"/>
  <c r="C873" i="6"/>
  <c r="C873" i="5"/>
  <c r="E873" i="4"/>
  <c r="B898" i="6"/>
  <c r="B898" i="5"/>
  <c r="D899" i="5"/>
  <c r="E899" i="5"/>
  <c r="L899" i="4"/>
  <c r="H899" i="6"/>
  <c r="I899" i="6"/>
  <c r="C918" i="6"/>
  <c r="C918" i="5"/>
  <c r="E918" i="4"/>
  <c r="D935" i="5"/>
  <c r="E935" i="5"/>
  <c r="L935" i="4"/>
  <c r="H935" i="6"/>
  <c r="I935" i="6"/>
  <c r="C937" i="6"/>
  <c r="C937" i="5"/>
  <c r="E937" i="4"/>
  <c r="B980" i="6"/>
  <c r="B980" i="5"/>
  <c r="C992" i="6"/>
  <c r="C992" i="5"/>
  <c r="E992" i="4"/>
  <c r="D1021" i="5"/>
  <c r="E1021" i="5"/>
  <c r="L1021" i="4"/>
  <c r="H1021" i="6"/>
  <c r="I1021" i="6"/>
  <c r="D1029" i="5"/>
  <c r="E1029" i="5"/>
  <c r="L1029" i="4"/>
  <c r="H1029" i="6"/>
  <c r="I1029" i="6"/>
  <c r="A1052" i="6"/>
  <c r="A1052" i="5"/>
  <c r="C1060" i="6"/>
  <c r="C1060" i="5"/>
  <c r="E1060" i="4"/>
  <c r="E1061" i="4"/>
  <c r="B1113" i="6"/>
  <c r="B1113" i="5"/>
  <c r="C1116" i="6"/>
  <c r="C1116" i="5"/>
  <c r="E1116" i="4"/>
  <c r="E1117" i="4"/>
  <c r="B1130" i="6"/>
  <c r="B1130" i="5"/>
  <c r="B52" i="5"/>
  <c r="B152" i="5"/>
  <c r="C338" i="6"/>
  <c r="C338" i="5"/>
  <c r="C374" i="6"/>
  <c r="C374" i="5"/>
  <c r="B427" i="6"/>
  <c r="B427" i="5"/>
  <c r="B443" i="6"/>
  <c r="B443" i="5"/>
  <c r="J486" i="4"/>
  <c r="D486" i="6"/>
  <c r="I486" i="4"/>
  <c r="O486" i="5"/>
  <c r="B495" i="6"/>
  <c r="B495" i="5"/>
  <c r="B527" i="6"/>
  <c r="B527" i="5"/>
  <c r="C546" i="6"/>
  <c r="C546" i="5"/>
  <c r="E546" i="4"/>
  <c r="B559" i="6"/>
  <c r="B559" i="5"/>
  <c r="C578" i="6"/>
  <c r="C578" i="5"/>
  <c r="E578" i="4"/>
  <c r="B611" i="6"/>
  <c r="B611" i="5"/>
  <c r="D60" i="1"/>
  <c r="A9" i="6"/>
  <c r="A9" i="5"/>
  <c r="A11" i="6"/>
  <c r="A11" i="5"/>
  <c r="A15" i="6"/>
  <c r="A15" i="5"/>
  <c r="A19" i="6"/>
  <c r="A19" i="5"/>
  <c r="A23" i="6"/>
  <c r="A23" i="5"/>
  <c r="A27" i="6"/>
  <c r="A27" i="5"/>
  <c r="A31" i="6"/>
  <c r="A31" i="5"/>
  <c r="A37" i="6"/>
  <c r="A37" i="5"/>
  <c r="A41" i="6"/>
  <c r="A41" i="5"/>
  <c r="A45" i="6"/>
  <c r="A45" i="5"/>
  <c r="A47" i="6"/>
  <c r="A47" i="5"/>
  <c r="A51" i="6"/>
  <c r="A51" i="5"/>
  <c r="A55" i="6"/>
  <c r="A55" i="5"/>
  <c r="A57" i="6"/>
  <c r="A57" i="5"/>
  <c r="A59" i="6"/>
  <c r="A59" i="5"/>
  <c r="A61" i="6"/>
  <c r="A61" i="5"/>
  <c r="A63" i="6"/>
  <c r="A63" i="5"/>
  <c r="A69" i="6"/>
  <c r="A69" i="5"/>
  <c r="A75" i="6"/>
  <c r="A75" i="5"/>
  <c r="A79" i="6"/>
  <c r="A79" i="5"/>
  <c r="C6" i="6"/>
  <c r="C6" i="5"/>
  <c r="B7" i="6"/>
  <c r="B7" i="5"/>
  <c r="C8" i="6"/>
  <c r="C8" i="5"/>
  <c r="B9" i="6"/>
  <c r="B9" i="5"/>
  <c r="C10" i="6"/>
  <c r="C10" i="5"/>
  <c r="B11" i="6"/>
  <c r="B11" i="5"/>
  <c r="C12" i="6"/>
  <c r="C12" i="5"/>
  <c r="B13" i="6"/>
  <c r="B13" i="5"/>
  <c r="C14" i="6"/>
  <c r="C14" i="5"/>
  <c r="B15" i="6"/>
  <c r="B15" i="5"/>
  <c r="C16" i="6"/>
  <c r="C16" i="5"/>
  <c r="B17" i="6"/>
  <c r="B17" i="5"/>
  <c r="C18" i="6"/>
  <c r="C18" i="5"/>
  <c r="B19" i="6"/>
  <c r="B19" i="5"/>
  <c r="C20" i="6"/>
  <c r="C20" i="5"/>
  <c r="B21" i="6"/>
  <c r="B21" i="5"/>
  <c r="C22" i="6"/>
  <c r="C22" i="5"/>
  <c r="B23" i="6"/>
  <c r="B23" i="5"/>
  <c r="C24" i="6"/>
  <c r="C24" i="5"/>
  <c r="B25" i="6"/>
  <c r="B25" i="5"/>
  <c r="C26" i="6"/>
  <c r="C26" i="5"/>
  <c r="B27" i="6"/>
  <c r="B27" i="5"/>
  <c r="C28" i="6"/>
  <c r="C28" i="5"/>
  <c r="B29" i="6"/>
  <c r="B29" i="5"/>
  <c r="C30" i="6"/>
  <c r="C30" i="5"/>
  <c r="B31" i="6"/>
  <c r="B31" i="5"/>
  <c r="C32" i="6"/>
  <c r="C32" i="5"/>
  <c r="B33" i="6"/>
  <c r="B33" i="5"/>
  <c r="C34" i="6"/>
  <c r="C34" i="5"/>
  <c r="B35" i="6"/>
  <c r="B35" i="5"/>
  <c r="C36" i="6"/>
  <c r="C36" i="5"/>
  <c r="B37" i="6"/>
  <c r="B37" i="5"/>
  <c r="C38" i="6"/>
  <c r="C38" i="5"/>
  <c r="B39" i="6"/>
  <c r="B39" i="5"/>
  <c r="C40" i="6"/>
  <c r="C40" i="5"/>
  <c r="B41" i="6"/>
  <c r="B41" i="5"/>
  <c r="C42" i="6"/>
  <c r="C42" i="5"/>
  <c r="B43" i="6"/>
  <c r="B43" i="5"/>
  <c r="C44" i="6"/>
  <c r="C44" i="5"/>
  <c r="B45" i="6"/>
  <c r="B45" i="5"/>
  <c r="C46" i="6"/>
  <c r="C46" i="5"/>
  <c r="B47" i="6"/>
  <c r="B47" i="5"/>
  <c r="C48" i="6"/>
  <c r="C48" i="5"/>
  <c r="B49" i="6"/>
  <c r="B49" i="5"/>
  <c r="C50" i="6"/>
  <c r="C50" i="5"/>
  <c r="B51" i="6"/>
  <c r="B51" i="5"/>
  <c r="C52" i="6"/>
  <c r="C52" i="5"/>
  <c r="B53" i="6"/>
  <c r="B53" i="5"/>
  <c r="C54" i="6"/>
  <c r="C54" i="5"/>
  <c r="B55" i="6"/>
  <c r="B55" i="5"/>
  <c r="C56" i="6"/>
  <c r="C56" i="5"/>
  <c r="B57" i="6"/>
  <c r="B57" i="5"/>
  <c r="C58" i="6"/>
  <c r="C58" i="5"/>
  <c r="B59" i="6"/>
  <c r="B59" i="5"/>
  <c r="C60" i="6"/>
  <c r="C60" i="5"/>
  <c r="B61" i="6"/>
  <c r="B61" i="5"/>
  <c r="C62" i="6"/>
  <c r="C62" i="5"/>
  <c r="B63" i="6"/>
  <c r="B63" i="5"/>
  <c r="C64" i="6"/>
  <c r="C64" i="5"/>
  <c r="B65" i="6"/>
  <c r="B65" i="5"/>
  <c r="C66" i="6"/>
  <c r="C66" i="5"/>
  <c r="B67" i="6"/>
  <c r="B67" i="5"/>
  <c r="C68" i="6"/>
  <c r="C68" i="5"/>
  <c r="B69" i="6"/>
  <c r="B69" i="5"/>
  <c r="C70" i="6"/>
  <c r="C70" i="5"/>
  <c r="B71" i="6"/>
  <c r="B71" i="5"/>
  <c r="C72" i="6"/>
  <c r="C72" i="5"/>
  <c r="B73" i="6"/>
  <c r="B73" i="5"/>
  <c r="C74" i="6"/>
  <c r="C74" i="5"/>
  <c r="B75" i="6"/>
  <c r="B75" i="5"/>
  <c r="C76" i="6"/>
  <c r="C76" i="5"/>
  <c r="B77" i="6"/>
  <c r="B77" i="5"/>
  <c r="C78" i="6"/>
  <c r="C78" i="5"/>
  <c r="B79" i="6"/>
  <c r="B79" i="5"/>
  <c r="C80" i="6"/>
  <c r="C80" i="5"/>
  <c r="B81" i="6"/>
  <c r="B81" i="5"/>
  <c r="C82" i="6"/>
  <c r="C82" i="5"/>
  <c r="B83" i="6"/>
  <c r="B83" i="5"/>
  <c r="C84" i="6"/>
  <c r="C84" i="5"/>
  <c r="B85" i="6"/>
  <c r="B85" i="5"/>
  <c r="C86" i="6"/>
  <c r="C86" i="5"/>
  <c r="B87" i="6"/>
  <c r="B87" i="5"/>
  <c r="C88" i="6"/>
  <c r="C88" i="5"/>
  <c r="B89" i="6"/>
  <c r="B89" i="5"/>
  <c r="C90" i="6"/>
  <c r="C90" i="5"/>
  <c r="B91" i="6"/>
  <c r="B91" i="5"/>
  <c r="C92" i="6"/>
  <c r="C92" i="5"/>
  <c r="B93" i="6"/>
  <c r="B93" i="5"/>
  <c r="C94" i="6"/>
  <c r="C94" i="5"/>
  <c r="B95" i="6"/>
  <c r="B95" i="5"/>
  <c r="C96" i="6"/>
  <c r="C96" i="5"/>
  <c r="B97" i="6"/>
  <c r="B97" i="5"/>
  <c r="C98" i="6"/>
  <c r="C98" i="5"/>
  <c r="B99" i="6"/>
  <c r="B99" i="5"/>
  <c r="C100" i="6"/>
  <c r="C100" i="5"/>
  <c r="B101" i="6"/>
  <c r="B101" i="5"/>
  <c r="C102" i="6"/>
  <c r="C102" i="5"/>
  <c r="B103" i="6"/>
  <c r="B103" i="5"/>
  <c r="C104" i="6"/>
  <c r="C104" i="5"/>
  <c r="B105" i="6"/>
  <c r="B105" i="5"/>
  <c r="C126" i="6"/>
  <c r="C126" i="5"/>
  <c r="B127" i="6"/>
  <c r="B127" i="5"/>
  <c r="C128" i="6"/>
  <c r="C128" i="5"/>
  <c r="B129" i="6"/>
  <c r="B129" i="5"/>
  <c r="C130" i="6"/>
  <c r="C130" i="5"/>
  <c r="B131" i="6"/>
  <c r="B131" i="5"/>
  <c r="C132" i="6"/>
  <c r="C132" i="5"/>
  <c r="B133" i="6"/>
  <c r="B133" i="5"/>
  <c r="C134" i="6"/>
  <c r="C134" i="5"/>
  <c r="B135" i="6"/>
  <c r="B135" i="5"/>
  <c r="C136" i="6"/>
  <c r="C136" i="5"/>
  <c r="B137" i="6"/>
  <c r="B137" i="5"/>
  <c r="C138" i="6"/>
  <c r="C138" i="5"/>
  <c r="B139" i="6"/>
  <c r="B139" i="5"/>
  <c r="C140" i="6"/>
  <c r="C140" i="5"/>
  <c r="B141" i="6"/>
  <c r="B141" i="5"/>
  <c r="C142" i="6"/>
  <c r="C142" i="5"/>
  <c r="B143" i="6"/>
  <c r="B143" i="5"/>
  <c r="C144" i="6"/>
  <c r="C144" i="5"/>
  <c r="B145" i="6"/>
  <c r="B145" i="5"/>
  <c r="C146" i="6"/>
  <c r="C146" i="5"/>
  <c r="B147" i="6"/>
  <c r="B147" i="5"/>
  <c r="C148" i="6"/>
  <c r="C148" i="5"/>
  <c r="B149" i="6"/>
  <c r="B149" i="5"/>
  <c r="C150" i="6"/>
  <c r="C150" i="5"/>
  <c r="B151" i="6"/>
  <c r="B151" i="5"/>
  <c r="C152" i="6"/>
  <c r="C152" i="5"/>
  <c r="B153" i="6"/>
  <c r="B153" i="5"/>
  <c r="C154" i="6"/>
  <c r="C154" i="5"/>
  <c r="B155" i="6"/>
  <c r="B155" i="5"/>
  <c r="C156" i="6"/>
  <c r="C156" i="5"/>
  <c r="B157" i="6"/>
  <c r="B157" i="5"/>
  <c r="C158" i="6"/>
  <c r="C158" i="5"/>
  <c r="B159" i="6"/>
  <c r="B159" i="5"/>
  <c r="C160" i="6"/>
  <c r="C160" i="5"/>
  <c r="B161" i="6"/>
  <c r="B161" i="5"/>
  <c r="C162" i="6"/>
  <c r="C162" i="5"/>
  <c r="B163" i="6"/>
  <c r="B163" i="5"/>
  <c r="C164" i="6"/>
  <c r="C164" i="5"/>
  <c r="B165" i="6"/>
  <c r="B165" i="5"/>
  <c r="C166" i="6"/>
  <c r="C166" i="5"/>
  <c r="B167" i="6"/>
  <c r="B167" i="5"/>
  <c r="C168" i="6"/>
  <c r="C168" i="5"/>
  <c r="B169" i="6"/>
  <c r="B169" i="5"/>
  <c r="C170" i="6"/>
  <c r="C170" i="5"/>
  <c r="B171" i="6"/>
  <c r="B171" i="5"/>
  <c r="C172" i="6"/>
  <c r="C172" i="5"/>
  <c r="B173" i="6"/>
  <c r="B173" i="5"/>
  <c r="C174" i="6"/>
  <c r="C174" i="5"/>
  <c r="B175" i="6"/>
  <c r="B175" i="5"/>
  <c r="C176" i="6"/>
  <c r="C176" i="5"/>
  <c r="B177" i="6"/>
  <c r="B177" i="5"/>
  <c r="C178" i="6"/>
  <c r="C178" i="5"/>
  <c r="B179" i="6"/>
  <c r="B179" i="5"/>
  <c r="C180" i="6"/>
  <c r="C180" i="5"/>
  <c r="B181" i="6"/>
  <c r="B181" i="5"/>
  <c r="C182" i="6"/>
  <c r="C182" i="5"/>
  <c r="B183" i="6"/>
  <c r="B183" i="5"/>
  <c r="C184" i="6"/>
  <c r="C184" i="5"/>
  <c r="B185" i="6"/>
  <c r="B185" i="5"/>
  <c r="C186" i="6"/>
  <c r="C186" i="5"/>
  <c r="B187" i="6"/>
  <c r="B187" i="5"/>
  <c r="C188" i="6"/>
  <c r="C188" i="5"/>
  <c r="B189" i="6"/>
  <c r="B189" i="5"/>
  <c r="C190" i="6"/>
  <c r="C190" i="5"/>
  <c r="B191" i="6"/>
  <c r="B191" i="5"/>
  <c r="C192" i="6"/>
  <c r="C192" i="5"/>
  <c r="B193" i="6"/>
  <c r="B193" i="5"/>
  <c r="C194" i="6"/>
  <c r="C194" i="5"/>
  <c r="B195" i="6"/>
  <c r="B195" i="5"/>
  <c r="C196" i="6"/>
  <c r="C196" i="5"/>
  <c r="B197" i="6"/>
  <c r="B197" i="5"/>
  <c r="C198" i="6"/>
  <c r="C198" i="5"/>
  <c r="B199" i="6"/>
  <c r="B199" i="5"/>
  <c r="C200" i="6"/>
  <c r="C200" i="5"/>
  <c r="B201" i="6"/>
  <c r="B201" i="5"/>
  <c r="C202" i="6"/>
  <c r="C202" i="5"/>
  <c r="B203" i="6"/>
  <c r="B203" i="5"/>
  <c r="C204" i="6"/>
  <c r="C204" i="5"/>
  <c r="B205" i="6"/>
  <c r="B205" i="5"/>
  <c r="C206" i="6"/>
  <c r="C206" i="5"/>
  <c r="B207" i="6"/>
  <c r="B207" i="5"/>
  <c r="C208" i="6"/>
  <c r="C208" i="5"/>
  <c r="B209" i="6"/>
  <c r="B209" i="5"/>
  <c r="C210" i="6"/>
  <c r="C210" i="5"/>
  <c r="B211" i="6"/>
  <c r="B211" i="5"/>
  <c r="C212" i="6"/>
  <c r="C212" i="5"/>
  <c r="B213" i="6"/>
  <c r="B213" i="5"/>
  <c r="C214" i="6"/>
  <c r="C214" i="5"/>
  <c r="B215" i="6"/>
  <c r="B215" i="5"/>
  <c r="C216" i="6"/>
  <c r="C216" i="5"/>
  <c r="B217" i="6"/>
  <c r="B217" i="5"/>
  <c r="C218" i="6"/>
  <c r="C218" i="5"/>
  <c r="B219" i="6"/>
  <c r="B219" i="5"/>
  <c r="C220" i="6"/>
  <c r="C220" i="5"/>
  <c r="B221" i="6"/>
  <c r="B221" i="5"/>
  <c r="C222" i="6"/>
  <c r="C222" i="5"/>
  <c r="B223" i="6"/>
  <c r="B223" i="5"/>
  <c r="C224" i="6"/>
  <c r="C224" i="5"/>
  <c r="B225" i="6"/>
  <c r="B225" i="5"/>
  <c r="C246" i="6"/>
  <c r="C246" i="5"/>
  <c r="B247" i="6"/>
  <c r="B247" i="5"/>
  <c r="C248" i="6"/>
  <c r="C248" i="5"/>
  <c r="B249" i="6"/>
  <c r="B249" i="5"/>
  <c r="C250" i="6"/>
  <c r="C250" i="5"/>
  <c r="B251" i="6"/>
  <c r="B251" i="5"/>
  <c r="C252" i="6"/>
  <c r="C252" i="5"/>
  <c r="B253" i="6"/>
  <c r="B253" i="5"/>
  <c r="C254" i="6"/>
  <c r="C254" i="5"/>
  <c r="B255" i="6"/>
  <c r="B255" i="5"/>
  <c r="C256" i="6"/>
  <c r="C256" i="5"/>
  <c r="B257" i="6"/>
  <c r="B257" i="5"/>
  <c r="C258" i="6"/>
  <c r="C258" i="5"/>
  <c r="B259" i="6"/>
  <c r="B259" i="5"/>
  <c r="C260" i="6"/>
  <c r="C260" i="5"/>
  <c r="B261" i="6"/>
  <c r="B261" i="5"/>
  <c r="C262" i="6"/>
  <c r="C262" i="5"/>
  <c r="B263" i="6"/>
  <c r="B263" i="5"/>
  <c r="C264" i="6"/>
  <c r="C264" i="5"/>
  <c r="B265" i="6"/>
  <c r="B265" i="5"/>
  <c r="C266" i="6"/>
  <c r="C266" i="5"/>
  <c r="B267" i="6"/>
  <c r="B267" i="5"/>
  <c r="C268" i="6"/>
  <c r="C268" i="5"/>
  <c r="B269" i="6"/>
  <c r="B269" i="5"/>
  <c r="C270" i="6"/>
  <c r="C270" i="5"/>
  <c r="B271" i="6"/>
  <c r="B271" i="5"/>
  <c r="C272" i="6"/>
  <c r="C272" i="5"/>
  <c r="B273" i="6"/>
  <c r="B273" i="5"/>
  <c r="C274" i="6"/>
  <c r="C274" i="5"/>
  <c r="B275" i="6"/>
  <c r="B275" i="5"/>
  <c r="C276" i="6"/>
  <c r="C276" i="5"/>
  <c r="B277" i="6"/>
  <c r="B277" i="5"/>
  <c r="C278" i="6"/>
  <c r="C278" i="5"/>
  <c r="B279" i="6"/>
  <c r="B279" i="5"/>
  <c r="C280" i="6"/>
  <c r="C280" i="5"/>
  <c r="B281" i="6"/>
  <c r="B281" i="5"/>
  <c r="C282" i="6"/>
  <c r="C282" i="5"/>
  <c r="B283" i="6"/>
  <c r="B283" i="5"/>
  <c r="C284" i="6"/>
  <c r="C284" i="5"/>
  <c r="B285" i="6"/>
  <c r="B285" i="5"/>
  <c r="C286" i="6"/>
  <c r="C286" i="5"/>
  <c r="B287" i="6"/>
  <c r="B287" i="5"/>
  <c r="C288" i="6"/>
  <c r="C288" i="5"/>
  <c r="B289" i="6"/>
  <c r="B289" i="5"/>
  <c r="C290" i="6"/>
  <c r="C290" i="5"/>
  <c r="B291" i="6"/>
  <c r="B291" i="5"/>
  <c r="C292" i="6"/>
  <c r="C292" i="5"/>
  <c r="B293" i="6"/>
  <c r="B293" i="5"/>
  <c r="C294" i="6"/>
  <c r="C294" i="5"/>
  <c r="B295" i="6"/>
  <c r="B295" i="5"/>
  <c r="C296" i="6"/>
  <c r="C296" i="5"/>
  <c r="B297" i="6"/>
  <c r="B297" i="5"/>
  <c r="C298" i="6"/>
  <c r="C298" i="5"/>
  <c r="B299" i="6"/>
  <c r="B299" i="5"/>
  <c r="C300" i="6"/>
  <c r="C300" i="5"/>
  <c r="B301" i="6"/>
  <c r="B301" i="5"/>
  <c r="C302" i="6"/>
  <c r="C302" i="5"/>
  <c r="B303" i="6"/>
  <c r="B303" i="5"/>
  <c r="C304" i="6"/>
  <c r="C304" i="5"/>
  <c r="B305" i="6"/>
  <c r="B305" i="5"/>
  <c r="C306" i="6"/>
  <c r="C306" i="5"/>
  <c r="B307" i="6"/>
  <c r="B307" i="5"/>
  <c r="C308" i="6"/>
  <c r="C308" i="5"/>
  <c r="B309" i="6"/>
  <c r="B309" i="5"/>
  <c r="C310" i="6"/>
  <c r="C310" i="5"/>
  <c r="B311" i="6"/>
  <c r="B311" i="5"/>
  <c r="C312" i="6"/>
  <c r="C312" i="5"/>
  <c r="B313" i="6"/>
  <c r="B313" i="5"/>
  <c r="C314" i="6"/>
  <c r="C314" i="5"/>
  <c r="B315" i="6"/>
  <c r="B315" i="5"/>
  <c r="C316" i="6"/>
  <c r="C316" i="5"/>
  <c r="B317" i="6"/>
  <c r="B317" i="5"/>
  <c r="C318" i="6"/>
  <c r="C318" i="5"/>
  <c r="B319" i="6"/>
  <c r="B319" i="5"/>
  <c r="C320" i="6"/>
  <c r="C320" i="5"/>
  <c r="B321" i="6"/>
  <c r="B321" i="5"/>
  <c r="C322" i="6"/>
  <c r="C322" i="5"/>
  <c r="B323" i="6"/>
  <c r="B323" i="5"/>
  <c r="C324" i="6"/>
  <c r="C324" i="5"/>
  <c r="B325" i="6"/>
  <c r="B325" i="5"/>
  <c r="C326" i="6"/>
  <c r="C326" i="5"/>
  <c r="B327" i="6"/>
  <c r="B327" i="5"/>
  <c r="C328" i="6"/>
  <c r="C328" i="5"/>
  <c r="B329" i="6"/>
  <c r="B329" i="5"/>
  <c r="C330" i="6"/>
  <c r="C330" i="5"/>
  <c r="L331" i="4"/>
  <c r="H331" i="6"/>
  <c r="I331" i="6"/>
  <c r="A335" i="6"/>
  <c r="A335" i="5"/>
  <c r="C336" i="6"/>
  <c r="C336" i="5"/>
  <c r="B341" i="6"/>
  <c r="B341" i="5"/>
  <c r="E343" i="4"/>
  <c r="L344" i="4"/>
  <c r="H344" i="6"/>
  <c r="I344" i="6"/>
  <c r="L367" i="4"/>
  <c r="H367" i="6"/>
  <c r="I367" i="6"/>
  <c r="A371" i="6"/>
  <c r="A371" i="5"/>
  <c r="C372" i="6"/>
  <c r="C372" i="5"/>
  <c r="B377" i="6"/>
  <c r="B377" i="5"/>
  <c r="E379" i="4"/>
  <c r="L380" i="4"/>
  <c r="H380" i="6"/>
  <c r="I380" i="6"/>
  <c r="L383" i="4"/>
  <c r="H383" i="6"/>
  <c r="I383" i="6"/>
  <c r="A387" i="6"/>
  <c r="A387" i="5"/>
  <c r="C388" i="6"/>
  <c r="C388" i="5"/>
  <c r="B393" i="6"/>
  <c r="B393" i="5"/>
  <c r="E395" i="4"/>
  <c r="L396" i="4"/>
  <c r="H396" i="6"/>
  <c r="I396" i="6"/>
  <c r="L399" i="4"/>
  <c r="H399" i="6"/>
  <c r="I399" i="6"/>
  <c r="A403" i="6"/>
  <c r="A403" i="5"/>
  <c r="C404" i="6"/>
  <c r="C404" i="5"/>
  <c r="B409" i="6"/>
  <c r="B409" i="5"/>
  <c r="E411" i="4"/>
  <c r="L412" i="4"/>
  <c r="H412" i="6"/>
  <c r="I412" i="6"/>
  <c r="L415" i="4"/>
  <c r="H415" i="6"/>
  <c r="I415" i="6"/>
  <c r="A419" i="6"/>
  <c r="A419" i="5"/>
  <c r="C420" i="6"/>
  <c r="C420" i="5"/>
  <c r="B425" i="6"/>
  <c r="B425" i="5"/>
  <c r="E427" i="4"/>
  <c r="L428" i="4"/>
  <c r="H428" i="6"/>
  <c r="I428" i="6"/>
  <c r="L431" i="4"/>
  <c r="H431" i="6"/>
  <c r="I431" i="6"/>
  <c r="A435" i="6"/>
  <c r="A435" i="5"/>
  <c r="C436" i="6"/>
  <c r="C436" i="5"/>
  <c r="B441" i="6"/>
  <c r="B441" i="5"/>
  <c r="E443" i="4"/>
  <c r="L444" i="4"/>
  <c r="H444" i="6"/>
  <c r="I444" i="6"/>
  <c r="L447" i="4"/>
  <c r="H447" i="6"/>
  <c r="I447" i="6"/>
  <c r="A451" i="6"/>
  <c r="A451" i="5"/>
  <c r="C452" i="6"/>
  <c r="C452" i="5"/>
  <c r="B457" i="6"/>
  <c r="B457" i="5"/>
  <c r="E459" i="4"/>
  <c r="L460" i="4"/>
  <c r="H460" i="6"/>
  <c r="I460" i="6"/>
  <c r="L463" i="4"/>
  <c r="H463" i="6"/>
  <c r="I463" i="6"/>
  <c r="A487" i="6"/>
  <c r="A487" i="5"/>
  <c r="C488" i="6"/>
  <c r="C488" i="5"/>
  <c r="B493" i="6"/>
  <c r="B493" i="5"/>
  <c r="E495" i="4"/>
  <c r="L496" i="4"/>
  <c r="H496" i="6"/>
  <c r="I496" i="6"/>
  <c r="L499" i="4"/>
  <c r="H499" i="6"/>
  <c r="I499" i="6"/>
  <c r="A503" i="6"/>
  <c r="A503" i="5"/>
  <c r="C504" i="6"/>
  <c r="C504" i="5"/>
  <c r="B509" i="6"/>
  <c r="B509" i="5"/>
  <c r="E511" i="4"/>
  <c r="L512" i="4"/>
  <c r="H512" i="6"/>
  <c r="I512" i="6"/>
  <c r="L515" i="4"/>
  <c r="H515" i="6"/>
  <c r="I515" i="6"/>
  <c r="A519" i="6"/>
  <c r="A519" i="5"/>
  <c r="L524" i="4"/>
  <c r="H524" i="6"/>
  <c r="I524" i="6"/>
  <c r="E527" i="4"/>
  <c r="B529" i="6"/>
  <c r="B529" i="5"/>
  <c r="L529" i="4"/>
  <c r="H529" i="6"/>
  <c r="I529" i="6"/>
  <c r="C532" i="6"/>
  <c r="C532" i="5"/>
  <c r="E532" i="4"/>
  <c r="L540" i="4"/>
  <c r="H540" i="6"/>
  <c r="I540" i="6"/>
  <c r="E543" i="4"/>
  <c r="B545" i="6"/>
  <c r="B545" i="5"/>
  <c r="L545" i="4"/>
  <c r="H545" i="6"/>
  <c r="I545" i="6"/>
  <c r="C548" i="6"/>
  <c r="C548" i="5"/>
  <c r="E548" i="4"/>
  <c r="L556" i="4"/>
  <c r="H556" i="6"/>
  <c r="I556" i="6"/>
  <c r="E559" i="4"/>
  <c r="B561" i="6"/>
  <c r="B561" i="5"/>
  <c r="L561" i="4"/>
  <c r="H561" i="6"/>
  <c r="I561" i="6"/>
  <c r="C564" i="6"/>
  <c r="C564" i="5"/>
  <c r="E564" i="4"/>
  <c r="L572" i="4"/>
  <c r="H572" i="6"/>
  <c r="I572" i="6"/>
  <c r="E575" i="4"/>
  <c r="B577" i="6"/>
  <c r="B577" i="5"/>
  <c r="L577" i="4"/>
  <c r="H577" i="6"/>
  <c r="I577" i="6"/>
  <c r="C580" i="6"/>
  <c r="C580" i="5"/>
  <c r="E580" i="4"/>
  <c r="D606" i="4"/>
  <c r="L608" i="4"/>
  <c r="H608" i="6"/>
  <c r="I608" i="6"/>
  <c r="E611" i="4"/>
  <c r="B613" i="6"/>
  <c r="B613" i="5"/>
  <c r="L613" i="4"/>
  <c r="H613" i="6"/>
  <c r="I613" i="6"/>
  <c r="C616" i="6"/>
  <c r="C616" i="5"/>
  <c r="E616" i="4"/>
  <c r="L624" i="4"/>
  <c r="H624" i="6"/>
  <c r="I624" i="6"/>
  <c r="E627" i="4"/>
  <c r="B629" i="6"/>
  <c r="B629" i="5"/>
  <c r="L629" i="4"/>
  <c r="H629" i="6"/>
  <c r="I629" i="6"/>
  <c r="C632" i="6"/>
  <c r="C632" i="5"/>
  <c r="E632" i="4"/>
  <c r="L640" i="4"/>
  <c r="H640" i="6"/>
  <c r="I640" i="6"/>
  <c r="E643" i="4"/>
  <c r="B645" i="6"/>
  <c r="B645" i="5"/>
  <c r="L645" i="4"/>
  <c r="H645" i="6"/>
  <c r="I645" i="6"/>
  <c r="C648" i="6"/>
  <c r="C648" i="5"/>
  <c r="E648" i="4"/>
  <c r="L658" i="4"/>
  <c r="H658" i="6"/>
  <c r="I658" i="6"/>
  <c r="C664" i="6"/>
  <c r="C664" i="5"/>
  <c r="E664" i="4"/>
  <c r="E667" i="4"/>
  <c r="B671" i="6"/>
  <c r="B671" i="5"/>
  <c r="L674" i="4"/>
  <c r="H674" i="6"/>
  <c r="I674" i="6"/>
  <c r="C680" i="6"/>
  <c r="C680" i="5"/>
  <c r="E680" i="4"/>
  <c r="E683" i="4"/>
  <c r="B687" i="6"/>
  <c r="B687" i="5"/>
  <c r="L690" i="4"/>
  <c r="H690" i="6"/>
  <c r="I690" i="6"/>
  <c r="C696" i="6"/>
  <c r="C696" i="5"/>
  <c r="E696" i="4"/>
  <c r="C700" i="6"/>
  <c r="C700" i="5"/>
  <c r="E700" i="4"/>
  <c r="E701" i="4"/>
  <c r="J726" i="4"/>
  <c r="D726" i="6"/>
  <c r="I726" i="4"/>
  <c r="O726" i="5"/>
  <c r="H728" i="4"/>
  <c r="B737" i="6"/>
  <c r="B737" i="5"/>
  <c r="D739" i="4"/>
  <c r="D740" i="4"/>
  <c r="C742" i="6"/>
  <c r="C742" i="5"/>
  <c r="E742" i="4"/>
  <c r="E743" i="4"/>
  <c r="H743" i="4"/>
  <c r="H744" i="4"/>
  <c r="B753" i="6"/>
  <c r="B753" i="5"/>
  <c r="D755" i="4"/>
  <c r="D756" i="4"/>
  <c r="C758" i="6"/>
  <c r="C758" i="5"/>
  <c r="E758" i="4"/>
  <c r="E759" i="4"/>
  <c r="H759" i="4"/>
  <c r="H760" i="4"/>
  <c r="B773" i="6"/>
  <c r="B773" i="5"/>
  <c r="C774" i="6"/>
  <c r="C774" i="5"/>
  <c r="E774" i="4"/>
  <c r="E775" i="4"/>
  <c r="B789" i="6"/>
  <c r="B789" i="5"/>
  <c r="C790" i="6"/>
  <c r="C790" i="5"/>
  <c r="E790" i="4"/>
  <c r="E791" i="4"/>
  <c r="B805" i="6"/>
  <c r="B805" i="5"/>
  <c r="C806" i="6"/>
  <c r="C806" i="5"/>
  <c r="E806" i="4"/>
  <c r="E807" i="4"/>
  <c r="B821" i="6"/>
  <c r="B821" i="5"/>
  <c r="C822" i="6"/>
  <c r="C822" i="5"/>
  <c r="E822" i="4"/>
  <c r="E823" i="4"/>
  <c r="D823" i="5"/>
  <c r="E823" i="5"/>
  <c r="L823" i="4"/>
  <c r="H823" i="6"/>
  <c r="I823" i="6"/>
  <c r="B849" i="6"/>
  <c r="B849" i="5"/>
  <c r="D851" i="5"/>
  <c r="E851" i="5"/>
  <c r="L851" i="4"/>
  <c r="H851" i="6"/>
  <c r="I851" i="6"/>
  <c r="B870" i="6"/>
  <c r="B870" i="5"/>
  <c r="A872" i="6"/>
  <c r="A872" i="5"/>
  <c r="E887" i="4"/>
  <c r="A892" i="6"/>
  <c r="A892" i="5"/>
  <c r="B897" i="6"/>
  <c r="B897" i="5"/>
  <c r="D904" i="5"/>
  <c r="E904" i="5"/>
  <c r="L904" i="4"/>
  <c r="H904" i="6"/>
  <c r="I904" i="6"/>
  <c r="C906" i="6"/>
  <c r="C906" i="5"/>
  <c r="E906" i="4"/>
  <c r="B909" i="6"/>
  <c r="B909" i="5"/>
  <c r="D924" i="5"/>
  <c r="E924" i="5"/>
  <c r="L924" i="4"/>
  <c r="H924" i="6"/>
  <c r="I924" i="6"/>
  <c r="B934" i="6"/>
  <c r="B934" i="5"/>
  <c r="A936" i="6"/>
  <c r="A936" i="5"/>
  <c r="J966" i="4"/>
  <c r="D966" i="6"/>
  <c r="C980" i="6"/>
  <c r="C980" i="5"/>
  <c r="E980" i="4"/>
  <c r="A1010" i="6"/>
  <c r="A1010" i="5"/>
  <c r="A1064" i="6"/>
  <c r="A1064" i="5"/>
  <c r="C1092" i="6"/>
  <c r="C1092" i="5"/>
  <c r="E1092" i="4"/>
  <c r="E1093" i="4"/>
  <c r="A1108" i="6"/>
  <c r="A1108" i="5"/>
  <c r="C1167" i="6"/>
  <c r="C1167" i="5"/>
  <c r="E1167" i="4"/>
  <c r="B32" i="5"/>
  <c r="B96" i="5"/>
  <c r="B156" i="5"/>
  <c r="A247" i="5"/>
  <c r="B335" i="6"/>
  <c r="B335" i="5"/>
  <c r="A345" i="6"/>
  <c r="A345" i="5"/>
  <c r="C366" i="6"/>
  <c r="C366" i="5"/>
  <c r="B371" i="6"/>
  <c r="B371" i="5"/>
  <c r="A381" i="6"/>
  <c r="A381" i="5"/>
  <c r="C382" i="6"/>
  <c r="C382" i="5"/>
  <c r="B387" i="6"/>
  <c r="B387" i="5"/>
  <c r="A397" i="6"/>
  <c r="A397" i="5"/>
  <c r="C398" i="6"/>
  <c r="C398" i="5"/>
  <c r="B403" i="6"/>
  <c r="B403" i="5"/>
  <c r="A413" i="6"/>
  <c r="A413" i="5"/>
  <c r="C414" i="6"/>
  <c r="C414" i="5"/>
  <c r="B419" i="6"/>
  <c r="B419" i="5"/>
  <c r="A429" i="6"/>
  <c r="A429" i="5"/>
  <c r="C430" i="6"/>
  <c r="C430" i="5"/>
  <c r="B435" i="6"/>
  <c r="B435" i="5"/>
  <c r="A445" i="6"/>
  <c r="A445" i="5"/>
  <c r="C446" i="6"/>
  <c r="C446" i="5"/>
  <c r="B451" i="6"/>
  <c r="B451" i="5"/>
  <c r="A461" i="6"/>
  <c r="A461" i="5"/>
  <c r="C462" i="6"/>
  <c r="C462" i="5"/>
  <c r="B487" i="6"/>
  <c r="B487" i="5"/>
  <c r="A497" i="6"/>
  <c r="A497" i="5"/>
  <c r="C498" i="6"/>
  <c r="C498" i="5"/>
  <c r="B503" i="6"/>
  <c r="B503" i="5"/>
  <c r="A513" i="6"/>
  <c r="A513" i="5"/>
  <c r="C514" i="6"/>
  <c r="C514" i="5"/>
  <c r="B519" i="6"/>
  <c r="B519" i="5"/>
  <c r="C522" i="6"/>
  <c r="C522" i="5"/>
  <c r="E522" i="4"/>
  <c r="B535" i="6"/>
  <c r="B535" i="5"/>
  <c r="C538" i="6"/>
  <c r="C538" i="5"/>
  <c r="E538" i="4"/>
  <c r="B551" i="6"/>
  <c r="B551" i="5"/>
  <c r="C554" i="6"/>
  <c r="C554" i="5"/>
  <c r="E554" i="4"/>
  <c r="B567" i="6"/>
  <c r="B567" i="5"/>
  <c r="C570" i="6"/>
  <c r="C570" i="5"/>
  <c r="E570" i="4"/>
  <c r="B583" i="6"/>
  <c r="B583" i="5"/>
  <c r="C606" i="6"/>
  <c r="C606" i="5"/>
  <c r="E606" i="4"/>
  <c r="B619" i="6"/>
  <c r="B619" i="5"/>
  <c r="C622" i="6"/>
  <c r="C622" i="5"/>
  <c r="E622" i="4"/>
  <c r="B635" i="6"/>
  <c r="B635" i="5"/>
  <c r="C638" i="6"/>
  <c r="C638" i="5"/>
  <c r="E638" i="4"/>
  <c r="B651" i="6"/>
  <c r="B651" i="5"/>
  <c r="C654" i="6"/>
  <c r="C654" i="5"/>
  <c r="E654" i="4"/>
  <c r="B657" i="6"/>
  <c r="B657" i="5"/>
  <c r="C666" i="6"/>
  <c r="C666" i="5"/>
  <c r="E666" i="4"/>
  <c r="E669" i="4"/>
  <c r="B673" i="6"/>
  <c r="B673" i="5"/>
  <c r="C682" i="6"/>
  <c r="C682" i="5"/>
  <c r="E682" i="4"/>
  <c r="E685" i="4"/>
  <c r="B689" i="6"/>
  <c r="B689" i="5"/>
  <c r="C698" i="6"/>
  <c r="C698" i="5"/>
  <c r="E698" i="4"/>
  <c r="E699" i="4"/>
  <c r="B735" i="6"/>
  <c r="B735" i="5"/>
  <c r="C740" i="6"/>
  <c r="C740" i="5"/>
  <c r="E740" i="4"/>
  <c r="E741" i="4"/>
  <c r="J742" i="4"/>
  <c r="D742" i="6"/>
  <c r="I742" i="4"/>
  <c r="O742" i="5"/>
  <c r="B751" i="6"/>
  <c r="B751" i="5"/>
  <c r="C756" i="6"/>
  <c r="C756" i="5"/>
  <c r="E756" i="4"/>
  <c r="E757" i="4"/>
  <c r="H757" i="4"/>
  <c r="H758" i="4"/>
  <c r="B767" i="6"/>
  <c r="B767" i="5"/>
  <c r="C768" i="6"/>
  <c r="C768" i="5"/>
  <c r="E768" i="4"/>
  <c r="E769" i="4"/>
  <c r="B783" i="6"/>
  <c r="B783" i="5"/>
  <c r="C784" i="6"/>
  <c r="C784" i="5"/>
  <c r="E784" i="4"/>
  <c r="E785" i="4"/>
  <c r="B799" i="6"/>
  <c r="B799" i="5"/>
  <c r="C800" i="6"/>
  <c r="C800" i="5"/>
  <c r="E800" i="4"/>
  <c r="E801" i="4"/>
  <c r="B815" i="6"/>
  <c r="B815" i="5"/>
  <c r="C816" i="6"/>
  <c r="C816" i="5"/>
  <c r="E816" i="4"/>
  <c r="E817" i="4"/>
  <c r="A824" i="6"/>
  <c r="A824" i="5"/>
  <c r="B861" i="6"/>
  <c r="B861" i="5"/>
  <c r="B866" i="6"/>
  <c r="B866" i="5"/>
  <c r="C870" i="6"/>
  <c r="C870" i="5"/>
  <c r="E870" i="4"/>
  <c r="D876" i="5"/>
  <c r="E876" i="5"/>
  <c r="L876" i="4"/>
  <c r="H876" i="6"/>
  <c r="I876" i="6"/>
  <c r="D887" i="5"/>
  <c r="E887" i="5"/>
  <c r="L887" i="4"/>
  <c r="H887" i="6"/>
  <c r="I887" i="6"/>
  <c r="C889" i="6"/>
  <c r="C889" i="5"/>
  <c r="E889" i="4"/>
  <c r="C901" i="6"/>
  <c r="C901" i="5"/>
  <c r="E901" i="4"/>
  <c r="B914" i="6"/>
  <c r="B914" i="5"/>
  <c r="D915" i="5"/>
  <c r="E915" i="5"/>
  <c r="L915" i="4"/>
  <c r="H915" i="6"/>
  <c r="I915" i="6"/>
  <c r="C934" i="6"/>
  <c r="C934" i="5"/>
  <c r="E934" i="4"/>
  <c r="B979" i="6"/>
  <c r="B979" i="5"/>
  <c r="D997" i="5"/>
  <c r="E997" i="5"/>
  <c r="L997" i="4"/>
  <c r="H997" i="6"/>
  <c r="I997" i="6"/>
  <c r="C1020" i="6"/>
  <c r="C1020" i="5"/>
  <c r="E1020" i="4"/>
  <c r="E1021" i="4"/>
  <c r="D1034" i="5"/>
  <c r="E1034" i="5"/>
  <c r="L1034" i="4"/>
  <c r="H1034" i="6"/>
  <c r="I1034" i="6"/>
  <c r="A1044" i="6"/>
  <c r="A1044" i="5"/>
  <c r="C1052" i="6"/>
  <c r="C1052" i="5"/>
  <c r="E1052" i="4"/>
  <c r="E1053" i="4"/>
  <c r="C1127" i="6"/>
  <c r="C1127" i="5"/>
  <c r="E1127" i="4"/>
  <c r="B1162" i="6"/>
  <c r="B1162" i="5"/>
  <c r="B36" i="5"/>
  <c r="B100" i="5"/>
  <c r="B136" i="5"/>
  <c r="B200" i="5"/>
  <c r="C253" i="5"/>
  <c r="L9" i="4"/>
  <c r="H9" i="6"/>
  <c r="I9" i="6"/>
  <c r="L11" i="4"/>
  <c r="H11" i="6"/>
  <c r="I11" i="6"/>
  <c r="L13" i="4"/>
  <c r="H13" i="6"/>
  <c r="I13" i="6"/>
  <c r="L17" i="4"/>
  <c r="H17" i="6"/>
  <c r="I17" i="6"/>
  <c r="L23" i="4"/>
  <c r="H23" i="6"/>
  <c r="I23" i="6"/>
  <c r="L25" i="4"/>
  <c r="H25" i="6"/>
  <c r="I25" i="6"/>
  <c r="L33" i="4"/>
  <c r="H33" i="6"/>
  <c r="I33" i="6"/>
  <c r="L35" i="4"/>
  <c r="H35" i="6"/>
  <c r="I35" i="6"/>
  <c r="L43" i="4"/>
  <c r="H43" i="6"/>
  <c r="I43" i="6"/>
  <c r="L45" i="4"/>
  <c r="H45" i="6"/>
  <c r="I45" i="6"/>
  <c r="L49" i="4"/>
  <c r="H49" i="6"/>
  <c r="I49" i="6"/>
  <c r="L51" i="4"/>
  <c r="H51" i="6"/>
  <c r="I51" i="6"/>
  <c r="L55" i="4"/>
  <c r="H55" i="6"/>
  <c r="I55" i="6"/>
  <c r="L59" i="4"/>
  <c r="H59" i="6"/>
  <c r="I59" i="6"/>
  <c r="L63" i="4"/>
  <c r="H63" i="6"/>
  <c r="I63" i="6"/>
  <c r="L65" i="4"/>
  <c r="H65" i="6"/>
  <c r="I65" i="6"/>
  <c r="L69" i="4"/>
  <c r="H69" i="6"/>
  <c r="I69" i="6"/>
  <c r="C340" i="6"/>
  <c r="C340" i="5"/>
  <c r="A375" i="6"/>
  <c r="A375" i="5"/>
  <c r="C376" i="6"/>
  <c r="C376" i="5"/>
  <c r="B381" i="6"/>
  <c r="B381" i="5"/>
  <c r="C392" i="6"/>
  <c r="C392" i="5"/>
  <c r="C408" i="6"/>
  <c r="C408" i="5"/>
  <c r="A439" i="6"/>
  <c r="A439" i="5"/>
  <c r="C440" i="6"/>
  <c r="C440" i="5"/>
  <c r="B445" i="6"/>
  <c r="B445" i="5"/>
  <c r="C456" i="6"/>
  <c r="C456" i="5"/>
  <c r="B513" i="6"/>
  <c r="B513" i="5"/>
  <c r="C528" i="6"/>
  <c r="C528" i="5"/>
  <c r="E528" i="4"/>
  <c r="C560" i="6"/>
  <c r="C560" i="5"/>
  <c r="E560" i="4"/>
  <c r="B609" i="6"/>
  <c r="B609" i="5"/>
  <c r="B625" i="6"/>
  <c r="B625" i="5"/>
  <c r="B641" i="6"/>
  <c r="B641" i="5"/>
  <c r="C684" i="6"/>
  <c r="C684" i="5"/>
  <c r="E684" i="4"/>
  <c r="B733" i="6"/>
  <c r="B733" i="5"/>
  <c r="C738" i="6"/>
  <c r="C738" i="5"/>
  <c r="E738" i="4"/>
  <c r="E739" i="4"/>
  <c r="J740" i="4"/>
  <c r="D740" i="6"/>
  <c r="I740" i="4"/>
  <c r="O740" i="5"/>
  <c r="B749" i="6"/>
  <c r="B749" i="5"/>
  <c r="C754" i="6"/>
  <c r="C754" i="5"/>
  <c r="E754" i="4"/>
  <c r="E755" i="4"/>
  <c r="J756" i="4"/>
  <c r="D756" i="6"/>
  <c r="I756" i="4"/>
  <c r="O756" i="5"/>
  <c r="B765" i="6"/>
  <c r="B765" i="5"/>
  <c r="B777" i="6"/>
  <c r="B777" i="5"/>
  <c r="C778" i="6"/>
  <c r="C778" i="5"/>
  <c r="E778" i="4"/>
  <c r="E779" i="4"/>
  <c r="B793" i="6"/>
  <c r="B793" i="5"/>
  <c r="C794" i="6"/>
  <c r="C794" i="5"/>
  <c r="E794" i="4"/>
  <c r="E795" i="4"/>
  <c r="B809" i="6"/>
  <c r="B809" i="5"/>
  <c r="C810" i="6"/>
  <c r="C810" i="5"/>
  <c r="E810" i="4"/>
  <c r="E811" i="4"/>
  <c r="C825" i="6"/>
  <c r="C825" i="5"/>
  <c r="E825" i="4"/>
  <c r="C853" i="6"/>
  <c r="C853" i="5"/>
  <c r="E853" i="4"/>
  <c r="D856" i="5"/>
  <c r="E856" i="5"/>
  <c r="L856" i="4"/>
  <c r="H856" i="6"/>
  <c r="I856" i="6"/>
  <c r="C858" i="6"/>
  <c r="C858" i="5"/>
  <c r="E858" i="4"/>
  <c r="B865" i="6"/>
  <c r="B865" i="5"/>
  <c r="D867" i="5"/>
  <c r="E867" i="5"/>
  <c r="L867" i="4"/>
  <c r="H867" i="6"/>
  <c r="I867" i="6"/>
  <c r="B886" i="6"/>
  <c r="B886" i="5"/>
  <c r="A888" i="6"/>
  <c r="A888" i="5"/>
  <c r="E903" i="4"/>
  <c r="A908" i="6"/>
  <c r="A908" i="5"/>
  <c r="B913" i="6"/>
  <c r="B913" i="5"/>
  <c r="D920" i="5"/>
  <c r="E920" i="5"/>
  <c r="L920" i="4"/>
  <c r="H920" i="6"/>
  <c r="I920" i="6"/>
  <c r="C922" i="6"/>
  <c r="C922" i="5"/>
  <c r="E922" i="4"/>
  <c r="B925" i="6"/>
  <c r="B925" i="5"/>
  <c r="D940" i="5"/>
  <c r="E940" i="5"/>
  <c r="L940" i="4"/>
  <c r="H940" i="6"/>
  <c r="I940" i="6"/>
  <c r="C973" i="6"/>
  <c r="C973" i="5"/>
  <c r="E973" i="4"/>
  <c r="B976" i="6"/>
  <c r="B976" i="5"/>
  <c r="C982" i="6"/>
  <c r="C982" i="5"/>
  <c r="E982" i="4"/>
  <c r="A984" i="6"/>
  <c r="A984" i="5"/>
  <c r="A990" i="6"/>
  <c r="A990" i="5"/>
  <c r="A1056" i="6"/>
  <c r="A1056" i="5"/>
  <c r="C1064" i="6"/>
  <c r="C1064" i="5"/>
  <c r="E1064" i="4"/>
  <c r="E1065" i="4"/>
  <c r="B1110" i="6"/>
  <c r="B1110" i="5"/>
  <c r="B16" i="5"/>
  <c r="B80" i="5"/>
  <c r="B140" i="5"/>
  <c r="L7" i="4"/>
  <c r="H7" i="6"/>
  <c r="I7" i="6"/>
  <c r="L15" i="4"/>
  <c r="H15" i="6"/>
  <c r="I15" i="6"/>
  <c r="L19" i="4"/>
  <c r="H19" i="6"/>
  <c r="I19" i="6"/>
  <c r="L21" i="4"/>
  <c r="H21" i="6"/>
  <c r="I21" i="6"/>
  <c r="L39" i="4"/>
  <c r="H39" i="6"/>
  <c r="I39" i="6"/>
  <c r="L41" i="4"/>
  <c r="H41" i="6"/>
  <c r="I41" i="6"/>
  <c r="L47" i="4"/>
  <c r="H47" i="6"/>
  <c r="I47" i="6"/>
  <c r="L53" i="4"/>
  <c r="H53" i="6"/>
  <c r="I53" i="6"/>
  <c r="L61" i="4"/>
  <c r="H61" i="6"/>
  <c r="I61" i="6"/>
  <c r="L67" i="4"/>
  <c r="H67" i="6"/>
  <c r="I67" i="6"/>
  <c r="L73" i="4"/>
  <c r="H73" i="6"/>
  <c r="I73" i="6"/>
  <c r="L75" i="4"/>
  <c r="H75" i="6"/>
  <c r="I75" i="6"/>
  <c r="L81" i="4"/>
  <c r="H81" i="6"/>
  <c r="I81" i="6"/>
  <c r="A407" i="6"/>
  <c r="A407" i="5"/>
  <c r="A423" i="6"/>
  <c r="A423" i="5"/>
  <c r="B429" i="6"/>
  <c r="B429" i="5"/>
  <c r="B461" i="6"/>
  <c r="B461" i="5"/>
  <c r="B525" i="6"/>
  <c r="B525" i="5"/>
  <c r="C544" i="6"/>
  <c r="C544" i="5"/>
  <c r="E544" i="4"/>
  <c r="B557" i="6"/>
  <c r="B557" i="5"/>
  <c r="C576" i="6"/>
  <c r="C576" i="5"/>
  <c r="E576" i="4"/>
  <c r="C612" i="6"/>
  <c r="C612" i="5"/>
  <c r="E612" i="4"/>
  <c r="B659" i="6"/>
  <c r="B659" i="5"/>
  <c r="C668" i="6"/>
  <c r="C668" i="5"/>
  <c r="E668" i="4"/>
  <c r="B675" i="6"/>
  <c r="B675" i="5"/>
  <c r="B691" i="6"/>
  <c r="B691" i="5"/>
  <c r="C85" i="1"/>
  <c r="A6" i="6"/>
  <c r="A6" i="5"/>
  <c r="A8" i="6"/>
  <c r="A8" i="5"/>
  <c r="A10" i="6"/>
  <c r="A10" i="5"/>
  <c r="A12" i="6"/>
  <c r="A12" i="5"/>
  <c r="A14" i="6"/>
  <c r="A14" i="5"/>
  <c r="A16" i="6"/>
  <c r="A16" i="5"/>
  <c r="A18" i="6"/>
  <c r="A18" i="5"/>
  <c r="A20" i="6"/>
  <c r="A20" i="5"/>
  <c r="A22" i="6"/>
  <c r="A22" i="5"/>
  <c r="A24" i="6"/>
  <c r="A24" i="5"/>
  <c r="A26" i="6"/>
  <c r="A26" i="5"/>
  <c r="A28" i="6"/>
  <c r="A28" i="5"/>
  <c r="A30" i="6"/>
  <c r="A30" i="5"/>
  <c r="A32" i="6"/>
  <c r="A32" i="5"/>
  <c r="A34" i="6"/>
  <c r="A34" i="5"/>
  <c r="A36" i="6"/>
  <c r="A36" i="5"/>
  <c r="A38" i="6"/>
  <c r="A38" i="5"/>
  <c r="A40" i="6"/>
  <c r="A40" i="5"/>
  <c r="A42" i="6"/>
  <c r="A42" i="5"/>
  <c r="A44" i="6"/>
  <c r="A44" i="5"/>
  <c r="A46" i="6"/>
  <c r="A46" i="5"/>
  <c r="A48" i="6"/>
  <c r="A48" i="5"/>
  <c r="A50" i="6"/>
  <c r="A50" i="5"/>
  <c r="A52" i="6"/>
  <c r="A52" i="5"/>
  <c r="A54" i="6"/>
  <c r="A54" i="5"/>
  <c r="A56" i="6"/>
  <c r="A56" i="5"/>
  <c r="A58" i="6"/>
  <c r="A58" i="5"/>
  <c r="A60" i="6"/>
  <c r="A60" i="5"/>
  <c r="A62" i="6"/>
  <c r="A62" i="5"/>
  <c r="A64" i="6"/>
  <c r="A64" i="5"/>
  <c r="A66" i="6"/>
  <c r="A66" i="5"/>
  <c r="A68" i="6"/>
  <c r="A68" i="5"/>
  <c r="A70" i="6"/>
  <c r="A70" i="5"/>
  <c r="A72" i="6"/>
  <c r="A72" i="5"/>
  <c r="A74" i="6"/>
  <c r="A74" i="5"/>
  <c r="A76" i="6"/>
  <c r="A76" i="5"/>
  <c r="A78" i="6"/>
  <c r="A78" i="5"/>
  <c r="A80" i="6"/>
  <c r="A80" i="5"/>
  <c r="A82" i="6"/>
  <c r="A82" i="5"/>
  <c r="A84" i="6"/>
  <c r="A84" i="5"/>
  <c r="A86" i="6"/>
  <c r="A86" i="5"/>
  <c r="A88" i="6"/>
  <c r="A88" i="5"/>
  <c r="A90" i="6"/>
  <c r="A90" i="5"/>
  <c r="A92" i="6"/>
  <c r="A92" i="5"/>
  <c r="A94" i="6"/>
  <c r="A94" i="5"/>
  <c r="A96" i="6"/>
  <c r="A96" i="5"/>
  <c r="A98" i="6"/>
  <c r="A98" i="5"/>
  <c r="A100" i="6"/>
  <c r="A100" i="5"/>
  <c r="A102" i="6"/>
  <c r="A102" i="5"/>
  <c r="A104" i="6"/>
  <c r="A104" i="5"/>
  <c r="A126" i="6"/>
  <c r="A126" i="5"/>
  <c r="I126" i="4"/>
  <c r="O126" i="5"/>
  <c r="A128" i="6"/>
  <c r="A128" i="5"/>
  <c r="A130" i="6"/>
  <c r="A130" i="5"/>
  <c r="A132" i="6"/>
  <c r="A132" i="5"/>
  <c r="A134" i="6"/>
  <c r="A134" i="5"/>
  <c r="A136" i="6"/>
  <c r="A136" i="5"/>
  <c r="A138" i="6"/>
  <c r="A138" i="5"/>
  <c r="A140" i="6"/>
  <c r="A140" i="5"/>
  <c r="A142" i="6"/>
  <c r="A142" i="5"/>
  <c r="A144" i="6"/>
  <c r="A144" i="5"/>
  <c r="A146" i="6"/>
  <c r="A146" i="5"/>
  <c r="A148" i="6"/>
  <c r="A148" i="5"/>
  <c r="A150" i="6"/>
  <c r="A150" i="5"/>
  <c r="A152" i="6"/>
  <c r="A152" i="5"/>
  <c r="A154" i="6"/>
  <c r="A154" i="5"/>
  <c r="A156" i="6"/>
  <c r="A156" i="5"/>
  <c r="A158" i="6"/>
  <c r="A158" i="5"/>
  <c r="A160" i="6"/>
  <c r="A160" i="5"/>
  <c r="A162" i="6"/>
  <c r="A162" i="5"/>
  <c r="A164" i="6"/>
  <c r="A164" i="5"/>
  <c r="A166" i="6"/>
  <c r="A166" i="5"/>
  <c r="A168" i="6"/>
  <c r="A168" i="5"/>
  <c r="A170" i="6"/>
  <c r="A170" i="5"/>
  <c r="A172" i="6"/>
  <c r="A172" i="5"/>
  <c r="A174" i="6"/>
  <c r="A174" i="5"/>
  <c r="A176" i="6"/>
  <c r="A176" i="5"/>
  <c r="A178" i="6"/>
  <c r="A178" i="5"/>
  <c r="A180" i="6"/>
  <c r="A180" i="5"/>
  <c r="A182" i="6"/>
  <c r="A182" i="5"/>
  <c r="A184" i="6"/>
  <c r="A184" i="5"/>
  <c r="A186" i="6"/>
  <c r="A186" i="5"/>
  <c r="A188" i="6"/>
  <c r="A188" i="5"/>
  <c r="A190" i="6"/>
  <c r="A190" i="5"/>
  <c r="A192" i="6"/>
  <c r="A192" i="5"/>
  <c r="A194" i="6"/>
  <c r="A194" i="5"/>
  <c r="A196" i="6"/>
  <c r="A196" i="5"/>
  <c r="A198" i="6"/>
  <c r="A198" i="5"/>
  <c r="A200" i="6"/>
  <c r="A200" i="5"/>
  <c r="A202" i="6"/>
  <c r="A202" i="5"/>
  <c r="A204" i="6"/>
  <c r="A204" i="5"/>
  <c r="A206" i="6"/>
  <c r="A206" i="5"/>
  <c r="A208" i="6"/>
  <c r="A208" i="5"/>
  <c r="A210" i="6"/>
  <c r="A210" i="5"/>
  <c r="A212" i="6"/>
  <c r="A212" i="5"/>
  <c r="A214" i="6"/>
  <c r="A214" i="5"/>
  <c r="A216" i="6"/>
  <c r="A216" i="5"/>
  <c r="A218" i="6"/>
  <c r="A218" i="5"/>
  <c r="A220" i="6"/>
  <c r="A220" i="5"/>
  <c r="A222" i="6"/>
  <c r="A222" i="5"/>
  <c r="A224" i="6"/>
  <c r="A224" i="5"/>
  <c r="A246" i="6"/>
  <c r="A246" i="5"/>
  <c r="I246" i="4"/>
  <c r="O246" i="5"/>
  <c r="A248" i="6"/>
  <c r="A248" i="5"/>
  <c r="A250" i="6"/>
  <c r="A250" i="5"/>
  <c r="A252" i="6"/>
  <c r="A252" i="5"/>
  <c r="A254" i="6"/>
  <c r="A254" i="5"/>
  <c r="A256" i="6"/>
  <c r="A256" i="5"/>
  <c r="A258" i="6"/>
  <c r="A258" i="5"/>
  <c r="A260" i="6"/>
  <c r="A260" i="5"/>
  <c r="A262" i="6"/>
  <c r="A262" i="5"/>
  <c r="A264" i="6"/>
  <c r="A264" i="5"/>
  <c r="A266" i="6"/>
  <c r="A266" i="5"/>
  <c r="A268" i="6"/>
  <c r="A268" i="5"/>
  <c r="A270" i="6"/>
  <c r="A270" i="5"/>
  <c r="A272" i="6"/>
  <c r="A272" i="5"/>
  <c r="A274" i="6"/>
  <c r="A274" i="5"/>
  <c r="A276" i="6"/>
  <c r="A276" i="5"/>
  <c r="A278" i="6"/>
  <c r="A278" i="5"/>
  <c r="A280" i="6"/>
  <c r="A280" i="5"/>
  <c r="A282" i="6"/>
  <c r="A282" i="5"/>
  <c r="A284" i="6"/>
  <c r="A284" i="5"/>
  <c r="A286" i="6"/>
  <c r="A286" i="5"/>
  <c r="A288" i="6"/>
  <c r="A288" i="5"/>
  <c r="A290" i="6"/>
  <c r="A290" i="5"/>
  <c r="A292" i="6"/>
  <c r="A292" i="5"/>
  <c r="A294" i="6"/>
  <c r="A294" i="5"/>
  <c r="A296" i="6"/>
  <c r="A296" i="5"/>
  <c r="A298" i="6"/>
  <c r="A298" i="5"/>
  <c r="A300" i="6"/>
  <c r="A300" i="5"/>
  <c r="A302" i="6"/>
  <c r="A302" i="5"/>
  <c r="A304" i="6"/>
  <c r="A304" i="5"/>
  <c r="A306" i="6"/>
  <c r="A306" i="5"/>
  <c r="A308" i="6"/>
  <c r="A308" i="5"/>
  <c r="A310" i="6"/>
  <c r="A310" i="5"/>
  <c r="A312" i="6"/>
  <c r="A312" i="5"/>
  <c r="A314" i="6"/>
  <c r="A314" i="5"/>
  <c r="A316" i="6"/>
  <c r="A316" i="5"/>
  <c r="A318" i="6"/>
  <c r="A318" i="5"/>
  <c r="A320" i="6"/>
  <c r="A320" i="5"/>
  <c r="A322" i="6"/>
  <c r="A322" i="5"/>
  <c r="A324" i="6"/>
  <c r="A324" i="5"/>
  <c r="A326" i="6"/>
  <c r="A326" i="5"/>
  <c r="A328" i="6"/>
  <c r="A328" i="5"/>
  <c r="A330" i="6"/>
  <c r="A330" i="5"/>
  <c r="A333" i="6"/>
  <c r="A333" i="5"/>
  <c r="C334" i="6"/>
  <c r="C334" i="5"/>
  <c r="B339" i="6"/>
  <c r="B339" i="5"/>
  <c r="E341" i="4"/>
  <c r="L342" i="4"/>
  <c r="H342" i="6"/>
  <c r="I342" i="6"/>
  <c r="L345" i="4"/>
  <c r="H345" i="6"/>
  <c r="I345" i="6"/>
  <c r="H366" i="4"/>
  <c r="A369" i="6"/>
  <c r="A369" i="5"/>
  <c r="C370" i="6"/>
  <c r="C370" i="5"/>
  <c r="B375" i="6"/>
  <c r="B375" i="5"/>
  <c r="E377" i="4"/>
  <c r="L378" i="4"/>
  <c r="H378" i="6"/>
  <c r="I378" i="6"/>
  <c r="L381" i="4"/>
  <c r="H381" i="6"/>
  <c r="I381" i="6"/>
  <c r="A385" i="6"/>
  <c r="A385" i="5"/>
  <c r="C386" i="6"/>
  <c r="C386" i="5"/>
  <c r="B391" i="6"/>
  <c r="B391" i="5"/>
  <c r="E393" i="4"/>
  <c r="L394" i="4"/>
  <c r="H394" i="6"/>
  <c r="I394" i="6"/>
  <c r="L397" i="4"/>
  <c r="H397" i="6"/>
  <c r="I397" i="6"/>
  <c r="A401" i="6"/>
  <c r="A401" i="5"/>
  <c r="C402" i="6"/>
  <c r="C402" i="5"/>
  <c r="B407" i="6"/>
  <c r="B407" i="5"/>
  <c r="E409" i="4"/>
  <c r="L410" i="4"/>
  <c r="H410" i="6"/>
  <c r="I410" i="6"/>
  <c r="L413" i="4"/>
  <c r="H413" i="6"/>
  <c r="I413" i="6"/>
  <c r="A417" i="6"/>
  <c r="A417" i="5"/>
  <c r="C418" i="6"/>
  <c r="C418" i="5"/>
  <c r="B423" i="6"/>
  <c r="B423" i="5"/>
  <c r="E425" i="4"/>
  <c r="L426" i="4"/>
  <c r="H426" i="6"/>
  <c r="I426" i="6"/>
  <c r="L429" i="4"/>
  <c r="H429" i="6"/>
  <c r="I429" i="6"/>
  <c r="A433" i="6"/>
  <c r="A433" i="5"/>
  <c r="C434" i="6"/>
  <c r="C434" i="5"/>
  <c r="B439" i="6"/>
  <c r="B439" i="5"/>
  <c r="E441" i="4"/>
  <c r="L442" i="4"/>
  <c r="H442" i="6"/>
  <c r="I442" i="6"/>
  <c r="L445" i="4"/>
  <c r="H445" i="6"/>
  <c r="I445" i="6"/>
  <c r="A449" i="6"/>
  <c r="A449" i="5"/>
  <c r="C450" i="6"/>
  <c r="C450" i="5"/>
  <c r="B455" i="6"/>
  <c r="B455" i="5"/>
  <c r="L458" i="4"/>
  <c r="H458" i="6"/>
  <c r="I458" i="6"/>
  <c r="L461" i="4"/>
  <c r="H461" i="6"/>
  <c r="I461" i="6"/>
  <c r="A465" i="6"/>
  <c r="A465" i="5"/>
  <c r="C486" i="6"/>
  <c r="C486" i="5"/>
  <c r="B491" i="6"/>
  <c r="B491" i="5"/>
  <c r="E493" i="4"/>
  <c r="L494" i="4"/>
  <c r="H494" i="6"/>
  <c r="I494" i="6"/>
  <c r="L497" i="4"/>
  <c r="H497" i="6"/>
  <c r="I497" i="6"/>
  <c r="A501" i="6"/>
  <c r="A501" i="5"/>
  <c r="C502" i="6"/>
  <c r="C502" i="5"/>
  <c r="B507" i="6"/>
  <c r="B507" i="5"/>
  <c r="E509" i="4"/>
  <c r="L510" i="4"/>
  <c r="H510" i="6"/>
  <c r="I510" i="6"/>
  <c r="L513" i="4"/>
  <c r="H513" i="6"/>
  <c r="I513" i="6"/>
  <c r="A517" i="6"/>
  <c r="A517" i="5"/>
  <c r="C518" i="6"/>
  <c r="C518" i="5"/>
  <c r="L526" i="4"/>
  <c r="H526" i="6"/>
  <c r="I526" i="6"/>
  <c r="E529" i="4"/>
  <c r="B531" i="6"/>
  <c r="B531" i="5"/>
  <c r="L531" i="4"/>
  <c r="H531" i="6"/>
  <c r="I531" i="6"/>
  <c r="C534" i="6"/>
  <c r="C534" i="5"/>
  <c r="E534" i="4"/>
  <c r="L542" i="4"/>
  <c r="H542" i="6"/>
  <c r="I542" i="6"/>
  <c r="E545" i="4"/>
  <c r="B547" i="6"/>
  <c r="B547" i="5"/>
  <c r="L547" i="4"/>
  <c r="H547" i="6"/>
  <c r="I547" i="6"/>
  <c r="C550" i="6"/>
  <c r="C550" i="5"/>
  <c r="E550" i="4"/>
  <c r="L558" i="4"/>
  <c r="H558" i="6"/>
  <c r="I558" i="6"/>
  <c r="E561" i="4"/>
  <c r="B563" i="6"/>
  <c r="B563" i="5"/>
  <c r="L563" i="4"/>
  <c r="H563" i="6"/>
  <c r="I563" i="6"/>
  <c r="C566" i="6"/>
  <c r="C566" i="5"/>
  <c r="E566" i="4"/>
  <c r="L574" i="4"/>
  <c r="H574" i="6"/>
  <c r="I574" i="6"/>
  <c r="E577" i="4"/>
  <c r="B579" i="6"/>
  <c r="B579" i="5"/>
  <c r="L579" i="4"/>
  <c r="H579" i="6"/>
  <c r="I579" i="6"/>
  <c r="C582" i="6"/>
  <c r="C582" i="5"/>
  <c r="E582" i="4"/>
  <c r="H606" i="4"/>
  <c r="L610" i="4"/>
  <c r="H610" i="6"/>
  <c r="I610" i="6"/>
  <c r="E613" i="4"/>
  <c r="B615" i="6"/>
  <c r="B615" i="5"/>
  <c r="L615" i="4"/>
  <c r="H615" i="6"/>
  <c r="I615" i="6"/>
  <c r="C618" i="6"/>
  <c r="C618" i="5"/>
  <c r="E618" i="4"/>
  <c r="L626" i="4"/>
  <c r="H626" i="6"/>
  <c r="I626" i="6"/>
  <c r="E629" i="4"/>
  <c r="B631" i="6"/>
  <c r="B631" i="5"/>
  <c r="L631" i="4"/>
  <c r="H631" i="6"/>
  <c r="I631" i="6"/>
  <c r="C634" i="6"/>
  <c r="C634" i="5"/>
  <c r="E634" i="4"/>
  <c r="L642" i="4"/>
  <c r="H642" i="6"/>
  <c r="I642" i="6"/>
  <c r="E645" i="4"/>
  <c r="B647" i="6"/>
  <c r="B647" i="5"/>
  <c r="L647" i="4"/>
  <c r="H647" i="6"/>
  <c r="I647" i="6"/>
  <c r="C650" i="6"/>
  <c r="C650" i="5"/>
  <c r="E650" i="4"/>
  <c r="B661" i="6"/>
  <c r="B661" i="5"/>
  <c r="L664" i="4"/>
  <c r="H664" i="6"/>
  <c r="I664" i="6"/>
  <c r="C670" i="6"/>
  <c r="C670" i="5"/>
  <c r="E670" i="4"/>
  <c r="B677" i="6"/>
  <c r="B677" i="5"/>
  <c r="L680" i="4"/>
  <c r="H680" i="6"/>
  <c r="I680" i="6"/>
  <c r="C686" i="6"/>
  <c r="C686" i="5"/>
  <c r="E686" i="4"/>
  <c r="B693" i="6"/>
  <c r="B693" i="5"/>
  <c r="L696" i="4"/>
  <c r="H696" i="6"/>
  <c r="I696" i="6"/>
  <c r="B705" i="6"/>
  <c r="B705" i="5"/>
  <c r="B731" i="6"/>
  <c r="B731" i="5"/>
  <c r="C736" i="6"/>
  <c r="C736" i="5"/>
  <c r="E736" i="4"/>
  <c r="E737" i="4"/>
  <c r="H737" i="4"/>
  <c r="H738" i="4"/>
  <c r="J739" i="4"/>
  <c r="D739" i="6"/>
  <c r="B747" i="6"/>
  <c r="B747" i="5"/>
  <c r="C752" i="6"/>
  <c r="C752" i="5"/>
  <c r="E752" i="4"/>
  <c r="E753" i="4"/>
  <c r="H753" i="4"/>
  <c r="H754" i="4"/>
  <c r="J755" i="4"/>
  <c r="D755" i="6"/>
  <c r="B763" i="6"/>
  <c r="B763" i="5"/>
  <c r="D765" i="4"/>
  <c r="D766" i="4"/>
  <c r="B771" i="6"/>
  <c r="B771" i="5"/>
  <c r="C772" i="6"/>
  <c r="C772" i="5"/>
  <c r="E772" i="4"/>
  <c r="E773" i="4"/>
  <c r="B787" i="6"/>
  <c r="B787" i="5"/>
  <c r="C788" i="6"/>
  <c r="C788" i="5"/>
  <c r="E788" i="4"/>
  <c r="E789" i="4"/>
  <c r="B803" i="6"/>
  <c r="B803" i="5"/>
  <c r="C804" i="6"/>
  <c r="C804" i="5"/>
  <c r="E804" i="4"/>
  <c r="E805" i="4"/>
  <c r="B819" i="6"/>
  <c r="B819" i="5"/>
  <c r="C820" i="6"/>
  <c r="C820" i="5"/>
  <c r="E820" i="4"/>
  <c r="E821" i="4"/>
  <c r="A860" i="6"/>
  <c r="A860" i="5"/>
  <c r="B877" i="6"/>
  <c r="B877" i="5"/>
  <c r="B882" i="6"/>
  <c r="B882" i="5"/>
  <c r="C886" i="6"/>
  <c r="C886" i="5"/>
  <c r="E886" i="4"/>
  <c r="D903" i="5"/>
  <c r="E903" i="5"/>
  <c r="L903" i="4"/>
  <c r="H903" i="6"/>
  <c r="I903" i="6"/>
  <c r="C905" i="6"/>
  <c r="C905" i="5"/>
  <c r="E905" i="4"/>
  <c r="C917" i="6"/>
  <c r="C917" i="5"/>
  <c r="E917" i="4"/>
  <c r="B930" i="6"/>
  <c r="B930" i="5"/>
  <c r="D931" i="5"/>
  <c r="E931" i="5"/>
  <c r="L931" i="4"/>
  <c r="H931" i="6"/>
  <c r="I931" i="6"/>
  <c r="G968" i="4"/>
  <c r="B981" i="6"/>
  <c r="B981" i="5"/>
  <c r="A986" i="6"/>
  <c r="A986" i="5"/>
  <c r="E993" i="4"/>
  <c r="D1002" i="5"/>
  <c r="E1002" i="5"/>
  <c r="L1002" i="4"/>
  <c r="H1002" i="6"/>
  <c r="I1002" i="6"/>
  <c r="D1010" i="5"/>
  <c r="E1010" i="5"/>
  <c r="L1010" i="4"/>
  <c r="H1010" i="6"/>
  <c r="I1010" i="6"/>
  <c r="C1012" i="6"/>
  <c r="C1012" i="5"/>
  <c r="E1012" i="4"/>
  <c r="E1013" i="4"/>
  <c r="B1019" i="6"/>
  <c r="B1019" i="5"/>
  <c r="B1024" i="6"/>
  <c r="B1024" i="5"/>
  <c r="C1027" i="6"/>
  <c r="C1027" i="5"/>
  <c r="E1027" i="4"/>
  <c r="B1032" i="6"/>
  <c r="B1032" i="5"/>
  <c r="C1044" i="6"/>
  <c r="C1044" i="5"/>
  <c r="E1044" i="4"/>
  <c r="E1045" i="4"/>
  <c r="A1088" i="6"/>
  <c r="A1088" i="5"/>
  <c r="B1098" i="6"/>
  <c r="B1098" i="5"/>
  <c r="C1103" i="6"/>
  <c r="C1103" i="5"/>
  <c r="E1103" i="4"/>
  <c r="C1159" i="6"/>
  <c r="C1159" i="5"/>
  <c r="E1159" i="4"/>
  <c r="B20" i="5"/>
  <c r="B84" i="5"/>
  <c r="B184" i="5"/>
  <c r="Y14" i="8"/>
  <c r="X13" i="8"/>
  <c r="Z13" i="8"/>
  <c r="X9" i="8"/>
  <c r="Z9" i="8"/>
  <c r="X15" i="8"/>
  <c r="Z15" i="8"/>
  <c r="Y13" i="8"/>
  <c r="X11" i="8"/>
  <c r="Z11" i="8"/>
  <c r="X14" i="8"/>
  <c r="Z14" i="8"/>
  <c r="X12" i="8"/>
  <c r="Z12" i="8"/>
  <c r="X6" i="8"/>
  <c r="Z6" i="8"/>
  <c r="B41" i="7"/>
  <c r="D44" i="1"/>
  <c r="Y15" i="8"/>
  <c r="Y8" i="8"/>
  <c r="X7" i="8"/>
  <c r="Z7" i="8"/>
  <c r="Y11" i="8"/>
  <c r="X8" i="8"/>
  <c r="Z8" i="8"/>
  <c r="Y6" i="8"/>
  <c r="X10" i="8"/>
  <c r="Z10" i="8"/>
  <c r="L27" i="4"/>
  <c r="H27" i="6"/>
  <c r="I27" i="6"/>
  <c r="L29" i="4"/>
  <c r="H29" i="6"/>
  <c r="I29" i="6"/>
  <c r="L31" i="4"/>
  <c r="H31" i="6"/>
  <c r="I31" i="6"/>
  <c r="L37" i="4"/>
  <c r="H37" i="6"/>
  <c r="I37" i="6"/>
  <c r="L57" i="4"/>
  <c r="H57" i="6"/>
  <c r="I57" i="6"/>
  <c r="L71" i="4"/>
  <c r="H71" i="6"/>
  <c r="I71" i="6"/>
  <c r="L77" i="4"/>
  <c r="H77" i="6"/>
  <c r="I77" i="6"/>
  <c r="L79" i="4"/>
  <c r="H79" i="6"/>
  <c r="I79" i="6"/>
  <c r="L83" i="4"/>
  <c r="H83" i="6"/>
  <c r="I83" i="6"/>
  <c r="L85" i="4"/>
  <c r="H85" i="6"/>
  <c r="I85" i="6"/>
  <c r="L87" i="4"/>
  <c r="H87" i="6"/>
  <c r="I87" i="6"/>
  <c r="A339" i="6"/>
  <c r="A339" i="5"/>
  <c r="B345" i="6"/>
  <c r="B345" i="5"/>
  <c r="A391" i="6"/>
  <c r="A391" i="5"/>
  <c r="B397" i="6"/>
  <c r="B397" i="5"/>
  <c r="B413" i="6"/>
  <c r="B413" i="5"/>
  <c r="C424" i="6"/>
  <c r="C424" i="5"/>
  <c r="A455" i="6"/>
  <c r="A455" i="5"/>
  <c r="A491" i="6"/>
  <c r="A491" i="5"/>
  <c r="C492" i="6"/>
  <c r="C492" i="5"/>
  <c r="B497" i="6"/>
  <c r="B497" i="5"/>
  <c r="A507" i="6"/>
  <c r="A507" i="5"/>
  <c r="C508" i="6"/>
  <c r="C508" i="5"/>
  <c r="B541" i="6"/>
  <c r="B541" i="5"/>
  <c r="B573" i="6"/>
  <c r="B573" i="5"/>
  <c r="C628" i="6"/>
  <c r="C628" i="5"/>
  <c r="E628" i="4"/>
  <c r="C644" i="6"/>
  <c r="C644" i="5"/>
  <c r="E644" i="4"/>
  <c r="B12" i="1"/>
  <c r="D64" i="1"/>
  <c r="B6" i="6"/>
  <c r="B6" i="5"/>
  <c r="C7" i="6"/>
  <c r="C7" i="5"/>
  <c r="B8" i="6"/>
  <c r="B8" i="5"/>
  <c r="C9" i="6"/>
  <c r="C9" i="5"/>
  <c r="B10" i="6"/>
  <c r="B10" i="5"/>
  <c r="C11" i="6"/>
  <c r="C11" i="5"/>
  <c r="B12" i="6"/>
  <c r="B12" i="5"/>
  <c r="C13" i="6"/>
  <c r="C13" i="5"/>
  <c r="B14" i="6"/>
  <c r="B14" i="5"/>
  <c r="C15" i="6"/>
  <c r="C15" i="5"/>
  <c r="C17" i="6"/>
  <c r="C17" i="5"/>
  <c r="B18" i="6"/>
  <c r="B18" i="5"/>
  <c r="C19" i="6"/>
  <c r="C19" i="5"/>
  <c r="C21" i="6"/>
  <c r="C21" i="5"/>
  <c r="B22" i="6"/>
  <c r="B22" i="5"/>
  <c r="C23" i="6"/>
  <c r="C23" i="5"/>
  <c r="B24" i="6"/>
  <c r="B24" i="5"/>
  <c r="C25" i="6"/>
  <c r="C25" i="5"/>
  <c r="B26" i="6"/>
  <c r="B26" i="5"/>
  <c r="C27" i="6"/>
  <c r="C27" i="5"/>
  <c r="B28" i="6"/>
  <c r="B28" i="5"/>
  <c r="C29" i="6"/>
  <c r="C29" i="5"/>
  <c r="B30" i="6"/>
  <c r="B30" i="5"/>
  <c r="C31" i="6"/>
  <c r="C31" i="5"/>
  <c r="C33" i="6"/>
  <c r="C33" i="5"/>
  <c r="B34" i="6"/>
  <c r="B34" i="5"/>
  <c r="C35" i="6"/>
  <c r="C35" i="5"/>
  <c r="C37" i="6"/>
  <c r="C37" i="5"/>
  <c r="B38" i="6"/>
  <c r="B38" i="5"/>
  <c r="C39" i="6"/>
  <c r="C39" i="5"/>
  <c r="B40" i="6"/>
  <c r="B40" i="5"/>
  <c r="C41" i="6"/>
  <c r="C41" i="5"/>
  <c r="B42" i="6"/>
  <c r="B42" i="5"/>
  <c r="C43" i="6"/>
  <c r="C43" i="5"/>
  <c r="B44" i="6"/>
  <c r="B44" i="5"/>
  <c r="C45" i="6"/>
  <c r="C45" i="5"/>
  <c r="B46" i="6"/>
  <c r="B46" i="5"/>
  <c r="C47" i="6"/>
  <c r="C47" i="5"/>
  <c r="C49" i="6"/>
  <c r="C49" i="5"/>
  <c r="B50" i="6"/>
  <c r="B50" i="5"/>
  <c r="C51" i="6"/>
  <c r="C51" i="5"/>
  <c r="C53" i="6"/>
  <c r="C53" i="5"/>
  <c r="B54" i="6"/>
  <c r="B54" i="5"/>
  <c r="C55" i="6"/>
  <c r="C55" i="5"/>
  <c r="B56" i="6"/>
  <c r="B56" i="5"/>
  <c r="C57" i="6"/>
  <c r="C57" i="5"/>
  <c r="B58" i="6"/>
  <c r="B58" i="5"/>
  <c r="C59" i="6"/>
  <c r="C59" i="5"/>
  <c r="B60" i="6"/>
  <c r="B60" i="5"/>
  <c r="C61" i="6"/>
  <c r="C61" i="5"/>
  <c r="B62" i="6"/>
  <c r="B62" i="5"/>
  <c r="C63" i="6"/>
  <c r="C63" i="5"/>
  <c r="C65" i="6"/>
  <c r="C65" i="5"/>
  <c r="B66" i="6"/>
  <c r="B66" i="5"/>
  <c r="C67" i="6"/>
  <c r="C67" i="5"/>
  <c r="C69" i="6"/>
  <c r="C69" i="5"/>
  <c r="B70" i="6"/>
  <c r="B70" i="5"/>
  <c r="C71" i="6"/>
  <c r="C71" i="5"/>
  <c r="B72" i="6"/>
  <c r="B72" i="5"/>
  <c r="C73" i="6"/>
  <c r="C73" i="5"/>
  <c r="B74" i="6"/>
  <c r="B74" i="5"/>
  <c r="C75" i="6"/>
  <c r="C75" i="5"/>
  <c r="B76" i="6"/>
  <c r="B76" i="5"/>
  <c r="C77" i="6"/>
  <c r="C77" i="5"/>
  <c r="B78" i="6"/>
  <c r="B78" i="5"/>
  <c r="C79" i="6"/>
  <c r="C79" i="5"/>
  <c r="C81" i="6"/>
  <c r="C81" i="5"/>
  <c r="B82" i="6"/>
  <c r="B82" i="5"/>
  <c r="C83" i="6"/>
  <c r="C83" i="5"/>
  <c r="C85" i="6"/>
  <c r="C85" i="5"/>
  <c r="B86" i="6"/>
  <c r="B86" i="5"/>
  <c r="C87" i="6"/>
  <c r="C87" i="5"/>
  <c r="B88" i="6"/>
  <c r="B88" i="5"/>
  <c r="C89" i="6"/>
  <c r="C89" i="5"/>
  <c r="B90" i="6"/>
  <c r="B90" i="5"/>
  <c r="C91" i="6"/>
  <c r="C91" i="5"/>
  <c r="B92" i="6"/>
  <c r="B92" i="5"/>
  <c r="C93" i="6"/>
  <c r="C93" i="5"/>
  <c r="B94" i="6"/>
  <c r="B94" i="5"/>
  <c r="C95" i="6"/>
  <c r="C95" i="5"/>
  <c r="C97" i="6"/>
  <c r="C97" i="5"/>
  <c r="B98" i="6"/>
  <c r="B98" i="5"/>
  <c r="C99" i="6"/>
  <c r="C99" i="5"/>
  <c r="C101" i="6"/>
  <c r="C101" i="5"/>
  <c r="B102" i="6"/>
  <c r="B102" i="5"/>
  <c r="C103" i="6"/>
  <c r="C103" i="5"/>
  <c r="B104" i="6"/>
  <c r="B104" i="5"/>
  <c r="C105" i="6"/>
  <c r="C105" i="5"/>
  <c r="B126" i="6"/>
  <c r="B126" i="5"/>
  <c r="C127" i="6"/>
  <c r="C127" i="5"/>
  <c r="B128" i="6"/>
  <c r="B128" i="5"/>
  <c r="C129" i="6"/>
  <c r="C129" i="5"/>
  <c r="B130" i="6"/>
  <c r="B130" i="5"/>
  <c r="C131" i="6"/>
  <c r="C131" i="5"/>
  <c r="B132" i="6"/>
  <c r="B132" i="5"/>
  <c r="C133" i="6"/>
  <c r="C133" i="5"/>
  <c r="B134" i="6"/>
  <c r="B134" i="5"/>
  <c r="C135" i="6"/>
  <c r="C135" i="5"/>
  <c r="C137" i="6"/>
  <c r="C137" i="5"/>
  <c r="B138" i="6"/>
  <c r="B138" i="5"/>
  <c r="C139" i="6"/>
  <c r="C139" i="5"/>
  <c r="C141" i="6"/>
  <c r="C141" i="5"/>
  <c r="B142" i="6"/>
  <c r="B142" i="5"/>
  <c r="C143" i="6"/>
  <c r="C143" i="5"/>
  <c r="B144" i="6"/>
  <c r="B144" i="5"/>
  <c r="C145" i="6"/>
  <c r="C145" i="5"/>
  <c r="B146" i="6"/>
  <c r="B146" i="5"/>
  <c r="C147" i="6"/>
  <c r="C147" i="5"/>
  <c r="B148" i="6"/>
  <c r="B148" i="5"/>
  <c r="C149" i="6"/>
  <c r="C149" i="5"/>
  <c r="B150" i="6"/>
  <c r="B150" i="5"/>
  <c r="C151" i="6"/>
  <c r="C151" i="5"/>
  <c r="C153" i="6"/>
  <c r="C153" i="5"/>
  <c r="B154" i="6"/>
  <c r="B154" i="5"/>
  <c r="C155" i="6"/>
  <c r="C155" i="5"/>
  <c r="C157" i="6"/>
  <c r="C157" i="5"/>
  <c r="B158" i="6"/>
  <c r="B158" i="5"/>
  <c r="C159" i="6"/>
  <c r="C159" i="5"/>
  <c r="B160" i="6"/>
  <c r="B160" i="5"/>
  <c r="C161" i="6"/>
  <c r="C161" i="5"/>
  <c r="B162" i="6"/>
  <c r="B162" i="5"/>
  <c r="C163" i="6"/>
  <c r="C163" i="5"/>
  <c r="B164" i="6"/>
  <c r="B164" i="5"/>
  <c r="C165" i="6"/>
  <c r="C165" i="5"/>
  <c r="B166" i="6"/>
  <c r="B166" i="5"/>
  <c r="C167" i="6"/>
  <c r="C167" i="5"/>
  <c r="C169" i="6"/>
  <c r="C169" i="5"/>
  <c r="B170" i="6"/>
  <c r="B170" i="5"/>
  <c r="C171" i="6"/>
  <c r="C171" i="5"/>
  <c r="C173" i="6"/>
  <c r="C173" i="5"/>
  <c r="B174" i="6"/>
  <c r="B174" i="5"/>
  <c r="C175" i="6"/>
  <c r="C175" i="5"/>
  <c r="B176" i="6"/>
  <c r="B176" i="5"/>
  <c r="C177" i="6"/>
  <c r="C177" i="5"/>
  <c r="B178" i="6"/>
  <c r="B178" i="5"/>
  <c r="C179" i="6"/>
  <c r="C179" i="5"/>
  <c r="B180" i="6"/>
  <c r="B180" i="5"/>
  <c r="C181" i="6"/>
  <c r="C181" i="5"/>
  <c r="B182" i="6"/>
  <c r="B182" i="5"/>
  <c r="C183" i="6"/>
  <c r="C183" i="5"/>
  <c r="C185" i="6"/>
  <c r="C185" i="5"/>
  <c r="B186" i="6"/>
  <c r="B186" i="5"/>
  <c r="C187" i="6"/>
  <c r="C187" i="5"/>
  <c r="C189" i="6"/>
  <c r="C189" i="5"/>
  <c r="B190" i="6"/>
  <c r="B190" i="5"/>
  <c r="C191" i="6"/>
  <c r="C191" i="5"/>
  <c r="B192" i="6"/>
  <c r="B192" i="5"/>
  <c r="C193" i="6"/>
  <c r="C193" i="5"/>
  <c r="B194" i="6"/>
  <c r="B194" i="5"/>
  <c r="C195" i="6"/>
  <c r="C195" i="5"/>
  <c r="B196" i="6"/>
  <c r="B196" i="5"/>
  <c r="C197" i="6"/>
  <c r="C197" i="5"/>
  <c r="B198" i="6"/>
  <c r="B198" i="5"/>
  <c r="C199" i="6"/>
  <c r="C199" i="5"/>
  <c r="C201" i="6"/>
  <c r="C201" i="5"/>
  <c r="B202" i="6"/>
  <c r="B202" i="5"/>
  <c r="C203" i="6"/>
  <c r="C203" i="5"/>
  <c r="B204" i="6"/>
  <c r="B204" i="5"/>
  <c r="C205" i="6"/>
  <c r="C205" i="5"/>
  <c r="B206" i="6"/>
  <c r="B206" i="5"/>
  <c r="C207" i="6"/>
  <c r="C207" i="5"/>
  <c r="B208" i="6"/>
  <c r="B208" i="5"/>
  <c r="C209" i="6"/>
  <c r="C209" i="5"/>
  <c r="B210" i="6"/>
  <c r="B210" i="5"/>
  <c r="C211" i="6"/>
  <c r="C211" i="5"/>
  <c r="B212" i="6"/>
  <c r="B212" i="5"/>
  <c r="C213" i="6"/>
  <c r="C213" i="5"/>
  <c r="B214" i="6"/>
  <c r="B214" i="5"/>
  <c r="C215" i="6"/>
  <c r="C215" i="5"/>
  <c r="B216" i="6"/>
  <c r="B216" i="5"/>
  <c r="C217" i="6"/>
  <c r="C217" i="5"/>
  <c r="B218" i="6"/>
  <c r="B218" i="5"/>
  <c r="C219" i="6"/>
  <c r="C219" i="5"/>
  <c r="B220" i="6"/>
  <c r="B220" i="5"/>
  <c r="C221" i="6"/>
  <c r="C221" i="5"/>
  <c r="B222" i="6"/>
  <c r="B222" i="5"/>
  <c r="C223" i="6"/>
  <c r="C223" i="5"/>
  <c r="B224" i="6"/>
  <c r="B224" i="5"/>
  <c r="C225" i="6"/>
  <c r="C225" i="5"/>
  <c r="B246" i="6"/>
  <c r="B246" i="5"/>
  <c r="C247" i="6"/>
  <c r="C247" i="5"/>
  <c r="B248" i="6"/>
  <c r="B248" i="5"/>
  <c r="C249" i="6"/>
  <c r="C249" i="5"/>
  <c r="B250" i="6"/>
  <c r="B250" i="5"/>
  <c r="C251" i="6"/>
  <c r="C251" i="5"/>
  <c r="B252" i="6"/>
  <c r="B252" i="5"/>
  <c r="T253" i="6"/>
  <c r="B254" i="6"/>
  <c r="B254" i="5"/>
  <c r="C255" i="6"/>
  <c r="C255" i="5"/>
  <c r="B256" i="6"/>
  <c r="B256" i="5"/>
  <c r="C257" i="6"/>
  <c r="C257" i="5"/>
  <c r="B258" i="6"/>
  <c r="B258" i="5"/>
  <c r="C259" i="6"/>
  <c r="C259" i="5"/>
  <c r="B260" i="6"/>
  <c r="B260" i="5"/>
  <c r="C261" i="6"/>
  <c r="C261" i="5"/>
  <c r="B262" i="6"/>
  <c r="B262" i="5"/>
  <c r="C263" i="6"/>
  <c r="C263" i="5"/>
  <c r="B264" i="6"/>
  <c r="B264" i="5"/>
  <c r="C265" i="6"/>
  <c r="C265" i="5"/>
  <c r="B266" i="6"/>
  <c r="B266" i="5"/>
  <c r="C267" i="6"/>
  <c r="C267" i="5"/>
  <c r="B268" i="6"/>
  <c r="B268" i="5"/>
  <c r="C269" i="6"/>
  <c r="C269" i="5"/>
  <c r="B270" i="6"/>
  <c r="B270" i="5"/>
  <c r="C271" i="6"/>
  <c r="C271" i="5"/>
  <c r="B272" i="6"/>
  <c r="B272" i="5"/>
  <c r="C273" i="6"/>
  <c r="C273" i="5"/>
  <c r="B274" i="6"/>
  <c r="B274" i="5"/>
  <c r="C275" i="6"/>
  <c r="C275" i="5"/>
  <c r="B276" i="6"/>
  <c r="B276" i="5"/>
  <c r="C277" i="6"/>
  <c r="C277" i="5"/>
  <c r="B278" i="6"/>
  <c r="B278" i="5"/>
  <c r="C279" i="6"/>
  <c r="C279" i="5"/>
  <c r="B280" i="6"/>
  <c r="B280" i="5"/>
  <c r="C281" i="6"/>
  <c r="C281" i="5"/>
  <c r="B282" i="6"/>
  <c r="B282" i="5"/>
  <c r="C283" i="6"/>
  <c r="C283" i="5"/>
  <c r="B284" i="6"/>
  <c r="B284" i="5"/>
  <c r="C285" i="6"/>
  <c r="C285" i="5"/>
  <c r="C287" i="6"/>
  <c r="C287" i="5"/>
  <c r="B288" i="6"/>
  <c r="B288" i="5"/>
  <c r="C289" i="6"/>
  <c r="C289" i="5"/>
  <c r="B290" i="6"/>
  <c r="B290" i="5"/>
  <c r="C291" i="6"/>
  <c r="C291" i="5"/>
  <c r="B292" i="6"/>
  <c r="B292" i="5"/>
  <c r="C293" i="6"/>
  <c r="C293" i="5"/>
  <c r="B294" i="6"/>
  <c r="B294" i="5"/>
  <c r="C295" i="6"/>
  <c r="C295" i="5"/>
  <c r="B296" i="6"/>
  <c r="B296" i="5"/>
  <c r="C297" i="6"/>
  <c r="C297" i="5"/>
  <c r="B298" i="6"/>
  <c r="B298" i="5"/>
  <c r="C299" i="6"/>
  <c r="C299" i="5"/>
  <c r="B300" i="6"/>
  <c r="B300" i="5"/>
  <c r="C301" i="6"/>
  <c r="C301" i="5"/>
  <c r="B302" i="6"/>
  <c r="B302" i="5"/>
  <c r="C303" i="6"/>
  <c r="C303" i="5"/>
  <c r="B304" i="6"/>
  <c r="B304" i="5"/>
  <c r="C305" i="6"/>
  <c r="C305" i="5"/>
  <c r="B306" i="6"/>
  <c r="B306" i="5"/>
  <c r="C307" i="6"/>
  <c r="C307" i="5"/>
  <c r="B308" i="6"/>
  <c r="B308" i="5"/>
  <c r="C309" i="6"/>
  <c r="C309" i="5"/>
  <c r="B310" i="6"/>
  <c r="B310" i="5"/>
  <c r="C311" i="6"/>
  <c r="C311" i="5"/>
  <c r="B312" i="6"/>
  <c r="B312" i="5"/>
  <c r="C313" i="6"/>
  <c r="C313" i="5"/>
  <c r="B314" i="6"/>
  <c r="B314" i="5"/>
  <c r="C315" i="6"/>
  <c r="C315" i="5"/>
  <c r="B316" i="6"/>
  <c r="B316" i="5"/>
  <c r="C317" i="6"/>
  <c r="C317" i="5"/>
  <c r="B318" i="6"/>
  <c r="B318" i="5"/>
  <c r="C319" i="6"/>
  <c r="C319" i="5"/>
  <c r="B320" i="6"/>
  <c r="B320" i="5"/>
  <c r="C321" i="6"/>
  <c r="C321" i="5"/>
  <c r="B322" i="6"/>
  <c r="B322" i="5"/>
  <c r="C323" i="6"/>
  <c r="C323" i="5"/>
  <c r="B324" i="6"/>
  <c r="B324" i="5"/>
  <c r="C325" i="6"/>
  <c r="C325" i="5"/>
  <c r="B326" i="6"/>
  <c r="B326" i="5"/>
  <c r="C327" i="6"/>
  <c r="C327" i="5"/>
  <c r="B328" i="6"/>
  <c r="B328" i="5"/>
  <c r="C329" i="6"/>
  <c r="C329" i="5"/>
  <c r="B330" i="6"/>
  <c r="B330" i="5"/>
  <c r="B333" i="6"/>
  <c r="B333" i="5"/>
  <c r="E335" i="4"/>
  <c r="L336" i="4"/>
  <c r="H336" i="6"/>
  <c r="I336" i="6"/>
  <c r="E338" i="4"/>
  <c r="L339" i="4"/>
  <c r="H339" i="6"/>
  <c r="I339" i="6"/>
  <c r="A343" i="6"/>
  <c r="A343" i="5"/>
  <c r="C344" i="6"/>
  <c r="C344" i="5"/>
  <c r="B369" i="6"/>
  <c r="B369" i="5"/>
  <c r="E371" i="4"/>
  <c r="L372" i="4"/>
  <c r="H372" i="6"/>
  <c r="I372" i="6"/>
  <c r="E374" i="4"/>
  <c r="L375" i="4"/>
  <c r="H375" i="6"/>
  <c r="I375" i="6"/>
  <c r="A379" i="6"/>
  <c r="A379" i="5"/>
  <c r="C380" i="6"/>
  <c r="C380" i="5"/>
  <c r="B385" i="6"/>
  <c r="B385" i="5"/>
  <c r="E387" i="4"/>
  <c r="L388" i="4"/>
  <c r="H388" i="6"/>
  <c r="I388" i="6"/>
  <c r="E390" i="4"/>
  <c r="L391" i="4"/>
  <c r="H391" i="6"/>
  <c r="I391" i="6"/>
  <c r="A395" i="6"/>
  <c r="A395" i="5"/>
  <c r="C396" i="6"/>
  <c r="C396" i="5"/>
  <c r="B401" i="6"/>
  <c r="B401" i="5"/>
  <c r="E403" i="4"/>
  <c r="L404" i="4"/>
  <c r="H404" i="6"/>
  <c r="I404" i="6"/>
  <c r="E406" i="4"/>
  <c r="L407" i="4"/>
  <c r="H407" i="6"/>
  <c r="I407" i="6"/>
  <c r="A411" i="6"/>
  <c r="A411" i="5"/>
  <c r="C412" i="6"/>
  <c r="C412" i="5"/>
  <c r="B417" i="6"/>
  <c r="B417" i="5"/>
  <c r="E419" i="4"/>
  <c r="L420" i="4"/>
  <c r="H420" i="6"/>
  <c r="I420" i="6"/>
  <c r="E422" i="4"/>
  <c r="L423" i="4"/>
  <c r="H423" i="6"/>
  <c r="I423" i="6"/>
  <c r="A427" i="6"/>
  <c r="A427" i="5"/>
  <c r="C428" i="6"/>
  <c r="C428" i="5"/>
  <c r="B433" i="6"/>
  <c r="B433" i="5"/>
  <c r="E435" i="4"/>
  <c r="L436" i="4"/>
  <c r="H436" i="6"/>
  <c r="I436" i="6"/>
  <c r="E438" i="4"/>
  <c r="L439" i="4"/>
  <c r="H439" i="6"/>
  <c r="I439" i="6"/>
  <c r="A443" i="6"/>
  <c r="A443" i="5"/>
  <c r="C444" i="6"/>
  <c r="C444" i="5"/>
  <c r="B449" i="6"/>
  <c r="B449" i="5"/>
  <c r="E451" i="4"/>
  <c r="L452" i="4"/>
  <c r="H452" i="6"/>
  <c r="I452" i="6"/>
  <c r="E454" i="4"/>
  <c r="L455" i="4"/>
  <c r="H455" i="6"/>
  <c r="I455" i="6"/>
  <c r="A459" i="6"/>
  <c r="A459" i="5"/>
  <c r="C460" i="6"/>
  <c r="C460" i="5"/>
  <c r="B465" i="6"/>
  <c r="B465" i="5"/>
  <c r="E487" i="4"/>
  <c r="L488" i="4"/>
  <c r="H488" i="6"/>
  <c r="I488" i="6"/>
  <c r="E490" i="4"/>
  <c r="L491" i="4"/>
  <c r="H491" i="6"/>
  <c r="I491" i="6"/>
  <c r="A495" i="6"/>
  <c r="A495" i="5"/>
  <c r="C496" i="6"/>
  <c r="C496" i="5"/>
  <c r="B501" i="6"/>
  <c r="B501" i="5"/>
  <c r="E503" i="4"/>
  <c r="L504" i="4"/>
  <c r="H504" i="6"/>
  <c r="I504" i="6"/>
  <c r="E506" i="4"/>
  <c r="L507" i="4"/>
  <c r="H507" i="6"/>
  <c r="I507" i="6"/>
  <c r="A511" i="6"/>
  <c r="A511" i="5"/>
  <c r="C512" i="6"/>
  <c r="C512" i="5"/>
  <c r="B517" i="6"/>
  <c r="B517" i="5"/>
  <c r="E519" i="4"/>
  <c r="B521" i="6"/>
  <c r="B521" i="5"/>
  <c r="L521" i="4"/>
  <c r="H521" i="6"/>
  <c r="I521" i="6"/>
  <c r="C524" i="6"/>
  <c r="C524" i="5"/>
  <c r="E524" i="4"/>
  <c r="L532" i="4"/>
  <c r="H532" i="6"/>
  <c r="I532" i="6"/>
  <c r="E535" i="4"/>
  <c r="B537" i="6"/>
  <c r="B537" i="5"/>
  <c r="L537" i="4"/>
  <c r="H537" i="6"/>
  <c r="I537" i="6"/>
  <c r="C540" i="6"/>
  <c r="C540" i="5"/>
  <c r="E540" i="4"/>
  <c r="L548" i="4"/>
  <c r="H548" i="6"/>
  <c r="I548" i="6"/>
  <c r="E551" i="4"/>
  <c r="B553" i="6"/>
  <c r="B553" i="5"/>
  <c r="L553" i="4"/>
  <c r="H553" i="6"/>
  <c r="I553" i="6"/>
  <c r="C556" i="6"/>
  <c r="C556" i="5"/>
  <c r="E556" i="4"/>
  <c r="L564" i="4"/>
  <c r="H564" i="6"/>
  <c r="I564" i="6"/>
  <c r="E567" i="4"/>
  <c r="B569" i="6"/>
  <c r="B569" i="5"/>
  <c r="L569" i="4"/>
  <c r="H569" i="6"/>
  <c r="I569" i="6"/>
  <c r="C572" i="6"/>
  <c r="C572" i="5"/>
  <c r="E572" i="4"/>
  <c r="L580" i="4"/>
  <c r="H580" i="6"/>
  <c r="I580" i="6"/>
  <c r="E583" i="4"/>
  <c r="B585" i="6"/>
  <c r="B585" i="5"/>
  <c r="L585" i="4"/>
  <c r="H585" i="6"/>
  <c r="I585" i="6"/>
  <c r="C608" i="6"/>
  <c r="C608" i="5"/>
  <c r="E608" i="4"/>
  <c r="L616" i="4"/>
  <c r="H616" i="6"/>
  <c r="I616" i="6"/>
  <c r="E619" i="4"/>
  <c r="B621" i="6"/>
  <c r="B621" i="5"/>
  <c r="L621" i="4"/>
  <c r="H621" i="6"/>
  <c r="I621" i="6"/>
  <c r="C624" i="6"/>
  <c r="C624" i="5"/>
  <c r="E624" i="4"/>
  <c r="L632" i="4"/>
  <c r="H632" i="6"/>
  <c r="I632" i="6"/>
  <c r="E635" i="4"/>
  <c r="B637" i="6"/>
  <c r="B637" i="5"/>
  <c r="L637" i="4"/>
  <c r="H637" i="6"/>
  <c r="I637" i="6"/>
  <c r="C640" i="6"/>
  <c r="C640" i="5"/>
  <c r="E640" i="4"/>
  <c r="L648" i="4"/>
  <c r="H648" i="6"/>
  <c r="I648" i="6"/>
  <c r="E651" i="4"/>
  <c r="B653" i="6"/>
  <c r="B653" i="5"/>
  <c r="L653" i="4"/>
  <c r="H653" i="6"/>
  <c r="I653" i="6"/>
  <c r="C656" i="6"/>
  <c r="C656" i="5"/>
  <c r="E656" i="4"/>
  <c r="E659" i="4"/>
  <c r="B663" i="6"/>
  <c r="B663" i="5"/>
  <c r="L666" i="4"/>
  <c r="H666" i="6"/>
  <c r="I666" i="6"/>
  <c r="C672" i="6"/>
  <c r="C672" i="5"/>
  <c r="E672" i="4"/>
  <c r="E675" i="4"/>
  <c r="B679" i="6"/>
  <c r="B679" i="5"/>
  <c r="L682" i="4"/>
  <c r="H682" i="6"/>
  <c r="I682" i="6"/>
  <c r="C688" i="6"/>
  <c r="C688" i="5"/>
  <c r="E688" i="4"/>
  <c r="E691" i="4"/>
  <c r="B695" i="6"/>
  <c r="B695" i="5"/>
  <c r="B703" i="6"/>
  <c r="B703" i="5"/>
  <c r="C769" i="4"/>
  <c r="D768" i="4"/>
  <c r="B727" i="6"/>
  <c r="B727" i="5"/>
  <c r="B729" i="6"/>
  <c r="B729" i="5"/>
  <c r="D731" i="4"/>
  <c r="D732" i="4"/>
  <c r="C734" i="6"/>
  <c r="C734" i="5"/>
  <c r="E734" i="4"/>
  <c r="E735" i="4"/>
  <c r="H735" i="4"/>
  <c r="H736" i="4"/>
  <c r="B745" i="6"/>
  <c r="B745" i="5"/>
  <c r="D747" i="4"/>
  <c r="D748" i="4"/>
  <c r="C750" i="6"/>
  <c r="C750" i="5"/>
  <c r="E750" i="4"/>
  <c r="E751" i="4"/>
  <c r="H751" i="4"/>
  <c r="H752" i="4"/>
  <c r="B761" i="6"/>
  <c r="B761" i="5"/>
  <c r="D763" i="4"/>
  <c r="D764" i="4"/>
  <c r="C766" i="6"/>
  <c r="C766" i="5"/>
  <c r="E766" i="4"/>
  <c r="E767" i="4"/>
  <c r="B781" i="6"/>
  <c r="B781" i="5"/>
  <c r="C782" i="6"/>
  <c r="C782" i="5"/>
  <c r="E782" i="4"/>
  <c r="E783" i="4"/>
  <c r="B797" i="6"/>
  <c r="B797" i="5"/>
  <c r="C798" i="6"/>
  <c r="C798" i="5"/>
  <c r="E798" i="4"/>
  <c r="E799" i="4"/>
  <c r="B813" i="6"/>
  <c r="B813" i="5"/>
  <c r="C814" i="6"/>
  <c r="C814" i="5"/>
  <c r="E814" i="4"/>
  <c r="E815" i="4"/>
  <c r="A846" i="6"/>
  <c r="A846" i="5"/>
  <c r="G846" i="4"/>
  <c r="E855" i="4"/>
  <c r="C869" i="6"/>
  <c r="C869" i="5"/>
  <c r="E869" i="4"/>
  <c r="D872" i="5"/>
  <c r="E872" i="5"/>
  <c r="L872" i="4"/>
  <c r="H872" i="6"/>
  <c r="I872" i="6"/>
  <c r="C874" i="6"/>
  <c r="C874" i="5"/>
  <c r="E874" i="4"/>
  <c r="B881" i="6"/>
  <c r="B881" i="5"/>
  <c r="D883" i="5"/>
  <c r="E883" i="5"/>
  <c r="L883" i="4"/>
  <c r="H883" i="6"/>
  <c r="I883" i="6"/>
  <c r="E891" i="4"/>
  <c r="D892" i="5"/>
  <c r="E892" i="5"/>
  <c r="L892" i="4"/>
  <c r="H892" i="6"/>
  <c r="I892" i="6"/>
  <c r="B902" i="6"/>
  <c r="B902" i="5"/>
  <c r="A904" i="6"/>
  <c r="A904" i="5"/>
  <c r="E919" i="4"/>
  <c r="A924" i="6"/>
  <c r="A924" i="5"/>
  <c r="B929" i="6"/>
  <c r="B929" i="5"/>
  <c r="D936" i="5"/>
  <c r="E936" i="5"/>
  <c r="L936" i="4"/>
  <c r="H936" i="6"/>
  <c r="I936" i="6"/>
  <c r="C938" i="6"/>
  <c r="C938" i="5"/>
  <c r="E938" i="4"/>
  <c r="B941" i="6"/>
  <c r="B941" i="5"/>
  <c r="E981" i="4"/>
  <c r="C984" i="6"/>
  <c r="C984" i="5"/>
  <c r="E984" i="4"/>
  <c r="E985" i="4"/>
  <c r="C1019" i="6"/>
  <c r="C1019" i="5"/>
  <c r="E1019" i="4"/>
  <c r="A1048" i="6"/>
  <c r="A1048" i="5"/>
  <c r="C1056" i="6"/>
  <c r="C1056" i="5"/>
  <c r="E1056" i="4"/>
  <c r="E1057" i="4"/>
  <c r="B1154" i="6"/>
  <c r="B1154" i="5"/>
  <c r="B64" i="5"/>
  <c r="B188" i="5"/>
  <c r="A332" i="6"/>
  <c r="A332" i="5"/>
  <c r="A334" i="6"/>
  <c r="A334" i="5"/>
  <c r="A336" i="6"/>
  <c r="A336" i="5"/>
  <c r="A338" i="6"/>
  <c r="A338" i="5"/>
  <c r="A340" i="6"/>
  <c r="A340" i="5"/>
  <c r="A342" i="6"/>
  <c r="A342" i="5"/>
  <c r="A344" i="6"/>
  <c r="A344" i="5"/>
  <c r="A366" i="6"/>
  <c r="A366" i="5"/>
  <c r="A368" i="6"/>
  <c r="A368" i="5"/>
  <c r="A370" i="6"/>
  <c r="A370" i="5"/>
  <c r="A372" i="6"/>
  <c r="A372" i="5"/>
  <c r="A374" i="6"/>
  <c r="A374" i="5"/>
  <c r="A376" i="6"/>
  <c r="A376" i="5"/>
  <c r="A378" i="6"/>
  <c r="A378" i="5"/>
  <c r="A380" i="6"/>
  <c r="A380" i="5"/>
  <c r="A382" i="6"/>
  <c r="A382" i="5"/>
  <c r="A384" i="6"/>
  <c r="A384" i="5"/>
  <c r="A386" i="6"/>
  <c r="A386" i="5"/>
  <c r="A388" i="6"/>
  <c r="A388" i="5"/>
  <c r="A390" i="6"/>
  <c r="A390" i="5"/>
  <c r="A392" i="6"/>
  <c r="A392" i="5"/>
  <c r="A394" i="6"/>
  <c r="A394" i="5"/>
  <c r="A396" i="6"/>
  <c r="A396" i="5"/>
  <c r="A398" i="6"/>
  <c r="A398" i="5"/>
  <c r="A400" i="6"/>
  <c r="A400" i="5"/>
  <c r="A402" i="6"/>
  <c r="A402" i="5"/>
  <c r="A404" i="6"/>
  <c r="A404" i="5"/>
  <c r="A406" i="6"/>
  <c r="A406" i="5"/>
  <c r="A408" i="6"/>
  <c r="A408" i="5"/>
  <c r="A410" i="6"/>
  <c r="A410" i="5"/>
  <c r="A412" i="6"/>
  <c r="A412" i="5"/>
  <c r="A414" i="6"/>
  <c r="A414" i="5"/>
  <c r="A416" i="6"/>
  <c r="A416" i="5"/>
  <c r="A418" i="6"/>
  <c r="A418" i="5"/>
  <c r="A420" i="6"/>
  <c r="A420" i="5"/>
  <c r="A422" i="6"/>
  <c r="A422" i="5"/>
  <c r="A424" i="6"/>
  <c r="A424" i="5"/>
  <c r="A426" i="6"/>
  <c r="A426" i="5"/>
  <c r="A428" i="6"/>
  <c r="A428" i="5"/>
  <c r="A430" i="6"/>
  <c r="A430" i="5"/>
  <c r="A432" i="6"/>
  <c r="A432" i="5"/>
  <c r="A434" i="6"/>
  <c r="A434" i="5"/>
  <c r="A436" i="6"/>
  <c r="A436" i="5"/>
  <c r="A438" i="6"/>
  <c r="A438" i="5"/>
  <c r="A440" i="6"/>
  <c r="A440" i="5"/>
  <c r="A442" i="6"/>
  <c r="A442" i="5"/>
  <c r="A444" i="6"/>
  <c r="A444" i="5"/>
  <c r="A446" i="6"/>
  <c r="A446" i="5"/>
  <c r="A448" i="6"/>
  <c r="A448" i="5"/>
  <c r="A450" i="6"/>
  <c r="A450" i="5"/>
  <c r="A452" i="6"/>
  <c r="A452" i="5"/>
  <c r="A454" i="6"/>
  <c r="A454" i="5"/>
  <c r="A456" i="6"/>
  <c r="A456" i="5"/>
  <c r="E457" i="4"/>
  <c r="A458" i="6"/>
  <c r="A458" i="5"/>
  <c r="A460" i="6"/>
  <c r="A460" i="5"/>
  <c r="A462" i="6"/>
  <c r="A462" i="5"/>
  <c r="A464" i="6"/>
  <c r="A464" i="5"/>
  <c r="A486" i="6"/>
  <c r="A486" i="5"/>
  <c r="A488" i="6"/>
  <c r="A488" i="5"/>
  <c r="A490" i="6"/>
  <c r="A490" i="5"/>
  <c r="A492" i="6"/>
  <c r="A492" i="5"/>
  <c r="A494" i="6"/>
  <c r="A494" i="5"/>
  <c r="A496" i="6"/>
  <c r="A496" i="5"/>
  <c r="A498" i="6"/>
  <c r="A498" i="5"/>
  <c r="A500" i="6"/>
  <c r="A500" i="5"/>
  <c r="A502" i="6"/>
  <c r="A502" i="5"/>
  <c r="A504" i="6"/>
  <c r="A504" i="5"/>
  <c r="A506" i="6"/>
  <c r="A506" i="5"/>
  <c r="A508" i="6"/>
  <c r="A508" i="5"/>
  <c r="A510" i="6"/>
  <c r="A510" i="5"/>
  <c r="A512" i="6"/>
  <c r="A512" i="5"/>
  <c r="A514" i="6"/>
  <c r="A514" i="5"/>
  <c r="A516" i="6"/>
  <c r="A516" i="5"/>
  <c r="A518" i="6"/>
  <c r="A518" i="5"/>
  <c r="A520" i="6"/>
  <c r="A520" i="5"/>
  <c r="A522" i="6"/>
  <c r="A522" i="5"/>
  <c r="A524" i="6"/>
  <c r="A524" i="5"/>
  <c r="A526" i="6"/>
  <c r="A526" i="5"/>
  <c r="A528" i="6"/>
  <c r="A528" i="5"/>
  <c r="A530" i="6"/>
  <c r="A530" i="5"/>
  <c r="A532" i="6"/>
  <c r="A532" i="5"/>
  <c r="A534" i="6"/>
  <c r="A534" i="5"/>
  <c r="A536" i="6"/>
  <c r="A536" i="5"/>
  <c r="E537" i="4"/>
  <c r="A538" i="6"/>
  <c r="A538" i="5"/>
  <c r="A540" i="6"/>
  <c r="A540" i="5"/>
  <c r="A542" i="6"/>
  <c r="A542" i="5"/>
  <c r="A544" i="6"/>
  <c r="A544" i="5"/>
  <c r="A546" i="6"/>
  <c r="A546" i="5"/>
  <c r="A548" i="6"/>
  <c r="A548" i="5"/>
  <c r="A550" i="6"/>
  <c r="A550" i="5"/>
  <c r="A552" i="6"/>
  <c r="A552" i="5"/>
  <c r="A554" i="6"/>
  <c r="A554" i="5"/>
  <c r="A556" i="6"/>
  <c r="A556" i="5"/>
  <c r="A558" i="6"/>
  <c r="A558" i="5"/>
  <c r="A560" i="6"/>
  <c r="A560" i="5"/>
  <c r="A562" i="6"/>
  <c r="A562" i="5"/>
  <c r="A564" i="6"/>
  <c r="A564" i="5"/>
  <c r="A566" i="6"/>
  <c r="A566" i="5"/>
  <c r="A568" i="6"/>
  <c r="A568" i="5"/>
  <c r="A570" i="6"/>
  <c r="A570" i="5"/>
  <c r="A572" i="6"/>
  <c r="A572" i="5"/>
  <c r="A574" i="6"/>
  <c r="A574" i="5"/>
  <c r="A576" i="6"/>
  <c r="A576" i="5"/>
  <c r="A578" i="6"/>
  <c r="A578" i="5"/>
  <c r="A580" i="6"/>
  <c r="A580" i="5"/>
  <c r="A582" i="6"/>
  <c r="A582" i="5"/>
  <c r="A584" i="6"/>
  <c r="A584" i="5"/>
  <c r="A606" i="6"/>
  <c r="A606" i="5"/>
  <c r="A608" i="6"/>
  <c r="A608" i="5"/>
  <c r="A610" i="6"/>
  <c r="A610" i="5"/>
  <c r="A612" i="6"/>
  <c r="A612" i="5"/>
  <c r="A614" i="6"/>
  <c r="A614" i="5"/>
  <c r="A616" i="6"/>
  <c r="A616" i="5"/>
  <c r="A618" i="6"/>
  <c r="A618" i="5"/>
  <c r="A620" i="6"/>
  <c r="A620" i="5"/>
  <c r="A622" i="6"/>
  <c r="A622" i="5"/>
  <c r="A624" i="6"/>
  <c r="A624" i="5"/>
  <c r="A626" i="6"/>
  <c r="A626" i="5"/>
  <c r="A628" i="6"/>
  <c r="A628" i="5"/>
  <c r="A630" i="6"/>
  <c r="A630" i="5"/>
  <c r="A632" i="6"/>
  <c r="A632" i="5"/>
  <c r="A634" i="6"/>
  <c r="A634" i="5"/>
  <c r="A636" i="6"/>
  <c r="A636" i="5"/>
  <c r="A638" i="6"/>
  <c r="A638" i="5"/>
  <c r="A640" i="6"/>
  <c r="A640" i="5"/>
  <c r="A642" i="6"/>
  <c r="A642" i="5"/>
  <c r="A644" i="6"/>
  <c r="A644" i="5"/>
  <c r="A646" i="6"/>
  <c r="A646" i="5"/>
  <c r="A648" i="6"/>
  <c r="A648" i="5"/>
  <c r="A650" i="6"/>
  <c r="A650" i="5"/>
  <c r="A652" i="6"/>
  <c r="A652" i="5"/>
  <c r="A654" i="6"/>
  <c r="A654" i="5"/>
  <c r="A656" i="6"/>
  <c r="A656" i="5"/>
  <c r="A658" i="6"/>
  <c r="A658" i="5"/>
  <c r="A660" i="6"/>
  <c r="A660" i="5"/>
  <c r="A662" i="6"/>
  <c r="A662" i="5"/>
  <c r="A664" i="6"/>
  <c r="A664" i="5"/>
  <c r="A666" i="6"/>
  <c r="A666" i="5"/>
  <c r="A668" i="6"/>
  <c r="A668" i="5"/>
  <c r="A670" i="6"/>
  <c r="A670" i="5"/>
  <c r="A672" i="6"/>
  <c r="A672" i="5"/>
  <c r="A674" i="6"/>
  <c r="A674" i="5"/>
  <c r="A676" i="6"/>
  <c r="A676" i="5"/>
  <c r="A678" i="6"/>
  <c r="A678" i="5"/>
  <c r="A680" i="6"/>
  <c r="A680" i="5"/>
  <c r="A682" i="6"/>
  <c r="A682" i="5"/>
  <c r="A684" i="6"/>
  <c r="A684" i="5"/>
  <c r="A686" i="6"/>
  <c r="A686" i="5"/>
  <c r="A688" i="6"/>
  <c r="A688" i="5"/>
  <c r="A690" i="6"/>
  <c r="A690" i="5"/>
  <c r="A692" i="6"/>
  <c r="A692" i="5"/>
  <c r="A694" i="6"/>
  <c r="A694" i="5"/>
  <c r="A696" i="6"/>
  <c r="A696" i="5"/>
  <c r="A698" i="6"/>
  <c r="A698" i="5"/>
  <c r="A700" i="6"/>
  <c r="A700" i="5"/>
  <c r="A702" i="6"/>
  <c r="A702" i="5"/>
  <c r="A704" i="6"/>
  <c r="A704" i="5"/>
  <c r="A726" i="6"/>
  <c r="A726" i="5"/>
  <c r="A728" i="6"/>
  <c r="A728" i="5"/>
  <c r="A730" i="6"/>
  <c r="A730" i="5"/>
  <c r="A732" i="6"/>
  <c r="A732" i="5"/>
  <c r="A734" i="6"/>
  <c r="A734" i="5"/>
  <c r="A736" i="6"/>
  <c r="A736" i="5"/>
  <c r="A738" i="6"/>
  <c r="A738" i="5"/>
  <c r="A740" i="6"/>
  <c r="A740" i="5"/>
  <c r="A742" i="6"/>
  <c r="A742" i="5"/>
  <c r="A744" i="6"/>
  <c r="A744" i="5"/>
  <c r="A746" i="6"/>
  <c r="A746" i="5"/>
  <c r="A748" i="6"/>
  <c r="A748" i="5"/>
  <c r="A750" i="6"/>
  <c r="A750" i="5"/>
  <c r="A752" i="6"/>
  <c r="A752" i="5"/>
  <c r="A754" i="6"/>
  <c r="A754" i="5"/>
  <c r="A756" i="6"/>
  <c r="A756" i="5"/>
  <c r="A758" i="6"/>
  <c r="A758" i="5"/>
  <c r="A760" i="6"/>
  <c r="A760" i="5"/>
  <c r="A762" i="6"/>
  <c r="A762" i="5"/>
  <c r="A764" i="6"/>
  <c r="A764" i="5"/>
  <c r="A766" i="6"/>
  <c r="A766" i="5"/>
  <c r="A768" i="6"/>
  <c r="A768" i="5"/>
  <c r="A770" i="6"/>
  <c r="A770" i="5"/>
  <c r="A772" i="6"/>
  <c r="A772" i="5"/>
  <c r="A774" i="6"/>
  <c r="A774" i="5"/>
  <c r="A776" i="6"/>
  <c r="A776" i="5"/>
  <c r="A778" i="6"/>
  <c r="A778" i="5"/>
  <c r="A780" i="6"/>
  <c r="A780" i="5"/>
  <c r="A782" i="6"/>
  <c r="A782" i="5"/>
  <c r="A784" i="6"/>
  <c r="A784" i="5"/>
  <c r="A786" i="6"/>
  <c r="A786" i="5"/>
  <c r="A788" i="6"/>
  <c r="A788" i="5"/>
  <c r="A790" i="6"/>
  <c r="A790" i="5"/>
  <c r="A792" i="6"/>
  <c r="A792" i="5"/>
  <c r="A794" i="6"/>
  <c r="A794" i="5"/>
  <c r="A798" i="6"/>
  <c r="A798" i="5"/>
  <c r="A800" i="6"/>
  <c r="A800" i="5"/>
  <c r="A802" i="6"/>
  <c r="A802" i="5"/>
  <c r="A804" i="6"/>
  <c r="A804" i="5"/>
  <c r="A806" i="6"/>
  <c r="A806" i="5"/>
  <c r="A808" i="6"/>
  <c r="A808" i="5"/>
  <c r="A810" i="6"/>
  <c r="A810" i="5"/>
  <c r="A812" i="6"/>
  <c r="A812" i="5"/>
  <c r="A814" i="6"/>
  <c r="A814" i="5"/>
  <c r="A816" i="6"/>
  <c r="A816" i="5"/>
  <c r="A818" i="6"/>
  <c r="A818" i="5"/>
  <c r="A820" i="6"/>
  <c r="A820" i="5"/>
  <c r="A822" i="6"/>
  <c r="A822" i="5"/>
  <c r="B824" i="6"/>
  <c r="B824" i="5"/>
  <c r="B851" i="6"/>
  <c r="B851" i="5"/>
  <c r="B856" i="6"/>
  <c r="B856" i="5"/>
  <c r="C859" i="6"/>
  <c r="C859" i="5"/>
  <c r="C860" i="6"/>
  <c r="C860" i="5"/>
  <c r="E860" i="4"/>
  <c r="A862" i="6"/>
  <c r="A862" i="5"/>
  <c r="D862" i="5"/>
  <c r="E862" i="5"/>
  <c r="L862" i="4"/>
  <c r="H862" i="6"/>
  <c r="I862" i="6"/>
  <c r="B867" i="6"/>
  <c r="B867" i="5"/>
  <c r="B872" i="6"/>
  <c r="B872" i="5"/>
  <c r="C875" i="6"/>
  <c r="C875" i="5"/>
  <c r="C876" i="6"/>
  <c r="C876" i="5"/>
  <c r="E876" i="4"/>
  <c r="A878" i="6"/>
  <c r="A878" i="5"/>
  <c r="D878" i="5"/>
  <c r="E878" i="5"/>
  <c r="L878" i="4"/>
  <c r="H878" i="6"/>
  <c r="I878" i="6"/>
  <c r="B883" i="6"/>
  <c r="B883" i="5"/>
  <c r="B888" i="6"/>
  <c r="B888" i="5"/>
  <c r="C891" i="6"/>
  <c r="C891" i="5"/>
  <c r="C892" i="6"/>
  <c r="C892" i="5"/>
  <c r="E892" i="4"/>
  <c r="A894" i="6"/>
  <c r="A894" i="5"/>
  <c r="D894" i="5"/>
  <c r="E894" i="5"/>
  <c r="L894" i="4"/>
  <c r="H894" i="6"/>
  <c r="I894" i="6"/>
  <c r="B899" i="6"/>
  <c r="B899" i="5"/>
  <c r="B904" i="6"/>
  <c r="B904" i="5"/>
  <c r="C907" i="6"/>
  <c r="C907" i="5"/>
  <c r="C908" i="6"/>
  <c r="C908" i="5"/>
  <c r="E908" i="4"/>
  <c r="A910" i="6"/>
  <c r="A910" i="5"/>
  <c r="D910" i="5"/>
  <c r="E910" i="5"/>
  <c r="L910" i="4"/>
  <c r="H910" i="6"/>
  <c r="I910" i="6"/>
  <c r="B915" i="6"/>
  <c r="B915" i="5"/>
  <c r="B920" i="6"/>
  <c r="B920" i="5"/>
  <c r="C923" i="6"/>
  <c r="C923" i="5"/>
  <c r="C924" i="6"/>
  <c r="C924" i="5"/>
  <c r="E924" i="4"/>
  <c r="A926" i="6"/>
  <c r="A926" i="5"/>
  <c r="D926" i="5"/>
  <c r="E926" i="5"/>
  <c r="L926" i="4"/>
  <c r="H926" i="6"/>
  <c r="I926" i="6"/>
  <c r="B931" i="6"/>
  <c r="B931" i="5"/>
  <c r="B936" i="6"/>
  <c r="B936" i="5"/>
  <c r="C939" i="6"/>
  <c r="C939" i="5"/>
  <c r="C940" i="6"/>
  <c r="C940" i="5"/>
  <c r="E940" i="4"/>
  <c r="A942" i="6"/>
  <c r="A942" i="5"/>
  <c r="D942" i="5"/>
  <c r="E942" i="5"/>
  <c r="L942" i="4"/>
  <c r="H942" i="6"/>
  <c r="I942" i="6"/>
  <c r="B967" i="6"/>
  <c r="B967" i="5"/>
  <c r="D968" i="5"/>
  <c r="E968" i="5"/>
  <c r="L968" i="4"/>
  <c r="H968" i="6"/>
  <c r="I968" i="6"/>
  <c r="C979" i="6"/>
  <c r="C979" i="5"/>
  <c r="C981" i="6"/>
  <c r="C981" i="5"/>
  <c r="C983" i="6"/>
  <c r="C983" i="5"/>
  <c r="E983" i="4"/>
  <c r="C988" i="6"/>
  <c r="C988" i="5"/>
  <c r="E988" i="4"/>
  <c r="E989" i="4"/>
  <c r="C990" i="6"/>
  <c r="C990" i="5"/>
  <c r="E990" i="4"/>
  <c r="C991" i="6"/>
  <c r="C991" i="5"/>
  <c r="E991" i="4"/>
  <c r="C999" i="6"/>
  <c r="C999" i="5"/>
  <c r="E999" i="4"/>
  <c r="D1001" i="5"/>
  <c r="E1001" i="5"/>
  <c r="L1001" i="4"/>
  <c r="H1001" i="6"/>
  <c r="I1001" i="6"/>
  <c r="B1004" i="6"/>
  <c r="B1004" i="5"/>
  <c r="D1014" i="5"/>
  <c r="E1014" i="5"/>
  <c r="L1014" i="4"/>
  <c r="H1014" i="6"/>
  <c r="I1014" i="6"/>
  <c r="A1022" i="6"/>
  <c r="A1022" i="5"/>
  <c r="B1023" i="6"/>
  <c r="B1023" i="5"/>
  <c r="C1024" i="6"/>
  <c r="C1024" i="5"/>
  <c r="E1024" i="4"/>
  <c r="C1031" i="6"/>
  <c r="C1031" i="5"/>
  <c r="E1031" i="4"/>
  <c r="D1033" i="5"/>
  <c r="E1033" i="5"/>
  <c r="L1033" i="4"/>
  <c r="H1033" i="6"/>
  <c r="I1033" i="6"/>
  <c r="B1036" i="6"/>
  <c r="B1036" i="5"/>
  <c r="A1042" i="6"/>
  <c r="A1042" i="5"/>
  <c r="A1112" i="6"/>
  <c r="A1112" i="5"/>
  <c r="B1134" i="6"/>
  <c r="B1134" i="5"/>
  <c r="C1139" i="6"/>
  <c r="C1139" i="5"/>
  <c r="E1139" i="4"/>
  <c r="B1166" i="6"/>
  <c r="B1166" i="5"/>
  <c r="C1171" i="6"/>
  <c r="C1171" i="5"/>
  <c r="E1171" i="4"/>
  <c r="B414" i="5"/>
  <c r="C331" i="6"/>
  <c r="C331" i="5"/>
  <c r="B332" i="6"/>
  <c r="B332" i="5"/>
  <c r="C333" i="6"/>
  <c r="C333" i="5"/>
  <c r="B334" i="6"/>
  <c r="B334" i="5"/>
  <c r="C335" i="6"/>
  <c r="C335" i="5"/>
  <c r="B336" i="6"/>
  <c r="B336" i="5"/>
  <c r="C337" i="6"/>
  <c r="C337" i="5"/>
  <c r="B338" i="6"/>
  <c r="B338" i="5"/>
  <c r="C339" i="6"/>
  <c r="C339" i="5"/>
  <c r="B340" i="6"/>
  <c r="B340" i="5"/>
  <c r="C341" i="6"/>
  <c r="C341" i="5"/>
  <c r="B342" i="6"/>
  <c r="B342" i="5"/>
  <c r="C343" i="6"/>
  <c r="C343" i="5"/>
  <c r="B344" i="6"/>
  <c r="B344" i="5"/>
  <c r="C345" i="6"/>
  <c r="C345" i="5"/>
  <c r="B366" i="6"/>
  <c r="B366" i="5"/>
  <c r="C367" i="6"/>
  <c r="C367" i="5"/>
  <c r="B368" i="6"/>
  <c r="B368" i="5"/>
  <c r="C369" i="6"/>
  <c r="C369" i="5"/>
  <c r="B370" i="6"/>
  <c r="B370" i="5"/>
  <c r="C371" i="6"/>
  <c r="C371" i="5"/>
  <c r="B372" i="6"/>
  <c r="B372" i="5"/>
  <c r="C373" i="6"/>
  <c r="C373" i="5"/>
  <c r="B374" i="6"/>
  <c r="B374" i="5"/>
  <c r="C375" i="6"/>
  <c r="C375" i="5"/>
  <c r="B376" i="6"/>
  <c r="B376" i="5"/>
  <c r="C377" i="6"/>
  <c r="C377" i="5"/>
  <c r="B378" i="6"/>
  <c r="B378" i="5"/>
  <c r="C379" i="6"/>
  <c r="C379" i="5"/>
  <c r="B380" i="6"/>
  <c r="B380" i="5"/>
  <c r="C381" i="6"/>
  <c r="C381" i="5"/>
  <c r="B382" i="6"/>
  <c r="B382" i="5"/>
  <c r="C383" i="6"/>
  <c r="C383" i="5"/>
  <c r="B384" i="6"/>
  <c r="B384" i="5"/>
  <c r="C385" i="6"/>
  <c r="C385" i="5"/>
  <c r="B386" i="6"/>
  <c r="B386" i="5"/>
  <c r="C387" i="6"/>
  <c r="C387" i="5"/>
  <c r="B388" i="6"/>
  <c r="B388" i="5"/>
  <c r="C389" i="6"/>
  <c r="C389" i="5"/>
  <c r="B390" i="6"/>
  <c r="B390" i="5"/>
  <c r="C391" i="6"/>
  <c r="C391" i="5"/>
  <c r="B392" i="6"/>
  <c r="B392" i="5"/>
  <c r="C393" i="6"/>
  <c r="C393" i="5"/>
  <c r="B394" i="6"/>
  <c r="B394" i="5"/>
  <c r="C395" i="6"/>
  <c r="C395" i="5"/>
  <c r="B396" i="6"/>
  <c r="B396" i="5"/>
  <c r="C397" i="6"/>
  <c r="C397" i="5"/>
  <c r="C399" i="6"/>
  <c r="C399" i="5"/>
  <c r="B400" i="6"/>
  <c r="B400" i="5"/>
  <c r="C401" i="6"/>
  <c r="C401" i="5"/>
  <c r="B402" i="6"/>
  <c r="B402" i="5"/>
  <c r="C403" i="6"/>
  <c r="C403" i="5"/>
  <c r="B404" i="6"/>
  <c r="B404" i="5"/>
  <c r="C405" i="6"/>
  <c r="C405" i="5"/>
  <c r="B406" i="6"/>
  <c r="B406" i="5"/>
  <c r="C407" i="6"/>
  <c r="C407" i="5"/>
  <c r="B408" i="6"/>
  <c r="B408" i="5"/>
  <c r="C409" i="6"/>
  <c r="C409" i="5"/>
  <c r="B410" i="6"/>
  <c r="B410" i="5"/>
  <c r="C411" i="6"/>
  <c r="C411" i="5"/>
  <c r="B412" i="6"/>
  <c r="B412" i="5"/>
  <c r="C413" i="6"/>
  <c r="C413" i="5"/>
  <c r="C415" i="6"/>
  <c r="C415" i="5"/>
  <c r="B416" i="6"/>
  <c r="B416" i="5"/>
  <c r="C417" i="6"/>
  <c r="C417" i="5"/>
  <c r="B418" i="6"/>
  <c r="B418" i="5"/>
  <c r="C419" i="6"/>
  <c r="C419" i="5"/>
  <c r="B420" i="6"/>
  <c r="B420" i="5"/>
  <c r="C421" i="6"/>
  <c r="C421" i="5"/>
  <c r="B422" i="6"/>
  <c r="B422" i="5"/>
  <c r="C423" i="6"/>
  <c r="C423" i="5"/>
  <c r="B424" i="6"/>
  <c r="B424" i="5"/>
  <c r="C425" i="6"/>
  <c r="C425" i="5"/>
  <c r="B426" i="6"/>
  <c r="B426" i="5"/>
  <c r="C427" i="6"/>
  <c r="C427" i="5"/>
  <c r="B428" i="6"/>
  <c r="B428" i="5"/>
  <c r="C429" i="6"/>
  <c r="C429" i="5"/>
  <c r="B430" i="6"/>
  <c r="B430" i="5"/>
  <c r="C431" i="6"/>
  <c r="C431" i="5"/>
  <c r="B432" i="6"/>
  <c r="B432" i="5"/>
  <c r="C433" i="6"/>
  <c r="C433" i="5"/>
  <c r="B434" i="6"/>
  <c r="B434" i="5"/>
  <c r="C435" i="6"/>
  <c r="C435" i="5"/>
  <c r="B436" i="6"/>
  <c r="B436" i="5"/>
  <c r="C437" i="6"/>
  <c r="C437" i="5"/>
  <c r="B438" i="6"/>
  <c r="B438" i="5"/>
  <c r="C439" i="6"/>
  <c r="C439" i="5"/>
  <c r="B440" i="6"/>
  <c r="B440" i="5"/>
  <c r="C441" i="6"/>
  <c r="C441" i="5"/>
  <c r="B442" i="6"/>
  <c r="B442" i="5"/>
  <c r="C443" i="6"/>
  <c r="C443" i="5"/>
  <c r="B444" i="6"/>
  <c r="B444" i="5"/>
  <c r="C445" i="6"/>
  <c r="C445" i="5"/>
  <c r="B446" i="6"/>
  <c r="B446" i="5"/>
  <c r="C447" i="6"/>
  <c r="C447" i="5"/>
  <c r="B448" i="6"/>
  <c r="B448" i="5"/>
  <c r="C449" i="6"/>
  <c r="C449" i="5"/>
  <c r="B450" i="6"/>
  <c r="B450" i="5"/>
  <c r="C451" i="6"/>
  <c r="C451" i="5"/>
  <c r="B452" i="6"/>
  <c r="B452" i="5"/>
  <c r="C453" i="6"/>
  <c r="C453" i="5"/>
  <c r="B454" i="6"/>
  <c r="B454" i="5"/>
  <c r="C455" i="6"/>
  <c r="C455" i="5"/>
  <c r="B456" i="6"/>
  <c r="B456" i="5"/>
  <c r="T457" i="6"/>
  <c r="B458" i="6"/>
  <c r="B458" i="5"/>
  <c r="C459" i="6"/>
  <c r="C459" i="5"/>
  <c r="B460" i="6"/>
  <c r="B460" i="5"/>
  <c r="C461" i="6"/>
  <c r="C461" i="5"/>
  <c r="B462" i="6"/>
  <c r="B462" i="5"/>
  <c r="C463" i="6"/>
  <c r="C463" i="5"/>
  <c r="B464" i="6"/>
  <c r="B464" i="5"/>
  <c r="C465" i="6"/>
  <c r="C465" i="5"/>
  <c r="B486" i="6"/>
  <c r="B486" i="5"/>
  <c r="C487" i="6"/>
  <c r="C487" i="5"/>
  <c r="B488" i="6"/>
  <c r="B488" i="5"/>
  <c r="C489" i="6"/>
  <c r="C489" i="5"/>
  <c r="B490" i="6"/>
  <c r="B490" i="5"/>
  <c r="C491" i="6"/>
  <c r="C491" i="5"/>
  <c r="B492" i="6"/>
  <c r="B492" i="5"/>
  <c r="C493" i="6"/>
  <c r="C493" i="5"/>
  <c r="B494" i="6"/>
  <c r="B494" i="5"/>
  <c r="C495" i="6"/>
  <c r="C495" i="5"/>
  <c r="B496" i="6"/>
  <c r="B496" i="5"/>
  <c r="C497" i="6"/>
  <c r="C497" i="5"/>
  <c r="B498" i="6"/>
  <c r="B498" i="5"/>
  <c r="C499" i="6"/>
  <c r="C499" i="5"/>
  <c r="B500" i="6"/>
  <c r="B500" i="5"/>
  <c r="C501" i="6"/>
  <c r="C501" i="5"/>
  <c r="B502" i="6"/>
  <c r="B502" i="5"/>
  <c r="C503" i="6"/>
  <c r="C503" i="5"/>
  <c r="B504" i="6"/>
  <c r="B504" i="5"/>
  <c r="C505" i="6"/>
  <c r="C505" i="5"/>
  <c r="B506" i="6"/>
  <c r="B506" i="5"/>
  <c r="C507" i="6"/>
  <c r="C507" i="5"/>
  <c r="B508" i="6"/>
  <c r="B508" i="5"/>
  <c r="C509" i="6"/>
  <c r="C509" i="5"/>
  <c r="B510" i="6"/>
  <c r="B510" i="5"/>
  <c r="C511" i="6"/>
  <c r="C511" i="5"/>
  <c r="B512" i="6"/>
  <c r="B512" i="5"/>
  <c r="C513" i="6"/>
  <c r="C513" i="5"/>
  <c r="B514" i="6"/>
  <c r="B514" i="5"/>
  <c r="C515" i="6"/>
  <c r="C515" i="5"/>
  <c r="B516" i="6"/>
  <c r="B516" i="5"/>
  <c r="C517" i="6"/>
  <c r="C517" i="5"/>
  <c r="B518" i="6"/>
  <c r="B518" i="5"/>
  <c r="C519" i="6"/>
  <c r="C519" i="5"/>
  <c r="B520" i="6"/>
  <c r="B520" i="5"/>
  <c r="C521" i="6"/>
  <c r="C521" i="5"/>
  <c r="B522" i="6"/>
  <c r="B522" i="5"/>
  <c r="C523" i="6"/>
  <c r="C523" i="5"/>
  <c r="B524" i="6"/>
  <c r="B524" i="5"/>
  <c r="C525" i="6"/>
  <c r="C525" i="5"/>
  <c r="B526" i="6"/>
  <c r="B526" i="5"/>
  <c r="C527" i="6"/>
  <c r="C527" i="5"/>
  <c r="B528" i="6"/>
  <c r="B528" i="5"/>
  <c r="C529" i="6"/>
  <c r="C529" i="5"/>
  <c r="B530" i="6"/>
  <c r="B530" i="5"/>
  <c r="C531" i="6"/>
  <c r="C531" i="5"/>
  <c r="B532" i="6"/>
  <c r="B532" i="5"/>
  <c r="C533" i="6"/>
  <c r="C533" i="5"/>
  <c r="B534" i="6"/>
  <c r="B534" i="5"/>
  <c r="C535" i="6"/>
  <c r="C535" i="5"/>
  <c r="B536" i="6"/>
  <c r="B536" i="5"/>
  <c r="T537" i="6"/>
  <c r="B538" i="6"/>
  <c r="B538" i="5"/>
  <c r="C539" i="6"/>
  <c r="C539" i="5"/>
  <c r="B540" i="6"/>
  <c r="B540" i="5"/>
  <c r="C541" i="6"/>
  <c r="C541" i="5"/>
  <c r="B542" i="6"/>
  <c r="B542" i="5"/>
  <c r="C543" i="6"/>
  <c r="C543" i="5"/>
  <c r="B544" i="6"/>
  <c r="B544" i="5"/>
  <c r="C545" i="6"/>
  <c r="C545" i="5"/>
  <c r="B546" i="6"/>
  <c r="B546" i="5"/>
  <c r="C547" i="6"/>
  <c r="C547" i="5"/>
  <c r="B548" i="6"/>
  <c r="B548" i="5"/>
  <c r="C549" i="6"/>
  <c r="C549" i="5"/>
  <c r="B550" i="6"/>
  <c r="B550" i="5"/>
  <c r="C551" i="6"/>
  <c r="C551" i="5"/>
  <c r="B552" i="6"/>
  <c r="B552" i="5"/>
  <c r="C553" i="6"/>
  <c r="C553" i="5"/>
  <c r="B554" i="6"/>
  <c r="B554" i="5"/>
  <c r="C555" i="6"/>
  <c r="C555" i="5"/>
  <c r="B556" i="6"/>
  <c r="B556" i="5"/>
  <c r="C557" i="6"/>
  <c r="C557" i="5"/>
  <c r="B558" i="6"/>
  <c r="B558" i="5"/>
  <c r="C559" i="6"/>
  <c r="C559" i="5"/>
  <c r="B560" i="6"/>
  <c r="B560" i="5"/>
  <c r="C561" i="6"/>
  <c r="C561" i="5"/>
  <c r="B562" i="6"/>
  <c r="B562" i="5"/>
  <c r="C563" i="6"/>
  <c r="C563" i="5"/>
  <c r="B564" i="6"/>
  <c r="B564" i="5"/>
  <c r="C565" i="6"/>
  <c r="C565" i="5"/>
  <c r="B566" i="6"/>
  <c r="B566" i="5"/>
  <c r="C567" i="6"/>
  <c r="C567" i="5"/>
  <c r="B568" i="6"/>
  <c r="B568" i="5"/>
  <c r="C569" i="6"/>
  <c r="C569" i="5"/>
  <c r="B570" i="6"/>
  <c r="B570" i="5"/>
  <c r="C571" i="6"/>
  <c r="C571" i="5"/>
  <c r="B572" i="6"/>
  <c r="B572" i="5"/>
  <c r="C573" i="6"/>
  <c r="C573" i="5"/>
  <c r="B574" i="6"/>
  <c r="B574" i="5"/>
  <c r="C575" i="6"/>
  <c r="C575" i="5"/>
  <c r="B576" i="6"/>
  <c r="B576" i="5"/>
  <c r="C577" i="6"/>
  <c r="C577" i="5"/>
  <c r="B578" i="6"/>
  <c r="B578" i="5"/>
  <c r="C579" i="6"/>
  <c r="C579" i="5"/>
  <c r="B580" i="6"/>
  <c r="B580" i="5"/>
  <c r="C581" i="6"/>
  <c r="C581" i="5"/>
  <c r="B582" i="6"/>
  <c r="B582" i="5"/>
  <c r="C583" i="6"/>
  <c r="C583" i="5"/>
  <c r="B584" i="6"/>
  <c r="B584" i="5"/>
  <c r="C585" i="6"/>
  <c r="C585" i="5"/>
  <c r="B606" i="6"/>
  <c r="B606" i="5"/>
  <c r="C607" i="6"/>
  <c r="C607" i="5"/>
  <c r="B608" i="6"/>
  <c r="B608" i="5"/>
  <c r="C609" i="6"/>
  <c r="C609" i="5"/>
  <c r="B610" i="6"/>
  <c r="B610" i="5"/>
  <c r="C611" i="6"/>
  <c r="C611" i="5"/>
  <c r="B612" i="6"/>
  <c r="B612" i="5"/>
  <c r="C613" i="6"/>
  <c r="C613" i="5"/>
  <c r="B614" i="6"/>
  <c r="B614" i="5"/>
  <c r="C615" i="6"/>
  <c r="C615" i="5"/>
  <c r="B616" i="6"/>
  <c r="B616" i="5"/>
  <c r="C617" i="6"/>
  <c r="C617" i="5"/>
  <c r="B618" i="6"/>
  <c r="B618" i="5"/>
  <c r="C619" i="6"/>
  <c r="C619" i="5"/>
  <c r="B620" i="6"/>
  <c r="B620" i="5"/>
  <c r="C621" i="6"/>
  <c r="C621" i="5"/>
  <c r="B622" i="6"/>
  <c r="B622" i="5"/>
  <c r="C623" i="6"/>
  <c r="C623" i="5"/>
  <c r="B624" i="6"/>
  <c r="B624" i="5"/>
  <c r="C625" i="6"/>
  <c r="C625" i="5"/>
  <c r="B626" i="6"/>
  <c r="B626" i="5"/>
  <c r="C627" i="6"/>
  <c r="C627" i="5"/>
  <c r="B628" i="6"/>
  <c r="B628" i="5"/>
  <c r="C629" i="6"/>
  <c r="C629" i="5"/>
  <c r="B630" i="6"/>
  <c r="B630" i="5"/>
  <c r="C631" i="6"/>
  <c r="C631" i="5"/>
  <c r="B632" i="6"/>
  <c r="B632" i="5"/>
  <c r="C633" i="6"/>
  <c r="C633" i="5"/>
  <c r="B634" i="6"/>
  <c r="B634" i="5"/>
  <c r="C635" i="6"/>
  <c r="C635" i="5"/>
  <c r="B636" i="6"/>
  <c r="B636" i="5"/>
  <c r="C637" i="6"/>
  <c r="C637" i="5"/>
  <c r="B638" i="6"/>
  <c r="B638" i="5"/>
  <c r="C639" i="6"/>
  <c r="C639" i="5"/>
  <c r="B640" i="6"/>
  <c r="B640" i="5"/>
  <c r="C641" i="6"/>
  <c r="C641" i="5"/>
  <c r="B642" i="6"/>
  <c r="B642" i="5"/>
  <c r="C643" i="6"/>
  <c r="C643" i="5"/>
  <c r="B644" i="6"/>
  <c r="B644" i="5"/>
  <c r="C645" i="6"/>
  <c r="C645" i="5"/>
  <c r="B646" i="6"/>
  <c r="B646" i="5"/>
  <c r="C647" i="6"/>
  <c r="C647" i="5"/>
  <c r="B648" i="6"/>
  <c r="B648" i="5"/>
  <c r="C649" i="6"/>
  <c r="C649" i="5"/>
  <c r="B650" i="6"/>
  <c r="B650" i="5"/>
  <c r="C651" i="6"/>
  <c r="C651" i="5"/>
  <c r="B652" i="6"/>
  <c r="B652" i="5"/>
  <c r="C653" i="6"/>
  <c r="C653" i="5"/>
  <c r="B654" i="6"/>
  <c r="B654" i="5"/>
  <c r="C655" i="6"/>
  <c r="C655" i="5"/>
  <c r="B656" i="6"/>
  <c r="B656" i="5"/>
  <c r="C657" i="6"/>
  <c r="C657" i="5"/>
  <c r="B658" i="6"/>
  <c r="B658" i="5"/>
  <c r="C659" i="6"/>
  <c r="C659" i="5"/>
  <c r="B660" i="6"/>
  <c r="B660" i="5"/>
  <c r="C661" i="6"/>
  <c r="C661" i="5"/>
  <c r="B662" i="6"/>
  <c r="B662" i="5"/>
  <c r="C663" i="6"/>
  <c r="C663" i="5"/>
  <c r="B664" i="6"/>
  <c r="B664" i="5"/>
  <c r="C665" i="6"/>
  <c r="C665" i="5"/>
  <c r="B666" i="6"/>
  <c r="B666" i="5"/>
  <c r="C667" i="6"/>
  <c r="C667" i="5"/>
  <c r="B668" i="6"/>
  <c r="B668" i="5"/>
  <c r="C669" i="6"/>
  <c r="C669" i="5"/>
  <c r="B670" i="6"/>
  <c r="B670" i="5"/>
  <c r="C671" i="6"/>
  <c r="C671" i="5"/>
  <c r="B672" i="6"/>
  <c r="B672" i="5"/>
  <c r="C673" i="6"/>
  <c r="C673" i="5"/>
  <c r="B674" i="6"/>
  <c r="B674" i="5"/>
  <c r="C675" i="6"/>
  <c r="C675" i="5"/>
  <c r="B676" i="6"/>
  <c r="B676" i="5"/>
  <c r="C677" i="6"/>
  <c r="C677" i="5"/>
  <c r="B678" i="6"/>
  <c r="B678" i="5"/>
  <c r="C679" i="6"/>
  <c r="C679" i="5"/>
  <c r="B680" i="6"/>
  <c r="B680" i="5"/>
  <c r="C681" i="6"/>
  <c r="C681" i="5"/>
  <c r="B682" i="6"/>
  <c r="B682" i="5"/>
  <c r="C683" i="6"/>
  <c r="C683" i="5"/>
  <c r="B684" i="6"/>
  <c r="B684" i="5"/>
  <c r="C685" i="6"/>
  <c r="C685" i="5"/>
  <c r="B686" i="6"/>
  <c r="B686" i="5"/>
  <c r="C687" i="6"/>
  <c r="C687" i="5"/>
  <c r="B688" i="6"/>
  <c r="B688" i="5"/>
  <c r="C689" i="6"/>
  <c r="C689" i="5"/>
  <c r="B690" i="6"/>
  <c r="B690" i="5"/>
  <c r="C691" i="6"/>
  <c r="C691" i="5"/>
  <c r="B692" i="6"/>
  <c r="B692" i="5"/>
  <c r="C693" i="6"/>
  <c r="C693" i="5"/>
  <c r="B694" i="6"/>
  <c r="B694" i="5"/>
  <c r="C695" i="6"/>
  <c r="C695" i="5"/>
  <c r="B696" i="6"/>
  <c r="B696" i="5"/>
  <c r="C697" i="6"/>
  <c r="C697" i="5"/>
  <c r="B698" i="6"/>
  <c r="B698" i="5"/>
  <c r="C699" i="6"/>
  <c r="C699" i="5"/>
  <c r="B700" i="6"/>
  <c r="B700" i="5"/>
  <c r="C701" i="6"/>
  <c r="C701" i="5"/>
  <c r="B702" i="6"/>
  <c r="B702" i="5"/>
  <c r="C703" i="6"/>
  <c r="C703" i="5"/>
  <c r="B704" i="6"/>
  <c r="B704" i="5"/>
  <c r="C705" i="6"/>
  <c r="C705" i="5"/>
  <c r="B726" i="6"/>
  <c r="B726" i="5"/>
  <c r="C727" i="6"/>
  <c r="C727" i="5"/>
  <c r="B728" i="6"/>
  <c r="B728" i="5"/>
  <c r="C729" i="6"/>
  <c r="C729" i="5"/>
  <c r="B730" i="6"/>
  <c r="B730" i="5"/>
  <c r="C731" i="6"/>
  <c r="C731" i="5"/>
  <c r="B732" i="6"/>
  <c r="B732" i="5"/>
  <c r="C733" i="6"/>
  <c r="C733" i="5"/>
  <c r="B734" i="6"/>
  <c r="B734" i="5"/>
  <c r="C735" i="6"/>
  <c r="C735" i="5"/>
  <c r="B736" i="6"/>
  <c r="B736" i="5"/>
  <c r="C737" i="6"/>
  <c r="C737" i="5"/>
  <c r="B738" i="6"/>
  <c r="B738" i="5"/>
  <c r="C739" i="6"/>
  <c r="C739" i="5"/>
  <c r="B740" i="6"/>
  <c r="B740" i="5"/>
  <c r="C741" i="6"/>
  <c r="C741" i="5"/>
  <c r="B742" i="6"/>
  <c r="B742" i="5"/>
  <c r="C743" i="6"/>
  <c r="C743" i="5"/>
  <c r="B744" i="6"/>
  <c r="B744" i="5"/>
  <c r="C745" i="6"/>
  <c r="C745" i="5"/>
  <c r="B746" i="6"/>
  <c r="B746" i="5"/>
  <c r="C747" i="6"/>
  <c r="C747" i="5"/>
  <c r="B748" i="6"/>
  <c r="B748" i="5"/>
  <c r="C749" i="6"/>
  <c r="C749" i="5"/>
  <c r="B750" i="6"/>
  <c r="B750" i="5"/>
  <c r="C751" i="6"/>
  <c r="C751" i="5"/>
  <c r="B752" i="6"/>
  <c r="B752" i="5"/>
  <c r="C753" i="6"/>
  <c r="C753" i="5"/>
  <c r="B754" i="6"/>
  <c r="B754" i="5"/>
  <c r="C755" i="6"/>
  <c r="C755" i="5"/>
  <c r="B756" i="6"/>
  <c r="B756" i="5"/>
  <c r="C757" i="6"/>
  <c r="C757" i="5"/>
  <c r="B758" i="6"/>
  <c r="B758" i="5"/>
  <c r="C759" i="6"/>
  <c r="C759" i="5"/>
  <c r="B760" i="6"/>
  <c r="B760" i="5"/>
  <c r="C761" i="6"/>
  <c r="C761" i="5"/>
  <c r="B762" i="6"/>
  <c r="B762" i="5"/>
  <c r="C763" i="6"/>
  <c r="C763" i="5"/>
  <c r="B764" i="6"/>
  <c r="B764" i="5"/>
  <c r="C765" i="6"/>
  <c r="C765" i="5"/>
  <c r="B766" i="6"/>
  <c r="B766" i="5"/>
  <c r="C767" i="6"/>
  <c r="C767" i="5"/>
  <c r="B768" i="6"/>
  <c r="B768" i="5"/>
  <c r="C769" i="6"/>
  <c r="C769" i="5"/>
  <c r="B770" i="6"/>
  <c r="B770" i="5"/>
  <c r="C771" i="6"/>
  <c r="C771" i="5"/>
  <c r="B772" i="6"/>
  <c r="B772" i="5"/>
  <c r="C773" i="6"/>
  <c r="C773" i="5"/>
  <c r="B774" i="6"/>
  <c r="B774" i="5"/>
  <c r="C775" i="6"/>
  <c r="C775" i="5"/>
  <c r="B776" i="6"/>
  <c r="B776" i="5"/>
  <c r="C777" i="6"/>
  <c r="C777" i="5"/>
  <c r="B778" i="6"/>
  <c r="B778" i="5"/>
  <c r="C779" i="6"/>
  <c r="C779" i="5"/>
  <c r="B780" i="6"/>
  <c r="B780" i="5"/>
  <c r="C781" i="6"/>
  <c r="C781" i="5"/>
  <c r="B782" i="6"/>
  <c r="B782" i="5"/>
  <c r="C783" i="6"/>
  <c r="C783" i="5"/>
  <c r="B784" i="6"/>
  <c r="B784" i="5"/>
  <c r="C785" i="6"/>
  <c r="C785" i="5"/>
  <c r="B786" i="6"/>
  <c r="B786" i="5"/>
  <c r="C787" i="6"/>
  <c r="C787" i="5"/>
  <c r="B788" i="6"/>
  <c r="B788" i="5"/>
  <c r="C789" i="6"/>
  <c r="C789" i="5"/>
  <c r="B790" i="6"/>
  <c r="B790" i="5"/>
  <c r="C791" i="6"/>
  <c r="C791" i="5"/>
  <c r="B792" i="6"/>
  <c r="B792" i="5"/>
  <c r="C793" i="6"/>
  <c r="C793" i="5"/>
  <c r="B794" i="6"/>
  <c r="B794" i="5"/>
  <c r="C795" i="6"/>
  <c r="C795" i="5"/>
  <c r="B796" i="6"/>
  <c r="B796" i="5"/>
  <c r="C797" i="6"/>
  <c r="C797" i="5"/>
  <c r="B798" i="6"/>
  <c r="B798" i="5"/>
  <c r="C799" i="6"/>
  <c r="C799" i="5"/>
  <c r="B800" i="6"/>
  <c r="B800" i="5"/>
  <c r="C801" i="6"/>
  <c r="C801" i="5"/>
  <c r="B802" i="6"/>
  <c r="B802" i="5"/>
  <c r="C803" i="6"/>
  <c r="C803" i="5"/>
  <c r="B804" i="6"/>
  <c r="B804" i="5"/>
  <c r="C805" i="6"/>
  <c r="C805" i="5"/>
  <c r="B806" i="6"/>
  <c r="B806" i="5"/>
  <c r="C807" i="6"/>
  <c r="C807" i="5"/>
  <c r="B808" i="6"/>
  <c r="B808" i="5"/>
  <c r="C809" i="6"/>
  <c r="C809" i="5"/>
  <c r="B810" i="6"/>
  <c r="B810" i="5"/>
  <c r="C811" i="6"/>
  <c r="C811" i="5"/>
  <c r="B812" i="6"/>
  <c r="B812" i="5"/>
  <c r="C813" i="6"/>
  <c r="C813" i="5"/>
  <c r="B814" i="6"/>
  <c r="B814" i="5"/>
  <c r="C815" i="6"/>
  <c r="C815" i="5"/>
  <c r="B816" i="6"/>
  <c r="B816" i="5"/>
  <c r="C817" i="6"/>
  <c r="C817" i="5"/>
  <c r="B818" i="6"/>
  <c r="B818" i="5"/>
  <c r="C819" i="6"/>
  <c r="C819" i="5"/>
  <c r="B820" i="6"/>
  <c r="B820" i="5"/>
  <c r="C821" i="6"/>
  <c r="C821" i="5"/>
  <c r="B822" i="6"/>
  <c r="B822" i="5"/>
  <c r="C823" i="6"/>
  <c r="C823" i="5"/>
  <c r="L824" i="4"/>
  <c r="H824" i="6"/>
  <c r="I824" i="6"/>
  <c r="C846" i="6"/>
  <c r="C846" i="5"/>
  <c r="E846" i="4"/>
  <c r="B847" i="6"/>
  <c r="B847" i="5"/>
  <c r="C849" i="6"/>
  <c r="C849" i="5"/>
  <c r="C850" i="6"/>
  <c r="C850" i="5"/>
  <c r="E850" i="4"/>
  <c r="A852" i="6"/>
  <c r="A852" i="5"/>
  <c r="D852" i="5"/>
  <c r="E852" i="5"/>
  <c r="L852" i="4"/>
  <c r="H852" i="6"/>
  <c r="I852" i="6"/>
  <c r="B857" i="6"/>
  <c r="B857" i="5"/>
  <c r="L857" i="4"/>
  <c r="H857" i="6"/>
  <c r="I857" i="6"/>
  <c r="B862" i="6"/>
  <c r="B862" i="5"/>
  <c r="C865" i="6"/>
  <c r="C865" i="5"/>
  <c r="C866" i="6"/>
  <c r="C866" i="5"/>
  <c r="E866" i="4"/>
  <c r="A868" i="6"/>
  <c r="A868" i="5"/>
  <c r="D868" i="5"/>
  <c r="E868" i="5"/>
  <c r="L868" i="4"/>
  <c r="H868" i="6"/>
  <c r="I868" i="6"/>
  <c r="B873" i="6"/>
  <c r="B873" i="5"/>
  <c r="L873" i="4"/>
  <c r="H873" i="6"/>
  <c r="I873" i="6"/>
  <c r="B878" i="6"/>
  <c r="B878" i="5"/>
  <c r="C881" i="6"/>
  <c r="C881" i="5"/>
  <c r="C882" i="6"/>
  <c r="C882" i="5"/>
  <c r="E882" i="4"/>
  <c r="A884" i="6"/>
  <c r="A884" i="5"/>
  <c r="D884" i="5"/>
  <c r="E884" i="5"/>
  <c r="L884" i="4"/>
  <c r="H884" i="6"/>
  <c r="I884" i="6"/>
  <c r="B889" i="6"/>
  <c r="B889" i="5"/>
  <c r="L889" i="4"/>
  <c r="H889" i="6"/>
  <c r="I889" i="6"/>
  <c r="B894" i="6"/>
  <c r="B894" i="5"/>
  <c r="C897" i="6"/>
  <c r="C897" i="5"/>
  <c r="C898" i="6"/>
  <c r="C898" i="5"/>
  <c r="E898" i="4"/>
  <c r="A900" i="6"/>
  <c r="A900" i="5"/>
  <c r="D900" i="5"/>
  <c r="E900" i="5"/>
  <c r="L900" i="4"/>
  <c r="H900" i="6"/>
  <c r="I900" i="6"/>
  <c r="B905" i="6"/>
  <c r="B905" i="5"/>
  <c r="L905" i="4"/>
  <c r="H905" i="6"/>
  <c r="I905" i="6"/>
  <c r="B910" i="6"/>
  <c r="B910" i="5"/>
  <c r="C913" i="6"/>
  <c r="C913" i="5"/>
  <c r="C914" i="6"/>
  <c r="C914" i="5"/>
  <c r="E914" i="4"/>
  <c r="A916" i="6"/>
  <c r="A916" i="5"/>
  <c r="D916" i="5"/>
  <c r="E916" i="5"/>
  <c r="L916" i="4"/>
  <c r="H916" i="6"/>
  <c r="I916" i="6"/>
  <c r="B921" i="6"/>
  <c r="B921" i="5"/>
  <c r="L921" i="4"/>
  <c r="H921" i="6"/>
  <c r="I921" i="6"/>
  <c r="B926" i="6"/>
  <c r="B926" i="5"/>
  <c r="C929" i="6"/>
  <c r="C929" i="5"/>
  <c r="C930" i="6"/>
  <c r="C930" i="5"/>
  <c r="E930" i="4"/>
  <c r="A932" i="6"/>
  <c r="A932" i="5"/>
  <c r="D932" i="5"/>
  <c r="E932" i="5"/>
  <c r="L932" i="4"/>
  <c r="H932" i="6"/>
  <c r="I932" i="6"/>
  <c r="B937" i="6"/>
  <c r="B937" i="5"/>
  <c r="L937" i="4"/>
  <c r="H937" i="6"/>
  <c r="I937" i="6"/>
  <c r="B942" i="6"/>
  <c r="B942" i="5"/>
  <c r="C945" i="6"/>
  <c r="C945" i="5"/>
  <c r="C966" i="6"/>
  <c r="C966" i="5"/>
  <c r="E966" i="4"/>
  <c r="C967" i="4"/>
  <c r="A968" i="6"/>
  <c r="A968" i="5"/>
  <c r="C987" i="6"/>
  <c r="C987" i="5"/>
  <c r="C989" i="6"/>
  <c r="C989" i="5"/>
  <c r="D994" i="5"/>
  <c r="E994" i="5"/>
  <c r="L994" i="4"/>
  <c r="H994" i="6"/>
  <c r="I994" i="6"/>
  <c r="A1002" i="6"/>
  <c r="A1002" i="5"/>
  <c r="B1003" i="6"/>
  <c r="B1003" i="5"/>
  <c r="C1004" i="6"/>
  <c r="C1004" i="5"/>
  <c r="E1004" i="4"/>
  <c r="C1011" i="6"/>
  <c r="C1011" i="5"/>
  <c r="E1011" i="4"/>
  <c r="D1013" i="5"/>
  <c r="E1013" i="5"/>
  <c r="L1013" i="4"/>
  <c r="H1013" i="6"/>
  <c r="I1013" i="6"/>
  <c r="B1016" i="6"/>
  <c r="B1016" i="5"/>
  <c r="D1026" i="5"/>
  <c r="E1026" i="5"/>
  <c r="L1026" i="4"/>
  <c r="H1026" i="6"/>
  <c r="I1026" i="6"/>
  <c r="A1034" i="6"/>
  <c r="A1034" i="5"/>
  <c r="B1035" i="6"/>
  <c r="B1035" i="5"/>
  <c r="C1036" i="6"/>
  <c r="C1036" i="5"/>
  <c r="E1036" i="4"/>
  <c r="B1097" i="6"/>
  <c r="B1097" i="5"/>
  <c r="B1146" i="6"/>
  <c r="B1146" i="5"/>
  <c r="C1151" i="6"/>
  <c r="C1151" i="5"/>
  <c r="E1151" i="4"/>
  <c r="B1178" i="6"/>
  <c r="B1178" i="5"/>
  <c r="C1183" i="6"/>
  <c r="C1183" i="5"/>
  <c r="E1183" i="4"/>
  <c r="B852" i="6"/>
  <c r="B852" i="5"/>
  <c r="C855" i="6"/>
  <c r="C855" i="5"/>
  <c r="C856" i="6"/>
  <c r="C856" i="5"/>
  <c r="E856" i="4"/>
  <c r="A858" i="6"/>
  <c r="A858" i="5"/>
  <c r="D858" i="5"/>
  <c r="E858" i="5"/>
  <c r="L858" i="4"/>
  <c r="H858" i="6"/>
  <c r="I858" i="6"/>
  <c r="B863" i="6"/>
  <c r="B863" i="5"/>
  <c r="B868" i="6"/>
  <c r="B868" i="5"/>
  <c r="C871" i="6"/>
  <c r="C871" i="5"/>
  <c r="C872" i="6"/>
  <c r="C872" i="5"/>
  <c r="E872" i="4"/>
  <c r="A874" i="6"/>
  <c r="A874" i="5"/>
  <c r="D874" i="5"/>
  <c r="E874" i="5"/>
  <c r="L874" i="4"/>
  <c r="H874" i="6"/>
  <c r="I874" i="6"/>
  <c r="B879" i="6"/>
  <c r="B879" i="5"/>
  <c r="B884" i="6"/>
  <c r="B884" i="5"/>
  <c r="C887" i="6"/>
  <c r="C887" i="5"/>
  <c r="C888" i="6"/>
  <c r="C888" i="5"/>
  <c r="E888" i="4"/>
  <c r="A890" i="6"/>
  <c r="A890" i="5"/>
  <c r="D890" i="5"/>
  <c r="E890" i="5"/>
  <c r="L890" i="4"/>
  <c r="H890" i="6"/>
  <c r="I890" i="6"/>
  <c r="B895" i="6"/>
  <c r="B895" i="5"/>
  <c r="B900" i="6"/>
  <c r="B900" i="5"/>
  <c r="C903" i="6"/>
  <c r="C903" i="5"/>
  <c r="C904" i="6"/>
  <c r="C904" i="5"/>
  <c r="E904" i="4"/>
  <c r="A906" i="6"/>
  <c r="A906" i="5"/>
  <c r="D906" i="5"/>
  <c r="E906" i="5"/>
  <c r="L906" i="4"/>
  <c r="H906" i="6"/>
  <c r="I906" i="6"/>
  <c r="B911" i="6"/>
  <c r="B911" i="5"/>
  <c r="B916" i="6"/>
  <c r="B916" i="5"/>
  <c r="C919" i="6"/>
  <c r="C919" i="5"/>
  <c r="C920" i="6"/>
  <c r="C920" i="5"/>
  <c r="E920" i="4"/>
  <c r="A922" i="6"/>
  <c r="A922" i="5"/>
  <c r="D922" i="5"/>
  <c r="E922" i="5"/>
  <c r="L922" i="4"/>
  <c r="H922" i="6"/>
  <c r="I922" i="6"/>
  <c r="B927" i="6"/>
  <c r="B927" i="5"/>
  <c r="B932" i="6"/>
  <c r="B932" i="5"/>
  <c r="C935" i="6"/>
  <c r="C935" i="5"/>
  <c r="C936" i="6"/>
  <c r="C936" i="5"/>
  <c r="E936" i="4"/>
  <c r="A938" i="6"/>
  <c r="A938" i="5"/>
  <c r="D938" i="5"/>
  <c r="E938" i="5"/>
  <c r="L938" i="4"/>
  <c r="H938" i="6"/>
  <c r="I938" i="6"/>
  <c r="E941" i="4"/>
  <c r="B943" i="6"/>
  <c r="B943" i="5"/>
  <c r="B968" i="6"/>
  <c r="B968" i="5"/>
  <c r="B969" i="6"/>
  <c r="B969" i="5"/>
  <c r="D970" i="5"/>
  <c r="E970" i="5"/>
  <c r="L970" i="4"/>
  <c r="H970" i="6"/>
  <c r="I970" i="6"/>
  <c r="D974" i="5"/>
  <c r="E974" i="5"/>
  <c r="L974" i="4"/>
  <c r="H974" i="6"/>
  <c r="I974" i="6"/>
  <c r="D976" i="5"/>
  <c r="E976" i="5"/>
  <c r="L976" i="4"/>
  <c r="H976" i="6"/>
  <c r="I976" i="6"/>
  <c r="D993" i="5"/>
  <c r="E993" i="5"/>
  <c r="L993" i="4"/>
  <c r="H993" i="6"/>
  <c r="I993" i="6"/>
  <c r="B996" i="6"/>
  <c r="B996" i="5"/>
  <c r="D1006" i="5"/>
  <c r="E1006" i="5"/>
  <c r="L1006" i="4"/>
  <c r="H1006" i="6"/>
  <c r="I1006" i="6"/>
  <c r="A1014" i="6"/>
  <c r="A1014" i="5"/>
  <c r="B1015" i="6"/>
  <c r="B1015" i="5"/>
  <c r="C1016" i="6"/>
  <c r="C1016" i="5"/>
  <c r="E1016" i="4"/>
  <c r="C1023" i="6"/>
  <c r="C1023" i="5"/>
  <c r="E1023" i="4"/>
  <c r="D1025" i="5"/>
  <c r="E1025" i="5"/>
  <c r="L1025" i="4"/>
  <c r="H1025" i="6"/>
  <c r="I1025" i="6"/>
  <c r="B1028" i="6"/>
  <c r="B1028" i="5"/>
  <c r="D1038" i="5"/>
  <c r="E1038" i="5"/>
  <c r="L1038" i="4"/>
  <c r="H1038" i="6"/>
  <c r="I1038" i="6"/>
  <c r="C1043" i="6"/>
  <c r="C1043" i="5"/>
  <c r="E1043" i="4"/>
  <c r="B1046" i="6"/>
  <c r="B1046" i="5"/>
  <c r="C1047" i="6"/>
  <c r="C1047" i="5"/>
  <c r="E1047" i="4"/>
  <c r="B1050" i="6"/>
  <c r="B1050" i="5"/>
  <c r="C1051" i="6"/>
  <c r="C1051" i="5"/>
  <c r="E1051" i="4"/>
  <c r="B1054" i="6"/>
  <c r="B1054" i="5"/>
  <c r="C1055" i="6"/>
  <c r="C1055" i="5"/>
  <c r="E1055" i="4"/>
  <c r="B1058" i="6"/>
  <c r="B1058" i="5"/>
  <c r="C1059" i="6"/>
  <c r="C1059" i="5"/>
  <c r="E1059" i="4"/>
  <c r="B1062" i="6"/>
  <c r="B1062" i="5"/>
  <c r="C1063" i="6"/>
  <c r="C1063" i="5"/>
  <c r="E1063" i="4"/>
  <c r="B1086" i="6"/>
  <c r="B1086" i="5"/>
  <c r="C1087" i="6"/>
  <c r="C1087" i="5"/>
  <c r="E1087" i="4"/>
  <c r="B1090" i="6"/>
  <c r="B1090" i="5"/>
  <c r="C1091" i="6"/>
  <c r="C1091" i="5"/>
  <c r="E1091" i="4"/>
  <c r="B1094" i="6"/>
  <c r="B1094" i="5"/>
  <c r="B1109" i="6"/>
  <c r="B1109" i="5"/>
  <c r="C1112" i="6"/>
  <c r="C1112" i="5"/>
  <c r="E1112" i="4"/>
  <c r="C1115" i="6"/>
  <c r="C1115" i="5"/>
  <c r="E1115" i="4"/>
  <c r="B1126" i="6"/>
  <c r="B1126" i="5"/>
  <c r="C1131" i="6"/>
  <c r="C1131" i="5"/>
  <c r="E1131" i="4"/>
  <c r="B1158" i="6"/>
  <c r="B1158" i="5"/>
  <c r="C1163" i="6"/>
  <c r="C1163" i="5"/>
  <c r="E1163" i="4"/>
  <c r="C824" i="6"/>
  <c r="C824" i="5"/>
  <c r="E824" i="4"/>
  <c r="B825" i="6"/>
  <c r="B825" i="5"/>
  <c r="A848" i="6"/>
  <c r="A848" i="5"/>
  <c r="D848" i="5"/>
  <c r="E848" i="5"/>
  <c r="L848" i="4"/>
  <c r="H848" i="6"/>
  <c r="I848" i="6"/>
  <c r="B853" i="6"/>
  <c r="B853" i="5"/>
  <c r="B858" i="6"/>
  <c r="B858" i="5"/>
  <c r="C861" i="6"/>
  <c r="C861" i="5"/>
  <c r="C862" i="6"/>
  <c r="C862" i="5"/>
  <c r="E862" i="4"/>
  <c r="A864" i="6"/>
  <c r="A864" i="5"/>
  <c r="D864" i="5"/>
  <c r="E864" i="5"/>
  <c r="L864" i="4"/>
  <c r="H864" i="6"/>
  <c r="I864" i="6"/>
  <c r="B869" i="6"/>
  <c r="B869" i="5"/>
  <c r="B874" i="6"/>
  <c r="B874" i="5"/>
  <c r="C877" i="6"/>
  <c r="C877" i="5"/>
  <c r="C878" i="6"/>
  <c r="C878" i="5"/>
  <c r="E878" i="4"/>
  <c r="A880" i="6"/>
  <c r="A880" i="5"/>
  <c r="D880" i="5"/>
  <c r="E880" i="5"/>
  <c r="L880" i="4"/>
  <c r="H880" i="6"/>
  <c r="I880" i="6"/>
  <c r="B885" i="6"/>
  <c r="B885" i="5"/>
  <c r="B890" i="6"/>
  <c r="B890" i="5"/>
  <c r="C893" i="6"/>
  <c r="C893" i="5"/>
  <c r="C894" i="6"/>
  <c r="C894" i="5"/>
  <c r="E894" i="4"/>
  <c r="A896" i="6"/>
  <c r="A896" i="5"/>
  <c r="D896" i="5"/>
  <c r="E896" i="5"/>
  <c r="L896" i="4"/>
  <c r="H896" i="6"/>
  <c r="I896" i="6"/>
  <c r="B901" i="6"/>
  <c r="B901" i="5"/>
  <c r="L901" i="4"/>
  <c r="H901" i="6"/>
  <c r="I901" i="6"/>
  <c r="B906" i="6"/>
  <c r="B906" i="5"/>
  <c r="C909" i="6"/>
  <c r="C909" i="5"/>
  <c r="C910" i="6"/>
  <c r="C910" i="5"/>
  <c r="E910" i="4"/>
  <c r="A912" i="6"/>
  <c r="A912" i="5"/>
  <c r="D912" i="5"/>
  <c r="E912" i="5"/>
  <c r="L912" i="4"/>
  <c r="H912" i="6"/>
  <c r="I912" i="6"/>
  <c r="B917" i="6"/>
  <c r="B917" i="5"/>
  <c r="L917" i="4"/>
  <c r="H917" i="6"/>
  <c r="I917" i="6"/>
  <c r="B922" i="6"/>
  <c r="B922" i="5"/>
  <c r="C925" i="6"/>
  <c r="C925" i="5"/>
  <c r="C926" i="6"/>
  <c r="C926" i="5"/>
  <c r="E926" i="4"/>
  <c r="A928" i="6"/>
  <c r="A928" i="5"/>
  <c r="D928" i="5"/>
  <c r="E928" i="5"/>
  <c r="L928" i="4"/>
  <c r="H928" i="6"/>
  <c r="I928" i="6"/>
  <c r="B933" i="6"/>
  <c r="B933" i="5"/>
  <c r="L933" i="4"/>
  <c r="H933" i="6"/>
  <c r="I933" i="6"/>
  <c r="B938" i="6"/>
  <c r="B938" i="5"/>
  <c r="C941" i="6"/>
  <c r="C941" i="5"/>
  <c r="C942" i="6"/>
  <c r="C942" i="5"/>
  <c r="E942" i="4"/>
  <c r="A944" i="6"/>
  <c r="A944" i="5"/>
  <c r="D944" i="5"/>
  <c r="E944" i="5"/>
  <c r="L944" i="4"/>
  <c r="H944" i="6"/>
  <c r="I944" i="6"/>
  <c r="A970" i="6"/>
  <c r="A970" i="5"/>
  <c r="A974" i="6"/>
  <c r="A974" i="5"/>
  <c r="D977" i="5"/>
  <c r="E977" i="5"/>
  <c r="L977" i="4"/>
  <c r="H977" i="6"/>
  <c r="I977" i="6"/>
  <c r="D978" i="5"/>
  <c r="E978" i="5"/>
  <c r="L978" i="4"/>
  <c r="H978" i="6"/>
  <c r="I978" i="6"/>
  <c r="D982" i="5"/>
  <c r="E982" i="5"/>
  <c r="L982" i="4"/>
  <c r="H982" i="6"/>
  <c r="I982" i="6"/>
  <c r="D984" i="5"/>
  <c r="E984" i="5"/>
  <c r="L984" i="4"/>
  <c r="H984" i="6"/>
  <c r="I984" i="6"/>
  <c r="A994" i="6"/>
  <c r="A994" i="5"/>
  <c r="B995" i="6"/>
  <c r="B995" i="5"/>
  <c r="C996" i="6"/>
  <c r="C996" i="5"/>
  <c r="E996" i="4"/>
  <c r="C1003" i="6"/>
  <c r="C1003" i="5"/>
  <c r="E1003" i="4"/>
  <c r="D1005" i="5"/>
  <c r="E1005" i="5"/>
  <c r="L1005" i="4"/>
  <c r="H1005" i="6"/>
  <c r="I1005" i="6"/>
  <c r="B1008" i="6"/>
  <c r="B1008" i="5"/>
  <c r="D1018" i="5"/>
  <c r="E1018" i="5"/>
  <c r="L1018" i="4"/>
  <c r="H1018" i="6"/>
  <c r="I1018" i="6"/>
  <c r="A1026" i="6"/>
  <c r="A1026" i="5"/>
  <c r="B1027" i="6"/>
  <c r="B1027" i="5"/>
  <c r="C1028" i="6"/>
  <c r="C1028" i="5"/>
  <c r="E1028" i="4"/>
  <c r="C1035" i="6"/>
  <c r="C1035" i="5"/>
  <c r="E1035" i="4"/>
  <c r="D1037" i="5"/>
  <c r="E1037" i="5"/>
  <c r="L1037" i="4"/>
  <c r="H1037" i="6"/>
  <c r="I1037" i="6"/>
  <c r="B1040" i="6"/>
  <c r="B1040" i="5"/>
  <c r="B1045" i="6"/>
  <c r="B1045" i="5"/>
  <c r="B1049" i="6"/>
  <c r="B1049" i="5"/>
  <c r="B1053" i="6"/>
  <c r="B1053" i="5"/>
  <c r="B1057" i="6"/>
  <c r="B1057" i="5"/>
  <c r="B1061" i="6"/>
  <c r="B1061" i="5"/>
  <c r="B1065" i="6"/>
  <c r="B1065" i="5"/>
  <c r="B1089" i="6"/>
  <c r="B1089" i="5"/>
  <c r="B1093" i="6"/>
  <c r="B1093" i="5"/>
  <c r="C1100" i="6"/>
  <c r="C1100" i="5"/>
  <c r="E1100" i="4"/>
  <c r="B1114" i="6"/>
  <c r="B1114" i="5"/>
  <c r="A1120" i="6"/>
  <c r="A1120" i="5"/>
  <c r="B1138" i="6"/>
  <c r="B1138" i="5"/>
  <c r="C1143" i="6"/>
  <c r="C1143" i="5"/>
  <c r="E1143" i="4"/>
  <c r="B1170" i="6"/>
  <c r="B1170" i="5"/>
  <c r="C1175" i="6"/>
  <c r="C1175" i="5"/>
  <c r="E1175" i="4"/>
  <c r="B398" i="5"/>
  <c r="A521" i="6"/>
  <c r="A521" i="5"/>
  <c r="A523" i="6"/>
  <c r="A523" i="5"/>
  <c r="A525" i="6"/>
  <c r="A525" i="5"/>
  <c r="A527" i="6"/>
  <c r="A527" i="5"/>
  <c r="A529" i="6"/>
  <c r="A529" i="5"/>
  <c r="A531" i="6"/>
  <c r="A531" i="5"/>
  <c r="A533" i="6"/>
  <c r="A533" i="5"/>
  <c r="A535" i="6"/>
  <c r="A535" i="5"/>
  <c r="A537" i="6"/>
  <c r="A537" i="5"/>
  <c r="A539" i="6"/>
  <c r="A539" i="5"/>
  <c r="A541" i="6"/>
  <c r="A541" i="5"/>
  <c r="A543" i="6"/>
  <c r="A543" i="5"/>
  <c r="A545" i="6"/>
  <c r="A545" i="5"/>
  <c r="A547" i="6"/>
  <c r="A547" i="5"/>
  <c r="A549" i="6"/>
  <c r="A549" i="5"/>
  <c r="A551" i="6"/>
  <c r="A551" i="5"/>
  <c r="A553" i="6"/>
  <c r="A553" i="5"/>
  <c r="A555" i="6"/>
  <c r="A555" i="5"/>
  <c r="A557" i="6"/>
  <c r="A557" i="5"/>
  <c r="A559" i="6"/>
  <c r="A559" i="5"/>
  <c r="A561" i="6"/>
  <c r="A561" i="5"/>
  <c r="A563" i="6"/>
  <c r="A563" i="5"/>
  <c r="A565" i="6"/>
  <c r="A565" i="5"/>
  <c r="A567" i="6"/>
  <c r="A567" i="5"/>
  <c r="A569" i="6"/>
  <c r="A569" i="5"/>
  <c r="A571" i="6"/>
  <c r="A571" i="5"/>
  <c r="A573" i="6"/>
  <c r="A573" i="5"/>
  <c r="A575" i="6"/>
  <c r="A575" i="5"/>
  <c r="A577" i="6"/>
  <c r="A577" i="5"/>
  <c r="A579" i="6"/>
  <c r="A579" i="5"/>
  <c r="A581" i="6"/>
  <c r="A581" i="5"/>
  <c r="A583" i="6"/>
  <c r="A583" i="5"/>
  <c r="A585" i="6"/>
  <c r="A585" i="5"/>
  <c r="A607" i="6"/>
  <c r="A607" i="5"/>
  <c r="A609" i="6"/>
  <c r="A609" i="5"/>
  <c r="A611" i="6"/>
  <c r="A611" i="5"/>
  <c r="A613" i="6"/>
  <c r="A613" i="5"/>
  <c r="A615" i="6"/>
  <c r="A615" i="5"/>
  <c r="A617" i="6"/>
  <c r="A617" i="5"/>
  <c r="A619" i="6"/>
  <c r="A619" i="5"/>
  <c r="A621" i="6"/>
  <c r="A621" i="5"/>
  <c r="A623" i="6"/>
  <c r="A623" i="5"/>
  <c r="A625" i="6"/>
  <c r="A625" i="5"/>
  <c r="A627" i="6"/>
  <c r="A627" i="5"/>
  <c r="A629" i="6"/>
  <c r="A629" i="5"/>
  <c r="A631" i="6"/>
  <c r="A631" i="5"/>
  <c r="A633" i="6"/>
  <c r="A633" i="5"/>
  <c r="A635" i="6"/>
  <c r="A635" i="5"/>
  <c r="A637" i="6"/>
  <c r="A637" i="5"/>
  <c r="A639" i="6"/>
  <c r="A639" i="5"/>
  <c r="A641" i="6"/>
  <c r="A641" i="5"/>
  <c r="A643" i="6"/>
  <c r="A643" i="5"/>
  <c r="A645" i="6"/>
  <c r="A645" i="5"/>
  <c r="A647" i="6"/>
  <c r="A647" i="5"/>
  <c r="A649" i="6"/>
  <c r="A649" i="5"/>
  <c r="A651" i="6"/>
  <c r="A651" i="5"/>
  <c r="A653" i="6"/>
  <c r="A653" i="5"/>
  <c r="A655" i="6"/>
  <c r="A655" i="5"/>
  <c r="A657" i="6"/>
  <c r="A657" i="5"/>
  <c r="A659" i="6"/>
  <c r="A659" i="5"/>
  <c r="A661" i="6"/>
  <c r="A661" i="5"/>
  <c r="A663" i="6"/>
  <c r="A663" i="5"/>
  <c r="A665" i="6"/>
  <c r="A665" i="5"/>
  <c r="A667" i="6"/>
  <c r="A667" i="5"/>
  <c r="A669" i="6"/>
  <c r="A669" i="5"/>
  <c r="A671" i="6"/>
  <c r="A671" i="5"/>
  <c r="A673" i="6"/>
  <c r="A673" i="5"/>
  <c r="A675" i="6"/>
  <c r="A675" i="5"/>
  <c r="A677" i="6"/>
  <c r="A677" i="5"/>
  <c r="A679" i="6"/>
  <c r="A679" i="5"/>
  <c r="A681" i="6"/>
  <c r="A681" i="5"/>
  <c r="A683" i="6"/>
  <c r="A683" i="5"/>
  <c r="A685" i="6"/>
  <c r="A685" i="5"/>
  <c r="A687" i="6"/>
  <c r="A687" i="5"/>
  <c r="A689" i="6"/>
  <c r="A689" i="5"/>
  <c r="A691" i="6"/>
  <c r="A691" i="5"/>
  <c r="A693" i="6"/>
  <c r="A693" i="5"/>
  <c r="A695" i="6"/>
  <c r="A695" i="5"/>
  <c r="A697" i="6"/>
  <c r="A697" i="5"/>
  <c r="A699" i="6"/>
  <c r="A699" i="5"/>
  <c r="A701" i="6"/>
  <c r="A701" i="5"/>
  <c r="A703" i="6"/>
  <c r="A703" i="5"/>
  <c r="A705" i="6"/>
  <c r="A705" i="5"/>
  <c r="A727" i="6"/>
  <c r="A727" i="5"/>
  <c r="A729" i="6"/>
  <c r="A729" i="5"/>
  <c r="A731" i="6"/>
  <c r="A731" i="5"/>
  <c r="A733" i="6"/>
  <c r="A733" i="5"/>
  <c r="A735" i="6"/>
  <c r="A735" i="5"/>
  <c r="A737" i="6"/>
  <c r="A737" i="5"/>
  <c r="A739" i="6"/>
  <c r="A739" i="5"/>
  <c r="A741" i="6"/>
  <c r="A741" i="5"/>
  <c r="A743" i="6"/>
  <c r="A743" i="5"/>
  <c r="A745" i="6"/>
  <c r="A745" i="5"/>
  <c r="A747" i="6"/>
  <c r="A747" i="5"/>
  <c r="A749" i="6"/>
  <c r="A749" i="5"/>
  <c r="A751" i="6"/>
  <c r="A751" i="5"/>
  <c r="A753" i="6"/>
  <c r="A753" i="5"/>
  <c r="A755" i="6"/>
  <c r="A755" i="5"/>
  <c r="A757" i="6"/>
  <c r="A757" i="5"/>
  <c r="A759" i="6"/>
  <c r="A759" i="5"/>
  <c r="A761" i="6"/>
  <c r="A761" i="5"/>
  <c r="A763" i="6"/>
  <c r="A763" i="5"/>
  <c r="A765" i="6"/>
  <c r="A765" i="5"/>
  <c r="A767" i="6"/>
  <c r="A767" i="5"/>
  <c r="A769" i="6"/>
  <c r="A769" i="5"/>
  <c r="A771" i="6"/>
  <c r="A771" i="5"/>
  <c r="A773" i="6"/>
  <c r="A773" i="5"/>
  <c r="A775" i="6"/>
  <c r="A775" i="5"/>
  <c r="A777" i="6"/>
  <c r="A777" i="5"/>
  <c r="A779" i="6"/>
  <c r="A779" i="5"/>
  <c r="A781" i="6"/>
  <c r="A781" i="5"/>
  <c r="A783" i="6"/>
  <c r="A783" i="5"/>
  <c r="A785" i="6"/>
  <c r="A785" i="5"/>
  <c r="A787" i="6"/>
  <c r="A787" i="5"/>
  <c r="A789" i="6"/>
  <c r="A789" i="5"/>
  <c r="A791" i="6"/>
  <c r="A791" i="5"/>
  <c r="A793" i="6"/>
  <c r="A793" i="5"/>
  <c r="A795" i="6"/>
  <c r="A795" i="5"/>
  <c r="A797" i="6"/>
  <c r="A797" i="5"/>
  <c r="A799" i="6"/>
  <c r="A799" i="5"/>
  <c r="A801" i="6"/>
  <c r="A801" i="5"/>
  <c r="A803" i="6"/>
  <c r="A803" i="5"/>
  <c r="A805" i="6"/>
  <c r="A805" i="5"/>
  <c r="A807" i="6"/>
  <c r="A807" i="5"/>
  <c r="A809" i="6"/>
  <c r="A809" i="5"/>
  <c r="A811" i="6"/>
  <c r="A811" i="5"/>
  <c r="A813" i="6"/>
  <c r="A813" i="5"/>
  <c r="A815" i="6"/>
  <c r="A815" i="5"/>
  <c r="A817" i="6"/>
  <c r="A817" i="5"/>
  <c r="A819" i="6"/>
  <c r="A819" i="5"/>
  <c r="A821" i="6"/>
  <c r="A821" i="5"/>
  <c r="L825" i="4"/>
  <c r="H825" i="6"/>
  <c r="I825" i="6"/>
  <c r="B848" i="6"/>
  <c r="B848" i="5"/>
  <c r="C851" i="6"/>
  <c r="C851" i="5"/>
  <c r="C852" i="6"/>
  <c r="C852" i="5"/>
  <c r="E852" i="4"/>
  <c r="A854" i="6"/>
  <c r="A854" i="5"/>
  <c r="D854" i="5"/>
  <c r="E854" i="5"/>
  <c r="L854" i="4"/>
  <c r="H854" i="6"/>
  <c r="I854" i="6"/>
  <c r="B859" i="6"/>
  <c r="B859" i="5"/>
  <c r="L859" i="4"/>
  <c r="H859" i="6"/>
  <c r="I859" i="6"/>
  <c r="B864" i="6"/>
  <c r="B864" i="5"/>
  <c r="C867" i="6"/>
  <c r="C867" i="5"/>
  <c r="C868" i="6"/>
  <c r="C868" i="5"/>
  <c r="E868" i="4"/>
  <c r="A870" i="6"/>
  <c r="A870" i="5"/>
  <c r="D870" i="5"/>
  <c r="E870" i="5"/>
  <c r="L870" i="4"/>
  <c r="H870" i="6"/>
  <c r="I870" i="6"/>
  <c r="B875" i="6"/>
  <c r="B875" i="5"/>
  <c r="L875" i="4"/>
  <c r="H875" i="6"/>
  <c r="I875" i="6"/>
  <c r="B880" i="6"/>
  <c r="B880" i="5"/>
  <c r="C883" i="6"/>
  <c r="C883" i="5"/>
  <c r="C884" i="6"/>
  <c r="C884" i="5"/>
  <c r="E884" i="4"/>
  <c r="A886" i="6"/>
  <c r="A886" i="5"/>
  <c r="D886" i="5"/>
  <c r="E886" i="5"/>
  <c r="L886" i="4"/>
  <c r="H886" i="6"/>
  <c r="I886" i="6"/>
  <c r="B891" i="6"/>
  <c r="B891" i="5"/>
  <c r="B896" i="6"/>
  <c r="B896" i="5"/>
  <c r="C899" i="6"/>
  <c r="C899" i="5"/>
  <c r="C900" i="6"/>
  <c r="C900" i="5"/>
  <c r="E900" i="4"/>
  <c r="A902" i="6"/>
  <c r="A902" i="5"/>
  <c r="D902" i="5"/>
  <c r="E902" i="5"/>
  <c r="L902" i="4"/>
  <c r="H902" i="6"/>
  <c r="I902" i="6"/>
  <c r="B907" i="6"/>
  <c r="B907" i="5"/>
  <c r="B912" i="6"/>
  <c r="B912" i="5"/>
  <c r="C915" i="6"/>
  <c r="C915" i="5"/>
  <c r="C916" i="6"/>
  <c r="C916" i="5"/>
  <c r="E916" i="4"/>
  <c r="A918" i="6"/>
  <c r="A918" i="5"/>
  <c r="D918" i="5"/>
  <c r="E918" i="5"/>
  <c r="L918" i="4"/>
  <c r="H918" i="6"/>
  <c r="I918" i="6"/>
  <c r="B923" i="6"/>
  <c r="B923" i="5"/>
  <c r="B928" i="6"/>
  <c r="B928" i="5"/>
  <c r="C931" i="6"/>
  <c r="C931" i="5"/>
  <c r="C932" i="6"/>
  <c r="C932" i="5"/>
  <c r="E932" i="4"/>
  <c r="A934" i="6"/>
  <c r="A934" i="5"/>
  <c r="D934" i="5"/>
  <c r="E934" i="5"/>
  <c r="L934" i="4"/>
  <c r="H934" i="6"/>
  <c r="I934" i="6"/>
  <c r="B939" i="6"/>
  <c r="B939" i="5"/>
  <c r="B944" i="6"/>
  <c r="B944" i="5"/>
  <c r="C967" i="6"/>
  <c r="C967" i="5"/>
  <c r="C968" i="6"/>
  <c r="C968" i="5"/>
  <c r="E968" i="4"/>
  <c r="B970" i="6"/>
  <c r="B970" i="5"/>
  <c r="B971" i="6"/>
  <c r="B971" i="5"/>
  <c r="B972" i="6"/>
  <c r="B972" i="5"/>
  <c r="B973" i="6"/>
  <c r="B973" i="5"/>
  <c r="B975" i="6"/>
  <c r="B975" i="5"/>
  <c r="A976" i="6"/>
  <c r="A976" i="5"/>
  <c r="A978" i="6"/>
  <c r="A978" i="5"/>
  <c r="A982" i="6"/>
  <c r="A982" i="5"/>
  <c r="D985" i="5"/>
  <c r="E985" i="5"/>
  <c r="L985" i="4"/>
  <c r="H985" i="6"/>
  <c r="I985" i="6"/>
  <c r="D986" i="5"/>
  <c r="E986" i="5"/>
  <c r="L986" i="4"/>
  <c r="H986" i="6"/>
  <c r="I986" i="6"/>
  <c r="D990" i="5"/>
  <c r="E990" i="5"/>
  <c r="L990" i="4"/>
  <c r="H990" i="6"/>
  <c r="I990" i="6"/>
  <c r="D998" i="5"/>
  <c r="E998" i="5"/>
  <c r="L998" i="4"/>
  <c r="H998" i="6"/>
  <c r="I998" i="6"/>
  <c r="A1006" i="6"/>
  <c r="A1006" i="5"/>
  <c r="B1007" i="6"/>
  <c r="B1007" i="5"/>
  <c r="C1008" i="6"/>
  <c r="C1008" i="5"/>
  <c r="E1008" i="4"/>
  <c r="C1015" i="6"/>
  <c r="C1015" i="5"/>
  <c r="E1015" i="4"/>
  <c r="D1017" i="5"/>
  <c r="E1017" i="5"/>
  <c r="L1017" i="4"/>
  <c r="H1017" i="6"/>
  <c r="I1017" i="6"/>
  <c r="B1020" i="6"/>
  <c r="B1020" i="5"/>
  <c r="D1030" i="5"/>
  <c r="E1030" i="5"/>
  <c r="L1030" i="4"/>
  <c r="H1030" i="6"/>
  <c r="I1030" i="6"/>
  <c r="A1038" i="6"/>
  <c r="A1038" i="5"/>
  <c r="B1039" i="6"/>
  <c r="B1039" i="5"/>
  <c r="C1040" i="6"/>
  <c r="C1040" i="5"/>
  <c r="E1040" i="4"/>
  <c r="A1096" i="6"/>
  <c r="A1096" i="5"/>
  <c r="C1123" i="6"/>
  <c r="C1123" i="5"/>
  <c r="E1123" i="4"/>
  <c r="B1150" i="6"/>
  <c r="B1150" i="5"/>
  <c r="C1155" i="6"/>
  <c r="C1155" i="5"/>
  <c r="E1155" i="4"/>
  <c r="B1182" i="6"/>
  <c r="B1182" i="5"/>
  <c r="C457" i="5"/>
  <c r="A796" i="5"/>
  <c r="B846" i="6"/>
  <c r="B846" i="5"/>
  <c r="C848" i="6"/>
  <c r="C848" i="5"/>
  <c r="E848" i="4"/>
  <c r="A850" i="6"/>
  <c r="A850" i="5"/>
  <c r="D850" i="5"/>
  <c r="E850" i="5"/>
  <c r="L850" i="4"/>
  <c r="H850" i="6"/>
  <c r="I850" i="6"/>
  <c r="B855" i="6"/>
  <c r="B855" i="5"/>
  <c r="B860" i="6"/>
  <c r="B860" i="5"/>
  <c r="C863" i="6"/>
  <c r="C863" i="5"/>
  <c r="C864" i="6"/>
  <c r="C864" i="5"/>
  <c r="E864" i="4"/>
  <c r="A866" i="6"/>
  <c r="A866" i="5"/>
  <c r="D866" i="5"/>
  <c r="E866" i="5"/>
  <c r="L866" i="4"/>
  <c r="H866" i="6"/>
  <c r="I866" i="6"/>
  <c r="B871" i="6"/>
  <c r="B871" i="5"/>
  <c r="B876" i="6"/>
  <c r="B876" i="5"/>
  <c r="C879" i="6"/>
  <c r="C879" i="5"/>
  <c r="C880" i="6"/>
  <c r="C880" i="5"/>
  <c r="E880" i="4"/>
  <c r="A882" i="6"/>
  <c r="A882" i="5"/>
  <c r="D882" i="5"/>
  <c r="E882" i="5"/>
  <c r="L882" i="4"/>
  <c r="H882" i="6"/>
  <c r="I882" i="6"/>
  <c r="B887" i="6"/>
  <c r="B887" i="5"/>
  <c r="B892" i="6"/>
  <c r="B892" i="5"/>
  <c r="C895" i="6"/>
  <c r="C895" i="5"/>
  <c r="C896" i="6"/>
  <c r="C896" i="5"/>
  <c r="E896" i="4"/>
  <c r="A898" i="6"/>
  <c r="A898" i="5"/>
  <c r="D898" i="5"/>
  <c r="E898" i="5"/>
  <c r="L898" i="4"/>
  <c r="H898" i="6"/>
  <c r="I898" i="6"/>
  <c r="B903" i="6"/>
  <c r="B903" i="5"/>
  <c r="B908" i="6"/>
  <c r="B908" i="5"/>
  <c r="C911" i="6"/>
  <c r="C911" i="5"/>
  <c r="C912" i="6"/>
  <c r="C912" i="5"/>
  <c r="E912" i="4"/>
  <c r="A914" i="6"/>
  <c r="A914" i="5"/>
  <c r="D914" i="5"/>
  <c r="E914" i="5"/>
  <c r="L914" i="4"/>
  <c r="H914" i="6"/>
  <c r="I914" i="6"/>
  <c r="B919" i="6"/>
  <c r="B919" i="5"/>
  <c r="B924" i="6"/>
  <c r="B924" i="5"/>
  <c r="C927" i="6"/>
  <c r="C927" i="5"/>
  <c r="C928" i="6"/>
  <c r="C928" i="5"/>
  <c r="E928" i="4"/>
  <c r="A930" i="6"/>
  <c r="A930" i="5"/>
  <c r="D930" i="5"/>
  <c r="E930" i="5"/>
  <c r="L930" i="4"/>
  <c r="H930" i="6"/>
  <c r="I930" i="6"/>
  <c r="B935" i="6"/>
  <c r="B935" i="5"/>
  <c r="B940" i="6"/>
  <c r="B940" i="5"/>
  <c r="C943" i="6"/>
  <c r="C943" i="5"/>
  <c r="C944" i="6"/>
  <c r="C944" i="5"/>
  <c r="E944" i="4"/>
  <c r="A966" i="6"/>
  <c r="A966" i="5"/>
  <c r="D966" i="5"/>
  <c r="E966" i="5"/>
  <c r="L966" i="4"/>
  <c r="H966" i="6"/>
  <c r="I966" i="6"/>
  <c r="C972" i="6"/>
  <c r="C972" i="5"/>
  <c r="E972" i="4"/>
  <c r="C974" i="6"/>
  <c r="C974" i="5"/>
  <c r="E974" i="4"/>
  <c r="C976" i="6"/>
  <c r="C976" i="5"/>
  <c r="E976" i="4"/>
  <c r="B984" i="6"/>
  <c r="B984" i="5"/>
  <c r="B986" i="6"/>
  <c r="B986" i="5"/>
  <c r="B987" i="6"/>
  <c r="B987" i="5"/>
  <c r="B988" i="6"/>
  <c r="B988" i="5"/>
  <c r="B989" i="6"/>
  <c r="B989" i="5"/>
  <c r="B991" i="6"/>
  <c r="B991" i="5"/>
  <c r="B992" i="6"/>
  <c r="B992" i="5"/>
  <c r="A998" i="6"/>
  <c r="A998" i="5"/>
  <c r="B999" i="6"/>
  <c r="B999" i="5"/>
  <c r="C1000" i="6"/>
  <c r="C1000" i="5"/>
  <c r="E1000" i="4"/>
  <c r="C1007" i="6"/>
  <c r="C1007" i="5"/>
  <c r="E1007" i="4"/>
  <c r="D1009" i="5"/>
  <c r="E1009" i="5"/>
  <c r="L1009" i="4"/>
  <c r="H1009" i="6"/>
  <c r="I1009" i="6"/>
  <c r="B1012" i="6"/>
  <c r="B1012" i="5"/>
  <c r="D1022" i="5"/>
  <c r="E1022" i="5"/>
  <c r="L1022" i="4"/>
  <c r="H1022" i="6"/>
  <c r="I1022" i="6"/>
  <c r="A1030" i="6"/>
  <c r="A1030" i="5"/>
  <c r="B1031" i="6"/>
  <c r="B1031" i="5"/>
  <c r="C1032" i="6"/>
  <c r="C1032" i="5"/>
  <c r="E1032" i="4"/>
  <c r="C1039" i="6"/>
  <c r="C1039" i="5"/>
  <c r="E1039" i="4"/>
  <c r="C1096" i="6"/>
  <c r="C1096" i="5"/>
  <c r="E1096" i="4"/>
  <c r="C1099" i="6"/>
  <c r="C1099" i="5"/>
  <c r="E1099" i="4"/>
  <c r="E1113" i="4"/>
  <c r="B1122" i="6"/>
  <c r="B1122" i="5"/>
  <c r="B1142" i="6"/>
  <c r="B1142" i="5"/>
  <c r="C1147" i="6"/>
  <c r="C1147" i="5"/>
  <c r="E1147" i="4"/>
  <c r="B1174" i="6"/>
  <c r="B1174" i="5"/>
  <c r="C1179" i="6"/>
  <c r="C1179" i="5"/>
  <c r="E1179" i="4"/>
  <c r="B994" i="6"/>
  <c r="B994" i="5"/>
  <c r="C997" i="6"/>
  <c r="C997" i="5"/>
  <c r="C998" i="6"/>
  <c r="C998" i="5"/>
  <c r="E998" i="4"/>
  <c r="A1000" i="6"/>
  <c r="A1000" i="5"/>
  <c r="D1000" i="5"/>
  <c r="E1000" i="5"/>
  <c r="L1000" i="4"/>
  <c r="H1000" i="6"/>
  <c r="I1000" i="6"/>
  <c r="B1005" i="6"/>
  <c r="B1005" i="5"/>
  <c r="B1010" i="6"/>
  <c r="B1010" i="5"/>
  <c r="C1013" i="6"/>
  <c r="C1013" i="5"/>
  <c r="C1014" i="6"/>
  <c r="C1014" i="5"/>
  <c r="E1014" i="4"/>
  <c r="A1016" i="6"/>
  <c r="A1016" i="5"/>
  <c r="D1016" i="5"/>
  <c r="E1016" i="5"/>
  <c r="L1016" i="4"/>
  <c r="H1016" i="6"/>
  <c r="I1016" i="6"/>
  <c r="B1021" i="6"/>
  <c r="B1021" i="5"/>
  <c r="B1026" i="6"/>
  <c r="B1026" i="5"/>
  <c r="C1029" i="6"/>
  <c r="C1029" i="5"/>
  <c r="C1030" i="6"/>
  <c r="C1030" i="5"/>
  <c r="E1030" i="4"/>
  <c r="A1032" i="6"/>
  <c r="A1032" i="5"/>
  <c r="D1032" i="5"/>
  <c r="E1032" i="5"/>
  <c r="L1032" i="4"/>
  <c r="H1032" i="6"/>
  <c r="I1032" i="6"/>
  <c r="B1037" i="6"/>
  <c r="B1037" i="5"/>
  <c r="B1042" i="6"/>
  <c r="B1042" i="5"/>
  <c r="B1043" i="6"/>
  <c r="B1043" i="5"/>
  <c r="B1044" i="6"/>
  <c r="B1044" i="5"/>
  <c r="C1046" i="6"/>
  <c r="C1046" i="5"/>
  <c r="E1046" i="4"/>
  <c r="C1049" i="6"/>
  <c r="C1049" i="5"/>
  <c r="A1058" i="6"/>
  <c r="A1058" i="5"/>
  <c r="B1059" i="6"/>
  <c r="B1059" i="5"/>
  <c r="B1060" i="6"/>
  <c r="B1060" i="5"/>
  <c r="C1062" i="6"/>
  <c r="C1062" i="5"/>
  <c r="E1062" i="4"/>
  <c r="C1065" i="6"/>
  <c r="C1065" i="5"/>
  <c r="A1094" i="6"/>
  <c r="A1094" i="5"/>
  <c r="B1095" i="6"/>
  <c r="B1095" i="5"/>
  <c r="B1096" i="6"/>
  <c r="B1096" i="5"/>
  <c r="C1098" i="6"/>
  <c r="C1098" i="5"/>
  <c r="E1098" i="4"/>
  <c r="C1101" i="6"/>
  <c r="C1101" i="5"/>
  <c r="A1110" i="6"/>
  <c r="A1110" i="5"/>
  <c r="B1111" i="6"/>
  <c r="B1111" i="5"/>
  <c r="B1112" i="6"/>
  <c r="B1112" i="5"/>
  <c r="C1114" i="6"/>
  <c r="C1114" i="5"/>
  <c r="E1114" i="4"/>
  <c r="C1117" i="6"/>
  <c r="C1117" i="5"/>
  <c r="B1121" i="6"/>
  <c r="B1121" i="5"/>
  <c r="C1122" i="6"/>
  <c r="C1122" i="5"/>
  <c r="E1122" i="4"/>
  <c r="A1126" i="6"/>
  <c r="A1126" i="5"/>
  <c r="A1130" i="6"/>
  <c r="A1130" i="5"/>
  <c r="A1134" i="6"/>
  <c r="A1134" i="5"/>
  <c r="A1138" i="6"/>
  <c r="A1138" i="5"/>
  <c r="A1142" i="6"/>
  <c r="A1142" i="5"/>
  <c r="A1146" i="6"/>
  <c r="A1146" i="5"/>
  <c r="A1150" i="6"/>
  <c r="A1150" i="5"/>
  <c r="A1154" i="6"/>
  <c r="A1154" i="5"/>
  <c r="A1158" i="6"/>
  <c r="A1158" i="5"/>
  <c r="A1162" i="6"/>
  <c r="A1162" i="5"/>
  <c r="A1166" i="6"/>
  <c r="A1166" i="5"/>
  <c r="A1170" i="6"/>
  <c r="A1170" i="5"/>
  <c r="A1174" i="6"/>
  <c r="A1174" i="5"/>
  <c r="A1178" i="6"/>
  <c r="A1178" i="5"/>
  <c r="A1182" i="6"/>
  <c r="A1182" i="5"/>
  <c r="B974" i="6"/>
  <c r="B974" i="5"/>
  <c r="C977" i="6"/>
  <c r="C977" i="5"/>
  <c r="C978" i="6"/>
  <c r="C978" i="5"/>
  <c r="E978" i="4"/>
  <c r="A980" i="6"/>
  <c r="A980" i="5"/>
  <c r="D980" i="5"/>
  <c r="E980" i="5"/>
  <c r="L980" i="4"/>
  <c r="H980" i="6"/>
  <c r="I980" i="6"/>
  <c r="B985" i="6"/>
  <c r="B985" i="5"/>
  <c r="B990" i="6"/>
  <c r="B990" i="5"/>
  <c r="C993" i="6"/>
  <c r="C993" i="5"/>
  <c r="C994" i="6"/>
  <c r="C994" i="5"/>
  <c r="E994" i="4"/>
  <c r="A996" i="6"/>
  <c r="A996" i="5"/>
  <c r="D996" i="5"/>
  <c r="E996" i="5"/>
  <c r="L996" i="4"/>
  <c r="H996" i="6"/>
  <c r="I996" i="6"/>
  <c r="B1001" i="6"/>
  <c r="B1001" i="5"/>
  <c r="B1006" i="6"/>
  <c r="B1006" i="5"/>
  <c r="C1009" i="6"/>
  <c r="C1009" i="5"/>
  <c r="C1010" i="6"/>
  <c r="C1010" i="5"/>
  <c r="E1010" i="4"/>
  <c r="A1012" i="6"/>
  <c r="A1012" i="5"/>
  <c r="D1012" i="5"/>
  <c r="E1012" i="5"/>
  <c r="L1012" i="4"/>
  <c r="H1012" i="6"/>
  <c r="I1012" i="6"/>
  <c r="B1017" i="6"/>
  <c r="B1017" i="5"/>
  <c r="B1022" i="6"/>
  <c r="B1022" i="5"/>
  <c r="C1025" i="6"/>
  <c r="C1025" i="5"/>
  <c r="C1026" i="6"/>
  <c r="C1026" i="5"/>
  <c r="E1026" i="4"/>
  <c r="A1028" i="6"/>
  <c r="A1028" i="5"/>
  <c r="D1028" i="5"/>
  <c r="E1028" i="5"/>
  <c r="L1028" i="4"/>
  <c r="H1028" i="6"/>
  <c r="I1028" i="6"/>
  <c r="B1033" i="6"/>
  <c r="B1033" i="5"/>
  <c r="B1038" i="6"/>
  <c r="B1038" i="5"/>
  <c r="C1041" i="6"/>
  <c r="C1041" i="5"/>
  <c r="C1042" i="6"/>
  <c r="C1042" i="5"/>
  <c r="E1042" i="4"/>
  <c r="C1045" i="6"/>
  <c r="C1045" i="5"/>
  <c r="A1054" i="6"/>
  <c r="A1054" i="5"/>
  <c r="B1055" i="6"/>
  <c r="B1055" i="5"/>
  <c r="B1056" i="6"/>
  <c r="B1056" i="5"/>
  <c r="C1058" i="6"/>
  <c r="C1058" i="5"/>
  <c r="E1058" i="4"/>
  <c r="C1061" i="6"/>
  <c r="C1061" i="5"/>
  <c r="A1090" i="6"/>
  <c r="A1090" i="5"/>
  <c r="B1091" i="6"/>
  <c r="B1091" i="5"/>
  <c r="B1092" i="6"/>
  <c r="B1092" i="5"/>
  <c r="C1094" i="6"/>
  <c r="C1094" i="5"/>
  <c r="E1094" i="4"/>
  <c r="C1097" i="6"/>
  <c r="C1097" i="5"/>
  <c r="A1106" i="6"/>
  <c r="A1106" i="5"/>
  <c r="B1107" i="6"/>
  <c r="B1107" i="5"/>
  <c r="B1108" i="6"/>
  <c r="B1108" i="5"/>
  <c r="C1110" i="6"/>
  <c r="C1110" i="5"/>
  <c r="E1110" i="4"/>
  <c r="C1113" i="6"/>
  <c r="C1113" i="5"/>
  <c r="B1120" i="6"/>
  <c r="B1120" i="5"/>
  <c r="C1121" i="6"/>
  <c r="C1121" i="5"/>
  <c r="B1125" i="6"/>
  <c r="B1125" i="5"/>
  <c r="C1126" i="6"/>
  <c r="C1126" i="5"/>
  <c r="E1126" i="4"/>
  <c r="E1130" i="4"/>
  <c r="E1134" i="4"/>
  <c r="E1138" i="4"/>
  <c r="E1142" i="4"/>
  <c r="E1146" i="4"/>
  <c r="E1150" i="4"/>
  <c r="E1154" i="4"/>
  <c r="E1158" i="4"/>
  <c r="E1162" i="4"/>
  <c r="E1166" i="4"/>
  <c r="E1170" i="4"/>
  <c r="E1174" i="4"/>
  <c r="E1178" i="4"/>
  <c r="E1182" i="4"/>
  <c r="C1095" i="6"/>
  <c r="C1095" i="5"/>
  <c r="A1104" i="6"/>
  <c r="A1104" i="5"/>
  <c r="B1105" i="6"/>
  <c r="B1105" i="5"/>
  <c r="B1106" i="6"/>
  <c r="B1106" i="5"/>
  <c r="C1108" i="6"/>
  <c r="C1108" i="5"/>
  <c r="E1108" i="4"/>
  <c r="E1109" i="4"/>
  <c r="C1111" i="6"/>
  <c r="C1111" i="5"/>
  <c r="B1119" i="6"/>
  <c r="B1119" i="5"/>
  <c r="C1120" i="6"/>
  <c r="C1120" i="5"/>
  <c r="E1120" i="4"/>
  <c r="A1124" i="6"/>
  <c r="A1124" i="5"/>
  <c r="A992" i="6"/>
  <c r="A992" i="5"/>
  <c r="D992" i="5"/>
  <c r="E992" i="5"/>
  <c r="L992" i="4"/>
  <c r="H992" i="6"/>
  <c r="I992" i="6"/>
  <c r="B997" i="6"/>
  <c r="B997" i="5"/>
  <c r="B1002" i="6"/>
  <c r="B1002" i="5"/>
  <c r="C1005" i="6"/>
  <c r="C1005" i="5"/>
  <c r="C1006" i="6"/>
  <c r="C1006" i="5"/>
  <c r="E1006" i="4"/>
  <c r="A1008" i="6"/>
  <c r="A1008" i="5"/>
  <c r="D1008" i="5"/>
  <c r="E1008" i="5"/>
  <c r="L1008" i="4"/>
  <c r="H1008" i="6"/>
  <c r="I1008" i="6"/>
  <c r="B1013" i="6"/>
  <c r="B1013" i="5"/>
  <c r="B1018" i="6"/>
  <c r="B1018" i="5"/>
  <c r="C1021" i="6"/>
  <c r="C1021" i="5"/>
  <c r="C1022" i="6"/>
  <c r="C1022" i="5"/>
  <c r="E1022" i="4"/>
  <c r="A1024" i="6"/>
  <c r="A1024" i="5"/>
  <c r="D1024" i="5"/>
  <c r="E1024" i="5"/>
  <c r="L1024" i="4"/>
  <c r="H1024" i="6"/>
  <c r="I1024" i="6"/>
  <c r="B1029" i="6"/>
  <c r="B1029" i="5"/>
  <c r="B1034" i="6"/>
  <c r="B1034" i="5"/>
  <c r="C1037" i="6"/>
  <c r="C1037" i="5"/>
  <c r="C1038" i="6"/>
  <c r="C1038" i="5"/>
  <c r="E1038" i="4"/>
  <c r="A1040" i="6"/>
  <c r="A1040" i="5"/>
  <c r="D1040" i="5"/>
  <c r="E1040" i="5"/>
  <c r="L1040" i="4"/>
  <c r="H1040" i="6"/>
  <c r="I1040" i="6"/>
  <c r="A1050" i="6"/>
  <c r="A1050" i="5"/>
  <c r="B1051" i="6"/>
  <c r="B1051" i="5"/>
  <c r="B1052" i="6"/>
  <c r="B1052" i="5"/>
  <c r="C1054" i="6"/>
  <c r="C1054" i="5"/>
  <c r="E1054" i="4"/>
  <c r="C1057" i="6"/>
  <c r="C1057" i="5"/>
  <c r="A1086" i="6"/>
  <c r="A1086" i="5"/>
  <c r="G1086" i="4"/>
  <c r="C1086" i="4"/>
  <c r="B1087" i="6"/>
  <c r="B1087" i="5"/>
  <c r="B1088" i="6"/>
  <c r="B1088" i="5"/>
  <c r="C1090" i="6"/>
  <c r="C1090" i="5"/>
  <c r="E1090" i="4"/>
  <c r="C1093" i="6"/>
  <c r="C1093" i="5"/>
  <c r="A1102" i="6"/>
  <c r="A1102" i="5"/>
  <c r="B1103" i="6"/>
  <c r="B1103" i="5"/>
  <c r="B1104" i="6"/>
  <c r="B1104" i="5"/>
  <c r="C1106" i="6"/>
  <c r="C1106" i="5"/>
  <c r="E1106" i="4"/>
  <c r="C1109" i="6"/>
  <c r="C1109" i="5"/>
  <c r="A1118" i="6"/>
  <c r="A1118" i="5"/>
  <c r="B1124" i="6"/>
  <c r="B1124" i="5"/>
  <c r="C1125" i="6"/>
  <c r="C1125" i="5"/>
  <c r="A1128" i="6"/>
  <c r="A1128" i="5"/>
  <c r="A1132" i="6"/>
  <c r="A1132" i="5"/>
  <c r="A1136" i="6"/>
  <c r="A1136" i="5"/>
  <c r="A1140" i="6"/>
  <c r="A1140" i="5"/>
  <c r="A1144" i="6"/>
  <c r="A1144" i="5"/>
  <c r="A1148" i="6"/>
  <c r="A1148" i="5"/>
  <c r="A1152" i="6"/>
  <c r="A1152" i="5"/>
  <c r="A1156" i="6"/>
  <c r="A1156" i="5"/>
  <c r="A1160" i="6"/>
  <c r="A1160" i="5"/>
  <c r="A1164" i="6"/>
  <c r="A1164" i="5"/>
  <c r="A1168" i="6"/>
  <c r="A1168" i="5"/>
  <c r="A1172" i="6"/>
  <c r="A1172" i="5"/>
  <c r="A1176" i="6"/>
  <c r="A1176" i="5"/>
  <c r="A1180" i="6"/>
  <c r="A1180" i="5"/>
  <c r="A1184" i="6"/>
  <c r="A1184" i="5"/>
  <c r="A1100" i="6"/>
  <c r="A1100" i="5"/>
  <c r="B1101" i="6"/>
  <c r="B1101" i="5"/>
  <c r="B1102" i="6"/>
  <c r="B1102" i="5"/>
  <c r="C1104" i="6"/>
  <c r="C1104" i="5"/>
  <c r="E1104" i="4"/>
  <c r="E1105" i="4"/>
  <c r="C1107" i="6"/>
  <c r="C1107" i="5"/>
  <c r="A1116" i="6"/>
  <c r="A1116" i="5"/>
  <c r="B1117" i="6"/>
  <c r="B1117" i="5"/>
  <c r="B1118" i="6"/>
  <c r="B1118" i="5"/>
  <c r="C1119" i="6"/>
  <c r="C1119" i="5"/>
  <c r="B1123" i="6"/>
  <c r="B1123" i="5"/>
  <c r="C1124" i="6"/>
  <c r="C1124" i="5"/>
  <c r="E1124" i="4"/>
  <c r="B1128" i="6"/>
  <c r="B1128" i="5"/>
  <c r="C1129" i="6"/>
  <c r="C1129" i="5"/>
  <c r="B1132" i="6"/>
  <c r="B1132" i="5"/>
  <c r="C1133" i="6"/>
  <c r="C1133" i="5"/>
  <c r="B1136" i="6"/>
  <c r="B1136" i="5"/>
  <c r="C1137" i="6"/>
  <c r="C1137" i="5"/>
  <c r="B1140" i="6"/>
  <c r="B1140" i="5"/>
  <c r="C1141" i="6"/>
  <c r="C1141" i="5"/>
  <c r="B1144" i="6"/>
  <c r="B1144" i="5"/>
  <c r="C1145" i="6"/>
  <c r="C1145" i="5"/>
  <c r="B1148" i="6"/>
  <c r="B1148" i="5"/>
  <c r="C1149" i="6"/>
  <c r="C1149" i="5"/>
  <c r="B1152" i="6"/>
  <c r="B1152" i="5"/>
  <c r="C1153" i="6"/>
  <c r="C1153" i="5"/>
  <c r="B1156" i="6"/>
  <c r="B1156" i="5"/>
  <c r="C1157" i="6"/>
  <c r="C1157" i="5"/>
  <c r="B1160" i="6"/>
  <c r="B1160" i="5"/>
  <c r="C1161" i="6"/>
  <c r="C1161" i="5"/>
  <c r="B1164" i="6"/>
  <c r="B1164" i="5"/>
  <c r="C1165" i="6"/>
  <c r="C1165" i="5"/>
  <c r="B1168" i="6"/>
  <c r="B1168" i="5"/>
  <c r="C1169" i="6"/>
  <c r="C1169" i="5"/>
  <c r="B1172" i="6"/>
  <c r="B1172" i="5"/>
  <c r="C1173" i="6"/>
  <c r="C1173" i="5"/>
  <c r="B1176" i="6"/>
  <c r="B1176" i="5"/>
  <c r="C1177" i="6"/>
  <c r="C1177" i="5"/>
  <c r="B1180" i="6"/>
  <c r="B1180" i="5"/>
  <c r="C1181" i="6"/>
  <c r="C1181" i="5"/>
  <c r="B1184" i="6"/>
  <c r="B1184" i="5"/>
  <c r="C1185" i="6"/>
  <c r="C1185" i="5"/>
  <c r="B966" i="6"/>
  <c r="B966" i="5"/>
  <c r="C969" i="6"/>
  <c r="C969" i="5"/>
  <c r="C970" i="6"/>
  <c r="C970" i="5"/>
  <c r="E970" i="4"/>
  <c r="A972" i="6"/>
  <c r="A972" i="5"/>
  <c r="D972" i="5"/>
  <c r="E972" i="5"/>
  <c r="L972" i="4"/>
  <c r="H972" i="6"/>
  <c r="I972" i="6"/>
  <c r="B977" i="6"/>
  <c r="B977" i="5"/>
  <c r="B982" i="6"/>
  <c r="B982" i="5"/>
  <c r="C985" i="6"/>
  <c r="C985" i="5"/>
  <c r="C986" i="6"/>
  <c r="C986" i="5"/>
  <c r="E986" i="4"/>
  <c r="A988" i="6"/>
  <c r="A988" i="5"/>
  <c r="D988" i="5"/>
  <c r="E988" i="5"/>
  <c r="L988" i="4"/>
  <c r="H988" i="6"/>
  <c r="I988" i="6"/>
  <c r="B993" i="6"/>
  <c r="B993" i="5"/>
  <c r="B998" i="6"/>
  <c r="B998" i="5"/>
  <c r="C1001" i="6"/>
  <c r="C1001" i="5"/>
  <c r="C1002" i="6"/>
  <c r="C1002" i="5"/>
  <c r="E1002" i="4"/>
  <c r="A1004" i="6"/>
  <c r="A1004" i="5"/>
  <c r="D1004" i="5"/>
  <c r="E1004" i="5"/>
  <c r="L1004" i="4"/>
  <c r="H1004" i="6"/>
  <c r="I1004" i="6"/>
  <c r="B1009" i="6"/>
  <c r="B1009" i="5"/>
  <c r="B1014" i="6"/>
  <c r="B1014" i="5"/>
  <c r="C1017" i="6"/>
  <c r="C1017" i="5"/>
  <c r="C1018" i="6"/>
  <c r="C1018" i="5"/>
  <c r="E1018" i="4"/>
  <c r="A1020" i="6"/>
  <c r="A1020" i="5"/>
  <c r="D1020" i="5"/>
  <c r="E1020" i="5"/>
  <c r="L1020" i="4"/>
  <c r="H1020" i="6"/>
  <c r="I1020" i="6"/>
  <c r="B1025" i="6"/>
  <c r="B1025" i="5"/>
  <c r="B1030" i="6"/>
  <c r="B1030" i="5"/>
  <c r="C1033" i="6"/>
  <c r="C1033" i="5"/>
  <c r="C1034" i="6"/>
  <c r="C1034" i="5"/>
  <c r="E1034" i="4"/>
  <c r="A1036" i="6"/>
  <c r="A1036" i="5"/>
  <c r="D1036" i="5"/>
  <c r="E1036" i="5"/>
  <c r="L1036" i="4"/>
  <c r="H1036" i="6"/>
  <c r="I1036" i="6"/>
  <c r="B1041" i="6"/>
  <c r="B1041" i="5"/>
  <c r="A1046" i="6"/>
  <c r="A1046" i="5"/>
  <c r="B1047" i="6"/>
  <c r="B1047" i="5"/>
  <c r="B1048" i="6"/>
  <c r="B1048" i="5"/>
  <c r="C1050" i="6"/>
  <c r="C1050" i="5"/>
  <c r="E1050" i="4"/>
  <c r="C1053" i="6"/>
  <c r="C1053" i="5"/>
  <c r="A1062" i="6"/>
  <c r="A1062" i="5"/>
  <c r="B1063" i="6"/>
  <c r="B1063" i="5"/>
  <c r="B1064" i="6"/>
  <c r="B1064" i="5"/>
  <c r="C1086" i="6"/>
  <c r="C1086" i="5"/>
  <c r="E1086" i="4"/>
  <c r="C1089" i="6"/>
  <c r="C1089" i="5"/>
  <c r="A1098" i="6"/>
  <c r="A1098" i="5"/>
  <c r="B1099" i="6"/>
  <c r="B1099" i="5"/>
  <c r="B1100" i="6"/>
  <c r="B1100" i="5"/>
  <c r="C1102" i="6"/>
  <c r="C1102" i="5"/>
  <c r="E1102" i="4"/>
  <c r="C1105" i="6"/>
  <c r="C1105" i="5"/>
  <c r="A1114" i="6"/>
  <c r="A1114" i="5"/>
  <c r="B1115" i="6"/>
  <c r="B1115" i="5"/>
  <c r="B1116" i="6"/>
  <c r="B1116" i="5"/>
  <c r="C1118" i="6"/>
  <c r="C1118" i="5"/>
  <c r="E1118" i="4"/>
  <c r="A1122" i="6"/>
  <c r="A1122" i="5"/>
  <c r="E1128" i="4"/>
  <c r="E1132" i="4"/>
  <c r="E1136" i="4"/>
  <c r="E1140" i="4"/>
  <c r="E1144" i="4"/>
  <c r="E1148" i="4"/>
  <c r="E1152" i="4"/>
  <c r="E1156" i="4"/>
  <c r="E1160" i="4"/>
  <c r="E1164" i="4"/>
  <c r="E1168" i="4"/>
  <c r="E1172" i="4"/>
  <c r="E1176" i="4"/>
  <c r="E1180" i="4"/>
  <c r="E1184" i="4"/>
  <c r="L1042" i="4"/>
  <c r="H1042" i="6"/>
  <c r="I1042" i="6"/>
  <c r="L1044" i="4"/>
  <c r="H1044" i="6"/>
  <c r="I1044" i="6"/>
  <c r="L1046" i="4"/>
  <c r="H1046" i="6"/>
  <c r="I1046" i="6"/>
  <c r="L1048" i="4"/>
  <c r="H1048" i="6"/>
  <c r="I1048" i="6"/>
  <c r="L1050" i="4"/>
  <c r="H1050" i="6"/>
  <c r="I1050" i="6"/>
  <c r="L1052" i="4"/>
  <c r="H1052" i="6"/>
  <c r="I1052" i="6"/>
  <c r="L1054" i="4"/>
  <c r="H1054" i="6"/>
  <c r="I1054" i="6"/>
  <c r="L1056" i="4"/>
  <c r="H1056" i="6"/>
  <c r="I1056" i="6"/>
  <c r="L1058" i="4"/>
  <c r="H1058" i="6"/>
  <c r="I1058" i="6"/>
  <c r="L1060" i="4"/>
  <c r="H1060" i="6"/>
  <c r="I1060" i="6"/>
  <c r="L1062" i="4"/>
  <c r="H1062" i="6"/>
  <c r="I1062" i="6"/>
  <c r="L1064" i="4"/>
  <c r="H1064" i="6"/>
  <c r="I1064" i="6"/>
  <c r="L1086" i="4"/>
  <c r="H1086" i="6"/>
  <c r="I1086" i="6"/>
  <c r="L1088" i="4"/>
  <c r="H1088" i="6"/>
  <c r="I1088" i="6"/>
  <c r="L1090" i="4"/>
  <c r="H1090" i="6"/>
  <c r="I1090" i="6"/>
  <c r="L1092" i="4"/>
  <c r="H1092" i="6"/>
  <c r="I1092" i="6"/>
  <c r="L1094" i="4"/>
  <c r="H1094" i="6"/>
  <c r="I1094" i="6"/>
  <c r="L1096" i="4"/>
  <c r="H1096" i="6"/>
  <c r="I1096" i="6"/>
  <c r="L1098" i="4"/>
  <c r="H1098" i="6"/>
  <c r="I1098" i="6"/>
  <c r="L1100" i="4"/>
  <c r="H1100" i="6"/>
  <c r="I1100" i="6"/>
  <c r="L1102" i="4"/>
  <c r="H1102" i="6"/>
  <c r="I1102" i="6"/>
  <c r="L1104" i="4"/>
  <c r="H1104" i="6"/>
  <c r="I1104" i="6"/>
  <c r="L1106" i="4"/>
  <c r="H1106" i="6"/>
  <c r="I1106" i="6"/>
  <c r="L1108" i="4"/>
  <c r="H1108" i="6"/>
  <c r="I1108" i="6"/>
  <c r="L1110" i="4"/>
  <c r="H1110" i="6"/>
  <c r="I1110" i="6"/>
  <c r="L1112" i="4"/>
  <c r="H1112" i="6"/>
  <c r="I1112" i="6"/>
  <c r="L1114" i="4"/>
  <c r="H1114" i="6"/>
  <c r="I1114" i="6"/>
  <c r="L1116" i="4"/>
  <c r="H1116" i="6"/>
  <c r="I1116" i="6"/>
  <c r="L1118" i="4"/>
  <c r="H1118" i="6"/>
  <c r="I1118" i="6"/>
  <c r="L1120" i="4"/>
  <c r="H1120" i="6"/>
  <c r="I1120" i="6"/>
  <c r="L1122" i="4"/>
  <c r="H1122" i="6"/>
  <c r="I1122" i="6"/>
  <c r="L1124" i="4"/>
  <c r="H1124" i="6"/>
  <c r="I1124" i="6"/>
  <c r="L1126" i="4"/>
  <c r="H1126" i="6"/>
  <c r="I1126" i="6"/>
  <c r="L1128" i="4"/>
  <c r="H1128" i="6"/>
  <c r="I1128" i="6"/>
  <c r="L1130" i="4"/>
  <c r="H1130" i="6"/>
  <c r="I1130" i="6"/>
  <c r="L1132" i="4"/>
  <c r="H1132" i="6"/>
  <c r="I1132" i="6"/>
  <c r="L1134" i="4"/>
  <c r="H1134" i="6"/>
  <c r="I1134" i="6"/>
  <c r="L1136" i="4"/>
  <c r="H1136" i="6"/>
  <c r="I1136" i="6"/>
  <c r="L1138" i="4"/>
  <c r="H1138" i="6"/>
  <c r="I1138" i="6"/>
  <c r="L1140" i="4"/>
  <c r="H1140" i="6"/>
  <c r="I1140" i="6"/>
  <c r="L1142" i="4"/>
  <c r="H1142" i="6"/>
  <c r="I1142" i="6"/>
  <c r="L1144" i="4"/>
  <c r="H1144" i="6"/>
  <c r="I1144" i="6"/>
  <c r="L1146" i="4"/>
  <c r="H1146" i="6"/>
  <c r="I1146" i="6"/>
  <c r="L1148" i="4"/>
  <c r="H1148" i="6"/>
  <c r="I1148" i="6"/>
  <c r="L1150" i="4"/>
  <c r="H1150" i="6"/>
  <c r="I1150" i="6"/>
  <c r="L1152" i="4"/>
  <c r="H1152" i="6"/>
  <c r="I1152" i="6"/>
  <c r="L1154" i="4"/>
  <c r="H1154" i="6"/>
  <c r="I1154" i="6"/>
  <c r="L1156" i="4"/>
  <c r="H1156" i="6"/>
  <c r="I1156" i="6"/>
  <c r="L1158" i="4"/>
  <c r="H1158" i="6"/>
  <c r="I1158" i="6"/>
  <c r="L1160" i="4"/>
  <c r="H1160" i="6"/>
  <c r="I1160" i="6"/>
  <c r="L1162" i="4"/>
  <c r="H1162" i="6"/>
  <c r="I1162" i="6"/>
  <c r="L1164" i="4"/>
  <c r="H1164" i="6"/>
  <c r="I1164" i="6"/>
  <c r="L1166" i="4"/>
  <c r="H1166" i="6"/>
  <c r="I1166" i="6"/>
  <c r="L1168" i="4"/>
  <c r="H1168" i="6"/>
  <c r="I1168" i="6"/>
  <c r="L1170" i="4"/>
  <c r="H1170" i="6"/>
  <c r="I1170" i="6"/>
  <c r="L1172" i="4"/>
  <c r="H1172" i="6"/>
  <c r="I1172" i="6"/>
  <c r="L1174" i="4"/>
  <c r="H1174" i="6"/>
  <c r="I1174" i="6"/>
  <c r="L1176" i="4"/>
  <c r="H1176" i="6"/>
  <c r="I1176" i="6"/>
  <c r="L1178" i="4"/>
  <c r="H1178" i="6"/>
  <c r="I1178" i="6"/>
  <c r="L1180" i="4"/>
  <c r="H1180" i="6"/>
  <c r="I1180" i="6"/>
  <c r="L1182" i="4"/>
  <c r="H1182" i="6"/>
  <c r="I1182" i="6"/>
  <c r="L1184" i="4"/>
  <c r="H1184" i="6"/>
  <c r="I1184" i="6"/>
  <c r="A823" i="6"/>
  <c r="A823" i="5"/>
  <c r="A825" i="6"/>
  <c r="A825" i="5"/>
  <c r="A847" i="6"/>
  <c r="A847" i="5"/>
  <c r="A849" i="6"/>
  <c r="A849" i="5"/>
  <c r="A851" i="6"/>
  <c r="A851" i="5"/>
  <c r="A853" i="6"/>
  <c r="A853" i="5"/>
  <c r="A855" i="6"/>
  <c r="A855" i="5"/>
  <c r="A857" i="6"/>
  <c r="A857" i="5"/>
  <c r="A859" i="6"/>
  <c r="A859" i="5"/>
  <c r="A861" i="6"/>
  <c r="A861" i="5"/>
  <c r="A863" i="6"/>
  <c r="A863" i="5"/>
  <c r="A865" i="6"/>
  <c r="A865" i="5"/>
  <c r="A867" i="6"/>
  <c r="A867" i="5"/>
  <c r="A869" i="6"/>
  <c r="A869" i="5"/>
  <c r="A871" i="6"/>
  <c r="A871" i="5"/>
  <c r="A873" i="6"/>
  <c r="A873" i="5"/>
  <c r="A875" i="6"/>
  <c r="A875" i="5"/>
  <c r="A877" i="6"/>
  <c r="A877" i="5"/>
  <c r="A879" i="6"/>
  <c r="A879" i="5"/>
  <c r="A881" i="6"/>
  <c r="A881" i="5"/>
  <c r="A883" i="6"/>
  <c r="A883" i="5"/>
  <c r="A885" i="6"/>
  <c r="A885" i="5"/>
  <c r="A887" i="6"/>
  <c r="A887" i="5"/>
  <c r="A889" i="6"/>
  <c r="A889" i="5"/>
  <c r="A891" i="6"/>
  <c r="A891" i="5"/>
  <c r="A893" i="6"/>
  <c r="A893" i="5"/>
  <c r="A895" i="6"/>
  <c r="A895" i="5"/>
  <c r="A897" i="6"/>
  <c r="A897" i="5"/>
  <c r="A899" i="6"/>
  <c r="A899" i="5"/>
  <c r="A901" i="6"/>
  <c r="A901" i="5"/>
  <c r="A903" i="6"/>
  <c r="A903" i="5"/>
  <c r="A905" i="6"/>
  <c r="A905" i="5"/>
  <c r="A907" i="6"/>
  <c r="A907" i="5"/>
  <c r="A909" i="6"/>
  <c r="A909" i="5"/>
  <c r="A911" i="6"/>
  <c r="A911" i="5"/>
  <c r="A913" i="6"/>
  <c r="A913" i="5"/>
  <c r="A915" i="6"/>
  <c r="A915" i="5"/>
  <c r="A917" i="6"/>
  <c r="A917" i="5"/>
  <c r="A919" i="6"/>
  <c r="A919" i="5"/>
  <c r="A921" i="6"/>
  <c r="A921" i="5"/>
  <c r="A923" i="6"/>
  <c r="A923" i="5"/>
  <c r="A925" i="6"/>
  <c r="A925" i="5"/>
  <c r="A927" i="6"/>
  <c r="A927" i="5"/>
  <c r="A929" i="6"/>
  <c r="A929" i="5"/>
  <c r="A931" i="6"/>
  <c r="A931" i="5"/>
  <c r="A933" i="6"/>
  <c r="A933" i="5"/>
  <c r="A935" i="6"/>
  <c r="A935" i="5"/>
  <c r="A937" i="6"/>
  <c r="A937" i="5"/>
  <c r="A939" i="6"/>
  <c r="A939" i="5"/>
  <c r="A941" i="6"/>
  <c r="A941" i="5"/>
  <c r="A943" i="6"/>
  <c r="A943" i="5"/>
  <c r="A945" i="6"/>
  <c r="A945" i="5"/>
  <c r="A967" i="6"/>
  <c r="A967" i="5"/>
  <c r="A969" i="6"/>
  <c r="A969" i="5"/>
  <c r="A971" i="6"/>
  <c r="A971" i="5"/>
  <c r="A973" i="6"/>
  <c r="A973" i="5"/>
  <c r="A975" i="6"/>
  <c r="A975" i="5"/>
  <c r="A977" i="6"/>
  <c r="A977" i="5"/>
  <c r="A979" i="6"/>
  <c r="A979" i="5"/>
  <c r="A981" i="6"/>
  <c r="A981" i="5"/>
  <c r="A983" i="6"/>
  <c r="A983" i="5"/>
  <c r="A985" i="6"/>
  <c r="A985" i="5"/>
  <c r="A987" i="6"/>
  <c r="A987" i="5"/>
  <c r="A989" i="6"/>
  <c r="A989" i="5"/>
  <c r="A991" i="6"/>
  <c r="A991" i="5"/>
  <c r="A993" i="6"/>
  <c r="A993" i="5"/>
  <c r="A995" i="6"/>
  <c r="A995" i="5"/>
  <c r="A997" i="6"/>
  <c r="A997" i="5"/>
  <c r="A999" i="6"/>
  <c r="A999" i="5"/>
  <c r="A1001" i="6"/>
  <c r="A1001" i="5"/>
  <c r="A1003" i="6"/>
  <c r="A1003" i="5"/>
  <c r="A1005" i="6"/>
  <c r="A1005" i="5"/>
  <c r="A1007" i="6"/>
  <c r="A1007" i="5"/>
  <c r="A1009" i="6"/>
  <c r="A1009" i="5"/>
  <c r="A1011" i="6"/>
  <c r="A1011" i="5"/>
  <c r="A1013" i="6"/>
  <c r="A1013" i="5"/>
  <c r="A1015" i="6"/>
  <c r="A1015" i="5"/>
  <c r="A1017" i="6"/>
  <c r="A1017" i="5"/>
  <c r="A1019" i="6"/>
  <c r="A1019" i="5"/>
  <c r="A1021" i="6"/>
  <c r="A1021" i="5"/>
  <c r="A1023" i="6"/>
  <c r="A1023" i="5"/>
  <c r="A1025" i="6"/>
  <c r="A1025" i="5"/>
  <c r="A1027" i="6"/>
  <c r="A1027" i="5"/>
  <c r="A1029" i="6"/>
  <c r="A1029" i="5"/>
  <c r="A1031" i="6"/>
  <c r="A1031" i="5"/>
  <c r="A1033" i="6"/>
  <c r="A1033" i="5"/>
  <c r="A1035" i="6"/>
  <c r="A1035" i="5"/>
  <c r="A1037" i="6"/>
  <c r="A1037" i="5"/>
  <c r="A1039" i="6"/>
  <c r="A1039" i="5"/>
  <c r="A1041" i="6"/>
  <c r="A1041" i="5"/>
  <c r="A1043" i="6"/>
  <c r="A1043" i="5"/>
  <c r="A1045" i="6"/>
  <c r="A1045" i="5"/>
  <c r="A1047" i="6"/>
  <c r="A1047" i="5"/>
  <c r="A1049" i="6"/>
  <c r="A1049" i="5"/>
  <c r="A1051" i="6"/>
  <c r="A1051" i="5"/>
  <c r="A1053" i="6"/>
  <c r="A1053" i="5"/>
  <c r="A1055" i="6"/>
  <c r="A1055" i="5"/>
  <c r="A1057" i="6"/>
  <c r="A1057" i="5"/>
  <c r="A1059" i="6"/>
  <c r="A1059" i="5"/>
  <c r="A1061" i="6"/>
  <c r="A1061" i="5"/>
  <c r="A1063" i="6"/>
  <c r="A1063" i="5"/>
  <c r="A1065" i="6"/>
  <c r="A1065" i="5"/>
  <c r="A1087" i="6"/>
  <c r="A1087" i="5"/>
  <c r="A1089" i="6"/>
  <c r="A1089" i="5"/>
  <c r="A1091" i="6"/>
  <c r="A1091" i="5"/>
  <c r="A1093" i="6"/>
  <c r="A1093" i="5"/>
  <c r="A1095" i="6"/>
  <c r="A1095" i="5"/>
  <c r="A1097" i="6"/>
  <c r="A1097" i="5"/>
  <c r="A1099" i="6"/>
  <c r="A1099" i="5"/>
  <c r="A1101" i="6"/>
  <c r="A1101" i="5"/>
  <c r="A1103" i="6"/>
  <c r="A1103" i="5"/>
  <c r="A1105" i="6"/>
  <c r="A1105" i="5"/>
  <c r="A1107" i="6"/>
  <c r="A1107" i="5"/>
  <c r="A1109" i="6"/>
  <c r="A1109" i="5"/>
  <c r="A1111" i="6"/>
  <c r="A1111" i="5"/>
  <c r="A1113" i="6"/>
  <c r="A1113" i="5"/>
  <c r="A1115" i="6"/>
  <c r="A1115" i="5"/>
  <c r="A1117" i="6"/>
  <c r="A1117" i="5"/>
  <c r="A1119" i="6"/>
  <c r="A1119" i="5"/>
  <c r="A1121" i="6"/>
  <c r="A1121" i="5"/>
  <c r="A1123" i="6"/>
  <c r="A1123" i="5"/>
  <c r="A1125" i="6"/>
  <c r="A1125" i="5"/>
  <c r="A1127" i="6"/>
  <c r="A1127" i="5"/>
  <c r="A1129" i="6"/>
  <c r="A1129" i="5"/>
  <c r="A1131" i="6"/>
  <c r="A1131" i="5"/>
  <c r="A1133" i="6"/>
  <c r="A1133" i="5"/>
  <c r="A1135" i="6"/>
  <c r="A1135" i="5"/>
  <c r="A1137" i="6"/>
  <c r="A1137" i="5"/>
  <c r="A1139" i="6"/>
  <c r="A1139" i="5"/>
  <c r="A1141" i="6"/>
  <c r="A1141" i="5"/>
  <c r="A1143" i="6"/>
  <c r="A1143" i="5"/>
  <c r="A1145" i="6"/>
  <c r="A1145" i="5"/>
  <c r="A1147" i="6"/>
  <c r="A1147" i="5"/>
  <c r="A1149" i="6"/>
  <c r="A1149" i="5"/>
  <c r="A1151" i="6"/>
  <c r="A1151" i="5"/>
  <c r="A1153" i="6"/>
  <c r="A1153" i="5"/>
  <c r="A1155" i="6"/>
  <c r="A1155" i="5"/>
  <c r="A1157" i="6"/>
  <c r="A1157" i="5"/>
  <c r="A1159" i="6"/>
  <c r="A1159" i="5"/>
  <c r="A1161" i="6"/>
  <c r="A1161" i="5"/>
  <c r="A1163" i="6"/>
  <c r="A1163" i="5"/>
  <c r="A1165" i="6"/>
  <c r="A1165" i="5"/>
  <c r="A1167" i="6"/>
  <c r="A1167" i="5"/>
  <c r="A1169" i="6"/>
  <c r="A1169" i="5"/>
  <c r="A1171" i="6"/>
  <c r="A1171" i="5"/>
  <c r="A1173" i="6"/>
  <c r="A1173" i="5"/>
  <c r="A1175" i="6"/>
  <c r="A1175" i="5"/>
  <c r="A1177" i="6"/>
  <c r="A1177" i="5"/>
  <c r="A1179" i="6"/>
  <c r="A1179" i="5"/>
  <c r="A1181" i="6"/>
  <c r="A1181" i="5"/>
  <c r="A1183" i="6"/>
  <c r="A1183" i="5"/>
  <c r="A1185" i="6"/>
  <c r="A1185" i="5"/>
  <c r="B1127" i="6"/>
  <c r="B1127" i="5"/>
  <c r="C1128" i="6"/>
  <c r="C1128" i="5"/>
  <c r="B1129" i="6"/>
  <c r="B1129" i="5"/>
  <c r="C1130" i="6"/>
  <c r="C1130" i="5"/>
  <c r="B1131" i="6"/>
  <c r="B1131" i="5"/>
  <c r="C1132" i="6"/>
  <c r="C1132" i="5"/>
  <c r="B1133" i="6"/>
  <c r="B1133" i="5"/>
  <c r="C1134" i="6"/>
  <c r="C1134" i="5"/>
  <c r="B1135" i="6"/>
  <c r="B1135" i="5"/>
  <c r="C1136" i="6"/>
  <c r="C1136" i="5"/>
  <c r="B1137" i="6"/>
  <c r="B1137" i="5"/>
  <c r="C1138" i="6"/>
  <c r="C1138" i="5"/>
  <c r="B1139" i="6"/>
  <c r="B1139" i="5"/>
  <c r="C1140" i="6"/>
  <c r="C1140" i="5"/>
  <c r="B1141" i="6"/>
  <c r="B1141" i="5"/>
  <c r="C1142" i="6"/>
  <c r="C1142" i="5"/>
  <c r="B1143" i="6"/>
  <c r="B1143" i="5"/>
  <c r="C1144" i="6"/>
  <c r="C1144" i="5"/>
  <c r="B1145" i="6"/>
  <c r="B1145" i="5"/>
  <c r="C1146" i="6"/>
  <c r="C1146" i="5"/>
  <c r="B1147" i="6"/>
  <c r="B1147" i="5"/>
  <c r="C1148" i="6"/>
  <c r="C1148" i="5"/>
  <c r="B1149" i="6"/>
  <c r="B1149" i="5"/>
  <c r="C1150" i="6"/>
  <c r="C1150" i="5"/>
  <c r="B1151" i="6"/>
  <c r="B1151" i="5"/>
  <c r="C1152" i="6"/>
  <c r="C1152" i="5"/>
  <c r="B1153" i="6"/>
  <c r="B1153" i="5"/>
  <c r="C1154" i="6"/>
  <c r="C1154" i="5"/>
  <c r="B1155" i="6"/>
  <c r="B1155" i="5"/>
  <c r="C1156" i="6"/>
  <c r="C1156" i="5"/>
  <c r="B1157" i="6"/>
  <c r="B1157" i="5"/>
  <c r="C1158" i="6"/>
  <c r="C1158" i="5"/>
  <c r="B1159" i="6"/>
  <c r="B1159" i="5"/>
  <c r="C1160" i="6"/>
  <c r="C1160" i="5"/>
  <c r="B1161" i="6"/>
  <c r="B1161" i="5"/>
  <c r="C1162" i="6"/>
  <c r="C1162" i="5"/>
  <c r="B1163" i="6"/>
  <c r="B1163" i="5"/>
  <c r="C1164" i="6"/>
  <c r="C1164" i="5"/>
  <c r="B1165" i="6"/>
  <c r="B1165" i="5"/>
  <c r="C1166" i="6"/>
  <c r="C1166" i="5"/>
  <c r="B1167" i="6"/>
  <c r="B1167" i="5"/>
  <c r="C1168" i="6"/>
  <c r="C1168" i="5"/>
  <c r="B1169" i="6"/>
  <c r="B1169" i="5"/>
  <c r="C1170" i="6"/>
  <c r="C1170" i="5"/>
  <c r="B1171" i="6"/>
  <c r="B1171" i="5"/>
  <c r="C1172" i="6"/>
  <c r="C1172" i="5"/>
  <c r="B1173" i="6"/>
  <c r="B1173" i="5"/>
  <c r="C1174" i="6"/>
  <c r="C1174" i="5"/>
  <c r="B1175" i="6"/>
  <c r="B1175" i="5"/>
  <c r="C1176" i="6"/>
  <c r="C1176" i="5"/>
  <c r="B1177" i="6"/>
  <c r="B1177" i="5"/>
  <c r="C1178" i="6"/>
  <c r="C1178" i="5"/>
  <c r="B1179" i="6"/>
  <c r="B1179" i="5"/>
  <c r="C1180" i="6"/>
  <c r="C1180" i="5"/>
  <c r="B1181" i="6"/>
  <c r="B1181" i="5"/>
  <c r="C1182" i="6"/>
  <c r="C1182" i="5"/>
  <c r="B1183" i="6"/>
  <c r="B1183" i="5"/>
  <c r="C1184" i="6"/>
  <c r="C1184" i="5"/>
  <c r="B1185" i="6"/>
  <c r="B1185" i="5"/>
  <c r="BC27" i="20"/>
  <c r="BC23" i="20"/>
  <c r="BC19" i="20"/>
  <c r="BC29" i="20"/>
  <c r="BC25" i="20"/>
  <c r="BC21" i="20"/>
  <c r="AZ27" i="20"/>
  <c r="AZ23" i="20"/>
  <c r="AZ19" i="20"/>
  <c r="AZ28" i="20"/>
  <c r="AZ24" i="20"/>
  <c r="AZ20" i="20"/>
  <c r="R41" i="20"/>
  <c r="R37" i="20"/>
  <c r="R33" i="20"/>
  <c r="R38" i="20"/>
  <c r="R34" i="20"/>
  <c r="R30" i="20"/>
  <c r="R39" i="20"/>
  <c r="R32" i="20"/>
  <c r="R40" i="20"/>
  <c r="R35" i="20"/>
  <c r="R36" i="20"/>
  <c r="R31" i="20"/>
  <c r="T9" i="19"/>
  <c r="S9" i="19"/>
  <c r="J34" i="20"/>
  <c r="T41" i="19"/>
  <c r="S41" i="19"/>
  <c r="Y34" i="20"/>
  <c r="J66" i="20"/>
  <c r="T73" i="19"/>
  <c r="S73" i="19"/>
  <c r="Y66" i="20"/>
  <c r="J94" i="20"/>
  <c r="T105" i="19"/>
  <c r="S105" i="19"/>
  <c r="Y94" i="20"/>
  <c r="F6" i="9"/>
  <c r="H6" i="9"/>
  <c r="E6" i="9"/>
  <c r="D7" i="9"/>
  <c r="N51" i="20"/>
  <c r="N47" i="20"/>
  <c r="N43" i="20"/>
  <c r="N50" i="20"/>
  <c r="N49" i="20"/>
  <c r="N46" i="20"/>
  <c r="N48" i="20"/>
  <c r="N45" i="20"/>
  <c r="N42" i="20"/>
  <c r="N44" i="20"/>
  <c r="N53" i="20"/>
  <c r="N52" i="20"/>
  <c r="J14" i="20"/>
  <c r="T21" i="19"/>
  <c r="S21" i="19"/>
  <c r="Y14" i="20"/>
  <c r="J46" i="20"/>
  <c r="T53" i="19"/>
  <c r="S53" i="19"/>
  <c r="Y46" i="20"/>
  <c r="J74" i="20"/>
  <c r="T85" i="19"/>
  <c r="S85" i="19"/>
  <c r="Y74" i="20"/>
  <c r="BA6" i="20"/>
  <c r="AZ6" i="20"/>
  <c r="BB6" i="20"/>
  <c r="BD6" i="20"/>
  <c r="R8" i="18"/>
  <c r="P102" i="20"/>
  <c r="P98" i="20"/>
  <c r="P103" i="20"/>
  <c r="P101" i="20"/>
  <c r="P99" i="20"/>
  <c r="P100" i="20"/>
  <c r="Q105" i="20"/>
  <c r="Q104" i="20"/>
  <c r="T17" i="19"/>
  <c r="J13" i="20"/>
  <c r="S17" i="19"/>
  <c r="Y13" i="20"/>
  <c r="J42" i="20"/>
  <c r="T49" i="19"/>
  <c r="S49" i="19"/>
  <c r="Y42" i="20"/>
  <c r="J72" i="20"/>
  <c r="T81" i="19"/>
  <c r="S81" i="19"/>
  <c r="Y72" i="20"/>
  <c r="J102" i="20"/>
  <c r="T113" i="19"/>
  <c r="S113" i="19"/>
  <c r="Y102" i="20"/>
  <c r="N95" i="20"/>
  <c r="N91" i="20"/>
  <c r="N87" i="20"/>
  <c r="N94" i="20"/>
  <c r="N96" i="20"/>
  <c r="N92" i="20"/>
  <c r="N88" i="20"/>
  <c r="N89" i="20"/>
  <c r="N86" i="20"/>
  <c r="N90" i="20"/>
  <c r="N97" i="20"/>
  <c r="N93" i="20"/>
  <c r="J30" i="20"/>
  <c r="T37" i="19"/>
  <c r="S37" i="19"/>
  <c r="Y30" i="20"/>
  <c r="J62" i="20"/>
  <c r="T69" i="19"/>
  <c r="S69" i="19"/>
  <c r="Y62" i="20"/>
  <c r="J90" i="20"/>
  <c r="T101" i="19"/>
  <c r="S101" i="19"/>
  <c r="Y90" i="20"/>
  <c r="BA15" i="20"/>
  <c r="BA14" i="20"/>
  <c r="BC72" i="20"/>
  <c r="BC68" i="20"/>
  <c r="AZ72" i="20"/>
  <c r="AZ71" i="20"/>
  <c r="AZ68" i="20"/>
  <c r="AZ67" i="20"/>
  <c r="AZ66" i="20"/>
  <c r="R85" i="20"/>
  <c r="R81" i="20"/>
  <c r="R77" i="20"/>
  <c r="R84" i="20"/>
  <c r="R80" i="20"/>
  <c r="R76" i="20"/>
  <c r="R83" i="20"/>
  <c r="R74" i="20"/>
  <c r="R82" i="20"/>
  <c r="R79" i="20"/>
  <c r="R78" i="20"/>
  <c r="R75" i="20"/>
  <c r="BA101" i="20"/>
  <c r="BA99" i="20"/>
  <c r="J18" i="20"/>
  <c r="T25" i="19"/>
  <c r="S25" i="19"/>
  <c r="Y18" i="20"/>
  <c r="J50" i="20"/>
  <c r="T57" i="19"/>
  <c r="S57" i="19"/>
  <c r="Y50" i="20"/>
  <c r="J78" i="20"/>
  <c r="T89" i="19"/>
  <c r="S89" i="19"/>
  <c r="Y78" i="20"/>
  <c r="BB22" i="20"/>
  <c r="AZ22" i="20"/>
  <c r="BA22" i="20"/>
  <c r="BC22" i="20"/>
  <c r="BD22" i="20"/>
  <c r="P94" i="20"/>
  <c r="P90" i="20"/>
  <c r="P86" i="20"/>
  <c r="P97" i="20"/>
  <c r="P93" i="20"/>
  <c r="P95" i="20"/>
  <c r="P91" i="20"/>
  <c r="P87" i="20"/>
  <c r="P96" i="20"/>
  <c r="P92" i="20"/>
  <c r="P88" i="20"/>
  <c r="P89" i="20"/>
  <c r="Q6" i="20"/>
  <c r="D29" i="1"/>
  <c r="Q7" i="20"/>
  <c r="N12" i="20"/>
  <c r="N8" i="20"/>
  <c r="N11" i="20"/>
  <c r="N13" i="20"/>
  <c r="N10" i="20"/>
  <c r="P65" i="20"/>
  <c r="P61" i="20"/>
  <c r="P60" i="20"/>
  <c r="P58" i="20"/>
  <c r="P54" i="20"/>
  <c r="P57" i="20"/>
  <c r="P64" i="20"/>
  <c r="P59" i="20"/>
  <c r="P55" i="20"/>
  <c r="P56" i="20"/>
  <c r="P63" i="20"/>
  <c r="P62" i="20"/>
  <c r="BB71" i="20"/>
  <c r="BB67" i="20"/>
  <c r="Q70" i="20"/>
  <c r="Q73" i="20"/>
  <c r="Q72" i="20"/>
  <c r="Q68" i="20"/>
  <c r="Q71" i="20"/>
  <c r="Q67" i="20"/>
  <c r="Q66" i="20"/>
  <c r="Q69" i="20"/>
  <c r="N85" i="20"/>
  <c r="N83" i="20"/>
  <c r="N79" i="20"/>
  <c r="N75" i="20"/>
  <c r="N82" i="20"/>
  <c r="N78" i="20"/>
  <c r="N74" i="20"/>
  <c r="N84" i="20"/>
  <c r="N81" i="20"/>
  <c r="N80" i="20"/>
  <c r="N76" i="20"/>
  <c r="N77" i="20"/>
  <c r="J26" i="20"/>
  <c r="T33" i="19"/>
  <c r="S33" i="19"/>
  <c r="Y26" i="20"/>
  <c r="J58" i="20"/>
  <c r="T65" i="19"/>
  <c r="S65" i="19"/>
  <c r="Y58" i="20"/>
  <c r="J86" i="20"/>
  <c r="T97" i="19"/>
  <c r="S97" i="19"/>
  <c r="Y86" i="20"/>
  <c r="BC6" i="20"/>
  <c r="BB40" i="20"/>
  <c r="BB38" i="20"/>
  <c r="BB34" i="20"/>
  <c r="BB31" i="20"/>
  <c r="BB36" i="20"/>
  <c r="Q41" i="20"/>
  <c r="Q37" i="20"/>
  <c r="Q40" i="20"/>
  <c r="Q36" i="20"/>
  <c r="Q35" i="20"/>
  <c r="Q39" i="20"/>
  <c r="Q33" i="20"/>
  <c r="Q32" i="20"/>
  <c r="Q30" i="20"/>
  <c r="Q34" i="20"/>
  <c r="Q38" i="20"/>
  <c r="Q31" i="20"/>
  <c r="M52" i="20"/>
  <c r="M48" i="20"/>
  <c r="M44" i="20"/>
  <c r="M51" i="20"/>
  <c r="M47" i="20"/>
  <c r="M43" i="20"/>
  <c r="M50" i="20"/>
  <c r="M46" i="20"/>
  <c r="M42" i="20"/>
  <c r="M45" i="20"/>
  <c r="M53" i="20"/>
  <c r="M49" i="20"/>
  <c r="R12" i="18"/>
  <c r="O65" i="20"/>
  <c r="O61" i="20"/>
  <c r="O64" i="20"/>
  <c r="O59" i="20"/>
  <c r="O55" i="20"/>
  <c r="O60" i="20"/>
  <c r="O58" i="20"/>
  <c r="O54" i="20"/>
  <c r="O57" i="20"/>
  <c r="O63" i="20"/>
  <c r="O62" i="20"/>
  <c r="O56" i="20"/>
  <c r="BD69" i="20"/>
  <c r="BD73" i="20"/>
  <c r="BA71" i="20"/>
  <c r="BA67" i="20"/>
  <c r="BA66" i="20"/>
  <c r="M84" i="20"/>
  <c r="M80" i="20"/>
  <c r="M76" i="20"/>
  <c r="M85" i="20"/>
  <c r="M83" i="20"/>
  <c r="M79" i="20"/>
  <c r="M75" i="20"/>
  <c r="M82" i="20"/>
  <c r="M78" i="20"/>
  <c r="M74" i="20"/>
  <c r="M81" i="20"/>
  <c r="M77" i="20"/>
  <c r="R15" i="18"/>
  <c r="O95" i="20"/>
  <c r="O91" i="20"/>
  <c r="O97" i="20"/>
  <c r="O93" i="20"/>
  <c r="O86" i="20"/>
  <c r="O90" i="20"/>
  <c r="O87" i="20"/>
  <c r="O96" i="20"/>
  <c r="O92" i="20"/>
  <c r="O88" i="20"/>
  <c r="O94" i="20"/>
  <c r="O89" i="20"/>
  <c r="BC101" i="20"/>
  <c r="BC100" i="20"/>
  <c r="AZ101" i="20"/>
  <c r="AZ102" i="20"/>
  <c r="AZ100" i="20"/>
  <c r="R104" i="20"/>
  <c r="R105" i="20"/>
  <c r="J28" i="20"/>
  <c r="T35" i="19"/>
  <c r="J44" i="20"/>
  <c r="T51" i="19"/>
  <c r="J60" i="20"/>
  <c r="T67" i="19"/>
  <c r="J88" i="20"/>
  <c r="T99" i="19"/>
  <c r="J104" i="20"/>
  <c r="T115" i="19"/>
  <c r="B30" i="34"/>
  <c r="D30" i="34"/>
  <c r="Q8" i="20"/>
  <c r="BC14" i="20"/>
  <c r="BD21" i="20"/>
  <c r="BB23" i="20"/>
  <c r="BD24" i="20"/>
  <c r="BB13" i="20"/>
  <c r="BB9" i="20"/>
  <c r="Q13" i="20"/>
  <c r="Q12" i="20"/>
  <c r="O14" i="20"/>
  <c r="O17" i="20"/>
  <c r="O15" i="20"/>
  <c r="BA20" i="20"/>
  <c r="BA27" i="20"/>
  <c r="BA23" i="20"/>
  <c r="M40" i="20"/>
  <c r="M39" i="20"/>
  <c r="M35" i="20"/>
  <c r="M38" i="20"/>
  <c r="M34" i="20"/>
  <c r="M31" i="20"/>
  <c r="M30" i="20"/>
  <c r="M41" i="20"/>
  <c r="M33" i="20"/>
  <c r="M37" i="20"/>
  <c r="M36" i="20"/>
  <c r="M32" i="20"/>
  <c r="R11" i="18"/>
  <c r="O51" i="20"/>
  <c r="O47" i="20"/>
  <c r="O43" i="20"/>
  <c r="O50" i="20"/>
  <c r="O46" i="20"/>
  <c r="O42" i="20"/>
  <c r="O53" i="20"/>
  <c r="O49" i="20"/>
  <c r="O45" i="20"/>
  <c r="O44" i="20"/>
  <c r="O52" i="20"/>
  <c r="O48" i="20"/>
  <c r="AZ60" i="20"/>
  <c r="AZ62" i="20"/>
  <c r="AZ59" i="20"/>
  <c r="AZ55" i="20"/>
  <c r="AZ56" i="20"/>
  <c r="AZ63" i="20"/>
  <c r="R73" i="20"/>
  <c r="R69" i="20"/>
  <c r="R72" i="20"/>
  <c r="R68" i="20"/>
  <c r="R71" i="20"/>
  <c r="R67" i="20"/>
  <c r="R66" i="20"/>
  <c r="R70" i="20"/>
  <c r="J24" i="20"/>
  <c r="T31" i="19"/>
  <c r="J40" i="20"/>
  <c r="T47" i="19"/>
  <c r="J56" i="20"/>
  <c r="T63" i="19"/>
  <c r="J84" i="20"/>
  <c r="T95" i="19"/>
  <c r="J100" i="20"/>
  <c r="T111" i="19"/>
  <c r="BD19" i="20"/>
  <c r="BD20" i="20"/>
  <c r="R10" i="20"/>
  <c r="R12" i="20"/>
  <c r="R13" i="20"/>
  <c r="R9" i="20"/>
  <c r="R11" i="20"/>
  <c r="P15" i="20"/>
  <c r="P14" i="20"/>
  <c r="P17" i="20"/>
  <c r="P16" i="20"/>
  <c r="BB29" i="20"/>
  <c r="BB25" i="20"/>
  <c r="BB21" i="20"/>
  <c r="BB27" i="20"/>
  <c r="Q29" i="20"/>
  <c r="Q25" i="20"/>
  <c r="Q21" i="20"/>
  <c r="Q28" i="20"/>
  <c r="Q24" i="20"/>
  <c r="Q20" i="20"/>
  <c r="Q27" i="20"/>
  <c r="Q26" i="20"/>
  <c r="Q23" i="20"/>
  <c r="Q22" i="20"/>
  <c r="Q19" i="20"/>
  <c r="N39" i="20"/>
  <c r="N35" i="20"/>
  <c r="N40" i="20"/>
  <c r="N33" i="20"/>
  <c r="N32" i="20"/>
  <c r="N38" i="20"/>
  <c r="N34" i="20"/>
  <c r="N31" i="20"/>
  <c r="N30" i="20"/>
  <c r="N41" i="20"/>
  <c r="N36" i="20"/>
  <c r="N37" i="20"/>
  <c r="P50" i="20"/>
  <c r="P46" i="20"/>
  <c r="P42" i="20"/>
  <c r="P53" i="20"/>
  <c r="P49" i="20"/>
  <c r="P51" i="20"/>
  <c r="P48" i="20"/>
  <c r="P44" i="20"/>
  <c r="P52" i="20"/>
  <c r="P45" i="20"/>
  <c r="P47" i="20"/>
  <c r="P43" i="20"/>
  <c r="BA56" i="20"/>
  <c r="BA59" i="20"/>
  <c r="BA55" i="20"/>
  <c r="BA61" i="20"/>
  <c r="BA62" i="20"/>
  <c r="BA63" i="20"/>
  <c r="J9" i="20"/>
  <c r="T13" i="19"/>
  <c r="S15" i="19"/>
  <c r="Y11" i="20"/>
  <c r="J22" i="20"/>
  <c r="T29" i="19"/>
  <c r="S31" i="19"/>
  <c r="Y24" i="20"/>
  <c r="J38" i="20"/>
  <c r="T45" i="19"/>
  <c r="S47" i="19"/>
  <c r="Y40" i="20"/>
  <c r="J54" i="20"/>
  <c r="T61" i="19"/>
  <c r="S63" i="19"/>
  <c r="Y56" i="20"/>
  <c r="J70" i="20"/>
  <c r="T77" i="19"/>
  <c r="S79" i="19"/>
  <c r="T93" i="19"/>
  <c r="J82" i="20"/>
  <c r="S95" i="19"/>
  <c r="Y84" i="20"/>
  <c r="J98" i="20"/>
  <c r="T109" i="19"/>
  <c r="S111" i="19"/>
  <c r="Y100" i="20"/>
  <c r="M10" i="20"/>
  <c r="M9" i="20"/>
  <c r="M8" i="20"/>
  <c r="M11" i="20"/>
  <c r="M13" i="20"/>
  <c r="R7" i="18"/>
  <c r="BC15" i="20"/>
  <c r="BC17" i="20"/>
  <c r="AZ15" i="20"/>
  <c r="AZ16" i="20"/>
  <c r="R26" i="20"/>
  <c r="R22" i="20"/>
  <c r="R18" i="20"/>
  <c r="R29" i="20"/>
  <c r="R25" i="20"/>
  <c r="R21" i="20"/>
  <c r="R28" i="20"/>
  <c r="R24" i="20"/>
  <c r="R20" i="20"/>
  <c r="R27" i="20"/>
  <c r="R23" i="20"/>
  <c r="J20" i="20"/>
  <c r="T27" i="19"/>
  <c r="J36" i="20"/>
  <c r="T43" i="19"/>
  <c r="J52" i="20"/>
  <c r="T59" i="19"/>
  <c r="J68" i="20"/>
  <c r="T75" i="19"/>
  <c r="J80" i="20"/>
  <c r="T91" i="19"/>
  <c r="J96" i="20"/>
  <c r="T107" i="19"/>
  <c r="Q9" i="20"/>
  <c r="J11" i="20"/>
  <c r="O16" i="20"/>
  <c r="R19" i="20"/>
  <c r="BD25" i="20"/>
  <c r="BB83" i="20"/>
  <c r="BB79" i="20"/>
  <c r="BB75" i="20"/>
  <c r="BB82" i="20"/>
  <c r="Q82" i="20"/>
  <c r="Q78" i="20"/>
  <c r="Q74" i="20"/>
  <c r="Q81" i="20"/>
  <c r="Q77" i="20"/>
  <c r="Q84" i="20"/>
  <c r="Q80" i="20"/>
  <c r="Q76" i="20"/>
  <c r="Q83" i="20"/>
  <c r="Q79" i="20"/>
  <c r="Q85" i="20"/>
  <c r="Q75" i="20"/>
  <c r="M96" i="20"/>
  <c r="M92" i="20"/>
  <c r="M94" i="20"/>
  <c r="M93" i="20"/>
  <c r="M89" i="20"/>
  <c r="M91" i="20"/>
  <c r="M86" i="20"/>
  <c r="M90" i="20"/>
  <c r="M87" i="20"/>
  <c r="M95" i="20"/>
  <c r="M88" i="20"/>
  <c r="M97" i="20"/>
  <c r="R16" i="18"/>
  <c r="O103" i="20"/>
  <c r="O99" i="20"/>
  <c r="O101" i="20"/>
  <c r="O102" i="20"/>
  <c r="O100" i="20"/>
  <c r="O98" i="20"/>
  <c r="J16" i="20"/>
  <c r="T23" i="19"/>
  <c r="J32" i="20"/>
  <c r="T39" i="19"/>
  <c r="J48" i="20"/>
  <c r="T55" i="19"/>
  <c r="J64" i="20"/>
  <c r="T71" i="19"/>
  <c r="J76" i="20"/>
  <c r="T87" i="19"/>
  <c r="J92" i="20"/>
  <c r="T103" i="19"/>
  <c r="Q10" i="20"/>
  <c r="BC18" i="20"/>
  <c r="BB26" i="20"/>
  <c r="AZ26" i="20"/>
  <c r="BC26" i="20"/>
  <c r="BC41" i="20"/>
  <c r="BB41" i="20"/>
  <c r="BA41" i="20"/>
  <c r="BA54" i="20"/>
  <c r="AZ54" i="20"/>
  <c r="BB54" i="20"/>
  <c r="BD54" i="20"/>
  <c r="BC54" i="20"/>
  <c r="BC12" i="20"/>
  <c r="BB12" i="20"/>
  <c r="BA12" i="20"/>
  <c r="AZ12" i="20"/>
  <c r="BD23" i="20"/>
  <c r="BD44" i="20"/>
  <c r="R51" i="20"/>
  <c r="BC47" i="20"/>
  <c r="BD47" i="20"/>
  <c r="BB47" i="20"/>
  <c r="R48" i="20"/>
  <c r="R6" i="18"/>
  <c r="Q17" i="20"/>
  <c r="Q16" i="20"/>
  <c r="M27" i="20"/>
  <c r="M23" i="20"/>
  <c r="M19" i="20"/>
  <c r="M26" i="20"/>
  <c r="M22" i="20"/>
  <c r="M18" i="20"/>
  <c r="R10" i="18"/>
  <c r="O38" i="20"/>
  <c r="O34" i="20"/>
  <c r="O41" i="20"/>
  <c r="O30" i="20"/>
  <c r="O36" i="20"/>
  <c r="O35" i="20"/>
  <c r="O39" i="20"/>
  <c r="O37" i="20"/>
  <c r="AZ52" i="20"/>
  <c r="AZ48" i="20"/>
  <c r="BB56" i="20"/>
  <c r="BB63" i="20"/>
  <c r="BB59" i="20"/>
  <c r="BB55" i="20"/>
  <c r="Q64" i="20"/>
  <c r="Q60" i="20"/>
  <c r="Q58" i="20"/>
  <c r="Q54" i="20"/>
  <c r="Q57" i="20"/>
  <c r="Q65" i="20"/>
  <c r="Q61" i="20"/>
  <c r="Q56" i="20"/>
  <c r="Q55" i="20"/>
  <c r="Q63" i="20"/>
  <c r="Q62" i="20"/>
  <c r="M72" i="20"/>
  <c r="M68" i="20"/>
  <c r="M70" i="20"/>
  <c r="M66" i="20"/>
  <c r="M67" i="20"/>
  <c r="M73" i="20"/>
  <c r="M69" i="20"/>
  <c r="M71" i="20"/>
  <c r="R14" i="18"/>
  <c r="O83" i="20"/>
  <c r="O79" i="20"/>
  <c r="O75" i="20"/>
  <c r="O82" i="20"/>
  <c r="O78" i="20"/>
  <c r="O74" i="20"/>
  <c r="O81" i="20"/>
  <c r="O77" i="20"/>
  <c r="O85" i="20"/>
  <c r="O80" i="20"/>
  <c r="O84" i="20"/>
  <c r="O76" i="20"/>
  <c r="BC97" i="20"/>
  <c r="BC93" i="20"/>
  <c r="BC89" i="20"/>
  <c r="BC92" i="20"/>
  <c r="BC86" i="20"/>
  <c r="BC88" i="20"/>
  <c r="BC96" i="20"/>
  <c r="AZ97" i="20"/>
  <c r="AZ93" i="20"/>
  <c r="AZ96" i="20"/>
  <c r="AZ92" i="20"/>
  <c r="AZ89" i="20"/>
  <c r="AZ88" i="20"/>
  <c r="BB100" i="20"/>
  <c r="BB99" i="20"/>
  <c r="BB103" i="20"/>
  <c r="Q102" i="20"/>
  <c r="Q98" i="20"/>
  <c r="Q100" i="20"/>
  <c r="Q101" i="20"/>
  <c r="Q103" i="20"/>
  <c r="Q99" i="20"/>
  <c r="M104" i="20"/>
  <c r="M105" i="20"/>
  <c r="R18" i="18"/>
  <c r="N6" i="20"/>
  <c r="D27" i="1"/>
  <c r="BC8" i="20"/>
  <c r="O12" i="20"/>
  <c r="BD13" i="20"/>
  <c r="BC13" i="20"/>
  <c r="P20" i="20"/>
  <c r="M24" i="20"/>
  <c r="M25" i="20"/>
  <c r="BD27" i="20"/>
  <c r="BC30" i="20"/>
  <c r="BA46" i="20"/>
  <c r="AZ46" i="20"/>
  <c r="BC46" i="20"/>
  <c r="BB46" i="20"/>
  <c r="BD70" i="20"/>
  <c r="P11" i="20"/>
  <c r="P13" i="20"/>
  <c r="R14" i="20"/>
  <c r="R17" i="20"/>
  <c r="R16" i="20"/>
  <c r="N28" i="20"/>
  <c r="N24" i="20"/>
  <c r="N20" i="20"/>
  <c r="N27" i="20"/>
  <c r="N23" i="20"/>
  <c r="N19" i="20"/>
  <c r="N26" i="20"/>
  <c r="N22" i="20"/>
  <c r="N18" i="20"/>
  <c r="P38" i="20"/>
  <c r="P34" i="20"/>
  <c r="P31" i="20"/>
  <c r="P30" i="20"/>
  <c r="P36" i="20"/>
  <c r="P35" i="20"/>
  <c r="P41" i="20"/>
  <c r="P39" i="20"/>
  <c r="P37" i="20"/>
  <c r="BA52" i="20"/>
  <c r="BA48" i="20"/>
  <c r="BA44" i="20"/>
  <c r="BA51" i="20"/>
  <c r="R64" i="20"/>
  <c r="R60" i="20"/>
  <c r="R57" i="20"/>
  <c r="R65" i="20"/>
  <c r="R61" i="20"/>
  <c r="R56" i="20"/>
  <c r="R63" i="20"/>
  <c r="R62" i="20"/>
  <c r="R58" i="20"/>
  <c r="R54" i="20"/>
  <c r="R55" i="20"/>
  <c r="N71" i="20"/>
  <c r="N70" i="20"/>
  <c r="N66" i="20"/>
  <c r="N73" i="20"/>
  <c r="N69" i="20"/>
  <c r="N72" i="20"/>
  <c r="N68" i="20"/>
  <c r="N67" i="20"/>
  <c r="P82" i="20"/>
  <c r="P78" i="20"/>
  <c r="P74" i="20"/>
  <c r="P81" i="20"/>
  <c r="P77" i="20"/>
  <c r="P85" i="20"/>
  <c r="P75" i="20"/>
  <c r="P80" i="20"/>
  <c r="P83" i="20"/>
  <c r="P76" i="20"/>
  <c r="P84" i="20"/>
  <c r="P79" i="20"/>
  <c r="BD91" i="20"/>
  <c r="BD86" i="20"/>
  <c r="BA93" i="20"/>
  <c r="BA91" i="20"/>
  <c r="BA86" i="20"/>
  <c r="BA88" i="20"/>
  <c r="BA95" i="20"/>
  <c r="BA97" i="20"/>
  <c r="BA89" i="20"/>
  <c r="R103" i="20"/>
  <c r="R101" i="20"/>
  <c r="R100" i="20"/>
  <c r="R102" i="20"/>
  <c r="R98" i="20"/>
  <c r="R99" i="20"/>
  <c r="N105" i="20"/>
  <c r="N104" i="20"/>
  <c r="O6" i="20"/>
  <c r="D28" i="1"/>
  <c r="BD11" i="20"/>
  <c r="P12" i="20"/>
  <c r="BB14" i="20"/>
  <c r="AZ14" i="20"/>
  <c r="BD14" i="20"/>
  <c r="BA18" i="20"/>
  <c r="O24" i="20"/>
  <c r="N25" i="20"/>
  <c r="BD28" i="20"/>
  <c r="BD29" i="20"/>
  <c r="BB30" i="20"/>
  <c r="AZ30" i="20"/>
  <c r="BD30" i="20"/>
  <c r="AZ41" i="20"/>
  <c r="R43" i="20"/>
  <c r="BA50" i="20"/>
  <c r="AZ50" i="20"/>
  <c r="BD50" i="20"/>
  <c r="BC50" i="20"/>
  <c r="BB50" i="20"/>
  <c r="BA58" i="20"/>
  <c r="AZ58" i="20"/>
  <c r="BB58" i="20"/>
  <c r="BD58" i="20"/>
  <c r="BC58" i="20"/>
  <c r="M15" i="20"/>
  <c r="M14" i="20"/>
  <c r="R9" i="18"/>
  <c r="O26" i="20"/>
  <c r="O22" i="20"/>
  <c r="O18" i="20"/>
  <c r="O29" i="20"/>
  <c r="O25" i="20"/>
  <c r="O21" i="20"/>
  <c r="BC34" i="20"/>
  <c r="BC31" i="20"/>
  <c r="AZ33" i="20"/>
  <c r="AZ31" i="20"/>
  <c r="AZ36" i="20"/>
  <c r="BB52" i="20"/>
  <c r="BB48" i="20"/>
  <c r="BB43" i="20"/>
  <c r="BB44" i="20"/>
  <c r="Q50" i="20"/>
  <c r="Q46" i="20"/>
  <c r="Q42" i="20"/>
  <c r="Q53" i="20"/>
  <c r="Q49" i="20"/>
  <c r="Q45" i="20"/>
  <c r="Q52" i="20"/>
  <c r="Q48" i="20"/>
  <c r="Q44" i="20"/>
  <c r="Q43" i="20"/>
  <c r="Q47" i="20"/>
  <c r="M62" i="20"/>
  <c r="M56" i="20"/>
  <c r="M63" i="20"/>
  <c r="M64" i="20"/>
  <c r="M59" i="20"/>
  <c r="M55" i="20"/>
  <c r="M60" i="20"/>
  <c r="M58" i="20"/>
  <c r="M54" i="20"/>
  <c r="M65" i="20"/>
  <c r="M61" i="20"/>
  <c r="M57" i="20"/>
  <c r="R13" i="18"/>
  <c r="O71" i="20"/>
  <c r="O73" i="20"/>
  <c r="O69" i="20"/>
  <c r="O72" i="20"/>
  <c r="O68" i="20"/>
  <c r="O70" i="20"/>
  <c r="O66" i="20"/>
  <c r="O67" i="20"/>
  <c r="BC84" i="20"/>
  <c r="BC80" i="20"/>
  <c r="BC76" i="20"/>
  <c r="BC85" i="20"/>
  <c r="BC74" i="20"/>
  <c r="BC82" i="20"/>
  <c r="AZ76" i="20"/>
  <c r="AZ75" i="20"/>
  <c r="AZ85" i="20"/>
  <c r="AZ84" i="20"/>
  <c r="AZ83" i="20"/>
  <c r="AZ80" i="20"/>
  <c r="BB96" i="20"/>
  <c r="BB92" i="20"/>
  <c r="BB91" i="20"/>
  <c r="BB88" i="20"/>
  <c r="BB95" i="20"/>
  <c r="Q94" i="20"/>
  <c r="Q90" i="20"/>
  <c r="Q96" i="20"/>
  <c r="Q92" i="20"/>
  <c r="Q86" i="20"/>
  <c r="Q91" i="20"/>
  <c r="Q87" i="20"/>
  <c r="Q97" i="20"/>
  <c r="Q88" i="20"/>
  <c r="Q95" i="20"/>
  <c r="Q89" i="20"/>
  <c r="M103" i="20"/>
  <c r="M100" i="20"/>
  <c r="M102" i="20"/>
  <c r="M98" i="20"/>
  <c r="M101" i="20"/>
  <c r="M99" i="20"/>
  <c r="R17" i="18"/>
  <c r="O105" i="20"/>
  <c r="O104" i="20"/>
  <c r="BD9" i="20"/>
  <c r="BB10" i="20"/>
  <c r="Q14" i="20"/>
  <c r="BD15" i="20"/>
  <c r="M28" i="20"/>
  <c r="M29" i="20"/>
  <c r="BD31" i="20"/>
  <c r="BC35" i="20"/>
  <c r="AZ37" i="20"/>
  <c r="BC39" i="20"/>
  <c r="BD39" i="20"/>
  <c r="BB39" i="20"/>
  <c r="BA39" i="20"/>
  <c r="AZ39" i="20"/>
  <c r="BD41" i="20"/>
  <c r="AZ44" i="20"/>
  <c r="BC62" i="20"/>
  <c r="BA78" i="20"/>
  <c r="AZ78" i="20"/>
  <c r="BC78" i="20"/>
  <c r="BB78" i="20"/>
  <c r="BD78" i="20"/>
  <c r="AZ79" i="20"/>
  <c r="N16" i="20"/>
  <c r="N15" i="20"/>
  <c r="N14" i="20"/>
  <c r="P27" i="20"/>
  <c r="P23" i="20"/>
  <c r="P19" i="20"/>
  <c r="P26" i="20"/>
  <c r="P22" i="20"/>
  <c r="P18" i="20"/>
  <c r="P29" i="20"/>
  <c r="P25" i="20"/>
  <c r="P21" i="20"/>
  <c r="BD38" i="20"/>
  <c r="BD37" i="20"/>
  <c r="BA40" i="20"/>
  <c r="BA36" i="20"/>
  <c r="BA32" i="20"/>
  <c r="R53" i="20"/>
  <c r="R49" i="20"/>
  <c r="R45" i="20"/>
  <c r="R52" i="20"/>
  <c r="R50" i="20"/>
  <c r="R44" i="20"/>
  <c r="R42" i="20"/>
  <c r="R47" i="20"/>
  <c r="N62" i="20"/>
  <c r="N63" i="20"/>
  <c r="N64" i="20"/>
  <c r="N59" i="20"/>
  <c r="N55" i="20"/>
  <c r="N60" i="20"/>
  <c r="N58" i="20"/>
  <c r="N54" i="20"/>
  <c r="N65" i="20"/>
  <c r="N56" i="20"/>
  <c r="N61" i="20"/>
  <c r="N57" i="20"/>
  <c r="P70" i="20"/>
  <c r="P73" i="20"/>
  <c r="P69" i="20"/>
  <c r="P68" i="20"/>
  <c r="P71" i="20"/>
  <c r="P72" i="20"/>
  <c r="P66" i="20"/>
  <c r="P67" i="20"/>
  <c r="BA75" i="20"/>
  <c r="BA85" i="20"/>
  <c r="BA83" i="20"/>
  <c r="BA79" i="20"/>
  <c r="R97" i="20"/>
  <c r="R93" i="20"/>
  <c r="R89" i="20"/>
  <c r="R96" i="20"/>
  <c r="R92" i="20"/>
  <c r="R94" i="20"/>
  <c r="R90" i="20"/>
  <c r="R86" i="20"/>
  <c r="R91" i="20"/>
  <c r="R87" i="20"/>
  <c r="R88" i="20"/>
  <c r="R95" i="20"/>
  <c r="N99" i="20"/>
  <c r="N102" i="20"/>
  <c r="N98" i="20"/>
  <c r="N103" i="20"/>
  <c r="N100" i="20"/>
  <c r="N101" i="20"/>
  <c r="P105" i="20"/>
  <c r="P104" i="20"/>
  <c r="C21" i="23"/>
  <c r="E21" i="23"/>
  <c r="Y6" i="20"/>
  <c r="BB15" i="20"/>
  <c r="BD16" i="20"/>
  <c r="BD17" i="20"/>
  <c r="BB18" i="20"/>
  <c r="AZ18" i="20"/>
  <c r="BD18" i="20"/>
  <c r="O28" i="20"/>
  <c r="N29" i="20"/>
  <c r="O31" i="20"/>
  <c r="BC32" i="20"/>
  <c r="AZ32" i="20"/>
  <c r="BC33" i="20"/>
  <c r="BD36" i="20"/>
  <c r="BC37" i="20"/>
  <c r="AZ40" i="20"/>
  <c r="BD49" i="20"/>
  <c r="AZ51" i="20"/>
  <c r="Q93" i="20"/>
  <c r="BC104" i="20"/>
  <c r="BD104" i="20"/>
  <c r="BA104" i="20"/>
  <c r="AZ104" i="20"/>
  <c r="BB104" i="20"/>
  <c r="Q22" i="31"/>
  <c r="P22" i="31"/>
  <c r="R22" i="31"/>
  <c r="BA16" i="20"/>
  <c r="BA24" i="20"/>
  <c r="BA28" i="20"/>
  <c r="BC57" i="20"/>
  <c r="BD66" i="20"/>
  <c r="AZ13" i="20"/>
  <c r="BB16" i="20"/>
  <c r="AZ17" i="20"/>
  <c r="BB20" i="20"/>
  <c r="AZ21" i="20"/>
  <c r="BB24" i="20"/>
  <c r="AZ25" i="20"/>
  <c r="BB28" i="20"/>
  <c r="AZ29" i="20"/>
  <c r="BB32" i="20"/>
  <c r="AZ34" i="20"/>
  <c r="AZ35" i="20"/>
  <c r="BA42" i="20"/>
  <c r="AZ42" i="20"/>
  <c r="BD42" i="20"/>
  <c r="BC45" i="20"/>
  <c r="BB45" i="20"/>
  <c r="BA45" i="20"/>
  <c r="AZ45" i="20"/>
  <c r="BD71" i="20"/>
  <c r="BD82" i="20"/>
  <c r="BA13" i="20"/>
  <c r="BC16" i="20"/>
  <c r="BA17" i="20"/>
  <c r="BC20" i="20"/>
  <c r="BA21" i="20"/>
  <c r="BC24" i="20"/>
  <c r="BA25" i="20"/>
  <c r="BC28" i="20"/>
  <c r="BA29" i="20"/>
  <c r="BA35" i="20"/>
  <c r="AZ38" i="20"/>
  <c r="BA38" i="20"/>
  <c r="BD45" i="20"/>
  <c r="BD48" i="20"/>
  <c r="BD55" i="20"/>
  <c r="BD56" i="20"/>
  <c r="BD79" i="20"/>
  <c r="P35" i="31"/>
  <c r="L35" i="31"/>
  <c r="Q35" i="31"/>
  <c r="R36" i="31"/>
  <c r="BD32" i="20"/>
  <c r="BB33" i="20"/>
  <c r="BA33" i="20"/>
  <c r="BA34" i="20"/>
  <c r="BB35" i="20"/>
  <c r="BC43" i="20"/>
  <c r="AZ43" i="20"/>
  <c r="BC49" i="20"/>
  <c r="BB49" i="20"/>
  <c r="BA49" i="20"/>
  <c r="AZ49" i="20"/>
  <c r="BD74" i="20"/>
  <c r="BA90" i="20"/>
  <c r="AZ90" i="20"/>
  <c r="BB90" i="20"/>
  <c r="BD90" i="20"/>
  <c r="BC90" i="20"/>
  <c r="AZ65" i="20"/>
  <c r="BD65" i="20"/>
  <c r="BC65" i="20"/>
  <c r="BB65" i="20"/>
  <c r="BA65" i="20"/>
  <c r="BA70" i="20"/>
  <c r="AZ70" i="20"/>
  <c r="BB70" i="20"/>
  <c r="BC70" i="20"/>
  <c r="BB37" i="20"/>
  <c r="BA37" i="20"/>
  <c r="BC53" i="20"/>
  <c r="BB97" i="20"/>
  <c r="BD53" i="20"/>
  <c r="BD57" i="20"/>
  <c r="AZ61" i="20"/>
  <c r="BD76" i="20"/>
  <c r="BC77" i="20"/>
  <c r="BB77" i="20"/>
  <c r="BA77" i="20"/>
  <c r="AZ77" i="20"/>
  <c r="BA98" i="20"/>
  <c r="AZ98" i="20"/>
  <c r="BB98" i="20"/>
  <c r="BC98" i="20"/>
  <c r="R11" i="31"/>
  <c r="P23" i="31"/>
  <c r="Q23" i="31"/>
  <c r="Q24" i="31"/>
  <c r="P24" i="31"/>
  <c r="R24" i="31"/>
  <c r="Q38" i="31"/>
  <c r="P38" i="31"/>
  <c r="R38" i="31"/>
  <c r="BC51" i="20"/>
  <c r="BC55" i="20"/>
  <c r="BB60" i="20"/>
  <c r="BA60" i="20"/>
  <c r="BB61" i="20"/>
  <c r="BB66" i="20"/>
  <c r="BB74" i="20"/>
  <c r="BD80" i="20"/>
  <c r="BC81" i="20"/>
  <c r="BB81" i="20"/>
  <c r="BA81" i="20"/>
  <c r="AZ81" i="20"/>
  <c r="P11" i="31"/>
  <c r="Q11" i="31"/>
  <c r="I20" i="31"/>
  <c r="L20" i="31"/>
  <c r="K20" i="31"/>
  <c r="N20" i="31"/>
  <c r="J20" i="31"/>
  <c r="P55" i="31"/>
  <c r="Q55" i="31"/>
  <c r="AZ53" i="20"/>
  <c r="AZ57" i="20"/>
  <c r="BD59" i="20"/>
  <c r="BC59" i="20"/>
  <c r="BC61" i="20"/>
  <c r="BB64" i="20"/>
  <c r="BA64" i="20"/>
  <c r="BC66" i="20"/>
  <c r="BD68" i="20"/>
  <c r="BA82" i="20"/>
  <c r="AZ82" i="20"/>
  <c r="BD83" i="20"/>
  <c r="AZ87" i="20"/>
  <c r="BD87" i="20"/>
  <c r="BC87" i="20"/>
  <c r="BB87" i="20"/>
  <c r="BA87" i="20"/>
  <c r="BD96" i="20"/>
  <c r="BD98" i="20"/>
  <c r="BD99" i="20"/>
  <c r="K26" i="31"/>
  <c r="N26" i="31"/>
  <c r="J26" i="31"/>
  <c r="I26" i="31"/>
  <c r="L26" i="31"/>
  <c r="K40" i="31"/>
  <c r="I40" i="31"/>
  <c r="N40" i="31"/>
  <c r="J40" i="31"/>
  <c r="L40" i="31"/>
  <c r="BC36" i="20"/>
  <c r="BC40" i="20"/>
  <c r="BC44" i="20"/>
  <c r="BC48" i="20"/>
  <c r="BC52" i="20"/>
  <c r="BA53" i="20"/>
  <c r="BC56" i="20"/>
  <c r="BA57" i="20"/>
  <c r="BC60" i="20"/>
  <c r="BD61" i="20"/>
  <c r="BD63" i="20"/>
  <c r="AZ64" i="20"/>
  <c r="BC69" i="20"/>
  <c r="BB69" i="20"/>
  <c r="AZ69" i="20"/>
  <c r="BD72" i="20"/>
  <c r="BC73" i="20"/>
  <c r="BB73" i="20"/>
  <c r="BA73" i="20"/>
  <c r="AZ73" i="20"/>
  <c r="BB53" i="20"/>
  <c r="BB57" i="20"/>
  <c r="BD60" i="20"/>
  <c r="BC64" i="20"/>
  <c r="BD67" i="20"/>
  <c r="BA69" i="20"/>
  <c r="BA74" i="20"/>
  <c r="AZ74" i="20"/>
  <c r="BD75" i="20"/>
  <c r="BB84" i="20"/>
  <c r="BB101" i="20"/>
  <c r="R15" i="31"/>
  <c r="K16" i="31"/>
  <c r="I16" i="31"/>
  <c r="N16" i="31"/>
  <c r="J16" i="31"/>
  <c r="L16" i="31"/>
  <c r="P51" i="31"/>
  <c r="Q51" i="31"/>
  <c r="BD64" i="20"/>
  <c r="BD77" i="20"/>
  <c r="BA94" i="20"/>
  <c r="AZ94" i="20"/>
  <c r="BB94" i="20"/>
  <c r="BD94" i="20"/>
  <c r="BC94" i="20"/>
  <c r="R37" i="31"/>
  <c r="P39" i="31"/>
  <c r="Q39" i="31"/>
  <c r="R39" i="31"/>
  <c r="Q48" i="31"/>
  <c r="P48" i="31"/>
  <c r="R48" i="31"/>
  <c r="BC63" i="20"/>
  <c r="BC67" i="20"/>
  <c r="BA68" i="20"/>
  <c r="BC71" i="20"/>
  <c r="BA72" i="20"/>
  <c r="BC75" i="20"/>
  <c r="BA76" i="20"/>
  <c r="BC79" i="20"/>
  <c r="BA80" i="20"/>
  <c r="BC83" i="20"/>
  <c r="BA84" i="20"/>
  <c r="AZ86" i="20"/>
  <c r="BB86" i="20"/>
  <c r="BD100" i="20"/>
  <c r="BD103" i="20"/>
  <c r="BC103" i="20"/>
  <c r="BA103" i="20"/>
  <c r="AZ103" i="20"/>
  <c r="R12" i="31"/>
  <c r="Q14" i="31"/>
  <c r="P14" i="31"/>
  <c r="R14" i="31"/>
  <c r="P15" i="31"/>
  <c r="Q15" i="31"/>
  <c r="K42" i="31"/>
  <c r="N42" i="31"/>
  <c r="J42" i="31"/>
  <c r="I42" i="31"/>
  <c r="P60" i="31"/>
  <c r="BB68" i="20"/>
  <c r="BB72" i="20"/>
  <c r="BB76" i="20"/>
  <c r="BB80" i="20"/>
  <c r="BC91" i="20"/>
  <c r="AZ91" i="20"/>
  <c r="BA102" i="20"/>
  <c r="BC102" i="20"/>
  <c r="BB102" i="20"/>
  <c r="BD102" i="20"/>
  <c r="R7" i="31"/>
  <c r="B26" i="34"/>
  <c r="D26" i="34"/>
  <c r="K18" i="31"/>
  <c r="N18" i="31"/>
  <c r="J18" i="31"/>
  <c r="I18" i="31"/>
  <c r="P27" i="31"/>
  <c r="R27" i="31"/>
  <c r="Q27" i="31"/>
  <c r="P32" i="31"/>
  <c r="R32" i="31"/>
  <c r="R43" i="31"/>
  <c r="L43" i="31"/>
  <c r="R60" i="31"/>
  <c r="BB85" i="20"/>
  <c r="BB89" i="20"/>
  <c r="B22" i="34"/>
  <c r="D22" i="34"/>
  <c r="K8" i="31"/>
  <c r="I8" i="31"/>
  <c r="N8" i="31"/>
  <c r="J8" i="31"/>
  <c r="I28" i="31"/>
  <c r="L28" i="31"/>
  <c r="K28" i="31"/>
  <c r="Q30" i="31"/>
  <c r="L30" i="31"/>
  <c r="P30" i="31"/>
  <c r="R30" i="31"/>
  <c r="P31" i="31"/>
  <c r="R31" i="31"/>
  <c r="Q31" i="31"/>
  <c r="R58" i="31"/>
  <c r="BD84" i="20"/>
  <c r="BB93" i="20"/>
  <c r="Q6" i="31"/>
  <c r="B20" i="34"/>
  <c r="D20" i="34"/>
  <c r="P6" i="31"/>
  <c r="L7" i="31"/>
  <c r="P7" i="31"/>
  <c r="Q7" i="31"/>
  <c r="R23" i="31"/>
  <c r="L23" i="31"/>
  <c r="K34" i="31"/>
  <c r="N34" i="31"/>
  <c r="J34" i="31"/>
  <c r="I34" i="31"/>
  <c r="P43" i="31"/>
  <c r="Q43" i="31"/>
  <c r="R45" i="31"/>
  <c r="K50" i="31"/>
  <c r="N50" i="31"/>
  <c r="J50" i="31"/>
  <c r="I50" i="31"/>
  <c r="R51" i="31"/>
  <c r="P62" i="31"/>
  <c r="R62" i="31"/>
  <c r="BD88" i="20"/>
  <c r="BD92" i="20"/>
  <c r="BD95" i="20"/>
  <c r="K10" i="31"/>
  <c r="N10" i="31"/>
  <c r="J10" i="31"/>
  <c r="I10" i="31"/>
  <c r="P19" i="31"/>
  <c r="R19" i="31"/>
  <c r="Q19" i="31"/>
  <c r="R21" i="31"/>
  <c r="R35" i="31"/>
  <c r="R44" i="31"/>
  <c r="Q46" i="31"/>
  <c r="L46" i="31"/>
  <c r="P46" i="31"/>
  <c r="R46" i="31"/>
  <c r="P47" i="31"/>
  <c r="R47" i="31"/>
  <c r="Q47" i="31"/>
  <c r="R52" i="31"/>
  <c r="BD85" i="20"/>
  <c r="BD89" i="20"/>
  <c r="BD93" i="20"/>
  <c r="AZ95" i="20"/>
  <c r="BD97" i="20"/>
  <c r="AZ99" i="20"/>
  <c r="BD101" i="20"/>
  <c r="BC105" i="20"/>
  <c r="BA105" i="20"/>
  <c r="I6" i="25"/>
  <c r="O6" i="25"/>
  <c r="P61" i="31"/>
  <c r="Q61" i="31"/>
  <c r="R61" i="31"/>
  <c r="Q64" i="31"/>
  <c r="R64" i="31"/>
  <c r="P56" i="31"/>
  <c r="R56" i="31"/>
  <c r="B21" i="34"/>
  <c r="P54" i="31"/>
  <c r="R54" i="31"/>
  <c r="P59" i="31"/>
  <c r="R59" i="31"/>
  <c r="Q59" i="31"/>
  <c r="BA92" i="20"/>
  <c r="BC95" i="20"/>
  <c r="BA96" i="20"/>
  <c r="BC99" i="20"/>
  <c r="BA100" i="20"/>
  <c r="BB105" i="20"/>
  <c r="R25" i="31"/>
  <c r="R49" i="31"/>
  <c r="R65" i="31"/>
  <c r="D7" i="34"/>
  <c r="B15" i="34"/>
  <c r="D15" i="34"/>
  <c r="I10" i="25"/>
  <c r="O10" i="25"/>
  <c r="B25" i="34"/>
  <c r="D25" i="34"/>
  <c r="P9" i="31"/>
  <c r="R9" i="31"/>
  <c r="P17" i="31"/>
  <c r="R17" i="31"/>
  <c r="P25" i="31"/>
  <c r="P33" i="31"/>
  <c r="R33" i="31"/>
  <c r="P41" i="31"/>
  <c r="R41" i="31"/>
  <c r="P49" i="31"/>
  <c r="R55" i="31"/>
  <c r="P57" i="31"/>
  <c r="Q57" i="31"/>
  <c r="R57" i="31"/>
  <c r="P65" i="31"/>
  <c r="L65" i="31"/>
  <c r="Q65" i="31"/>
  <c r="I8" i="25"/>
  <c r="O8" i="25"/>
  <c r="P13" i="31"/>
  <c r="R13" i="31"/>
  <c r="P21" i="31"/>
  <c r="P29" i="31"/>
  <c r="R29" i="31"/>
  <c r="P37" i="31"/>
  <c r="P45" i="31"/>
  <c r="P53" i="31"/>
  <c r="R53" i="31"/>
  <c r="L54" i="31"/>
  <c r="P63" i="31"/>
  <c r="R63" i="31"/>
  <c r="Q63" i="31"/>
  <c r="B24" i="34"/>
  <c r="D24" i="34"/>
  <c r="P58" i="31"/>
  <c r="D17" i="35"/>
  <c r="D19" i="35"/>
  <c r="D11" i="35"/>
  <c r="D8" i="35"/>
  <c r="D16" i="35"/>
  <c r="D13" i="35"/>
  <c r="D7" i="35"/>
  <c r="D15" i="35"/>
  <c r="N41" i="31"/>
  <c r="J41" i="31"/>
  <c r="I41" i="31"/>
  <c r="K41" i="31"/>
  <c r="L41" i="31"/>
  <c r="J13" i="31"/>
  <c r="N13" i="31"/>
  <c r="L13" i="31"/>
  <c r="K13" i="31"/>
  <c r="I13" i="31"/>
  <c r="N33" i="31"/>
  <c r="J33" i="31"/>
  <c r="I33" i="31"/>
  <c r="K33" i="31"/>
  <c r="L33" i="31"/>
  <c r="J53" i="31"/>
  <c r="N53" i="31"/>
  <c r="K53" i="31"/>
  <c r="I53" i="31"/>
  <c r="L53" i="31"/>
  <c r="K64" i="31"/>
  <c r="I64" i="31"/>
  <c r="N64" i="31"/>
  <c r="L64" i="31"/>
  <c r="J64" i="31"/>
  <c r="N27" i="31"/>
  <c r="K27" i="31"/>
  <c r="J27" i="31"/>
  <c r="I27" i="31"/>
  <c r="L27" i="31"/>
  <c r="N17" i="31"/>
  <c r="J17" i="31"/>
  <c r="I17" i="31"/>
  <c r="K17" i="31"/>
  <c r="L17" i="31"/>
  <c r="J59" i="31"/>
  <c r="N59" i="31"/>
  <c r="K59" i="31"/>
  <c r="I59" i="31"/>
  <c r="L59" i="31"/>
  <c r="J39" i="31"/>
  <c r="N39" i="31"/>
  <c r="K39" i="31"/>
  <c r="I39" i="31"/>
  <c r="L39" i="31"/>
  <c r="N63" i="31"/>
  <c r="J63" i="31"/>
  <c r="K63" i="31"/>
  <c r="I63" i="31"/>
  <c r="L63" i="31"/>
  <c r="J61" i="31"/>
  <c r="N61" i="31"/>
  <c r="I61" i="31"/>
  <c r="K61" i="31"/>
  <c r="L61" i="31"/>
  <c r="N57" i="31"/>
  <c r="J57" i="31"/>
  <c r="K57" i="31"/>
  <c r="I57" i="31"/>
  <c r="L57" i="31"/>
  <c r="N9" i="31"/>
  <c r="J9" i="31"/>
  <c r="I9" i="31"/>
  <c r="K9" i="31"/>
  <c r="L9" i="31"/>
  <c r="J29" i="31"/>
  <c r="N29" i="31"/>
  <c r="L29" i="31"/>
  <c r="K29" i="31"/>
  <c r="I29" i="31"/>
  <c r="J47" i="31"/>
  <c r="N47" i="31"/>
  <c r="K47" i="31"/>
  <c r="I47" i="31"/>
  <c r="L47" i="31"/>
  <c r="N19" i="31"/>
  <c r="K19" i="31"/>
  <c r="J19" i="31"/>
  <c r="I19" i="31"/>
  <c r="L19" i="31"/>
  <c r="K62" i="31"/>
  <c r="I62" i="31"/>
  <c r="L62" i="31"/>
  <c r="J62" i="31"/>
  <c r="N62" i="31"/>
  <c r="J31" i="31"/>
  <c r="N31" i="31"/>
  <c r="K31" i="31"/>
  <c r="I31" i="31"/>
  <c r="L31" i="31"/>
  <c r="V1121" i="5"/>
  <c r="F1121" i="5"/>
  <c r="B23" i="34"/>
  <c r="D23" i="34"/>
  <c r="D21" i="34"/>
  <c r="K46" i="31"/>
  <c r="I46" i="31"/>
  <c r="N46" i="31"/>
  <c r="J46" i="31"/>
  <c r="I58" i="31"/>
  <c r="K58" i="31"/>
  <c r="L58" i="31"/>
  <c r="J58" i="31"/>
  <c r="N58" i="31"/>
  <c r="V986" i="5"/>
  <c r="F986" i="5"/>
  <c r="V1104" i="5"/>
  <c r="F1104" i="5"/>
  <c r="V1054" i="5"/>
  <c r="F1054" i="5"/>
  <c r="V1037" i="5"/>
  <c r="F1037" i="5"/>
  <c r="V1094" i="5"/>
  <c r="F1094" i="5"/>
  <c r="T994" i="6"/>
  <c r="V1114" i="5"/>
  <c r="F1114" i="5"/>
  <c r="F912" i="5"/>
  <c r="V912" i="5"/>
  <c r="V926" i="5"/>
  <c r="F926" i="5"/>
  <c r="T862" i="6"/>
  <c r="T1063" i="6"/>
  <c r="V1043" i="5"/>
  <c r="F1043" i="5"/>
  <c r="V935" i="5"/>
  <c r="F935" i="5"/>
  <c r="F897" i="5"/>
  <c r="V897" i="5"/>
  <c r="T923" i="6"/>
  <c r="T672" i="6"/>
  <c r="V572" i="5"/>
  <c r="F572" i="5"/>
  <c r="T788" i="6"/>
  <c r="T450" i="6"/>
  <c r="V404" i="5"/>
  <c r="F404" i="5"/>
  <c r="J45" i="31"/>
  <c r="N45" i="31"/>
  <c r="L45" i="31"/>
  <c r="K45" i="31"/>
  <c r="I45" i="31"/>
  <c r="K14" i="31"/>
  <c r="I14" i="31"/>
  <c r="N14" i="31"/>
  <c r="J14" i="31"/>
  <c r="N25" i="31"/>
  <c r="J25" i="31"/>
  <c r="I25" i="31"/>
  <c r="K25" i="31"/>
  <c r="J7" i="31"/>
  <c r="N7" i="31"/>
  <c r="K7" i="31"/>
  <c r="I7" i="31"/>
  <c r="N11" i="31"/>
  <c r="K11" i="31"/>
  <c r="J11" i="31"/>
  <c r="I11" i="31"/>
  <c r="V1089" i="5"/>
  <c r="F1089" i="5"/>
  <c r="T1050" i="6"/>
  <c r="T1124" i="6"/>
  <c r="T1093" i="6"/>
  <c r="C1087" i="4"/>
  <c r="D1086" i="4"/>
  <c r="V1095" i="5"/>
  <c r="F1095" i="5"/>
  <c r="V1013" i="5"/>
  <c r="F1013" i="5"/>
  <c r="T976" i="6"/>
  <c r="F864" i="5"/>
  <c r="V864" i="5"/>
  <c r="V1123" i="5"/>
  <c r="F1123" i="5"/>
  <c r="V899" i="5"/>
  <c r="F899" i="5"/>
  <c r="T883" i="6"/>
  <c r="T1100" i="6"/>
  <c r="V1163" i="5"/>
  <c r="F1163" i="5"/>
  <c r="V887" i="5"/>
  <c r="F887" i="5"/>
  <c r="T1011" i="6"/>
  <c r="T914" i="6"/>
  <c r="T940" i="6"/>
  <c r="V874" i="5"/>
  <c r="F874" i="5"/>
  <c r="G847" i="4"/>
  <c r="H846" i="4"/>
  <c r="V644" i="5"/>
  <c r="F644" i="5"/>
  <c r="F804" i="5"/>
  <c r="V804" i="5"/>
  <c r="T682" i="6"/>
  <c r="J760" i="4"/>
  <c r="D760" i="6"/>
  <c r="I760" i="4"/>
  <c r="O760" i="5"/>
  <c r="J23" i="31"/>
  <c r="N23" i="31"/>
  <c r="K23" i="31"/>
  <c r="I23" i="31"/>
  <c r="N43" i="31"/>
  <c r="K43" i="31"/>
  <c r="J43" i="31"/>
  <c r="I43" i="31"/>
  <c r="V1178" i="5"/>
  <c r="F1178" i="5"/>
  <c r="V1162" i="5"/>
  <c r="F1162" i="5"/>
  <c r="V1150" i="5"/>
  <c r="F1150" i="5"/>
  <c r="V1138" i="5"/>
  <c r="F1138" i="5"/>
  <c r="N51" i="31"/>
  <c r="K51" i="31"/>
  <c r="J51" i="31"/>
  <c r="I51" i="31"/>
  <c r="I12" i="31"/>
  <c r="L12" i="31"/>
  <c r="K12" i="31"/>
  <c r="J12" i="31"/>
  <c r="N12" i="31"/>
  <c r="J37" i="31"/>
  <c r="N37" i="31"/>
  <c r="L37" i="31"/>
  <c r="K37" i="31"/>
  <c r="I37" i="31"/>
  <c r="J15" i="31"/>
  <c r="N15" i="31"/>
  <c r="K15" i="31"/>
  <c r="I15" i="31"/>
  <c r="K38" i="31"/>
  <c r="I38" i="31"/>
  <c r="N38" i="31"/>
  <c r="J38" i="31"/>
  <c r="B27" i="34"/>
  <c r="D27" i="34"/>
  <c r="R6" i="31"/>
  <c r="L51" i="31"/>
  <c r="L38" i="31"/>
  <c r="T1102" i="6"/>
  <c r="V1033" i="5"/>
  <c r="F1033" i="5"/>
  <c r="T1006" i="6"/>
  <c r="T1120" i="6"/>
  <c r="T1108" i="6"/>
  <c r="T1041" i="6"/>
  <c r="T1010" i="6"/>
  <c r="T993" i="6"/>
  <c r="V1030" i="5"/>
  <c r="F1030" i="5"/>
  <c r="V911" i="5"/>
  <c r="F911" i="5"/>
  <c r="V996" i="5"/>
  <c r="F996" i="5"/>
  <c r="V878" i="5"/>
  <c r="F878" i="5"/>
  <c r="T904" i="6"/>
  <c r="V930" i="5"/>
  <c r="F930" i="5"/>
  <c r="V990" i="5"/>
  <c r="F990" i="5"/>
  <c r="T983" i="6"/>
  <c r="V1019" i="5"/>
  <c r="F1019" i="5"/>
  <c r="T886" i="6"/>
  <c r="V402" i="5"/>
  <c r="F402" i="5"/>
  <c r="V440" i="5"/>
  <c r="F440" i="5"/>
  <c r="V768" i="5"/>
  <c r="F768" i="5"/>
  <c r="J55" i="31"/>
  <c r="N55" i="31"/>
  <c r="K55" i="31"/>
  <c r="I55" i="31"/>
  <c r="L25" i="31"/>
  <c r="K56" i="31"/>
  <c r="I56" i="31"/>
  <c r="N56" i="31"/>
  <c r="J56" i="31"/>
  <c r="L56" i="31"/>
  <c r="I44" i="31"/>
  <c r="L44" i="31"/>
  <c r="K44" i="31"/>
  <c r="N44" i="31"/>
  <c r="J44" i="31"/>
  <c r="AU80" i="20"/>
  <c r="AU81" i="20"/>
  <c r="AU48" i="20"/>
  <c r="AU49" i="20"/>
  <c r="AU33" i="20"/>
  <c r="AU32" i="20"/>
  <c r="L11" i="31"/>
  <c r="K22" i="31"/>
  <c r="I22" i="31"/>
  <c r="N22" i="31"/>
  <c r="J22" i="31"/>
  <c r="T1184" i="6"/>
  <c r="T1180" i="6"/>
  <c r="T1176" i="6"/>
  <c r="T1172" i="6"/>
  <c r="T1168" i="6"/>
  <c r="T1164" i="6"/>
  <c r="T1160" i="6"/>
  <c r="T1156" i="6"/>
  <c r="T1152" i="6"/>
  <c r="T1148" i="6"/>
  <c r="T1144" i="6"/>
  <c r="T1140" i="6"/>
  <c r="T1136" i="6"/>
  <c r="T1132" i="6"/>
  <c r="T1128" i="6"/>
  <c r="T985" i="6"/>
  <c r="V1185" i="5"/>
  <c r="F1185" i="5"/>
  <c r="V1177" i="5"/>
  <c r="F1177" i="5"/>
  <c r="V1169" i="5"/>
  <c r="F1169" i="5"/>
  <c r="V1161" i="5"/>
  <c r="F1161" i="5"/>
  <c r="V1153" i="5"/>
  <c r="F1153" i="5"/>
  <c r="V1145" i="5"/>
  <c r="F1145" i="5"/>
  <c r="V1137" i="5"/>
  <c r="F1137" i="5"/>
  <c r="V1129" i="5"/>
  <c r="F1129" i="5"/>
  <c r="T1032" i="6"/>
  <c r="V1000" i="5"/>
  <c r="F1000" i="5"/>
  <c r="V974" i="5"/>
  <c r="F974" i="5"/>
  <c r="V928" i="5"/>
  <c r="F928" i="5"/>
  <c r="V1015" i="5"/>
  <c r="F1015" i="5"/>
  <c r="T916" i="6"/>
  <c r="T1028" i="6"/>
  <c r="T1087" i="6"/>
  <c r="V1047" i="5"/>
  <c r="F1047" i="5"/>
  <c r="V413" i="5"/>
  <c r="F413" i="5"/>
  <c r="V409" i="5"/>
  <c r="F409" i="5"/>
  <c r="V405" i="5"/>
  <c r="F405" i="5"/>
  <c r="V401" i="5"/>
  <c r="F401" i="5"/>
  <c r="I735" i="4"/>
  <c r="O735" i="5"/>
  <c r="J735" i="4"/>
  <c r="D735" i="6"/>
  <c r="T199" i="6"/>
  <c r="T195" i="6"/>
  <c r="T191" i="6"/>
  <c r="T181" i="6"/>
  <c r="T177" i="6"/>
  <c r="T173" i="6"/>
  <c r="T167" i="6"/>
  <c r="T163" i="6"/>
  <c r="T159" i="6"/>
  <c r="T149" i="6"/>
  <c r="T145" i="6"/>
  <c r="T141" i="6"/>
  <c r="T135" i="6"/>
  <c r="T131" i="6"/>
  <c r="T127" i="6"/>
  <c r="T103" i="6"/>
  <c r="T93" i="6"/>
  <c r="T89" i="6"/>
  <c r="T85" i="6"/>
  <c r="T79" i="6"/>
  <c r="T75" i="6"/>
  <c r="T71" i="6"/>
  <c r="T61" i="6"/>
  <c r="T57" i="6"/>
  <c r="T53" i="6"/>
  <c r="T47" i="6"/>
  <c r="T43" i="6"/>
  <c r="T39" i="6"/>
  <c r="T29" i="6"/>
  <c r="T25" i="6"/>
  <c r="T21" i="6"/>
  <c r="T15" i="6"/>
  <c r="T11" i="6"/>
  <c r="T7" i="6"/>
  <c r="V1103" i="5"/>
  <c r="F1103" i="5"/>
  <c r="V1044" i="5"/>
  <c r="F1044" i="5"/>
  <c r="H968" i="4"/>
  <c r="G969" i="4"/>
  <c r="F778" i="5"/>
  <c r="V778" i="5"/>
  <c r="V654" i="5"/>
  <c r="F654" i="5"/>
  <c r="T522" i="6"/>
  <c r="N49" i="31"/>
  <c r="J49" i="31"/>
  <c r="K49" i="31"/>
  <c r="I49" i="31"/>
  <c r="V1174" i="5"/>
  <c r="F1174" i="5"/>
  <c r="V1154" i="5"/>
  <c r="F1154" i="5"/>
  <c r="V1134" i="5"/>
  <c r="F1134" i="5"/>
  <c r="V1183" i="5"/>
  <c r="F1183" i="5"/>
  <c r="N65" i="31"/>
  <c r="J65" i="31"/>
  <c r="K65" i="31"/>
  <c r="I65" i="31"/>
  <c r="I52" i="31"/>
  <c r="L52" i="31"/>
  <c r="K52" i="31"/>
  <c r="N52" i="31"/>
  <c r="J52" i="31"/>
  <c r="N35" i="31"/>
  <c r="K35" i="31"/>
  <c r="J35" i="31"/>
  <c r="I35" i="31"/>
  <c r="AU12" i="20"/>
  <c r="AU13" i="20"/>
  <c r="K48" i="31"/>
  <c r="I48" i="31"/>
  <c r="N48" i="31"/>
  <c r="J48" i="31"/>
  <c r="L48" i="31"/>
  <c r="AU61" i="20"/>
  <c r="AU60" i="20"/>
  <c r="L55" i="31"/>
  <c r="K24" i="31"/>
  <c r="I24" i="31"/>
  <c r="N24" i="31"/>
  <c r="J24" i="31"/>
  <c r="L24" i="31"/>
  <c r="I36" i="31"/>
  <c r="L36" i="31"/>
  <c r="K36" i="31"/>
  <c r="N36" i="31"/>
  <c r="J36" i="31"/>
  <c r="L22" i="31"/>
  <c r="V1086" i="5"/>
  <c r="F1086" i="5"/>
  <c r="H1086" i="5"/>
  <c r="T1002" i="6"/>
  <c r="V1109" i="5"/>
  <c r="F1109" i="5"/>
  <c r="T1090" i="6"/>
  <c r="V1045" i="5"/>
  <c r="F1045" i="5"/>
  <c r="V978" i="5"/>
  <c r="F978" i="5"/>
  <c r="T880" i="6"/>
  <c r="T863" i="6"/>
  <c r="T1115" i="6"/>
  <c r="F920" i="5"/>
  <c r="V920" i="5"/>
  <c r="V1031" i="5"/>
  <c r="F1031" i="5"/>
  <c r="T859" i="6"/>
  <c r="T329" i="6"/>
  <c r="T325" i="6"/>
  <c r="T321" i="6"/>
  <c r="T317" i="6"/>
  <c r="T313" i="6"/>
  <c r="T309" i="6"/>
  <c r="T305" i="6"/>
  <c r="T301" i="6"/>
  <c r="T297" i="6"/>
  <c r="T293" i="6"/>
  <c r="T289" i="6"/>
  <c r="V582" i="5"/>
  <c r="F582" i="5"/>
  <c r="V498" i="5"/>
  <c r="F498" i="5"/>
  <c r="T532" i="6"/>
  <c r="V546" i="5"/>
  <c r="F546" i="5"/>
  <c r="V1166" i="5"/>
  <c r="F1166" i="5"/>
  <c r="V1146" i="5"/>
  <c r="F1146" i="5"/>
  <c r="L49" i="31"/>
  <c r="J21" i="31"/>
  <c r="N21" i="31"/>
  <c r="L21" i="31"/>
  <c r="K21" i="31"/>
  <c r="I21" i="31"/>
  <c r="B28" i="34"/>
  <c r="D28" i="34"/>
  <c r="K30" i="31"/>
  <c r="I30" i="31"/>
  <c r="N30" i="31"/>
  <c r="J30" i="31"/>
  <c r="K60" i="31"/>
  <c r="I60" i="31"/>
  <c r="N60" i="31"/>
  <c r="L60" i="31"/>
  <c r="J60" i="31"/>
  <c r="AU16" i="20"/>
  <c r="AU17" i="20"/>
  <c r="L15" i="31"/>
  <c r="AU20" i="20"/>
  <c r="AU21" i="20"/>
  <c r="V1118" i="5"/>
  <c r="F1118" i="5"/>
  <c r="T1107" i="6"/>
  <c r="V1021" i="5"/>
  <c r="F1021" i="5"/>
  <c r="V1111" i="5"/>
  <c r="F1111" i="5"/>
  <c r="V1097" i="5"/>
  <c r="F1097" i="5"/>
  <c r="T1058" i="6"/>
  <c r="T1065" i="6"/>
  <c r="T1029" i="6"/>
  <c r="T998" i="6"/>
  <c r="T1179" i="6"/>
  <c r="T1096" i="6"/>
  <c r="V932" i="5"/>
  <c r="F932" i="5"/>
  <c r="T915" i="6"/>
  <c r="T868" i="6"/>
  <c r="V851" i="5"/>
  <c r="F851" i="5"/>
  <c r="T877" i="6"/>
  <c r="V987" i="5"/>
  <c r="F987" i="5"/>
  <c r="T876" i="6"/>
  <c r="V670" i="5"/>
  <c r="F670" i="5"/>
  <c r="T376" i="6"/>
  <c r="T338" i="6"/>
  <c r="T1020" i="6"/>
  <c r="V666" i="5"/>
  <c r="F666" i="5"/>
  <c r="V414" i="5"/>
  <c r="F414" i="5"/>
  <c r="T906" i="6"/>
  <c r="T452" i="6"/>
  <c r="V1182" i="5"/>
  <c r="F1182" i="5"/>
  <c r="V1170" i="5"/>
  <c r="F1170" i="5"/>
  <c r="V1158" i="5"/>
  <c r="F1158" i="5"/>
  <c r="V1142" i="5"/>
  <c r="F1142" i="5"/>
  <c r="V1130" i="5"/>
  <c r="F1130" i="5"/>
  <c r="T1018" i="6"/>
  <c r="T1001" i="6"/>
  <c r="T1057" i="6"/>
  <c r="V1038" i="5"/>
  <c r="F1038" i="5"/>
  <c r="T1110" i="6"/>
  <c r="V1025" i="5"/>
  <c r="F1025" i="5"/>
  <c r="T1117" i="6"/>
  <c r="V972" i="5"/>
  <c r="F972" i="5"/>
  <c r="T944" i="6"/>
  <c r="T927" i="6"/>
  <c r="F848" i="5"/>
  <c r="V848" i="5"/>
  <c r="V1040" i="5"/>
  <c r="F1040" i="5"/>
  <c r="V884" i="5"/>
  <c r="F884" i="5"/>
  <c r="F893" i="5"/>
  <c r="V893" i="5"/>
  <c r="V656" i="5"/>
  <c r="F656" i="5"/>
  <c r="T518" i="6"/>
  <c r="K54" i="31"/>
  <c r="I54" i="31"/>
  <c r="N54" i="31"/>
  <c r="J54" i="31"/>
  <c r="K32" i="31"/>
  <c r="I32" i="31"/>
  <c r="N32" i="31"/>
  <c r="J32" i="31"/>
  <c r="L32" i="31"/>
  <c r="AU65" i="20"/>
  <c r="AU64" i="20"/>
  <c r="L14" i="31"/>
  <c r="V969" i="5"/>
  <c r="F969" i="5"/>
  <c r="V1106" i="5"/>
  <c r="F1106" i="5"/>
  <c r="V1042" i="5"/>
  <c r="F1042" i="5"/>
  <c r="T977" i="6"/>
  <c r="V1062" i="5"/>
  <c r="F1062" i="5"/>
  <c r="V1039" i="5"/>
  <c r="F1039" i="5"/>
  <c r="V895" i="5"/>
  <c r="F895" i="5"/>
  <c r="T968" i="6"/>
  <c r="V931" i="5"/>
  <c r="F931" i="5"/>
  <c r="V1143" i="5"/>
  <c r="F1143" i="5"/>
  <c r="V1035" i="5"/>
  <c r="F1035" i="5"/>
  <c r="T910" i="6"/>
  <c r="T919" i="6"/>
  <c r="T871" i="6"/>
  <c r="T881" i="6"/>
  <c r="V686" i="5"/>
  <c r="F686" i="5"/>
  <c r="T738" i="6"/>
  <c r="T408" i="6"/>
  <c r="V742" i="5"/>
  <c r="F742" i="5"/>
  <c r="V578" i="5"/>
  <c r="F578" i="5"/>
  <c r="T1105" i="6"/>
  <c r="T1053" i="6"/>
  <c r="V1002" i="5"/>
  <c r="F1002" i="5"/>
  <c r="V985" i="5"/>
  <c r="F985" i="5"/>
  <c r="T1181" i="6"/>
  <c r="T1173" i="6"/>
  <c r="T1165" i="6"/>
  <c r="T1157" i="6"/>
  <c r="T1149" i="6"/>
  <c r="T1141" i="6"/>
  <c r="T1133" i="6"/>
  <c r="V1124" i="5"/>
  <c r="F1124" i="5"/>
  <c r="T1125" i="6"/>
  <c r="V1057" i="5"/>
  <c r="F1057" i="5"/>
  <c r="T1022" i="6"/>
  <c r="T1005" i="6"/>
  <c r="T1126" i="6"/>
  <c r="T1113" i="6"/>
  <c r="T1061" i="6"/>
  <c r="V1041" i="5"/>
  <c r="F1041" i="5"/>
  <c r="V994" i="5"/>
  <c r="F994" i="5"/>
  <c r="V977" i="5"/>
  <c r="F977" i="5"/>
  <c r="V1117" i="5"/>
  <c r="F1117" i="5"/>
  <c r="T1098" i="6"/>
  <c r="V1065" i="5"/>
  <c r="F1065" i="5"/>
  <c r="T1046" i="6"/>
  <c r="V1029" i="5"/>
  <c r="F1029" i="5"/>
  <c r="T1147" i="6"/>
  <c r="T1099" i="6"/>
  <c r="T1007" i="6"/>
  <c r="V976" i="5"/>
  <c r="F976" i="5"/>
  <c r="T943" i="6"/>
  <c r="T896" i="6"/>
  <c r="T879" i="6"/>
  <c r="V457" i="5"/>
  <c r="F457" i="5"/>
  <c r="T1008" i="6"/>
  <c r="V916" i="5"/>
  <c r="F916" i="5"/>
  <c r="T900" i="6"/>
  <c r="V883" i="5"/>
  <c r="F883" i="5"/>
  <c r="T867" i="6"/>
  <c r="V910" i="5"/>
  <c r="F910" i="5"/>
  <c r="T894" i="6"/>
  <c r="F877" i="5"/>
  <c r="V877" i="5"/>
  <c r="T861" i="6"/>
  <c r="T824" i="6"/>
  <c r="V1115" i="5"/>
  <c r="F1115" i="5"/>
  <c r="V1087" i="5"/>
  <c r="F1087" i="5"/>
  <c r="T1055" i="6"/>
  <c r="T1023" i="6"/>
  <c r="T936" i="6"/>
  <c r="V919" i="5"/>
  <c r="F919" i="5"/>
  <c r="T903" i="6"/>
  <c r="V1011" i="5"/>
  <c r="F1011" i="5"/>
  <c r="F966" i="6"/>
  <c r="T966" i="6"/>
  <c r="V929" i="5"/>
  <c r="F929" i="5"/>
  <c r="T913" i="6"/>
  <c r="V821" i="5"/>
  <c r="F821" i="5"/>
  <c r="V817" i="5"/>
  <c r="F817" i="5"/>
  <c r="V813" i="5"/>
  <c r="F813" i="5"/>
  <c r="V809" i="5"/>
  <c r="F809" i="5"/>
  <c r="V805" i="5"/>
  <c r="F805" i="5"/>
  <c r="V801" i="5"/>
  <c r="F801" i="5"/>
  <c r="V797" i="5"/>
  <c r="F797" i="5"/>
  <c r="V793" i="5"/>
  <c r="F793" i="5"/>
  <c r="V789" i="5"/>
  <c r="F789" i="5"/>
  <c r="V785" i="5"/>
  <c r="F785" i="5"/>
  <c r="V781" i="5"/>
  <c r="F781" i="5"/>
  <c r="V777" i="5"/>
  <c r="F777" i="5"/>
  <c r="V773" i="5"/>
  <c r="F773" i="5"/>
  <c r="V769" i="5"/>
  <c r="F769" i="5"/>
  <c r="V765" i="5"/>
  <c r="F765" i="5"/>
  <c r="V761" i="5"/>
  <c r="F761" i="5"/>
  <c r="V757" i="5"/>
  <c r="F757" i="5"/>
  <c r="V753" i="5"/>
  <c r="F753" i="5"/>
  <c r="V749" i="5"/>
  <c r="F749" i="5"/>
  <c r="V745" i="5"/>
  <c r="F745" i="5"/>
  <c r="V741" i="5"/>
  <c r="F741" i="5"/>
  <c r="V737" i="5"/>
  <c r="F737" i="5"/>
  <c r="V733" i="5"/>
  <c r="F733" i="5"/>
  <c r="V729" i="5"/>
  <c r="F729" i="5"/>
  <c r="V705" i="5"/>
  <c r="F705" i="5"/>
  <c r="V701" i="5"/>
  <c r="F701" i="5"/>
  <c r="V697" i="5"/>
  <c r="F697" i="5"/>
  <c r="V693" i="5"/>
  <c r="F693" i="5"/>
  <c r="V689" i="5"/>
  <c r="F689" i="5"/>
  <c r="V685" i="5"/>
  <c r="F685" i="5"/>
  <c r="V681" i="5"/>
  <c r="F681" i="5"/>
  <c r="V677" i="5"/>
  <c r="F677" i="5"/>
  <c r="V673" i="5"/>
  <c r="F673" i="5"/>
  <c r="V669" i="5"/>
  <c r="F669" i="5"/>
  <c r="V665" i="5"/>
  <c r="F665" i="5"/>
  <c r="V661" i="5"/>
  <c r="F661" i="5"/>
  <c r="V657" i="5"/>
  <c r="F657" i="5"/>
  <c r="V653" i="5"/>
  <c r="F653" i="5"/>
  <c r="V649" i="5"/>
  <c r="F649" i="5"/>
  <c r="V645" i="5"/>
  <c r="F645" i="5"/>
  <c r="V641" i="5"/>
  <c r="F641" i="5"/>
  <c r="V637" i="5"/>
  <c r="F637" i="5"/>
  <c r="V633" i="5"/>
  <c r="F633" i="5"/>
  <c r="V629" i="5"/>
  <c r="F629" i="5"/>
  <c r="V625" i="5"/>
  <c r="F625" i="5"/>
  <c r="V621" i="5"/>
  <c r="F621" i="5"/>
  <c r="V617" i="5"/>
  <c r="F617" i="5"/>
  <c r="V613" i="5"/>
  <c r="F613" i="5"/>
  <c r="V609" i="5"/>
  <c r="F609" i="5"/>
  <c r="V585" i="5"/>
  <c r="F585" i="5"/>
  <c r="V581" i="5"/>
  <c r="F581" i="5"/>
  <c r="V577" i="5"/>
  <c r="F577" i="5"/>
  <c r="V573" i="5"/>
  <c r="F573" i="5"/>
  <c r="V569" i="5"/>
  <c r="F569" i="5"/>
  <c r="V565" i="5"/>
  <c r="F565" i="5"/>
  <c r="V561" i="5"/>
  <c r="F561" i="5"/>
  <c r="V557" i="5"/>
  <c r="F557" i="5"/>
  <c r="V553" i="5"/>
  <c r="F553" i="5"/>
  <c r="V549" i="5"/>
  <c r="F549" i="5"/>
  <c r="V545" i="5"/>
  <c r="F545" i="5"/>
  <c r="V541" i="5"/>
  <c r="F541" i="5"/>
  <c r="V533" i="5"/>
  <c r="F533" i="5"/>
  <c r="V529" i="5"/>
  <c r="F529" i="5"/>
  <c r="V525" i="5"/>
  <c r="F525" i="5"/>
  <c r="V521" i="5"/>
  <c r="F521" i="5"/>
  <c r="V517" i="5"/>
  <c r="F517" i="5"/>
  <c r="V513" i="5"/>
  <c r="F513" i="5"/>
  <c r="V509" i="5"/>
  <c r="F509" i="5"/>
  <c r="V505" i="5"/>
  <c r="F505" i="5"/>
  <c r="V501" i="5"/>
  <c r="F501" i="5"/>
  <c r="V497" i="5"/>
  <c r="F497" i="5"/>
  <c r="V493" i="5"/>
  <c r="F493" i="5"/>
  <c r="V489" i="5"/>
  <c r="F489" i="5"/>
  <c r="V465" i="5"/>
  <c r="F465" i="5"/>
  <c r="V461" i="5"/>
  <c r="F461" i="5"/>
  <c r="V453" i="5"/>
  <c r="F453" i="5"/>
  <c r="V449" i="5"/>
  <c r="F449" i="5"/>
  <c r="V445" i="5"/>
  <c r="F445" i="5"/>
  <c r="V441" i="5"/>
  <c r="F441" i="5"/>
  <c r="V437" i="5"/>
  <c r="F437" i="5"/>
  <c r="V433" i="5"/>
  <c r="F433" i="5"/>
  <c r="V429" i="5"/>
  <c r="F429" i="5"/>
  <c r="V425" i="5"/>
  <c r="F425" i="5"/>
  <c r="V421" i="5"/>
  <c r="F421" i="5"/>
  <c r="V417" i="5"/>
  <c r="F417" i="5"/>
  <c r="V395" i="5"/>
  <c r="F395" i="5"/>
  <c r="V391" i="5"/>
  <c r="F391" i="5"/>
  <c r="V387" i="5"/>
  <c r="F387" i="5"/>
  <c r="V383" i="5"/>
  <c r="F383" i="5"/>
  <c r="V379" i="5"/>
  <c r="F379" i="5"/>
  <c r="V375" i="5"/>
  <c r="F375" i="5"/>
  <c r="V371" i="5"/>
  <c r="F371" i="5"/>
  <c r="V367" i="5"/>
  <c r="F367" i="5"/>
  <c r="V343" i="5"/>
  <c r="F343" i="5"/>
  <c r="V339" i="5"/>
  <c r="F339" i="5"/>
  <c r="V335" i="5"/>
  <c r="F335" i="5"/>
  <c r="V331" i="5"/>
  <c r="F331" i="5"/>
  <c r="T999" i="6"/>
  <c r="T981" i="6"/>
  <c r="T939" i="6"/>
  <c r="T892" i="6"/>
  <c r="T875" i="6"/>
  <c r="V766" i="5"/>
  <c r="F766" i="5"/>
  <c r="J752" i="4"/>
  <c r="D752" i="6"/>
  <c r="I752" i="4"/>
  <c r="O752" i="5"/>
  <c r="V640" i="5"/>
  <c r="F640" i="5"/>
  <c r="V556" i="5"/>
  <c r="F556" i="5"/>
  <c r="T512" i="6"/>
  <c r="T460" i="6"/>
  <c r="T428" i="6"/>
  <c r="T396" i="6"/>
  <c r="T344" i="6"/>
  <c r="T283" i="6"/>
  <c r="T279" i="6"/>
  <c r="T275" i="6"/>
  <c r="T271" i="6"/>
  <c r="T267" i="6"/>
  <c r="T263" i="6"/>
  <c r="T259" i="6"/>
  <c r="T255" i="6"/>
  <c r="T251" i="6"/>
  <c r="T247" i="6"/>
  <c r="T223" i="6"/>
  <c r="T219" i="6"/>
  <c r="T215" i="6"/>
  <c r="T211" i="6"/>
  <c r="T207" i="6"/>
  <c r="T203" i="6"/>
  <c r="T185" i="6"/>
  <c r="T171" i="6"/>
  <c r="T153" i="6"/>
  <c r="T139" i="6"/>
  <c r="T97" i="6"/>
  <c r="T83" i="6"/>
  <c r="T65" i="6"/>
  <c r="T51" i="6"/>
  <c r="T33" i="6"/>
  <c r="T19" i="6"/>
  <c r="V492" i="5"/>
  <c r="F492" i="5"/>
  <c r="T905" i="6"/>
  <c r="T820" i="6"/>
  <c r="J754" i="4"/>
  <c r="D754" i="6"/>
  <c r="I754" i="4"/>
  <c r="O754" i="5"/>
  <c r="T736" i="6"/>
  <c r="T650" i="6"/>
  <c r="V566" i="5"/>
  <c r="F566" i="5"/>
  <c r="V502" i="5"/>
  <c r="F502" i="5"/>
  <c r="V434" i="5"/>
  <c r="F434" i="5"/>
  <c r="J366" i="4"/>
  <c r="D366" i="6"/>
  <c r="I366" i="4"/>
  <c r="O366" i="5"/>
  <c r="V334" i="5"/>
  <c r="F334" i="5"/>
  <c r="F853" i="5"/>
  <c r="V853" i="5"/>
  <c r="V810" i="5"/>
  <c r="F810" i="5"/>
  <c r="T794" i="6"/>
  <c r="T528" i="6"/>
  <c r="V392" i="5"/>
  <c r="F392" i="5"/>
  <c r="T1127" i="6"/>
  <c r="T889" i="6"/>
  <c r="T870" i="6"/>
  <c r="F800" i="5"/>
  <c r="V800" i="5"/>
  <c r="T784" i="6"/>
  <c r="V756" i="5"/>
  <c r="F756" i="5"/>
  <c r="T638" i="6"/>
  <c r="V622" i="5"/>
  <c r="F622" i="5"/>
  <c r="V462" i="5"/>
  <c r="F462" i="5"/>
  <c r="V398" i="5"/>
  <c r="F398" i="5"/>
  <c r="V980" i="5"/>
  <c r="F980" i="5"/>
  <c r="F790" i="5"/>
  <c r="V790" i="5"/>
  <c r="T774" i="6"/>
  <c r="T696" i="6"/>
  <c r="V680" i="5"/>
  <c r="F680" i="5"/>
  <c r="V648" i="5"/>
  <c r="F648" i="5"/>
  <c r="T580" i="6"/>
  <c r="T504" i="6"/>
  <c r="V436" i="5"/>
  <c r="F436" i="5"/>
  <c r="T336" i="6"/>
  <c r="V328" i="5"/>
  <c r="F328" i="5"/>
  <c r="V324" i="5"/>
  <c r="F324" i="5"/>
  <c r="V320" i="5"/>
  <c r="F320" i="5"/>
  <c r="V316" i="5"/>
  <c r="F316" i="5"/>
  <c r="V312" i="5"/>
  <c r="F312" i="5"/>
  <c r="V308" i="5"/>
  <c r="F308" i="5"/>
  <c r="V304" i="5"/>
  <c r="F304" i="5"/>
  <c r="V300" i="5"/>
  <c r="F300" i="5"/>
  <c r="V296" i="5"/>
  <c r="F296" i="5"/>
  <c r="V292" i="5"/>
  <c r="F292" i="5"/>
  <c r="V288" i="5"/>
  <c r="F288" i="5"/>
  <c r="V284" i="5"/>
  <c r="F284" i="5"/>
  <c r="V280" i="5"/>
  <c r="F280" i="5"/>
  <c r="V276" i="5"/>
  <c r="F276" i="5"/>
  <c r="V272" i="5"/>
  <c r="F272" i="5"/>
  <c r="V268" i="5"/>
  <c r="F268" i="5"/>
  <c r="V264" i="5"/>
  <c r="F264" i="5"/>
  <c r="V260" i="5"/>
  <c r="F260" i="5"/>
  <c r="V256" i="5"/>
  <c r="F256" i="5"/>
  <c r="V252" i="5"/>
  <c r="F252" i="5"/>
  <c r="V248" i="5"/>
  <c r="F248" i="5"/>
  <c r="V224" i="5"/>
  <c r="F224" i="5"/>
  <c r="V220" i="5"/>
  <c r="F220" i="5"/>
  <c r="V216" i="5"/>
  <c r="F216" i="5"/>
  <c r="V212" i="5"/>
  <c r="F212" i="5"/>
  <c r="V208" i="5"/>
  <c r="F208" i="5"/>
  <c r="V204" i="5"/>
  <c r="F204" i="5"/>
  <c r="V200" i="5"/>
  <c r="F200" i="5"/>
  <c r="V196" i="5"/>
  <c r="F196" i="5"/>
  <c r="V192" i="5"/>
  <c r="F192" i="5"/>
  <c r="V188" i="5"/>
  <c r="F188" i="5"/>
  <c r="V184" i="5"/>
  <c r="F184" i="5"/>
  <c r="V180" i="5"/>
  <c r="F180" i="5"/>
  <c r="V176" i="5"/>
  <c r="F176" i="5"/>
  <c r="V172" i="5"/>
  <c r="F172" i="5"/>
  <c r="V168" i="5"/>
  <c r="F168" i="5"/>
  <c r="V164" i="5"/>
  <c r="F164" i="5"/>
  <c r="V160" i="5"/>
  <c r="F160" i="5"/>
  <c r="V156" i="5"/>
  <c r="F156" i="5"/>
  <c r="V152" i="5"/>
  <c r="F152" i="5"/>
  <c r="V148" i="5"/>
  <c r="F148" i="5"/>
  <c r="V144" i="5"/>
  <c r="F144" i="5"/>
  <c r="V140" i="5"/>
  <c r="F140" i="5"/>
  <c r="V136" i="5"/>
  <c r="F136" i="5"/>
  <c r="V132" i="5"/>
  <c r="F132" i="5"/>
  <c r="V128" i="5"/>
  <c r="F128" i="5"/>
  <c r="V104" i="5"/>
  <c r="F104" i="5"/>
  <c r="V100" i="5"/>
  <c r="F100" i="5"/>
  <c r="V96" i="5"/>
  <c r="F96" i="5"/>
  <c r="V92" i="5"/>
  <c r="F92" i="5"/>
  <c r="V88" i="5"/>
  <c r="F88" i="5"/>
  <c r="V84" i="5"/>
  <c r="F84" i="5"/>
  <c r="V80" i="5"/>
  <c r="F80" i="5"/>
  <c r="V76" i="5"/>
  <c r="F76" i="5"/>
  <c r="V72" i="5"/>
  <c r="F72" i="5"/>
  <c r="V68" i="5"/>
  <c r="F68" i="5"/>
  <c r="V64" i="5"/>
  <c r="F64" i="5"/>
  <c r="V60" i="5"/>
  <c r="F60" i="5"/>
  <c r="V56" i="5"/>
  <c r="F56" i="5"/>
  <c r="V52" i="5"/>
  <c r="F52" i="5"/>
  <c r="V48" i="5"/>
  <c r="F48" i="5"/>
  <c r="V44" i="5"/>
  <c r="F44" i="5"/>
  <c r="V40" i="5"/>
  <c r="F40" i="5"/>
  <c r="V36" i="5"/>
  <c r="F36" i="5"/>
  <c r="V32" i="5"/>
  <c r="F32" i="5"/>
  <c r="V28" i="5"/>
  <c r="F28" i="5"/>
  <c r="V24" i="5"/>
  <c r="F24" i="5"/>
  <c r="V20" i="5"/>
  <c r="F20" i="5"/>
  <c r="V16" i="5"/>
  <c r="F16" i="5"/>
  <c r="V12" i="5"/>
  <c r="F12" i="5"/>
  <c r="V8" i="5"/>
  <c r="F8" i="5"/>
  <c r="T1060" i="6"/>
  <c r="V992" i="5"/>
  <c r="F992" i="5"/>
  <c r="V780" i="5"/>
  <c r="F780" i="5"/>
  <c r="J746" i="4"/>
  <c r="D746" i="6"/>
  <c r="I746" i="4"/>
  <c r="O746" i="5"/>
  <c r="I767" i="4"/>
  <c r="O767" i="5"/>
  <c r="J767" i="4"/>
  <c r="D767" i="6"/>
  <c r="T694" i="6"/>
  <c r="T678" i="6"/>
  <c r="T662" i="6"/>
  <c r="T526" i="6"/>
  <c r="V442" i="5"/>
  <c r="F442" i="5"/>
  <c r="V378" i="5"/>
  <c r="F378" i="5"/>
  <c r="V490" i="5"/>
  <c r="F490" i="5"/>
  <c r="T885" i="6"/>
  <c r="F786" i="5"/>
  <c r="V786" i="5"/>
  <c r="T770" i="6"/>
  <c r="V692" i="5"/>
  <c r="F692" i="5"/>
  <c r="V636" i="5"/>
  <c r="F636" i="5"/>
  <c r="V552" i="5"/>
  <c r="F552" i="5"/>
  <c r="T516" i="6"/>
  <c r="T464" i="6"/>
  <c r="V416" i="5"/>
  <c r="F416" i="5"/>
  <c r="V1088" i="5"/>
  <c r="F1088" i="5"/>
  <c r="F808" i="5"/>
  <c r="V808" i="5"/>
  <c r="T792" i="6"/>
  <c r="T764" i="6"/>
  <c r="C491" i="4"/>
  <c r="D490" i="4"/>
  <c r="V945" i="5"/>
  <c r="F945" i="5"/>
  <c r="T929" i="6"/>
  <c r="V850" i="5"/>
  <c r="F850" i="5"/>
  <c r="V846" i="5"/>
  <c r="F846" i="5"/>
  <c r="H846" i="5"/>
  <c r="T821" i="6"/>
  <c r="T817" i="6"/>
  <c r="T813" i="6"/>
  <c r="T809" i="6"/>
  <c r="T805" i="6"/>
  <c r="T801" i="6"/>
  <c r="T797" i="6"/>
  <c r="T793" i="6"/>
  <c r="T789" i="6"/>
  <c r="T785" i="6"/>
  <c r="T781" i="6"/>
  <c r="T777" i="6"/>
  <c r="T773" i="6"/>
  <c r="T769" i="6"/>
  <c r="T765" i="6"/>
  <c r="T761" i="6"/>
  <c r="T757" i="6"/>
  <c r="T753" i="6"/>
  <c r="T749" i="6"/>
  <c r="T745" i="6"/>
  <c r="T741" i="6"/>
  <c r="T737" i="6"/>
  <c r="T733" i="6"/>
  <c r="T729" i="6"/>
  <c r="T705" i="6"/>
  <c r="T701" i="6"/>
  <c r="T697" i="6"/>
  <c r="T693" i="6"/>
  <c r="T689" i="6"/>
  <c r="T685" i="6"/>
  <c r="T681" i="6"/>
  <c r="T677" i="6"/>
  <c r="T673" i="6"/>
  <c r="T669" i="6"/>
  <c r="T665" i="6"/>
  <c r="T661" i="6"/>
  <c r="T657" i="6"/>
  <c r="T653" i="6"/>
  <c r="T649" i="6"/>
  <c r="T645" i="6"/>
  <c r="T641" i="6"/>
  <c r="T637" i="6"/>
  <c r="T633" i="6"/>
  <c r="T629" i="6"/>
  <c r="T625" i="6"/>
  <c r="T621" i="6"/>
  <c r="T617" i="6"/>
  <c r="T613" i="6"/>
  <c r="T609" i="6"/>
  <c r="T585" i="6"/>
  <c r="T581" i="6"/>
  <c r="T577" i="6"/>
  <c r="T573" i="6"/>
  <c r="T569" i="6"/>
  <c r="T565" i="6"/>
  <c r="T561" i="6"/>
  <c r="T557" i="6"/>
  <c r="T553" i="6"/>
  <c r="T549" i="6"/>
  <c r="T545" i="6"/>
  <c r="T541" i="6"/>
  <c r="T533" i="6"/>
  <c r="T529" i="6"/>
  <c r="T525" i="6"/>
  <c r="T521" i="6"/>
  <c r="T517" i="6"/>
  <c r="T513" i="6"/>
  <c r="T509" i="6"/>
  <c r="T505" i="6"/>
  <c r="T501" i="6"/>
  <c r="T497" i="6"/>
  <c r="T493" i="6"/>
  <c r="T489" i="6"/>
  <c r="T465" i="6"/>
  <c r="T461" i="6"/>
  <c r="T453" i="6"/>
  <c r="T449" i="6"/>
  <c r="T445" i="6"/>
  <c r="T441" i="6"/>
  <c r="T437" i="6"/>
  <c r="T433" i="6"/>
  <c r="T429" i="6"/>
  <c r="T425" i="6"/>
  <c r="T421" i="6"/>
  <c r="T417" i="6"/>
  <c r="T395" i="6"/>
  <c r="T391" i="6"/>
  <c r="T387" i="6"/>
  <c r="T383" i="6"/>
  <c r="T379" i="6"/>
  <c r="T375" i="6"/>
  <c r="T371" i="6"/>
  <c r="T367" i="6"/>
  <c r="T343" i="6"/>
  <c r="T339" i="6"/>
  <c r="T335" i="6"/>
  <c r="T331" i="6"/>
  <c r="V1139" i="5"/>
  <c r="F1139" i="5"/>
  <c r="V979" i="5"/>
  <c r="F979" i="5"/>
  <c r="V908" i="5"/>
  <c r="F908" i="5"/>
  <c r="V891" i="5"/>
  <c r="F891" i="5"/>
  <c r="V1056" i="5"/>
  <c r="F1056" i="5"/>
  <c r="V938" i="5"/>
  <c r="F938" i="5"/>
  <c r="F782" i="5"/>
  <c r="V782" i="5"/>
  <c r="T766" i="6"/>
  <c r="I751" i="4"/>
  <c r="O751" i="5"/>
  <c r="J751" i="4"/>
  <c r="D751" i="6"/>
  <c r="V734" i="5"/>
  <c r="F734" i="5"/>
  <c r="T640" i="6"/>
  <c r="T556" i="6"/>
  <c r="V327" i="5"/>
  <c r="F327" i="5"/>
  <c r="V323" i="5"/>
  <c r="F323" i="5"/>
  <c r="V319" i="5"/>
  <c r="F319" i="5"/>
  <c r="V315" i="5"/>
  <c r="F315" i="5"/>
  <c r="V311" i="5"/>
  <c r="F311" i="5"/>
  <c r="V307" i="5"/>
  <c r="F307" i="5"/>
  <c r="V303" i="5"/>
  <c r="F303" i="5"/>
  <c r="V299" i="5"/>
  <c r="F299" i="5"/>
  <c r="V295" i="5"/>
  <c r="F295" i="5"/>
  <c r="V291" i="5"/>
  <c r="F291" i="5"/>
  <c r="V287" i="5"/>
  <c r="F287" i="5"/>
  <c r="V197" i="5"/>
  <c r="F197" i="5"/>
  <c r="V193" i="5"/>
  <c r="F193" i="5"/>
  <c r="V189" i="5"/>
  <c r="F189" i="5"/>
  <c r="V183" i="5"/>
  <c r="F183" i="5"/>
  <c r="V179" i="5"/>
  <c r="F179" i="5"/>
  <c r="V175" i="5"/>
  <c r="F175" i="5"/>
  <c r="V165" i="5"/>
  <c r="F165" i="5"/>
  <c r="V161" i="5"/>
  <c r="F161" i="5"/>
  <c r="V157" i="5"/>
  <c r="F157" i="5"/>
  <c r="V151" i="5"/>
  <c r="F151" i="5"/>
  <c r="V147" i="5"/>
  <c r="F147" i="5"/>
  <c r="V143" i="5"/>
  <c r="F143" i="5"/>
  <c r="V133" i="5"/>
  <c r="F133" i="5"/>
  <c r="V129" i="5"/>
  <c r="F129" i="5"/>
  <c r="V105" i="5"/>
  <c r="F105" i="5"/>
  <c r="V101" i="5"/>
  <c r="F101" i="5"/>
  <c r="V95" i="5"/>
  <c r="F95" i="5"/>
  <c r="V91" i="5"/>
  <c r="F91" i="5"/>
  <c r="V87" i="5"/>
  <c r="F87" i="5"/>
  <c r="V77" i="5"/>
  <c r="F77" i="5"/>
  <c r="V73" i="5"/>
  <c r="F73" i="5"/>
  <c r="V69" i="5"/>
  <c r="F69" i="5"/>
  <c r="V63" i="5"/>
  <c r="F63" i="5"/>
  <c r="V59" i="5"/>
  <c r="F59" i="5"/>
  <c r="V55" i="5"/>
  <c r="F55" i="5"/>
  <c r="V45" i="5"/>
  <c r="F45" i="5"/>
  <c r="V41" i="5"/>
  <c r="F41" i="5"/>
  <c r="V37" i="5"/>
  <c r="F37" i="5"/>
  <c r="V31" i="5"/>
  <c r="F31" i="5"/>
  <c r="V27" i="5"/>
  <c r="F27" i="5"/>
  <c r="V23" i="5"/>
  <c r="F23" i="5"/>
  <c r="V13" i="5"/>
  <c r="F13" i="5"/>
  <c r="V9" i="5"/>
  <c r="F9" i="5"/>
  <c r="T492" i="6"/>
  <c r="I753" i="4"/>
  <c r="O753" i="5"/>
  <c r="J753" i="4"/>
  <c r="D753" i="6"/>
  <c r="V634" i="5"/>
  <c r="F634" i="5"/>
  <c r="T566" i="6"/>
  <c r="T502" i="6"/>
  <c r="T434" i="6"/>
  <c r="V386" i="5"/>
  <c r="F386" i="5"/>
  <c r="T334" i="6"/>
  <c r="V576" i="5"/>
  <c r="F576" i="5"/>
  <c r="V544" i="5"/>
  <c r="F544" i="5"/>
  <c r="V973" i="5"/>
  <c r="F973" i="5"/>
  <c r="V922" i="5"/>
  <c r="F922" i="5"/>
  <c r="T853" i="6"/>
  <c r="T810" i="6"/>
  <c r="V560" i="5"/>
  <c r="F560" i="5"/>
  <c r="T392" i="6"/>
  <c r="F816" i="5"/>
  <c r="V816" i="5"/>
  <c r="T800" i="6"/>
  <c r="T756" i="6"/>
  <c r="T622" i="6"/>
  <c r="V606" i="5"/>
  <c r="F606" i="5"/>
  <c r="H606" i="5"/>
  <c r="T462" i="6"/>
  <c r="T398" i="6"/>
  <c r="V1092" i="5"/>
  <c r="F1092" i="5"/>
  <c r="T980" i="6"/>
  <c r="V806" i="5"/>
  <c r="F806" i="5"/>
  <c r="T790" i="6"/>
  <c r="T680" i="6"/>
  <c r="V664" i="5"/>
  <c r="F664" i="5"/>
  <c r="T648" i="6"/>
  <c r="V564" i="5"/>
  <c r="F564" i="5"/>
  <c r="T436" i="6"/>
  <c r="V388" i="5"/>
  <c r="F388" i="5"/>
  <c r="T328" i="6"/>
  <c r="T324" i="6"/>
  <c r="T320" i="6"/>
  <c r="T316" i="6"/>
  <c r="T312" i="6"/>
  <c r="T308" i="6"/>
  <c r="T304" i="6"/>
  <c r="T300" i="6"/>
  <c r="T296" i="6"/>
  <c r="T292" i="6"/>
  <c r="T288" i="6"/>
  <c r="T284" i="6"/>
  <c r="T280" i="6"/>
  <c r="T276" i="6"/>
  <c r="T272" i="6"/>
  <c r="T268" i="6"/>
  <c r="T264" i="6"/>
  <c r="T260" i="6"/>
  <c r="T256" i="6"/>
  <c r="T252" i="6"/>
  <c r="T248" i="6"/>
  <c r="T224" i="6"/>
  <c r="T220" i="6"/>
  <c r="T216" i="6"/>
  <c r="T212" i="6"/>
  <c r="T208" i="6"/>
  <c r="T204" i="6"/>
  <c r="T200" i="6"/>
  <c r="T196" i="6"/>
  <c r="T192" i="6"/>
  <c r="T188" i="6"/>
  <c r="T184" i="6"/>
  <c r="T180" i="6"/>
  <c r="T176" i="6"/>
  <c r="T172" i="6"/>
  <c r="T168" i="6"/>
  <c r="T164" i="6"/>
  <c r="T160" i="6"/>
  <c r="T156" i="6"/>
  <c r="T152" i="6"/>
  <c r="T148" i="6"/>
  <c r="T144" i="6"/>
  <c r="T140" i="6"/>
  <c r="T136" i="6"/>
  <c r="T132" i="6"/>
  <c r="T128" i="6"/>
  <c r="T104" i="6"/>
  <c r="T100" i="6"/>
  <c r="T96" i="6"/>
  <c r="T92" i="6"/>
  <c r="T88" i="6"/>
  <c r="T84" i="6"/>
  <c r="T80" i="6"/>
  <c r="T76" i="6"/>
  <c r="T72" i="6"/>
  <c r="T68" i="6"/>
  <c r="T64" i="6"/>
  <c r="T60" i="6"/>
  <c r="T56" i="6"/>
  <c r="T52" i="6"/>
  <c r="T48" i="6"/>
  <c r="T44" i="6"/>
  <c r="T40" i="6"/>
  <c r="T36" i="6"/>
  <c r="T32" i="6"/>
  <c r="T28" i="6"/>
  <c r="T24" i="6"/>
  <c r="T20" i="6"/>
  <c r="T16" i="6"/>
  <c r="T12" i="6"/>
  <c r="T8" i="6"/>
  <c r="V1116" i="5"/>
  <c r="F1116" i="5"/>
  <c r="T992" i="6"/>
  <c r="F796" i="5"/>
  <c r="V796" i="5"/>
  <c r="T780" i="6"/>
  <c r="I745" i="4"/>
  <c r="O745" i="5"/>
  <c r="J745" i="4"/>
  <c r="D745" i="6"/>
  <c r="G769" i="4"/>
  <c r="H768" i="4"/>
  <c r="V642" i="5"/>
  <c r="F642" i="5"/>
  <c r="T442" i="6"/>
  <c r="T378" i="6"/>
  <c r="V562" i="5"/>
  <c r="F562" i="5"/>
  <c r="T490" i="6"/>
  <c r="V438" i="5"/>
  <c r="F438" i="5"/>
  <c r="V975" i="5"/>
  <c r="F975" i="5"/>
  <c r="V802" i="5"/>
  <c r="F802" i="5"/>
  <c r="T786" i="6"/>
  <c r="V762" i="5"/>
  <c r="F762" i="5"/>
  <c r="T692" i="6"/>
  <c r="V676" i="5"/>
  <c r="F676" i="5"/>
  <c r="T636" i="6"/>
  <c r="T552" i="6"/>
  <c r="T416" i="6"/>
  <c r="V368" i="5"/>
  <c r="F368" i="5"/>
  <c r="J247" i="4"/>
  <c r="D247" i="6"/>
  <c r="I247" i="4"/>
  <c r="O247" i="5"/>
  <c r="J7" i="4"/>
  <c r="D7" i="6"/>
  <c r="I7" i="4"/>
  <c r="O7" i="5"/>
  <c r="T1088" i="6"/>
  <c r="V847" i="5"/>
  <c r="F847" i="5"/>
  <c r="T808" i="6"/>
  <c r="V748" i="5"/>
  <c r="F748" i="5"/>
  <c r="V658" i="5"/>
  <c r="F658" i="5"/>
  <c r="V530" i="5"/>
  <c r="F530" i="5"/>
  <c r="C129" i="4"/>
  <c r="D128" i="4"/>
  <c r="T1182" i="6"/>
  <c r="T1178" i="6"/>
  <c r="T1174" i="6"/>
  <c r="T1170" i="6"/>
  <c r="T1166" i="6"/>
  <c r="T1162" i="6"/>
  <c r="T1158" i="6"/>
  <c r="T1154" i="6"/>
  <c r="T1150" i="6"/>
  <c r="T1146" i="6"/>
  <c r="T1142" i="6"/>
  <c r="T1138" i="6"/>
  <c r="T1134" i="6"/>
  <c r="T1130" i="6"/>
  <c r="V1102" i="5"/>
  <c r="F1102" i="5"/>
  <c r="V1050" i="5"/>
  <c r="F1050" i="5"/>
  <c r="V1018" i="5"/>
  <c r="F1018" i="5"/>
  <c r="V1001" i="5"/>
  <c r="F1001" i="5"/>
  <c r="T1104" i="6"/>
  <c r="T1106" i="6"/>
  <c r="V1093" i="5"/>
  <c r="F1093" i="5"/>
  <c r="T1038" i="6"/>
  <c r="T1021" i="6"/>
  <c r="T1111" i="6"/>
  <c r="V1110" i="5"/>
  <c r="F1110" i="5"/>
  <c r="V1058" i="5"/>
  <c r="F1058" i="5"/>
  <c r="V1010" i="5"/>
  <c r="F1010" i="5"/>
  <c r="V993" i="5"/>
  <c r="F993" i="5"/>
  <c r="V998" i="5"/>
  <c r="F998" i="5"/>
  <c r="V1179" i="5"/>
  <c r="F1179" i="5"/>
  <c r="V1096" i="5"/>
  <c r="F1096" i="5"/>
  <c r="V1032" i="5"/>
  <c r="F1032" i="5"/>
  <c r="T912" i="6"/>
  <c r="T895" i="6"/>
  <c r="T848" i="6"/>
  <c r="T1123" i="6"/>
  <c r="V968" i="5"/>
  <c r="F968" i="5"/>
  <c r="T932" i="6"/>
  <c r="V915" i="5"/>
  <c r="F915" i="5"/>
  <c r="T899" i="6"/>
  <c r="T1143" i="6"/>
  <c r="V1100" i="5"/>
  <c r="F1100" i="5"/>
  <c r="T1035" i="6"/>
  <c r="V1003" i="5"/>
  <c r="F1003" i="5"/>
  <c r="V942" i="5"/>
  <c r="F942" i="5"/>
  <c r="T926" i="6"/>
  <c r="F909" i="5"/>
  <c r="V909" i="5"/>
  <c r="T893" i="6"/>
  <c r="V1059" i="5"/>
  <c r="F1059" i="5"/>
  <c r="T1047" i="6"/>
  <c r="T935" i="6"/>
  <c r="F856" i="5"/>
  <c r="V856" i="5"/>
  <c r="T945" i="6"/>
  <c r="V866" i="5"/>
  <c r="F866" i="5"/>
  <c r="T850" i="6"/>
  <c r="T846" i="6"/>
  <c r="F846" i="6"/>
  <c r="V411" i="5"/>
  <c r="F411" i="5"/>
  <c r="V407" i="5"/>
  <c r="F407" i="5"/>
  <c r="V403" i="5"/>
  <c r="F403" i="5"/>
  <c r="V399" i="5"/>
  <c r="F399" i="5"/>
  <c r="T1139" i="6"/>
  <c r="V1024" i="5"/>
  <c r="F1024" i="5"/>
  <c r="V988" i="5"/>
  <c r="F988" i="5"/>
  <c r="T979" i="6"/>
  <c r="T908" i="6"/>
  <c r="T891" i="6"/>
  <c r="T1056" i="6"/>
  <c r="T938" i="6"/>
  <c r="V798" i="5"/>
  <c r="F798" i="5"/>
  <c r="T782" i="6"/>
  <c r="T734" i="6"/>
  <c r="C770" i="4"/>
  <c r="D769" i="4"/>
  <c r="V624" i="5"/>
  <c r="F624" i="5"/>
  <c r="V540" i="5"/>
  <c r="F540" i="5"/>
  <c r="T327" i="6"/>
  <c r="T323" i="6"/>
  <c r="T319" i="6"/>
  <c r="T315" i="6"/>
  <c r="T311" i="6"/>
  <c r="T307" i="6"/>
  <c r="T303" i="6"/>
  <c r="T299" i="6"/>
  <c r="T295" i="6"/>
  <c r="T291" i="6"/>
  <c r="T287" i="6"/>
  <c r="T197" i="6"/>
  <c r="T193" i="6"/>
  <c r="T189" i="6"/>
  <c r="T183" i="6"/>
  <c r="T179" i="6"/>
  <c r="T175" i="6"/>
  <c r="T165" i="6"/>
  <c r="T161" i="6"/>
  <c r="T157" i="6"/>
  <c r="T151" i="6"/>
  <c r="T147" i="6"/>
  <c r="T143" i="6"/>
  <c r="T133" i="6"/>
  <c r="T129" i="6"/>
  <c r="T105" i="6"/>
  <c r="T101" i="6"/>
  <c r="T95" i="6"/>
  <c r="T91" i="6"/>
  <c r="T87" i="6"/>
  <c r="T77" i="6"/>
  <c r="T73" i="6"/>
  <c r="T69" i="6"/>
  <c r="T63" i="6"/>
  <c r="T59" i="6"/>
  <c r="T55" i="6"/>
  <c r="T45" i="6"/>
  <c r="T41" i="6"/>
  <c r="T37" i="6"/>
  <c r="T31" i="6"/>
  <c r="T27" i="6"/>
  <c r="T23" i="6"/>
  <c r="T13" i="6"/>
  <c r="T9" i="6"/>
  <c r="V508" i="5"/>
  <c r="F508" i="5"/>
  <c r="V424" i="5"/>
  <c r="F424" i="5"/>
  <c r="Y9" i="8"/>
  <c r="Y7" i="8"/>
  <c r="B42" i="7"/>
  <c r="Y10" i="8"/>
  <c r="T634" i="6"/>
  <c r="V550" i="5"/>
  <c r="F550" i="5"/>
  <c r="T386" i="6"/>
  <c r="T576" i="6"/>
  <c r="T544" i="6"/>
  <c r="T973" i="6"/>
  <c r="T922" i="6"/>
  <c r="V684" i="5"/>
  <c r="F684" i="5"/>
  <c r="T560" i="6"/>
  <c r="V456" i="5"/>
  <c r="F456" i="5"/>
  <c r="T816" i="6"/>
  <c r="V740" i="5"/>
  <c r="F740" i="5"/>
  <c r="F606" i="6"/>
  <c r="T606" i="6"/>
  <c r="V570" i="5"/>
  <c r="F570" i="5"/>
  <c r="V446" i="5"/>
  <c r="F446" i="5"/>
  <c r="V382" i="5"/>
  <c r="F382" i="5"/>
  <c r="V1167" i="5"/>
  <c r="F1167" i="5"/>
  <c r="T1092" i="6"/>
  <c r="V822" i="5"/>
  <c r="F822" i="5"/>
  <c r="T806" i="6"/>
  <c r="V758" i="5"/>
  <c r="F758" i="5"/>
  <c r="J744" i="4"/>
  <c r="D744" i="6"/>
  <c r="I744" i="4"/>
  <c r="O744" i="5"/>
  <c r="T664" i="6"/>
  <c r="V632" i="5"/>
  <c r="F632" i="5"/>
  <c r="T564" i="6"/>
  <c r="V488" i="5"/>
  <c r="F488" i="5"/>
  <c r="T388" i="6"/>
  <c r="V374" i="5"/>
  <c r="F374" i="5"/>
  <c r="T1116" i="6"/>
  <c r="F812" i="5"/>
  <c r="V812" i="5"/>
  <c r="T796" i="6"/>
  <c r="V760" i="5"/>
  <c r="F760" i="5"/>
  <c r="J730" i="4"/>
  <c r="D730" i="6"/>
  <c r="I730" i="4"/>
  <c r="O730" i="5"/>
  <c r="T642" i="6"/>
  <c r="V626" i="5"/>
  <c r="F626" i="5"/>
  <c r="V510" i="5"/>
  <c r="F510" i="5"/>
  <c r="V426" i="5"/>
  <c r="F426" i="5"/>
  <c r="V342" i="5"/>
  <c r="F342" i="5"/>
  <c r="V614" i="5"/>
  <c r="F614" i="5"/>
  <c r="T562" i="6"/>
  <c r="T438" i="6"/>
  <c r="T975" i="6"/>
  <c r="V890" i="5"/>
  <c r="F890" i="5"/>
  <c r="V818" i="5"/>
  <c r="F818" i="5"/>
  <c r="T802" i="6"/>
  <c r="T762" i="6"/>
  <c r="J748" i="4"/>
  <c r="D748" i="6"/>
  <c r="I748" i="4"/>
  <c r="O748" i="5"/>
  <c r="V730" i="5"/>
  <c r="F730" i="5"/>
  <c r="V704" i="5"/>
  <c r="F704" i="5"/>
  <c r="T676" i="6"/>
  <c r="V660" i="5"/>
  <c r="F660" i="5"/>
  <c r="V620" i="5"/>
  <c r="F620" i="5"/>
  <c r="V536" i="5"/>
  <c r="F536" i="5"/>
  <c r="V500" i="5"/>
  <c r="F500" i="5"/>
  <c r="V448" i="5"/>
  <c r="F448" i="5"/>
  <c r="T368" i="6"/>
  <c r="T847" i="6"/>
  <c r="T748" i="6"/>
  <c r="V690" i="5"/>
  <c r="F690" i="5"/>
  <c r="V674" i="5"/>
  <c r="F674" i="5"/>
  <c r="T658" i="6"/>
  <c r="T530" i="6"/>
  <c r="V454" i="5"/>
  <c r="F454" i="5"/>
  <c r="V390" i="5"/>
  <c r="F390" i="5"/>
  <c r="G609" i="4"/>
  <c r="H608" i="4"/>
  <c r="D368" i="4"/>
  <c r="C369" i="4"/>
  <c r="T1003" i="6"/>
  <c r="T942" i="6"/>
  <c r="V925" i="5"/>
  <c r="F925" i="5"/>
  <c r="T909" i="6"/>
  <c r="V1131" i="5"/>
  <c r="F1131" i="5"/>
  <c r="V1112" i="5"/>
  <c r="F1112" i="5"/>
  <c r="V1091" i="5"/>
  <c r="F1091" i="5"/>
  <c r="T1059" i="6"/>
  <c r="V1016" i="5"/>
  <c r="F1016" i="5"/>
  <c r="F872" i="5"/>
  <c r="V872" i="5"/>
  <c r="T856" i="6"/>
  <c r="V1151" i="5"/>
  <c r="F1151" i="5"/>
  <c r="V1036" i="5"/>
  <c r="F1036" i="5"/>
  <c r="V882" i="5"/>
  <c r="F882" i="5"/>
  <c r="T866" i="6"/>
  <c r="F849" i="5"/>
  <c r="V849" i="5"/>
  <c r="T411" i="6"/>
  <c r="T407" i="6"/>
  <c r="T403" i="6"/>
  <c r="T399" i="6"/>
  <c r="T1024" i="6"/>
  <c r="V991" i="5"/>
  <c r="F991" i="5"/>
  <c r="T988" i="6"/>
  <c r="V924" i="5"/>
  <c r="F924" i="5"/>
  <c r="V907" i="5"/>
  <c r="F907" i="5"/>
  <c r="V860" i="5"/>
  <c r="F860" i="5"/>
  <c r="V984" i="5"/>
  <c r="F984" i="5"/>
  <c r="F869" i="5"/>
  <c r="V869" i="5"/>
  <c r="V814" i="5"/>
  <c r="F814" i="5"/>
  <c r="T798" i="6"/>
  <c r="T624" i="6"/>
  <c r="T540" i="6"/>
  <c r="V496" i="5"/>
  <c r="F496" i="5"/>
  <c r="V444" i="5"/>
  <c r="F444" i="5"/>
  <c r="V412" i="5"/>
  <c r="F412" i="5"/>
  <c r="V380" i="5"/>
  <c r="F380" i="5"/>
  <c r="V285" i="5"/>
  <c r="F285" i="5"/>
  <c r="V281" i="5"/>
  <c r="F281" i="5"/>
  <c r="V277" i="5"/>
  <c r="F277" i="5"/>
  <c r="V273" i="5"/>
  <c r="F273" i="5"/>
  <c r="V269" i="5"/>
  <c r="F269" i="5"/>
  <c r="V265" i="5"/>
  <c r="F265" i="5"/>
  <c r="V261" i="5"/>
  <c r="F261" i="5"/>
  <c r="V257" i="5"/>
  <c r="F257" i="5"/>
  <c r="V249" i="5"/>
  <c r="F249" i="5"/>
  <c r="V225" i="5"/>
  <c r="F225" i="5"/>
  <c r="V221" i="5"/>
  <c r="F221" i="5"/>
  <c r="V217" i="5"/>
  <c r="F217" i="5"/>
  <c r="V213" i="5"/>
  <c r="F213" i="5"/>
  <c r="V209" i="5"/>
  <c r="F209" i="5"/>
  <c r="V205" i="5"/>
  <c r="F205" i="5"/>
  <c r="V201" i="5"/>
  <c r="F201" i="5"/>
  <c r="V187" i="5"/>
  <c r="F187" i="5"/>
  <c r="V169" i="5"/>
  <c r="F169" i="5"/>
  <c r="V155" i="5"/>
  <c r="F155" i="5"/>
  <c r="V137" i="5"/>
  <c r="F137" i="5"/>
  <c r="V99" i="5"/>
  <c r="F99" i="5"/>
  <c r="V81" i="5"/>
  <c r="F81" i="5"/>
  <c r="V67" i="5"/>
  <c r="F67" i="5"/>
  <c r="V49" i="5"/>
  <c r="F49" i="5"/>
  <c r="V35" i="5"/>
  <c r="F35" i="5"/>
  <c r="V17" i="5"/>
  <c r="F17" i="5"/>
  <c r="V628" i="5"/>
  <c r="F628" i="5"/>
  <c r="T508" i="6"/>
  <c r="T424" i="6"/>
  <c r="V1159" i="5"/>
  <c r="F1159" i="5"/>
  <c r="V1027" i="5"/>
  <c r="F1027" i="5"/>
  <c r="V1012" i="5"/>
  <c r="F1012" i="5"/>
  <c r="J738" i="4"/>
  <c r="D738" i="6"/>
  <c r="I738" i="4"/>
  <c r="O738" i="5"/>
  <c r="V618" i="5"/>
  <c r="F618" i="5"/>
  <c r="J606" i="4"/>
  <c r="D606" i="6"/>
  <c r="I606" i="4"/>
  <c r="O606" i="5"/>
  <c r="T550" i="6"/>
  <c r="V486" i="5"/>
  <c r="F486" i="5"/>
  <c r="H486" i="5"/>
  <c r="V418" i="5"/>
  <c r="F418" i="5"/>
  <c r="V668" i="5"/>
  <c r="F668" i="5"/>
  <c r="V1064" i="5"/>
  <c r="F1064" i="5"/>
  <c r="V858" i="5"/>
  <c r="F858" i="5"/>
  <c r="V754" i="5"/>
  <c r="F754" i="5"/>
  <c r="T684" i="6"/>
  <c r="T456" i="6"/>
  <c r="V340" i="5"/>
  <c r="F340" i="5"/>
  <c r="T740" i="6"/>
  <c r="T570" i="6"/>
  <c r="V554" i="5"/>
  <c r="F554" i="5"/>
  <c r="T446" i="6"/>
  <c r="T382" i="6"/>
  <c r="T1167" i="6"/>
  <c r="T822" i="6"/>
  <c r="T758" i="6"/>
  <c r="I743" i="4"/>
  <c r="O743" i="5"/>
  <c r="J743" i="4"/>
  <c r="D743" i="6"/>
  <c r="T632" i="6"/>
  <c r="V548" i="5"/>
  <c r="F548" i="5"/>
  <c r="T488" i="6"/>
  <c r="V420" i="5"/>
  <c r="F420" i="5"/>
  <c r="T374" i="6"/>
  <c r="V918" i="5"/>
  <c r="F918" i="5"/>
  <c r="T812" i="6"/>
  <c r="T760" i="6"/>
  <c r="I729" i="4"/>
  <c r="O729" i="5"/>
  <c r="J729" i="4"/>
  <c r="D729" i="6"/>
  <c r="T626" i="6"/>
  <c r="V610" i="5"/>
  <c r="F610" i="5"/>
  <c r="T510" i="6"/>
  <c r="T426" i="6"/>
  <c r="T342" i="6"/>
  <c r="T614" i="6"/>
  <c r="V506" i="5"/>
  <c r="F506" i="5"/>
  <c r="V1048" i="5"/>
  <c r="F1048" i="5"/>
  <c r="T890" i="6"/>
  <c r="T818" i="6"/>
  <c r="I747" i="4"/>
  <c r="O747" i="5"/>
  <c r="J747" i="4"/>
  <c r="D747" i="6"/>
  <c r="T730" i="6"/>
  <c r="T704" i="6"/>
  <c r="T660" i="6"/>
  <c r="T620" i="6"/>
  <c r="T536" i="6"/>
  <c r="T500" i="6"/>
  <c r="T448" i="6"/>
  <c r="V400" i="5"/>
  <c r="F400" i="5"/>
  <c r="V933" i="5"/>
  <c r="F933" i="5"/>
  <c r="F857" i="5"/>
  <c r="V857" i="5"/>
  <c r="V732" i="5"/>
  <c r="F732" i="5"/>
  <c r="T690" i="6"/>
  <c r="T674" i="6"/>
  <c r="T454" i="6"/>
  <c r="T390" i="6"/>
  <c r="I607" i="4"/>
  <c r="O607" i="5"/>
  <c r="J607" i="4"/>
  <c r="D607" i="6"/>
  <c r="C249" i="4"/>
  <c r="D248" i="4"/>
  <c r="C9" i="4"/>
  <c r="D8" i="4"/>
  <c r="T1089" i="6"/>
  <c r="V1034" i="5"/>
  <c r="F1034" i="5"/>
  <c r="V1017" i="5"/>
  <c r="F1017" i="5"/>
  <c r="V970" i="5"/>
  <c r="F970" i="5"/>
  <c r="T1185" i="6"/>
  <c r="T1177" i="6"/>
  <c r="T1169" i="6"/>
  <c r="T1161" i="6"/>
  <c r="T1153" i="6"/>
  <c r="T1145" i="6"/>
  <c r="T1137" i="6"/>
  <c r="T1129" i="6"/>
  <c r="V1119" i="5"/>
  <c r="F1119" i="5"/>
  <c r="G1087" i="4"/>
  <c r="H1086" i="4"/>
  <c r="T1054" i="6"/>
  <c r="T1037" i="6"/>
  <c r="T1121" i="6"/>
  <c r="T1097" i="6"/>
  <c r="T1045" i="6"/>
  <c r="V1026" i="5"/>
  <c r="F1026" i="5"/>
  <c r="V1009" i="5"/>
  <c r="F1009" i="5"/>
  <c r="V1122" i="5"/>
  <c r="F1122" i="5"/>
  <c r="T1114" i="6"/>
  <c r="V1101" i="5"/>
  <c r="F1101" i="5"/>
  <c r="T1062" i="6"/>
  <c r="V1049" i="5"/>
  <c r="F1049" i="5"/>
  <c r="V1014" i="5"/>
  <c r="F1014" i="5"/>
  <c r="V997" i="5"/>
  <c r="F997" i="5"/>
  <c r="T1000" i="6"/>
  <c r="T974" i="6"/>
  <c r="T928" i="6"/>
  <c r="T911" i="6"/>
  <c r="T864" i="6"/>
  <c r="V1155" i="5"/>
  <c r="F1155" i="5"/>
  <c r="T1015" i="6"/>
  <c r="V967" i="5"/>
  <c r="F967" i="5"/>
  <c r="T931" i="6"/>
  <c r="V852" i="5"/>
  <c r="F852" i="5"/>
  <c r="V1175" i="5"/>
  <c r="F1175" i="5"/>
  <c r="V941" i="5"/>
  <c r="F941" i="5"/>
  <c r="T925" i="6"/>
  <c r="T1131" i="6"/>
  <c r="T1112" i="6"/>
  <c r="T1091" i="6"/>
  <c r="V1051" i="5"/>
  <c r="F1051" i="5"/>
  <c r="T1016" i="6"/>
  <c r="F888" i="5"/>
  <c r="V888" i="5"/>
  <c r="T872" i="6"/>
  <c r="V855" i="5"/>
  <c r="F855" i="5"/>
  <c r="T1151" i="6"/>
  <c r="T1036" i="6"/>
  <c r="V1004" i="5"/>
  <c r="F1004" i="5"/>
  <c r="V989" i="5"/>
  <c r="F989" i="5"/>
  <c r="V898" i="5"/>
  <c r="F898" i="5"/>
  <c r="T882" i="6"/>
  <c r="F865" i="5"/>
  <c r="V865" i="5"/>
  <c r="T849" i="6"/>
  <c r="V823" i="5"/>
  <c r="F823" i="5"/>
  <c r="F819" i="5"/>
  <c r="V819" i="5"/>
  <c r="V815" i="5"/>
  <c r="F815" i="5"/>
  <c r="F811" i="5"/>
  <c r="V811" i="5"/>
  <c r="V807" i="5"/>
  <c r="F807" i="5"/>
  <c r="F803" i="5"/>
  <c r="V803" i="5"/>
  <c r="V799" i="5"/>
  <c r="F799" i="5"/>
  <c r="F795" i="5"/>
  <c r="V795" i="5"/>
  <c r="F791" i="5"/>
  <c r="V791" i="5"/>
  <c r="F787" i="5"/>
  <c r="V787" i="5"/>
  <c r="F783" i="5"/>
  <c r="V783" i="5"/>
  <c r="F779" i="5"/>
  <c r="V779" i="5"/>
  <c r="F775" i="5"/>
  <c r="V775" i="5"/>
  <c r="V771" i="5"/>
  <c r="F771" i="5"/>
  <c r="V767" i="5"/>
  <c r="F767" i="5"/>
  <c r="V763" i="5"/>
  <c r="F763" i="5"/>
  <c r="V759" i="5"/>
  <c r="F759" i="5"/>
  <c r="V755" i="5"/>
  <c r="F755" i="5"/>
  <c r="V751" i="5"/>
  <c r="F751" i="5"/>
  <c r="V747" i="5"/>
  <c r="F747" i="5"/>
  <c r="V743" i="5"/>
  <c r="F743" i="5"/>
  <c r="V739" i="5"/>
  <c r="F739" i="5"/>
  <c r="V735" i="5"/>
  <c r="F735" i="5"/>
  <c r="V731" i="5"/>
  <c r="F731" i="5"/>
  <c r="V727" i="5"/>
  <c r="F727" i="5"/>
  <c r="V703" i="5"/>
  <c r="F703" i="5"/>
  <c r="V699" i="5"/>
  <c r="F699" i="5"/>
  <c r="V695" i="5"/>
  <c r="F695" i="5"/>
  <c r="V691" i="5"/>
  <c r="F691" i="5"/>
  <c r="V687" i="5"/>
  <c r="F687" i="5"/>
  <c r="V683" i="5"/>
  <c r="F683" i="5"/>
  <c r="V679" i="5"/>
  <c r="F679" i="5"/>
  <c r="V675" i="5"/>
  <c r="F675" i="5"/>
  <c r="V671" i="5"/>
  <c r="F671" i="5"/>
  <c r="V667" i="5"/>
  <c r="F667" i="5"/>
  <c r="V663" i="5"/>
  <c r="F663" i="5"/>
  <c r="V659" i="5"/>
  <c r="F659" i="5"/>
  <c r="V655" i="5"/>
  <c r="F655" i="5"/>
  <c r="V651" i="5"/>
  <c r="F651" i="5"/>
  <c r="V647" i="5"/>
  <c r="F647" i="5"/>
  <c r="V643" i="5"/>
  <c r="F643" i="5"/>
  <c r="V639" i="5"/>
  <c r="F639" i="5"/>
  <c r="V635" i="5"/>
  <c r="F635" i="5"/>
  <c r="V631" i="5"/>
  <c r="F631" i="5"/>
  <c r="V627" i="5"/>
  <c r="F627" i="5"/>
  <c r="V623" i="5"/>
  <c r="F623" i="5"/>
  <c r="V619" i="5"/>
  <c r="F619" i="5"/>
  <c r="V615" i="5"/>
  <c r="F615" i="5"/>
  <c r="V611" i="5"/>
  <c r="F611" i="5"/>
  <c r="V607" i="5"/>
  <c r="F607" i="5"/>
  <c r="V583" i="5"/>
  <c r="F583" i="5"/>
  <c r="V579" i="5"/>
  <c r="F579" i="5"/>
  <c r="V575" i="5"/>
  <c r="F575" i="5"/>
  <c r="V571" i="5"/>
  <c r="F571" i="5"/>
  <c r="V567" i="5"/>
  <c r="F567" i="5"/>
  <c r="V563" i="5"/>
  <c r="F563" i="5"/>
  <c r="V559" i="5"/>
  <c r="F559" i="5"/>
  <c r="V555" i="5"/>
  <c r="F555" i="5"/>
  <c r="V551" i="5"/>
  <c r="F551" i="5"/>
  <c r="V547" i="5"/>
  <c r="F547" i="5"/>
  <c r="V543" i="5"/>
  <c r="F543" i="5"/>
  <c r="V539" i="5"/>
  <c r="F539" i="5"/>
  <c r="V535" i="5"/>
  <c r="F535" i="5"/>
  <c r="V531" i="5"/>
  <c r="F531" i="5"/>
  <c r="V527" i="5"/>
  <c r="F527" i="5"/>
  <c r="V523" i="5"/>
  <c r="F523" i="5"/>
  <c r="V519" i="5"/>
  <c r="F519" i="5"/>
  <c r="V515" i="5"/>
  <c r="F515" i="5"/>
  <c r="V511" i="5"/>
  <c r="F511" i="5"/>
  <c r="V507" i="5"/>
  <c r="F507" i="5"/>
  <c r="V503" i="5"/>
  <c r="F503" i="5"/>
  <c r="V499" i="5"/>
  <c r="F499" i="5"/>
  <c r="V495" i="5"/>
  <c r="F495" i="5"/>
  <c r="V491" i="5"/>
  <c r="F491" i="5"/>
  <c r="V487" i="5"/>
  <c r="F487" i="5"/>
  <c r="V463" i="5"/>
  <c r="F463" i="5"/>
  <c r="V459" i="5"/>
  <c r="F459" i="5"/>
  <c r="V455" i="5"/>
  <c r="F455" i="5"/>
  <c r="V451" i="5"/>
  <c r="F451" i="5"/>
  <c r="V447" i="5"/>
  <c r="F447" i="5"/>
  <c r="V443" i="5"/>
  <c r="F443" i="5"/>
  <c r="V439" i="5"/>
  <c r="F439" i="5"/>
  <c r="V435" i="5"/>
  <c r="F435" i="5"/>
  <c r="V431" i="5"/>
  <c r="F431" i="5"/>
  <c r="V427" i="5"/>
  <c r="F427" i="5"/>
  <c r="V423" i="5"/>
  <c r="F423" i="5"/>
  <c r="V419" i="5"/>
  <c r="F419" i="5"/>
  <c r="V415" i="5"/>
  <c r="F415" i="5"/>
  <c r="V397" i="5"/>
  <c r="F397" i="5"/>
  <c r="V393" i="5"/>
  <c r="F393" i="5"/>
  <c r="V389" i="5"/>
  <c r="F389" i="5"/>
  <c r="V385" i="5"/>
  <c r="F385" i="5"/>
  <c r="V381" i="5"/>
  <c r="F381" i="5"/>
  <c r="V377" i="5"/>
  <c r="F377" i="5"/>
  <c r="V373" i="5"/>
  <c r="F373" i="5"/>
  <c r="V369" i="5"/>
  <c r="F369" i="5"/>
  <c r="V345" i="5"/>
  <c r="F345" i="5"/>
  <c r="V341" i="5"/>
  <c r="F341" i="5"/>
  <c r="V337" i="5"/>
  <c r="F337" i="5"/>
  <c r="V333" i="5"/>
  <c r="F333" i="5"/>
  <c r="V1171" i="5"/>
  <c r="F1171" i="5"/>
  <c r="T991" i="6"/>
  <c r="T924" i="6"/>
  <c r="T907" i="6"/>
  <c r="T860" i="6"/>
  <c r="T984" i="6"/>
  <c r="T869" i="6"/>
  <c r="T814" i="6"/>
  <c r="V750" i="5"/>
  <c r="F750" i="5"/>
  <c r="V688" i="5"/>
  <c r="F688" i="5"/>
  <c r="V608" i="5"/>
  <c r="F608" i="5"/>
  <c r="V524" i="5"/>
  <c r="F524" i="5"/>
  <c r="T496" i="6"/>
  <c r="T444" i="6"/>
  <c r="T412" i="6"/>
  <c r="T380" i="6"/>
  <c r="T285" i="6"/>
  <c r="T281" i="6"/>
  <c r="T277" i="6"/>
  <c r="T273" i="6"/>
  <c r="T269" i="6"/>
  <c r="T265" i="6"/>
  <c r="T261" i="6"/>
  <c r="T257" i="6"/>
  <c r="T249" i="6"/>
  <c r="T225" i="6"/>
  <c r="T221" i="6"/>
  <c r="T217" i="6"/>
  <c r="T213" i="6"/>
  <c r="T209" i="6"/>
  <c r="T205" i="6"/>
  <c r="T201" i="6"/>
  <c r="T187" i="6"/>
  <c r="T169" i="6"/>
  <c r="T155" i="6"/>
  <c r="T137" i="6"/>
  <c r="T99" i="6"/>
  <c r="T81" i="6"/>
  <c r="T67" i="6"/>
  <c r="T49" i="6"/>
  <c r="T35" i="6"/>
  <c r="T17" i="6"/>
  <c r="T628" i="6"/>
  <c r="T1159" i="6"/>
  <c r="T1027" i="6"/>
  <c r="T1012" i="6"/>
  <c r="F917" i="5"/>
  <c r="V917" i="5"/>
  <c r="F772" i="5"/>
  <c r="V772" i="5"/>
  <c r="V752" i="5"/>
  <c r="F752" i="5"/>
  <c r="I737" i="4"/>
  <c r="O737" i="5"/>
  <c r="J737" i="4"/>
  <c r="D737" i="6"/>
  <c r="T618" i="6"/>
  <c r="V534" i="5"/>
  <c r="F534" i="5"/>
  <c r="T486" i="6"/>
  <c r="F486" i="6"/>
  <c r="T418" i="6"/>
  <c r="V370" i="5"/>
  <c r="F370" i="5"/>
  <c r="T668" i="6"/>
  <c r="V612" i="5"/>
  <c r="F612" i="5"/>
  <c r="T1064" i="6"/>
  <c r="V982" i="5"/>
  <c r="F982" i="5"/>
  <c r="T858" i="6"/>
  <c r="V825" i="5"/>
  <c r="F825" i="5"/>
  <c r="T754" i="6"/>
  <c r="T340" i="6"/>
  <c r="V1052" i="5"/>
  <c r="F1052" i="5"/>
  <c r="V934" i="5"/>
  <c r="F934" i="5"/>
  <c r="F901" i="5"/>
  <c r="V901" i="5"/>
  <c r="J758" i="4"/>
  <c r="D758" i="6"/>
  <c r="I758" i="4"/>
  <c r="O758" i="5"/>
  <c r="V698" i="5"/>
  <c r="F698" i="5"/>
  <c r="T554" i="6"/>
  <c r="V538" i="5"/>
  <c r="F538" i="5"/>
  <c r="V514" i="5"/>
  <c r="F514" i="5"/>
  <c r="V430" i="5"/>
  <c r="F430" i="5"/>
  <c r="V366" i="5"/>
  <c r="F366" i="5"/>
  <c r="H366" i="5"/>
  <c r="V700" i="5"/>
  <c r="F700" i="5"/>
  <c r="V616" i="5"/>
  <c r="F616" i="5"/>
  <c r="T548" i="6"/>
  <c r="T420" i="6"/>
  <c r="V372" i="5"/>
  <c r="F372" i="5"/>
  <c r="V330" i="5"/>
  <c r="F330" i="5"/>
  <c r="V326" i="5"/>
  <c r="F326" i="5"/>
  <c r="V322" i="5"/>
  <c r="F322" i="5"/>
  <c r="V318" i="5"/>
  <c r="F318" i="5"/>
  <c r="V314" i="5"/>
  <c r="F314" i="5"/>
  <c r="V310" i="5"/>
  <c r="F310" i="5"/>
  <c r="V306" i="5"/>
  <c r="F306" i="5"/>
  <c r="V302" i="5"/>
  <c r="F302" i="5"/>
  <c r="V298" i="5"/>
  <c r="F298" i="5"/>
  <c r="V294" i="5"/>
  <c r="F294" i="5"/>
  <c r="V290" i="5"/>
  <c r="F290" i="5"/>
  <c r="V286" i="5"/>
  <c r="F286" i="5"/>
  <c r="V282" i="5"/>
  <c r="F282" i="5"/>
  <c r="V278" i="5"/>
  <c r="F278" i="5"/>
  <c r="V274" i="5"/>
  <c r="F274" i="5"/>
  <c r="V270" i="5"/>
  <c r="F270" i="5"/>
  <c r="V266" i="5"/>
  <c r="F266" i="5"/>
  <c r="V262" i="5"/>
  <c r="F262" i="5"/>
  <c r="V258" i="5"/>
  <c r="F258" i="5"/>
  <c r="V254" i="5"/>
  <c r="F254" i="5"/>
  <c r="V250" i="5"/>
  <c r="F250" i="5"/>
  <c r="V246" i="5"/>
  <c r="F246" i="5"/>
  <c r="H246" i="5"/>
  <c r="V222" i="5"/>
  <c r="F222" i="5"/>
  <c r="V218" i="5"/>
  <c r="F218" i="5"/>
  <c r="V214" i="5"/>
  <c r="F214" i="5"/>
  <c r="V210" i="5"/>
  <c r="F210" i="5"/>
  <c r="V206" i="5"/>
  <c r="F206" i="5"/>
  <c r="V202" i="5"/>
  <c r="F202" i="5"/>
  <c r="V198" i="5"/>
  <c r="F198" i="5"/>
  <c r="V194" i="5"/>
  <c r="F194" i="5"/>
  <c r="V190" i="5"/>
  <c r="F190" i="5"/>
  <c r="V186" i="5"/>
  <c r="F186" i="5"/>
  <c r="V182" i="5"/>
  <c r="F182" i="5"/>
  <c r="V178" i="5"/>
  <c r="F178" i="5"/>
  <c r="V174" i="5"/>
  <c r="F174" i="5"/>
  <c r="V170" i="5"/>
  <c r="F170" i="5"/>
  <c r="V166" i="5"/>
  <c r="F166" i="5"/>
  <c r="V162" i="5"/>
  <c r="F162" i="5"/>
  <c r="V158" i="5"/>
  <c r="F158" i="5"/>
  <c r="V154" i="5"/>
  <c r="F154" i="5"/>
  <c r="V150" i="5"/>
  <c r="F150" i="5"/>
  <c r="V146" i="5"/>
  <c r="F146" i="5"/>
  <c r="V142" i="5"/>
  <c r="F142" i="5"/>
  <c r="V138" i="5"/>
  <c r="F138" i="5"/>
  <c r="V134" i="5"/>
  <c r="F134" i="5"/>
  <c r="V130" i="5"/>
  <c r="F130" i="5"/>
  <c r="V126" i="5"/>
  <c r="F126" i="5"/>
  <c r="H126" i="5"/>
  <c r="V102" i="5"/>
  <c r="F102" i="5"/>
  <c r="V98" i="5"/>
  <c r="F98" i="5"/>
  <c r="V94" i="5"/>
  <c r="F94" i="5"/>
  <c r="V90" i="5"/>
  <c r="F90" i="5"/>
  <c r="V86" i="5"/>
  <c r="F86" i="5"/>
  <c r="V82" i="5"/>
  <c r="F82" i="5"/>
  <c r="V78" i="5"/>
  <c r="F78" i="5"/>
  <c r="V74" i="5"/>
  <c r="F74" i="5"/>
  <c r="V70" i="5"/>
  <c r="F70" i="5"/>
  <c r="V66" i="5"/>
  <c r="F66" i="5"/>
  <c r="V62" i="5"/>
  <c r="F62" i="5"/>
  <c r="V58" i="5"/>
  <c r="F58" i="5"/>
  <c r="V54" i="5"/>
  <c r="F54" i="5"/>
  <c r="V50" i="5"/>
  <c r="F50" i="5"/>
  <c r="V46" i="5"/>
  <c r="F46" i="5"/>
  <c r="V42" i="5"/>
  <c r="F42" i="5"/>
  <c r="V38" i="5"/>
  <c r="F38" i="5"/>
  <c r="V34" i="5"/>
  <c r="F34" i="5"/>
  <c r="V30" i="5"/>
  <c r="F30" i="5"/>
  <c r="V26" i="5"/>
  <c r="F26" i="5"/>
  <c r="V22" i="5"/>
  <c r="F22" i="5"/>
  <c r="V18" i="5"/>
  <c r="F18" i="5"/>
  <c r="V14" i="5"/>
  <c r="F14" i="5"/>
  <c r="V10" i="5"/>
  <c r="F10" i="5"/>
  <c r="V6" i="5"/>
  <c r="F6" i="5"/>
  <c r="H6" i="5"/>
  <c r="T918" i="6"/>
  <c r="F873" i="5"/>
  <c r="V873" i="5"/>
  <c r="V854" i="5"/>
  <c r="F854" i="5"/>
  <c r="V744" i="5"/>
  <c r="F744" i="5"/>
  <c r="V702" i="5"/>
  <c r="F702" i="5"/>
  <c r="T610" i="6"/>
  <c r="V574" i="5"/>
  <c r="F574" i="5"/>
  <c r="V494" i="5"/>
  <c r="F494" i="5"/>
  <c r="V410" i="5"/>
  <c r="F410" i="5"/>
  <c r="T506" i="6"/>
  <c r="T1048" i="6"/>
  <c r="V971" i="5"/>
  <c r="F971" i="5"/>
  <c r="V584" i="5"/>
  <c r="F584" i="5"/>
  <c r="V520" i="5"/>
  <c r="F520" i="5"/>
  <c r="T400" i="6"/>
  <c r="V332" i="5"/>
  <c r="F332" i="5"/>
  <c r="T933" i="6"/>
  <c r="V902" i="5"/>
  <c r="F902" i="5"/>
  <c r="T857" i="6"/>
  <c r="T732" i="6"/>
  <c r="V406" i="5"/>
  <c r="F406" i="5"/>
  <c r="J488" i="4"/>
  <c r="D488" i="6"/>
  <c r="I488" i="4"/>
  <c r="O488" i="5"/>
  <c r="G10" i="4"/>
  <c r="H9" i="4"/>
  <c r="F7" i="9"/>
  <c r="H7" i="9"/>
  <c r="E7" i="9"/>
  <c r="D8" i="9"/>
  <c r="V1184" i="5"/>
  <c r="F1184" i="5"/>
  <c r="V1180" i="5"/>
  <c r="F1180" i="5"/>
  <c r="V1176" i="5"/>
  <c r="F1176" i="5"/>
  <c r="V1172" i="5"/>
  <c r="F1172" i="5"/>
  <c r="V1168" i="5"/>
  <c r="F1168" i="5"/>
  <c r="V1164" i="5"/>
  <c r="F1164" i="5"/>
  <c r="V1160" i="5"/>
  <c r="F1160" i="5"/>
  <c r="V1156" i="5"/>
  <c r="F1156" i="5"/>
  <c r="V1152" i="5"/>
  <c r="F1152" i="5"/>
  <c r="V1148" i="5"/>
  <c r="F1148" i="5"/>
  <c r="V1144" i="5"/>
  <c r="F1144" i="5"/>
  <c r="V1140" i="5"/>
  <c r="F1140" i="5"/>
  <c r="V1136" i="5"/>
  <c r="F1136" i="5"/>
  <c r="V1132" i="5"/>
  <c r="F1132" i="5"/>
  <c r="V1128" i="5"/>
  <c r="F1128" i="5"/>
  <c r="T1034" i="6"/>
  <c r="T1017" i="6"/>
  <c r="T970" i="6"/>
  <c r="T1119" i="6"/>
  <c r="V1107" i="5"/>
  <c r="F1107" i="5"/>
  <c r="V1090" i="5"/>
  <c r="F1090" i="5"/>
  <c r="V1006" i="5"/>
  <c r="F1006" i="5"/>
  <c r="V1120" i="5"/>
  <c r="F1120" i="5"/>
  <c r="V1108" i="5"/>
  <c r="F1108" i="5"/>
  <c r="T1026" i="6"/>
  <c r="T1009" i="6"/>
  <c r="T1122" i="6"/>
  <c r="T1101" i="6"/>
  <c r="T1049" i="6"/>
  <c r="T1014" i="6"/>
  <c r="T997" i="6"/>
  <c r="V944" i="5"/>
  <c r="F944" i="5"/>
  <c r="V927" i="5"/>
  <c r="F927" i="5"/>
  <c r="F880" i="5"/>
  <c r="V880" i="5"/>
  <c r="V863" i="5"/>
  <c r="F863" i="5"/>
  <c r="T1155" i="6"/>
  <c r="T967" i="6"/>
  <c r="V868" i="5"/>
  <c r="F868" i="5"/>
  <c r="T852" i="6"/>
  <c r="T1175" i="6"/>
  <c r="V1028" i="5"/>
  <c r="F1028" i="5"/>
  <c r="T941" i="6"/>
  <c r="V862" i="5"/>
  <c r="F862" i="5"/>
  <c r="V1063" i="5"/>
  <c r="F1063" i="5"/>
  <c r="T1051" i="6"/>
  <c r="F904" i="5"/>
  <c r="V904" i="5"/>
  <c r="T888" i="6"/>
  <c r="V871" i="5"/>
  <c r="F871" i="5"/>
  <c r="T855" i="6"/>
  <c r="T1004" i="6"/>
  <c r="T989" i="6"/>
  <c r="C968" i="4"/>
  <c r="D967" i="4"/>
  <c r="V914" i="5"/>
  <c r="F914" i="5"/>
  <c r="T898" i="6"/>
  <c r="F881" i="5"/>
  <c r="V881" i="5"/>
  <c r="T865" i="6"/>
  <c r="T823" i="6"/>
  <c r="T819" i="6"/>
  <c r="T815" i="6"/>
  <c r="T811" i="6"/>
  <c r="T807" i="6"/>
  <c r="T803" i="6"/>
  <c r="T799" i="6"/>
  <c r="T795" i="6"/>
  <c r="T791" i="6"/>
  <c r="T787" i="6"/>
  <c r="T783" i="6"/>
  <c r="T779" i="6"/>
  <c r="T775" i="6"/>
  <c r="T771" i="6"/>
  <c r="T767" i="6"/>
  <c r="T763" i="6"/>
  <c r="T759" i="6"/>
  <c r="T755" i="6"/>
  <c r="T751" i="6"/>
  <c r="T747" i="6"/>
  <c r="T743" i="6"/>
  <c r="T739" i="6"/>
  <c r="T735" i="6"/>
  <c r="T731" i="6"/>
  <c r="T727" i="6"/>
  <c r="T703" i="6"/>
  <c r="T699" i="6"/>
  <c r="T695" i="6"/>
  <c r="T691" i="6"/>
  <c r="T687" i="6"/>
  <c r="T683" i="6"/>
  <c r="T679" i="6"/>
  <c r="T675" i="6"/>
  <c r="T671" i="6"/>
  <c r="T667" i="6"/>
  <c r="T663" i="6"/>
  <c r="T659" i="6"/>
  <c r="T655" i="6"/>
  <c r="T651" i="6"/>
  <c r="T647" i="6"/>
  <c r="T643" i="6"/>
  <c r="T639" i="6"/>
  <c r="T635" i="6"/>
  <c r="T631" i="6"/>
  <c r="T627" i="6"/>
  <c r="T623" i="6"/>
  <c r="T619" i="6"/>
  <c r="T615" i="6"/>
  <c r="T611" i="6"/>
  <c r="T607" i="6"/>
  <c r="T583" i="6"/>
  <c r="T579" i="6"/>
  <c r="T575" i="6"/>
  <c r="T571" i="6"/>
  <c r="T567" i="6"/>
  <c r="T563" i="6"/>
  <c r="T559" i="6"/>
  <c r="T555" i="6"/>
  <c r="T551" i="6"/>
  <c r="T547" i="6"/>
  <c r="T543" i="6"/>
  <c r="T539" i="6"/>
  <c r="T535" i="6"/>
  <c r="T531" i="6"/>
  <c r="T527" i="6"/>
  <c r="T523" i="6"/>
  <c r="T519" i="6"/>
  <c r="T515" i="6"/>
  <c r="T511" i="6"/>
  <c r="T507" i="6"/>
  <c r="T503" i="6"/>
  <c r="T499" i="6"/>
  <c r="T495" i="6"/>
  <c r="T491" i="6"/>
  <c r="T487" i="6"/>
  <c r="T463" i="6"/>
  <c r="T459" i="6"/>
  <c r="T455" i="6"/>
  <c r="T451" i="6"/>
  <c r="T447" i="6"/>
  <c r="T443" i="6"/>
  <c r="T439" i="6"/>
  <c r="T435" i="6"/>
  <c r="T431" i="6"/>
  <c r="T427" i="6"/>
  <c r="T423" i="6"/>
  <c r="T419" i="6"/>
  <c r="T415" i="6"/>
  <c r="T397" i="6"/>
  <c r="T393" i="6"/>
  <c r="T389" i="6"/>
  <c r="T385" i="6"/>
  <c r="T381" i="6"/>
  <c r="T377" i="6"/>
  <c r="T373" i="6"/>
  <c r="T369" i="6"/>
  <c r="T345" i="6"/>
  <c r="T341" i="6"/>
  <c r="T337" i="6"/>
  <c r="T333" i="6"/>
  <c r="T1171" i="6"/>
  <c r="V983" i="5"/>
  <c r="F983" i="5"/>
  <c r="V940" i="5"/>
  <c r="F940" i="5"/>
  <c r="V923" i="5"/>
  <c r="F923" i="5"/>
  <c r="V876" i="5"/>
  <c r="F876" i="5"/>
  <c r="V859" i="5"/>
  <c r="F859" i="5"/>
  <c r="T750" i="6"/>
  <c r="J736" i="4"/>
  <c r="D736" i="6"/>
  <c r="I736" i="4"/>
  <c r="O736" i="5"/>
  <c r="T688" i="6"/>
  <c r="V672" i="5"/>
  <c r="F672" i="5"/>
  <c r="T608" i="6"/>
  <c r="T524" i="6"/>
  <c r="V329" i="5"/>
  <c r="F329" i="5"/>
  <c r="V325" i="5"/>
  <c r="F325" i="5"/>
  <c r="V321" i="5"/>
  <c r="F321" i="5"/>
  <c r="V317" i="5"/>
  <c r="F317" i="5"/>
  <c r="V313" i="5"/>
  <c r="F313" i="5"/>
  <c r="V309" i="5"/>
  <c r="F309" i="5"/>
  <c r="V305" i="5"/>
  <c r="F305" i="5"/>
  <c r="V301" i="5"/>
  <c r="F301" i="5"/>
  <c r="V297" i="5"/>
  <c r="F297" i="5"/>
  <c r="V293" i="5"/>
  <c r="F293" i="5"/>
  <c r="V289" i="5"/>
  <c r="F289" i="5"/>
  <c r="V199" i="5"/>
  <c r="F199" i="5"/>
  <c r="V195" i="5"/>
  <c r="F195" i="5"/>
  <c r="V191" i="5"/>
  <c r="F191" i="5"/>
  <c r="V181" i="5"/>
  <c r="F181" i="5"/>
  <c r="V177" i="5"/>
  <c r="F177" i="5"/>
  <c r="V173" i="5"/>
  <c r="F173" i="5"/>
  <c r="V167" i="5"/>
  <c r="F167" i="5"/>
  <c r="V163" i="5"/>
  <c r="F163" i="5"/>
  <c r="V159" i="5"/>
  <c r="F159" i="5"/>
  <c r="V149" i="5"/>
  <c r="F149" i="5"/>
  <c r="V145" i="5"/>
  <c r="F145" i="5"/>
  <c r="V141" i="5"/>
  <c r="F141" i="5"/>
  <c r="V135" i="5"/>
  <c r="F135" i="5"/>
  <c r="V131" i="5"/>
  <c r="F131" i="5"/>
  <c r="V127" i="5"/>
  <c r="F127" i="5"/>
  <c r="V103" i="5"/>
  <c r="F103" i="5"/>
  <c r="V93" i="5"/>
  <c r="F93" i="5"/>
  <c r="V89" i="5"/>
  <c r="F89" i="5"/>
  <c r="V85" i="5"/>
  <c r="F85" i="5"/>
  <c r="V79" i="5"/>
  <c r="F79" i="5"/>
  <c r="V75" i="5"/>
  <c r="F75" i="5"/>
  <c r="V71" i="5"/>
  <c r="F71" i="5"/>
  <c r="V61" i="5"/>
  <c r="F61" i="5"/>
  <c r="V57" i="5"/>
  <c r="F57" i="5"/>
  <c r="V53" i="5"/>
  <c r="F53" i="5"/>
  <c r="V47" i="5"/>
  <c r="F47" i="5"/>
  <c r="V43" i="5"/>
  <c r="F43" i="5"/>
  <c r="V39" i="5"/>
  <c r="F39" i="5"/>
  <c r="V29" i="5"/>
  <c r="F29" i="5"/>
  <c r="V25" i="5"/>
  <c r="F25" i="5"/>
  <c r="V21" i="5"/>
  <c r="F21" i="5"/>
  <c r="V15" i="5"/>
  <c r="F15" i="5"/>
  <c r="V11" i="5"/>
  <c r="F11" i="5"/>
  <c r="V7" i="5"/>
  <c r="F7" i="5"/>
  <c r="T917" i="6"/>
  <c r="V886" i="5"/>
  <c r="F886" i="5"/>
  <c r="V788" i="5"/>
  <c r="F788" i="5"/>
  <c r="T772" i="6"/>
  <c r="T752" i="6"/>
  <c r="T534" i="6"/>
  <c r="V518" i="5"/>
  <c r="F518" i="5"/>
  <c r="V450" i="5"/>
  <c r="F450" i="5"/>
  <c r="T370" i="6"/>
  <c r="T612" i="6"/>
  <c r="T982" i="6"/>
  <c r="T825" i="6"/>
  <c r="V738" i="5"/>
  <c r="F738" i="5"/>
  <c r="V408" i="5"/>
  <c r="F408" i="5"/>
  <c r="V376" i="5"/>
  <c r="F376" i="5"/>
  <c r="T1052" i="6"/>
  <c r="V1020" i="5"/>
  <c r="F1020" i="5"/>
  <c r="T934" i="6"/>
  <c r="T901" i="6"/>
  <c r="I757" i="4"/>
  <c r="O757" i="5"/>
  <c r="J757" i="4"/>
  <c r="D757" i="6"/>
  <c r="T698" i="6"/>
  <c r="V682" i="5"/>
  <c r="F682" i="5"/>
  <c r="T538" i="6"/>
  <c r="V522" i="5"/>
  <c r="F522" i="5"/>
  <c r="T514" i="6"/>
  <c r="T430" i="6"/>
  <c r="F366" i="6"/>
  <c r="T366" i="6"/>
  <c r="V906" i="5"/>
  <c r="F906" i="5"/>
  <c r="T700" i="6"/>
  <c r="T616" i="6"/>
  <c r="V532" i="5"/>
  <c r="F532" i="5"/>
  <c r="V452" i="5"/>
  <c r="F452" i="5"/>
  <c r="T372" i="6"/>
  <c r="T330" i="6"/>
  <c r="T326" i="6"/>
  <c r="T322" i="6"/>
  <c r="T318" i="6"/>
  <c r="T314" i="6"/>
  <c r="T310" i="6"/>
  <c r="T306" i="6"/>
  <c r="T302" i="6"/>
  <c r="T298" i="6"/>
  <c r="T294" i="6"/>
  <c r="T290" i="6"/>
  <c r="T286" i="6"/>
  <c r="T282" i="6"/>
  <c r="T278" i="6"/>
  <c r="T274" i="6"/>
  <c r="T270" i="6"/>
  <c r="T266" i="6"/>
  <c r="T262" i="6"/>
  <c r="T258" i="6"/>
  <c r="T254" i="6"/>
  <c r="T250" i="6"/>
  <c r="F246" i="6"/>
  <c r="T246" i="6"/>
  <c r="T222" i="6"/>
  <c r="T218" i="6"/>
  <c r="T214" i="6"/>
  <c r="T210" i="6"/>
  <c r="T206" i="6"/>
  <c r="T202" i="6"/>
  <c r="T198" i="6"/>
  <c r="T194" i="6"/>
  <c r="T190" i="6"/>
  <c r="T186" i="6"/>
  <c r="T182" i="6"/>
  <c r="T178" i="6"/>
  <c r="T174" i="6"/>
  <c r="T170" i="6"/>
  <c r="T166" i="6"/>
  <c r="T162" i="6"/>
  <c r="T158" i="6"/>
  <c r="T154" i="6"/>
  <c r="T150" i="6"/>
  <c r="T146" i="6"/>
  <c r="T142" i="6"/>
  <c r="T138" i="6"/>
  <c r="T134" i="6"/>
  <c r="T130" i="6"/>
  <c r="F126" i="6"/>
  <c r="T126" i="6"/>
  <c r="T102" i="6"/>
  <c r="T98" i="6"/>
  <c r="T94" i="6"/>
  <c r="T90" i="6"/>
  <c r="T86" i="6"/>
  <c r="T82" i="6"/>
  <c r="T78" i="6"/>
  <c r="T74" i="6"/>
  <c r="T70" i="6"/>
  <c r="T66" i="6"/>
  <c r="T62" i="6"/>
  <c r="T58" i="6"/>
  <c r="T54" i="6"/>
  <c r="T50" i="6"/>
  <c r="T46" i="6"/>
  <c r="T42" i="6"/>
  <c r="T38" i="6"/>
  <c r="T34" i="6"/>
  <c r="T30" i="6"/>
  <c r="T26" i="6"/>
  <c r="T22" i="6"/>
  <c r="T18" i="6"/>
  <c r="T14" i="6"/>
  <c r="T10" i="6"/>
  <c r="F6" i="6"/>
  <c r="T6" i="6"/>
  <c r="V338" i="5"/>
  <c r="F338" i="5"/>
  <c r="V937" i="5"/>
  <c r="F937" i="5"/>
  <c r="T873" i="6"/>
  <c r="T854" i="6"/>
  <c r="T744" i="6"/>
  <c r="T702" i="6"/>
  <c r="T574" i="6"/>
  <c r="V558" i="5"/>
  <c r="F558" i="5"/>
  <c r="T494" i="6"/>
  <c r="T410" i="6"/>
  <c r="V422" i="5"/>
  <c r="F422" i="5"/>
  <c r="V1135" i="5"/>
  <c r="F1135" i="5"/>
  <c r="T971" i="6"/>
  <c r="J764" i="4"/>
  <c r="D764" i="6"/>
  <c r="I764" i="4"/>
  <c r="O764" i="5"/>
  <c r="T584" i="6"/>
  <c r="T520" i="6"/>
  <c r="J487" i="4"/>
  <c r="D487" i="6"/>
  <c r="I487" i="4"/>
  <c r="O487" i="5"/>
  <c r="V432" i="5"/>
  <c r="F432" i="5"/>
  <c r="T332" i="6"/>
  <c r="J127" i="4"/>
  <c r="D127" i="6"/>
  <c r="I127" i="4"/>
  <c r="O127" i="5"/>
  <c r="T902" i="6"/>
  <c r="T406" i="6"/>
  <c r="H489" i="4"/>
  <c r="G490" i="4"/>
  <c r="G130" i="4"/>
  <c r="H129" i="4"/>
  <c r="J8" i="4"/>
  <c r="D8" i="6"/>
  <c r="I8" i="4"/>
  <c r="O8" i="5"/>
  <c r="T937" i="6"/>
  <c r="J762" i="4"/>
  <c r="D762" i="6"/>
  <c r="I762" i="4"/>
  <c r="O762" i="5"/>
  <c r="V728" i="5"/>
  <c r="F728" i="5"/>
  <c r="T558" i="6"/>
  <c r="V542" i="5"/>
  <c r="F542" i="5"/>
  <c r="V458" i="5"/>
  <c r="F458" i="5"/>
  <c r="V394" i="5"/>
  <c r="F394" i="5"/>
  <c r="T422" i="6"/>
  <c r="T1135" i="6"/>
  <c r="V995" i="5"/>
  <c r="F995" i="5"/>
  <c r="I763" i="4"/>
  <c r="O763" i="5"/>
  <c r="J763" i="4"/>
  <c r="D763" i="6"/>
  <c r="V746" i="5"/>
  <c r="F746" i="5"/>
  <c r="J732" i="4"/>
  <c r="D732" i="6"/>
  <c r="I732" i="4"/>
  <c r="O732" i="5"/>
  <c r="V726" i="5"/>
  <c r="F726" i="5"/>
  <c r="H726" i="5"/>
  <c r="V652" i="5"/>
  <c r="F652" i="5"/>
  <c r="V568" i="5"/>
  <c r="F568" i="5"/>
  <c r="T432" i="6"/>
  <c r="V384" i="5"/>
  <c r="F384" i="5"/>
  <c r="F921" i="5"/>
  <c r="V921" i="5"/>
  <c r="V776" i="5"/>
  <c r="F776" i="5"/>
  <c r="V646" i="5"/>
  <c r="F646" i="5"/>
  <c r="V630" i="5"/>
  <c r="F630" i="5"/>
  <c r="J128" i="4"/>
  <c r="D128" i="6"/>
  <c r="I128" i="4"/>
  <c r="O128" i="5"/>
  <c r="G250" i="4"/>
  <c r="H249" i="4"/>
  <c r="G369" i="4"/>
  <c r="H368" i="4"/>
  <c r="T1118" i="6"/>
  <c r="V1105" i="5"/>
  <c r="F1105" i="5"/>
  <c r="T1086" i="6"/>
  <c r="F1086" i="6"/>
  <c r="V1053" i="5"/>
  <c r="F1053" i="5"/>
  <c r="T1033" i="6"/>
  <c r="T986" i="6"/>
  <c r="T969" i="6"/>
  <c r="V1181" i="5"/>
  <c r="F1181" i="5"/>
  <c r="V1173" i="5"/>
  <c r="F1173" i="5"/>
  <c r="V1165" i="5"/>
  <c r="F1165" i="5"/>
  <c r="V1157" i="5"/>
  <c r="F1157" i="5"/>
  <c r="V1149" i="5"/>
  <c r="F1149" i="5"/>
  <c r="V1141" i="5"/>
  <c r="F1141" i="5"/>
  <c r="V1133" i="5"/>
  <c r="F1133" i="5"/>
  <c r="V1125" i="5"/>
  <c r="F1125" i="5"/>
  <c r="T1109" i="6"/>
  <c r="V1022" i="5"/>
  <c r="F1022" i="5"/>
  <c r="V1005" i="5"/>
  <c r="F1005" i="5"/>
  <c r="T1095" i="6"/>
  <c r="V1126" i="5"/>
  <c r="F1126" i="5"/>
  <c r="V1113" i="5"/>
  <c r="F1113" i="5"/>
  <c r="T1094" i="6"/>
  <c r="V1061" i="5"/>
  <c r="F1061" i="5"/>
  <c r="T1042" i="6"/>
  <c r="T1025" i="6"/>
  <c r="T978" i="6"/>
  <c r="V1098" i="5"/>
  <c r="F1098" i="5"/>
  <c r="V1046" i="5"/>
  <c r="F1046" i="5"/>
  <c r="T1030" i="6"/>
  <c r="T1013" i="6"/>
  <c r="V1147" i="5"/>
  <c r="F1147" i="5"/>
  <c r="V1099" i="5"/>
  <c r="F1099" i="5"/>
  <c r="T1039" i="6"/>
  <c r="V1007" i="5"/>
  <c r="F1007" i="5"/>
  <c r="T972" i="6"/>
  <c r="V943" i="5"/>
  <c r="F943" i="5"/>
  <c r="F896" i="5"/>
  <c r="V896" i="5"/>
  <c r="V879" i="5"/>
  <c r="F879" i="5"/>
  <c r="T1040" i="6"/>
  <c r="V1008" i="5"/>
  <c r="F1008" i="5"/>
  <c r="V900" i="5"/>
  <c r="F900" i="5"/>
  <c r="T884" i="6"/>
  <c r="V867" i="5"/>
  <c r="F867" i="5"/>
  <c r="T851" i="6"/>
  <c r="T996" i="6"/>
  <c r="V894" i="5"/>
  <c r="F894" i="5"/>
  <c r="T878" i="6"/>
  <c r="F861" i="5"/>
  <c r="V861" i="5"/>
  <c r="F824" i="5"/>
  <c r="V824" i="5"/>
  <c r="T1163" i="6"/>
  <c r="V1055" i="5"/>
  <c r="F1055" i="5"/>
  <c r="T1043" i="6"/>
  <c r="V1023" i="5"/>
  <c r="F1023" i="5"/>
  <c r="V936" i="5"/>
  <c r="F936" i="5"/>
  <c r="T920" i="6"/>
  <c r="V903" i="5"/>
  <c r="F903" i="5"/>
  <c r="T887" i="6"/>
  <c r="T1183" i="6"/>
  <c r="T987" i="6"/>
  <c r="V966" i="5"/>
  <c r="F966" i="5"/>
  <c r="H966" i="5"/>
  <c r="T930" i="6"/>
  <c r="F913" i="5"/>
  <c r="V913" i="5"/>
  <c r="T897" i="6"/>
  <c r="T413" i="6"/>
  <c r="T409" i="6"/>
  <c r="T405" i="6"/>
  <c r="T401" i="6"/>
  <c r="T1031" i="6"/>
  <c r="V999" i="5"/>
  <c r="F999" i="5"/>
  <c r="T990" i="6"/>
  <c r="V981" i="5"/>
  <c r="F981" i="5"/>
  <c r="V939" i="5"/>
  <c r="F939" i="5"/>
  <c r="V892" i="5"/>
  <c r="F892" i="5"/>
  <c r="V875" i="5"/>
  <c r="F875" i="5"/>
  <c r="T1019" i="6"/>
  <c r="T874" i="6"/>
  <c r="T656" i="6"/>
  <c r="T572" i="6"/>
  <c r="V512" i="5"/>
  <c r="F512" i="5"/>
  <c r="V460" i="5"/>
  <c r="F460" i="5"/>
  <c r="V428" i="5"/>
  <c r="F428" i="5"/>
  <c r="V396" i="5"/>
  <c r="F396" i="5"/>
  <c r="V344" i="5"/>
  <c r="F344" i="5"/>
  <c r="V283" i="5"/>
  <c r="F283" i="5"/>
  <c r="V279" i="5"/>
  <c r="F279" i="5"/>
  <c r="V275" i="5"/>
  <c r="F275" i="5"/>
  <c r="V271" i="5"/>
  <c r="F271" i="5"/>
  <c r="V267" i="5"/>
  <c r="F267" i="5"/>
  <c r="V263" i="5"/>
  <c r="F263" i="5"/>
  <c r="V259" i="5"/>
  <c r="F259" i="5"/>
  <c r="V255" i="5"/>
  <c r="F255" i="5"/>
  <c r="V251" i="5"/>
  <c r="F251" i="5"/>
  <c r="V247" i="5"/>
  <c r="F247" i="5"/>
  <c r="V223" i="5"/>
  <c r="F223" i="5"/>
  <c r="V219" i="5"/>
  <c r="F219" i="5"/>
  <c r="V215" i="5"/>
  <c r="F215" i="5"/>
  <c r="V211" i="5"/>
  <c r="F211" i="5"/>
  <c r="V207" i="5"/>
  <c r="F207" i="5"/>
  <c r="V203" i="5"/>
  <c r="F203" i="5"/>
  <c r="V185" i="5"/>
  <c r="F185" i="5"/>
  <c r="V171" i="5"/>
  <c r="F171" i="5"/>
  <c r="V153" i="5"/>
  <c r="F153" i="5"/>
  <c r="V139" i="5"/>
  <c r="F139" i="5"/>
  <c r="V97" i="5"/>
  <c r="F97" i="5"/>
  <c r="V83" i="5"/>
  <c r="F83" i="5"/>
  <c r="V65" i="5"/>
  <c r="F65" i="5"/>
  <c r="V51" i="5"/>
  <c r="F51" i="5"/>
  <c r="V33" i="5"/>
  <c r="F33" i="5"/>
  <c r="V19" i="5"/>
  <c r="F19" i="5"/>
  <c r="T644" i="6"/>
  <c r="Y12" i="8"/>
  <c r="T1103" i="6"/>
  <c r="T1044" i="6"/>
  <c r="F905" i="5"/>
  <c r="V905" i="5"/>
  <c r="F820" i="5"/>
  <c r="V820" i="5"/>
  <c r="T804" i="6"/>
  <c r="V736" i="5"/>
  <c r="F736" i="5"/>
  <c r="T686" i="6"/>
  <c r="T670" i="6"/>
  <c r="V650" i="5"/>
  <c r="F650" i="5"/>
  <c r="T582" i="6"/>
  <c r="T402" i="6"/>
  <c r="F794" i="5"/>
  <c r="V794" i="5"/>
  <c r="T778" i="6"/>
  <c r="V528" i="5"/>
  <c r="F528" i="5"/>
  <c r="T440" i="6"/>
  <c r="V253" i="5"/>
  <c r="F253" i="5"/>
  <c r="V1127" i="5"/>
  <c r="F1127" i="5"/>
  <c r="F889" i="5"/>
  <c r="V889" i="5"/>
  <c r="V870" i="5"/>
  <c r="F870" i="5"/>
  <c r="V784" i="5"/>
  <c r="F784" i="5"/>
  <c r="T768" i="6"/>
  <c r="T666" i="6"/>
  <c r="T654" i="6"/>
  <c r="V638" i="5"/>
  <c r="F638" i="5"/>
  <c r="T498" i="6"/>
  <c r="T414" i="6"/>
  <c r="F774" i="5"/>
  <c r="V774" i="5"/>
  <c r="I759" i="4"/>
  <c r="O759" i="5"/>
  <c r="J759" i="4"/>
  <c r="D759" i="6"/>
  <c r="T742" i="6"/>
  <c r="J728" i="4"/>
  <c r="D728" i="6"/>
  <c r="I728" i="4"/>
  <c r="O728" i="5"/>
  <c r="V696" i="5"/>
  <c r="F696" i="5"/>
  <c r="V580" i="5"/>
  <c r="F580" i="5"/>
  <c r="V504" i="5"/>
  <c r="F504" i="5"/>
  <c r="T404" i="6"/>
  <c r="V336" i="5"/>
  <c r="F336" i="5"/>
  <c r="T578" i="6"/>
  <c r="T546" i="6"/>
  <c r="V1060" i="5"/>
  <c r="F1060" i="5"/>
  <c r="I761" i="4"/>
  <c r="O761" i="5"/>
  <c r="J761" i="4"/>
  <c r="D761" i="6"/>
  <c r="T728" i="6"/>
  <c r="V694" i="5"/>
  <c r="F694" i="5"/>
  <c r="V678" i="5"/>
  <c r="F678" i="5"/>
  <c r="V662" i="5"/>
  <c r="F662" i="5"/>
  <c r="T542" i="6"/>
  <c r="V526" i="5"/>
  <c r="F526" i="5"/>
  <c r="T458" i="6"/>
  <c r="T394" i="6"/>
  <c r="T995" i="6"/>
  <c r="F885" i="5"/>
  <c r="V885" i="5"/>
  <c r="D847" i="4"/>
  <c r="C848" i="4"/>
  <c r="V770" i="5"/>
  <c r="F770" i="5"/>
  <c r="T746" i="6"/>
  <c r="I731" i="4"/>
  <c r="O731" i="5"/>
  <c r="J731" i="4"/>
  <c r="D731" i="6"/>
  <c r="T726" i="6"/>
  <c r="F726" i="6"/>
  <c r="T652" i="6"/>
  <c r="T568" i="6"/>
  <c r="V516" i="5"/>
  <c r="F516" i="5"/>
  <c r="V464" i="5"/>
  <c r="F464" i="5"/>
  <c r="T384" i="6"/>
  <c r="T921" i="6"/>
  <c r="V792" i="5"/>
  <c r="F792" i="5"/>
  <c r="T776" i="6"/>
  <c r="V764" i="5"/>
  <c r="F764" i="5"/>
  <c r="T646" i="6"/>
  <c r="T630" i="6"/>
  <c r="C609" i="4"/>
  <c r="D608" i="4"/>
  <c r="J248" i="4"/>
  <c r="D248" i="6"/>
  <c r="I248" i="4"/>
  <c r="O248" i="5"/>
  <c r="I367" i="4"/>
  <c r="O367" i="5"/>
  <c r="J367" i="4"/>
  <c r="D367" i="6"/>
  <c r="R366" i="5"/>
  <c r="I366" i="5"/>
  <c r="J366" i="5"/>
  <c r="P1086" i="6"/>
  <c r="G1086" i="6"/>
  <c r="G370" i="4"/>
  <c r="H369" i="4"/>
  <c r="I489" i="4"/>
  <c r="O489" i="5"/>
  <c r="J489" i="4"/>
  <c r="D489" i="6"/>
  <c r="P366" i="6"/>
  <c r="G366" i="6"/>
  <c r="J9" i="4"/>
  <c r="D9" i="6"/>
  <c r="I9" i="4"/>
  <c r="O9" i="5"/>
  <c r="G1088" i="4"/>
  <c r="H1087" i="4"/>
  <c r="J608" i="4"/>
  <c r="D608" i="6"/>
  <c r="I608" i="4"/>
  <c r="O608" i="5"/>
  <c r="P846" i="6"/>
  <c r="C492" i="4"/>
  <c r="D491" i="4"/>
  <c r="AU100" i="20"/>
  <c r="AU101" i="20"/>
  <c r="AU25" i="20"/>
  <c r="AU24" i="20"/>
  <c r="AU15" i="20"/>
  <c r="AU14" i="20"/>
  <c r="AU87" i="20"/>
  <c r="AU86" i="20"/>
  <c r="J249" i="4"/>
  <c r="D249" i="6"/>
  <c r="I249" i="4"/>
  <c r="O249" i="5"/>
  <c r="G6" i="6"/>
  <c r="P6" i="6"/>
  <c r="H10" i="4"/>
  <c r="G11" i="4"/>
  <c r="I126" i="5"/>
  <c r="J126" i="5"/>
  <c r="R126" i="5"/>
  <c r="G610" i="4"/>
  <c r="H609" i="4"/>
  <c r="G966" i="6"/>
  <c r="P966" i="6"/>
  <c r="AU92" i="20"/>
  <c r="AU93" i="20"/>
  <c r="AU90" i="20"/>
  <c r="AU91" i="20"/>
  <c r="K6" i="31"/>
  <c r="I6" i="31"/>
  <c r="N6" i="31"/>
  <c r="J6" i="31"/>
  <c r="L6" i="31"/>
  <c r="AU11" i="20"/>
  <c r="AU10" i="20"/>
  <c r="AU75" i="20"/>
  <c r="AU74" i="20"/>
  <c r="D129" i="4"/>
  <c r="C130" i="4"/>
  <c r="J768" i="4"/>
  <c r="D768" i="6"/>
  <c r="I768" i="4"/>
  <c r="O768" i="5"/>
  <c r="I606" i="5"/>
  <c r="J606" i="5"/>
  <c r="R606" i="5"/>
  <c r="AU88" i="20"/>
  <c r="AU89" i="20"/>
  <c r="AU51" i="20"/>
  <c r="AU50" i="20"/>
  <c r="AU79" i="20"/>
  <c r="AU78" i="20"/>
  <c r="H969" i="4"/>
  <c r="G970" i="4"/>
  <c r="AU96" i="20"/>
  <c r="AU97" i="20"/>
  <c r="AU43" i="20"/>
  <c r="AU42" i="20"/>
  <c r="AU19" i="20"/>
  <c r="AU18" i="20"/>
  <c r="H130" i="4"/>
  <c r="G131" i="4"/>
  <c r="H250" i="4"/>
  <c r="G251" i="4"/>
  <c r="R726" i="5"/>
  <c r="I726" i="5"/>
  <c r="J726" i="5"/>
  <c r="P126" i="6"/>
  <c r="G126" i="6"/>
  <c r="R246" i="5"/>
  <c r="I246" i="5"/>
  <c r="J246" i="5"/>
  <c r="D9" i="4"/>
  <c r="C10" i="4"/>
  <c r="G770" i="4"/>
  <c r="H769" i="4"/>
  <c r="AU28" i="20"/>
  <c r="AU29" i="20"/>
  <c r="AU76" i="20"/>
  <c r="AU77" i="20"/>
  <c r="I968" i="4"/>
  <c r="O968" i="5"/>
  <c r="J968" i="4"/>
  <c r="D968" i="6"/>
  <c r="AU68" i="20"/>
  <c r="AU69" i="20"/>
  <c r="AU56" i="20"/>
  <c r="AU57" i="20"/>
  <c r="AU27" i="20"/>
  <c r="AU26" i="20"/>
  <c r="AU44" i="20"/>
  <c r="AU45" i="20"/>
  <c r="G726" i="6"/>
  <c r="P726" i="6"/>
  <c r="D848" i="4"/>
  <c r="C849" i="4"/>
  <c r="I966" i="5"/>
  <c r="J966" i="5"/>
  <c r="R966" i="5"/>
  <c r="D968" i="4"/>
  <c r="C969" i="4"/>
  <c r="I846" i="5"/>
  <c r="J846" i="5"/>
  <c r="R846" i="5"/>
  <c r="I1086" i="5"/>
  <c r="J1086" i="5"/>
  <c r="R1086" i="5"/>
  <c r="AU31" i="20"/>
  <c r="AU30" i="20"/>
  <c r="AU98" i="20"/>
  <c r="AU99" i="20"/>
  <c r="AU35" i="20"/>
  <c r="AU34" i="20"/>
  <c r="AU47" i="20"/>
  <c r="AU46" i="20"/>
  <c r="C370" i="4"/>
  <c r="D369" i="4"/>
  <c r="J129" i="4"/>
  <c r="D129" i="6"/>
  <c r="I129" i="4"/>
  <c r="O129" i="5"/>
  <c r="P246" i="6"/>
  <c r="G246" i="6"/>
  <c r="P486" i="6"/>
  <c r="G486" i="6"/>
  <c r="D249" i="4"/>
  <c r="C250" i="4"/>
  <c r="I486" i="5"/>
  <c r="J486" i="5"/>
  <c r="R486" i="5"/>
  <c r="G606" i="6"/>
  <c r="P606" i="6"/>
  <c r="AU40" i="20"/>
  <c r="AU41" i="20"/>
  <c r="AU52" i="20"/>
  <c r="AU53" i="20"/>
  <c r="AU84" i="20"/>
  <c r="AU85" i="20"/>
  <c r="AU66" i="20"/>
  <c r="AU67" i="20"/>
  <c r="AU103" i="20"/>
  <c r="AU102" i="20"/>
  <c r="AU23" i="20"/>
  <c r="AU22" i="20"/>
  <c r="AU83" i="20"/>
  <c r="AU82" i="20"/>
  <c r="I846" i="4"/>
  <c r="O846" i="5"/>
  <c r="J846" i="4"/>
  <c r="D846" i="6"/>
  <c r="G846" i="6"/>
  <c r="C1088" i="4"/>
  <c r="D1087" i="4"/>
  <c r="AU71" i="20"/>
  <c r="AU70" i="20"/>
  <c r="AU72" i="20"/>
  <c r="AU73" i="20"/>
  <c r="AU39" i="20"/>
  <c r="AU38" i="20"/>
  <c r="AU62" i="20"/>
  <c r="AU63" i="20"/>
  <c r="D609" i="4"/>
  <c r="C610" i="4"/>
  <c r="F8" i="9"/>
  <c r="H8" i="9"/>
  <c r="E8" i="9"/>
  <c r="D9" i="9"/>
  <c r="J368" i="4"/>
  <c r="D368" i="6"/>
  <c r="I368" i="4"/>
  <c r="O368" i="5"/>
  <c r="G491" i="4"/>
  <c r="H490" i="4"/>
  <c r="I6" i="5"/>
  <c r="J6" i="5"/>
  <c r="R6" i="5"/>
  <c r="I1086" i="4"/>
  <c r="O1086" i="5"/>
  <c r="J1086" i="4"/>
  <c r="D1086" i="6"/>
  <c r="C771" i="4"/>
  <c r="D770" i="4"/>
  <c r="AU55" i="20"/>
  <c r="AU54" i="20"/>
  <c r="H847" i="4"/>
  <c r="G848" i="4"/>
  <c r="AU94" i="20"/>
  <c r="AU95" i="20"/>
  <c r="AU59" i="20"/>
  <c r="AU58" i="20"/>
  <c r="AU104" i="20"/>
  <c r="AU105" i="20"/>
  <c r="K846" i="6"/>
  <c r="E847" i="6"/>
  <c r="F847" i="6"/>
  <c r="C1089" i="4"/>
  <c r="D1088" i="4"/>
  <c r="C371" i="4"/>
  <c r="D370" i="4"/>
  <c r="C772" i="4"/>
  <c r="D771" i="4"/>
  <c r="E247" i="6"/>
  <c r="F247" i="6"/>
  <c r="K246" i="6"/>
  <c r="S846" i="5"/>
  <c r="K846" i="5"/>
  <c r="E727" i="6"/>
  <c r="F727" i="6"/>
  <c r="K726" i="6"/>
  <c r="I769" i="4"/>
  <c r="O769" i="5"/>
  <c r="J769" i="4"/>
  <c r="D769" i="6"/>
  <c r="J250" i="4"/>
  <c r="D250" i="6"/>
  <c r="I250" i="4"/>
  <c r="O250" i="5"/>
  <c r="I609" i="4"/>
  <c r="O609" i="5"/>
  <c r="J609" i="4"/>
  <c r="D609" i="6"/>
  <c r="H370" i="4"/>
  <c r="G371" i="4"/>
  <c r="S6" i="5"/>
  <c r="K6" i="5"/>
  <c r="E607" i="6"/>
  <c r="F607" i="6"/>
  <c r="K606" i="6"/>
  <c r="E487" i="6"/>
  <c r="F487" i="6"/>
  <c r="K486" i="6"/>
  <c r="D969" i="4"/>
  <c r="C970" i="4"/>
  <c r="K966" i="5"/>
  <c r="S966" i="5"/>
  <c r="S366" i="5"/>
  <c r="K366" i="5"/>
  <c r="G849" i="4"/>
  <c r="H848" i="4"/>
  <c r="J490" i="4"/>
  <c r="D490" i="6"/>
  <c r="I490" i="4"/>
  <c r="O490" i="5"/>
  <c r="C611" i="4"/>
  <c r="D610" i="4"/>
  <c r="S486" i="5"/>
  <c r="K486" i="5"/>
  <c r="S1086" i="5"/>
  <c r="K1086" i="5"/>
  <c r="G132" i="4"/>
  <c r="H131" i="4"/>
  <c r="G971" i="4"/>
  <c r="H970" i="4"/>
  <c r="C131" i="4"/>
  <c r="D130" i="4"/>
  <c r="I1087" i="4"/>
  <c r="O1087" i="5"/>
  <c r="J1087" i="4"/>
  <c r="D1087" i="6"/>
  <c r="E367" i="6"/>
  <c r="F367" i="6"/>
  <c r="K366" i="6"/>
  <c r="C11" i="4"/>
  <c r="D10" i="4"/>
  <c r="E127" i="6"/>
  <c r="F127" i="6"/>
  <c r="K126" i="6"/>
  <c r="E1087" i="6"/>
  <c r="F1087" i="6"/>
  <c r="K1086" i="6"/>
  <c r="I847" i="4"/>
  <c r="O847" i="5"/>
  <c r="J847" i="4"/>
  <c r="D847" i="6"/>
  <c r="G492" i="4"/>
  <c r="H491" i="4"/>
  <c r="K246" i="5"/>
  <c r="S246" i="5"/>
  <c r="K726" i="5"/>
  <c r="S726" i="5"/>
  <c r="J130" i="4"/>
  <c r="D130" i="6"/>
  <c r="I130" i="4"/>
  <c r="O130" i="5"/>
  <c r="I969" i="4"/>
  <c r="O969" i="5"/>
  <c r="J969" i="4"/>
  <c r="D969" i="6"/>
  <c r="C493" i="4"/>
  <c r="D492" i="4"/>
  <c r="G1089" i="4"/>
  <c r="H1088" i="4"/>
  <c r="G771" i="4"/>
  <c r="H770" i="4"/>
  <c r="K966" i="6"/>
  <c r="E967" i="6"/>
  <c r="F967" i="6"/>
  <c r="G611" i="4"/>
  <c r="H610" i="4"/>
  <c r="E9" i="9"/>
  <c r="D10" i="9"/>
  <c r="F9" i="9"/>
  <c r="H9" i="9"/>
  <c r="C251" i="4"/>
  <c r="D250" i="4"/>
  <c r="C850" i="4"/>
  <c r="D849" i="4"/>
  <c r="S606" i="5"/>
  <c r="K606" i="5"/>
  <c r="S126" i="5"/>
  <c r="K126" i="5"/>
  <c r="G12" i="4"/>
  <c r="H11" i="4"/>
  <c r="D24" i="33"/>
  <c r="C24" i="33"/>
  <c r="AU9" i="20"/>
  <c r="AU8" i="20"/>
  <c r="J10" i="4"/>
  <c r="D10" i="6"/>
  <c r="I10" i="4"/>
  <c r="O10" i="5"/>
  <c r="G252" i="4"/>
  <c r="H251" i="4"/>
  <c r="K6" i="6"/>
  <c r="E7" i="6"/>
  <c r="F7" i="6"/>
  <c r="I369" i="4"/>
  <c r="O369" i="5"/>
  <c r="J369" i="4"/>
  <c r="D369" i="6"/>
  <c r="L1086" i="6"/>
  <c r="M1086" i="6"/>
  <c r="Q1086" i="6"/>
  <c r="C612" i="4"/>
  <c r="D611" i="4"/>
  <c r="Q486" i="6"/>
  <c r="L486" i="6"/>
  <c r="M486" i="6"/>
  <c r="J370" i="4"/>
  <c r="D370" i="6"/>
  <c r="I370" i="4"/>
  <c r="O370" i="5"/>
  <c r="L726" i="6"/>
  <c r="M726" i="6"/>
  <c r="Q726" i="6"/>
  <c r="H12" i="4"/>
  <c r="G13" i="4"/>
  <c r="D850" i="4"/>
  <c r="C851" i="4"/>
  <c r="L966" i="6"/>
  <c r="M966" i="6"/>
  <c r="Q966" i="6"/>
  <c r="C494" i="4"/>
  <c r="D493" i="4"/>
  <c r="L726" i="5"/>
  <c r="N726" i="5"/>
  <c r="G727" i="5"/>
  <c r="H727" i="5"/>
  <c r="P1087" i="6"/>
  <c r="G1087" i="6"/>
  <c r="P367" i="6"/>
  <c r="G367" i="6"/>
  <c r="H132" i="4"/>
  <c r="G133" i="4"/>
  <c r="G487" i="6"/>
  <c r="P487" i="6"/>
  <c r="P727" i="6"/>
  <c r="G727" i="6"/>
  <c r="P967" i="6"/>
  <c r="G967" i="6"/>
  <c r="Q366" i="6"/>
  <c r="L366" i="6"/>
  <c r="M366" i="6"/>
  <c r="G127" i="5"/>
  <c r="H127" i="5"/>
  <c r="L126" i="5"/>
  <c r="N126" i="5"/>
  <c r="J770" i="4"/>
  <c r="D770" i="6"/>
  <c r="I770" i="4"/>
  <c r="O770" i="5"/>
  <c r="Q126" i="6"/>
  <c r="L126" i="6"/>
  <c r="M126" i="6"/>
  <c r="G1087" i="5"/>
  <c r="H1087" i="5"/>
  <c r="L1086" i="5"/>
  <c r="N1086" i="5"/>
  <c r="L846" i="5"/>
  <c r="N846" i="5"/>
  <c r="G847" i="5"/>
  <c r="H847" i="5"/>
  <c r="G247" i="5"/>
  <c r="H247" i="5"/>
  <c r="L246" i="5"/>
  <c r="N246" i="5"/>
  <c r="J848" i="4"/>
  <c r="D848" i="6"/>
  <c r="I848" i="4"/>
  <c r="O848" i="5"/>
  <c r="J491" i="4"/>
  <c r="D491" i="6"/>
  <c r="I491" i="4"/>
  <c r="O491" i="5"/>
  <c r="H849" i="4"/>
  <c r="G850" i="4"/>
  <c r="G967" i="5"/>
  <c r="H967" i="5"/>
  <c r="L966" i="5"/>
  <c r="N966" i="5"/>
  <c r="P607" i="6"/>
  <c r="G607" i="6"/>
  <c r="Q246" i="6"/>
  <c r="L246" i="6"/>
  <c r="M246" i="6"/>
  <c r="J131" i="4"/>
  <c r="D131" i="6"/>
  <c r="I131" i="4"/>
  <c r="O131" i="5"/>
  <c r="P127" i="6"/>
  <c r="G127" i="6"/>
  <c r="D371" i="4"/>
  <c r="C372" i="4"/>
  <c r="L606" i="5"/>
  <c r="N606" i="5"/>
  <c r="G607" i="5"/>
  <c r="H607" i="5"/>
  <c r="F10" i="9"/>
  <c r="H10" i="9"/>
  <c r="E10" i="9"/>
  <c r="G493" i="4"/>
  <c r="H492" i="4"/>
  <c r="D11" i="4"/>
  <c r="C12" i="4"/>
  <c r="D131" i="4"/>
  <c r="C132" i="4"/>
  <c r="G487" i="5"/>
  <c r="H487" i="5"/>
  <c r="L486" i="5"/>
  <c r="N486" i="5"/>
  <c r="L366" i="5"/>
  <c r="N366" i="5"/>
  <c r="G367" i="5"/>
  <c r="H367" i="5"/>
  <c r="D970" i="4"/>
  <c r="C971" i="4"/>
  <c r="G7" i="5"/>
  <c r="H7" i="5"/>
  <c r="L6" i="5"/>
  <c r="N6" i="5"/>
  <c r="P247" i="6"/>
  <c r="G247" i="6"/>
  <c r="C1090" i="4"/>
  <c r="D1089" i="4"/>
  <c r="J11" i="4"/>
  <c r="D11" i="6"/>
  <c r="I11" i="4"/>
  <c r="O11" i="5"/>
  <c r="D251" i="4"/>
  <c r="C252" i="4"/>
  <c r="L606" i="6"/>
  <c r="M606" i="6"/>
  <c r="Q606" i="6"/>
  <c r="P7" i="6"/>
  <c r="G7" i="6"/>
  <c r="L6" i="6"/>
  <c r="M6" i="6"/>
  <c r="Q6" i="6"/>
  <c r="J251" i="4"/>
  <c r="D251" i="6"/>
  <c r="I251" i="4"/>
  <c r="O251" i="5"/>
  <c r="J610" i="4"/>
  <c r="D610" i="6"/>
  <c r="I610" i="4"/>
  <c r="O610" i="5"/>
  <c r="J1088" i="4"/>
  <c r="D1088" i="6"/>
  <c r="I1088" i="4"/>
  <c r="O1088" i="5"/>
  <c r="J970" i="4"/>
  <c r="D970" i="6"/>
  <c r="I970" i="4"/>
  <c r="O970" i="5"/>
  <c r="G847" i="6"/>
  <c r="P847" i="6"/>
  <c r="G772" i="4"/>
  <c r="H771" i="4"/>
  <c r="H252" i="4"/>
  <c r="G253" i="4"/>
  <c r="G612" i="4"/>
  <c r="H611" i="4"/>
  <c r="G1090" i="4"/>
  <c r="H1089" i="4"/>
  <c r="H971" i="4"/>
  <c r="G972" i="4"/>
  <c r="G372" i="4"/>
  <c r="H371" i="4"/>
  <c r="C773" i="4"/>
  <c r="D772" i="4"/>
  <c r="Q846" i="6"/>
  <c r="L846" i="6"/>
  <c r="M846" i="6"/>
  <c r="H372" i="4"/>
  <c r="G373" i="4"/>
  <c r="E848" i="6"/>
  <c r="F848" i="6"/>
  <c r="C253" i="4"/>
  <c r="D252" i="4"/>
  <c r="E248" i="6"/>
  <c r="F248" i="6"/>
  <c r="P486" i="5"/>
  <c r="T486" i="5"/>
  <c r="U486" i="5"/>
  <c r="N246" i="6"/>
  <c r="R246" i="6"/>
  <c r="P1086" i="5"/>
  <c r="T1086" i="5"/>
  <c r="U1086" i="5"/>
  <c r="P126" i="5"/>
  <c r="T126" i="5"/>
  <c r="U126" i="5"/>
  <c r="R727" i="5"/>
  <c r="I727" i="5"/>
  <c r="J727" i="5"/>
  <c r="G14" i="4"/>
  <c r="H13" i="4"/>
  <c r="C1091" i="4"/>
  <c r="D1090" i="4"/>
  <c r="T846" i="5"/>
  <c r="U846" i="5"/>
  <c r="P846" i="5"/>
  <c r="G254" i="4"/>
  <c r="H253" i="4"/>
  <c r="N6" i="6"/>
  <c r="R6" i="6"/>
  <c r="R487" i="5"/>
  <c r="I487" i="5"/>
  <c r="J487" i="5"/>
  <c r="S246" i="6"/>
  <c r="I1087" i="5"/>
  <c r="J1087" i="5"/>
  <c r="R1087" i="5"/>
  <c r="I127" i="5"/>
  <c r="J127" i="5"/>
  <c r="R127" i="5"/>
  <c r="E488" i="6"/>
  <c r="F488" i="6"/>
  <c r="T726" i="5"/>
  <c r="U726" i="5"/>
  <c r="P726" i="5"/>
  <c r="J12" i="4"/>
  <c r="D12" i="6"/>
  <c r="I12" i="4"/>
  <c r="O12" i="5"/>
  <c r="C613" i="4"/>
  <c r="D612" i="4"/>
  <c r="G613" i="4"/>
  <c r="H612" i="4"/>
  <c r="G973" i="4"/>
  <c r="H972" i="4"/>
  <c r="E8" i="6"/>
  <c r="F8" i="6"/>
  <c r="P6" i="5"/>
  <c r="T6" i="5"/>
  <c r="U6" i="5"/>
  <c r="C133" i="4"/>
  <c r="D132" i="4"/>
  <c r="E128" i="6"/>
  <c r="F128" i="6"/>
  <c r="E608" i="6"/>
  <c r="F608" i="6"/>
  <c r="N126" i="6"/>
  <c r="R126" i="6"/>
  <c r="S126" i="6"/>
  <c r="N366" i="6"/>
  <c r="R366" i="6"/>
  <c r="G134" i="4"/>
  <c r="H133" i="4"/>
  <c r="J371" i="4"/>
  <c r="D371" i="6"/>
  <c r="I371" i="4"/>
  <c r="O371" i="5"/>
  <c r="T366" i="5"/>
  <c r="U366" i="5"/>
  <c r="P366" i="5"/>
  <c r="I849" i="4"/>
  <c r="O849" i="5"/>
  <c r="J849" i="4"/>
  <c r="D849" i="6"/>
  <c r="J252" i="4"/>
  <c r="D252" i="6"/>
  <c r="I252" i="4"/>
  <c r="O252" i="5"/>
  <c r="R846" i="6"/>
  <c r="N846" i="6"/>
  <c r="I971" i="4"/>
  <c r="O971" i="5"/>
  <c r="J971" i="4"/>
  <c r="D971" i="6"/>
  <c r="R7" i="5"/>
  <c r="I7" i="5"/>
  <c r="J7" i="5"/>
  <c r="S366" i="6"/>
  <c r="J132" i="4"/>
  <c r="D132" i="6"/>
  <c r="I132" i="4"/>
  <c r="O132" i="5"/>
  <c r="D494" i="4"/>
  <c r="C495" i="4"/>
  <c r="R726" i="6"/>
  <c r="N726" i="6"/>
  <c r="R1086" i="6"/>
  <c r="S1086" i="6"/>
  <c r="N1086" i="6"/>
  <c r="N606" i="6"/>
  <c r="R606" i="6"/>
  <c r="S606" i="6"/>
  <c r="I1089" i="4"/>
  <c r="O1089" i="5"/>
  <c r="J1089" i="4"/>
  <c r="D1089" i="6"/>
  <c r="C972" i="4"/>
  <c r="D971" i="4"/>
  <c r="C13" i="4"/>
  <c r="D12" i="4"/>
  <c r="I607" i="5"/>
  <c r="J607" i="5"/>
  <c r="R607" i="5"/>
  <c r="P966" i="5"/>
  <c r="T966" i="5"/>
  <c r="U966" i="5"/>
  <c r="T246" i="5"/>
  <c r="U246" i="5"/>
  <c r="P246" i="5"/>
  <c r="E968" i="6"/>
  <c r="F968" i="6"/>
  <c r="E368" i="6"/>
  <c r="F368" i="6"/>
  <c r="I771" i="4"/>
  <c r="O771" i="5"/>
  <c r="J771" i="4"/>
  <c r="D771" i="6"/>
  <c r="R247" i="5"/>
  <c r="I247" i="5"/>
  <c r="J247" i="5"/>
  <c r="N966" i="6"/>
  <c r="R966" i="6"/>
  <c r="G494" i="4"/>
  <c r="H493" i="4"/>
  <c r="G1091" i="4"/>
  <c r="H1090" i="4"/>
  <c r="T606" i="5"/>
  <c r="U606" i="5"/>
  <c r="P606" i="5"/>
  <c r="I967" i="5"/>
  <c r="J967" i="5"/>
  <c r="R967" i="5"/>
  <c r="C774" i="4"/>
  <c r="D773" i="4"/>
  <c r="I611" i="4"/>
  <c r="O611" i="5"/>
  <c r="J611" i="4"/>
  <c r="D611" i="6"/>
  <c r="G773" i="4"/>
  <c r="H772" i="4"/>
  <c r="R367" i="5"/>
  <c r="I367" i="5"/>
  <c r="J367" i="5"/>
  <c r="J492" i="4"/>
  <c r="D492" i="6"/>
  <c r="I492" i="4"/>
  <c r="O492" i="5"/>
  <c r="C373" i="4"/>
  <c r="D372" i="4"/>
  <c r="H850" i="4"/>
  <c r="G851" i="4"/>
  <c r="I847" i="5"/>
  <c r="J847" i="5"/>
  <c r="R847" i="5"/>
  <c r="E728" i="6"/>
  <c r="F728" i="6"/>
  <c r="E1088" i="6"/>
  <c r="F1088" i="6"/>
  <c r="C852" i="4"/>
  <c r="D851" i="4"/>
  <c r="R486" i="6"/>
  <c r="N486" i="6"/>
  <c r="J127" i="6"/>
  <c r="K127" i="6"/>
  <c r="O126" i="6"/>
  <c r="M7" i="5"/>
  <c r="Q6" i="5"/>
  <c r="C1092" i="4"/>
  <c r="D1091" i="4"/>
  <c r="M247" i="5"/>
  <c r="Q246" i="5"/>
  <c r="J487" i="6"/>
  <c r="K487" i="6"/>
  <c r="O486" i="6"/>
  <c r="G495" i="4"/>
  <c r="H494" i="4"/>
  <c r="O726" i="6"/>
  <c r="J727" i="6"/>
  <c r="K727" i="6"/>
  <c r="S847" i="5"/>
  <c r="K847" i="5"/>
  <c r="G608" i="6"/>
  <c r="P608" i="6"/>
  <c r="C614" i="4"/>
  <c r="D613" i="4"/>
  <c r="S127" i="5"/>
  <c r="K127" i="5"/>
  <c r="J7" i="6"/>
  <c r="K7" i="6"/>
  <c r="O6" i="6"/>
  <c r="J13" i="4"/>
  <c r="D13" i="6"/>
  <c r="I13" i="4"/>
  <c r="O13" i="5"/>
  <c r="Q1086" i="5"/>
  <c r="M1087" i="5"/>
  <c r="D253" i="4"/>
  <c r="C254" i="4"/>
  <c r="J847" i="6"/>
  <c r="K847" i="6"/>
  <c r="O846" i="6"/>
  <c r="H851" i="4"/>
  <c r="G852" i="4"/>
  <c r="K967" i="5"/>
  <c r="S967" i="5"/>
  <c r="S966" i="6"/>
  <c r="Q966" i="5"/>
  <c r="M967" i="5"/>
  <c r="C496" i="4"/>
  <c r="D495" i="4"/>
  <c r="S7" i="5"/>
  <c r="K7" i="5"/>
  <c r="S726" i="6"/>
  <c r="P8" i="6"/>
  <c r="G8" i="6"/>
  <c r="J253" i="4"/>
  <c r="D253" i="6"/>
  <c r="I253" i="4"/>
  <c r="O253" i="5"/>
  <c r="H14" i="4"/>
  <c r="G15" i="4"/>
  <c r="S6" i="6"/>
  <c r="S367" i="5"/>
  <c r="K367" i="5"/>
  <c r="C775" i="4"/>
  <c r="D774" i="4"/>
  <c r="D972" i="4"/>
  <c r="C973" i="4"/>
  <c r="D852" i="4"/>
  <c r="C853" i="4"/>
  <c r="I850" i="4"/>
  <c r="O850" i="5"/>
  <c r="J850" i="4"/>
  <c r="D850" i="6"/>
  <c r="J772" i="4"/>
  <c r="D772" i="6"/>
  <c r="I772" i="4"/>
  <c r="O772" i="5"/>
  <c r="Q606" i="5"/>
  <c r="M607" i="5"/>
  <c r="O966" i="6"/>
  <c r="J967" i="6"/>
  <c r="K967" i="6"/>
  <c r="S846" i="6"/>
  <c r="J133" i="4"/>
  <c r="D133" i="6"/>
  <c r="I133" i="4"/>
  <c r="O133" i="5"/>
  <c r="J972" i="4"/>
  <c r="D972" i="6"/>
  <c r="I972" i="4"/>
  <c r="O972" i="5"/>
  <c r="S1087" i="5"/>
  <c r="K1087" i="5"/>
  <c r="H254" i="4"/>
  <c r="G255" i="4"/>
  <c r="S727" i="5"/>
  <c r="K727" i="5"/>
  <c r="J247" i="6"/>
  <c r="K247" i="6"/>
  <c r="O246" i="6"/>
  <c r="P728" i="6"/>
  <c r="G728" i="6"/>
  <c r="G774" i="4"/>
  <c r="H773" i="4"/>
  <c r="P368" i="6"/>
  <c r="G368" i="6"/>
  <c r="K607" i="5"/>
  <c r="S607" i="5"/>
  <c r="H134" i="4"/>
  <c r="G135" i="4"/>
  <c r="G128" i="6"/>
  <c r="P128" i="6"/>
  <c r="H973" i="4"/>
  <c r="G974" i="4"/>
  <c r="M727" i="5"/>
  <c r="Q726" i="5"/>
  <c r="P848" i="6"/>
  <c r="G848" i="6"/>
  <c r="J493" i="4"/>
  <c r="D493" i="6"/>
  <c r="I493" i="4"/>
  <c r="O493" i="5"/>
  <c r="P1088" i="6"/>
  <c r="G1088" i="6"/>
  <c r="C374" i="4"/>
  <c r="D373" i="4"/>
  <c r="I1090" i="4"/>
  <c r="O1090" i="5"/>
  <c r="J1090" i="4"/>
  <c r="D1090" i="6"/>
  <c r="O606" i="6"/>
  <c r="J607" i="6"/>
  <c r="K607" i="6"/>
  <c r="M367" i="5"/>
  <c r="Q366" i="5"/>
  <c r="S486" i="6"/>
  <c r="S487" i="5"/>
  <c r="K487" i="5"/>
  <c r="M847" i="5"/>
  <c r="Q846" i="5"/>
  <c r="M487" i="5"/>
  <c r="Q486" i="5"/>
  <c r="H373" i="4"/>
  <c r="G374" i="4"/>
  <c r="G1092" i="4"/>
  <c r="H1091" i="4"/>
  <c r="S247" i="5"/>
  <c r="K247" i="5"/>
  <c r="P968" i="6"/>
  <c r="G968" i="6"/>
  <c r="D13" i="4"/>
  <c r="C14" i="4"/>
  <c r="J1087" i="6"/>
  <c r="K1087" i="6"/>
  <c r="O1086" i="6"/>
  <c r="J367" i="6"/>
  <c r="K367" i="6"/>
  <c r="O366" i="6"/>
  <c r="D133" i="4"/>
  <c r="C134" i="4"/>
  <c r="J612" i="4"/>
  <c r="D612" i="6"/>
  <c r="I612" i="4"/>
  <c r="O612" i="5"/>
  <c r="G248" i="6"/>
  <c r="P248" i="6"/>
  <c r="J372" i="4"/>
  <c r="D372" i="6"/>
  <c r="I372" i="4"/>
  <c r="O372" i="5"/>
  <c r="H613" i="4"/>
  <c r="G614" i="4"/>
  <c r="P488" i="6"/>
  <c r="G488" i="6"/>
  <c r="M127" i="5"/>
  <c r="Q126" i="5"/>
  <c r="Q967" i="6"/>
  <c r="L967" i="6"/>
  <c r="M967" i="6"/>
  <c r="J494" i="4"/>
  <c r="D494" i="6"/>
  <c r="I494" i="4"/>
  <c r="O494" i="5"/>
  <c r="C135" i="4"/>
  <c r="D134" i="4"/>
  <c r="L1087" i="6"/>
  <c r="M1087" i="6"/>
  <c r="Q1087" i="6"/>
  <c r="I1091" i="4"/>
  <c r="O1091" i="5"/>
  <c r="J1091" i="4"/>
  <c r="D1091" i="6"/>
  <c r="W366" i="5"/>
  <c r="I973" i="4"/>
  <c r="O973" i="5"/>
  <c r="J973" i="4"/>
  <c r="D973" i="6"/>
  <c r="L607" i="5"/>
  <c r="N607" i="5"/>
  <c r="G608" i="5"/>
  <c r="H608" i="5"/>
  <c r="Q247" i="6"/>
  <c r="L247" i="6"/>
  <c r="M247" i="6"/>
  <c r="U966" i="6"/>
  <c r="C776" i="4"/>
  <c r="D775" i="4"/>
  <c r="G16" i="4"/>
  <c r="H15" i="4"/>
  <c r="G8" i="5"/>
  <c r="H8" i="5"/>
  <c r="L7" i="5"/>
  <c r="N7" i="5"/>
  <c r="W1086" i="5"/>
  <c r="H495" i="4"/>
  <c r="G496" i="4"/>
  <c r="U126" i="6"/>
  <c r="E849" i="6"/>
  <c r="F849" i="6"/>
  <c r="G1093" i="4"/>
  <c r="H1092" i="4"/>
  <c r="C375" i="4"/>
  <c r="D374" i="4"/>
  <c r="E369" i="6"/>
  <c r="F369" i="6"/>
  <c r="C854" i="4"/>
  <c r="D853" i="4"/>
  <c r="L367" i="5"/>
  <c r="N367" i="5"/>
  <c r="G368" i="5"/>
  <c r="H368" i="5"/>
  <c r="J14" i="4"/>
  <c r="D14" i="6"/>
  <c r="I14" i="4"/>
  <c r="O14" i="5"/>
  <c r="U846" i="6"/>
  <c r="U486" i="6"/>
  <c r="C1093" i="4"/>
  <c r="D1092" i="4"/>
  <c r="Q127" i="6"/>
  <c r="L127" i="6"/>
  <c r="M127" i="6"/>
  <c r="G375" i="4"/>
  <c r="H374" i="4"/>
  <c r="L847" i="6"/>
  <c r="M847" i="6"/>
  <c r="Q847" i="6"/>
  <c r="C615" i="4"/>
  <c r="D614" i="4"/>
  <c r="L847" i="5"/>
  <c r="N847" i="5"/>
  <c r="G848" i="5"/>
  <c r="H848" i="5"/>
  <c r="Q487" i="6"/>
  <c r="L487" i="6"/>
  <c r="M487" i="6"/>
  <c r="U1086" i="6"/>
  <c r="H974" i="4"/>
  <c r="G975" i="4"/>
  <c r="U366" i="6"/>
  <c r="I613" i="4"/>
  <c r="O613" i="5"/>
  <c r="J613" i="4"/>
  <c r="D613" i="6"/>
  <c r="Q367" i="6"/>
  <c r="L367" i="6"/>
  <c r="M367" i="6"/>
  <c r="I373" i="4"/>
  <c r="O373" i="5"/>
  <c r="J373" i="4"/>
  <c r="D373" i="6"/>
  <c r="Q607" i="6"/>
  <c r="L607" i="6"/>
  <c r="M607" i="6"/>
  <c r="G136" i="4"/>
  <c r="H135" i="4"/>
  <c r="I773" i="4"/>
  <c r="O773" i="5"/>
  <c r="J773" i="4"/>
  <c r="D773" i="6"/>
  <c r="W606" i="5"/>
  <c r="D496" i="4"/>
  <c r="C497" i="4"/>
  <c r="G968" i="5"/>
  <c r="H968" i="5"/>
  <c r="L967" i="5"/>
  <c r="N967" i="5"/>
  <c r="U246" i="6"/>
  <c r="G128" i="5"/>
  <c r="H128" i="5"/>
  <c r="L127" i="5"/>
  <c r="N127" i="5"/>
  <c r="E489" i="6"/>
  <c r="F489" i="6"/>
  <c r="C15" i="4"/>
  <c r="D14" i="4"/>
  <c r="G488" i="5"/>
  <c r="H488" i="5"/>
  <c r="L487" i="5"/>
  <c r="N487" i="5"/>
  <c r="E1089" i="6"/>
  <c r="F1089" i="6"/>
  <c r="E129" i="6"/>
  <c r="F129" i="6"/>
  <c r="L727" i="5"/>
  <c r="N727" i="5"/>
  <c r="G728" i="5"/>
  <c r="H728" i="5"/>
  <c r="E969" i="6"/>
  <c r="F969" i="6"/>
  <c r="W486" i="5"/>
  <c r="U606" i="6"/>
  <c r="W726" i="5"/>
  <c r="J134" i="4"/>
  <c r="D134" i="6"/>
  <c r="I134" i="4"/>
  <c r="O134" i="5"/>
  <c r="G775" i="4"/>
  <c r="H774" i="4"/>
  <c r="G256" i="4"/>
  <c r="H255" i="4"/>
  <c r="H852" i="4"/>
  <c r="G853" i="4"/>
  <c r="U6" i="6"/>
  <c r="E609" i="6"/>
  <c r="F609" i="6"/>
  <c r="L727" i="6"/>
  <c r="M727" i="6"/>
  <c r="Q727" i="6"/>
  <c r="W246" i="5"/>
  <c r="W846" i="5"/>
  <c r="G615" i="4"/>
  <c r="H614" i="4"/>
  <c r="W126" i="5"/>
  <c r="E729" i="6"/>
  <c r="F729" i="6"/>
  <c r="J254" i="4"/>
  <c r="D254" i="6"/>
  <c r="I254" i="4"/>
  <c r="O254" i="5"/>
  <c r="D973" i="4"/>
  <c r="C974" i="4"/>
  <c r="E9" i="6"/>
  <c r="F9" i="6"/>
  <c r="W966" i="5"/>
  <c r="I851" i="4"/>
  <c r="O851" i="5"/>
  <c r="J851" i="4"/>
  <c r="D851" i="6"/>
  <c r="C255" i="4"/>
  <c r="D254" i="4"/>
  <c r="Q7" i="6"/>
  <c r="L7" i="6"/>
  <c r="M7" i="6"/>
  <c r="U726" i="6"/>
  <c r="W6" i="5"/>
  <c r="E249" i="6"/>
  <c r="F249" i="6"/>
  <c r="G248" i="5"/>
  <c r="H248" i="5"/>
  <c r="L247" i="5"/>
  <c r="N247" i="5"/>
  <c r="G1088" i="5"/>
  <c r="H1088" i="5"/>
  <c r="L1087" i="5"/>
  <c r="N1087" i="5"/>
  <c r="D135" i="4"/>
  <c r="C136" i="4"/>
  <c r="G776" i="4"/>
  <c r="H775" i="4"/>
  <c r="P969" i="6"/>
  <c r="G969" i="6"/>
  <c r="I488" i="5"/>
  <c r="J488" i="5"/>
  <c r="R488" i="5"/>
  <c r="V246" i="6"/>
  <c r="I968" i="5"/>
  <c r="J968" i="5"/>
  <c r="R968" i="5"/>
  <c r="V1086" i="6"/>
  <c r="J374" i="4"/>
  <c r="D374" i="6"/>
  <c r="I374" i="4"/>
  <c r="O374" i="5"/>
  <c r="J15" i="4"/>
  <c r="D15" i="6"/>
  <c r="I15" i="4"/>
  <c r="O15" i="5"/>
  <c r="R247" i="6"/>
  <c r="S247" i="6"/>
  <c r="N247" i="6"/>
  <c r="D255" i="4"/>
  <c r="C256" i="4"/>
  <c r="G9" i="6"/>
  <c r="P9" i="6"/>
  <c r="P729" i="6"/>
  <c r="G729" i="6"/>
  <c r="G616" i="4"/>
  <c r="H615" i="4"/>
  <c r="X246" i="5"/>
  <c r="V6" i="6"/>
  <c r="R728" i="5"/>
  <c r="I728" i="5"/>
  <c r="J728" i="5"/>
  <c r="D497" i="4"/>
  <c r="C498" i="4"/>
  <c r="V366" i="6"/>
  <c r="D615" i="4"/>
  <c r="C616" i="4"/>
  <c r="G376" i="4"/>
  <c r="H375" i="4"/>
  <c r="H16" i="4"/>
  <c r="G17" i="4"/>
  <c r="S847" i="6"/>
  <c r="R127" i="6"/>
  <c r="N127" i="6"/>
  <c r="V846" i="6"/>
  <c r="R368" i="5"/>
  <c r="I368" i="5"/>
  <c r="J368" i="5"/>
  <c r="C376" i="4"/>
  <c r="D375" i="4"/>
  <c r="V126" i="6"/>
  <c r="X1086" i="5"/>
  <c r="I608" i="5"/>
  <c r="J608" i="5"/>
  <c r="R608" i="5"/>
  <c r="V726" i="6"/>
  <c r="H853" i="4"/>
  <c r="G854" i="4"/>
  <c r="X726" i="5"/>
  <c r="X486" i="5"/>
  <c r="P129" i="6"/>
  <c r="G129" i="6"/>
  <c r="X606" i="5"/>
  <c r="J135" i="4"/>
  <c r="D135" i="6"/>
  <c r="I135" i="4"/>
  <c r="O135" i="5"/>
  <c r="R847" i="6"/>
  <c r="N847" i="6"/>
  <c r="S127" i="6"/>
  <c r="T367" i="5"/>
  <c r="U367" i="5"/>
  <c r="P367" i="5"/>
  <c r="J1092" i="4"/>
  <c r="D1092" i="6"/>
  <c r="I1092" i="4"/>
  <c r="O1092" i="5"/>
  <c r="C777" i="4"/>
  <c r="D776" i="4"/>
  <c r="T607" i="5"/>
  <c r="U607" i="5"/>
  <c r="P607" i="5"/>
  <c r="N967" i="6"/>
  <c r="R967" i="6"/>
  <c r="P609" i="6"/>
  <c r="G609" i="6"/>
  <c r="P247" i="5"/>
  <c r="T247" i="5"/>
  <c r="U247" i="5"/>
  <c r="X6" i="5"/>
  <c r="D974" i="4"/>
  <c r="C975" i="4"/>
  <c r="X966" i="5"/>
  <c r="X126" i="5"/>
  <c r="X846" i="5"/>
  <c r="J852" i="4"/>
  <c r="D852" i="6"/>
  <c r="I852" i="4"/>
  <c r="O852" i="5"/>
  <c r="G489" i="6"/>
  <c r="P489" i="6"/>
  <c r="H136" i="4"/>
  <c r="G137" i="4"/>
  <c r="R367" i="6"/>
  <c r="N367" i="6"/>
  <c r="R487" i="6"/>
  <c r="N487" i="6"/>
  <c r="G1094" i="4"/>
  <c r="H1093" i="4"/>
  <c r="V966" i="6"/>
  <c r="S967" i="6"/>
  <c r="J255" i="4"/>
  <c r="D255" i="6"/>
  <c r="I255" i="4"/>
  <c r="O255" i="5"/>
  <c r="P127" i="5"/>
  <c r="T127" i="5"/>
  <c r="U127" i="5"/>
  <c r="S367" i="6"/>
  <c r="C1094" i="4"/>
  <c r="D1093" i="4"/>
  <c r="D854" i="4"/>
  <c r="C855" i="4"/>
  <c r="I1088" i="5"/>
  <c r="J1088" i="5"/>
  <c r="R1088" i="5"/>
  <c r="D15" i="4"/>
  <c r="C16" i="4"/>
  <c r="N7" i="6"/>
  <c r="R7" i="6"/>
  <c r="S7" i="6"/>
  <c r="N727" i="6"/>
  <c r="R727" i="6"/>
  <c r="H256" i="4"/>
  <c r="G257" i="4"/>
  <c r="P1089" i="6"/>
  <c r="G1089" i="6"/>
  <c r="R128" i="5"/>
  <c r="I128" i="5"/>
  <c r="J128" i="5"/>
  <c r="R607" i="6"/>
  <c r="N607" i="6"/>
  <c r="H975" i="4"/>
  <c r="G976" i="4"/>
  <c r="I848" i="5"/>
  <c r="J848" i="5"/>
  <c r="R848" i="5"/>
  <c r="V486" i="6"/>
  <c r="G497" i="4"/>
  <c r="H496" i="4"/>
  <c r="P7" i="5"/>
  <c r="T7" i="5"/>
  <c r="U7" i="5"/>
  <c r="N1087" i="6"/>
  <c r="R1087" i="6"/>
  <c r="S1087" i="6"/>
  <c r="J614" i="4"/>
  <c r="D614" i="6"/>
  <c r="I614" i="4"/>
  <c r="O614" i="5"/>
  <c r="T727" i="5"/>
  <c r="U727" i="5"/>
  <c r="P727" i="5"/>
  <c r="R248" i="5"/>
  <c r="I248" i="5"/>
  <c r="J248" i="5"/>
  <c r="G249" i="6"/>
  <c r="P249" i="6"/>
  <c r="S727" i="6"/>
  <c r="P1087" i="5"/>
  <c r="T1087" i="5"/>
  <c r="U1087" i="5"/>
  <c r="J774" i="4"/>
  <c r="D774" i="6"/>
  <c r="I774" i="4"/>
  <c r="O774" i="5"/>
  <c r="V606" i="6"/>
  <c r="P487" i="5"/>
  <c r="T487" i="5"/>
  <c r="U487" i="5"/>
  <c r="P967" i="5"/>
  <c r="T967" i="5"/>
  <c r="U967" i="5"/>
  <c r="J974" i="4"/>
  <c r="D974" i="6"/>
  <c r="I974" i="4"/>
  <c r="O974" i="5"/>
  <c r="T847" i="5"/>
  <c r="U847" i="5"/>
  <c r="P847" i="5"/>
  <c r="P369" i="6"/>
  <c r="G369" i="6"/>
  <c r="P849" i="6"/>
  <c r="G849" i="6"/>
  <c r="J495" i="4"/>
  <c r="D495" i="6"/>
  <c r="I495" i="4"/>
  <c r="O495" i="5"/>
  <c r="R8" i="5"/>
  <c r="I8" i="5"/>
  <c r="J8" i="5"/>
  <c r="X366" i="5"/>
  <c r="E490" i="6"/>
  <c r="F490" i="6"/>
  <c r="G855" i="4"/>
  <c r="H854" i="4"/>
  <c r="J128" i="6"/>
  <c r="K128" i="6"/>
  <c r="O127" i="6"/>
  <c r="C617" i="4"/>
  <c r="D616" i="4"/>
  <c r="J728" i="6"/>
  <c r="K728" i="6"/>
  <c r="O727" i="6"/>
  <c r="J968" i="6"/>
  <c r="K968" i="6"/>
  <c r="O967" i="6"/>
  <c r="E130" i="6"/>
  <c r="F130" i="6"/>
  <c r="C17" i="4"/>
  <c r="D16" i="4"/>
  <c r="C1095" i="4"/>
  <c r="D1094" i="4"/>
  <c r="G138" i="4"/>
  <c r="H137" i="4"/>
  <c r="K608" i="5"/>
  <c r="S608" i="5"/>
  <c r="J16" i="4"/>
  <c r="D16" i="6"/>
  <c r="I16" i="4"/>
  <c r="O16" i="5"/>
  <c r="E850" i="6"/>
  <c r="F850" i="6"/>
  <c r="S607" i="6"/>
  <c r="M8" i="5"/>
  <c r="Q7" i="5"/>
  <c r="I975" i="4"/>
  <c r="O975" i="5"/>
  <c r="J975" i="4"/>
  <c r="D975" i="6"/>
  <c r="J256" i="4"/>
  <c r="D256" i="6"/>
  <c r="I256" i="4"/>
  <c r="O256" i="5"/>
  <c r="K1088" i="5"/>
  <c r="S1088" i="5"/>
  <c r="G1095" i="4"/>
  <c r="H1094" i="4"/>
  <c r="M728" i="5"/>
  <c r="Q727" i="5"/>
  <c r="J496" i="4"/>
  <c r="D496" i="6"/>
  <c r="I496" i="4"/>
  <c r="O496" i="5"/>
  <c r="J608" i="6"/>
  <c r="K608" i="6"/>
  <c r="O607" i="6"/>
  <c r="M128" i="5"/>
  <c r="Q127" i="5"/>
  <c r="J488" i="6"/>
  <c r="K488" i="6"/>
  <c r="O487" i="6"/>
  <c r="C976" i="4"/>
  <c r="D975" i="4"/>
  <c r="M368" i="5"/>
  <c r="Q367" i="5"/>
  <c r="I853" i="4"/>
  <c r="O853" i="5"/>
  <c r="J853" i="4"/>
  <c r="D853" i="6"/>
  <c r="E10" i="6"/>
  <c r="F10" i="6"/>
  <c r="S488" i="5"/>
  <c r="K488" i="5"/>
  <c r="E370" i="6"/>
  <c r="F370" i="6"/>
  <c r="E970" i="6"/>
  <c r="F970" i="6"/>
  <c r="Q1087" i="5"/>
  <c r="M1088" i="5"/>
  <c r="S128" i="5"/>
  <c r="K128" i="5"/>
  <c r="J368" i="6"/>
  <c r="K368" i="6"/>
  <c r="O367" i="6"/>
  <c r="Q607" i="5"/>
  <c r="M608" i="5"/>
  <c r="C377" i="4"/>
  <c r="D376" i="4"/>
  <c r="Q967" i="5"/>
  <c r="M968" i="5"/>
  <c r="G498" i="4"/>
  <c r="H497" i="4"/>
  <c r="C856" i="4"/>
  <c r="D855" i="4"/>
  <c r="C257" i="4"/>
  <c r="D256" i="4"/>
  <c r="S8" i="5"/>
  <c r="K8" i="5"/>
  <c r="M848" i="5"/>
  <c r="Q847" i="5"/>
  <c r="Q487" i="5"/>
  <c r="M488" i="5"/>
  <c r="J8" i="6"/>
  <c r="K8" i="6"/>
  <c r="O7" i="6"/>
  <c r="O847" i="6"/>
  <c r="J848" i="6"/>
  <c r="K848" i="6"/>
  <c r="S368" i="5"/>
  <c r="K368" i="5"/>
  <c r="G18" i="4"/>
  <c r="H17" i="4"/>
  <c r="C499" i="4"/>
  <c r="D498" i="4"/>
  <c r="I615" i="4"/>
  <c r="O615" i="5"/>
  <c r="J615" i="4"/>
  <c r="D615" i="6"/>
  <c r="J248" i="6"/>
  <c r="K248" i="6"/>
  <c r="O247" i="6"/>
  <c r="I775" i="4"/>
  <c r="O775" i="5"/>
  <c r="J775" i="4"/>
  <c r="D775" i="6"/>
  <c r="E1090" i="6"/>
  <c r="F1090" i="6"/>
  <c r="G617" i="4"/>
  <c r="H616" i="4"/>
  <c r="K968" i="5"/>
  <c r="S968" i="5"/>
  <c r="G777" i="4"/>
  <c r="H776" i="4"/>
  <c r="E250" i="6"/>
  <c r="F250" i="6"/>
  <c r="O1087" i="6"/>
  <c r="J1088" i="6"/>
  <c r="K1088" i="6"/>
  <c r="S848" i="5"/>
  <c r="K848" i="5"/>
  <c r="S487" i="6"/>
  <c r="J136" i="4"/>
  <c r="D136" i="6"/>
  <c r="I136" i="4"/>
  <c r="O136" i="5"/>
  <c r="Q247" i="5"/>
  <c r="M248" i="5"/>
  <c r="C778" i="4"/>
  <c r="D777" i="4"/>
  <c r="J375" i="4"/>
  <c r="D375" i="6"/>
  <c r="I375" i="4"/>
  <c r="O375" i="5"/>
  <c r="K728" i="5"/>
  <c r="S728" i="5"/>
  <c r="E730" i="6"/>
  <c r="F730" i="6"/>
  <c r="C137" i="4"/>
  <c r="D136" i="4"/>
  <c r="K248" i="5"/>
  <c r="S248" i="5"/>
  <c r="G977" i="4"/>
  <c r="H976" i="4"/>
  <c r="G258" i="4"/>
  <c r="H257" i="4"/>
  <c r="I1093" i="4"/>
  <c r="O1093" i="5"/>
  <c r="J1093" i="4"/>
  <c r="D1093" i="6"/>
  <c r="E610" i="6"/>
  <c r="F610" i="6"/>
  <c r="G377" i="4"/>
  <c r="H376" i="4"/>
  <c r="G129" i="5"/>
  <c r="H129" i="5"/>
  <c r="L128" i="5"/>
  <c r="N128" i="5"/>
  <c r="L848" i="5"/>
  <c r="N848" i="5"/>
  <c r="G849" i="5"/>
  <c r="H849" i="5"/>
  <c r="G778" i="4"/>
  <c r="H777" i="4"/>
  <c r="H18" i="4"/>
  <c r="G19" i="4"/>
  <c r="J497" i="4"/>
  <c r="D497" i="6"/>
  <c r="I497" i="4"/>
  <c r="O497" i="5"/>
  <c r="C378" i="4"/>
  <c r="D377" i="4"/>
  <c r="D976" i="4"/>
  <c r="C977" i="4"/>
  <c r="J137" i="4"/>
  <c r="D137" i="6"/>
  <c r="I137" i="4"/>
  <c r="O137" i="5"/>
  <c r="Q728" i="6"/>
  <c r="L728" i="6"/>
  <c r="M728" i="6"/>
  <c r="C618" i="4"/>
  <c r="D617" i="4"/>
  <c r="H258" i="4"/>
  <c r="G259" i="4"/>
  <c r="J616" i="4"/>
  <c r="D616" i="6"/>
  <c r="I616" i="4"/>
  <c r="O616" i="5"/>
  <c r="G10" i="6"/>
  <c r="P10" i="6"/>
  <c r="W7" i="5"/>
  <c r="L368" i="5"/>
  <c r="N368" i="5"/>
  <c r="G369" i="5"/>
  <c r="H369" i="5"/>
  <c r="P370" i="6"/>
  <c r="G370" i="6"/>
  <c r="H138" i="4"/>
  <c r="G139" i="4"/>
  <c r="J376" i="4"/>
  <c r="D376" i="6"/>
  <c r="I376" i="4"/>
  <c r="O376" i="5"/>
  <c r="G249" i="5"/>
  <c r="H249" i="5"/>
  <c r="L248" i="5"/>
  <c r="N248" i="5"/>
  <c r="G969" i="5"/>
  <c r="H969" i="5"/>
  <c r="L968" i="5"/>
  <c r="N968" i="5"/>
  <c r="L248" i="6"/>
  <c r="M248" i="6"/>
  <c r="Q248" i="6"/>
  <c r="D257" i="4"/>
  <c r="C258" i="4"/>
  <c r="L368" i="6"/>
  <c r="M368" i="6"/>
  <c r="Q368" i="6"/>
  <c r="W1087" i="5"/>
  <c r="G489" i="5"/>
  <c r="H489" i="5"/>
  <c r="L488" i="5"/>
  <c r="N488" i="5"/>
  <c r="U487" i="6"/>
  <c r="U607" i="6"/>
  <c r="P850" i="6"/>
  <c r="G850" i="6"/>
  <c r="P130" i="6"/>
  <c r="G130" i="6"/>
  <c r="U127" i="6"/>
  <c r="P490" i="6"/>
  <c r="G490" i="6"/>
  <c r="U7" i="6"/>
  <c r="P970" i="6"/>
  <c r="G970" i="6"/>
  <c r="C779" i="4"/>
  <c r="D778" i="4"/>
  <c r="G499" i="4"/>
  <c r="H498" i="4"/>
  <c r="G378" i="4"/>
  <c r="H377" i="4"/>
  <c r="W247" i="5"/>
  <c r="L1088" i="6"/>
  <c r="M1088" i="6"/>
  <c r="Q1088" i="6"/>
  <c r="W487" i="5"/>
  <c r="W367" i="5"/>
  <c r="L488" i="6"/>
  <c r="M488" i="6"/>
  <c r="Q488" i="6"/>
  <c r="Q608" i="6"/>
  <c r="L608" i="6"/>
  <c r="M608" i="6"/>
  <c r="I1094" i="4"/>
  <c r="O1094" i="5"/>
  <c r="J1094" i="4"/>
  <c r="D1094" i="6"/>
  <c r="C1096" i="4"/>
  <c r="D1095" i="4"/>
  <c r="L128" i="6"/>
  <c r="M128" i="6"/>
  <c r="Q128" i="6"/>
  <c r="L728" i="5"/>
  <c r="N728" i="5"/>
  <c r="G729" i="5"/>
  <c r="H729" i="5"/>
  <c r="U247" i="6"/>
  <c r="U367" i="6"/>
  <c r="G610" i="6"/>
  <c r="P610" i="6"/>
  <c r="J257" i="4"/>
  <c r="D257" i="6"/>
  <c r="I257" i="4"/>
  <c r="O257" i="5"/>
  <c r="D137" i="4"/>
  <c r="C138" i="4"/>
  <c r="U1087" i="6"/>
  <c r="P1090" i="6"/>
  <c r="G1090" i="6"/>
  <c r="W967" i="5"/>
  <c r="G1096" i="4"/>
  <c r="H1095" i="4"/>
  <c r="U967" i="6"/>
  <c r="D17" i="4"/>
  <c r="C18" i="4"/>
  <c r="Q968" i="6"/>
  <c r="L968" i="6"/>
  <c r="M968" i="6"/>
  <c r="J854" i="4"/>
  <c r="D854" i="6"/>
  <c r="I854" i="4"/>
  <c r="O854" i="5"/>
  <c r="I976" i="4"/>
  <c r="O976" i="5"/>
  <c r="J976" i="4"/>
  <c r="D976" i="6"/>
  <c r="G618" i="4"/>
  <c r="H617" i="4"/>
  <c r="L608" i="5"/>
  <c r="N608" i="5"/>
  <c r="G609" i="5"/>
  <c r="H609" i="5"/>
  <c r="H855" i="4"/>
  <c r="G856" i="4"/>
  <c r="W847" i="5"/>
  <c r="W607" i="5"/>
  <c r="W127" i="5"/>
  <c r="G730" i="6"/>
  <c r="P730" i="6"/>
  <c r="P250" i="6"/>
  <c r="G250" i="6"/>
  <c r="C500" i="4"/>
  <c r="D499" i="4"/>
  <c r="L848" i="6"/>
  <c r="M848" i="6"/>
  <c r="Q848" i="6"/>
  <c r="Q8" i="6"/>
  <c r="L8" i="6"/>
  <c r="M8" i="6"/>
  <c r="H977" i="4"/>
  <c r="G978" i="4"/>
  <c r="J776" i="4"/>
  <c r="D776" i="6"/>
  <c r="I776" i="4"/>
  <c r="O776" i="5"/>
  <c r="J17" i="4"/>
  <c r="D17" i="6"/>
  <c r="I17" i="4"/>
  <c r="O17" i="5"/>
  <c r="U847" i="6"/>
  <c r="G9" i="5"/>
  <c r="H9" i="5"/>
  <c r="L8" i="5"/>
  <c r="N8" i="5"/>
  <c r="D856" i="4"/>
  <c r="C857" i="4"/>
  <c r="W727" i="5"/>
  <c r="G1089" i="5"/>
  <c r="H1089" i="5"/>
  <c r="L1088" i="5"/>
  <c r="N1088" i="5"/>
  <c r="U727" i="6"/>
  <c r="R248" i="6"/>
  <c r="N248" i="6"/>
  <c r="X727" i="5"/>
  <c r="E731" i="6"/>
  <c r="F731" i="6"/>
  <c r="P1088" i="5"/>
  <c r="T1088" i="5"/>
  <c r="U1088" i="5"/>
  <c r="P8" i="5"/>
  <c r="T8" i="5"/>
  <c r="U8" i="5"/>
  <c r="T608" i="5"/>
  <c r="U608" i="5"/>
  <c r="P608" i="5"/>
  <c r="I1095" i="4"/>
  <c r="O1095" i="5"/>
  <c r="J1095" i="4"/>
  <c r="D1095" i="6"/>
  <c r="R489" i="5"/>
  <c r="I489" i="5"/>
  <c r="J489" i="5"/>
  <c r="I249" i="5"/>
  <c r="J249" i="5"/>
  <c r="R249" i="5"/>
  <c r="T368" i="5"/>
  <c r="U368" i="5"/>
  <c r="P368" i="5"/>
  <c r="G260" i="4"/>
  <c r="H259" i="4"/>
  <c r="R129" i="5"/>
  <c r="I129" i="5"/>
  <c r="J129" i="5"/>
  <c r="I617" i="4"/>
  <c r="O617" i="5"/>
  <c r="J617" i="4"/>
  <c r="D617" i="6"/>
  <c r="R8" i="6"/>
  <c r="N8" i="6"/>
  <c r="X127" i="5"/>
  <c r="X847" i="5"/>
  <c r="V1087" i="6"/>
  <c r="T728" i="5"/>
  <c r="U728" i="5"/>
  <c r="P728" i="5"/>
  <c r="X367" i="5"/>
  <c r="N1088" i="6"/>
  <c r="R1088" i="6"/>
  <c r="H499" i="4"/>
  <c r="G500" i="4"/>
  <c r="E131" i="6"/>
  <c r="F131" i="6"/>
  <c r="S248" i="6"/>
  <c r="G140" i="4"/>
  <c r="H139" i="4"/>
  <c r="X7" i="5"/>
  <c r="D618" i="4"/>
  <c r="C619" i="4"/>
  <c r="I777" i="4"/>
  <c r="O777" i="5"/>
  <c r="J777" i="4"/>
  <c r="D777" i="6"/>
  <c r="C139" i="4"/>
  <c r="D138" i="4"/>
  <c r="R608" i="6"/>
  <c r="N608" i="6"/>
  <c r="X967" i="5"/>
  <c r="V367" i="6"/>
  <c r="V727" i="6"/>
  <c r="V847" i="6"/>
  <c r="E1091" i="6"/>
  <c r="F1091" i="6"/>
  <c r="V487" i="6"/>
  <c r="R368" i="6"/>
  <c r="N368" i="6"/>
  <c r="I969" i="5"/>
  <c r="J969" i="5"/>
  <c r="R969" i="5"/>
  <c r="T848" i="5"/>
  <c r="U848" i="5"/>
  <c r="P848" i="5"/>
  <c r="S8" i="6"/>
  <c r="G857" i="4"/>
  <c r="H856" i="4"/>
  <c r="V7" i="6"/>
  <c r="X1087" i="5"/>
  <c r="J138" i="4"/>
  <c r="D138" i="6"/>
  <c r="I138" i="4"/>
  <c r="O138" i="5"/>
  <c r="G779" i="4"/>
  <c r="H778" i="4"/>
  <c r="S848" i="6"/>
  <c r="I855" i="4"/>
  <c r="O855" i="5"/>
  <c r="J855" i="4"/>
  <c r="D855" i="6"/>
  <c r="S608" i="6"/>
  <c r="E491" i="6"/>
  <c r="F491" i="6"/>
  <c r="E851" i="6"/>
  <c r="F851" i="6"/>
  <c r="S368" i="6"/>
  <c r="P968" i="5"/>
  <c r="T968" i="5"/>
  <c r="U968" i="5"/>
  <c r="E371" i="6"/>
  <c r="F371" i="6"/>
  <c r="E11" i="6"/>
  <c r="F11" i="6"/>
  <c r="S728" i="6"/>
  <c r="R849" i="5"/>
  <c r="I849" i="5"/>
  <c r="J849" i="5"/>
  <c r="C858" i="4"/>
  <c r="D857" i="4"/>
  <c r="I977" i="4"/>
  <c r="O977" i="5"/>
  <c r="J977" i="4"/>
  <c r="D977" i="6"/>
  <c r="N848" i="6"/>
  <c r="R848" i="6"/>
  <c r="S488" i="6"/>
  <c r="X607" i="5"/>
  <c r="I609" i="5"/>
  <c r="J609" i="5"/>
  <c r="R609" i="5"/>
  <c r="R968" i="6"/>
  <c r="N968" i="6"/>
  <c r="V967" i="6"/>
  <c r="R128" i="6"/>
  <c r="N128" i="6"/>
  <c r="R488" i="6"/>
  <c r="N488" i="6"/>
  <c r="X247" i="5"/>
  <c r="P488" i="5"/>
  <c r="T488" i="5"/>
  <c r="U488" i="5"/>
  <c r="C259" i="4"/>
  <c r="D258" i="4"/>
  <c r="T248" i="5"/>
  <c r="U248" i="5"/>
  <c r="P248" i="5"/>
  <c r="R369" i="5"/>
  <c r="I369" i="5"/>
  <c r="J369" i="5"/>
  <c r="P128" i="5"/>
  <c r="T128" i="5"/>
  <c r="U128" i="5"/>
  <c r="N728" i="6"/>
  <c r="R728" i="6"/>
  <c r="G979" i="4"/>
  <c r="H978" i="4"/>
  <c r="I1089" i="5"/>
  <c r="J1089" i="5"/>
  <c r="R1089" i="5"/>
  <c r="C19" i="4"/>
  <c r="D18" i="4"/>
  <c r="G1097" i="4"/>
  <c r="H1096" i="4"/>
  <c r="E611" i="6"/>
  <c r="F611" i="6"/>
  <c r="V247" i="6"/>
  <c r="C1097" i="4"/>
  <c r="D1096" i="4"/>
  <c r="X487" i="5"/>
  <c r="G379" i="4"/>
  <c r="H378" i="4"/>
  <c r="C780" i="4"/>
  <c r="D779" i="4"/>
  <c r="J258" i="4"/>
  <c r="D258" i="6"/>
  <c r="I258" i="4"/>
  <c r="O258" i="5"/>
  <c r="C978" i="4"/>
  <c r="D977" i="4"/>
  <c r="G20" i="4"/>
  <c r="H19" i="4"/>
  <c r="D378" i="4"/>
  <c r="C379" i="4"/>
  <c r="D500" i="4"/>
  <c r="C501" i="4"/>
  <c r="S968" i="6"/>
  <c r="J377" i="4"/>
  <c r="D377" i="6"/>
  <c r="I377" i="4"/>
  <c r="O377" i="5"/>
  <c r="I9" i="5"/>
  <c r="J9" i="5"/>
  <c r="R9" i="5"/>
  <c r="E251" i="6"/>
  <c r="F251" i="6"/>
  <c r="G619" i="4"/>
  <c r="H618" i="4"/>
  <c r="R729" i="5"/>
  <c r="I729" i="5"/>
  <c r="J729" i="5"/>
  <c r="S1088" i="6"/>
  <c r="J498" i="4"/>
  <c r="D498" i="6"/>
  <c r="I498" i="4"/>
  <c r="O498" i="5"/>
  <c r="E971" i="6"/>
  <c r="F971" i="6"/>
  <c r="V127" i="6"/>
  <c r="V607" i="6"/>
  <c r="J18" i="4"/>
  <c r="D18" i="6"/>
  <c r="I18" i="4"/>
  <c r="O18" i="5"/>
  <c r="P971" i="6"/>
  <c r="G971" i="6"/>
  <c r="D978" i="4"/>
  <c r="C979" i="4"/>
  <c r="G1098" i="4"/>
  <c r="H1097" i="4"/>
  <c r="J729" i="6"/>
  <c r="K729" i="6"/>
  <c r="O728" i="6"/>
  <c r="D259" i="4"/>
  <c r="C260" i="4"/>
  <c r="D858" i="4"/>
  <c r="C859" i="4"/>
  <c r="C502" i="4"/>
  <c r="D501" i="4"/>
  <c r="S849" i="5"/>
  <c r="K849" i="5"/>
  <c r="Q968" i="5"/>
  <c r="M969" i="5"/>
  <c r="S128" i="6"/>
  <c r="H140" i="4"/>
  <c r="G141" i="4"/>
  <c r="J1089" i="6"/>
  <c r="K1089" i="6"/>
  <c r="O1088" i="6"/>
  <c r="Q1088" i="5"/>
  <c r="M1089" i="5"/>
  <c r="S369" i="5"/>
  <c r="K369" i="5"/>
  <c r="G851" i="6"/>
  <c r="P851" i="6"/>
  <c r="J778" i="4"/>
  <c r="D778" i="6"/>
  <c r="I778" i="4"/>
  <c r="O778" i="5"/>
  <c r="J856" i="4"/>
  <c r="D856" i="6"/>
  <c r="I856" i="4"/>
  <c r="O856" i="5"/>
  <c r="J369" i="6"/>
  <c r="K369" i="6"/>
  <c r="O368" i="6"/>
  <c r="P1091" i="6"/>
  <c r="G1091" i="6"/>
  <c r="H260" i="4"/>
  <c r="G261" i="4"/>
  <c r="P731" i="6"/>
  <c r="G731" i="6"/>
  <c r="C1098" i="4"/>
  <c r="D1097" i="4"/>
  <c r="M489" i="5"/>
  <c r="Q488" i="5"/>
  <c r="S969" i="5"/>
  <c r="K969" i="5"/>
  <c r="J259" i="4"/>
  <c r="D259" i="6"/>
  <c r="I259" i="4"/>
  <c r="O259" i="5"/>
  <c r="C380" i="4"/>
  <c r="D379" i="4"/>
  <c r="S729" i="5"/>
  <c r="K729" i="5"/>
  <c r="S9" i="5"/>
  <c r="K9" i="5"/>
  <c r="C781" i="4"/>
  <c r="D780" i="4"/>
  <c r="K1089" i="5"/>
  <c r="S1089" i="5"/>
  <c r="J969" i="6"/>
  <c r="K969" i="6"/>
  <c r="O968" i="6"/>
  <c r="J849" i="6"/>
  <c r="K849" i="6"/>
  <c r="O848" i="6"/>
  <c r="G780" i="4"/>
  <c r="H779" i="4"/>
  <c r="H857" i="4"/>
  <c r="G858" i="4"/>
  <c r="C620" i="4"/>
  <c r="D619" i="4"/>
  <c r="P131" i="6"/>
  <c r="G131" i="6"/>
  <c r="M729" i="5"/>
  <c r="Q728" i="5"/>
  <c r="J9" i="6"/>
  <c r="K9" i="6"/>
  <c r="O8" i="6"/>
  <c r="M369" i="5"/>
  <c r="Q368" i="5"/>
  <c r="M609" i="5"/>
  <c r="Q608" i="5"/>
  <c r="O608" i="6"/>
  <c r="J609" i="6"/>
  <c r="K609" i="6"/>
  <c r="M129" i="5"/>
  <c r="Q128" i="5"/>
  <c r="J378" i="4"/>
  <c r="D378" i="6"/>
  <c r="I378" i="4"/>
  <c r="O378" i="5"/>
  <c r="M249" i="5"/>
  <c r="Q248" i="5"/>
  <c r="H379" i="4"/>
  <c r="G380" i="4"/>
  <c r="P611" i="6"/>
  <c r="G611" i="6"/>
  <c r="H979" i="4"/>
  <c r="G980" i="4"/>
  <c r="P371" i="6"/>
  <c r="G371" i="6"/>
  <c r="G491" i="6"/>
  <c r="P491" i="6"/>
  <c r="M849" i="5"/>
  <c r="Q848" i="5"/>
  <c r="G501" i="4"/>
  <c r="H500" i="4"/>
  <c r="P251" i="6"/>
  <c r="G251" i="6"/>
  <c r="D19" i="4"/>
  <c r="C20" i="4"/>
  <c r="J19" i="4"/>
  <c r="D19" i="6"/>
  <c r="I19" i="4"/>
  <c r="O19" i="5"/>
  <c r="J978" i="4"/>
  <c r="D978" i="6"/>
  <c r="I978" i="4"/>
  <c r="O978" i="5"/>
  <c r="J489" i="6"/>
  <c r="K489" i="6"/>
  <c r="O488" i="6"/>
  <c r="P11" i="6"/>
  <c r="G11" i="6"/>
  <c r="J618" i="4"/>
  <c r="D618" i="6"/>
  <c r="I618" i="4"/>
  <c r="O618" i="5"/>
  <c r="G21" i="4"/>
  <c r="H20" i="4"/>
  <c r="G620" i="4"/>
  <c r="H619" i="4"/>
  <c r="J1096" i="4"/>
  <c r="D1096" i="6"/>
  <c r="I1096" i="4"/>
  <c r="O1096" i="5"/>
  <c r="O128" i="6"/>
  <c r="J129" i="6"/>
  <c r="K129" i="6"/>
  <c r="K609" i="5"/>
  <c r="S609" i="5"/>
  <c r="I499" i="4"/>
  <c r="O499" i="5"/>
  <c r="J499" i="4"/>
  <c r="D499" i="6"/>
  <c r="K249" i="5"/>
  <c r="S249" i="5"/>
  <c r="M9" i="5"/>
  <c r="Q8" i="5"/>
  <c r="O248" i="6"/>
  <c r="J249" i="6"/>
  <c r="K249" i="6"/>
  <c r="D139" i="4"/>
  <c r="C140" i="4"/>
  <c r="J139" i="4"/>
  <c r="D139" i="6"/>
  <c r="I139" i="4"/>
  <c r="O139" i="5"/>
  <c r="S129" i="5"/>
  <c r="K129" i="5"/>
  <c r="S489" i="5"/>
  <c r="K489" i="5"/>
  <c r="G1099" i="4"/>
  <c r="H1098" i="4"/>
  <c r="E492" i="6"/>
  <c r="F492" i="6"/>
  <c r="L969" i="6"/>
  <c r="M969" i="6"/>
  <c r="Q969" i="6"/>
  <c r="J20" i="4"/>
  <c r="D20" i="6"/>
  <c r="I20" i="4"/>
  <c r="O20" i="5"/>
  <c r="U488" i="6"/>
  <c r="E372" i="6"/>
  <c r="F372" i="6"/>
  <c r="W368" i="5"/>
  <c r="G781" i="4"/>
  <c r="H780" i="4"/>
  <c r="L729" i="5"/>
  <c r="N729" i="5"/>
  <c r="G730" i="5"/>
  <c r="H730" i="5"/>
  <c r="J260" i="4"/>
  <c r="D260" i="6"/>
  <c r="I260" i="4"/>
  <c r="O260" i="5"/>
  <c r="W8" i="5"/>
  <c r="E252" i="6"/>
  <c r="F252" i="6"/>
  <c r="G381" i="4"/>
  <c r="H380" i="4"/>
  <c r="L369" i="5"/>
  <c r="N369" i="5"/>
  <c r="G370" i="5"/>
  <c r="H370" i="5"/>
  <c r="C261" i="4"/>
  <c r="D260" i="4"/>
  <c r="C980" i="4"/>
  <c r="D979" i="4"/>
  <c r="L249" i="6"/>
  <c r="M249" i="6"/>
  <c r="Q249" i="6"/>
  <c r="G10" i="5"/>
  <c r="H10" i="5"/>
  <c r="L9" i="5"/>
  <c r="N9" i="5"/>
  <c r="L129" i="6"/>
  <c r="M129" i="6"/>
  <c r="Q129" i="6"/>
  <c r="U8" i="6"/>
  <c r="C621" i="4"/>
  <c r="D620" i="4"/>
  <c r="U848" i="6"/>
  <c r="G1090" i="5"/>
  <c r="H1090" i="5"/>
  <c r="L1089" i="5"/>
  <c r="N1089" i="5"/>
  <c r="C1099" i="4"/>
  <c r="D1098" i="4"/>
  <c r="E1092" i="6"/>
  <c r="F1092" i="6"/>
  <c r="U1088" i="6"/>
  <c r="C503" i="4"/>
  <c r="D502" i="4"/>
  <c r="U248" i="6"/>
  <c r="E612" i="6"/>
  <c r="F612" i="6"/>
  <c r="E132" i="6"/>
  <c r="F132" i="6"/>
  <c r="W488" i="5"/>
  <c r="G22" i="4"/>
  <c r="H21" i="4"/>
  <c r="W128" i="5"/>
  <c r="L609" i="6"/>
  <c r="M609" i="6"/>
  <c r="Q609" i="6"/>
  <c r="L9" i="6"/>
  <c r="M9" i="6"/>
  <c r="Q9" i="6"/>
  <c r="Q849" i="6"/>
  <c r="L849" i="6"/>
  <c r="M849" i="6"/>
  <c r="G970" i="5"/>
  <c r="H970" i="5"/>
  <c r="L969" i="5"/>
  <c r="N969" i="5"/>
  <c r="E732" i="6"/>
  <c r="F732" i="6"/>
  <c r="Q1089" i="6"/>
  <c r="L1089" i="6"/>
  <c r="M1089" i="6"/>
  <c r="W968" i="5"/>
  <c r="G621" i="4"/>
  <c r="H620" i="4"/>
  <c r="I857" i="4"/>
  <c r="O857" i="5"/>
  <c r="J857" i="4"/>
  <c r="D857" i="6"/>
  <c r="L369" i="6"/>
  <c r="M369" i="6"/>
  <c r="Q369" i="6"/>
  <c r="I779" i="4"/>
  <c r="O779" i="5"/>
  <c r="J779" i="4"/>
  <c r="D779" i="6"/>
  <c r="U128" i="6"/>
  <c r="Q489" i="6"/>
  <c r="L489" i="6"/>
  <c r="M489" i="6"/>
  <c r="C141" i="4"/>
  <c r="D140" i="4"/>
  <c r="W848" i="5"/>
  <c r="G250" i="5"/>
  <c r="H250" i="5"/>
  <c r="L249" i="5"/>
  <c r="N249" i="5"/>
  <c r="E12" i="6"/>
  <c r="F12" i="6"/>
  <c r="W248" i="5"/>
  <c r="U608" i="6"/>
  <c r="W608" i="5"/>
  <c r="E852" i="6"/>
  <c r="F852" i="6"/>
  <c r="G142" i="4"/>
  <c r="H141" i="4"/>
  <c r="L849" i="5"/>
  <c r="N849" i="5"/>
  <c r="G850" i="5"/>
  <c r="H850" i="5"/>
  <c r="U728" i="6"/>
  <c r="E972" i="6"/>
  <c r="F972" i="6"/>
  <c r="G502" i="4"/>
  <c r="H501" i="4"/>
  <c r="I979" i="4"/>
  <c r="O979" i="5"/>
  <c r="J979" i="4"/>
  <c r="D979" i="6"/>
  <c r="I1097" i="4"/>
  <c r="O1097" i="5"/>
  <c r="J1097" i="4"/>
  <c r="D1097" i="6"/>
  <c r="C21" i="4"/>
  <c r="D20" i="4"/>
  <c r="J379" i="4"/>
  <c r="D379" i="6"/>
  <c r="I379" i="4"/>
  <c r="O379" i="5"/>
  <c r="G490" i="5"/>
  <c r="H490" i="5"/>
  <c r="L489" i="5"/>
  <c r="N489" i="5"/>
  <c r="G130" i="5"/>
  <c r="H130" i="5"/>
  <c r="L129" i="5"/>
  <c r="N129" i="5"/>
  <c r="L609" i="5"/>
  <c r="N609" i="5"/>
  <c r="G610" i="5"/>
  <c r="H610" i="5"/>
  <c r="I619" i="4"/>
  <c r="O619" i="5"/>
  <c r="J619" i="4"/>
  <c r="D619" i="6"/>
  <c r="J500" i="4"/>
  <c r="D500" i="6"/>
  <c r="I500" i="4"/>
  <c r="O500" i="5"/>
  <c r="G981" i="4"/>
  <c r="H980" i="4"/>
  <c r="W728" i="5"/>
  <c r="G859" i="4"/>
  <c r="H858" i="4"/>
  <c r="U968" i="6"/>
  <c r="C782" i="4"/>
  <c r="D781" i="4"/>
  <c r="C381" i="4"/>
  <c r="D380" i="4"/>
  <c r="G262" i="4"/>
  <c r="H261" i="4"/>
  <c r="U368" i="6"/>
  <c r="W1088" i="5"/>
  <c r="J140" i="4"/>
  <c r="D140" i="6"/>
  <c r="I140" i="4"/>
  <c r="O140" i="5"/>
  <c r="D859" i="4"/>
  <c r="C860" i="4"/>
  <c r="Q729" i="6"/>
  <c r="L729" i="6"/>
  <c r="M729" i="6"/>
  <c r="J780" i="4"/>
  <c r="D780" i="6"/>
  <c r="I780" i="4"/>
  <c r="O780" i="5"/>
  <c r="X368" i="5"/>
  <c r="P489" i="5"/>
  <c r="T489" i="5"/>
  <c r="U489" i="5"/>
  <c r="N489" i="6"/>
  <c r="R489" i="6"/>
  <c r="G622" i="4"/>
  <c r="H621" i="4"/>
  <c r="R9" i="6"/>
  <c r="N9" i="6"/>
  <c r="X128" i="5"/>
  <c r="D503" i="4"/>
  <c r="C504" i="4"/>
  <c r="P1092" i="6"/>
  <c r="G1092" i="6"/>
  <c r="V848" i="6"/>
  <c r="X8" i="5"/>
  <c r="G782" i="4"/>
  <c r="H781" i="4"/>
  <c r="G372" i="6"/>
  <c r="P372" i="6"/>
  <c r="R969" i="6"/>
  <c r="N969" i="6"/>
  <c r="X1088" i="5"/>
  <c r="H859" i="4"/>
  <c r="G860" i="4"/>
  <c r="J620" i="4"/>
  <c r="D620" i="6"/>
  <c r="I620" i="4"/>
  <c r="O620" i="5"/>
  <c r="T369" i="5"/>
  <c r="U369" i="5"/>
  <c r="P369" i="5"/>
  <c r="J501" i="4"/>
  <c r="D501" i="6"/>
  <c r="I501" i="4"/>
  <c r="O501" i="5"/>
  <c r="R850" i="5"/>
  <c r="I850" i="5"/>
  <c r="J850" i="5"/>
  <c r="V608" i="6"/>
  <c r="P732" i="6"/>
  <c r="G732" i="6"/>
  <c r="N609" i="6"/>
  <c r="R609" i="6"/>
  <c r="S609" i="6"/>
  <c r="G23" i="4"/>
  <c r="H22" i="4"/>
  <c r="C1100" i="4"/>
  <c r="D1099" i="4"/>
  <c r="C622" i="4"/>
  <c r="D621" i="4"/>
  <c r="P852" i="6"/>
  <c r="G852" i="6"/>
  <c r="V728" i="6"/>
  <c r="V368" i="6"/>
  <c r="X728" i="5"/>
  <c r="H502" i="4"/>
  <c r="G503" i="4"/>
  <c r="T849" i="5"/>
  <c r="U849" i="5"/>
  <c r="P849" i="5"/>
  <c r="X848" i="5"/>
  <c r="P969" i="5"/>
  <c r="T969" i="5"/>
  <c r="U969" i="5"/>
  <c r="P1089" i="5"/>
  <c r="T1089" i="5"/>
  <c r="U1089" i="5"/>
  <c r="V8" i="6"/>
  <c r="D980" i="4"/>
  <c r="C981" i="4"/>
  <c r="P492" i="6"/>
  <c r="G492" i="6"/>
  <c r="C783" i="4"/>
  <c r="D782" i="4"/>
  <c r="J21" i="4"/>
  <c r="D21" i="6"/>
  <c r="I21" i="4"/>
  <c r="O21" i="5"/>
  <c r="G612" i="6"/>
  <c r="P612" i="6"/>
  <c r="N249" i="6"/>
  <c r="R249" i="6"/>
  <c r="S249" i="6"/>
  <c r="R729" i="6"/>
  <c r="N729" i="6"/>
  <c r="J261" i="4"/>
  <c r="D261" i="6"/>
  <c r="I261" i="4"/>
  <c r="O261" i="5"/>
  <c r="J980" i="4"/>
  <c r="D980" i="6"/>
  <c r="I980" i="4"/>
  <c r="O980" i="5"/>
  <c r="I610" i="5"/>
  <c r="J610" i="5"/>
  <c r="R610" i="5"/>
  <c r="J141" i="4"/>
  <c r="D141" i="6"/>
  <c r="I141" i="4"/>
  <c r="O141" i="5"/>
  <c r="P249" i="5"/>
  <c r="T249" i="5"/>
  <c r="U249" i="5"/>
  <c r="N369" i="6"/>
  <c r="R369" i="6"/>
  <c r="X968" i="5"/>
  <c r="I970" i="5"/>
  <c r="J970" i="5"/>
  <c r="R970" i="5"/>
  <c r="V1088" i="6"/>
  <c r="I1090" i="5"/>
  <c r="J1090" i="5"/>
  <c r="R1090" i="5"/>
  <c r="S129" i="6"/>
  <c r="J380" i="4"/>
  <c r="D380" i="6"/>
  <c r="I380" i="4"/>
  <c r="O380" i="5"/>
  <c r="J1098" i="4"/>
  <c r="D1098" i="6"/>
  <c r="I1098" i="4"/>
  <c r="O1098" i="5"/>
  <c r="G132" i="6"/>
  <c r="P132" i="6"/>
  <c r="I10" i="5"/>
  <c r="J10" i="5"/>
  <c r="R10" i="5"/>
  <c r="I490" i="5"/>
  <c r="J490" i="5"/>
  <c r="R490" i="5"/>
  <c r="P12" i="6"/>
  <c r="G12" i="6"/>
  <c r="H262" i="4"/>
  <c r="G263" i="4"/>
  <c r="H981" i="4"/>
  <c r="G982" i="4"/>
  <c r="D21" i="4"/>
  <c r="C22" i="4"/>
  <c r="H142" i="4"/>
  <c r="G143" i="4"/>
  <c r="D141" i="4"/>
  <c r="C142" i="4"/>
  <c r="V128" i="6"/>
  <c r="R1089" i="6"/>
  <c r="N1089" i="6"/>
  <c r="N849" i="6"/>
  <c r="R849" i="6"/>
  <c r="N129" i="6"/>
  <c r="R129" i="6"/>
  <c r="D261" i="4"/>
  <c r="C262" i="4"/>
  <c r="G382" i="4"/>
  <c r="H381" i="4"/>
  <c r="R730" i="5"/>
  <c r="I730" i="5"/>
  <c r="J730" i="5"/>
  <c r="V488" i="6"/>
  <c r="G1100" i="4"/>
  <c r="H1099" i="4"/>
  <c r="D381" i="4"/>
  <c r="C382" i="4"/>
  <c r="I130" i="5"/>
  <c r="J130" i="5"/>
  <c r="R130" i="5"/>
  <c r="S9" i="6"/>
  <c r="S729" i="6"/>
  <c r="V968" i="6"/>
  <c r="T609" i="5"/>
  <c r="U609" i="5"/>
  <c r="P609" i="5"/>
  <c r="P972" i="6"/>
  <c r="G972" i="6"/>
  <c r="R250" i="5"/>
  <c r="I250" i="5"/>
  <c r="J250" i="5"/>
  <c r="D860" i="4"/>
  <c r="C861" i="4"/>
  <c r="J858" i="4"/>
  <c r="D858" i="6"/>
  <c r="I858" i="4"/>
  <c r="O858" i="5"/>
  <c r="P129" i="5"/>
  <c r="T129" i="5"/>
  <c r="U129" i="5"/>
  <c r="X608" i="5"/>
  <c r="X248" i="5"/>
  <c r="S1089" i="6"/>
  <c r="S849" i="6"/>
  <c r="X488" i="5"/>
  <c r="V248" i="6"/>
  <c r="P9" i="5"/>
  <c r="T9" i="5"/>
  <c r="U9" i="5"/>
  <c r="R370" i="5"/>
  <c r="I370" i="5"/>
  <c r="J370" i="5"/>
  <c r="G252" i="6"/>
  <c r="P252" i="6"/>
  <c r="T729" i="5"/>
  <c r="U729" i="5"/>
  <c r="P729" i="5"/>
  <c r="C862" i="4"/>
  <c r="D861" i="4"/>
  <c r="J502" i="4"/>
  <c r="D502" i="6"/>
  <c r="I502" i="4"/>
  <c r="O502" i="5"/>
  <c r="G783" i="4"/>
  <c r="H782" i="4"/>
  <c r="S10" i="5"/>
  <c r="K10" i="5"/>
  <c r="K1090" i="5"/>
  <c r="S1090" i="5"/>
  <c r="E733" i="6"/>
  <c r="F733" i="6"/>
  <c r="M370" i="5"/>
  <c r="Q369" i="5"/>
  <c r="J970" i="6"/>
  <c r="K970" i="6"/>
  <c r="O969" i="6"/>
  <c r="Q969" i="5"/>
  <c r="M970" i="5"/>
  <c r="J610" i="6"/>
  <c r="K610" i="6"/>
  <c r="O609" i="6"/>
  <c r="O489" i="6"/>
  <c r="J490" i="6"/>
  <c r="K490" i="6"/>
  <c r="O129" i="6"/>
  <c r="J130" i="6"/>
  <c r="K130" i="6"/>
  <c r="J262" i="4"/>
  <c r="D262" i="6"/>
  <c r="I262" i="4"/>
  <c r="O262" i="5"/>
  <c r="E133" i="6"/>
  <c r="F133" i="6"/>
  <c r="C623" i="4"/>
  <c r="D622" i="4"/>
  <c r="Q489" i="5"/>
  <c r="M490" i="5"/>
  <c r="S610" i="5"/>
  <c r="K610" i="5"/>
  <c r="S250" i="5"/>
  <c r="K250" i="5"/>
  <c r="G264" i="4"/>
  <c r="H263" i="4"/>
  <c r="J370" i="6"/>
  <c r="K370" i="6"/>
  <c r="O369" i="6"/>
  <c r="E973" i="6"/>
  <c r="F973" i="6"/>
  <c r="K730" i="5"/>
  <c r="S730" i="5"/>
  <c r="G144" i="4"/>
  <c r="H143" i="4"/>
  <c r="E13" i="6"/>
  <c r="F13" i="6"/>
  <c r="M250" i="5"/>
  <c r="Q249" i="5"/>
  <c r="O9" i="6"/>
  <c r="J10" i="6"/>
  <c r="K10" i="6"/>
  <c r="H982" i="4"/>
  <c r="G983" i="4"/>
  <c r="C505" i="4"/>
  <c r="D504" i="4"/>
  <c r="M10" i="5"/>
  <c r="Q9" i="5"/>
  <c r="M730" i="5"/>
  <c r="Q729" i="5"/>
  <c r="S369" i="6"/>
  <c r="S130" i="5"/>
  <c r="K130" i="5"/>
  <c r="J850" i="6"/>
  <c r="K850" i="6"/>
  <c r="O849" i="6"/>
  <c r="J142" i="4"/>
  <c r="D142" i="6"/>
  <c r="I142" i="4"/>
  <c r="O142" i="5"/>
  <c r="J730" i="6"/>
  <c r="K730" i="6"/>
  <c r="O729" i="6"/>
  <c r="M850" i="5"/>
  <c r="Q849" i="5"/>
  <c r="S489" i="6"/>
  <c r="C1101" i="4"/>
  <c r="D1100" i="4"/>
  <c r="E373" i="6"/>
  <c r="F373" i="6"/>
  <c r="C263" i="4"/>
  <c r="D262" i="4"/>
  <c r="O249" i="6"/>
  <c r="J250" i="6"/>
  <c r="K250" i="6"/>
  <c r="E853" i="6"/>
  <c r="F853" i="6"/>
  <c r="I981" i="4"/>
  <c r="O981" i="5"/>
  <c r="J981" i="4"/>
  <c r="D981" i="6"/>
  <c r="E613" i="6"/>
  <c r="F613" i="6"/>
  <c r="E253" i="6"/>
  <c r="F253" i="6"/>
  <c r="M130" i="5"/>
  <c r="Q129" i="5"/>
  <c r="Q609" i="5"/>
  <c r="M610" i="5"/>
  <c r="J381" i="4"/>
  <c r="D381" i="6"/>
  <c r="I381" i="4"/>
  <c r="O381" i="5"/>
  <c r="J1090" i="6"/>
  <c r="K1090" i="6"/>
  <c r="O1089" i="6"/>
  <c r="C23" i="4"/>
  <c r="D22" i="4"/>
  <c r="K970" i="5"/>
  <c r="S970" i="5"/>
  <c r="J22" i="4"/>
  <c r="D22" i="6"/>
  <c r="I22" i="4"/>
  <c r="O22" i="5"/>
  <c r="S850" i="5"/>
  <c r="K850" i="5"/>
  <c r="G861" i="4"/>
  <c r="H860" i="4"/>
  <c r="S969" i="6"/>
  <c r="E1093" i="6"/>
  <c r="F1093" i="6"/>
  <c r="I621" i="4"/>
  <c r="O621" i="5"/>
  <c r="J621" i="4"/>
  <c r="D621" i="6"/>
  <c r="I1099" i="4"/>
  <c r="O1099" i="5"/>
  <c r="J1099" i="4"/>
  <c r="D1099" i="6"/>
  <c r="E493" i="6"/>
  <c r="F493" i="6"/>
  <c r="G1101" i="4"/>
  <c r="H1100" i="4"/>
  <c r="C143" i="4"/>
  <c r="D142" i="4"/>
  <c r="D981" i="4"/>
  <c r="C982" i="4"/>
  <c r="S370" i="5"/>
  <c r="K370" i="5"/>
  <c r="C383" i="4"/>
  <c r="D382" i="4"/>
  <c r="G383" i="4"/>
  <c r="H382" i="4"/>
  <c r="S490" i="5"/>
  <c r="K490" i="5"/>
  <c r="C784" i="4"/>
  <c r="D783" i="4"/>
  <c r="Q1089" i="5"/>
  <c r="M1090" i="5"/>
  <c r="G504" i="4"/>
  <c r="H503" i="4"/>
  <c r="G24" i="4"/>
  <c r="H23" i="4"/>
  <c r="I859" i="4"/>
  <c r="O859" i="5"/>
  <c r="J859" i="4"/>
  <c r="D859" i="6"/>
  <c r="I781" i="4"/>
  <c r="O781" i="5"/>
  <c r="J781" i="4"/>
  <c r="D781" i="6"/>
  <c r="G623" i="4"/>
  <c r="H622" i="4"/>
  <c r="J23" i="4"/>
  <c r="D23" i="6"/>
  <c r="I23" i="4"/>
  <c r="O23" i="5"/>
  <c r="D23" i="4"/>
  <c r="C24" i="4"/>
  <c r="H623" i="4"/>
  <c r="G624" i="4"/>
  <c r="J860" i="4"/>
  <c r="D860" i="6"/>
  <c r="I860" i="4"/>
  <c r="O860" i="5"/>
  <c r="G13" i="6"/>
  <c r="P13" i="6"/>
  <c r="G491" i="5"/>
  <c r="H491" i="5"/>
  <c r="L490" i="5"/>
  <c r="N490" i="5"/>
  <c r="L370" i="5"/>
  <c r="N370" i="5"/>
  <c r="G371" i="5"/>
  <c r="H371" i="5"/>
  <c r="L850" i="5"/>
  <c r="N850" i="5"/>
  <c r="G851" i="5"/>
  <c r="H851" i="5"/>
  <c r="W1089" i="5"/>
  <c r="G1102" i="4"/>
  <c r="H1101" i="4"/>
  <c r="G613" i="6"/>
  <c r="P613" i="6"/>
  <c r="C1102" i="4"/>
  <c r="D1101" i="4"/>
  <c r="L730" i="6"/>
  <c r="M730" i="6"/>
  <c r="Q730" i="6"/>
  <c r="W729" i="5"/>
  <c r="H983" i="4"/>
  <c r="G984" i="4"/>
  <c r="U369" i="6"/>
  <c r="W969" i="5"/>
  <c r="W369" i="5"/>
  <c r="P853" i="6"/>
  <c r="G853" i="6"/>
  <c r="G131" i="5"/>
  <c r="H131" i="5"/>
  <c r="L130" i="5"/>
  <c r="N130" i="5"/>
  <c r="W249" i="5"/>
  <c r="G25" i="4"/>
  <c r="H24" i="4"/>
  <c r="C785" i="4"/>
  <c r="D784" i="4"/>
  <c r="D982" i="4"/>
  <c r="C983" i="4"/>
  <c r="J263" i="4"/>
  <c r="D263" i="6"/>
  <c r="I263" i="4"/>
  <c r="O263" i="5"/>
  <c r="L610" i="5"/>
  <c r="N610" i="5"/>
  <c r="G611" i="5"/>
  <c r="H611" i="5"/>
  <c r="Q130" i="6"/>
  <c r="L130" i="6"/>
  <c r="M130" i="6"/>
  <c r="U489" i="6"/>
  <c r="G784" i="4"/>
  <c r="H783" i="4"/>
  <c r="H383" i="4"/>
  <c r="G384" i="4"/>
  <c r="P1093" i="6"/>
  <c r="G1093" i="6"/>
  <c r="U1089" i="6"/>
  <c r="W129" i="5"/>
  <c r="L250" i="6"/>
  <c r="M250" i="6"/>
  <c r="Q250" i="6"/>
  <c r="W849" i="5"/>
  <c r="L10" i="6"/>
  <c r="M10" i="6"/>
  <c r="Q10" i="6"/>
  <c r="L730" i="5"/>
  <c r="N730" i="5"/>
  <c r="G731" i="5"/>
  <c r="H731" i="5"/>
  <c r="H264" i="4"/>
  <c r="G265" i="4"/>
  <c r="U129" i="6"/>
  <c r="P733" i="6"/>
  <c r="G733" i="6"/>
  <c r="J382" i="4"/>
  <c r="D382" i="6"/>
  <c r="I382" i="4"/>
  <c r="O382" i="5"/>
  <c r="J503" i="4"/>
  <c r="D503" i="6"/>
  <c r="I503" i="4"/>
  <c r="O503" i="5"/>
  <c r="L1090" i="6"/>
  <c r="M1090" i="6"/>
  <c r="Q1090" i="6"/>
  <c r="U249" i="6"/>
  <c r="W9" i="5"/>
  <c r="U9" i="6"/>
  <c r="P973" i="6"/>
  <c r="G973" i="6"/>
  <c r="L250" i="5"/>
  <c r="N250" i="5"/>
  <c r="G251" i="5"/>
  <c r="H251" i="5"/>
  <c r="C624" i="4"/>
  <c r="D623" i="4"/>
  <c r="U609" i="6"/>
  <c r="J622" i="4"/>
  <c r="D622" i="6"/>
  <c r="I622" i="4"/>
  <c r="O622" i="5"/>
  <c r="W609" i="5"/>
  <c r="J782" i="4"/>
  <c r="D782" i="6"/>
  <c r="I782" i="4"/>
  <c r="O782" i="5"/>
  <c r="H504" i="4"/>
  <c r="G505" i="4"/>
  <c r="G493" i="6"/>
  <c r="P493" i="6"/>
  <c r="G373" i="6"/>
  <c r="P373" i="6"/>
  <c r="Q610" i="6"/>
  <c r="L610" i="6"/>
  <c r="M610" i="6"/>
  <c r="C384" i="4"/>
  <c r="D383" i="4"/>
  <c r="H861" i="4"/>
  <c r="G862" i="4"/>
  <c r="G971" i="5"/>
  <c r="H971" i="5"/>
  <c r="L970" i="5"/>
  <c r="N970" i="5"/>
  <c r="U849" i="6"/>
  <c r="J143" i="4"/>
  <c r="D143" i="6"/>
  <c r="I143" i="4"/>
  <c r="O143" i="5"/>
  <c r="W489" i="5"/>
  <c r="P133" i="6"/>
  <c r="G133" i="6"/>
  <c r="L970" i="6"/>
  <c r="M970" i="6"/>
  <c r="Q970" i="6"/>
  <c r="G1091" i="5"/>
  <c r="H1091" i="5"/>
  <c r="L1090" i="5"/>
  <c r="N1090" i="5"/>
  <c r="J982" i="4"/>
  <c r="D982" i="6"/>
  <c r="I982" i="4"/>
  <c r="O982" i="5"/>
  <c r="Q370" i="6"/>
  <c r="L370" i="6"/>
  <c r="M370" i="6"/>
  <c r="Q490" i="6"/>
  <c r="L490" i="6"/>
  <c r="M490" i="6"/>
  <c r="D143" i="4"/>
  <c r="C144" i="4"/>
  <c r="U969" i="6"/>
  <c r="G253" i="6"/>
  <c r="P253" i="6"/>
  <c r="J1100" i="4"/>
  <c r="D1100" i="6"/>
  <c r="I1100" i="4"/>
  <c r="O1100" i="5"/>
  <c r="D263" i="4"/>
  <c r="C264" i="4"/>
  <c r="U729" i="6"/>
  <c r="Q850" i="6"/>
  <c r="L850" i="6"/>
  <c r="M850" i="6"/>
  <c r="C506" i="4"/>
  <c r="D505" i="4"/>
  <c r="H144" i="4"/>
  <c r="G145" i="4"/>
  <c r="G11" i="5"/>
  <c r="H11" i="5"/>
  <c r="L10" i="5"/>
  <c r="N10" i="5"/>
  <c r="D862" i="4"/>
  <c r="C863" i="4"/>
  <c r="D863" i="4"/>
  <c r="C864" i="4"/>
  <c r="C145" i="4"/>
  <c r="D144" i="4"/>
  <c r="I383" i="4"/>
  <c r="O383" i="5"/>
  <c r="J383" i="4"/>
  <c r="D383" i="6"/>
  <c r="G625" i="4"/>
  <c r="H624" i="4"/>
  <c r="X489" i="5"/>
  <c r="E374" i="6"/>
  <c r="F374" i="6"/>
  <c r="V729" i="6"/>
  <c r="D384" i="4"/>
  <c r="C385" i="4"/>
  <c r="P250" i="5"/>
  <c r="T250" i="5"/>
  <c r="U250" i="5"/>
  <c r="C507" i="4"/>
  <c r="D506" i="4"/>
  <c r="V849" i="6"/>
  <c r="G385" i="4"/>
  <c r="H384" i="4"/>
  <c r="N130" i="6"/>
  <c r="R130" i="6"/>
  <c r="S130" i="6"/>
  <c r="E734" i="6"/>
  <c r="F734" i="6"/>
  <c r="G266" i="4"/>
  <c r="H265" i="4"/>
  <c r="I783" i="4"/>
  <c r="O783" i="5"/>
  <c r="J783" i="4"/>
  <c r="D783" i="6"/>
  <c r="R611" i="5"/>
  <c r="I611" i="5"/>
  <c r="J611" i="5"/>
  <c r="C984" i="4"/>
  <c r="D983" i="4"/>
  <c r="R491" i="5"/>
  <c r="I491" i="5"/>
  <c r="J491" i="5"/>
  <c r="I623" i="4"/>
  <c r="O623" i="5"/>
  <c r="J623" i="4"/>
  <c r="D623" i="6"/>
  <c r="P1090" i="5"/>
  <c r="T1090" i="5"/>
  <c r="U1090" i="5"/>
  <c r="P10" i="5"/>
  <c r="T10" i="5"/>
  <c r="U10" i="5"/>
  <c r="N490" i="6"/>
  <c r="R490" i="6"/>
  <c r="H862" i="4"/>
  <c r="G863" i="4"/>
  <c r="V249" i="6"/>
  <c r="J264" i="4"/>
  <c r="D264" i="6"/>
  <c r="I264" i="4"/>
  <c r="O264" i="5"/>
  <c r="X849" i="5"/>
  <c r="G785" i="4"/>
  <c r="H784" i="4"/>
  <c r="T610" i="5"/>
  <c r="U610" i="5"/>
  <c r="P610" i="5"/>
  <c r="X249" i="5"/>
  <c r="X729" i="5"/>
  <c r="X1089" i="5"/>
  <c r="C25" i="4"/>
  <c r="D24" i="4"/>
  <c r="V969" i="6"/>
  <c r="V9" i="6"/>
  <c r="R11" i="5"/>
  <c r="I11" i="5"/>
  <c r="J11" i="5"/>
  <c r="S490" i="6"/>
  <c r="R970" i="6"/>
  <c r="N970" i="6"/>
  <c r="I861" i="4"/>
  <c r="O861" i="5"/>
  <c r="J861" i="4"/>
  <c r="D861" i="6"/>
  <c r="E494" i="6"/>
  <c r="F494" i="6"/>
  <c r="X609" i="5"/>
  <c r="C625" i="4"/>
  <c r="D624" i="4"/>
  <c r="R731" i="5"/>
  <c r="I731" i="5"/>
  <c r="J731" i="5"/>
  <c r="P130" i="5"/>
  <c r="T130" i="5"/>
  <c r="U130" i="5"/>
  <c r="I1101" i="4"/>
  <c r="O1101" i="5"/>
  <c r="J1101" i="4"/>
  <c r="D1101" i="6"/>
  <c r="I851" i="5"/>
  <c r="J851" i="5"/>
  <c r="R851" i="5"/>
  <c r="I971" i="5"/>
  <c r="J971" i="5"/>
  <c r="R971" i="5"/>
  <c r="V609" i="6"/>
  <c r="G146" i="4"/>
  <c r="H145" i="4"/>
  <c r="N370" i="6"/>
  <c r="R370" i="6"/>
  <c r="E134" i="6"/>
  <c r="F134" i="6"/>
  <c r="H505" i="4"/>
  <c r="G506" i="4"/>
  <c r="R251" i="5"/>
  <c r="I251" i="5"/>
  <c r="J251" i="5"/>
  <c r="R1090" i="6"/>
  <c r="N1090" i="6"/>
  <c r="T730" i="5"/>
  <c r="U730" i="5"/>
  <c r="P730" i="5"/>
  <c r="N250" i="6"/>
  <c r="R250" i="6"/>
  <c r="V1089" i="6"/>
  <c r="C786" i="4"/>
  <c r="D785" i="4"/>
  <c r="I131" i="5"/>
  <c r="J131" i="5"/>
  <c r="R131" i="5"/>
  <c r="X369" i="5"/>
  <c r="V369" i="6"/>
  <c r="R730" i="6"/>
  <c r="S730" i="6"/>
  <c r="N730" i="6"/>
  <c r="G1103" i="4"/>
  <c r="H1102" i="4"/>
  <c r="T850" i="5"/>
  <c r="U850" i="5"/>
  <c r="P850" i="5"/>
  <c r="R850" i="6"/>
  <c r="N850" i="6"/>
  <c r="P970" i="5"/>
  <c r="T970" i="5"/>
  <c r="U970" i="5"/>
  <c r="X129" i="5"/>
  <c r="X969" i="5"/>
  <c r="P490" i="5"/>
  <c r="T490" i="5"/>
  <c r="U490" i="5"/>
  <c r="I1091" i="5"/>
  <c r="J1091" i="5"/>
  <c r="R1091" i="5"/>
  <c r="J144" i="4"/>
  <c r="D144" i="6"/>
  <c r="I144" i="4"/>
  <c r="O144" i="5"/>
  <c r="S370" i="6"/>
  <c r="J504" i="4"/>
  <c r="D504" i="6"/>
  <c r="I504" i="4"/>
  <c r="O504" i="5"/>
  <c r="E1094" i="6"/>
  <c r="F1094" i="6"/>
  <c r="J24" i="4"/>
  <c r="D24" i="6"/>
  <c r="I24" i="4"/>
  <c r="O24" i="5"/>
  <c r="E854" i="6"/>
  <c r="F854" i="6"/>
  <c r="G985" i="4"/>
  <c r="H984" i="4"/>
  <c r="R371" i="5"/>
  <c r="I371" i="5"/>
  <c r="J371" i="5"/>
  <c r="E14" i="6"/>
  <c r="F14" i="6"/>
  <c r="E614" i="6"/>
  <c r="F614" i="6"/>
  <c r="S10" i="6"/>
  <c r="C265" i="4"/>
  <c r="D264" i="4"/>
  <c r="E254" i="6"/>
  <c r="F254" i="6"/>
  <c r="N610" i="6"/>
  <c r="R610" i="6"/>
  <c r="E974" i="6"/>
  <c r="F974" i="6"/>
  <c r="X9" i="5"/>
  <c r="V129" i="6"/>
  <c r="N10" i="6"/>
  <c r="R10" i="6"/>
  <c r="V489" i="6"/>
  <c r="G26" i="4"/>
  <c r="H25" i="4"/>
  <c r="I983" i="4"/>
  <c r="O983" i="5"/>
  <c r="J983" i="4"/>
  <c r="D983" i="6"/>
  <c r="C1103" i="4"/>
  <c r="D1102" i="4"/>
  <c r="T370" i="5"/>
  <c r="U370" i="5"/>
  <c r="P370" i="5"/>
  <c r="S851" i="5"/>
  <c r="K851" i="5"/>
  <c r="K611" i="5"/>
  <c r="S611" i="5"/>
  <c r="J145" i="4"/>
  <c r="D145" i="6"/>
  <c r="I145" i="4"/>
  <c r="O145" i="5"/>
  <c r="M371" i="5"/>
  <c r="Q370" i="5"/>
  <c r="H26" i="4"/>
  <c r="G27" i="4"/>
  <c r="S1091" i="5"/>
  <c r="K1091" i="5"/>
  <c r="Q970" i="5"/>
  <c r="M971" i="5"/>
  <c r="O730" i="6"/>
  <c r="J731" i="6"/>
  <c r="K731" i="6"/>
  <c r="J1091" i="6"/>
  <c r="K1091" i="6"/>
  <c r="O1090" i="6"/>
  <c r="S731" i="5"/>
  <c r="K731" i="5"/>
  <c r="P494" i="6"/>
  <c r="G494" i="6"/>
  <c r="J784" i="4"/>
  <c r="D784" i="6"/>
  <c r="I784" i="4"/>
  <c r="O784" i="5"/>
  <c r="M11" i="5"/>
  <c r="Q10" i="5"/>
  <c r="D984" i="4"/>
  <c r="C985" i="4"/>
  <c r="G734" i="6"/>
  <c r="P734" i="6"/>
  <c r="J624" i="4"/>
  <c r="D624" i="6"/>
  <c r="I624" i="4"/>
  <c r="O624" i="5"/>
  <c r="C787" i="4"/>
  <c r="D786" i="4"/>
  <c r="G626" i="4"/>
  <c r="H625" i="4"/>
  <c r="P974" i="6"/>
  <c r="G974" i="6"/>
  <c r="H146" i="4"/>
  <c r="G147" i="4"/>
  <c r="J971" i="6"/>
  <c r="K971" i="6"/>
  <c r="O970" i="6"/>
  <c r="I862" i="4"/>
  <c r="O862" i="5"/>
  <c r="J862" i="4"/>
  <c r="D862" i="6"/>
  <c r="J131" i="6"/>
  <c r="K131" i="6"/>
  <c r="O130" i="6"/>
  <c r="C508" i="4"/>
  <c r="D507" i="4"/>
  <c r="G786" i="4"/>
  <c r="H785" i="4"/>
  <c r="H985" i="4"/>
  <c r="G986" i="4"/>
  <c r="G614" i="6"/>
  <c r="P614" i="6"/>
  <c r="P854" i="6"/>
  <c r="G854" i="6"/>
  <c r="M851" i="5"/>
  <c r="Q850" i="5"/>
  <c r="G507" i="4"/>
  <c r="H506" i="4"/>
  <c r="D625" i="4"/>
  <c r="C626" i="4"/>
  <c r="S970" i="6"/>
  <c r="J384" i="4"/>
  <c r="D384" i="6"/>
  <c r="I384" i="4"/>
  <c r="O384" i="5"/>
  <c r="P374" i="6"/>
  <c r="G374" i="6"/>
  <c r="I984" i="4"/>
  <c r="O984" i="5"/>
  <c r="J984" i="4"/>
  <c r="D984" i="6"/>
  <c r="J851" i="6"/>
  <c r="K851" i="6"/>
  <c r="O850" i="6"/>
  <c r="J371" i="6"/>
  <c r="K371" i="6"/>
  <c r="O370" i="6"/>
  <c r="J251" i="6"/>
  <c r="K251" i="6"/>
  <c r="O250" i="6"/>
  <c r="I505" i="4"/>
  <c r="O505" i="5"/>
  <c r="J505" i="4"/>
  <c r="D505" i="6"/>
  <c r="S491" i="5"/>
  <c r="K491" i="5"/>
  <c r="J265" i="4"/>
  <c r="D265" i="6"/>
  <c r="I265" i="4"/>
  <c r="O265" i="5"/>
  <c r="G386" i="4"/>
  <c r="H385" i="4"/>
  <c r="M251" i="5"/>
  <c r="Q250" i="5"/>
  <c r="D145" i="4"/>
  <c r="C146" i="4"/>
  <c r="M491" i="5"/>
  <c r="Q490" i="5"/>
  <c r="H863" i="4"/>
  <c r="G864" i="4"/>
  <c r="Q1090" i="5"/>
  <c r="M1091" i="5"/>
  <c r="C1104" i="4"/>
  <c r="D1103" i="4"/>
  <c r="O10" i="6"/>
  <c r="J11" i="6"/>
  <c r="K11" i="6"/>
  <c r="O610" i="6"/>
  <c r="J611" i="6"/>
  <c r="K611" i="6"/>
  <c r="G14" i="6"/>
  <c r="P14" i="6"/>
  <c r="I1102" i="4"/>
  <c r="O1102" i="5"/>
  <c r="J1102" i="4"/>
  <c r="D1102" i="6"/>
  <c r="M731" i="5"/>
  <c r="Q730" i="5"/>
  <c r="M131" i="5"/>
  <c r="Q130" i="5"/>
  <c r="S11" i="5"/>
  <c r="K11" i="5"/>
  <c r="Q610" i="5"/>
  <c r="M611" i="5"/>
  <c r="J491" i="6"/>
  <c r="K491" i="6"/>
  <c r="O490" i="6"/>
  <c r="H266" i="4"/>
  <c r="G267" i="4"/>
  <c r="C386" i="4"/>
  <c r="D385" i="4"/>
  <c r="D864" i="4"/>
  <c r="C865" i="4"/>
  <c r="D265" i="4"/>
  <c r="C266" i="4"/>
  <c r="K251" i="5"/>
  <c r="S251" i="5"/>
  <c r="S1090" i="6"/>
  <c r="J25" i="4"/>
  <c r="D25" i="6"/>
  <c r="I25" i="4"/>
  <c r="O25" i="5"/>
  <c r="P254" i="6"/>
  <c r="G254" i="6"/>
  <c r="S371" i="5"/>
  <c r="K371" i="5"/>
  <c r="P1094" i="6"/>
  <c r="G1094" i="6"/>
  <c r="G1104" i="4"/>
  <c r="H1103" i="4"/>
  <c r="S131" i="5"/>
  <c r="K131" i="5"/>
  <c r="P134" i="6"/>
  <c r="G134" i="6"/>
  <c r="S971" i="5"/>
  <c r="K971" i="5"/>
  <c r="S250" i="6"/>
  <c r="D25" i="4"/>
  <c r="C26" i="4"/>
  <c r="S610" i="6"/>
  <c r="S850" i="6"/>
  <c r="G132" i="5"/>
  <c r="H132" i="5"/>
  <c r="L131" i="5"/>
  <c r="N131" i="5"/>
  <c r="G627" i="4"/>
  <c r="H626" i="4"/>
  <c r="L731" i="5"/>
  <c r="N731" i="5"/>
  <c r="G732" i="5"/>
  <c r="H732" i="5"/>
  <c r="E255" i="6"/>
  <c r="F255" i="6"/>
  <c r="Q491" i="6"/>
  <c r="L491" i="6"/>
  <c r="M491" i="6"/>
  <c r="E15" i="6"/>
  <c r="F15" i="6"/>
  <c r="I385" i="4"/>
  <c r="O385" i="5"/>
  <c r="J385" i="4"/>
  <c r="D385" i="6"/>
  <c r="E615" i="6"/>
  <c r="F615" i="6"/>
  <c r="C509" i="4"/>
  <c r="D508" i="4"/>
  <c r="L971" i="6"/>
  <c r="M971" i="6"/>
  <c r="Q971" i="6"/>
  <c r="L731" i="6"/>
  <c r="M731" i="6"/>
  <c r="Q731" i="6"/>
  <c r="G28" i="4"/>
  <c r="H27" i="4"/>
  <c r="G387" i="4"/>
  <c r="H386" i="4"/>
  <c r="C1105" i="4"/>
  <c r="D1104" i="4"/>
  <c r="I985" i="4"/>
  <c r="O985" i="5"/>
  <c r="J985" i="4"/>
  <c r="D985" i="6"/>
  <c r="U490" i="6"/>
  <c r="I863" i="4"/>
  <c r="O863" i="5"/>
  <c r="J863" i="4"/>
  <c r="D863" i="6"/>
  <c r="W490" i="5"/>
  <c r="G987" i="4"/>
  <c r="H986" i="4"/>
  <c r="C788" i="4"/>
  <c r="D787" i="4"/>
  <c r="C387" i="4"/>
  <c r="D386" i="4"/>
  <c r="Q611" i="6"/>
  <c r="L611" i="6"/>
  <c r="M611" i="6"/>
  <c r="J146" i="4"/>
  <c r="D146" i="6"/>
  <c r="I146" i="4"/>
  <c r="O146" i="5"/>
  <c r="G972" i="5"/>
  <c r="H972" i="5"/>
  <c r="L971" i="5"/>
  <c r="N971" i="5"/>
  <c r="G268" i="4"/>
  <c r="H267" i="4"/>
  <c r="W610" i="5"/>
  <c r="W730" i="5"/>
  <c r="U610" i="6"/>
  <c r="C147" i="4"/>
  <c r="D146" i="4"/>
  <c r="U250" i="6"/>
  <c r="W850" i="5"/>
  <c r="I785" i="4"/>
  <c r="O785" i="5"/>
  <c r="J785" i="4"/>
  <c r="D785" i="6"/>
  <c r="Q131" i="6"/>
  <c r="L131" i="6"/>
  <c r="M131" i="6"/>
  <c r="W370" i="5"/>
  <c r="W130" i="5"/>
  <c r="Q371" i="6"/>
  <c r="L371" i="6"/>
  <c r="M371" i="6"/>
  <c r="U970" i="6"/>
  <c r="U850" i="6"/>
  <c r="W10" i="5"/>
  <c r="J26" i="4"/>
  <c r="D26" i="6"/>
  <c r="I26" i="4"/>
  <c r="O26" i="5"/>
  <c r="G1105" i="4"/>
  <c r="H1104" i="4"/>
  <c r="L851" i="6"/>
  <c r="M851" i="6"/>
  <c r="Q851" i="6"/>
  <c r="U130" i="6"/>
  <c r="E1095" i="6"/>
  <c r="F1095" i="6"/>
  <c r="J266" i="4"/>
  <c r="D266" i="6"/>
  <c r="I266" i="4"/>
  <c r="O266" i="5"/>
  <c r="G12" i="5"/>
  <c r="H12" i="5"/>
  <c r="L11" i="5"/>
  <c r="N11" i="5"/>
  <c r="G492" i="5"/>
  <c r="H492" i="5"/>
  <c r="L491" i="5"/>
  <c r="N491" i="5"/>
  <c r="Q251" i="6"/>
  <c r="L251" i="6"/>
  <c r="M251" i="6"/>
  <c r="C627" i="4"/>
  <c r="D626" i="4"/>
  <c r="G787" i="4"/>
  <c r="H786" i="4"/>
  <c r="E975" i="6"/>
  <c r="F975" i="6"/>
  <c r="W970" i="5"/>
  <c r="C27" i="4"/>
  <c r="D26" i="4"/>
  <c r="G508" i="4"/>
  <c r="H507" i="4"/>
  <c r="I1103" i="4"/>
  <c r="O1103" i="5"/>
  <c r="J1103" i="4"/>
  <c r="D1103" i="6"/>
  <c r="G148" i="4"/>
  <c r="H147" i="4"/>
  <c r="U730" i="6"/>
  <c r="E135" i="6"/>
  <c r="F135" i="6"/>
  <c r="C267" i="4"/>
  <c r="D266" i="4"/>
  <c r="Q11" i="6"/>
  <c r="L11" i="6"/>
  <c r="M11" i="6"/>
  <c r="W1090" i="5"/>
  <c r="E375" i="6"/>
  <c r="F375" i="6"/>
  <c r="E855" i="6"/>
  <c r="F855" i="6"/>
  <c r="E735" i="6"/>
  <c r="F735" i="6"/>
  <c r="E495" i="6"/>
  <c r="F495" i="6"/>
  <c r="U1090" i="6"/>
  <c r="G1092" i="5"/>
  <c r="H1092" i="5"/>
  <c r="L1091" i="5"/>
  <c r="N1091" i="5"/>
  <c r="L611" i="5"/>
  <c r="N611" i="5"/>
  <c r="G612" i="5"/>
  <c r="H612" i="5"/>
  <c r="C866" i="4"/>
  <c r="D865" i="4"/>
  <c r="G252" i="5"/>
  <c r="H252" i="5"/>
  <c r="L251" i="5"/>
  <c r="N251" i="5"/>
  <c r="L371" i="5"/>
  <c r="N371" i="5"/>
  <c r="G372" i="5"/>
  <c r="H372" i="5"/>
  <c r="U10" i="6"/>
  <c r="G865" i="4"/>
  <c r="H864" i="4"/>
  <c r="W250" i="5"/>
  <c r="U370" i="6"/>
  <c r="J506" i="4"/>
  <c r="D506" i="6"/>
  <c r="I506" i="4"/>
  <c r="O506" i="5"/>
  <c r="I625" i="4"/>
  <c r="O625" i="5"/>
  <c r="J625" i="4"/>
  <c r="D625" i="6"/>
  <c r="D985" i="4"/>
  <c r="C986" i="4"/>
  <c r="L1091" i="6"/>
  <c r="M1091" i="6"/>
  <c r="Q1091" i="6"/>
  <c r="L851" i="5"/>
  <c r="N851" i="5"/>
  <c r="G852" i="5"/>
  <c r="H852" i="5"/>
  <c r="R491" i="6"/>
  <c r="N491" i="6"/>
  <c r="P131" i="5"/>
  <c r="T131" i="5"/>
  <c r="U131" i="5"/>
  <c r="R251" i="6"/>
  <c r="N251" i="6"/>
  <c r="J986" i="4"/>
  <c r="D986" i="6"/>
  <c r="I986" i="4"/>
  <c r="O986" i="5"/>
  <c r="I252" i="5"/>
  <c r="J252" i="5"/>
  <c r="R252" i="5"/>
  <c r="G509" i="4"/>
  <c r="H508" i="4"/>
  <c r="X850" i="5"/>
  <c r="N971" i="6"/>
  <c r="R971" i="6"/>
  <c r="S971" i="6"/>
  <c r="R131" i="6"/>
  <c r="N131" i="6"/>
  <c r="T851" i="5"/>
  <c r="U851" i="5"/>
  <c r="P851" i="5"/>
  <c r="D866" i="4"/>
  <c r="C867" i="4"/>
  <c r="V1090" i="6"/>
  <c r="V730" i="6"/>
  <c r="I492" i="5"/>
  <c r="J492" i="5"/>
  <c r="R492" i="5"/>
  <c r="V850" i="6"/>
  <c r="S131" i="6"/>
  <c r="V610" i="6"/>
  <c r="X610" i="5"/>
  <c r="S611" i="6"/>
  <c r="V490" i="6"/>
  <c r="C510" i="4"/>
  <c r="D509" i="4"/>
  <c r="S491" i="6"/>
  <c r="R132" i="5"/>
  <c r="I132" i="5"/>
  <c r="J132" i="5"/>
  <c r="H865" i="4"/>
  <c r="G866" i="4"/>
  <c r="X970" i="5"/>
  <c r="J386" i="4"/>
  <c r="D386" i="6"/>
  <c r="I386" i="4"/>
  <c r="O386" i="5"/>
  <c r="G1095" i="6"/>
  <c r="P1095" i="6"/>
  <c r="G388" i="4"/>
  <c r="H387" i="4"/>
  <c r="I852" i="5"/>
  <c r="J852" i="5"/>
  <c r="R852" i="5"/>
  <c r="P975" i="6"/>
  <c r="G975" i="6"/>
  <c r="R611" i="6"/>
  <c r="N611" i="6"/>
  <c r="S1091" i="6"/>
  <c r="V10" i="6"/>
  <c r="I612" i="5"/>
  <c r="J612" i="5"/>
  <c r="R612" i="5"/>
  <c r="P375" i="6"/>
  <c r="G375" i="6"/>
  <c r="D267" i="4"/>
  <c r="C268" i="4"/>
  <c r="J147" i="4"/>
  <c r="D147" i="6"/>
  <c r="I147" i="4"/>
  <c r="O147" i="5"/>
  <c r="C28" i="4"/>
  <c r="D27" i="4"/>
  <c r="J786" i="4"/>
  <c r="D786" i="6"/>
  <c r="I786" i="4"/>
  <c r="O786" i="5"/>
  <c r="P11" i="5"/>
  <c r="T11" i="5"/>
  <c r="U11" i="5"/>
  <c r="J267" i="4"/>
  <c r="D267" i="6"/>
  <c r="I267" i="4"/>
  <c r="O267" i="5"/>
  <c r="J27" i="4"/>
  <c r="D27" i="6"/>
  <c r="I27" i="4"/>
  <c r="O27" i="5"/>
  <c r="T251" i="5"/>
  <c r="U251" i="5"/>
  <c r="P251" i="5"/>
  <c r="J507" i="4"/>
  <c r="D507" i="6"/>
  <c r="I507" i="4"/>
  <c r="O507" i="5"/>
  <c r="J1104" i="4"/>
  <c r="D1104" i="6"/>
  <c r="I1104" i="4"/>
  <c r="O1104" i="5"/>
  <c r="N11" i="6"/>
  <c r="R11" i="6"/>
  <c r="S11" i="6"/>
  <c r="S371" i="6"/>
  <c r="P491" i="5"/>
  <c r="T491" i="5"/>
  <c r="U491" i="5"/>
  <c r="N1091" i="6"/>
  <c r="R1091" i="6"/>
  <c r="R372" i="5"/>
  <c r="I372" i="5"/>
  <c r="J372" i="5"/>
  <c r="T611" i="5"/>
  <c r="U611" i="5"/>
  <c r="P611" i="5"/>
  <c r="P495" i="6"/>
  <c r="G495" i="6"/>
  <c r="H148" i="4"/>
  <c r="G149" i="4"/>
  <c r="G788" i="4"/>
  <c r="H787" i="4"/>
  <c r="R12" i="5"/>
  <c r="I12" i="5"/>
  <c r="J12" i="5"/>
  <c r="V130" i="6"/>
  <c r="X130" i="5"/>
  <c r="V250" i="6"/>
  <c r="H268" i="4"/>
  <c r="G269" i="4"/>
  <c r="D387" i="4"/>
  <c r="C388" i="4"/>
  <c r="X490" i="5"/>
  <c r="H28" i="4"/>
  <c r="G29" i="4"/>
  <c r="P615" i="6"/>
  <c r="G615" i="6"/>
  <c r="P255" i="6"/>
  <c r="G255" i="6"/>
  <c r="S251" i="6"/>
  <c r="X370" i="5"/>
  <c r="H987" i="4"/>
  <c r="G988" i="4"/>
  <c r="G628" i="4"/>
  <c r="H627" i="4"/>
  <c r="X250" i="5"/>
  <c r="T371" i="5"/>
  <c r="U371" i="5"/>
  <c r="P371" i="5"/>
  <c r="P1091" i="5"/>
  <c r="T1091" i="5"/>
  <c r="U1091" i="5"/>
  <c r="P971" i="5"/>
  <c r="T971" i="5"/>
  <c r="U971" i="5"/>
  <c r="R732" i="5"/>
  <c r="I732" i="5"/>
  <c r="J732" i="5"/>
  <c r="X1090" i="5"/>
  <c r="R371" i="6"/>
  <c r="N371" i="6"/>
  <c r="J626" i="4"/>
  <c r="D626" i="6"/>
  <c r="I626" i="4"/>
  <c r="O626" i="5"/>
  <c r="G1106" i="4"/>
  <c r="H1105" i="4"/>
  <c r="P15" i="6"/>
  <c r="G15" i="6"/>
  <c r="V370" i="6"/>
  <c r="G855" i="6"/>
  <c r="P855" i="6"/>
  <c r="D986" i="4"/>
  <c r="C987" i="4"/>
  <c r="J864" i="4"/>
  <c r="D864" i="6"/>
  <c r="I864" i="4"/>
  <c r="O864" i="5"/>
  <c r="I1092" i="5"/>
  <c r="J1092" i="5"/>
  <c r="R1092" i="5"/>
  <c r="P735" i="6"/>
  <c r="G735" i="6"/>
  <c r="P135" i="6"/>
  <c r="G135" i="6"/>
  <c r="C628" i="4"/>
  <c r="D627" i="4"/>
  <c r="R851" i="6"/>
  <c r="S851" i="6"/>
  <c r="N851" i="6"/>
  <c r="X10" i="5"/>
  <c r="V970" i="6"/>
  <c r="D147" i="4"/>
  <c r="C148" i="4"/>
  <c r="X730" i="5"/>
  <c r="I972" i="5"/>
  <c r="J972" i="5"/>
  <c r="R972" i="5"/>
  <c r="C789" i="4"/>
  <c r="D788" i="4"/>
  <c r="C1106" i="4"/>
  <c r="D1105" i="4"/>
  <c r="N731" i="6"/>
  <c r="R731" i="6"/>
  <c r="S731" i="6"/>
  <c r="T731" i="5"/>
  <c r="U731" i="5"/>
  <c r="P731" i="5"/>
  <c r="E16" i="6"/>
  <c r="F16" i="6"/>
  <c r="G989" i="4"/>
  <c r="H988" i="4"/>
  <c r="G270" i="4"/>
  <c r="H269" i="4"/>
  <c r="E136" i="6"/>
  <c r="F136" i="6"/>
  <c r="I1105" i="4"/>
  <c r="O1105" i="5"/>
  <c r="J1105" i="4"/>
  <c r="D1105" i="6"/>
  <c r="M372" i="5"/>
  <c r="Q371" i="5"/>
  <c r="W371" i="5"/>
  <c r="X371" i="5"/>
  <c r="S372" i="5"/>
  <c r="K372" i="5"/>
  <c r="J12" i="6"/>
  <c r="K12" i="6"/>
  <c r="O11" i="6"/>
  <c r="U11" i="6"/>
  <c r="V11" i="6"/>
  <c r="K612" i="5"/>
  <c r="S612" i="5"/>
  <c r="C790" i="4"/>
  <c r="D789" i="4"/>
  <c r="G1107" i="4"/>
  <c r="H1106" i="4"/>
  <c r="J28" i="4"/>
  <c r="D28" i="6"/>
  <c r="I28" i="4"/>
  <c r="O28" i="5"/>
  <c r="G789" i="4"/>
  <c r="H788" i="4"/>
  <c r="S852" i="5"/>
  <c r="K852" i="5"/>
  <c r="C868" i="4"/>
  <c r="D867" i="4"/>
  <c r="O971" i="6"/>
  <c r="U971" i="6"/>
  <c r="V971" i="6"/>
  <c r="J972" i="6"/>
  <c r="K972" i="6"/>
  <c r="C149" i="4"/>
  <c r="D148" i="4"/>
  <c r="E616" i="6"/>
  <c r="F616" i="6"/>
  <c r="K732" i="5"/>
  <c r="S732" i="5"/>
  <c r="I787" i="4"/>
  <c r="O787" i="5"/>
  <c r="J787" i="4"/>
  <c r="D787" i="6"/>
  <c r="C29" i="4"/>
  <c r="D28" i="4"/>
  <c r="D510" i="4"/>
  <c r="C511" i="4"/>
  <c r="M732" i="5"/>
  <c r="Q731" i="5"/>
  <c r="W731" i="5"/>
  <c r="X731" i="5"/>
  <c r="E736" i="6"/>
  <c r="F736" i="6"/>
  <c r="G150" i="4"/>
  <c r="H149" i="4"/>
  <c r="J387" i="4"/>
  <c r="D387" i="6"/>
  <c r="I387" i="4"/>
  <c r="O387" i="5"/>
  <c r="H866" i="4"/>
  <c r="G867" i="4"/>
  <c r="J252" i="6"/>
  <c r="K252" i="6"/>
  <c r="O251" i="6"/>
  <c r="U251" i="6"/>
  <c r="V251" i="6"/>
  <c r="D987" i="4"/>
  <c r="C988" i="4"/>
  <c r="G30" i="4"/>
  <c r="H29" i="4"/>
  <c r="J148" i="4"/>
  <c r="D148" i="6"/>
  <c r="I148" i="4"/>
  <c r="O148" i="5"/>
  <c r="J1092" i="6"/>
  <c r="K1092" i="6"/>
  <c r="O1091" i="6"/>
  <c r="U1091" i="6"/>
  <c r="V1091" i="6"/>
  <c r="C269" i="4"/>
  <c r="D268" i="4"/>
  <c r="H388" i="4"/>
  <c r="G389" i="4"/>
  <c r="I865" i="4"/>
  <c r="O865" i="5"/>
  <c r="J865" i="4"/>
  <c r="D865" i="6"/>
  <c r="M852" i="5"/>
  <c r="Q851" i="5"/>
  <c r="W851" i="5"/>
  <c r="X851" i="5"/>
  <c r="J732" i="6"/>
  <c r="K732" i="6"/>
  <c r="O731" i="6"/>
  <c r="U731" i="6"/>
  <c r="V731" i="6"/>
  <c r="S12" i="5"/>
  <c r="K12" i="5"/>
  <c r="S972" i="5"/>
  <c r="K972" i="5"/>
  <c r="E856" i="6"/>
  <c r="F856" i="6"/>
  <c r="O851" i="6"/>
  <c r="U851" i="6"/>
  <c r="V851" i="6"/>
  <c r="J852" i="6"/>
  <c r="K852" i="6"/>
  <c r="J372" i="6"/>
  <c r="K372" i="6"/>
  <c r="O371" i="6"/>
  <c r="U371" i="6"/>
  <c r="V371" i="6"/>
  <c r="Q971" i="5"/>
  <c r="W971" i="5"/>
  <c r="X971" i="5"/>
  <c r="M972" i="5"/>
  <c r="I627" i="4"/>
  <c r="O627" i="5"/>
  <c r="J627" i="4"/>
  <c r="D627" i="6"/>
  <c r="E256" i="6"/>
  <c r="F256" i="6"/>
  <c r="C389" i="4"/>
  <c r="D388" i="4"/>
  <c r="E496" i="6"/>
  <c r="F496" i="6"/>
  <c r="M12" i="5"/>
  <c r="Q11" i="5"/>
  <c r="W11" i="5"/>
  <c r="X11" i="5"/>
  <c r="J612" i="6"/>
  <c r="K612" i="6"/>
  <c r="O611" i="6"/>
  <c r="U611" i="6"/>
  <c r="V611" i="6"/>
  <c r="S132" i="5"/>
  <c r="K132" i="5"/>
  <c r="S492" i="5"/>
  <c r="K492" i="5"/>
  <c r="J508" i="4"/>
  <c r="D508" i="6"/>
  <c r="I508" i="4"/>
  <c r="O508" i="5"/>
  <c r="K1092" i="5"/>
  <c r="S1092" i="5"/>
  <c r="G629" i="4"/>
  <c r="H628" i="4"/>
  <c r="Q491" i="5"/>
  <c r="W491" i="5"/>
  <c r="X491" i="5"/>
  <c r="M492" i="5"/>
  <c r="M252" i="5"/>
  <c r="Q251" i="5"/>
  <c r="W251" i="5"/>
  <c r="X251" i="5"/>
  <c r="E376" i="6"/>
  <c r="F376" i="6"/>
  <c r="E1096" i="6"/>
  <c r="F1096" i="6"/>
  <c r="J132" i="6"/>
  <c r="K132" i="6"/>
  <c r="O131" i="6"/>
  <c r="U131" i="6"/>
  <c r="V131" i="6"/>
  <c r="G510" i="4"/>
  <c r="H509" i="4"/>
  <c r="M132" i="5"/>
  <c r="Q131" i="5"/>
  <c r="W131" i="5"/>
  <c r="X131" i="5"/>
  <c r="E976" i="6"/>
  <c r="F976" i="6"/>
  <c r="O491" i="6"/>
  <c r="U491" i="6"/>
  <c r="V491" i="6"/>
  <c r="J492" i="6"/>
  <c r="K492" i="6"/>
  <c r="Q611" i="5"/>
  <c r="W611" i="5"/>
  <c r="X611" i="5"/>
  <c r="M612" i="5"/>
  <c r="C1107" i="4"/>
  <c r="D1106" i="4"/>
  <c r="C629" i="4"/>
  <c r="D628" i="4"/>
  <c r="Q1091" i="5"/>
  <c r="W1091" i="5"/>
  <c r="X1091" i="5"/>
  <c r="M1092" i="5"/>
  <c r="I987" i="4"/>
  <c r="O987" i="5"/>
  <c r="J987" i="4"/>
  <c r="D987" i="6"/>
  <c r="J268" i="4"/>
  <c r="D268" i="6"/>
  <c r="I268" i="4"/>
  <c r="O268" i="5"/>
  <c r="K252" i="5"/>
  <c r="S252" i="5"/>
  <c r="C1108" i="4"/>
  <c r="D1107" i="4"/>
  <c r="Q12" i="6"/>
  <c r="L12" i="6"/>
  <c r="M12" i="6"/>
  <c r="J628" i="4"/>
  <c r="D628" i="6"/>
  <c r="I628" i="4"/>
  <c r="O628" i="5"/>
  <c r="G133" i="5"/>
  <c r="H133" i="5"/>
  <c r="L132" i="5"/>
  <c r="N132" i="5"/>
  <c r="P496" i="6"/>
  <c r="G496" i="6"/>
  <c r="G616" i="6"/>
  <c r="P616" i="6"/>
  <c r="G1108" i="4"/>
  <c r="H1107" i="4"/>
  <c r="G373" i="5"/>
  <c r="H373" i="5"/>
  <c r="L372" i="5"/>
  <c r="N372" i="5"/>
  <c r="J269" i="4"/>
  <c r="D269" i="6"/>
  <c r="I269" i="4"/>
  <c r="O269" i="5"/>
  <c r="D988" i="4"/>
  <c r="C989" i="4"/>
  <c r="D868" i="4"/>
  <c r="C869" i="4"/>
  <c r="G253" i="5"/>
  <c r="H253" i="5"/>
  <c r="L252" i="5"/>
  <c r="N252" i="5"/>
  <c r="H150" i="4"/>
  <c r="G151" i="4"/>
  <c r="I1106" i="4"/>
  <c r="O1106" i="5"/>
  <c r="J1106" i="4"/>
  <c r="D1106" i="6"/>
  <c r="J509" i="4"/>
  <c r="D509" i="6"/>
  <c r="I509" i="4"/>
  <c r="O509" i="5"/>
  <c r="P376" i="6"/>
  <c r="G376" i="6"/>
  <c r="H629" i="4"/>
  <c r="G630" i="4"/>
  <c r="G973" i="5"/>
  <c r="H973" i="5"/>
  <c r="L972" i="5"/>
  <c r="N972" i="5"/>
  <c r="L1092" i="6"/>
  <c r="M1092" i="6"/>
  <c r="Q1092" i="6"/>
  <c r="L252" i="6"/>
  <c r="M252" i="6"/>
  <c r="Q252" i="6"/>
  <c r="H270" i="4"/>
  <c r="G271" i="4"/>
  <c r="J149" i="4"/>
  <c r="D149" i="6"/>
  <c r="I149" i="4"/>
  <c r="O149" i="5"/>
  <c r="L852" i="5"/>
  <c r="N852" i="5"/>
  <c r="G853" i="5"/>
  <c r="H853" i="5"/>
  <c r="L492" i="6"/>
  <c r="M492" i="6"/>
  <c r="Q492" i="6"/>
  <c r="G511" i="4"/>
  <c r="H510" i="4"/>
  <c r="C390" i="4"/>
  <c r="D389" i="4"/>
  <c r="L372" i="6"/>
  <c r="M372" i="6"/>
  <c r="Q372" i="6"/>
  <c r="H867" i="4"/>
  <c r="G868" i="4"/>
  <c r="P736" i="6"/>
  <c r="G736" i="6"/>
  <c r="D29" i="4"/>
  <c r="C30" i="4"/>
  <c r="D149" i="4"/>
  <c r="C150" i="4"/>
  <c r="J788" i="4"/>
  <c r="D788" i="6"/>
  <c r="I788" i="4"/>
  <c r="O788" i="5"/>
  <c r="J988" i="4"/>
  <c r="D988" i="6"/>
  <c r="I988" i="4"/>
  <c r="O988" i="5"/>
  <c r="G493" i="5"/>
  <c r="H493" i="5"/>
  <c r="L492" i="5"/>
  <c r="N492" i="5"/>
  <c r="G136" i="6"/>
  <c r="P136" i="6"/>
  <c r="P856" i="6"/>
  <c r="G856" i="6"/>
  <c r="G1093" i="5"/>
  <c r="H1093" i="5"/>
  <c r="L1092" i="5"/>
  <c r="N1092" i="5"/>
  <c r="G256" i="6"/>
  <c r="P256" i="6"/>
  <c r="G13" i="5"/>
  <c r="H13" i="5"/>
  <c r="L12" i="5"/>
  <c r="N12" i="5"/>
  <c r="I866" i="4"/>
  <c r="O866" i="5"/>
  <c r="J866" i="4"/>
  <c r="D866" i="6"/>
  <c r="L972" i="6"/>
  <c r="M972" i="6"/>
  <c r="Q972" i="6"/>
  <c r="G790" i="4"/>
  <c r="H789" i="4"/>
  <c r="C791" i="4"/>
  <c r="D790" i="4"/>
  <c r="H989" i="4"/>
  <c r="G990" i="4"/>
  <c r="P976" i="6"/>
  <c r="G976" i="6"/>
  <c r="Q732" i="6"/>
  <c r="L732" i="6"/>
  <c r="M732" i="6"/>
  <c r="P1096" i="6"/>
  <c r="G1096" i="6"/>
  <c r="L612" i="6"/>
  <c r="M612" i="6"/>
  <c r="Q612" i="6"/>
  <c r="L852" i="6"/>
  <c r="M852" i="6"/>
  <c r="Q852" i="6"/>
  <c r="H389" i="4"/>
  <c r="G390" i="4"/>
  <c r="J29" i="4"/>
  <c r="D29" i="6"/>
  <c r="I29" i="4"/>
  <c r="O29" i="5"/>
  <c r="C512" i="4"/>
  <c r="D511" i="4"/>
  <c r="L732" i="5"/>
  <c r="N732" i="5"/>
  <c r="G733" i="5"/>
  <c r="H733" i="5"/>
  <c r="D269" i="4"/>
  <c r="C270" i="4"/>
  <c r="C630" i="4"/>
  <c r="D629" i="4"/>
  <c r="L132" i="6"/>
  <c r="M132" i="6"/>
  <c r="Q132" i="6"/>
  <c r="J388" i="4"/>
  <c r="D388" i="6"/>
  <c r="I388" i="4"/>
  <c r="O388" i="5"/>
  <c r="H30" i="4"/>
  <c r="G31" i="4"/>
  <c r="L612" i="5"/>
  <c r="N612" i="5"/>
  <c r="G613" i="5"/>
  <c r="H613" i="5"/>
  <c r="P16" i="6"/>
  <c r="G16" i="6"/>
  <c r="P972" i="5"/>
  <c r="T972" i="5"/>
  <c r="U972" i="5"/>
  <c r="D989" i="4"/>
  <c r="C990" i="4"/>
  <c r="R12" i="6"/>
  <c r="S12" i="6"/>
  <c r="N12" i="6"/>
  <c r="E737" i="6"/>
  <c r="F737" i="6"/>
  <c r="J510" i="4"/>
  <c r="D510" i="6"/>
  <c r="I510" i="4"/>
  <c r="O510" i="5"/>
  <c r="G272" i="4"/>
  <c r="H271" i="4"/>
  <c r="G631" i="4"/>
  <c r="H630" i="4"/>
  <c r="G152" i="4"/>
  <c r="H151" i="4"/>
  <c r="E497" i="6"/>
  <c r="F497" i="6"/>
  <c r="G391" i="4"/>
  <c r="H390" i="4"/>
  <c r="C31" i="4"/>
  <c r="D30" i="4"/>
  <c r="S852" i="6"/>
  <c r="E977" i="6"/>
  <c r="F977" i="6"/>
  <c r="P1092" i="5"/>
  <c r="T1092" i="5"/>
  <c r="U1092" i="5"/>
  <c r="T732" i="5"/>
  <c r="U732" i="5"/>
  <c r="P732" i="5"/>
  <c r="N852" i="6"/>
  <c r="R852" i="6"/>
  <c r="R972" i="6"/>
  <c r="S972" i="6"/>
  <c r="N972" i="6"/>
  <c r="I1093" i="5"/>
  <c r="J1093" i="5"/>
  <c r="R1093" i="5"/>
  <c r="H511" i="4"/>
  <c r="G512" i="4"/>
  <c r="J270" i="4"/>
  <c r="D270" i="6"/>
  <c r="I270" i="4"/>
  <c r="O270" i="5"/>
  <c r="I629" i="4"/>
  <c r="O629" i="5"/>
  <c r="J629" i="4"/>
  <c r="D629" i="6"/>
  <c r="J150" i="4"/>
  <c r="D150" i="6"/>
  <c r="I150" i="4"/>
  <c r="O150" i="5"/>
  <c r="C1109" i="4"/>
  <c r="D1108" i="4"/>
  <c r="C271" i="4"/>
  <c r="D270" i="4"/>
  <c r="I789" i="4"/>
  <c r="O789" i="5"/>
  <c r="J789" i="4"/>
  <c r="D789" i="6"/>
  <c r="I389" i="4"/>
  <c r="O389" i="5"/>
  <c r="J389" i="4"/>
  <c r="D389" i="6"/>
  <c r="E377" i="6"/>
  <c r="F377" i="6"/>
  <c r="P252" i="5"/>
  <c r="T252" i="5"/>
  <c r="U252" i="5"/>
  <c r="T372" i="5"/>
  <c r="U372" i="5"/>
  <c r="P372" i="5"/>
  <c r="P132" i="5"/>
  <c r="T132" i="5"/>
  <c r="U132" i="5"/>
  <c r="N732" i="6"/>
  <c r="R732" i="6"/>
  <c r="S732" i="6"/>
  <c r="R493" i="5"/>
  <c r="I493" i="5"/>
  <c r="J493" i="5"/>
  <c r="I973" i="5"/>
  <c r="J973" i="5"/>
  <c r="R973" i="5"/>
  <c r="E617" i="6"/>
  <c r="F617" i="6"/>
  <c r="E17" i="6"/>
  <c r="F17" i="6"/>
  <c r="R132" i="6"/>
  <c r="S132" i="6"/>
  <c r="N132" i="6"/>
  <c r="C513" i="4"/>
  <c r="D512" i="4"/>
  <c r="R612" i="6"/>
  <c r="N612" i="6"/>
  <c r="I989" i="4"/>
  <c r="O989" i="5"/>
  <c r="J989" i="4"/>
  <c r="D989" i="6"/>
  <c r="I867" i="4"/>
  <c r="O867" i="5"/>
  <c r="J867" i="4"/>
  <c r="D867" i="6"/>
  <c r="R492" i="6"/>
  <c r="S492" i="6"/>
  <c r="N492" i="6"/>
  <c r="R252" i="6"/>
  <c r="S252" i="6"/>
  <c r="N252" i="6"/>
  <c r="R253" i="5"/>
  <c r="I253" i="5"/>
  <c r="J253" i="5"/>
  <c r="R373" i="5"/>
  <c r="I373" i="5"/>
  <c r="J373" i="5"/>
  <c r="R133" i="5"/>
  <c r="I133" i="5"/>
  <c r="J133" i="5"/>
  <c r="G32" i="4"/>
  <c r="H31" i="4"/>
  <c r="P492" i="5"/>
  <c r="T492" i="5"/>
  <c r="U492" i="5"/>
  <c r="G791" i="4"/>
  <c r="H790" i="4"/>
  <c r="C391" i="4"/>
  <c r="D390" i="4"/>
  <c r="S612" i="6"/>
  <c r="E857" i="6"/>
  <c r="F857" i="6"/>
  <c r="I613" i="5"/>
  <c r="J613" i="5"/>
  <c r="R613" i="5"/>
  <c r="E1097" i="6"/>
  <c r="F1097" i="6"/>
  <c r="P12" i="5"/>
  <c r="T12" i="5"/>
  <c r="U12" i="5"/>
  <c r="C151" i="4"/>
  <c r="D150" i="4"/>
  <c r="I853" i="5"/>
  <c r="J853" i="5"/>
  <c r="R853" i="5"/>
  <c r="C870" i="4"/>
  <c r="D869" i="4"/>
  <c r="I1107" i="4"/>
  <c r="O1107" i="5"/>
  <c r="J1107" i="4"/>
  <c r="D1107" i="6"/>
  <c r="J30" i="4"/>
  <c r="D30" i="6"/>
  <c r="I30" i="4"/>
  <c r="O30" i="5"/>
  <c r="E257" i="6"/>
  <c r="F257" i="6"/>
  <c r="R733" i="5"/>
  <c r="I733" i="5"/>
  <c r="J733" i="5"/>
  <c r="H990" i="4"/>
  <c r="G991" i="4"/>
  <c r="H868" i="4"/>
  <c r="G869" i="4"/>
  <c r="T612" i="5"/>
  <c r="U612" i="5"/>
  <c r="P612" i="5"/>
  <c r="C631" i="4"/>
  <c r="D630" i="4"/>
  <c r="C792" i="4"/>
  <c r="D791" i="4"/>
  <c r="I13" i="5"/>
  <c r="J13" i="5"/>
  <c r="R13" i="5"/>
  <c r="E137" i="6"/>
  <c r="F137" i="6"/>
  <c r="R372" i="6"/>
  <c r="S372" i="6"/>
  <c r="N372" i="6"/>
  <c r="T852" i="5"/>
  <c r="U852" i="5"/>
  <c r="P852" i="5"/>
  <c r="N1092" i="6"/>
  <c r="R1092" i="6"/>
  <c r="S1092" i="6"/>
  <c r="G1109" i="4"/>
  <c r="H1108" i="4"/>
  <c r="M493" i="5"/>
  <c r="Q492" i="5"/>
  <c r="W492" i="5"/>
  <c r="X492" i="5"/>
  <c r="K613" i="5"/>
  <c r="S613" i="5"/>
  <c r="J790" i="4"/>
  <c r="D790" i="6"/>
  <c r="I790" i="4"/>
  <c r="O790" i="5"/>
  <c r="M373" i="5"/>
  <c r="Q372" i="5"/>
  <c r="W372" i="5"/>
  <c r="X372" i="5"/>
  <c r="J853" i="6"/>
  <c r="K853" i="6"/>
  <c r="O852" i="6"/>
  <c r="U852" i="6"/>
  <c r="V852" i="6"/>
  <c r="J1108" i="4"/>
  <c r="D1108" i="6"/>
  <c r="I1108" i="4"/>
  <c r="O1108" i="5"/>
  <c r="C632" i="4"/>
  <c r="D631" i="4"/>
  <c r="K253" i="5"/>
  <c r="S253" i="5"/>
  <c r="O132" i="6"/>
  <c r="U132" i="6"/>
  <c r="V132" i="6"/>
  <c r="J133" i="6"/>
  <c r="K133" i="6"/>
  <c r="S493" i="5"/>
  <c r="K493" i="5"/>
  <c r="H152" i="4"/>
  <c r="G153" i="4"/>
  <c r="P737" i="6"/>
  <c r="G737" i="6"/>
  <c r="D870" i="4"/>
  <c r="C871" i="4"/>
  <c r="G632" i="4"/>
  <c r="H631" i="4"/>
  <c r="H32" i="4"/>
  <c r="G33" i="4"/>
  <c r="O252" i="6"/>
  <c r="U252" i="6"/>
  <c r="V252" i="6"/>
  <c r="J253" i="6"/>
  <c r="K253" i="6"/>
  <c r="J733" i="6"/>
  <c r="K733" i="6"/>
  <c r="O732" i="6"/>
  <c r="U732" i="6"/>
  <c r="V732" i="6"/>
  <c r="P377" i="6"/>
  <c r="G377" i="6"/>
  <c r="D271" i="4"/>
  <c r="C272" i="4"/>
  <c r="J390" i="4"/>
  <c r="D390" i="6"/>
  <c r="I390" i="4"/>
  <c r="O390" i="5"/>
  <c r="J271" i="4"/>
  <c r="D271" i="6"/>
  <c r="I271" i="4"/>
  <c r="O271" i="5"/>
  <c r="Q612" i="5"/>
  <c r="W612" i="5"/>
  <c r="X612" i="5"/>
  <c r="M613" i="5"/>
  <c r="S1093" i="5"/>
  <c r="K1093" i="5"/>
  <c r="J630" i="4"/>
  <c r="D630" i="6"/>
  <c r="I630" i="4"/>
  <c r="O630" i="5"/>
  <c r="J31" i="4"/>
  <c r="D31" i="6"/>
  <c r="I31" i="4"/>
  <c r="O31" i="5"/>
  <c r="P17" i="6"/>
  <c r="G17" i="6"/>
  <c r="J973" i="6"/>
  <c r="K973" i="6"/>
  <c r="O972" i="6"/>
  <c r="U972" i="6"/>
  <c r="V972" i="6"/>
  <c r="Q1092" i="5"/>
  <c r="W1092" i="5"/>
  <c r="X1092" i="5"/>
  <c r="M1093" i="5"/>
  <c r="J1093" i="6"/>
  <c r="K1093" i="6"/>
  <c r="O1092" i="6"/>
  <c r="U1092" i="6"/>
  <c r="V1092" i="6"/>
  <c r="H869" i="4"/>
  <c r="G870" i="4"/>
  <c r="M853" i="5"/>
  <c r="Q852" i="5"/>
  <c r="W852" i="5"/>
  <c r="X852" i="5"/>
  <c r="J868" i="4"/>
  <c r="D868" i="6"/>
  <c r="I868" i="4"/>
  <c r="O868" i="5"/>
  <c r="S853" i="5"/>
  <c r="K853" i="5"/>
  <c r="P1097" i="6"/>
  <c r="G1097" i="6"/>
  <c r="S133" i="5"/>
  <c r="K133" i="5"/>
  <c r="O612" i="6"/>
  <c r="U612" i="6"/>
  <c r="V612" i="6"/>
  <c r="J613" i="6"/>
  <c r="K613" i="6"/>
  <c r="G392" i="4"/>
  <c r="H391" i="4"/>
  <c r="H272" i="4"/>
  <c r="G273" i="4"/>
  <c r="D990" i="4"/>
  <c r="C991" i="4"/>
  <c r="G137" i="6"/>
  <c r="P137" i="6"/>
  <c r="Q252" i="5"/>
  <c r="W252" i="5"/>
  <c r="X252" i="5"/>
  <c r="M253" i="5"/>
  <c r="J13" i="6"/>
  <c r="K13" i="6"/>
  <c r="O12" i="6"/>
  <c r="U12" i="6"/>
  <c r="V12" i="6"/>
  <c r="G257" i="6"/>
  <c r="P257" i="6"/>
  <c r="M13" i="5"/>
  <c r="Q12" i="5"/>
  <c r="W12" i="5"/>
  <c r="X12" i="5"/>
  <c r="D31" i="4"/>
  <c r="C32" i="4"/>
  <c r="S13" i="5"/>
  <c r="K13" i="5"/>
  <c r="C793" i="4"/>
  <c r="D792" i="4"/>
  <c r="H991" i="4"/>
  <c r="G992" i="4"/>
  <c r="C392" i="4"/>
  <c r="D391" i="4"/>
  <c r="J493" i="6"/>
  <c r="K493" i="6"/>
  <c r="O492" i="6"/>
  <c r="U492" i="6"/>
  <c r="V492" i="6"/>
  <c r="P617" i="6"/>
  <c r="G617" i="6"/>
  <c r="M133" i="5"/>
  <c r="Q132" i="5"/>
  <c r="W132" i="5"/>
  <c r="X132" i="5"/>
  <c r="C1110" i="4"/>
  <c r="D1109" i="4"/>
  <c r="G513" i="4"/>
  <c r="H512" i="4"/>
  <c r="P977" i="6"/>
  <c r="G977" i="6"/>
  <c r="G1110" i="4"/>
  <c r="H1109" i="4"/>
  <c r="P857" i="6"/>
  <c r="G857" i="6"/>
  <c r="J373" i="6"/>
  <c r="K373" i="6"/>
  <c r="O372" i="6"/>
  <c r="U372" i="6"/>
  <c r="V372" i="6"/>
  <c r="J990" i="4"/>
  <c r="D990" i="6"/>
  <c r="I990" i="4"/>
  <c r="O990" i="5"/>
  <c r="K373" i="5"/>
  <c r="S373" i="5"/>
  <c r="J511" i="4"/>
  <c r="D511" i="6"/>
  <c r="I511" i="4"/>
  <c r="O511" i="5"/>
  <c r="G497" i="6"/>
  <c r="P497" i="6"/>
  <c r="S733" i="5"/>
  <c r="K733" i="5"/>
  <c r="D151" i="4"/>
  <c r="C152" i="4"/>
  <c r="G792" i="4"/>
  <c r="H791" i="4"/>
  <c r="D513" i="4"/>
  <c r="C514" i="4"/>
  <c r="S973" i="5"/>
  <c r="K973" i="5"/>
  <c r="M733" i="5"/>
  <c r="Q732" i="5"/>
  <c r="W732" i="5"/>
  <c r="X732" i="5"/>
  <c r="J151" i="4"/>
  <c r="D151" i="6"/>
  <c r="I151" i="4"/>
  <c r="O151" i="5"/>
  <c r="Q972" i="5"/>
  <c r="W972" i="5"/>
  <c r="X972" i="5"/>
  <c r="M973" i="5"/>
  <c r="L613" i="6"/>
  <c r="M613" i="6"/>
  <c r="Q613" i="6"/>
  <c r="Q733" i="6"/>
  <c r="L733" i="6"/>
  <c r="M733" i="6"/>
  <c r="G494" i="5"/>
  <c r="H494" i="5"/>
  <c r="L493" i="5"/>
  <c r="N493" i="5"/>
  <c r="C633" i="4"/>
  <c r="D632" i="4"/>
  <c r="G974" i="5"/>
  <c r="H974" i="5"/>
  <c r="L973" i="5"/>
  <c r="N973" i="5"/>
  <c r="G993" i="4"/>
  <c r="H992" i="4"/>
  <c r="C515" i="4"/>
  <c r="D514" i="4"/>
  <c r="E138" i="6"/>
  <c r="F138" i="6"/>
  <c r="L253" i="6"/>
  <c r="M253" i="6"/>
  <c r="Q253" i="6"/>
  <c r="C872" i="4"/>
  <c r="D871" i="4"/>
  <c r="C33" i="4"/>
  <c r="D32" i="4"/>
  <c r="J391" i="4"/>
  <c r="D391" i="6"/>
  <c r="I391" i="4"/>
  <c r="O391" i="5"/>
  <c r="G633" i="4"/>
  <c r="H632" i="4"/>
  <c r="Q1093" i="6"/>
  <c r="L1093" i="6"/>
  <c r="M1093" i="6"/>
  <c r="E498" i="6"/>
  <c r="F498" i="6"/>
  <c r="L373" i="6"/>
  <c r="M373" i="6"/>
  <c r="Q373" i="6"/>
  <c r="G514" i="4"/>
  <c r="H513" i="4"/>
  <c r="Q493" i="6"/>
  <c r="L493" i="6"/>
  <c r="M493" i="6"/>
  <c r="C794" i="4"/>
  <c r="D793" i="4"/>
  <c r="C992" i="4"/>
  <c r="D991" i="4"/>
  <c r="G134" i="5"/>
  <c r="H134" i="5"/>
  <c r="L133" i="5"/>
  <c r="N133" i="5"/>
  <c r="G1094" i="5"/>
  <c r="H1094" i="5"/>
  <c r="L1093" i="5"/>
  <c r="N1093" i="5"/>
  <c r="L133" i="6"/>
  <c r="M133" i="6"/>
  <c r="Q133" i="6"/>
  <c r="L853" i="5"/>
  <c r="N853" i="5"/>
  <c r="G854" i="5"/>
  <c r="H854" i="5"/>
  <c r="J152" i="4"/>
  <c r="D152" i="6"/>
  <c r="I152" i="4"/>
  <c r="O152" i="5"/>
  <c r="L733" i="5"/>
  <c r="N733" i="5"/>
  <c r="G734" i="5"/>
  <c r="H734" i="5"/>
  <c r="E618" i="6"/>
  <c r="F618" i="6"/>
  <c r="E258" i="6"/>
  <c r="F258" i="6"/>
  <c r="Q973" i="6"/>
  <c r="L973" i="6"/>
  <c r="M973" i="6"/>
  <c r="C273" i="4"/>
  <c r="D272" i="4"/>
  <c r="G34" i="4"/>
  <c r="H33" i="4"/>
  <c r="E738" i="6"/>
  <c r="F738" i="6"/>
  <c r="L613" i="5"/>
  <c r="N613" i="5"/>
  <c r="G614" i="5"/>
  <c r="H614" i="5"/>
  <c r="G374" i="5"/>
  <c r="H374" i="5"/>
  <c r="L373" i="5"/>
  <c r="N373" i="5"/>
  <c r="G393" i="4"/>
  <c r="H392" i="4"/>
  <c r="I991" i="4"/>
  <c r="O991" i="5"/>
  <c r="J991" i="4"/>
  <c r="D991" i="6"/>
  <c r="J512" i="4"/>
  <c r="D512" i="6"/>
  <c r="I512" i="4"/>
  <c r="O512" i="5"/>
  <c r="I791" i="4"/>
  <c r="O791" i="5"/>
  <c r="J791" i="4"/>
  <c r="D791" i="6"/>
  <c r="G793" i="4"/>
  <c r="H792" i="4"/>
  <c r="C1111" i="4"/>
  <c r="D1110" i="4"/>
  <c r="G14" i="5"/>
  <c r="H14" i="5"/>
  <c r="L13" i="5"/>
  <c r="N13" i="5"/>
  <c r="G274" i="4"/>
  <c r="H273" i="4"/>
  <c r="E1098" i="6"/>
  <c r="F1098" i="6"/>
  <c r="G871" i="4"/>
  <c r="H870" i="4"/>
  <c r="E18" i="6"/>
  <c r="F18" i="6"/>
  <c r="J32" i="4"/>
  <c r="D32" i="6"/>
  <c r="I32" i="4"/>
  <c r="O32" i="5"/>
  <c r="Q853" i="6"/>
  <c r="L853" i="6"/>
  <c r="M853" i="6"/>
  <c r="G1111" i="4"/>
  <c r="H1110" i="4"/>
  <c r="E978" i="6"/>
  <c r="F978" i="6"/>
  <c r="E858" i="6"/>
  <c r="F858" i="6"/>
  <c r="C153" i="4"/>
  <c r="D152" i="4"/>
  <c r="I1109" i="4"/>
  <c r="O1109" i="5"/>
  <c r="J1109" i="4"/>
  <c r="D1109" i="6"/>
  <c r="C393" i="4"/>
  <c r="D392" i="4"/>
  <c r="L13" i="6"/>
  <c r="M13" i="6"/>
  <c r="Q13" i="6"/>
  <c r="J272" i="4"/>
  <c r="D272" i="6"/>
  <c r="I272" i="4"/>
  <c r="O272" i="5"/>
  <c r="I869" i="4"/>
  <c r="O869" i="5"/>
  <c r="J869" i="4"/>
  <c r="D869" i="6"/>
  <c r="E378" i="6"/>
  <c r="F378" i="6"/>
  <c r="I631" i="4"/>
  <c r="O631" i="5"/>
  <c r="J631" i="4"/>
  <c r="D631" i="6"/>
  <c r="G154" i="4"/>
  <c r="H153" i="4"/>
  <c r="L253" i="5"/>
  <c r="N253" i="5"/>
  <c r="G254" i="5"/>
  <c r="H254" i="5"/>
  <c r="R973" i="6"/>
  <c r="N973" i="6"/>
  <c r="T613" i="5"/>
  <c r="U613" i="5"/>
  <c r="P613" i="5"/>
  <c r="I134" i="5"/>
  <c r="J134" i="5"/>
  <c r="R134" i="5"/>
  <c r="S253" i="6"/>
  <c r="P973" i="5"/>
  <c r="T973" i="5"/>
  <c r="U973" i="5"/>
  <c r="H871" i="4"/>
  <c r="G872" i="4"/>
  <c r="N493" i="6"/>
  <c r="R493" i="6"/>
  <c r="I992" i="4"/>
  <c r="O992" i="5"/>
  <c r="J992" i="4"/>
  <c r="D992" i="6"/>
  <c r="D153" i="4"/>
  <c r="C154" i="4"/>
  <c r="H993" i="4"/>
  <c r="G994" i="4"/>
  <c r="P378" i="6"/>
  <c r="G378" i="6"/>
  <c r="G794" i="4"/>
  <c r="H793" i="4"/>
  <c r="R854" i="5"/>
  <c r="I854" i="5"/>
  <c r="J854" i="5"/>
  <c r="G515" i="4"/>
  <c r="H514" i="4"/>
  <c r="G634" i="4"/>
  <c r="H633" i="4"/>
  <c r="N253" i="6"/>
  <c r="R253" i="6"/>
  <c r="I974" i="5"/>
  <c r="J974" i="5"/>
  <c r="R974" i="5"/>
  <c r="N613" i="6"/>
  <c r="R613" i="6"/>
  <c r="S613" i="6"/>
  <c r="H154" i="4"/>
  <c r="G155" i="4"/>
  <c r="I614" i="5"/>
  <c r="J614" i="5"/>
  <c r="R614" i="5"/>
  <c r="I1094" i="5"/>
  <c r="J1094" i="5"/>
  <c r="R1094" i="5"/>
  <c r="S493" i="6"/>
  <c r="J632" i="4"/>
  <c r="D632" i="6"/>
  <c r="I632" i="4"/>
  <c r="O632" i="5"/>
  <c r="P858" i="6"/>
  <c r="G858" i="6"/>
  <c r="G738" i="6"/>
  <c r="P738" i="6"/>
  <c r="G394" i="4"/>
  <c r="H393" i="4"/>
  <c r="J33" i="4"/>
  <c r="D33" i="6"/>
  <c r="I33" i="4"/>
  <c r="O33" i="5"/>
  <c r="T853" i="5"/>
  <c r="U853" i="5"/>
  <c r="P853" i="5"/>
  <c r="D992" i="4"/>
  <c r="C993" i="4"/>
  <c r="S373" i="6"/>
  <c r="P138" i="6"/>
  <c r="G138" i="6"/>
  <c r="J870" i="4"/>
  <c r="D870" i="6"/>
  <c r="I870" i="4"/>
  <c r="O870" i="5"/>
  <c r="N853" i="6"/>
  <c r="R853" i="6"/>
  <c r="R1093" i="6"/>
  <c r="N1093" i="6"/>
  <c r="P133" i="5"/>
  <c r="T133" i="5"/>
  <c r="U133" i="5"/>
  <c r="S1093" i="6"/>
  <c r="S13" i="6"/>
  <c r="J792" i="4"/>
  <c r="D792" i="6"/>
  <c r="I792" i="4"/>
  <c r="O792" i="5"/>
  <c r="J513" i="4"/>
  <c r="D513" i="6"/>
  <c r="I513" i="4"/>
  <c r="O513" i="5"/>
  <c r="J392" i="4"/>
  <c r="D392" i="6"/>
  <c r="I392" i="4"/>
  <c r="O392" i="5"/>
  <c r="H274" i="4"/>
  <c r="G275" i="4"/>
  <c r="T253" i="5"/>
  <c r="U253" i="5"/>
  <c r="P253" i="5"/>
  <c r="C394" i="4"/>
  <c r="D393" i="4"/>
  <c r="P13" i="5"/>
  <c r="T13" i="5"/>
  <c r="U13" i="5"/>
  <c r="H34" i="4"/>
  <c r="G35" i="4"/>
  <c r="S133" i="6"/>
  <c r="N373" i="6"/>
  <c r="R373" i="6"/>
  <c r="C634" i="4"/>
  <c r="D633" i="4"/>
  <c r="G1112" i="4"/>
  <c r="H1111" i="4"/>
  <c r="C1112" i="4"/>
  <c r="D1111" i="4"/>
  <c r="T733" i="5"/>
  <c r="U733" i="5"/>
  <c r="P733" i="5"/>
  <c r="R733" i="6"/>
  <c r="S733" i="6"/>
  <c r="N733" i="6"/>
  <c r="S853" i="6"/>
  <c r="S973" i="6"/>
  <c r="D872" i="4"/>
  <c r="C873" i="4"/>
  <c r="P1098" i="6"/>
  <c r="G1098" i="6"/>
  <c r="R13" i="6"/>
  <c r="N13" i="6"/>
  <c r="J273" i="4"/>
  <c r="D273" i="6"/>
  <c r="I273" i="4"/>
  <c r="O273" i="5"/>
  <c r="P258" i="6"/>
  <c r="G258" i="6"/>
  <c r="R254" i="5"/>
  <c r="I254" i="5"/>
  <c r="J254" i="5"/>
  <c r="G978" i="6"/>
  <c r="P978" i="6"/>
  <c r="J153" i="4"/>
  <c r="D153" i="6"/>
  <c r="I153" i="4"/>
  <c r="O153" i="5"/>
  <c r="J1110" i="4"/>
  <c r="D1110" i="6"/>
  <c r="I1110" i="4"/>
  <c r="O1110" i="5"/>
  <c r="G18" i="6"/>
  <c r="P18" i="6"/>
  <c r="I14" i="5"/>
  <c r="J14" i="5"/>
  <c r="R14" i="5"/>
  <c r="P373" i="5"/>
  <c r="T373" i="5"/>
  <c r="U373" i="5"/>
  <c r="G618" i="6"/>
  <c r="P618" i="6"/>
  <c r="N133" i="6"/>
  <c r="R133" i="6"/>
  <c r="P498" i="6"/>
  <c r="G498" i="6"/>
  <c r="P493" i="5"/>
  <c r="T493" i="5"/>
  <c r="U493" i="5"/>
  <c r="I374" i="5"/>
  <c r="J374" i="5"/>
  <c r="R374" i="5"/>
  <c r="D273" i="4"/>
  <c r="C274" i="4"/>
  <c r="R734" i="5"/>
  <c r="I734" i="5"/>
  <c r="J734" i="5"/>
  <c r="P1093" i="5"/>
  <c r="T1093" i="5"/>
  <c r="U1093" i="5"/>
  <c r="C795" i="4"/>
  <c r="D794" i="4"/>
  <c r="D33" i="4"/>
  <c r="C34" i="4"/>
  <c r="C516" i="4"/>
  <c r="D515" i="4"/>
  <c r="I494" i="5"/>
  <c r="J494" i="5"/>
  <c r="R494" i="5"/>
  <c r="E259" i="6"/>
  <c r="F259" i="6"/>
  <c r="C874" i="4"/>
  <c r="D873" i="4"/>
  <c r="J854" i="6"/>
  <c r="K854" i="6"/>
  <c r="O853" i="6"/>
  <c r="U853" i="6"/>
  <c r="V853" i="6"/>
  <c r="M854" i="5"/>
  <c r="Q853" i="5"/>
  <c r="W853" i="5"/>
  <c r="X853" i="5"/>
  <c r="E859" i="6"/>
  <c r="F859" i="6"/>
  <c r="I793" i="4"/>
  <c r="O793" i="5"/>
  <c r="J793" i="4"/>
  <c r="D793" i="6"/>
  <c r="Q973" i="5"/>
  <c r="W973" i="5"/>
  <c r="X973" i="5"/>
  <c r="M974" i="5"/>
  <c r="G795" i="4"/>
  <c r="H794" i="4"/>
  <c r="I1111" i="4"/>
  <c r="O1111" i="5"/>
  <c r="J1111" i="4"/>
  <c r="D1111" i="6"/>
  <c r="J34" i="4"/>
  <c r="D34" i="6"/>
  <c r="I34" i="4"/>
  <c r="O34" i="5"/>
  <c r="J274" i="4"/>
  <c r="D274" i="6"/>
  <c r="I274" i="4"/>
  <c r="O274" i="5"/>
  <c r="G156" i="4"/>
  <c r="H155" i="4"/>
  <c r="I633" i="4"/>
  <c r="O633" i="5"/>
  <c r="J633" i="4"/>
  <c r="D633" i="6"/>
  <c r="E379" i="6"/>
  <c r="F379" i="6"/>
  <c r="E619" i="6"/>
  <c r="F619" i="6"/>
  <c r="C1113" i="4"/>
  <c r="D1112" i="4"/>
  <c r="Q1093" i="5"/>
  <c r="W1093" i="5"/>
  <c r="X1093" i="5"/>
  <c r="M1094" i="5"/>
  <c r="M374" i="5"/>
  <c r="Q373" i="5"/>
  <c r="W373" i="5"/>
  <c r="X373" i="5"/>
  <c r="G1113" i="4"/>
  <c r="H1112" i="4"/>
  <c r="E139" i="6"/>
  <c r="F139" i="6"/>
  <c r="J154" i="4"/>
  <c r="D154" i="6"/>
  <c r="I154" i="4"/>
  <c r="O154" i="5"/>
  <c r="G635" i="4"/>
  <c r="H634" i="4"/>
  <c r="O493" i="6"/>
  <c r="U493" i="6"/>
  <c r="V493" i="6"/>
  <c r="J494" i="6"/>
  <c r="K494" i="6"/>
  <c r="S134" i="5"/>
  <c r="K134" i="5"/>
  <c r="K734" i="5"/>
  <c r="S734" i="5"/>
  <c r="E499" i="6"/>
  <c r="F499" i="6"/>
  <c r="O13" i="6"/>
  <c r="U13" i="6"/>
  <c r="V13" i="6"/>
  <c r="J14" i="6"/>
  <c r="K14" i="6"/>
  <c r="J734" i="6"/>
  <c r="K734" i="6"/>
  <c r="O733" i="6"/>
  <c r="U733" i="6"/>
  <c r="V733" i="6"/>
  <c r="M14" i="5"/>
  <c r="Q13" i="5"/>
  <c r="W13" i="5"/>
  <c r="X13" i="5"/>
  <c r="M134" i="5"/>
  <c r="Q133" i="5"/>
  <c r="W133" i="5"/>
  <c r="X133" i="5"/>
  <c r="J393" i="4"/>
  <c r="D393" i="6"/>
  <c r="I393" i="4"/>
  <c r="O393" i="5"/>
  <c r="J514" i="4"/>
  <c r="D514" i="6"/>
  <c r="I514" i="4"/>
  <c r="O514" i="5"/>
  <c r="G995" i="4"/>
  <c r="H994" i="4"/>
  <c r="G873" i="4"/>
  <c r="H872" i="4"/>
  <c r="Q613" i="5"/>
  <c r="W613" i="5"/>
  <c r="X613" i="5"/>
  <c r="M614" i="5"/>
  <c r="G36" i="4"/>
  <c r="H35" i="4"/>
  <c r="J254" i="6"/>
  <c r="K254" i="6"/>
  <c r="O253" i="6"/>
  <c r="U253" i="6"/>
  <c r="V253" i="6"/>
  <c r="H515" i="4"/>
  <c r="G516" i="4"/>
  <c r="I993" i="4"/>
  <c r="O993" i="5"/>
  <c r="J993" i="4"/>
  <c r="D993" i="6"/>
  <c r="I871" i="4"/>
  <c r="O871" i="5"/>
  <c r="J871" i="4"/>
  <c r="D871" i="6"/>
  <c r="S374" i="5"/>
  <c r="K374" i="5"/>
  <c r="G276" i="4"/>
  <c r="H275" i="4"/>
  <c r="S614" i="5"/>
  <c r="K614" i="5"/>
  <c r="S494" i="5"/>
  <c r="K494" i="5"/>
  <c r="C635" i="4"/>
  <c r="D634" i="4"/>
  <c r="J1094" i="6"/>
  <c r="K1094" i="6"/>
  <c r="O1093" i="6"/>
  <c r="U1093" i="6"/>
  <c r="V1093" i="6"/>
  <c r="G395" i="4"/>
  <c r="H394" i="4"/>
  <c r="O613" i="6"/>
  <c r="U613" i="6"/>
  <c r="V613" i="6"/>
  <c r="J614" i="6"/>
  <c r="K614" i="6"/>
  <c r="C35" i="4"/>
  <c r="D34" i="4"/>
  <c r="C275" i="4"/>
  <c r="D274" i="4"/>
  <c r="K254" i="5"/>
  <c r="S254" i="5"/>
  <c r="E1099" i="6"/>
  <c r="F1099" i="6"/>
  <c r="M734" i="5"/>
  <c r="Q733" i="5"/>
  <c r="W733" i="5"/>
  <c r="X733" i="5"/>
  <c r="C395" i="4"/>
  <c r="D394" i="4"/>
  <c r="D993" i="4"/>
  <c r="C994" i="4"/>
  <c r="S854" i="5"/>
  <c r="K854" i="5"/>
  <c r="C155" i="4"/>
  <c r="D154" i="4"/>
  <c r="O973" i="6"/>
  <c r="U973" i="6"/>
  <c r="V973" i="6"/>
  <c r="J974" i="6"/>
  <c r="K974" i="6"/>
  <c r="C796" i="4"/>
  <c r="D795" i="4"/>
  <c r="Q493" i="5"/>
  <c r="W493" i="5"/>
  <c r="X493" i="5"/>
  <c r="M494" i="5"/>
  <c r="D516" i="4"/>
  <c r="C517" i="4"/>
  <c r="S14" i="5"/>
  <c r="K14" i="5"/>
  <c r="E979" i="6"/>
  <c r="F979" i="6"/>
  <c r="O133" i="6"/>
  <c r="U133" i="6"/>
  <c r="V133" i="6"/>
  <c r="J134" i="6"/>
  <c r="K134" i="6"/>
  <c r="E19" i="6"/>
  <c r="F19" i="6"/>
  <c r="O373" i="6"/>
  <c r="U373" i="6"/>
  <c r="V373" i="6"/>
  <c r="J374" i="6"/>
  <c r="K374" i="6"/>
  <c r="M254" i="5"/>
  <c r="Q253" i="5"/>
  <c r="W253" i="5"/>
  <c r="X253" i="5"/>
  <c r="E739" i="6"/>
  <c r="F739" i="6"/>
  <c r="S1094" i="5"/>
  <c r="K1094" i="5"/>
  <c r="K974" i="5"/>
  <c r="S974" i="5"/>
  <c r="L734" i="6"/>
  <c r="M734" i="6"/>
  <c r="Q734" i="6"/>
  <c r="D155" i="4"/>
  <c r="C156" i="4"/>
  <c r="H395" i="4"/>
  <c r="G396" i="4"/>
  <c r="H36" i="4"/>
  <c r="G37" i="4"/>
  <c r="G636" i="4"/>
  <c r="H635" i="4"/>
  <c r="L734" i="5"/>
  <c r="N734" i="5"/>
  <c r="G735" i="5"/>
  <c r="H735" i="5"/>
  <c r="G979" i="6"/>
  <c r="P979" i="6"/>
  <c r="L14" i="6"/>
  <c r="M14" i="6"/>
  <c r="Q14" i="6"/>
  <c r="G135" i="5"/>
  <c r="H135" i="5"/>
  <c r="L134" i="5"/>
  <c r="N134" i="5"/>
  <c r="G15" i="5"/>
  <c r="H15" i="5"/>
  <c r="L14" i="5"/>
  <c r="N14" i="5"/>
  <c r="J275" i="4"/>
  <c r="D275" i="6"/>
  <c r="I275" i="4"/>
  <c r="O275" i="5"/>
  <c r="G517" i="4"/>
  <c r="H516" i="4"/>
  <c r="J872" i="4"/>
  <c r="D872" i="6"/>
  <c r="I872" i="4"/>
  <c r="O872" i="5"/>
  <c r="D874" i="4"/>
  <c r="C875" i="4"/>
  <c r="G975" i="5"/>
  <c r="H975" i="5"/>
  <c r="L974" i="5"/>
  <c r="N974" i="5"/>
  <c r="L1094" i="6"/>
  <c r="M1094" i="6"/>
  <c r="Q1094" i="6"/>
  <c r="G1095" i="5"/>
  <c r="H1095" i="5"/>
  <c r="L1094" i="5"/>
  <c r="N1094" i="5"/>
  <c r="C797" i="4"/>
  <c r="D796" i="4"/>
  <c r="D35" i="4"/>
  <c r="C36" i="4"/>
  <c r="C636" i="4"/>
  <c r="D635" i="4"/>
  <c r="H276" i="4"/>
  <c r="G277" i="4"/>
  <c r="I515" i="4"/>
  <c r="O515" i="5"/>
  <c r="J515" i="4"/>
  <c r="D515" i="6"/>
  <c r="H873" i="4"/>
  <c r="G874" i="4"/>
  <c r="Q494" i="6"/>
  <c r="L494" i="6"/>
  <c r="M494" i="6"/>
  <c r="P139" i="6"/>
  <c r="G139" i="6"/>
  <c r="C1114" i="4"/>
  <c r="D1113" i="4"/>
  <c r="J155" i="4"/>
  <c r="D155" i="6"/>
  <c r="I155" i="4"/>
  <c r="O155" i="5"/>
  <c r="C396" i="4"/>
  <c r="D395" i="4"/>
  <c r="Q854" i="6"/>
  <c r="L854" i="6"/>
  <c r="M854" i="6"/>
  <c r="P19" i="6"/>
  <c r="G19" i="6"/>
  <c r="C518" i="4"/>
  <c r="D517" i="4"/>
  <c r="L974" i="6"/>
  <c r="M974" i="6"/>
  <c r="Q974" i="6"/>
  <c r="P1099" i="6"/>
  <c r="G1099" i="6"/>
  <c r="Q614" i="6"/>
  <c r="L614" i="6"/>
  <c r="M614" i="6"/>
  <c r="G375" i="5"/>
  <c r="H375" i="5"/>
  <c r="L374" i="5"/>
  <c r="N374" i="5"/>
  <c r="J994" i="4"/>
  <c r="D994" i="6"/>
  <c r="I994" i="4"/>
  <c r="O994" i="5"/>
  <c r="J1112" i="4"/>
  <c r="D1112" i="6"/>
  <c r="I1112" i="4"/>
  <c r="O1112" i="5"/>
  <c r="H156" i="4"/>
  <c r="G157" i="4"/>
  <c r="J794" i="4"/>
  <c r="D794" i="6"/>
  <c r="I794" i="4"/>
  <c r="O794" i="5"/>
  <c r="G859" i="6"/>
  <c r="P859" i="6"/>
  <c r="P259" i="6"/>
  <c r="G259" i="6"/>
  <c r="D275" i="4"/>
  <c r="C276" i="4"/>
  <c r="P739" i="6"/>
  <c r="G739" i="6"/>
  <c r="D994" i="4"/>
  <c r="C995" i="4"/>
  <c r="Q254" i="6"/>
  <c r="L254" i="6"/>
  <c r="M254" i="6"/>
  <c r="H995" i="4"/>
  <c r="G996" i="4"/>
  <c r="G1114" i="4"/>
  <c r="H1113" i="4"/>
  <c r="P619" i="6"/>
  <c r="G619" i="6"/>
  <c r="G796" i="4"/>
  <c r="H795" i="4"/>
  <c r="Q374" i="6"/>
  <c r="L374" i="6"/>
  <c r="M374" i="6"/>
  <c r="L854" i="5"/>
  <c r="N854" i="5"/>
  <c r="G855" i="5"/>
  <c r="H855" i="5"/>
  <c r="L614" i="5"/>
  <c r="N614" i="5"/>
  <c r="G615" i="5"/>
  <c r="H615" i="5"/>
  <c r="P379" i="6"/>
  <c r="G379" i="6"/>
  <c r="L134" i="6"/>
  <c r="M134" i="6"/>
  <c r="Q134" i="6"/>
  <c r="G255" i="5"/>
  <c r="H255" i="5"/>
  <c r="L254" i="5"/>
  <c r="N254" i="5"/>
  <c r="J394" i="4"/>
  <c r="D394" i="6"/>
  <c r="I394" i="4"/>
  <c r="O394" i="5"/>
  <c r="G495" i="5"/>
  <c r="H495" i="5"/>
  <c r="L494" i="5"/>
  <c r="N494" i="5"/>
  <c r="J35" i="4"/>
  <c r="D35" i="6"/>
  <c r="I35" i="4"/>
  <c r="O35" i="5"/>
  <c r="P499" i="6"/>
  <c r="G499" i="6"/>
  <c r="J634" i="4"/>
  <c r="D634" i="6"/>
  <c r="I634" i="4"/>
  <c r="O634" i="5"/>
  <c r="E380" i="6"/>
  <c r="F380" i="6"/>
  <c r="E260" i="6"/>
  <c r="F260" i="6"/>
  <c r="E1100" i="6"/>
  <c r="F1100" i="6"/>
  <c r="R854" i="6"/>
  <c r="N854" i="6"/>
  <c r="E140" i="6"/>
  <c r="F140" i="6"/>
  <c r="G278" i="4"/>
  <c r="H277" i="4"/>
  <c r="P1094" i="5"/>
  <c r="T1094" i="5"/>
  <c r="U1094" i="5"/>
  <c r="R495" i="5"/>
  <c r="I495" i="5"/>
  <c r="J495" i="5"/>
  <c r="G797" i="4"/>
  <c r="H796" i="4"/>
  <c r="S854" i="6"/>
  <c r="J276" i="4"/>
  <c r="D276" i="6"/>
  <c r="I276" i="4"/>
  <c r="O276" i="5"/>
  <c r="I1095" i="5"/>
  <c r="J1095" i="5"/>
  <c r="R1095" i="5"/>
  <c r="I135" i="5"/>
  <c r="J135" i="5"/>
  <c r="R135" i="5"/>
  <c r="G637" i="4"/>
  <c r="H636" i="4"/>
  <c r="R734" i="6"/>
  <c r="N734" i="6"/>
  <c r="R615" i="5"/>
  <c r="I615" i="5"/>
  <c r="J615" i="5"/>
  <c r="R494" i="6"/>
  <c r="N494" i="6"/>
  <c r="J516" i="4"/>
  <c r="D516" i="6"/>
  <c r="I516" i="4"/>
  <c r="O516" i="5"/>
  <c r="N974" i="6"/>
  <c r="R974" i="6"/>
  <c r="C397" i="4"/>
  <c r="D396" i="4"/>
  <c r="S494" i="6"/>
  <c r="D636" i="4"/>
  <c r="C637" i="4"/>
  <c r="R1094" i="6"/>
  <c r="N1094" i="6"/>
  <c r="G518" i="4"/>
  <c r="H517" i="4"/>
  <c r="N14" i="6"/>
  <c r="R14" i="6"/>
  <c r="J36" i="4"/>
  <c r="D36" i="6"/>
  <c r="I36" i="4"/>
  <c r="O36" i="5"/>
  <c r="E620" i="6"/>
  <c r="F620" i="6"/>
  <c r="S974" i="6"/>
  <c r="G38" i="4"/>
  <c r="H37" i="4"/>
  <c r="T254" i="5"/>
  <c r="U254" i="5"/>
  <c r="P254" i="5"/>
  <c r="I855" i="5"/>
  <c r="J855" i="5"/>
  <c r="R855" i="5"/>
  <c r="I1113" i="4"/>
  <c r="O1113" i="5"/>
  <c r="J1113" i="4"/>
  <c r="D1113" i="6"/>
  <c r="E740" i="6"/>
  <c r="F740" i="6"/>
  <c r="T374" i="5"/>
  <c r="U374" i="5"/>
  <c r="P374" i="5"/>
  <c r="G875" i="4"/>
  <c r="H874" i="4"/>
  <c r="C37" i="4"/>
  <c r="D36" i="4"/>
  <c r="P974" i="5"/>
  <c r="T974" i="5"/>
  <c r="U974" i="5"/>
  <c r="G397" i="4"/>
  <c r="H396" i="4"/>
  <c r="P494" i="5"/>
  <c r="T494" i="5"/>
  <c r="U494" i="5"/>
  <c r="I795" i="4"/>
  <c r="O795" i="5"/>
  <c r="J795" i="4"/>
  <c r="D795" i="6"/>
  <c r="C996" i="4"/>
  <c r="D995" i="4"/>
  <c r="T614" i="5"/>
  <c r="U614" i="5"/>
  <c r="P614" i="5"/>
  <c r="E860" i="6"/>
  <c r="F860" i="6"/>
  <c r="E500" i="6"/>
  <c r="F500" i="6"/>
  <c r="R255" i="5"/>
  <c r="I255" i="5"/>
  <c r="J255" i="5"/>
  <c r="T854" i="5"/>
  <c r="U854" i="5"/>
  <c r="P854" i="5"/>
  <c r="G1115" i="4"/>
  <c r="H1114" i="4"/>
  <c r="R375" i="5"/>
  <c r="I375" i="5"/>
  <c r="J375" i="5"/>
  <c r="C519" i="4"/>
  <c r="D518" i="4"/>
  <c r="I873" i="4"/>
  <c r="O873" i="5"/>
  <c r="J873" i="4"/>
  <c r="D873" i="6"/>
  <c r="I975" i="5"/>
  <c r="J975" i="5"/>
  <c r="R975" i="5"/>
  <c r="E980" i="6"/>
  <c r="F980" i="6"/>
  <c r="J395" i="4"/>
  <c r="D395" i="6"/>
  <c r="I395" i="4"/>
  <c r="O395" i="5"/>
  <c r="S1094" i="6"/>
  <c r="S134" i="6"/>
  <c r="N374" i="6"/>
  <c r="R374" i="6"/>
  <c r="G997" i="4"/>
  <c r="H996" i="4"/>
  <c r="C277" i="4"/>
  <c r="D276" i="4"/>
  <c r="G158" i="4"/>
  <c r="H157" i="4"/>
  <c r="N614" i="6"/>
  <c r="R614" i="6"/>
  <c r="E20" i="6"/>
  <c r="F20" i="6"/>
  <c r="D875" i="4"/>
  <c r="C876" i="4"/>
  <c r="P14" i="5"/>
  <c r="T14" i="5"/>
  <c r="U14" i="5"/>
  <c r="R735" i="5"/>
  <c r="I735" i="5"/>
  <c r="J735" i="5"/>
  <c r="C157" i="4"/>
  <c r="D156" i="4"/>
  <c r="N254" i="6"/>
  <c r="R254" i="6"/>
  <c r="S254" i="6"/>
  <c r="S14" i="6"/>
  <c r="N134" i="6"/>
  <c r="R134" i="6"/>
  <c r="S374" i="6"/>
  <c r="I995" i="4"/>
  <c r="O995" i="5"/>
  <c r="J995" i="4"/>
  <c r="D995" i="6"/>
  <c r="J156" i="4"/>
  <c r="D156" i="6"/>
  <c r="I156" i="4"/>
  <c r="O156" i="5"/>
  <c r="S614" i="6"/>
  <c r="C1115" i="4"/>
  <c r="D1114" i="4"/>
  <c r="C798" i="4"/>
  <c r="D797" i="4"/>
  <c r="R15" i="5"/>
  <c r="I15" i="5"/>
  <c r="J15" i="5"/>
  <c r="T734" i="5"/>
  <c r="U734" i="5"/>
  <c r="P734" i="5"/>
  <c r="P134" i="5"/>
  <c r="T134" i="5"/>
  <c r="U134" i="5"/>
  <c r="I635" i="4"/>
  <c r="O635" i="5"/>
  <c r="J635" i="4"/>
  <c r="D635" i="6"/>
  <c r="S734" i="6"/>
  <c r="I996" i="4"/>
  <c r="O996" i="5"/>
  <c r="J996" i="4"/>
  <c r="D996" i="6"/>
  <c r="S855" i="5"/>
  <c r="K855" i="5"/>
  <c r="G638" i="4"/>
  <c r="H637" i="4"/>
  <c r="P20" i="6"/>
  <c r="G20" i="6"/>
  <c r="J255" i="6"/>
  <c r="K255" i="6"/>
  <c r="O254" i="6"/>
  <c r="U254" i="6"/>
  <c r="V254" i="6"/>
  <c r="D277" i="4"/>
  <c r="C278" i="4"/>
  <c r="M855" i="5"/>
  <c r="Q854" i="5"/>
  <c r="W854" i="5"/>
  <c r="X854" i="5"/>
  <c r="P860" i="6"/>
  <c r="G860" i="6"/>
  <c r="M495" i="5"/>
  <c r="Q494" i="5"/>
  <c r="W494" i="5"/>
  <c r="X494" i="5"/>
  <c r="J874" i="4"/>
  <c r="D874" i="6"/>
  <c r="I874" i="4"/>
  <c r="O874" i="5"/>
  <c r="J636" i="4"/>
  <c r="D636" i="6"/>
  <c r="I636" i="4"/>
  <c r="O636" i="5"/>
  <c r="S495" i="5"/>
  <c r="K495" i="5"/>
  <c r="J855" i="6"/>
  <c r="K855" i="6"/>
  <c r="O854" i="6"/>
  <c r="U854" i="6"/>
  <c r="V854" i="6"/>
  <c r="M255" i="5"/>
  <c r="Q254" i="5"/>
  <c r="W254" i="5"/>
  <c r="X254" i="5"/>
  <c r="J396" i="4"/>
  <c r="D396" i="6"/>
  <c r="I396" i="4"/>
  <c r="O396" i="5"/>
  <c r="K255" i="5"/>
  <c r="S255" i="5"/>
  <c r="S735" i="5"/>
  <c r="K735" i="5"/>
  <c r="K375" i="5"/>
  <c r="S375" i="5"/>
  <c r="S135" i="5"/>
  <c r="K135" i="5"/>
  <c r="Q1094" i="5"/>
  <c r="W1094" i="5"/>
  <c r="X1094" i="5"/>
  <c r="M1095" i="5"/>
  <c r="P1100" i="6"/>
  <c r="G1100" i="6"/>
  <c r="H997" i="4"/>
  <c r="G998" i="4"/>
  <c r="G398" i="4"/>
  <c r="H397" i="4"/>
  <c r="M135" i="5"/>
  <c r="Q134" i="5"/>
  <c r="W134" i="5"/>
  <c r="X134" i="5"/>
  <c r="C1116" i="4"/>
  <c r="D1115" i="4"/>
  <c r="O614" i="6"/>
  <c r="U614" i="6"/>
  <c r="V614" i="6"/>
  <c r="J615" i="6"/>
  <c r="K615" i="6"/>
  <c r="J375" i="6"/>
  <c r="K375" i="6"/>
  <c r="O374" i="6"/>
  <c r="U374" i="6"/>
  <c r="V374" i="6"/>
  <c r="P980" i="6"/>
  <c r="G980" i="6"/>
  <c r="D996" i="4"/>
  <c r="C997" i="4"/>
  <c r="J37" i="4"/>
  <c r="D37" i="6"/>
  <c r="I37" i="4"/>
  <c r="O37" i="5"/>
  <c r="J15" i="6"/>
  <c r="K15" i="6"/>
  <c r="O14" i="6"/>
  <c r="U14" i="6"/>
  <c r="V14" i="6"/>
  <c r="K615" i="5"/>
  <c r="S615" i="5"/>
  <c r="J277" i="4"/>
  <c r="D277" i="6"/>
  <c r="I277" i="4"/>
  <c r="O277" i="5"/>
  <c r="Q614" i="5"/>
  <c r="W614" i="5"/>
  <c r="X614" i="5"/>
  <c r="M615" i="5"/>
  <c r="C799" i="4"/>
  <c r="D798" i="4"/>
  <c r="J495" i="6"/>
  <c r="K495" i="6"/>
  <c r="O494" i="6"/>
  <c r="U494" i="6"/>
  <c r="V494" i="6"/>
  <c r="M735" i="5"/>
  <c r="Q734" i="5"/>
  <c r="W734" i="5"/>
  <c r="X734" i="5"/>
  <c r="J135" i="6"/>
  <c r="K135" i="6"/>
  <c r="O134" i="6"/>
  <c r="U134" i="6"/>
  <c r="V134" i="6"/>
  <c r="J157" i="4"/>
  <c r="D157" i="6"/>
  <c r="I157" i="4"/>
  <c r="O157" i="5"/>
  <c r="Q974" i="5"/>
  <c r="W974" i="5"/>
  <c r="X974" i="5"/>
  <c r="M975" i="5"/>
  <c r="P740" i="6"/>
  <c r="G740" i="6"/>
  <c r="H38" i="4"/>
  <c r="G39" i="4"/>
  <c r="J517" i="4"/>
  <c r="D517" i="6"/>
  <c r="I517" i="4"/>
  <c r="O517" i="5"/>
  <c r="D397" i="4"/>
  <c r="C398" i="4"/>
  <c r="S1095" i="5"/>
  <c r="K1095" i="5"/>
  <c r="J796" i="4"/>
  <c r="D796" i="6"/>
  <c r="I796" i="4"/>
  <c r="O796" i="5"/>
  <c r="H278" i="4"/>
  <c r="G279" i="4"/>
  <c r="P260" i="6"/>
  <c r="G260" i="6"/>
  <c r="M15" i="5"/>
  <c r="Q14" i="5"/>
  <c r="W14" i="5"/>
  <c r="X14" i="5"/>
  <c r="H158" i="4"/>
  <c r="G159" i="4"/>
  <c r="K975" i="5"/>
  <c r="S975" i="5"/>
  <c r="J1114" i="4"/>
  <c r="D1114" i="6"/>
  <c r="I1114" i="4"/>
  <c r="O1114" i="5"/>
  <c r="P500" i="6"/>
  <c r="G500" i="6"/>
  <c r="G519" i="4"/>
  <c r="H518" i="4"/>
  <c r="O734" i="6"/>
  <c r="U734" i="6"/>
  <c r="V734" i="6"/>
  <c r="J735" i="6"/>
  <c r="K735" i="6"/>
  <c r="G798" i="4"/>
  <c r="H797" i="4"/>
  <c r="H875" i="4"/>
  <c r="G876" i="4"/>
  <c r="C638" i="4"/>
  <c r="D637" i="4"/>
  <c r="D157" i="4"/>
  <c r="C158" i="4"/>
  <c r="C520" i="4"/>
  <c r="D519" i="4"/>
  <c r="M375" i="5"/>
  <c r="Q374" i="5"/>
  <c r="W374" i="5"/>
  <c r="X374" i="5"/>
  <c r="S15" i="5"/>
  <c r="K15" i="5"/>
  <c r="D876" i="4"/>
  <c r="C877" i="4"/>
  <c r="G1116" i="4"/>
  <c r="H1115" i="4"/>
  <c r="D37" i="4"/>
  <c r="C38" i="4"/>
  <c r="G620" i="6"/>
  <c r="P620" i="6"/>
  <c r="J1095" i="6"/>
  <c r="K1095" i="6"/>
  <c r="O1094" i="6"/>
  <c r="U1094" i="6"/>
  <c r="V1094" i="6"/>
  <c r="J975" i="6"/>
  <c r="K975" i="6"/>
  <c r="O974" i="6"/>
  <c r="U974" i="6"/>
  <c r="V974" i="6"/>
  <c r="G140" i="6"/>
  <c r="P140" i="6"/>
  <c r="G380" i="6"/>
  <c r="P380" i="6"/>
  <c r="L1095" i="6"/>
  <c r="M1095" i="6"/>
  <c r="Q1095" i="6"/>
  <c r="G280" i="4"/>
  <c r="H279" i="4"/>
  <c r="I997" i="4"/>
  <c r="O997" i="5"/>
  <c r="J997" i="4"/>
  <c r="D997" i="6"/>
  <c r="I1115" i="4"/>
  <c r="O1115" i="5"/>
  <c r="J1115" i="4"/>
  <c r="D1115" i="6"/>
  <c r="E741" i="6"/>
  <c r="F741" i="6"/>
  <c r="Q975" i="6"/>
  <c r="L975" i="6"/>
  <c r="M975" i="6"/>
  <c r="C878" i="4"/>
  <c r="D877" i="4"/>
  <c r="C159" i="4"/>
  <c r="D158" i="4"/>
  <c r="G799" i="4"/>
  <c r="H798" i="4"/>
  <c r="C399" i="4"/>
  <c r="D398" i="4"/>
  <c r="D997" i="4"/>
  <c r="C998" i="4"/>
  <c r="G999" i="4"/>
  <c r="H998" i="4"/>
  <c r="E21" i="6"/>
  <c r="F21" i="6"/>
  <c r="G976" i="5"/>
  <c r="H976" i="5"/>
  <c r="L975" i="5"/>
  <c r="N975" i="5"/>
  <c r="Q495" i="6"/>
  <c r="L495" i="6"/>
  <c r="M495" i="6"/>
  <c r="G376" i="5"/>
  <c r="H376" i="5"/>
  <c r="L375" i="5"/>
  <c r="N375" i="5"/>
  <c r="I637" i="4"/>
  <c r="O637" i="5"/>
  <c r="J637" i="4"/>
  <c r="D637" i="6"/>
  <c r="E381" i="6"/>
  <c r="F381" i="6"/>
  <c r="E621" i="6"/>
  <c r="F621" i="6"/>
  <c r="J518" i="4"/>
  <c r="D518" i="6"/>
  <c r="I518" i="4"/>
  <c r="O518" i="5"/>
  <c r="G160" i="4"/>
  <c r="H159" i="4"/>
  <c r="L615" i="5"/>
  <c r="N615" i="5"/>
  <c r="G616" i="5"/>
  <c r="H616" i="5"/>
  <c r="E981" i="6"/>
  <c r="F981" i="6"/>
  <c r="C1117" i="4"/>
  <c r="D1116" i="4"/>
  <c r="L735" i="5"/>
  <c r="N735" i="5"/>
  <c r="G736" i="5"/>
  <c r="H736" i="5"/>
  <c r="C279" i="4"/>
  <c r="D278" i="4"/>
  <c r="G639" i="4"/>
  <c r="H638" i="4"/>
  <c r="J278" i="4"/>
  <c r="D278" i="6"/>
  <c r="I278" i="4"/>
  <c r="O278" i="5"/>
  <c r="C39" i="4"/>
  <c r="D38" i="4"/>
  <c r="C639" i="4"/>
  <c r="D638" i="4"/>
  <c r="G520" i="4"/>
  <c r="H519" i="4"/>
  <c r="J158" i="4"/>
  <c r="D158" i="6"/>
  <c r="I158" i="4"/>
  <c r="O158" i="5"/>
  <c r="G40" i="4"/>
  <c r="H39" i="4"/>
  <c r="C800" i="4"/>
  <c r="D799" i="4"/>
  <c r="L855" i="5"/>
  <c r="N855" i="5"/>
  <c r="G856" i="5"/>
  <c r="H856" i="5"/>
  <c r="G16" i="5"/>
  <c r="H16" i="5"/>
  <c r="L15" i="5"/>
  <c r="N15" i="5"/>
  <c r="E1101" i="6"/>
  <c r="F1101" i="6"/>
  <c r="E141" i="6"/>
  <c r="F141" i="6"/>
  <c r="G877" i="4"/>
  <c r="H876" i="4"/>
  <c r="E501" i="6"/>
  <c r="F501" i="6"/>
  <c r="G1096" i="5"/>
  <c r="H1096" i="5"/>
  <c r="L1095" i="5"/>
  <c r="N1095" i="5"/>
  <c r="J38" i="4"/>
  <c r="D38" i="6"/>
  <c r="I38" i="4"/>
  <c r="O38" i="5"/>
  <c r="Q15" i="6"/>
  <c r="L15" i="6"/>
  <c r="M15" i="6"/>
  <c r="L855" i="6"/>
  <c r="M855" i="6"/>
  <c r="Q855" i="6"/>
  <c r="I875" i="4"/>
  <c r="O875" i="5"/>
  <c r="J875" i="4"/>
  <c r="D875" i="6"/>
  <c r="Q375" i="6"/>
  <c r="L375" i="6"/>
  <c r="M375" i="6"/>
  <c r="J397" i="4"/>
  <c r="D397" i="6"/>
  <c r="I397" i="4"/>
  <c r="O397" i="5"/>
  <c r="G136" i="5"/>
  <c r="H136" i="5"/>
  <c r="L135" i="5"/>
  <c r="N135" i="5"/>
  <c r="G496" i="5"/>
  <c r="H496" i="5"/>
  <c r="L495" i="5"/>
  <c r="N495" i="5"/>
  <c r="Q255" i="6"/>
  <c r="L255" i="6"/>
  <c r="M255" i="6"/>
  <c r="L735" i="6"/>
  <c r="M735" i="6"/>
  <c r="Q735" i="6"/>
  <c r="L135" i="6"/>
  <c r="M135" i="6"/>
  <c r="Q135" i="6"/>
  <c r="G1117" i="4"/>
  <c r="H1116" i="4"/>
  <c r="C521" i="4"/>
  <c r="D520" i="4"/>
  <c r="I797" i="4"/>
  <c r="O797" i="5"/>
  <c r="J797" i="4"/>
  <c r="D797" i="6"/>
  <c r="E261" i="6"/>
  <c r="F261" i="6"/>
  <c r="Q615" i="6"/>
  <c r="L615" i="6"/>
  <c r="M615" i="6"/>
  <c r="G399" i="4"/>
  <c r="H398" i="4"/>
  <c r="G256" i="5"/>
  <c r="H256" i="5"/>
  <c r="L255" i="5"/>
  <c r="N255" i="5"/>
  <c r="E861" i="6"/>
  <c r="F861" i="6"/>
  <c r="J1116" i="4"/>
  <c r="D1116" i="6"/>
  <c r="I1116" i="4"/>
  <c r="O1116" i="5"/>
  <c r="G141" i="6"/>
  <c r="P141" i="6"/>
  <c r="G521" i="4"/>
  <c r="H520" i="4"/>
  <c r="P375" i="5"/>
  <c r="T375" i="5"/>
  <c r="U375" i="5"/>
  <c r="J798" i="4"/>
  <c r="D798" i="6"/>
  <c r="I798" i="4"/>
  <c r="O798" i="5"/>
  <c r="H280" i="4"/>
  <c r="G281" i="4"/>
  <c r="I496" i="5"/>
  <c r="J496" i="5"/>
  <c r="R496" i="5"/>
  <c r="P1101" i="6"/>
  <c r="G1101" i="6"/>
  <c r="R495" i="6"/>
  <c r="N495" i="6"/>
  <c r="N1095" i="6"/>
  <c r="R1095" i="6"/>
  <c r="P495" i="5"/>
  <c r="T495" i="5"/>
  <c r="U495" i="5"/>
  <c r="I376" i="5"/>
  <c r="J376" i="5"/>
  <c r="R376" i="5"/>
  <c r="G800" i="4"/>
  <c r="H799" i="4"/>
  <c r="I1096" i="5"/>
  <c r="J1096" i="5"/>
  <c r="R1096" i="5"/>
  <c r="C801" i="4"/>
  <c r="D800" i="4"/>
  <c r="C640" i="4"/>
  <c r="D639" i="4"/>
  <c r="H639" i="4"/>
  <c r="G640" i="4"/>
  <c r="H999" i="4"/>
  <c r="G1000" i="4"/>
  <c r="P255" i="5"/>
  <c r="T255" i="5"/>
  <c r="U255" i="5"/>
  <c r="P261" i="6"/>
  <c r="G261" i="6"/>
  <c r="R135" i="6"/>
  <c r="N135" i="6"/>
  <c r="P135" i="5"/>
  <c r="T135" i="5"/>
  <c r="U135" i="5"/>
  <c r="P15" i="5"/>
  <c r="T15" i="5"/>
  <c r="U15" i="5"/>
  <c r="J39" i="4"/>
  <c r="D39" i="6"/>
  <c r="I39" i="4"/>
  <c r="O39" i="5"/>
  <c r="P981" i="6"/>
  <c r="G981" i="6"/>
  <c r="P621" i="6"/>
  <c r="G621" i="6"/>
  <c r="S495" i="6"/>
  <c r="D998" i="4"/>
  <c r="C999" i="4"/>
  <c r="D159" i="4"/>
  <c r="C160" i="4"/>
  <c r="P1095" i="5"/>
  <c r="T1095" i="5"/>
  <c r="U1095" i="5"/>
  <c r="C1118" i="4"/>
  <c r="D1117" i="4"/>
  <c r="P741" i="6"/>
  <c r="G741" i="6"/>
  <c r="S135" i="6"/>
  <c r="R136" i="5"/>
  <c r="I136" i="5"/>
  <c r="J136" i="5"/>
  <c r="R855" i="6"/>
  <c r="S855" i="6"/>
  <c r="N855" i="6"/>
  <c r="G501" i="6"/>
  <c r="P501" i="6"/>
  <c r="R16" i="5"/>
  <c r="I16" i="5"/>
  <c r="J16" i="5"/>
  <c r="H40" i="4"/>
  <c r="G41" i="4"/>
  <c r="D39" i="4"/>
  <c r="C40" i="4"/>
  <c r="D279" i="4"/>
  <c r="C280" i="4"/>
  <c r="I616" i="5"/>
  <c r="J616" i="5"/>
  <c r="R616" i="5"/>
  <c r="P975" i="5"/>
  <c r="T975" i="5"/>
  <c r="U975" i="5"/>
  <c r="N15" i="6"/>
  <c r="R15" i="6"/>
  <c r="S15" i="6"/>
  <c r="J876" i="4"/>
  <c r="D876" i="6"/>
  <c r="I876" i="4"/>
  <c r="O876" i="5"/>
  <c r="R736" i="5"/>
  <c r="I736" i="5"/>
  <c r="J736" i="5"/>
  <c r="T615" i="5"/>
  <c r="U615" i="5"/>
  <c r="P615" i="5"/>
  <c r="P381" i="6"/>
  <c r="G381" i="6"/>
  <c r="I976" i="5"/>
  <c r="J976" i="5"/>
  <c r="R976" i="5"/>
  <c r="D878" i="4"/>
  <c r="C879" i="4"/>
  <c r="G1118" i="4"/>
  <c r="H1117" i="4"/>
  <c r="S1095" i="6"/>
  <c r="J398" i="4"/>
  <c r="D398" i="6"/>
  <c r="I398" i="4"/>
  <c r="O398" i="5"/>
  <c r="H877" i="4"/>
  <c r="G878" i="4"/>
  <c r="T735" i="5"/>
  <c r="U735" i="5"/>
  <c r="P735" i="5"/>
  <c r="J159" i="4"/>
  <c r="D159" i="6"/>
  <c r="I159" i="4"/>
  <c r="O159" i="5"/>
  <c r="C400" i="4"/>
  <c r="D399" i="4"/>
  <c r="N975" i="6"/>
  <c r="R975" i="6"/>
  <c r="J638" i="4"/>
  <c r="D638" i="6"/>
  <c r="I638" i="4"/>
  <c r="O638" i="5"/>
  <c r="J998" i="4"/>
  <c r="D998" i="6"/>
  <c r="I998" i="4"/>
  <c r="O998" i="5"/>
  <c r="P861" i="6"/>
  <c r="G861" i="6"/>
  <c r="R256" i="5"/>
  <c r="I256" i="5"/>
  <c r="J256" i="5"/>
  <c r="H399" i="4"/>
  <c r="G400" i="4"/>
  <c r="N735" i="6"/>
  <c r="R735" i="6"/>
  <c r="S735" i="6"/>
  <c r="I856" i="5"/>
  <c r="J856" i="5"/>
  <c r="R856" i="5"/>
  <c r="N615" i="6"/>
  <c r="R615" i="6"/>
  <c r="S615" i="6"/>
  <c r="C522" i="4"/>
  <c r="D521" i="4"/>
  <c r="R255" i="6"/>
  <c r="S255" i="6"/>
  <c r="N255" i="6"/>
  <c r="R375" i="6"/>
  <c r="S375" i="6"/>
  <c r="N375" i="6"/>
  <c r="T855" i="5"/>
  <c r="U855" i="5"/>
  <c r="P855" i="5"/>
  <c r="I519" i="4"/>
  <c r="O519" i="5"/>
  <c r="J519" i="4"/>
  <c r="D519" i="6"/>
  <c r="H160" i="4"/>
  <c r="G161" i="4"/>
  <c r="G21" i="6"/>
  <c r="P21" i="6"/>
  <c r="S975" i="6"/>
  <c r="J279" i="4"/>
  <c r="D279" i="6"/>
  <c r="I279" i="4"/>
  <c r="O279" i="5"/>
  <c r="J736" i="6"/>
  <c r="K736" i="6"/>
  <c r="O735" i="6"/>
  <c r="U735" i="6"/>
  <c r="V735" i="6"/>
  <c r="J16" i="6"/>
  <c r="K16" i="6"/>
  <c r="O15" i="6"/>
  <c r="U15" i="6"/>
  <c r="V15" i="6"/>
  <c r="I999" i="4"/>
  <c r="O999" i="5"/>
  <c r="J999" i="4"/>
  <c r="D999" i="6"/>
  <c r="J160" i="4"/>
  <c r="D160" i="6"/>
  <c r="I160" i="4"/>
  <c r="O160" i="5"/>
  <c r="D400" i="4"/>
  <c r="C401" i="4"/>
  <c r="E382" i="6"/>
  <c r="F382" i="6"/>
  <c r="C41" i="4"/>
  <c r="D40" i="4"/>
  <c r="O855" i="6"/>
  <c r="U855" i="6"/>
  <c r="V855" i="6"/>
  <c r="J856" i="6"/>
  <c r="K856" i="6"/>
  <c r="C1119" i="4"/>
  <c r="D1118" i="4"/>
  <c r="E622" i="6"/>
  <c r="F622" i="6"/>
  <c r="Q255" i="5"/>
  <c r="W255" i="5"/>
  <c r="X255" i="5"/>
  <c r="M256" i="5"/>
  <c r="C802" i="4"/>
  <c r="D801" i="4"/>
  <c r="Q495" i="5"/>
  <c r="W495" i="5"/>
  <c r="X495" i="5"/>
  <c r="M496" i="5"/>
  <c r="S496" i="5"/>
  <c r="K496" i="5"/>
  <c r="G522" i="4"/>
  <c r="H521" i="4"/>
  <c r="E142" i="6"/>
  <c r="F142" i="6"/>
  <c r="H1000" i="4"/>
  <c r="G1001" i="4"/>
  <c r="G401" i="4"/>
  <c r="H400" i="4"/>
  <c r="J136" i="6"/>
  <c r="K136" i="6"/>
  <c r="O135" i="6"/>
  <c r="U135" i="6"/>
  <c r="V135" i="6"/>
  <c r="G641" i="4"/>
  <c r="H640" i="4"/>
  <c r="I799" i="4"/>
  <c r="O799" i="5"/>
  <c r="J799" i="4"/>
  <c r="D799" i="6"/>
  <c r="J496" i="6"/>
  <c r="K496" i="6"/>
  <c r="O495" i="6"/>
  <c r="U495" i="6"/>
  <c r="V495" i="6"/>
  <c r="C523" i="4"/>
  <c r="D522" i="4"/>
  <c r="I1117" i="4"/>
  <c r="O1117" i="5"/>
  <c r="J1117" i="4"/>
  <c r="D1117" i="6"/>
  <c r="K1096" i="5"/>
  <c r="S1096" i="5"/>
  <c r="M856" i="5"/>
  <c r="Q855" i="5"/>
  <c r="W855" i="5"/>
  <c r="X855" i="5"/>
  <c r="H1118" i="4"/>
  <c r="G1119" i="4"/>
  <c r="C161" i="4"/>
  <c r="D160" i="4"/>
  <c r="J616" i="6"/>
  <c r="K616" i="6"/>
  <c r="O615" i="6"/>
  <c r="U615" i="6"/>
  <c r="V615" i="6"/>
  <c r="D879" i="4"/>
  <c r="C880" i="4"/>
  <c r="K736" i="5"/>
  <c r="S736" i="5"/>
  <c r="S16" i="5"/>
  <c r="K16" i="5"/>
  <c r="I639" i="4"/>
  <c r="O639" i="5"/>
  <c r="J639" i="4"/>
  <c r="D639" i="6"/>
  <c r="G801" i="4"/>
  <c r="H800" i="4"/>
  <c r="Q615" i="5"/>
  <c r="W615" i="5"/>
  <c r="X615" i="5"/>
  <c r="M616" i="5"/>
  <c r="Q1095" i="5"/>
  <c r="W1095" i="5"/>
  <c r="X1095" i="5"/>
  <c r="M1096" i="5"/>
  <c r="J280" i="4"/>
  <c r="D280" i="6"/>
  <c r="I280" i="4"/>
  <c r="O280" i="5"/>
  <c r="J376" i="6"/>
  <c r="K376" i="6"/>
  <c r="O375" i="6"/>
  <c r="U375" i="6"/>
  <c r="V375" i="6"/>
  <c r="K256" i="5"/>
  <c r="S256" i="5"/>
  <c r="H878" i="4"/>
  <c r="G879" i="4"/>
  <c r="K616" i="5"/>
  <c r="S616" i="5"/>
  <c r="E742" i="6"/>
  <c r="F742" i="6"/>
  <c r="C1000" i="4"/>
  <c r="D999" i="4"/>
  <c r="E262" i="6"/>
  <c r="F262" i="6"/>
  <c r="E1102" i="6"/>
  <c r="F1102" i="6"/>
  <c r="G282" i="4"/>
  <c r="H281" i="4"/>
  <c r="G42" i="4"/>
  <c r="H41" i="4"/>
  <c r="M136" i="5"/>
  <c r="Q135" i="5"/>
  <c r="W135" i="5"/>
  <c r="X135" i="5"/>
  <c r="J40" i="4"/>
  <c r="D40" i="6"/>
  <c r="I40" i="4"/>
  <c r="O40" i="5"/>
  <c r="E22" i="6"/>
  <c r="F22" i="6"/>
  <c r="I877" i="4"/>
  <c r="O877" i="5"/>
  <c r="J877" i="4"/>
  <c r="D877" i="6"/>
  <c r="C281" i="4"/>
  <c r="D280" i="4"/>
  <c r="C641" i="4"/>
  <c r="D640" i="4"/>
  <c r="K376" i="5"/>
  <c r="S376" i="5"/>
  <c r="M376" i="5"/>
  <c r="Q375" i="5"/>
  <c r="W375" i="5"/>
  <c r="X375" i="5"/>
  <c r="S136" i="5"/>
  <c r="K136" i="5"/>
  <c r="E982" i="6"/>
  <c r="F982" i="6"/>
  <c r="J1096" i="6"/>
  <c r="K1096" i="6"/>
  <c r="O1095" i="6"/>
  <c r="U1095" i="6"/>
  <c r="V1095" i="6"/>
  <c r="J399" i="4"/>
  <c r="D399" i="6"/>
  <c r="I399" i="4"/>
  <c r="O399" i="5"/>
  <c r="M736" i="5"/>
  <c r="Q735" i="5"/>
  <c r="W735" i="5"/>
  <c r="X735" i="5"/>
  <c r="Q975" i="5"/>
  <c r="W975" i="5"/>
  <c r="X975" i="5"/>
  <c r="M976" i="5"/>
  <c r="S856" i="5"/>
  <c r="K856" i="5"/>
  <c r="J976" i="6"/>
  <c r="K976" i="6"/>
  <c r="O975" i="6"/>
  <c r="U975" i="6"/>
  <c r="V975" i="6"/>
  <c r="G162" i="4"/>
  <c r="H161" i="4"/>
  <c r="J256" i="6"/>
  <c r="K256" i="6"/>
  <c r="O255" i="6"/>
  <c r="U255" i="6"/>
  <c r="V255" i="6"/>
  <c r="E862" i="6"/>
  <c r="F862" i="6"/>
  <c r="K976" i="5"/>
  <c r="S976" i="5"/>
  <c r="E502" i="6"/>
  <c r="F502" i="6"/>
  <c r="M16" i="5"/>
  <c r="Q15" i="5"/>
  <c r="W15" i="5"/>
  <c r="X15" i="5"/>
  <c r="J520" i="4"/>
  <c r="D520" i="6"/>
  <c r="I520" i="4"/>
  <c r="O520" i="5"/>
  <c r="L856" i="5"/>
  <c r="N856" i="5"/>
  <c r="G857" i="5"/>
  <c r="H857" i="5"/>
  <c r="G802" i="4"/>
  <c r="H801" i="4"/>
  <c r="G977" i="5"/>
  <c r="H977" i="5"/>
  <c r="L976" i="5"/>
  <c r="N976" i="5"/>
  <c r="L976" i="6"/>
  <c r="M976" i="6"/>
  <c r="Q976" i="6"/>
  <c r="P22" i="6"/>
  <c r="G22" i="6"/>
  <c r="H42" i="4"/>
  <c r="G43" i="4"/>
  <c r="L616" i="5"/>
  <c r="N616" i="5"/>
  <c r="G617" i="5"/>
  <c r="H617" i="5"/>
  <c r="J800" i="4"/>
  <c r="D800" i="6"/>
  <c r="I800" i="4"/>
  <c r="O800" i="5"/>
  <c r="L736" i="5"/>
  <c r="N736" i="5"/>
  <c r="G737" i="5"/>
  <c r="H737" i="5"/>
  <c r="G1120" i="4"/>
  <c r="H1119" i="4"/>
  <c r="P142" i="6"/>
  <c r="G142" i="6"/>
  <c r="C803" i="4"/>
  <c r="D802" i="4"/>
  <c r="J1118" i="4"/>
  <c r="D1118" i="6"/>
  <c r="I1118" i="4"/>
  <c r="O1118" i="5"/>
  <c r="I521" i="4"/>
  <c r="O521" i="5"/>
  <c r="J521" i="4"/>
  <c r="D521" i="6"/>
  <c r="H282" i="4"/>
  <c r="G283" i="4"/>
  <c r="H879" i="4"/>
  <c r="G880" i="4"/>
  <c r="G523" i="4"/>
  <c r="H522" i="4"/>
  <c r="L1096" i="6"/>
  <c r="M1096" i="6"/>
  <c r="Q1096" i="6"/>
  <c r="D281" i="4"/>
  <c r="C282" i="4"/>
  <c r="D1000" i="4"/>
  <c r="C1001" i="4"/>
  <c r="I878" i="4"/>
  <c r="O878" i="5"/>
  <c r="J878" i="4"/>
  <c r="D878" i="6"/>
  <c r="L496" i="6"/>
  <c r="M496" i="6"/>
  <c r="Q496" i="6"/>
  <c r="J400" i="4"/>
  <c r="D400" i="6"/>
  <c r="I400" i="4"/>
  <c r="O400" i="5"/>
  <c r="G497" i="5"/>
  <c r="H497" i="5"/>
  <c r="L496" i="5"/>
  <c r="N496" i="5"/>
  <c r="P622" i="6"/>
  <c r="G622" i="6"/>
  <c r="P862" i="6"/>
  <c r="G862" i="6"/>
  <c r="P262" i="6"/>
  <c r="G262" i="6"/>
  <c r="C524" i="4"/>
  <c r="D523" i="4"/>
  <c r="L256" i="6"/>
  <c r="M256" i="6"/>
  <c r="Q256" i="6"/>
  <c r="G982" i="6"/>
  <c r="P982" i="6"/>
  <c r="G377" i="5"/>
  <c r="H377" i="5"/>
  <c r="L376" i="5"/>
  <c r="N376" i="5"/>
  <c r="G742" i="6"/>
  <c r="P742" i="6"/>
  <c r="G17" i="5"/>
  <c r="H17" i="5"/>
  <c r="L16" i="5"/>
  <c r="N16" i="5"/>
  <c r="L616" i="6"/>
  <c r="M616" i="6"/>
  <c r="Q616" i="6"/>
  <c r="G402" i="4"/>
  <c r="H401" i="4"/>
  <c r="P382" i="6"/>
  <c r="G382" i="6"/>
  <c r="P502" i="6"/>
  <c r="G502" i="6"/>
  <c r="G257" i="5"/>
  <c r="H257" i="5"/>
  <c r="L256" i="5"/>
  <c r="N256" i="5"/>
  <c r="G1097" i="5"/>
  <c r="H1097" i="5"/>
  <c r="L1096" i="5"/>
  <c r="N1096" i="5"/>
  <c r="H1001" i="4"/>
  <c r="G1002" i="4"/>
  <c r="C402" i="4"/>
  <c r="D401" i="4"/>
  <c r="Q16" i="6"/>
  <c r="L16" i="6"/>
  <c r="M16" i="6"/>
  <c r="J281" i="4"/>
  <c r="D281" i="6"/>
  <c r="I281" i="4"/>
  <c r="O281" i="5"/>
  <c r="D41" i="4"/>
  <c r="C42" i="4"/>
  <c r="J161" i="4"/>
  <c r="D161" i="6"/>
  <c r="I161" i="4"/>
  <c r="O161" i="5"/>
  <c r="H162" i="4"/>
  <c r="G163" i="4"/>
  <c r="D641" i="4"/>
  <c r="C642" i="4"/>
  <c r="G1102" i="6"/>
  <c r="P1102" i="6"/>
  <c r="D161" i="4"/>
  <c r="C162" i="4"/>
  <c r="J640" i="4"/>
  <c r="D640" i="6"/>
  <c r="I640" i="4"/>
  <c r="O640" i="5"/>
  <c r="I1000" i="4"/>
  <c r="O1000" i="5"/>
  <c r="J1000" i="4"/>
  <c r="D1000" i="6"/>
  <c r="D1119" i="4"/>
  <c r="C1120" i="4"/>
  <c r="D880" i="4"/>
  <c r="C881" i="4"/>
  <c r="L136" i="6"/>
  <c r="M136" i="6"/>
  <c r="Q136" i="6"/>
  <c r="G137" i="5"/>
  <c r="H137" i="5"/>
  <c r="L136" i="5"/>
  <c r="N136" i="5"/>
  <c r="J41" i="4"/>
  <c r="D41" i="6"/>
  <c r="I41" i="4"/>
  <c r="O41" i="5"/>
  <c r="L376" i="6"/>
  <c r="M376" i="6"/>
  <c r="Q376" i="6"/>
  <c r="G642" i="4"/>
  <c r="H641" i="4"/>
  <c r="L856" i="6"/>
  <c r="M856" i="6"/>
  <c r="Q856" i="6"/>
  <c r="Q736" i="6"/>
  <c r="L736" i="6"/>
  <c r="M736" i="6"/>
  <c r="C403" i="4"/>
  <c r="D402" i="4"/>
  <c r="H523" i="4"/>
  <c r="G524" i="4"/>
  <c r="G881" i="4"/>
  <c r="H880" i="4"/>
  <c r="N856" i="6"/>
  <c r="R856" i="6"/>
  <c r="R136" i="6"/>
  <c r="N136" i="6"/>
  <c r="C882" i="4"/>
  <c r="D881" i="4"/>
  <c r="C163" i="4"/>
  <c r="D162" i="4"/>
  <c r="E503" i="6"/>
  <c r="F503" i="6"/>
  <c r="P16" i="5"/>
  <c r="T16" i="5"/>
  <c r="U16" i="5"/>
  <c r="E623" i="6"/>
  <c r="F623" i="6"/>
  <c r="J522" i="4"/>
  <c r="D522" i="6"/>
  <c r="I522" i="4"/>
  <c r="O522" i="5"/>
  <c r="R737" i="5"/>
  <c r="I737" i="5"/>
  <c r="J737" i="5"/>
  <c r="E23" i="6"/>
  <c r="F23" i="6"/>
  <c r="R857" i="5"/>
  <c r="I857" i="5"/>
  <c r="J857" i="5"/>
  <c r="R256" i="6"/>
  <c r="S256" i="6"/>
  <c r="N256" i="6"/>
  <c r="N736" i="6"/>
  <c r="R736" i="6"/>
  <c r="S736" i="6"/>
  <c r="E383" i="6"/>
  <c r="F383" i="6"/>
  <c r="R497" i="5"/>
  <c r="I497" i="5"/>
  <c r="J497" i="5"/>
  <c r="I879" i="4"/>
  <c r="O879" i="5"/>
  <c r="J879" i="4"/>
  <c r="D879" i="6"/>
  <c r="C804" i="4"/>
  <c r="D803" i="4"/>
  <c r="N976" i="6"/>
  <c r="R976" i="6"/>
  <c r="S976" i="6"/>
  <c r="G1003" i="4"/>
  <c r="H1002" i="4"/>
  <c r="D1001" i="4"/>
  <c r="C1002" i="4"/>
  <c r="C525" i="4"/>
  <c r="D524" i="4"/>
  <c r="S856" i="6"/>
  <c r="P136" i="5"/>
  <c r="T136" i="5"/>
  <c r="U136" i="5"/>
  <c r="C643" i="4"/>
  <c r="D642" i="4"/>
  <c r="P1096" i="5"/>
  <c r="T1096" i="5"/>
  <c r="U1096" i="5"/>
  <c r="J401" i="4"/>
  <c r="D401" i="6"/>
  <c r="I401" i="4"/>
  <c r="O401" i="5"/>
  <c r="P376" i="5"/>
  <c r="T376" i="5"/>
  <c r="U376" i="5"/>
  <c r="E263" i="6"/>
  <c r="F263" i="6"/>
  <c r="C283" i="4"/>
  <c r="D282" i="4"/>
  <c r="G284" i="4"/>
  <c r="H283" i="4"/>
  <c r="E143" i="6"/>
  <c r="F143" i="6"/>
  <c r="I617" i="5"/>
  <c r="J617" i="5"/>
  <c r="R617" i="5"/>
  <c r="P976" i="5"/>
  <c r="T976" i="5"/>
  <c r="U976" i="5"/>
  <c r="R376" i="6"/>
  <c r="S376" i="6"/>
  <c r="N376" i="6"/>
  <c r="I17" i="5"/>
  <c r="J17" i="5"/>
  <c r="R17" i="5"/>
  <c r="T736" i="5"/>
  <c r="U736" i="5"/>
  <c r="P736" i="5"/>
  <c r="C1121" i="4"/>
  <c r="D1120" i="4"/>
  <c r="I1001" i="4"/>
  <c r="O1001" i="5"/>
  <c r="J1001" i="4"/>
  <c r="D1001" i="6"/>
  <c r="G403" i="4"/>
  <c r="H402" i="4"/>
  <c r="J282" i="4"/>
  <c r="D282" i="6"/>
  <c r="I282" i="4"/>
  <c r="O282" i="5"/>
  <c r="T616" i="5"/>
  <c r="U616" i="5"/>
  <c r="P616" i="5"/>
  <c r="I977" i="5"/>
  <c r="J977" i="5"/>
  <c r="R977" i="5"/>
  <c r="T856" i="5"/>
  <c r="U856" i="5"/>
  <c r="P856" i="5"/>
  <c r="C43" i="4"/>
  <c r="D42" i="4"/>
  <c r="P496" i="5"/>
  <c r="T496" i="5"/>
  <c r="U496" i="5"/>
  <c r="E743" i="6"/>
  <c r="F743" i="6"/>
  <c r="I1097" i="5"/>
  <c r="J1097" i="5"/>
  <c r="R1097" i="5"/>
  <c r="I377" i="5"/>
  <c r="J377" i="5"/>
  <c r="R377" i="5"/>
  <c r="I641" i="4"/>
  <c r="O641" i="5"/>
  <c r="J641" i="4"/>
  <c r="D641" i="6"/>
  <c r="S136" i="6"/>
  <c r="G164" i="4"/>
  <c r="H163" i="4"/>
  <c r="R16" i="6"/>
  <c r="N16" i="6"/>
  <c r="T256" i="5"/>
  <c r="U256" i="5"/>
  <c r="P256" i="5"/>
  <c r="E863" i="6"/>
  <c r="F863" i="6"/>
  <c r="I1119" i="4"/>
  <c r="O1119" i="5"/>
  <c r="J1119" i="4"/>
  <c r="D1119" i="6"/>
  <c r="G44" i="4"/>
  <c r="H43" i="4"/>
  <c r="I801" i="4"/>
  <c r="O801" i="5"/>
  <c r="J801" i="4"/>
  <c r="D801" i="6"/>
  <c r="E1103" i="6"/>
  <c r="F1103" i="6"/>
  <c r="R137" i="5"/>
  <c r="I137" i="5"/>
  <c r="J137" i="5"/>
  <c r="G643" i="4"/>
  <c r="H642" i="4"/>
  <c r="J162" i="4"/>
  <c r="D162" i="6"/>
  <c r="I162" i="4"/>
  <c r="O162" i="5"/>
  <c r="S16" i="6"/>
  <c r="R257" i="5"/>
  <c r="I257" i="5"/>
  <c r="J257" i="5"/>
  <c r="R616" i="6"/>
  <c r="S616" i="6"/>
  <c r="N616" i="6"/>
  <c r="E983" i="6"/>
  <c r="F983" i="6"/>
  <c r="R496" i="6"/>
  <c r="S496" i="6"/>
  <c r="N496" i="6"/>
  <c r="N1096" i="6"/>
  <c r="R1096" i="6"/>
  <c r="S1096" i="6"/>
  <c r="H1120" i="4"/>
  <c r="G1121" i="4"/>
  <c r="J42" i="4"/>
  <c r="D42" i="6"/>
  <c r="I42" i="4"/>
  <c r="O42" i="5"/>
  <c r="G803" i="4"/>
  <c r="H802" i="4"/>
  <c r="J802" i="4"/>
  <c r="D802" i="6"/>
  <c r="I802" i="4"/>
  <c r="O802" i="5"/>
  <c r="J497" i="6"/>
  <c r="K497" i="6"/>
  <c r="O496" i="6"/>
  <c r="U496" i="6"/>
  <c r="V496" i="6"/>
  <c r="J17" i="6"/>
  <c r="K17" i="6"/>
  <c r="O16" i="6"/>
  <c r="U16" i="6"/>
  <c r="V16" i="6"/>
  <c r="K377" i="5"/>
  <c r="S377" i="5"/>
  <c r="D43" i="4"/>
  <c r="C44" i="4"/>
  <c r="D1121" i="4"/>
  <c r="C1122" i="4"/>
  <c r="Q976" i="5"/>
  <c r="W976" i="5"/>
  <c r="X976" i="5"/>
  <c r="M977" i="5"/>
  <c r="D283" i="4"/>
  <c r="C284" i="4"/>
  <c r="Q1096" i="5"/>
  <c r="W1096" i="5"/>
  <c r="X1096" i="5"/>
  <c r="M1097" i="5"/>
  <c r="P383" i="6"/>
  <c r="G383" i="6"/>
  <c r="P23" i="6"/>
  <c r="G23" i="6"/>
  <c r="K1097" i="5"/>
  <c r="S1097" i="5"/>
  <c r="K617" i="5"/>
  <c r="S617" i="5"/>
  <c r="G263" i="6"/>
  <c r="P263" i="6"/>
  <c r="C644" i="4"/>
  <c r="D643" i="4"/>
  <c r="J737" i="6"/>
  <c r="K737" i="6"/>
  <c r="O736" i="6"/>
  <c r="U736" i="6"/>
  <c r="V736" i="6"/>
  <c r="S737" i="5"/>
  <c r="K737" i="5"/>
  <c r="P863" i="6"/>
  <c r="G863" i="6"/>
  <c r="H164" i="4"/>
  <c r="G165" i="4"/>
  <c r="J402" i="4"/>
  <c r="D402" i="6"/>
  <c r="I402" i="4"/>
  <c r="O402" i="5"/>
  <c r="J1002" i="4"/>
  <c r="D1002" i="6"/>
  <c r="I1002" i="4"/>
  <c r="O1002" i="5"/>
  <c r="O256" i="6"/>
  <c r="U256" i="6"/>
  <c r="V256" i="6"/>
  <c r="J257" i="6"/>
  <c r="K257" i="6"/>
  <c r="P503" i="6"/>
  <c r="G503" i="6"/>
  <c r="G525" i="4"/>
  <c r="H524" i="4"/>
  <c r="G804" i="4"/>
  <c r="H803" i="4"/>
  <c r="J163" i="4"/>
  <c r="D163" i="6"/>
  <c r="I163" i="4"/>
  <c r="O163" i="5"/>
  <c r="G1122" i="4"/>
  <c r="H1121" i="4"/>
  <c r="P983" i="6"/>
  <c r="G983" i="6"/>
  <c r="J642" i="4"/>
  <c r="D642" i="6"/>
  <c r="I642" i="4"/>
  <c r="O642" i="5"/>
  <c r="J43" i="4"/>
  <c r="D43" i="6"/>
  <c r="I43" i="4"/>
  <c r="O43" i="5"/>
  <c r="P743" i="6"/>
  <c r="G743" i="6"/>
  <c r="S977" i="5"/>
  <c r="K977" i="5"/>
  <c r="G404" i="4"/>
  <c r="H403" i="4"/>
  <c r="S17" i="5"/>
  <c r="K17" i="5"/>
  <c r="P143" i="6"/>
  <c r="G143" i="6"/>
  <c r="Q376" i="5"/>
  <c r="W376" i="5"/>
  <c r="X376" i="5"/>
  <c r="M377" i="5"/>
  <c r="M137" i="5"/>
  <c r="Q136" i="5"/>
  <c r="W136" i="5"/>
  <c r="X136" i="5"/>
  <c r="H1003" i="4"/>
  <c r="G1004" i="4"/>
  <c r="S497" i="5"/>
  <c r="K497" i="5"/>
  <c r="J857" i="6"/>
  <c r="K857" i="6"/>
  <c r="O856" i="6"/>
  <c r="U856" i="6"/>
  <c r="V856" i="6"/>
  <c r="I523" i="4"/>
  <c r="O523" i="5"/>
  <c r="J523" i="4"/>
  <c r="D523" i="6"/>
  <c r="G1103" i="6"/>
  <c r="P1103" i="6"/>
  <c r="M857" i="5"/>
  <c r="Q856" i="5"/>
  <c r="W856" i="5"/>
  <c r="X856" i="5"/>
  <c r="M737" i="5"/>
  <c r="Q736" i="5"/>
  <c r="W736" i="5"/>
  <c r="X736" i="5"/>
  <c r="C805" i="4"/>
  <c r="D804" i="4"/>
  <c r="O136" i="6"/>
  <c r="U136" i="6"/>
  <c r="V136" i="6"/>
  <c r="J137" i="6"/>
  <c r="K137" i="6"/>
  <c r="J1120" i="4"/>
  <c r="D1120" i="6"/>
  <c r="I1120" i="4"/>
  <c r="O1120" i="5"/>
  <c r="O616" i="6"/>
  <c r="U616" i="6"/>
  <c r="V616" i="6"/>
  <c r="J617" i="6"/>
  <c r="K617" i="6"/>
  <c r="H643" i="4"/>
  <c r="G644" i="4"/>
  <c r="H44" i="4"/>
  <c r="G45" i="4"/>
  <c r="Q616" i="5"/>
  <c r="W616" i="5"/>
  <c r="X616" i="5"/>
  <c r="M617" i="5"/>
  <c r="O376" i="6"/>
  <c r="U376" i="6"/>
  <c r="V376" i="6"/>
  <c r="J377" i="6"/>
  <c r="K377" i="6"/>
  <c r="J283" i="4"/>
  <c r="D283" i="6"/>
  <c r="I283" i="4"/>
  <c r="O283" i="5"/>
  <c r="S857" i="5"/>
  <c r="K857" i="5"/>
  <c r="D163" i="4"/>
  <c r="C164" i="4"/>
  <c r="D1002" i="4"/>
  <c r="C1003" i="4"/>
  <c r="M257" i="5"/>
  <c r="Q256" i="5"/>
  <c r="W256" i="5"/>
  <c r="X256" i="5"/>
  <c r="G623" i="6"/>
  <c r="P623" i="6"/>
  <c r="J880" i="4"/>
  <c r="D880" i="6"/>
  <c r="I880" i="4"/>
  <c r="O880" i="5"/>
  <c r="M17" i="5"/>
  <c r="Q16" i="5"/>
  <c r="W16" i="5"/>
  <c r="X16" i="5"/>
  <c r="S137" i="5"/>
  <c r="K137" i="5"/>
  <c r="M497" i="5"/>
  <c r="Q496" i="5"/>
  <c r="W496" i="5"/>
  <c r="X496" i="5"/>
  <c r="H284" i="4"/>
  <c r="G285" i="4"/>
  <c r="J1097" i="6"/>
  <c r="K1097" i="6"/>
  <c r="O1096" i="6"/>
  <c r="U1096" i="6"/>
  <c r="V1096" i="6"/>
  <c r="K257" i="5"/>
  <c r="S257" i="5"/>
  <c r="D525" i="4"/>
  <c r="C526" i="4"/>
  <c r="J977" i="6"/>
  <c r="K977" i="6"/>
  <c r="O976" i="6"/>
  <c r="U976" i="6"/>
  <c r="V976" i="6"/>
  <c r="D882" i="4"/>
  <c r="C883" i="4"/>
  <c r="H881" i="4"/>
  <c r="G882" i="4"/>
  <c r="D403" i="4"/>
  <c r="C404" i="4"/>
  <c r="Q1097" i="6"/>
  <c r="L1097" i="6"/>
  <c r="M1097" i="6"/>
  <c r="G645" i="4"/>
  <c r="H644" i="4"/>
  <c r="E624" i="6"/>
  <c r="F624" i="6"/>
  <c r="L857" i="5"/>
  <c r="N857" i="5"/>
  <c r="G858" i="5"/>
  <c r="H858" i="5"/>
  <c r="H1122" i="4"/>
  <c r="G1123" i="4"/>
  <c r="E504" i="6"/>
  <c r="F504" i="6"/>
  <c r="L617" i="5"/>
  <c r="N617" i="5"/>
  <c r="G618" i="5"/>
  <c r="H618" i="5"/>
  <c r="J44" i="4"/>
  <c r="D44" i="6"/>
  <c r="I44" i="4"/>
  <c r="O44" i="5"/>
  <c r="E1104" i="6"/>
  <c r="F1104" i="6"/>
  <c r="I1003" i="4"/>
  <c r="O1003" i="5"/>
  <c r="J1003" i="4"/>
  <c r="D1003" i="6"/>
  <c r="L257" i="6"/>
  <c r="M257" i="6"/>
  <c r="Q257" i="6"/>
  <c r="G166" i="4"/>
  <c r="H165" i="4"/>
  <c r="Q737" i="6"/>
  <c r="L737" i="6"/>
  <c r="M737" i="6"/>
  <c r="G1098" i="5"/>
  <c r="H1098" i="5"/>
  <c r="L1097" i="5"/>
  <c r="N1097" i="5"/>
  <c r="G378" i="5"/>
  <c r="H378" i="5"/>
  <c r="L377" i="5"/>
  <c r="N377" i="5"/>
  <c r="E24" i="6"/>
  <c r="F24" i="6"/>
  <c r="C405" i="4"/>
  <c r="D404" i="4"/>
  <c r="C527" i="4"/>
  <c r="D526" i="4"/>
  <c r="I643" i="4"/>
  <c r="O643" i="5"/>
  <c r="J643" i="4"/>
  <c r="D643" i="6"/>
  <c r="C806" i="4"/>
  <c r="D805" i="4"/>
  <c r="H404" i="4"/>
  <c r="G405" i="4"/>
  <c r="I803" i="4"/>
  <c r="O803" i="5"/>
  <c r="J803" i="4"/>
  <c r="D803" i="6"/>
  <c r="E864" i="6"/>
  <c r="F864" i="6"/>
  <c r="C645" i="4"/>
  <c r="D644" i="4"/>
  <c r="L17" i="6"/>
  <c r="M17" i="6"/>
  <c r="Q17" i="6"/>
  <c r="E384" i="6"/>
  <c r="F384" i="6"/>
  <c r="C1123" i="4"/>
  <c r="D1122" i="4"/>
  <c r="C1004" i="4"/>
  <c r="D1003" i="4"/>
  <c r="J403" i="4"/>
  <c r="D403" i="6"/>
  <c r="I403" i="4"/>
  <c r="O403" i="5"/>
  <c r="J164" i="4"/>
  <c r="D164" i="6"/>
  <c r="I164" i="4"/>
  <c r="O164" i="5"/>
  <c r="G978" i="5"/>
  <c r="H978" i="5"/>
  <c r="L977" i="5"/>
  <c r="N977" i="5"/>
  <c r="E984" i="6"/>
  <c r="F984" i="6"/>
  <c r="G805" i="4"/>
  <c r="H804" i="4"/>
  <c r="H882" i="4"/>
  <c r="G883" i="4"/>
  <c r="J284" i="4"/>
  <c r="D284" i="6"/>
  <c r="I284" i="4"/>
  <c r="O284" i="5"/>
  <c r="C165" i="4"/>
  <c r="D164" i="4"/>
  <c r="Q857" i="6"/>
  <c r="L857" i="6"/>
  <c r="M857" i="6"/>
  <c r="J524" i="4"/>
  <c r="D524" i="6"/>
  <c r="I524" i="4"/>
  <c r="O524" i="5"/>
  <c r="L737" i="5"/>
  <c r="N737" i="5"/>
  <c r="G738" i="5"/>
  <c r="H738" i="5"/>
  <c r="E264" i="6"/>
  <c r="F264" i="6"/>
  <c r="G286" i="4"/>
  <c r="H285" i="4"/>
  <c r="L377" i="6"/>
  <c r="M377" i="6"/>
  <c r="Q377" i="6"/>
  <c r="L617" i="6"/>
  <c r="M617" i="6"/>
  <c r="Q617" i="6"/>
  <c r="I881" i="4"/>
  <c r="O881" i="5"/>
  <c r="J881" i="4"/>
  <c r="D881" i="6"/>
  <c r="G498" i="5"/>
  <c r="H498" i="5"/>
  <c r="L497" i="5"/>
  <c r="N497" i="5"/>
  <c r="E144" i="6"/>
  <c r="F144" i="6"/>
  <c r="E744" i="6"/>
  <c r="F744" i="6"/>
  <c r="I1121" i="4"/>
  <c r="O1121" i="5"/>
  <c r="J1121" i="4"/>
  <c r="D1121" i="6"/>
  <c r="G526" i="4"/>
  <c r="H525" i="4"/>
  <c r="C45" i="4"/>
  <c r="D44" i="4"/>
  <c r="Q497" i="6"/>
  <c r="L497" i="6"/>
  <c r="M497" i="6"/>
  <c r="L977" i="6"/>
  <c r="M977" i="6"/>
  <c r="Q977" i="6"/>
  <c r="C884" i="4"/>
  <c r="D883" i="4"/>
  <c r="G258" i="5"/>
  <c r="H258" i="5"/>
  <c r="L257" i="5"/>
  <c r="N257" i="5"/>
  <c r="G138" i="5"/>
  <c r="H138" i="5"/>
  <c r="L137" i="5"/>
  <c r="N137" i="5"/>
  <c r="G46" i="4"/>
  <c r="H45" i="4"/>
  <c r="L137" i="6"/>
  <c r="M137" i="6"/>
  <c r="Q137" i="6"/>
  <c r="G1005" i="4"/>
  <c r="H1004" i="4"/>
  <c r="G18" i="5"/>
  <c r="H18" i="5"/>
  <c r="L17" i="5"/>
  <c r="N17" i="5"/>
  <c r="C285" i="4"/>
  <c r="D284" i="4"/>
  <c r="R258" i="5"/>
  <c r="I258" i="5"/>
  <c r="J258" i="5"/>
  <c r="P984" i="6"/>
  <c r="G984" i="6"/>
  <c r="G1124" i="4"/>
  <c r="H1123" i="4"/>
  <c r="G144" i="6"/>
  <c r="P144" i="6"/>
  <c r="H1005" i="4"/>
  <c r="G1006" i="4"/>
  <c r="P257" i="5"/>
  <c r="T257" i="5"/>
  <c r="U257" i="5"/>
  <c r="P744" i="6"/>
  <c r="G744" i="6"/>
  <c r="S617" i="6"/>
  <c r="G264" i="6"/>
  <c r="P264" i="6"/>
  <c r="S17" i="6"/>
  <c r="C528" i="4"/>
  <c r="D527" i="4"/>
  <c r="I1098" i="5"/>
  <c r="J1098" i="5"/>
  <c r="R1098" i="5"/>
  <c r="P504" i="6"/>
  <c r="G504" i="6"/>
  <c r="J644" i="4"/>
  <c r="D644" i="6"/>
  <c r="I644" i="4"/>
  <c r="O644" i="5"/>
  <c r="R1097" i="6"/>
  <c r="N1097" i="6"/>
  <c r="R737" i="6"/>
  <c r="S737" i="6"/>
  <c r="N737" i="6"/>
  <c r="S137" i="6"/>
  <c r="D285" i="4"/>
  <c r="C286" i="4"/>
  <c r="I525" i="4"/>
  <c r="O525" i="5"/>
  <c r="J525" i="4"/>
  <c r="D525" i="6"/>
  <c r="P497" i="5"/>
  <c r="T497" i="5"/>
  <c r="U497" i="5"/>
  <c r="N377" i="6"/>
  <c r="R377" i="6"/>
  <c r="I978" i="5"/>
  <c r="J978" i="5"/>
  <c r="R978" i="5"/>
  <c r="D1123" i="4"/>
  <c r="C1124" i="4"/>
  <c r="J165" i="4"/>
  <c r="D165" i="6"/>
  <c r="I165" i="4"/>
  <c r="O165" i="5"/>
  <c r="S1097" i="6"/>
  <c r="R17" i="6"/>
  <c r="N17" i="6"/>
  <c r="S377" i="6"/>
  <c r="P1104" i="6"/>
  <c r="G1104" i="6"/>
  <c r="D884" i="4"/>
  <c r="C885" i="4"/>
  <c r="G527" i="4"/>
  <c r="H526" i="4"/>
  <c r="J285" i="4"/>
  <c r="D285" i="6"/>
  <c r="I285" i="4"/>
  <c r="O285" i="5"/>
  <c r="H883" i="4"/>
  <c r="G884" i="4"/>
  <c r="G384" i="6"/>
  <c r="P384" i="6"/>
  <c r="D645" i="4"/>
  <c r="C646" i="4"/>
  <c r="C807" i="4"/>
  <c r="D806" i="4"/>
  <c r="G24" i="6"/>
  <c r="P24" i="6"/>
  <c r="H166" i="4"/>
  <c r="G167" i="4"/>
  <c r="R858" i="5"/>
  <c r="I858" i="5"/>
  <c r="J858" i="5"/>
  <c r="N617" i="6"/>
  <c r="R617" i="6"/>
  <c r="D1004" i="4"/>
  <c r="C1005" i="4"/>
  <c r="J404" i="4"/>
  <c r="D404" i="6"/>
  <c r="I404" i="4"/>
  <c r="O404" i="5"/>
  <c r="N137" i="6"/>
  <c r="R137" i="6"/>
  <c r="J45" i="4"/>
  <c r="D45" i="6"/>
  <c r="I45" i="4"/>
  <c r="O45" i="5"/>
  <c r="I498" i="5"/>
  <c r="J498" i="5"/>
  <c r="R498" i="5"/>
  <c r="P17" i="5"/>
  <c r="T17" i="5"/>
  <c r="U17" i="5"/>
  <c r="H46" i="4"/>
  <c r="G47" i="4"/>
  <c r="H286" i="4"/>
  <c r="G287" i="4"/>
  <c r="I882" i="4"/>
  <c r="O882" i="5"/>
  <c r="J882" i="4"/>
  <c r="D882" i="6"/>
  <c r="T377" i="5"/>
  <c r="U377" i="5"/>
  <c r="P377" i="5"/>
  <c r="I618" i="5"/>
  <c r="J618" i="5"/>
  <c r="R618" i="5"/>
  <c r="T857" i="5"/>
  <c r="U857" i="5"/>
  <c r="P857" i="5"/>
  <c r="D165" i="4"/>
  <c r="C166" i="4"/>
  <c r="G646" i="4"/>
  <c r="H645" i="4"/>
  <c r="T737" i="5"/>
  <c r="U737" i="5"/>
  <c r="P737" i="5"/>
  <c r="J1122" i="4"/>
  <c r="D1122" i="6"/>
  <c r="I1122" i="4"/>
  <c r="O1122" i="5"/>
  <c r="I18" i="5"/>
  <c r="J18" i="5"/>
  <c r="R18" i="5"/>
  <c r="P137" i="5"/>
  <c r="T137" i="5"/>
  <c r="U137" i="5"/>
  <c r="R977" i="6"/>
  <c r="S977" i="6"/>
  <c r="N977" i="6"/>
  <c r="N857" i="6"/>
  <c r="R857" i="6"/>
  <c r="J804" i="4"/>
  <c r="D804" i="6"/>
  <c r="I804" i="4"/>
  <c r="O804" i="5"/>
  <c r="P864" i="6"/>
  <c r="G864" i="6"/>
  <c r="I378" i="5"/>
  <c r="J378" i="5"/>
  <c r="R378" i="5"/>
  <c r="N257" i="6"/>
  <c r="R257" i="6"/>
  <c r="S257" i="6"/>
  <c r="T617" i="5"/>
  <c r="U617" i="5"/>
  <c r="P617" i="5"/>
  <c r="R738" i="5"/>
  <c r="I738" i="5"/>
  <c r="J738" i="5"/>
  <c r="H405" i="4"/>
  <c r="G406" i="4"/>
  <c r="D45" i="4"/>
  <c r="C46" i="4"/>
  <c r="P977" i="5"/>
  <c r="T977" i="5"/>
  <c r="U977" i="5"/>
  <c r="C406" i="4"/>
  <c r="D405" i="4"/>
  <c r="I1004" i="4"/>
  <c r="O1004" i="5"/>
  <c r="J1004" i="4"/>
  <c r="D1004" i="6"/>
  <c r="I138" i="5"/>
  <c r="J138" i="5"/>
  <c r="R138" i="5"/>
  <c r="N497" i="6"/>
  <c r="R497" i="6"/>
  <c r="S497" i="6"/>
  <c r="S857" i="6"/>
  <c r="G806" i="4"/>
  <c r="H805" i="4"/>
  <c r="P1097" i="5"/>
  <c r="T1097" i="5"/>
  <c r="U1097" i="5"/>
  <c r="P624" i="6"/>
  <c r="G624" i="6"/>
  <c r="J46" i="4"/>
  <c r="D46" i="6"/>
  <c r="I46" i="4"/>
  <c r="O46" i="5"/>
  <c r="C167" i="4"/>
  <c r="D166" i="4"/>
  <c r="C886" i="4"/>
  <c r="D885" i="4"/>
  <c r="J738" i="6"/>
  <c r="K738" i="6"/>
  <c r="O737" i="6"/>
  <c r="U737" i="6"/>
  <c r="V737" i="6"/>
  <c r="Q977" i="5"/>
  <c r="W977" i="5"/>
  <c r="X977" i="5"/>
  <c r="M978" i="5"/>
  <c r="S18" i="5"/>
  <c r="K18" i="5"/>
  <c r="M18" i="5"/>
  <c r="Q17" i="5"/>
  <c r="W17" i="5"/>
  <c r="X17" i="5"/>
  <c r="J166" i="4"/>
  <c r="D166" i="6"/>
  <c r="I166" i="4"/>
  <c r="O166" i="5"/>
  <c r="E385" i="6"/>
  <c r="F385" i="6"/>
  <c r="M498" i="5"/>
  <c r="Q497" i="5"/>
  <c r="W497" i="5"/>
  <c r="X497" i="5"/>
  <c r="K1098" i="5"/>
  <c r="S1098" i="5"/>
  <c r="I1123" i="4"/>
  <c r="O1123" i="5"/>
  <c r="J1123" i="4"/>
  <c r="D1123" i="6"/>
  <c r="C407" i="4"/>
  <c r="D406" i="4"/>
  <c r="G647" i="4"/>
  <c r="H646" i="4"/>
  <c r="H527" i="4"/>
  <c r="G528" i="4"/>
  <c r="O377" i="6"/>
  <c r="U377" i="6"/>
  <c r="V377" i="6"/>
  <c r="J378" i="6"/>
  <c r="K378" i="6"/>
  <c r="O497" i="6"/>
  <c r="U497" i="6"/>
  <c r="V497" i="6"/>
  <c r="J498" i="6"/>
  <c r="K498" i="6"/>
  <c r="C47" i="4"/>
  <c r="D46" i="4"/>
  <c r="M858" i="5"/>
  <c r="Q857" i="5"/>
  <c r="W857" i="5"/>
  <c r="X857" i="5"/>
  <c r="D1005" i="4"/>
  <c r="C1006" i="4"/>
  <c r="H884" i="4"/>
  <c r="G885" i="4"/>
  <c r="E1105" i="6"/>
  <c r="F1105" i="6"/>
  <c r="C1125" i="4"/>
  <c r="D1124" i="4"/>
  <c r="J1098" i="6"/>
  <c r="K1098" i="6"/>
  <c r="O1097" i="6"/>
  <c r="U1097" i="6"/>
  <c r="V1097" i="6"/>
  <c r="H1124" i="4"/>
  <c r="G1125" i="4"/>
  <c r="S138" i="5"/>
  <c r="K138" i="5"/>
  <c r="O257" i="6"/>
  <c r="U257" i="6"/>
  <c r="V257" i="6"/>
  <c r="J258" i="6"/>
  <c r="K258" i="6"/>
  <c r="J858" i="6"/>
  <c r="K858" i="6"/>
  <c r="O857" i="6"/>
  <c r="U857" i="6"/>
  <c r="V857" i="6"/>
  <c r="G288" i="4"/>
  <c r="H287" i="4"/>
  <c r="S498" i="5"/>
  <c r="K498" i="5"/>
  <c r="E25" i="6"/>
  <c r="F25" i="6"/>
  <c r="I883" i="4"/>
  <c r="O883" i="5"/>
  <c r="J883" i="4"/>
  <c r="D883" i="6"/>
  <c r="C529" i="4"/>
  <c r="D528" i="4"/>
  <c r="E985" i="6"/>
  <c r="F985" i="6"/>
  <c r="M378" i="5"/>
  <c r="Q377" i="5"/>
  <c r="W377" i="5"/>
  <c r="X377" i="5"/>
  <c r="E745" i="6"/>
  <c r="F745" i="6"/>
  <c r="Q1097" i="5"/>
  <c r="W1097" i="5"/>
  <c r="X1097" i="5"/>
  <c r="M1098" i="5"/>
  <c r="G407" i="4"/>
  <c r="H406" i="4"/>
  <c r="J978" i="6"/>
  <c r="K978" i="6"/>
  <c r="O977" i="6"/>
  <c r="U977" i="6"/>
  <c r="V977" i="6"/>
  <c r="M738" i="5"/>
  <c r="Q737" i="5"/>
  <c r="W737" i="5"/>
  <c r="X737" i="5"/>
  <c r="J286" i="4"/>
  <c r="D286" i="6"/>
  <c r="I286" i="4"/>
  <c r="O286" i="5"/>
  <c r="C287" i="4"/>
  <c r="D286" i="4"/>
  <c r="M258" i="5"/>
  <c r="Q257" i="5"/>
  <c r="W257" i="5"/>
  <c r="X257" i="5"/>
  <c r="Q617" i="5"/>
  <c r="W617" i="5"/>
  <c r="X617" i="5"/>
  <c r="M618" i="5"/>
  <c r="G168" i="4"/>
  <c r="H167" i="4"/>
  <c r="E145" i="6"/>
  <c r="F145" i="6"/>
  <c r="I405" i="4"/>
  <c r="O405" i="5"/>
  <c r="J405" i="4"/>
  <c r="D405" i="6"/>
  <c r="C808" i="4"/>
  <c r="D807" i="4"/>
  <c r="J18" i="6"/>
  <c r="K18" i="6"/>
  <c r="O17" i="6"/>
  <c r="U17" i="6"/>
  <c r="V17" i="6"/>
  <c r="K978" i="5"/>
  <c r="S978" i="5"/>
  <c r="H1006" i="4"/>
  <c r="G1007" i="4"/>
  <c r="S258" i="5"/>
  <c r="K258" i="5"/>
  <c r="M138" i="5"/>
  <c r="Q137" i="5"/>
  <c r="W137" i="5"/>
  <c r="X137" i="5"/>
  <c r="J138" i="6"/>
  <c r="K138" i="6"/>
  <c r="O137" i="6"/>
  <c r="U137" i="6"/>
  <c r="V137" i="6"/>
  <c r="E625" i="6"/>
  <c r="F625" i="6"/>
  <c r="I805" i="4"/>
  <c r="O805" i="5"/>
  <c r="J805" i="4"/>
  <c r="D805" i="6"/>
  <c r="S378" i="5"/>
  <c r="K378" i="5"/>
  <c r="S618" i="5"/>
  <c r="K618" i="5"/>
  <c r="O617" i="6"/>
  <c r="U617" i="6"/>
  <c r="V617" i="6"/>
  <c r="J618" i="6"/>
  <c r="K618" i="6"/>
  <c r="G807" i="4"/>
  <c r="H806" i="4"/>
  <c r="K738" i="5"/>
  <c r="S738" i="5"/>
  <c r="E865" i="6"/>
  <c r="F865" i="6"/>
  <c r="I645" i="4"/>
  <c r="O645" i="5"/>
  <c r="J645" i="4"/>
  <c r="D645" i="6"/>
  <c r="G48" i="4"/>
  <c r="H47" i="4"/>
  <c r="S858" i="5"/>
  <c r="K858" i="5"/>
  <c r="C647" i="4"/>
  <c r="D646" i="4"/>
  <c r="J526" i="4"/>
  <c r="D526" i="6"/>
  <c r="I526" i="4"/>
  <c r="O526" i="5"/>
  <c r="E505" i="6"/>
  <c r="F505" i="6"/>
  <c r="E265" i="6"/>
  <c r="F265" i="6"/>
  <c r="I1005" i="4"/>
  <c r="O1005" i="5"/>
  <c r="J1005" i="4"/>
  <c r="D1005" i="6"/>
  <c r="G408" i="4"/>
  <c r="H407" i="4"/>
  <c r="G625" i="6"/>
  <c r="P625" i="6"/>
  <c r="H1007" i="4"/>
  <c r="G1008" i="4"/>
  <c r="C809" i="4"/>
  <c r="D808" i="4"/>
  <c r="J406" i="4"/>
  <c r="D406" i="6"/>
  <c r="I406" i="4"/>
  <c r="O406" i="5"/>
  <c r="Q258" i="6"/>
  <c r="L258" i="6"/>
  <c r="M258" i="6"/>
  <c r="G529" i="4"/>
  <c r="H528" i="4"/>
  <c r="L738" i="6"/>
  <c r="M738" i="6"/>
  <c r="Q738" i="6"/>
  <c r="D1006" i="4"/>
  <c r="C1007" i="4"/>
  <c r="I527" i="4"/>
  <c r="O527" i="5"/>
  <c r="J527" i="4"/>
  <c r="D527" i="6"/>
  <c r="C648" i="4"/>
  <c r="D647" i="4"/>
  <c r="P985" i="6"/>
  <c r="G985" i="6"/>
  <c r="G499" i="5"/>
  <c r="H499" i="5"/>
  <c r="L498" i="5"/>
  <c r="N498" i="5"/>
  <c r="G139" i="5"/>
  <c r="H139" i="5"/>
  <c r="L138" i="5"/>
  <c r="N138" i="5"/>
  <c r="Q498" i="6"/>
  <c r="L498" i="6"/>
  <c r="M498" i="6"/>
  <c r="J646" i="4"/>
  <c r="D646" i="6"/>
  <c r="I646" i="4"/>
  <c r="O646" i="5"/>
  <c r="G1099" i="5"/>
  <c r="H1099" i="5"/>
  <c r="L1098" i="5"/>
  <c r="N1098" i="5"/>
  <c r="D886" i="4"/>
  <c r="C887" i="4"/>
  <c r="J1006" i="4"/>
  <c r="D1006" i="6"/>
  <c r="I1006" i="4"/>
  <c r="O1006" i="5"/>
  <c r="L1098" i="6"/>
  <c r="M1098" i="6"/>
  <c r="Q1098" i="6"/>
  <c r="G379" i="5"/>
  <c r="H379" i="5"/>
  <c r="L378" i="5"/>
  <c r="N378" i="5"/>
  <c r="D1125" i="4"/>
  <c r="C1126" i="4"/>
  <c r="G648" i="4"/>
  <c r="H647" i="4"/>
  <c r="G19" i="5"/>
  <c r="H19" i="5"/>
  <c r="L18" i="5"/>
  <c r="N18" i="5"/>
  <c r="L858" i="5"/>
  <c r="N858" i="5"/>
  <c r="G859" i="5"/>
  <c r="H859" i="5"/>
  <c r="Q138" i="6"/>
  <c r="L138" i="6"/>
  <c r="M138" i="6"/>
  <c r="G145" i="6"/>
  <c r="P145" i="6"/>
  <c r="P265" i="6"/>
  <c r="G265" i="6"/>
  <c r="L738" i="5"/>
  <c r="N738" i="5"/>
  <c r="G739" i="5"/>
  <c r="H739" i="5"/>
  <c r="G979" i="5"/>
  <c r="H979" i="5"/>
  <c r="L978" i="5"/>
  <c r="N978" i="5"/>
  <c r="D529" i="4"/>
  <c r="C530" i="4"/>
  <c r="J287" i="4"/>
  <c r="D287" i="6"/>
  <c r="I287" i="4"/>
  <c r="O287" i="5"/>
  <c r="D167" i="4"/>
  <c r="C168" i="4"/>
  <c r="G865" i="6"/>
  <c r="P865" i="6"/>
  <c r="J47" i="4"/>
  <c r="D47" i="6"/>
  <c r="I47" i="4"/>
  <c r="O47" i="5"/>
  <c r="J167" i="4"/>
  <c r="D167" i="6"/>
  <c r="I167" i="4"/>
  <c r="O167" i="5"/>
  <c r="H288" i="4"/>
  <c r="G289" i="4"/>
  <c r="C408" i="4"/>
  <c r="D407" i="4"/>
  <c r="L18" i="6"/>
  <c r="M18" i="6"/>
  <c r="Q18" i="6"/>
  <c r="D287" i="4"/>
  <c r="C288" i="4"/>
  <c r="L978" i="6"/>
  <c r="M978" i="6"/>
  <c r="Q978" i="6"/>
  <c r="G1126" i="4"/>
  <c r="H1125" i="4"/>
  <c r="H885" i="4"/>
  <c r="G886" i="4"/>
  <c r="Q378" i="6"/>
  <c r="L378" i="6"/>
  <c r="M378" i="6"/>
  <c r="P385" i="6"/>
  <c r="G385" i="6"/>
  <c r="L618" i="5"/>
  <c r="N618" i="5"/>
  <c r="G619" i="5"/>
  <c r="H619" i="5"/>
  <c r="G25" i="6"/>
  <c r="P25" i="6"/>
  <c r="J806" i="4"/>
  <c r="D806" i="6"/>
  <c r="I806" i="4"/>
  <c r="O806" i="5"/>
  <c r="P745" i="6"/>
  <c r="G745" i="6"/>
  <c r="G1105" i="6"/>
  <c r="P1105" i="6"/>
  <c r="G505" i="6"/>
  <c r="P505" i="6"/>
  <c r="H48" i="4"/>
  <c r="G49" i="4"/>
  <c r="G808" i="4"/>
  <c r="H807" i="4"/>
  <c r="L258" i="5"/>
  <c r="N258" i="5"/>
  <c r="G259" i="5"/>
  <c r="H259" i="5"/>
  <c r="H168" i="4"/>
  <c r="G169" i="4"/>
  <c r="Q618" i="6"/>
  <c r="L618" i="6"/>
  <c r="M618" i="6"/>
  <c r="Q858" i="6"/>
  <c r="L858" i="6"/>
  <c r="M858" i="6"/>
  <c r="I1124" i="4"/>
  <c r="O1124" i="5"/>
  <c r="J1124" i="4"/>
  <c r="D1124" i="6"/>
  <c r="J884" i="4"/>
  <c r="D884" i="6"/>
  <c r="I884" i="4"/>
  <c r="O884" i="5"/>
  <c r="D47" i="4"/>
  <c r="C48" i="4"/>
  <c r="T858" i="5"/>
  <c r="U858" i="5"/>
  <c r="P858" i="5"/>
  <c r="I499" i="5"/>
  <c r="J499" i="5"/>
  <c r="R499" i="5"/>
  <c r="C49" i="4"/>
  <c r="D48" i="4"/>
  <c r="G50" i="4"/>
  <c r="H49" i="4"/>
  <c r="N378" i="6"/>
  <c r="R378" i="6"/>
  <c r="S378" i="6"/>
  <c r="C289" i="4"/>
  <c r="D288" i="4"/>
  <c r="E266" i="6"/>
  <c r="F266" i="6"/>
  <c r="P18" i="5"/>
  <c r="T18" i="5"/>
  <c r="U18" i="5"/>
  <c r="E986" i="6"/>
  <c r="F986" i="6"/>
  <c r="J48" i="4"/>
  <c r="D48" i="6"/>
  <c r="I48" i="4"/>
  <c r="O48" i="5"/>
  <c r="R19" i="5"/>
  <c r="I19" i="5"/>
  <c r="J19" i="5"/>
  <c r="R1098" i="6"/>
  <c r="S1098" i="6"/>
  <c r="N1098" i="6"/>
  <c r="R738" i="6"/>
  <c r="S738" i="6"/>
  <c r="N738" i="6"/>
  <c r="C810" i="4"/>
  <c r="D809" i="4"/>
  <c r="N978" i="6"/>
  <c r="R978" i="6"/>
  <c r="I1099" i="5"/>
  <c r="J1099" i="5"/>
  <c r="R1099" i="5"/>
  <c r="N618" i="6"/>
  <c r="R618" i="6"/>
  <c r="C531" i="4"/>
  <c r="D530" i="4"/>
  <c r="I647" i="4"/>
  <c r="O647" i="5"/>
  <c r="J647" i="4"/>
  <c r="D647" i="6"/>
  <c r="R498" i="6"/>
  <c r="N498" i="6"/>
  <c r="J528" i="4"/>
  <c r="D528" i="6"/>
  <c r="I528" i="4"/>
  <c r="O528" i="5"/>
  <c r="H1008" i="4"/>
  <c r="G1009" i="4"/>
  <c r="R379" i="5"/>
  <c r="I379" i="5"/>
  <c r="J379" i="5"/>
  <c r="S618" i="6"/>
  <c r="G170" i="4"/>
  <c r="H169" i="4"/>
  <c r="G887" i="4"/>
  <c r="H886" i="4"/>
  <c r="J168" i="4"/>
  <c r="D168" i="6"/>
  <c r="I168" i="4"/>
  <c r="O168" i="5"/>
  <c r="E506" i="6"/>
  <c r="F506" i="6"/>
  <c r="E26" i="6"/>
  <c r="F26" i="6"/>
  <c r="I885" i="4"/>
  <c r="O885" i="5"/>
  <c r="J885" i="4"/>
  <c r="D885" i="6"/>
  <c r="N18" i="6"/>
  <c r="R18" i="6"/>
  <c r="S18" i="6"/>
  <c r="E146" i="6"/>
  <c r="F146" i="6"/>
  <c r="G649" i="4"/>
  <c r="H648" i="4"/>
  <c r="S498" i="6"/>
  <c r="C649" i="4"/>
  <c r="D648" i="4"/>
  <c r="H529" i="4"/>
  <c r="G530" i="4"/>
  <c r="I1007" i="4"/>
  <c r="O1007" i="5"/>
  <c r="J1007" i="4"/>
  <c r="D1007" i="6"/>
  <c r="G809" i="4"/>
  <c r="H808" i="4"/>
  <c r="T738" i="5"/>
  <c r="U738" i="5"/>
  <c r="P738" i="5"/>
  <c r="G409" i="4"/>
  <c r="H408" i="4"/>
  <c r="R259" i="5"/>
  <c r="I259" i="5"/>
  <c r="J259" i="5"/>
  <c r="R619" i="5"/>
  <c r="I619" i="5"/>
  <c r="J619" i="5"/>
  <c r="I1125" i="4"/>
  <c r="O1125" i="5"/>
  <c r="J1125" i="4"/>
  <c r="D1125" i="6"/>
  <c r="P978" i="5"/>
  <c r="T978" i="5"/>
  <c r="U978" i="5"/>
  <c r="N138" i="6"/>
  <c r="R138" i="6"/>
  <c r="C1127" i="4"/>
  <c r="D1126" i="4"/>
  <c r="C888" i="4"/>
  <c r="D887" i="4"/>
  <c r="P138" i="5"/>
  <c r="T138" i="5"/>
  <c r="U138" i="5"/>
  <c r="N258" i="6"/>
  <c r="R258" i="6"/>
  <c r="S258" i="6"/>
  <c r="E626" i="6"/>
  <c r="F626" i="6"/>
  <c r="J288" i="4"/>
  <c r="D288" i="6"/>
  <c r="I288" i="4"/>
  <c r="O288" i="5"/>
  <c r="P258" i="5"/>
  <c r="T258" i="5"/>
  <c r="U258" i="5"/>
  <c r="E1106" i="6"/>
  <c r="F1106" i="6"/>
  <c r="T618" i="5"/>
  <c r="U618" i="5"/>
  <c r="P618" i="5"/>
  <c r="H1126" i="4"/>
  <c r="G1127" i="4"/>
  <c r="C409" i="4"/>
  <c r="D408" i="4"/>
  <c r="E866" i="6"/>
  <c r="F866" i="6"/>
  <c r="I979" i="5"/>
  <c r="J979" i="5"/>
  <c r="R979" i="5"/>
  <c r="S138" i="6"/>
  <c r="I139" i="5"/>
  <c r="J139" i="5"/>
  <c r="R139" i="5"/>
  <c r="R858" i="6"/>
  <c r="S858" i="6"/>
  <c r="N858" i="6"/>
  <c r="I807" i="4"/>
  <c r="O807" i="5"/>
  <c r="J807" i="4"/>
  <c r="D807" i="6"/>
  <c r="E746" i="6"/>
  <c r="F746" i="6"/>
  <c r="E386" i="6"/>
  <c r="F386" i="6"/>
  <c r="S978" i="6"/>
  <c r="G290" i="4"/>
  <c r="H289" i="4"/>
  <c r="C169" i="4"/>
  <c r="D168" i="4"/>
  <c r="R739" i="5"/>
  <c r="I739" i="5"/>
  <c r="J739" i="5"/>
  <c r="I859" i="5"/>
  <c r="J859" i="5"/>
  <c r="R859" i="5"/>
  <c r="T378" i="5"/>
  <c r="U378" i="5"/>
  <c r="P378" i="5"/>
  <c r="P1098" i="5"/>
  <c r="T1098" i="5"/>
  <c r="U1098" i="5"/>
  <c r="P498" i="5"/>
  <c r="T498" i="5"/>
  <c r="U498" i="5"/>
  <c r="C1008" i="4"/>
  <c r="D1007" i="4"/>
  <c r="J407" i="4"/>
  <c r="D407" i="6"/>
  <c r="I407" i="4"/>
  <c r="O407" i="5"/>
  <c r="O618" i="6"/>
  <c r="U618" i="6"/>
  <c r="V618" i="6"/>
  <c r="J619" i="6"/>
  <c r="K619" i="6"/>
  <c r="D1127" i="4"/>
  <c r="C1128" i="4"/>
  <c r="M739" i="5"/>
  <c r="Q738" i="5"/>
  <c r="W738" i="5"/>
  <c r="X738" i="5"/>
  <c r="O18" i="6"/>
  <c r="U18" i="6"/>
  <c r="V18" i="6"/>
  <c r="J19" i="6"/>
  <c r="K19" i="6"/>
  <c r="C650" i="4"/>
  <c r="D649" i="4"/>
  <c r="J886" i="4"/>
  <c r="D886" i="6"/>
  <c r="I886" i="4"/>
  <c r="O886" i="5"/>
  <c r="H1009" i="4"/>
  <c r="G1010" i="4"/>
  <c r="S1099" i="5"/>
  <c r="K1099" i="5"/>
  <c r="J1099" i="6"/>
  <c r="K1099" i="6"/>
  <c r="O1098" i="6"/>
  <c r="U1098" i="6"/>
  <c r="V1098" i="6"/>
  <c r="P266" i="6"/>
  <c r="G266" i="6"/>
  <c r="D49" i="4"/>
  <c r="C50" i="4"/>
  <c r="J859" i="6"/>
  <c r="K859" i="6"/>
  <c r="O858" i="6"/>
  <c r="U858" i="6"/>
  <c r="V858" i="6"/>
  <c r="D1008" i="4"/>
  <c r="C1009" i="4"/>
  <c r="S859" i="5"/>
  <c r="K859" i="5"/>
  <c r="C410" i="4"/>
  <c r="D409" i="4"/>
  <c r="M259" i="5"/>
  <c r="Q258" i="5"/>
  <c r="W258" i="5"/>
  <c r="X258" i="5"/>
  <c r="J259" i="6"/>
  <c r="K259" i="6"/>
  <c r="O258" i="6"/>
  <c r="U258" i="6"/>
  <c r="V258" i="6"/>
  <c r="J139" i="6"/>
  <c r="K139" i="6"/>
  <c r="O138" i="6"/>
  <c r="U138" i="6"/>
  <c r="V138" i="6"/>
  <c r="J808" i="4"/>
  <c r="D808" i="6"/>
  <c r="I808" i="4"/>
  <c r="O808" i="5"/>
  <c r="H887" i="4"/>
  <c r="G888" i="4"/>
  <c r="I1008" i="4"/>
  <c r="O1008" i="5"/>
  <c r="J1008" i="4"/>
  <c r="D1008" i="6"/>
  <c r="J289" i="4"/>
  <c r="D289" i="6"/>
  <c r="I289" i="4"/>
  <c r="O289" i="5"/>
  <c r="G410" i="4"/>
  <c r="H409" i="4"/>
  <c r="K619" i="5"/>
  <c r="S619" i="5"/>
  <c r="S139" i="5"/>
  <c r="K139" i="5"/>
  <c r="K259" i="5"/>
  <c r="S259" i="5"/>
  <c r="G810" i="4"/>
  <c r="H809" i="4"/>
  <c r="J648" i="4"/>
  <c r="D648" i="6"/>
  <c r="I648" i="4"/>
  <c r="O648" i="5"/>
  <c r="J169" i="4"/>
  <c r="D169" i="6"/>
  <c r="I169" i="4"/>
  <c r="O169" i="5"/>
  <c r="D531" i="4"/>
  <c r="C532" i="4"/>
  <c r="O978" i="6"/>
  <c r="U978" i="6"/>
  <c r="V978" i="6"/>
  <c r="J979" i="6"/>
  <c r="K979" i="6"/>
  <c r="S19" i="5"/>
  <c r="K19" i="5"/>
  <c r="G986" i="6"/>
  <c r="P986" i="6"/>
  <c r="D289" i="4"/>
  <c r="C290" i="4"/>
  <c r="S499" i="5"/>
  <c r="K499" i="5"/>
  <c r="M19" i="5"/>
  <c r="Q18" i="5"/>
  <c r="W18" i="5"/>
  <c r="X18" i="5"/>
  <c r="H290" i="4"/>
  <c r="G291" i="4"/>
  <c r="S739" i="5"/>
  <c r="K739" i="5"/>
  <c r="G1128" i="4"/>
  <c r="H1127" i="4"/>
  <c r="G746" i="6"/>
  <c r="P746" i="6"/>
  <c r="J1126" i="4"/>
  <c r="D1126" i="6"/>
  <c r="I1126" i="4"/>
  <c r="O1126" i="5"/>
  <c r="M139" i="5"/>
  <c r="Q138" i="5"/>
  <c r="W138" i="5"/>
  <c r="X138" i="5"/>
  <c r="Q978" i="5"/>
  <c r="W978" i="5"/>
  <c r="X978" i="5"/>
  <c r="M979" i="5"/>
  <c r="G650" i="4"/>
  <c r="H649" i="4"/>
  <c r="P26" i="6"/>
  <c r="G26" i="6"/>
  <c r="H170" i="4"/>
  <c r="G171" i="4"/>
  <c r="M859" i="5"/>
  <c r="Q858" i="5"/>
  <c r="W858" i="5"/>
  <c r="X858" i="5"/>
  <c r="M379" i="5"/>
  <c r="Q378" i="5"/>
  <c r="W378" i="5"/>
  <c r="X378" i="5"/>
  <c r="I529" i="4"/>
  <c r="O529" i="5"/>
  <c r="J529" i="4"/>
  <c r="D529" i="6"/>
  <c r="P866" i="6"/>
  <c r="G866" i="6"/>
  <c r="Q618" i="5"/>
  <c r="W618" i="5"/>
  <c r="X618" i="5"/>
  <c r="M619" i="5"/>
  <c r="P506" i="6"/>
  <c r="G506" i="6"/>
  <c r="J499" i="6"/>
  <c r="K499" i="6"/>
  <c r="O498" i="6"/>
  <c r="U498" i="6"/>
  <c r="V498" i="6"/>
  <c r="C811" i="4"/>
  <c r="D810" i="4"/>
  <c r="J379" i="6"/>
  <c r="K379" i="6"/>
  <c r="O378" i="6"/>
  <c r="U378" i="6"/>
  <c r="V378" i="6"/>
  <c r="H50" i="4"/>
  <c r="G51" i="4"/>
  <c r="G1106" i="6"/>
  <c r="P1106" i="6"/>
  <c r="P386" i="6"/>
  <c r="G386" i="6"/>
  <c r="M499" i="5"/>
  <c r="Q498" i="5"/>
  <c r="W498" i="5"/>
  <c r="X498" i="5"/>
  <c r="Q1098" i="5"/>
  <c r="W1098" i="5"/>
  <c r="X1098" i="5"/>
  <c r="M1099" i="5"/>
  <c r="D169" i="4"/>
  <c r="C170" i="4"/>
  <c r="S979" i="5"/>
  <c r="K979" i="5"/>
  <c r="G626" i="6"/>
  <c r="P626" i="6"/>
  <c r="D888" i="4"/>
  <c r="C889" i="4"/>
  <c r="J408" i="4"/>
  <c r="D408" i="6"/>
  <c r="I408" i="4"/>
  <c r="O408" i="5"/>
  <c r="G531" i="4"/>
  <c r="H530" i="4"/>
  <c r="P146" i="6"/>
  <c r="G146" i="6"/>
  <c r="K379" i="5"/>
  <c r="S379" i="5"/>
  <c r="O738" i="6"/>
  <c r="U738" i="6"/>
  <c r="V738" i="6"/>
  <c r="J739" i="6"/>
  <c r="K739" i="6"/>
  <c r="J49" i="4"/>
  <c r="D49" i="6"/>
  <c r="I49" i="4"/>
  <c r="O49" i="5"/>
  <c r="C411" i="4"/>
  <c r="D410" i="4"/>
  <c r="E147" i="6"/>
  <c r="F147" i="6"/>
  <c r="G292" i="4"/>
  <c r="H291" i="4"/>
  <c r="G1011" i="4"/>
  <c r="H1010" i="4"/>
  <c r="E627" i="6"/>
  <c r="F627" i="6"/>
  <c r="Q379" i="6"/>
  <c r="L379" i="6"/>
  <c r="M379" i="6"/>
  <c r="J530" i="4"/>
  <c r="D530" i="6"/>
  <c r="I530" i="4"/>
  <c r="O530" i="5"/>
  <c r="G651" i="4"/>
  <c r="H650" i="4"/>
  <c r="L139" i="6"/>
  <c r="M139" i="6"/>
  <c r="Q139" i="6"/>
  <c r="L859" i="5"/>
  <c r="N859" i="5"/>
  <c r="G860" i="5"/>
  <c r="H860" i="5"/>
  <c r="E267" i="6"/>
  <c r="F267" i="6"/>
  <c r="G532" i="4"/>
  <c r="H531" i="4"/>
  <c r="C812" i="4"/>
  <c r="D811" i="4"/>
  <c r="E747" i="6"/>
  <c r="F747" i="6"/>
  <c r="I1009" i="4"/>
  <c r="O1009" i="5"/>
  <c r="J1009" i="4"/>
  <c r="D1009" i="6"/>
  <c r="G20" i="5"/>
  <c r="H20" i="5"/>
  <c r="L19" i="5"/>
  <c r="N19" i="5"/>
  <c r="L739" i="6"/>
  <c r="M739" i="6"/>
  <c r="Q739" i="6"/>
  <c r="C171" i="4"/>
  <c r="D170" i="4"/>
  <c r="E867" i="6"/>
  <c r="F867" i="6"/>
  <c r="J1127" i="4"/>
  <c r="D1127" i="6"/>
  <c r="I1127" i="4"/>
  <c r="O1127" i="5"/>
  <c r="I809" i="4"/>
  <c r="O809" i="5"/>
  <c r="J809" i="4"/>
  <c r="D809" i="6"/>
  <c r="Q259" i="6"/>
  <c r="L259" i="6"/>
  <c r="M259" i="6"/>
  <c r="D1009" i="4"/>
  <c r="C1010" i="4"/>
  <c r="C1129" i="4"/>
  <c r="D1128" i="4"/>
  <c r="E1107" i="6"/>
  <c r="F1107" i="6"/>
  <c r="Q499" i="6"/>
  <c r="L499" i="6"/>
  <c r="M499" i="6"/>
  <c r="G172" i="4"/>
  <c r="H171" i="4"/>
  <c r="H1128" i="4"/>
  <c r="G1129" i="4"/>
  <c r="G811" i="4"/>
  <c r="H810" i="4"/>
  <c r="G889" i="4"/>
  <c r="H888" i="4"/>
  <c r="L1099" i="6"/>
  <c r="M1099" i="6"/>
  <c r="Q1099" i="6"/>
  <c r="C651" i="4"/>
  <c r="D650" i="4"/>
  <c r="C51" i="4"/>
  <c r="D50" i="4"/>
  <c r="I649" i="4"/>
  <c r="O649" i="5"/>
  <c r="J649" i="4"/>
  <c r="D649" i="6"/>
  <c r="J290" i="4"/>
  <c r="D290" i="6"/>
  <c r="I290" i="4"/>
  <c r="O290" i="5"/>
  <c r="E387" i="6"/>
  <c r="F387" i="6"/>
  <c r="G500" i="5"/>
  <c r="H500" i="5"/>
  <c r="L499" i="5"/>
  <c r="N499" i="5"/>
  <c r="C890" i="4"/>
  <c r="D889" i="4"/>
  <c r="E507" i="6"/>
  <c r="F507" i="6"/>
  <c r="J170" i="4"/>
  <c r="D170" i="6"/>
  <c r="I170" i="4"/>
  <c r="O170" i="5"/>
  <c r="L739" i="5"/>
  <c r="N739" i="5"/>
  <c r="G740" i="5"/>
  <c r="H740" i="5"/>
  <c r="C291" i="4"/>
  <c r="D290" i="4"/>
  <c r="C533" i="4"/>
  <c r="D532" i="4"/>
  <c r="J409" i="4"/>
  <c r="D409" i="6"/>
  <c r="I409" i="4"/>
  <c r="O409" i="5"/>
  <c r="I887" i="4"/>
  <c r="O887" i="5"/>
  <c r="J887" i="4"/>
  <c r="D887" i="6"/>
  <c r="G1100" i="5"/>
  <c r="H1100" i="5"/>
  <c r="L1099" i="5"/>
  <c r="N1099" i="5"/>
  <c r="Q619" i="6"/>
  <c r="L619" i="6"/>
  <c r="M619" i="6"/>
  <c r="G140" i="5"/>
  <c r="H140" i="5"/>
  <c r="L139" i="5"/>
  <c r="N139" i="5"/>
  <c r="L19" i="6"/>
  <c r="M19" i="6"/>
  <c r="Q19" i="6"/>
  <c r="E987" i="6"/>
  <c r="F987" i="6"/>
  <c r="G980" i="5"/>
  <c r="H980" i="5"/>
  <c r="L979" i="5"/>
  <c r="N979" i="5"/>
  <c r="L979" i="6"/>
  <c r="M979" i="6"/>
  <c r="Q979" i="6"/>
  <c r="L619" i="5"/>
  <c r="N619" i="5"/>
  <c r="G620" i="5"/>
  <c r="H620" i="5"/>
  <c r="G52" i="4"/>
  <c r="H51" i="4"/>
  <c r="G380" i="5"/>
  <c r="H380" i="5"/>
  <c r="L379" i="5"/>
  <c r="N379" i="5"/>
  <c r="J50" i="4"/>
  <c r="D50" i="6"/>
  <c r="I50" i="4"/>
  <c r="O50" i="5"/>
  <c r="E27" i="6"/>
  <c r="F27" i="6"/>
  <c r="G260" i="5"/>
  <c r="H260" i="5"/>
  <c r="L259" i="5"/>
  <c r="N259" i="5"/>
  <c r="G411" i="4"/>
  <c r="H410" i="4"/>
  <c r="L859" i="6"/>
  <c r="M859" i="6"/>
  <c r="Q859" i="6"/>
  <c r="P747" i="6"/>
  <c r="G747" i="6"/>
  <c r="R260" i="5"/>
  <c r="I260" i="5"/>
  <c r="J260" i="5"/>
  <c r="G1130" i="4"/>
  <c r="H1129" i="4"/>
  <c r="S739" i="6"/>
  <c r="I980" i="5"/>
  <c r="J980" i="5"/>
  <c r="R980" i="5"/>
  <c r="C652" i="4"/>
  <c r="D651" i="4"/>
  <c r="T859" i="5"/>
  <c r="U859" i="5"/>
  <c r="P859" i="5"/>
  <c r="P27" i="6"/>
  <c r="G27" i="6"/>
  <c r="P507" i="6"/>
  <c r="G507" i="6"/>
  <c r="S1099" i="6"/>
  <c r="C813" i="4"/>
  <c r="D812" i="4"/>
  <c r="T619" i="5"/>
  <c r="U619" i="5"/>
  <c r="P619" i="5"/>
  <c r="P987" i="6"/>
  <c r="G987" i="6"/>
  <c r="P1099" i="5"/>
  <c r="T1099" i="5"/>
  <c r="U1099" i="5"/>
  <c r="N1099" i="6"/>
  <c r="R1099" i="6"/>
  <c r="H172" i="4"/>
  <c r="G173" i="4"/>
  <c r="D1129" i="4"/>
  <c r="C1130" i="4"/>
  <c r="R20" i="5"/>
  <c r="I20" i="5"/>
  <c r="J20" i="5"/>
  <c r="R139" i="6"/>
  <c r="N139" i="6"/>
  <c r="P627" i="6"/>
  <c r="G627" i="6"/>
  <c r="C412" i="4"/>
  <c r="D411" i="4"/>
  <c r="J51" i="4"/>
  <c r="D51" i="6"/>
  <c r="I51" i="4"/>
  <c r="O51" i="5"/>
  <c r="P387" i="6"/>
  <c r="G387" i="6"/>
  <c r="G1107" i="6"/>
  <c r="P1107" i="6"/>
  <c r="I860" i="5"/>
  <c r="J860" i="5"/>
  <c r="R860" i="5"/>
  <c r="H52" i="4"/>
  <c r="G53" i="4"/>
  <c r="N739" i="6"/>
  <c r="R739" i="6"/>
  <c r="I620" i="5"/>
  <c r="J620" i="5"/>
  <c r="R620" i="5"/>
  <c r="C534" i="4"/>
  <c r="D533" i="4"/>
  <c r="J171" i="4"/>
  <c r="D171" i="6"/>
  <c r="I171" i="4"/>
  <c r="O171" i="5"/>
  <c r="P19" i="5"/>
  <c r="T19" i="5"/>
  <c r="U19" i="5"/>
  <c r="S139" i="6"/>
  <c r="S859" i="6"/>
  <c r="R859" i="6"/>
  <c r="N859" i="6"/>
  <c r="S19" i="6"/>
  <c r="I1100" i="5"/>
  <c r="J1100" i="5"/>
  <c r="R1100" i="5"/>
  <c r="D291" i="4"/>
  <c r="C292" i="4"/>
  <c r="D890" i="4"/>
  <c r="C891" i="4"/>
  <c r="J888" i="4"/>
  <c r="D888" i="6"/>
  <c r="I888" i="4"/>
  <c r="O888" i="5"/>
  <c r="D1010" i="4"/>
  <c r="C1011" i="4"/>
  <c r="I531" i="4"/>
  <c r="O531" i="5"/>
  <c r="J531" i="4"/>
  <c r="D531" i="6"/>
  <c r="J650" i="4"/>
  <c r="D650" i="6"/>
  <c r="I650" i="4"/>
  <c r="O650" i="5"/>
  <c r="J1010" i="4"/>
  <c r="D1010" i="6"/>
  <c r="I1010" i="4"/>
  <c r="O1010" i="5"/>
  <c r="R740" i="5"/>
  <c r="I740" i="5"/>
  <c r="J740" i="5"/>
  <c r="P499" i="5"/>
  <c r="T499" i="5"/>
  <c r="U499" i="5"/>
  <c r="H889" i="4"/>
  <c r="G890" i="4"/>
  <c r="R499" i="6"/>
  <c r="N499" i="6"/>
  <c r="P867" i="6"/>
  <c r="G867" i="6"/>
  <c r="G533" i="4"/>
  <c r="H532" i="4"/>
  <c r="G652" i="4"/>
  <c r="H651" i="4"/>
  <c r="H1011" i="4"/>
  <c r="G1012" i="4"/>
  <c r="P979" i="5"/>
  <c r="T979" i="5"/>
  <c r="U979" i="5"/>
  <c r="R379" i="6"/>
  <c r="N379" i="6"/>
  <c r="J1128" i="4"/>
  <c r="D1128" i="6"/>
  <c r="I1128" i="4"/>
  <c r="O1128" i="5"/>
  <c r="P147" i="6"/>
  <c r="G147" i="6"/>
  <c r="J410" i="4"/>
  <c r="D410" i="6"/>
  <c r="I410" i="4"/>
  <c r="O410" i="5"/>
  <c r="N979" i="6"/>
  <c r="R979" i="6"/>
  <c r="S979" i="6"/>
  <c r="H411" i="4"/>
  <c r="G412" i="4"/>
  <c r="P379" i="5"/>
  <c r="T379" i="5"/>
  <c r="U379" i="5"/>
  <c r="P139" i="5"/>
  <c r="T139" i="5"/>
  <c r="U139" i="5"/>
  <c r="T739" i="5"/>
  <c r="U739" i="5"/>
  <c r="P739" i="5"/>
  <c r="I500" i="5"/>
  <c r="J500" i="5"/>
  <c r="R500" i="5"/>
  <c r="D51" i="4"/>
  <c r="C52" i="4"/>
  <c r="J810" i="4"/>
  <c r="D810" i="6"/>
  <c r="I810" i="4"/>
  <c r="O810" i="5"/>
  <c r="S499" i="6"/>
  <c r="R259" i="6"/>
  <c r="S259" i="6"/>
  <c r="N259" i="6"/>
  <c r="G267" i="6"/>
  <c r="P267" i="6"/>
  <c r="J291" i="4"/>
  <c r="D291" i="6"/>
  <c r="I291" i="4"/>
  <c r="O291" i="5"/>
  <c r="N619" i="6"/>
  <c r="R619" i="6"/>
  <c r="S619" i="6"/>
  <c r="S379" i="6"/>
  <c r="N19" i="6"/>
  <c r="R19" i="6"/>
  <c r="T259" i="5"/>
  <c r="U259" i="5"/>
  <c r="P259" i="5"/>
  <c r="I380" i="5"/>
  <c r="J380" i="5"/>
  <c r="R380" i="5"/>
  <c r="R140" i="5"/>
  <c r="I140" i="5"/>
  <c r="J140" i="5"/>
  <c r="G812" i="4"/>
  <c r="H811" i="4"/>
  <c r="D171" i="4"/>
  <c r="C172" i="4"/>
  <c r="H292" i="4"/>
  <c r="G293" i="4"/>
  <c r="S140" i="5"/>
  <c r="K140" i="5"/>
  <c r="J532" i="4"/>
  <c r="D532" i="6"/>
  <c r="I532" i="4"/>
  <c r="O532" i="5"/>
  <c r="E628" i="6"/>
  <c r="F628" i="6"/>
  <c r="G294" i="4"/>
  <c r="H293" i="4"/>
  <c r="J980" i="6"/>
  <c r="K980" i="6"/>
  <c r="O979" i="6"/>
  <c r="U979" i="6"/>
  <c r="V979" i="6"/>
  <c r="E148" i="6"/>
  <c r="F148" i="6"/>
  <c r="G1013" i="4"/>
  <c r="H1012" i="4"/>
  <c r="O499" i="6"/>
  <c r="U499" i="6"/>
  <c r="V499" i="6"/>
  <c r="J500" i="6"/>
  <c r="K500" i="6"/>
  <c r="G54" i="4"/>
  <c r="H53" i="4"/>
  <c r="G813" i="4"/>
  <c r="H812" i="4"/>
  <c r="J20" i="6"/>
  <c r="K20" i="6"/>
  <c r="O19" i="6"/>
  <c r="U19" i="6"/>
  <c r="V19" i="6"/>
  <c r="J260" i="6"/>
  <c r="K260" i="6"/>
  <c r="O259" i="6"/>
  <c r="U259" i="6"/>
  <c r="V259" i="6"/>
  <c r="S500" i="5"/>
  <c r="K500" i="5"/>
  <c r="J411" i="4"/>
  <c r="D411" i="6"/>
  <c r="I411" i="4"/>
  <c r="O411" i="5"/>
  <c r="G653" i="4"/>
  <c r="H652" i="4"/>
  <c r="I889" i="4"/>
  <c r="O889" i="5"/>
  <c r="J889" i="4"/>
  <c r="D889" i="6"/>
  <c r="C535" i="4"/>
  <c r="D534" i="4"/>
  <c r="S860" i="5"/>
  <c r="K860" i="5"/>
  <c r="C413" i="4"/>
  <c r="D412" i="4"/>
  <c r="S980" i="5"/>
  <c r="K980" i="5"/>
  <c r="M740" i="5"/>
  <c r="Q739" i="5"/>
  <c r="W739" i="5"/>
  <c r="X739" i="5"/>
  <c r="E28" i="6"/>
  <c r="F28" i="6"/>
  <c r="G534" i="4"/>
  <c r="H533" i="4"/>
  <c r="K620" i="5"/>
  <c r="S620" i="5"/>
  <c r="E1108" i="6"/>
  <c r="F1108" i="6"/>
  <c r="J172" i="4"/>
  <c r="D172" i="6"/>
  <c r="I172" i="4"/>
  <c r="O172" i="5"/>
  <c r="J1129" i="4"/>
  <c r="D1129" i="6"/>
  <c r="I1129" i="4"/>
  <c r="O1129" i="5"/>
  <c r="J292" i="4"/>
  <c r="D292" i="6"/>
  <c r="I292" i="4"/>
  <c r="O292" i="5"/>
  <c r="J620" i="6"/>
  <c r="K620" i="6"/>
  <c r="O619" i="6"/>
  <c r="U619" i="6"/>
  <c r="V619" i="6"/>
  <c r="E868" i="6"/>
  <c r="F868" i="6"/>
  <c r="K740" i="5"/>
  <c r="S740" i="5"/>
  <c r="C1012" i="4"/>
  <c r="D1011" i="4"/>
  <c r="E388" i="6"/>
  <c r="F388" i="6"/>
  <c r="J140" i="6"/>
  <c r="K140" i="6"/>
  <c r="O139" i="6"/>
  <c r="U139" i="6"/>
  <c r="V139" i="6"/>
  <c r="M860" i="5"/>
  <c r="Q859" i="5"/>
  <c r="W859" i="5"/>
  <c r="X859" i="5"/>
  <c r="H1130" i="4"/>
  <c r="G1131" i="4"/>
  <c r="C293" i="4"/>
  <c r="D292" i="4"/>
  <c r="C173" i="4"/>
  <c r="D172" i="4"/>
  <c r="K380" i="5"/>
  <c r="S380" i="5"/>
  <c r="M140" i="5"/>
  <c r="Q139" i="5"/>
  <c r="W139" i="5"/>
  <c r="X139" i="5"/>
  <c r="Q979" i="5"/>
  <c r="W979" i="5"/>
  <c r="X979" i="5"/>
  <c r="M980" i="5"/>
  <c r="K1100" i="5"/>
  <c r="S1100" i="5"/>
  <c r="M20" i="5"/>
  <c r="Q19" i="5"/>
  <c r="W19" i="5"/>
  <c r="X19" i="5"/>
  <c r="J740" i="6"/>
  <c r="K740" i="6"/>
  <c r="O739" i="6"/>
  <c r="U739" i="6"/>
  <c r="V739" i="6"/>
  <c r="O1099" i="6"/>
  <c r="U1099" i="6"/>
  <c r="V1099" i="6"/>
  <c r="J1100" i="6"/>
  <c r="K1100" i="6"/>
  <c r="C814" i="4"/>
  <c r="D813" i="4"/>
  <c r="K260" i="5"/>
  <c r="S260" i="5"/>
  <c r="G174" i="4"/>
  <c r="H173" i="4"/>
  <c r="M500" i="5"/>
  <c r="Q499" i="5"/>
  <c r="W499" i="5"/>
  <c r="X499" i="5"/>
  <c r="C53" i="4"/>
  <c r="D52" i="4"/>
  <c r="M380" i="5"/>
  <c r="Q379" i="5"/>
  <c r="W379" i="5"/>
  <c r="X379" i="5"/>
  <c r="I1011" i="4"/>
  <c r="O1011" i="5"/>
  <c r="J1011" i="4"/>
  <c r="D1011" i="6"/>
  <c r="J52" i="4"/>
  <c r="D52" i="6"/>
  <c r="I52" i="4"/>
  <c r="O52" i="5"/>
  <c r="Q1099" i="5"/>
  <c r="W1099" i="5"/>
  <c r="X1099" i="5"/>
  <c r="M1100" i="5"/>
  <c r="E508" i="6"/>
  <c r="F508" i="6"/>
  <c r="C653" i="4"/>
  <c r="D652" i="4"/>
  <c r="E748" i="6"/>
  <c r="F748" i="6"/>
  <c r="J380" i="6"/>
  <c r="K380" i="6"/>
  <c r="O379" i="6"/>
  <c r="U379" i="6"/>
  <c r="V379" i="6"/>
  <c r="Q619" i="5"/>
  <c r="W619" i="5"/>
  <c r="X619" i="5"/>
  <c r="M620" i="5"/>
  <c r="M260" i="5"/>
  <c r="Q259" i="5"/>
  <c r="W259" i="5"/>
  <c r="X259" i="5"/>
  <c r="S20" i="5"/>
  <c r="K20" i="5"/>
  <c r="I811" i="4"/>
  <c r="O811" i="5"/>
  <c r="J811" i="4"/>
  <c r="D811" i="6"/>
  <c r="E268" i="6"/>
  <c r="F268" i="6"/>
  <c r="G413" i="4"/>
  <c r="H412" i="4"/>
  <c r="I651" i="4"/>
  <c r="O651" i="5"/>
  <c r="J651" i="4"/>
  <c r="D651" i="6"/>
  <c r="G891" i="4"/>
  <c r="H890" i="4"/>
  <c r="D891" i="4"/>
  <c r="C892" i="4"/>
  <c r="O859" i="6"/>
  <c r="U859" i="6"/>
  <c r="V859" i="6"/>
  <c r="J860" i="6"/>
  <c r="K860" i="6"/>
  <c r="C1131" i="4"/>
  <c r="D1130" i="4"/>
  <c r="E988" i="6"/>
  <c r="F988" i="6"/>
  <c r="G21" i="5"/>
  <c r="H21" i="5"/>
  <c r="L20" i="5"/>
  <c r="N20" i="5"/>
  <c r="P748" i="6"/>
  <c r="G748" i="6"/>
  <c r="G261" i="5"/>
  <c r="H261" i="5"/>
  <c r="L260" i="5"/>
  <c r="N260" i="5"/>
  <c r="G1132" i="4"/>
  <c r="H1131" i="4"/>
  <c r="L620" i="6"/>
  <c r="M620" i="6"/>
  <c r="Q620" i="6"/>
  <c r="J652" i="4"/>
  <c r="D652" i="6"/>
  <c r="I652" i="4"/>
  <c r="O652" i="5"/>
  <c r="I1012" i="4"/>
  <c r="O1012" i="5"/>
  <c r="J1012" i="4"/>
  <c r="D1012" i="6"/>
  <c r="L860" i="6"/>
  <c r="M860" i="6"/>
  <c r="Q860" i="6"/>
  <c r="L740" i="6"/>
  <c r="M740" i="6"/>
  <c r="Q740" i="6"/>
  <c r="G535" i="4"/>
  <c r="H534" i="4"/>
  <c r="L260" i="6"/>
  <c r="M260" i="6"/>
  <c r="Q260" i="6"/>
  <c r="H294" i="4"/>
  <c r="G295" i="4"/>
  <c r="G414" i="4"/>
  <c r="H413" i="4"/>
  <c r="D892" i="4"/>
  <c r="C893" i="4"/>
  <c r="D53" i="4"/>
  <c r="C54" i="4"/>
  <c r="J1130" i="4"/>
  <c r="D1130" i="6"/>
  <c r="I1130" i="4"/>
  <c r="O1130" i="5"/>
  <c r="G28" i="6"/>
  <c r="P28" i="6"/>
  <c r="D413" i="4"/>
  <c r="C414" i="4"/>
  <c r="G654" i="4"/>
  <c r="H653" i="4"/>
  <c r="Q20" i="6"/>
  <c r="L20" i="6"/>
  <c r="M20" i="6"/>
  <c r="H1013" i="4"/>
  <c r="G1014" i="4"/>
  <c r="P628" i="6"/>
  <c r="G628" i="6"/>
  <c r="C654" i="4"/>
  <c r="D653" i="4"/>
  <c r="C815" i="4"/>
  <c r="D814" i="4"/>
  <c r="D1012" i="4"/>
  <c r="C1013" i="4"/>
  <c r="L860" i="5"/>
  <c r="N860" i="5"/>
  <c r="G861" i="5"/>
  <c r="H861" i="5"/>
  <c r="J812" i="4"/>
  <c r="D812" i="6"/>
  <c r="I812" i="4"/>
  <c r="O812" i="5"/>
  <c r="D1131" i="4"/>
  <c r="C1132" i="4"/>
  <c r="J412" i="4"/>
  <c r="D412" i="6"/>
  <c r="I412" i="4"/>
  <c r="O412" i="5"/>
  <c r="D293" i="4"/>
  <c r="C294" i="4"/>
  <c r="J890" i="4"/>
  <c r="D890" i="6"/>
  <c r="I890" i="4"/>
  <c r="O890" i="5"/>
  <c r="G268" i="6"/>
  <c r="P268" i="6"/>
  <c r="L1100" i="6"/>
  <c r="M1100" i="6"/>
  <c r="Q1100" i="6"/>
  <c r="G1101" i="5"/>
  <c r="H1101" i="5"/>
  <c r="L1100" i="5"/>
  <c r="N1100" i="5"/>
  <c r="G381" i="5"/>
  <c r="H381" i="5"/>
  <c r="L380" i="5"/>
  <c r="N380" i="5"/>
  <c r="P1108" i="6"/>
  <c r="G1108" i="6"/>
  <c r="G814" i="4"/>
  <c r="H813" i="4"/>
  <c r="G148" i="6"/>
  <c r="P148" i="6"/>
  <c r="P988" i="6"/>
  <c r="G988" i="6"/>
  <c r="H891" i="4"/>
  <c r="G892" i="4"/>
  <c r="P508" i="6"/>
  <c r="G508" i="6"/>
  <c r="L740" i="5"/>
  <c r="N740" i="5"/>
  <c r="G741" i="5"/>
  <c r="H741" i="5"/>
  <c r="G501" i="5"/>
  <c r="H501" i="5"/>
  <c r="L500" i="5"/>
  <c r="N500" i="5"/>
  <c r="J53" i="4"/>
  <c r="D53" i="6"/>
  <c r="I53" i="4"/>
  <c r="O53" i="5"/>
  <c r="G981" i="5"/>
  <c r="H981" i="5"/>
  <c r="L980" i="5"/>
  <c r="N980" i="5"/>
  <c r="C536" i="4"/>
  <c r="D535" i="4"/>
  <c r="H54" i="4"/>
  <c r="G55" i="4"/>
  <c r="Q980" i="6"/>
  <c r="L980" i="6"/>
  <c r="M980" i="6"/>
  <c r="G141" i="5"/>
  <c r="H141" i="5"/>
  <c r="L140" i="5"/>
  <c r="N140" i="5"/>
  <c r="J173" i="4"/>
  <c r="D173" i="6"/>
  <c r="I173" i="4"/>
  <c r="O173" i="5"/>
  <c r="D173" i="4"/>
  <c r="C174" i="4"/>
  <c r="L140" i="6"/>
  <c r="M140" i="6"/>
  <c r="Q140" i="6"/>
  <c r="L620" i="5"/>
  <c r="N620" i="5"/>
  <c r="G621" i="5"/>
  <c r="H621" i="5"/>
  <c r="L380" i="6"/>
  <c r="M380" i="6"/>
  <c r="Q380" i="6"/>
  <c r="H174" i="4"/>
  <c r="G175" i="4"/>
  <c r="G388" i="6"/>
  <c r="P388" i="6"/>
  <c r="P868" i="6"/>
  <c r="G868" i="6"/>
  <c r="I533" i="4"/>
  <c r="O533" i="5"/>
  <c r="J533" i="4"/>
  <c r="D533" i="6"/>
  <c r="L500" i="6"/>
  <c r="M500" i="6"/>
  <c r="Q500" i="6"/>
  <c r="J293" i="4"/>
  <c r="D293" i="6"/>
  <c r="I293" i="4"/>
  <c r="O293" i="5"/>
  <c r="C537" i="4"/>
  <c r="D536" i="4"/>
  <c r="T860" i="5"/>
  <c r="U860" i="5"/>
  <c r="P860" i="5"/>
  <c r="P20" i="5"/>
  <c r="T20" i="5"/>
  <c r="U20" i="5"/>
  <c r="T620" i="5"/>
  <c r="U620" i="5"/>
  <c r="P620" i="5"/>
  <c r="E389" i="6"/>
  <c r="F389" i="6"/>
  <c r="G176" i="4"/>
  <c r="H175" i="4"/>
  <c r="G56" i="4"/>
  <c r="H55" i="4"/>
  <c r="S380" i="6"/>
  <c r="R741" i="5"/>
  <c r="I741" i="5"/>
  <c r="J741" i="5"/>
  <c r="P1100" i="5"/>
  <c r="T1100" i="5"/>
  <c r="U1100" i="5"/>
  <c r="C295" i="4"/>
  <c r="D294" i="4"/>
  <c r="I861" i="5"/>
  <c r="J861" i="5"/>
  <c r="R861" i="5"/>
  <c r="E629" i="6"/>
  <c r="F629" i="6"/>
  <c r="C415" i="4"/>
  <c r="D414" i="4"/>
  <c r="C894" i="4"/>
  <c r="D893" i="4"/>
  <c r="J534" i="4"/>
  <c r="D534" i="6"/>
  <c r="I534" i="4"/>
  <c r="O534" i="5"/>
  <c r="E749" i="6"/>
  <c r="F749" i="6"/>
  <c r="R380" i="6"/>
  <c r="N380" i="6"/>
  <c r="E869" i="6"/>
  <c r="F869" i="6"/>
  <c r="E509" i="6"/>
  <c r="F509" i="6"/>
  <c r="G1015" i="4"/>
  <c r="H1014" i="4"/>
  <c r="I981" i="5"/>
  <c r="J981" i="5"/>
  <c r="R981" i="5"/>
  <c r="G815" i="4"/>
  <c r="H814" i="4"/>
  <c r="N1100" i="6"/>
  <c r="R1100" i="6"/>
  <c r="I1013" i="4"/>
  <c r="O1013" i="5"/>
  <c r="J1013" i="4"/>
  <c r="D1013" i="6"/>
  <c r="E29" i="6"/>
  <c r="F29" i="6"/>
  <c r="G415" i="4"/>
  <c r="H414" i="4"/>
  <c r="N740" i="6"/>
  <c r="R740" i="6"/>
  <c r="R620" i="6"/>
  <c r="N620" i="6"/>
  <c r="I21" i="5"/>
  <c r="J21" i="5"/>
  <c r="R21" i="5"/>
  <c r="I1101" i="5"/>
  <c r="J1101" i="5"/>
  <c r="R1101" i="5"/>
  <c r="P980" i="5"/>
  <c r="T980" i="5"/>
  <c r="U980" i="5"/>
  <c r="S1100" i="6"/>
  <c r="N980" i="6"/>
  <c r="R980" i="6"/>
  <c r="S980" i="6"/>
  <c r="G893" i="4"/>
  <c r="H892" i="4"/>
  <c r="E1109" i="6"/>
  <c r="F1109" i="6"/>
  <c r="C1133" i="4"/>
  <c r="D1132" i="4"/>
  <c r="R20" i="6"/>
  <c r="S20" i="6"/>
  <c r="N20" i="6"/>
  <c r="G296" i="4"/>
  <c r="H295" i="4"/>
  <c r="J1131" i="4"/>
  <c r="D1131" i="6"/>
  <c r="I1131" i="4"/>
  <c r="O1131" i="5"/>
  <c r="E149" i="6"/>
  <c r="F149" i="6"/>
  <c r="I813" i="4"/>
  <c r="O813" i="5"/>
  <c r="J813" i="4"/>
  <c r="D813" i="6"/>
  <c r="S740" i="6"/>
  <c r="I891" i="4"/>
  <c r="O891" i="5"/>
  <c r="J891" i="4"/>
  <c r="D891" i="6"/>
  <c r="E269" i="6"/>
  <c r="F269" i="6"/>
  <c r="C816" i="4"/>
  <c r="D815" i="4"/>
  <c r="J294" i="4"/>
  <c r="D294" i="6"/>
  <c r="I294" i="4"/>
  <c r="O294" i="5"/>
  <c r="N860" i="6"/>
  <c r="R860" i="6"/>
  <c r="S860" i="6"/>
  <c r="H1132" i="4"/>
  <c r="G1133" i="4"/>
  <c r="T740" i="5"/>
  <c r="U740" i="5"/>
  <c r="P740" i="5"/>
  <c r="I621" i="5"/>
  <c r="J621" i="5"/>
  <c r="R621" i="5"/>
  <c r="J413" i="4"/>
  <c r="D413" i="6"/>
  <c r="I413" i="4"/>
  <c r="O413" i="5"/>
  <c r="C175" i="4"/>
  <c r="D174" i="4"/>
  <c r="I653" i="4"/>
  <c r="O653" i="5"/>
  <c r="J653" i="4"/>
  <c r="D653" i="6"/>
  <c r="C55" i="4"/>
  <c r="D54" i="4"/>
  <c r="S260" i="6"/>
  <c r="P260" i="5"/>
  <c r="T260" i="5"/>
  <c r="U260" i="5"/>
  <c r="G536" i="4"/>
  <c r="H535" i="4"/>
  <c r="P140" i="5"/>
  <c r="T140" i="5"/>
  <c r="U140" i="5"/>
  <c r="D1013" i="4"/>
  <c r="C1014" i="4"/>
  <c r="S620" i="6"/>
  <c r="R141" i="5"/>
  <c r="I141" i="5"/>
  <c r="J141" i="5"/>
  <c r="S140" i="6"/>
  <c r="R140" i="6"/>
  <c r="N140" i="6"/>
  <c r="S500" i="6"/>
  <c r="P500" i="5"/>
  <c r="T500" i="5"/>
  <c r="U500" i="5"/>
  <c r="E989" i="6"/>
  <c r="F989" i="6"/>
  <c r="P380" i="5"/>
  <c r="T380" i="5"/>
  <c r="U380" i="5"/>
  <c r="R500" i="6"/>
  <c r="N500" i="6"/>
  <c r="J174" i="4"/>
  <c r="D174" i="6"/>
  <c r="I174" i="4"/>
  <c r="O174" i="5"/>
  <c r="J54" i="4"/>
  <c r="D54" i="6"/>
  <c r="I54" i="4"/>
  <c r="O54" i="5"/>
  <c r="R501" i="5"/>
  <c r="I501" i="5"/>
  <c r="J501" i="5"/>
  <c r="I381" i="5"/>
  <c r="J381" i="5"/>
  <c r="R381" i="5"/>
  <c r="C655" i="4"/>
  <c r="D654" i="4"/>
  <c r="G655" i="4"/>
  <c r="H654" i="4"/>
  <c r="R260" i="6"/>
  <c r="N260" i="6"/>
  <c r="R261" i="5"/>
  <c r="I261" i="5"/>
  <c r="J261" i="5"/>
  <c r="D1014" i="4"/>
  <c r="C1015" i="4"/>
  <c r="S1101" i="5"/>
  <c r="K1101" i="5"/>
  <c r="G816" i="4"/>
  <c r="H815" i="4"/>
  <c r="J55" i="4"/>
  <c r="D55" i="6"/>
  <c r="I55" i="4"/>
  <c r="O55" i="5"/>
  <c r="J261" i="6"/>
  <c r="K261" i="6"/>
  <c r="O260" i="6"/>
  <c r="U260" i="6"/>
  <c r="V260" i="6"/>
  <c r="O140" i="6"/>
  <c r="U140" i="6"/>
  <c r="V140" i="6"/>
  <c r="J141" i="6"/>
  <c r="K141" i="6"/>
  <c r="J861" i="6"/>
  <c r="K861" i="6"/>
  <c r="O860" i="6"/>
  <c r="U860" i="6"/>
  <c r="V860" i="6"/>
  <c r="P149" i="6"/>
  <c r="G149" i="6"/>
  <c r="J981" i="6"/>
  <c r="K981" i="6"/>
  <c r="O980" i="6"/>
  <c r="U980" i="6"/>
  <c r="V980" i="6"/>
  <c r="S21" i="5"/>
  <c r="K21" i="5"/>
  <c r="G869" i="6"/>
  <c r="P869" i="6"/>
  <c r="D894" i="4"/>
  <c r="C895" i="4"/>
  <c r="D295" i="4"/>
  <c r="C296" i="4"/>
  <c r="H56" i="4"/>
  <c r="G57" i="4"/>
  <c r="M21" i="5"/>
  <c r="Q20" i="5"/>
  <c r="W20" i="5"/>
  <c r="X20" i="5"/>
  <c r="K261" i="5"/>
  <c r="S261" i="5"/>
  <c r="M501" i="5"/>
  <c r="Q500" i="5"/>
  <c r="W500" i="5"/>
  <c r="X500" i="5"/>
  <c r="H893" i="4"/>
  <c r="G894" i="4"/>
  <c r="G509" i="6"/>
  <c r="P509" i="6"/>
  <c r="P269" i="6"/>
  <c r="G269" i="6"/>
  <c r="S501" i="5"/>
  <c r="K501" i="5"/>
  <c r="M141" i="5"/>
  <c r="Q140" i="5"/>
  <c r="W140" i="5"/>
  <c r="X140" i="5"/>
  <c r="D55" i="4"/>
  <c r="C56" i="4"/>
  <c r="D1133" i="4"/>
  <c r="C1134" i="4"/>
  <c r="O620" i="6"/>
  <c r="U620" i="6"/>
  <c r="V620" i="6"/>
  <c r="J621" i="6"/>
  <c r="K621" i="6"/>
  <c r="S981" i="5"/>
  <c r="K981" i="5"/>
  <c r="O380" i="6"/>
  <c r="U380" i="6"/>
  <c r="V380" i="6"/>
  <c r="J381" i="6"/>
  <c r="K381" i="6"/>
  <c r="J175" i="4"/>
  <c r="D175" i="6"/>
  <c r="I175" i="4"/>
  <c r="O175" i="5"/>
  <c r="J1132" i="4"/>
  <c r="D1132" i="6"/>
  <c r="I1132" i="4"/>
  <c r="O1132" i="5"/>
  <c r="J21" i="6"/>
  <c r="K21" i="6"/>
  <c r="O20" i="6"/>
  <c r="U20" i="6"/>
  <c r="V20" i="6"/>
  <c r="G29" i="6"/>
  <c r="P29" i="6"/>
  <c r="J654" i="4"/>
  <c r="D654" i="6"/>
  <c r="I654" i="4"/>
  <c r="O654" i="5"/>
  <c r="M381" i="5"/>
  <c r="Q380" i="5"/>
  <c r="W380" i="5"/>
  <c r="X380" i="5"/>
  <c r="I535" i="4"/>
  <c r="O535" i="5"/>
  <c r="J535" i="4"/>
  <c r="D535" i="6"/>
  <c r="K621" i="5"/>
  <c r="S621" i="5"/>
  <c r="C416" i="4"/>
  <c r="D415" i="4"/>
  <c r="Q1100" i="5"/>
  <c r="W1100" i="5"/>
  <c r="X1100" i="5"/>
  <c r="M1101" i="5"/>
  <c r="H176" i="4"/>
  <c r="G177" i="4"/>
  <c r="M861" i="5"/>
  <c r="Q860" i="5"/>
  <c r="W860" i="5"/>
  <c r="X860" i="5"/>
  <c r="G656" i="4"/>
  <c r="H655" i="4"/>
  <c r="S141" i="5"/>
  <c r="K141" i="5"/>
  <c r="G537" i="4"/>
  <c r="H536" i="4"/>
  <c r="M741" i="5"/>
  <c r="Q740" i="5"/>
  <c r="W740" i="5"/>
  <c r="X740" i="5"/>
  <c r="J1014" i="4"/>
  <c r="D1014" i="6"/>
  <c r="I1014" i="4"/>
  <c r="O1014" i="5"/>
  <c r="S861" i="5"/>
  <c r="K861" i="5"/>
  <c r="J501" i="6"/>
  <c r="K501" i="6"/>
  <c r="O500" i="6"/>
  <c r="U500" i="6"/>
  <c r="V500" i="6"/>
  <c r="P989" i="6"/>
  <c r="G989" i="6"/>
  <c r="J295" i="4"/>
  <c r="D295" i="6"/>
  <c r="I295" i="4"/>
  <c r="O295" i="5"/>
  <c r="Q980" i="5"/>
  <c r="W980" i="5"/>
  <c r="X980" i="5"/>
  <c r="M981" i="5"/>
  <c r="J741" i="6"/>
  <c r="K741" i="6"/>
  <c r="O740" i="6"/>
  <c r="U740" i="6"/>
  <c r="V740" i="6"/>
  <c r="J1101" i="6"/>
  <c r="K1101" i="6"/>
  <c r="O1100" i="6"/>
  <c r="U1100" i="6"/>
  <c r="V1100" i="6"/>
  <c r="H1015" i="4"/>
  <c r="G1016" i="4"/>
  <c r="P749" i="6"/>
  <c r="G749" i="6"/>
  <c r="P629" i="6"/>
  <c r="G629" i="6"/>
  <c r="S741" i="5"/>
  <c r="K741" i="5"/>
  <c r="G389" i="6"/>
  <c r="P389" i="6"/>
  <c r="Q260" i="5"/>
  <c r="W260" i="5"/>
  <c r="X260" i="5"/>
  <c r="M261" i="5"/>
  <c r="H415" i="4"/>
  <c r="G416" i="4"/>
  <c r="K381" i="5"/>
  <c r="S381" i="5"/>
  <c r="G1109" i="6"/>
  <c r="P1109" i="6"/>
  <c r="C656" i="4"/>
  <c r="D655" i="4"/>
  <c r="D175" i="4"/>
  <c r="C176" i="4"/>
  <c r="G1134" i="4"/>
  <c r="H1133" i="4"/>
  <c r="C817" i="4"/>
  <c r="D816" i="4"/>
  <c r="H296" i="4"/>
  <c r="G297" i="4"/>
  <c r="J892" i="4"/>
  <c r="D892" i="6"/>
  <c r="I892" i="4"/>
  <c r="O892" i="5"/>
  <c r="J414" i="4"/>
  <c r="D414" i="6"/>
  <c r="I414" i="4"/>
  <c r="O414" i="5"/>
  <c r="J814" i="4"/>
  <c r="D814" i="6"/>
  <c r="I814" i="4"/>
  <c r="O814" i="5"/>
  <c r="M621" i="5"/>
  <c r="Q620" i="5"/>
  <c r="W620" i="5"/>
  <c r="X620" i="5"/>
  <c r="C538" i="4"/>
  <c r="D537" i="4"/>
  <c r="E750" i="6"/>
  <c r="F750" i="6"/>
  <c r="L861" i="5"/>
  <c r="N861" i="5"/>
  <c r="G862" i="5"/>
  <c r="H862" i="5"/>
  <c r="G142" i="5"/>
  <c r="H142" i="5"/>
  <c r="L141" i="5"/>
  <c r="N141" i="5"/>
  <c r="L21" i="6"/>
  <c r="M21" i="6"/>
  <c r="Q21" i="6"/>
  <c r="E510" i="6"/>
  <c r="F510" i="6"/>
  <c r="E870" i="6"/>
  <c r="F870" i="6"/>
  <c r="L861" i="6"/>
  <c r="M861" i="6"/>
  <c r="Q861" i="6"/>
  <c r="I815" i="4"/>
  <c r="O815" i="5"/>
  <c r="J815" i="4"/>
  <c r="D815" i="6"/>
  <c r="G502" i="5"/>
  <c r="H502" i="5"/>
  <c r="L501" i="5"/>
  <c r="N501" i="5"/>
  <c r="I893" i="4"/>
  <c r="O893" i="5"/>
  <c r="J893" i="4"/>
  <c r="D893" i="6"/>
  <c r="J56" i="4"/>
  <c r="D56" i="6"/>
  <c r="I56" i="4"/>
  <c r="O56" i="5"/>
  <c r="G22" i="5"/>
  <c r="H22" i="5"/>
  <c r="L21" i="5"/>
  <c r="N21" i="5"/>
  <c r="L141" i="6"/>
  <c r="M141" i="6"/>
  <c r="Q141" i="6"/>
  <c r="G817" i="4"/>
  <c r="H816" i="4"/>
  <c r="J296" i="4"/>
  <c r="D296" i="6"/>
  <c r="I296" i="4"/>
  <c r="O296" i="5"/>
  <c r="G538" i="4"/>
  <c r="H537" i="4"/>
  <c r="G982" i="5"/>
  <c r="H982" i="5"/>
  <c r="L981" i="5"/>
  <c r="N981" i="5"/>
  <c r="L621" i="6"/>
  <c r="M621" i="6"/>
  <c r="Q621" i="6"/>
  <c r="J1133" i="4"/>
  <c r="D1133" i="6"/>
  <c r="I1133" i="4"/>
  <c r="O1133" i="5"/>
  <c r="G657" i="4"/>
  <c r="H656" i="4"/>
  <c r="D416" i="4"/>
  <c r="C417" i="4"/>
  <c r="C1135" i="4"/>
  <c r="D1134" i="4"/>
  <c r="C297" i="4"/>
  <c r="D296" i="4"/>
  <c r="G1102" i="5"/>
  <c r="H1102" i="5"/>
  <c r="L1101" i="5"/>
  <c r="N1101" i="5"/>
  <c r="C818" i="4"/>
  <c r="D817" i="4"/>
  <c r="E1110" i="6"/>
  <c r="F1110" i="6"/>
  <c r="G58" i="4"/>
  <c r="H57" i="4"/>
  <c r="G1017" i="4"/>
  <c r="H1016" i="4"/>
  <c r="I1015" i="4"/>
  <c r="O1015" i="5"/>
  <c r="J1015" i="4"/>
  <c r="D1015" i="6"/>
  <c r="C177" i="4"/>
  <c r="D176" i="4"/>
  <c r="G382" i="5"/>
  <c r="H382" i="5"/>
  <c r="L381" i="5"/>
  <c r="N381" i="5"/>
  <c r="L741" i="5"/>
  <c r="N741" i="5"/>
  <c r="G742" i="5"/>
  <c r="H742" i="5"/>
  <c r="E990" i="6"/>
  <c r="F990" i="6"/>
  <c r="E270" i="6"/>
  <c r="F270" i="6"/>
  <c r="Q741" i="6"/>
  <c r="L741" i="6"/>
  <c r="M741" i="6"/>
  <c r="J176" i="4"/>
  <c r="D176" i="6"/>
  <c r="I176" i="4"/>
  <c r="O176" i="5"/>
  <c r="H894" i="4"/>
  <c r="G895" i="4"/>
  <c r="C539" i="4"/>
  <c r="D538" i="4"/>
  <c r="E390" i="6"/>
  <c r="F390" i="6"/>
  <c r="G417" i="4"/>
  <c r="H416" i="4"/>
  <c r="Q1101" i="6"/>
  <c r="L1101" i="6"/>
  <c r="M1101" i="6"/>
  <c r="L621" i="5"/>
  <c r="N621" i="5"/>
  <c r="G622" i="5"/>
  <c r="H622" i="5"/>
  <c r="L381" i="6"/>
  <c r="M381" i="6"/>
  <c r="Q381" i="6"/>
  <c r="D895" i="4"/>
  <c r="C896" i="4"/>
  <c r="Q981" i="6"/>
  <c r="L981" i="6"/>
  <c r="M981" i="6"/>
  <c r="Q261" i="6"/>
  <c r="L261" i="6"/>
  <c r="M261" i="6"/>
  <c r="C1016" i="4"/>
  <c r="D1015" i="4"/>
  <c r="C657" i="4"/>
  <c r="D656" i="4"/>
  <c r="Q501" i="6"/>
  <c r="L501" i="6"/>
  <c r="M501" i="6"/>
  <c r="I655" i="4"/>
  <c r="O655" i="5"/>
  <c r="J655" i="4"/>
  <c r="D655" i="6"/>
  <c r="H1134" i="4"/>
  <c r="G1135" i="4"/>
  <c r="G298" i="4"/>
  <c r="H297" i="4"/>
  <c r="I415" i="4"/>
  <c r="O415" i="5"/>
  <c r="J415" i="4"/>
  <c r="D415" i="6"/>
  <c r="E630" i="6"/>
  <c r="F630" i="6"/>
  <c r="J536" i="4"/>
  <c r="D536" i="6"/>
  <c r="I536" i="4"/>
  <c r="O536" i="5"/>
  <c r="G178" i="4"/>
  <c r="H177" i="4"/>
  <c r="E30" i="6"/>
  <c r="F30" i="6"/>
  <c r="C57" i="4"/>
  <c r="D56" i="4"/>
  <c r="L261" i="5"/>
  <c r="N261" i="5"/>
  <c r="G262" i="5"/>
  <c r="H262" i="5"/>
  <c r="E150" i="6"/>
  <c r="F150" i="6"/>
  <c r="P30" i="6"/>
  <c r="G30" i="6"/>
  <c r="I22" i="5"/>
  <c r="J22" i="5"/>
  <c r="R22" i="5"/>
  <c r="D297" i="4"/>
  <c r="C298" i="4"/>
  <c r="P141" i="5"/>
  <c r="T141" i="5"/>
  <c r="U141" i="5"/>
  <c r="I1102" i="5"/>
  <c r="J1102" i="5"/>
  <c r="R1102" i="5"/>
  <c r="I622" i="5"/>
  <c r="J622" i="5"/>
  <c r="R622" i="5"/>
  <c r="J177" i="4"/>
  <c r="D177" i="6"/>
  <c r="I177" i="4"/>
  <c r="O177" i="5"/>
  <c r="H178" i="4"/>
  <c r="G179" i="4"/>
  <c r="H298" i="4"/>
  <c r="G299" i="4"/>
  <c r="D896" i="4"/>
  <c r="C897" i="4"/>
  <c r="C540" i="4"/>
  <c r="D539" i="4"/>
  <c r="P270" i="6"/>
  <c r="G270" i="6"/>
  <c r="D177" i="4"/>
  <c r="C178" i="4"/>
  <c r="G1110" i="6"/>
  <c r="P1110" i="6"/>
  <c r="N861" i="6"/>
  <c r="R861" i="6"/>
  <c r="S861" i="6"/>
  <c r="I142" i="5"/>
  <c r="J142" i="5"/>
  <c r="R142" i="5"/>
  <c r="T381" i="5"/>
  <c r="U381" i="5"/>
  <c r="P381" i="5"/>
  <c r="I537" i="4"/>
  <c r="O537" i="5"/>
  <c r="J537" i="4"/>
  <c r="D537" i="6"/>
  <c r="I382" i="5"/>
  <c r="J382" i="5"/>
  <c r="R382" i="5"/>
  <c r="N21" i="6"/>
  <c r="R21" i="6"/>
  <c r="S501" i="6"/>
  <c r="C658" i="4"/>
  <c r="D657" i="4"/>
  <c r="R1101" i="6"/>
  <c r="N1101" i="6"/>
  <c r="H895" i="4"/>
  <c r="G896" i="4"/>
  <c r="D1135" i="4"/>
  <c r="C1136" i="4"/>
  <c r="N621" i="6"/>
  <c r="R621" i="6"/>
  <c r="S621" i="6"/>
  <c r="J816" i="4"/>
  <c r="D816" i="6"/>
  <c r="I816" i="4"/>
  <c r="O816" i="5"/>
  <c r="R862" i="5"/>
  <c r="I862" i="5"/>
  <c r="J862" i="5"/>
  <c r="G658" i="4"/>
  <c r="H657" i="4"/>
  <c r="S21" i="6"/>
  <c r="P390" i="6"/>
  <c r="G390" i="6"/>
  <c r="J297" i="4"/>
  <c r="D297" i="6"/>
  <c r="I297" i="4"/>
  <c r="O297" i="5"/>
  <c r="T261" i="5"/>
  <c r="U261" i="5"/>
  <c r="P261" i="5"/>
  <c r="S1101" i="6"/>
  <c r="I894" i="4"/>
  <c r="O894" i="5"/>
  <c r="J894" i="4"/>
  <c r="D894" i="6"/>
  <c r="G990" i="6"/>
  <c r="P990" i="6"/>
  <c r="C819" i="4"/>
  <c r="D818" i="4"/>
  <c r="C418" i="4"/>
  <c r="D417" i="4"/>
  <c r="G818" i="4"/>
  <c r="H817" i="4"/>
  <c r="P870" i="6"/>
  <c r="G870" i="6"/>
  <c r="T861" i="5"/>
  <c r="U861" i="5"/>
  <c r="P861" i="5"/>
  <c r="R741" i="6"/>
  <c r="S741" i="6"/>
  <c r="N741" i="6"/>
  <c r="J57" i="4"/>
  <c r="D57" i="6"/>
  <c r="I57" i="4"/>
  <c r="O57" i="5"/>
  <c r="N501" i="6"/>
  <c r="R501" i="6"/>
  <c r="G539" i="4"/>
  <c r="H538" i="4"/>
  <c r="P150" i="6"/>
  <c r="G150" i="6"/>
  <c r="T621" i="5"/>
  <c r="U621" i="5"/>
  <c r="P621" i="5"/>
  <c r="R262" i="5"/>
  <c r="I262" i="5"/>
  <c r="J262" i="5"/>
  <c r="G1136" i="4"/>
  <c r="H1135" i="4"/>
  <c r="J1134" i="4"/>
  <c r="D1134" i="6"/>
  <c r="I1134" i="4"/>
  <c r="O1134" i="5"/>
  <c r="G630" i="6"/>
  <c r="P630" i="6"/>
  <c r="D1016" i="4"/>
  <c r="C1017" i="4"/>
  <c r="J416" i="4"/>
  <c r="D416" i="6"/>
  <c r="I416" i="4"/>
  <c r="O416" i="5"/>
  <c r="R742" i="5"/>
  <c r="I742" i="5"/>
  <c r="J742" i="5"/>
  <c r="I1016" i="4"/>
  <c r="O1016" i="5"/>
  <c r="J1016" i="4"/>
  <c r="D1016" i="6"/>
  <c r="P981" i="5"/>
  <c r="T981" i="5"/>
  <c r="U981" i="5"/>
  <c r="S141" i="6"/>
  <c r="P501" i="5"/>
  <c r="T501" i="5"/>
  <c r="U501" i="5"/>
  <c r="P510" i="6"/>
  <c r="G510" i="6"/>
  <c r="P21" i="5"/>
  <c r="T21" i="5"/>
  <c r="U21" i="5"/>
  <c r="R981" i="6"/>
  <c r="S981" i="6"/>
  <c r="N981" i="6"/>
  <c r="H58" i="4"/>
  <c r="G59" i="4"/>
  <c r="D57" i="4"/>
  <c r="C58" i="4"/>
  <c r="N261" i="6"/>
  <c r="R261" i="6"/>
  <c r="S261" i="6"/>
  <c r="N381" i="6"/>
  <c r="R381" i="6"/>
  <c r="S381" i="6"/>
  <c r="G418" i="4"/>
  <c r="H417" i="4"/>
  <c r="T741" i="5"/>
  <c r="U741" i="5"/>
  <c r="P741" i="5"/>
  <c r="H1017" i="4"/>
  <c r="G1018" i="4"/>
  <c r="P1101" i="5"/>
  <c r="T1101" i="5"/>
  <c r="U1101" i="5"/>
  <c r="J656" i="4"/>
  <c r="D656" i="6"/>
  <c r="I656" i="4"/>
  <c r="O656" i="5"/>
  <c r="I982" i="5"/>
  <c r="J982" i="5"/>
  <c r="R982" i="5"/>
  <c r="N141" i="6"/>
  <c r="R141" i="6"/>
  <c r="R502" i="5"/>
  <c r="I502" i="5"/>
  <c r="J502" i="5"/>
  <c r="G750" i="6"/>
  <c r="P750" i="6"/>
  <c r="C659" i="4"/>
  <c r="D658" i="4"/>
  <c r="G300" i="4"/>
  <c r="H299" i="4"/>
  <c r="J58" i="4"/>
  <c r="D58" i="6"/>
  <c r="I58" i="4"/>
  <c r="O58" i="5"/>
  <c r="M742" i="5"/>
  <c r="Q741" i="5"/>
  <c r="W741" i="5"/>
  <c r="X741" i="5"/>
  <c r="C59" i="4"/>
  <c r="D58" i="4"/>
  <c r="E511" i="6"/>
  <c r="F511" i="6"/>
  <c r="Q621" i="5"/>
  <c r="W621" i="5"/>
  <c r="X621" i="5"/>
  <c r="M622" i="5"/>
  <c r="I817" i="4"/>
  <c r="O817" i="5"/>
  <c r="J817" i="4"/>
  <c r="D817" i="6"/>
  <c r="C898" i="4"/>
  <c r="D897" i="4"/>
  <c r="S622" i="5"/>
  <c r="K622" i="5"/>
  <c r="K982" i="5"/>
  <c r="S982" i="5"/>
  <c r="I657" i="4"/>
  <c r="O657" i="5"/>
  <c r="J657" i="4"/>
  <c r="D657" i="6"/>
  <c r="H658" i="4"/>
  <c r="G659" i="4"/>
  <c r="J298" i="4"/>
  <c r="D298" i="6"/>
  <c r="I298" i="4"/>
  <c r="O298" i="5"/>
  <c r="E631" i="6"/>
  <c r="F631" i="6"/>
  <c r="G819" i="4"/>
  <c r="H818" i="4"/>
  <c r="M382" i="5"/>
  <c r="Q381" i="5"/>
  <c r="W381" i="5"/>
  <c r="X381" i="5"/>
  <c r="C299" i="4"/>
  <c r="D298" i="4"/>
  <c r="J417" i="4"/>
  <c r="D417" i="6"/>
  <c r="I417" i="4"/>
  <c r="O417" i="5"/>
  <c r="E151" i="6"/>
  <c r="F151" i="6"/>
  <c r="C1137" i="4"/>
  <c r="D1136" i="4"/>
  <c r="C179" i="4"/>
  <c r="D178" i="4"/>
  <c r="G419" i="4"/>
  <c r="H418" i="4"/>
  <c r="C419" i="4"/>
  <c r="D418" i="4"/>
  <c r="J1135" i="4"/>
  <c r="D1135" i="6"/>
  <c r="I1135" i="4"/>
  <c r="O1135" i="5"/>
  <c r="J538" i="4"/>
  <c r="D538" i="6"/>
  <c r="I538" i="4"/>
  <c r="O538" i="5"/>
  <c r="M862" i="5"/>
  <c r="Q861" i="5"/>
  <c r="W861" i="5"/>
  <c r="X861" i="5"/>
  <c r="S862" i="5"/>
  <c r="K862" i="5"/>
  <c r="G897" i="4"/>
  <c r="H896" i="4"/>
  <c r="J22" i="6"/>
  <c r="K22" i="6"/>
  <c r="O21" i="6"/>
  <c r="U21" i="6"/>
  <c r="V21" i="6"/>
  <c r="S142" i="5"/>
  <c r="K142" i="5"/>
  <c r="E271" i="6"/>
  <c r="F271" i="6"/>
  <c r="G180" i="4"/>
  <c r="H179" i="4"/>
  <c r="S1102" i="5"/>
  <c r="K1102" i="5"/>
  <c r="S22" i="5"/>
  <c r="K22" i="5"/>
  <c r="J622" i="6"/>
  <c r="K622" i="6"/>
  <c r="O621" i="6"/>
  <c r="U621" i="6"/>
  <c r="V621" i="6"/>
  <c r="G60" i="4"/>
  <c r="H59" i="4"/>
  <c r="J742" i="6"/>
  <c r="K742" i="6"/>
  <c r="O741" i="6"/>
  <c r="U741" i="6"/>
  <c r="V741" i="6"/>
  <c r="E751" i="6"/>
  <c r="F751" i="6"/>
  <c r="S502" i="5"/>
  <c r="K502" i="5"/>
  <c r="J982" i="6"/>
  <c r="K982" i="6"/>
  <c r="O981" i="6"/>
  <c r="U981" i="6"/>
  <c r="V981" i="6"/>
  <c r="O381" i="6"/>
  <c r="U381" i="6"/>
  <c r="V381" i="6"/>
  <c r="J382" i="6"/>
  <c r="K382" i="6"/>
  <c r="H1136" i="4"/>
  <c r="G1137" i="4"/>
  <c r="H539" i="4"/>
  <c r="G540" i="4"/>
  <c r="C820" i="4"/>
  <c r="D819" i="4"/>
  <c r="I895" i="4"/>
  <c r="O895" i="5"/>
  <c r="J895" i="4"/>
  <c r="D895" i="6"/>
  <c r="J178" i="4"/>
  <c r="D178" i="6"/>
  <c r="I178" i="4"/>
  <c r="O178" i="5"/>
  <c r="Q981" i="5"/>
  <c r="W981" i="5"/>
  <c r="X981" i="5"/>
  <c r="M982" i="5"/>
  <c r="K262" i="5"/>
  <c r="S262" i="5"/>
  <c r="E871" i="6"/>
  <c r="F871" i="6"/>
  <c r="J1102" i="6"/>
  <c r="K1102" i="6"/>
  <c r="O1101" i="6"/>
  <c r="U1101" i="6"/>
  <c r="V1101" i="6"/>
  <c r="S382" i="5"/>
  <c r="K382" i="5"/>
  <c r="O861" i="6"/>
  <c r="U861" i="6"/>
  <c r="V861" i="6"/>
  <c r="J862" i="6"/>
  <c r="K862" i="6"/>
  <c r="E31" i="6"/>
  <c r="F31" i="6"/>
  <c r="K742" i="5"/>
  <c r="S742" i="5"/>
  <c r="E1111" i="6"/>
  <c r="F1111" i="6"/>
  <c r="M502" i="5"/>
  <c r="Q501" i="5"/>
  <c r="W501" i="5"/>
  <c r="X501" i="5"/>
  <c r="M262" i="5"/>
  <c r="Q261" i="5"/>
  <c r="W261" i="5"/>
  <c r="X261" i="5"/>
  <c r="Q1101" i="5"/>
  <c r="W1101" i="5"/>
  <c r="X1101" i="5"/>
  <c r="M1102" i="5"/>
  <c r="G1019" i="4"/>
  <c r="H1018" i="4"/>
  <c r="D1017" i="4"/>
  <c r="C1018" i="4"/>
  <c r="J142" i="6"/>
  <c r="K142" i="6"/>
  <c r="O141" i="6"/>
  <c r="U141" i="6"/>
  <c r="V141" i="6"/>
  <c r="I1017" i="4"/>
  <c r="O1017" i="5"/>
  <c r="J1017" i="4"/>
  <c r="D1017" i="6"/>
  <c r="J262" i="6"/>
  <c r="K262" i="6"/>
  <c r="O261" i="6"/>
  <c r="U261" i="6"/>
  <c r="V261" i="6"/>
  <c r="M22" i="5"/>
  <c r="Q21" i="5"/>
  <c r="W21" i="5"/>
  <c r="X21" i="5"/>
  <c r="O501" i="6"/>
  <c r="U501" i="6"/>
  <c r="V501" i="6"/>
  <c r="J502" i="6"/>
  <c r="K502" i="6"/>
  <c r="E991" i="6"/>
  <c r="F991" i="6"/>
  <c r="E391" i="6"/>
  <c r="F391" i="6"/>
  <c r="C541" i="4"/>
  <c r="D540" i="4"/>
  <c r="M142" i="5"/>
  <c r="Q141" i="5"/>
  <c r="W141" i="5"/>
  <c r="X141" i="5"/>
  <c r="P991" i="6"/>
  <c r="G991" i="6"/>
  <c r="Q262" i="6"/>
  <c r="L262" i="6"/>
  <c r="M262" i="6"/>
  <c r="H1019" i="4"/>
  <c r="G1020" i="4"/>
  <c r="G383" i="5"/>
  <c r="H383" i="5"/>
  <c r="L382" i="5"/>
  <c r="N382" i="5"/>
  <c r="G263" i="5"/>
  <c r="H263" i="5"/>
  <c r="L262" i="5"/>
  <c r="N262" i="5"/>
  <c r="Q382" i="6"/>
  <c r="L382" i="6"/>
  <c r="M382" i="6"/>
  <c r="G23" i="5"/>
  <c r="H23" i="5"/>
  <c r="L22" i="5"/>
  <c r="N22" i="5"/>
  <c r="G143" i="5"/>
  <c r="H143" i="5"/>
  <c r="L142" i="5"/>
  <c r="N142" i="5"/>
  <c r="J418" i="4"/>
  <c r="D418" i="6"/>
  <c r="I418" i="4"/>
  <c r="O418" i="5"/>
  <c r="J658" i="4"/>
  <c r="D658" i="6"/>
  <c r="I658" i="4"/>
  <c r="O658" i="5"/>
  <c r="L742" i="6"/>
  <c r="M742" i="6"/>
  <c r="Q742" i="6"/>
  <c r="G420" i="4"/>
  <c r="H419" i="4"/>
  <c r="D898" i="4"/>
  <c r="C899" i="4"/>
  <c r="L742" i="5"/>
  <c r="N742" i="5"/>
  <c r="G743" i="5"/>
  <c r="H743" i="5"/>
  <c r="L1102" i="6"/>
  <c r="M1102" i="6"/>
  <c r="Q1102" i="6"/>
  <c r="C821" i="4"/>
  <c r="D820" i="4"/>
  <c r="L982" i="6"/>
  <c r="M982" i="6"/>
  <c r="Q982" i="6"/>
  <c r="H60" i="4"/>
  <c r="G61" i="4"/>
  <c r="Q22" i="6"/>
  <c r="L22" i="6"/>
  <c r="M22" i="6"/>
  <c r="D179" i="4"/>
  <c r="C180" i="4"/>
  <c r="D299" i="4"/>
  <c r="C300" i="4"/>
  <c r="G511" i="6"/>
  <c r="P511" i="6"/>
  <c r="G1111" i="6"/>
  <c r="P1111" i="6"/>
  <c r="G1103" i="5"/>
  <c r="H1103" i="5"/>
  <c r="L1102" i="5"/>
  <c r="N1102" i="5"/>
  <c r="D541" i="4"/>
  <c r="C542" i="4"/>
  <c r="L142" i="6"/>
  <c r="M142" i="6"/>
  <c r="Q142" i="6"/>
  <c r="G541" i="4"/>
  <c r="H540" i="4"/>
  <c r="G503" i="5"/>
  <c r="H503" i="5"/>
  <c r="L502" i="5"/>
  <c r="N502" i="5"/>
  <c r="J179" i="4"/>
  <c r="D179" i="6"/>
  <c r="I179" i="4"/>
  <c r="O179" i="5"/>
  <c r="J896" i="4"/>
  <c r="D896" i="6"/>
  <c r="I896" i="4"/>
  <c r="O896" i="5"/>
  <c r="J299" i="4"/>
  <c r="D299" i="6"/>
  <c r="I299" i="4"/>
  <c r="O299" i="5"/>
  <c r="J59" i="4"/>
  <c r="D59" i="6"/>
  <c r="I59" i="4"/>
  <c r="O59" i="5"/>
  <c r="D59" i="4"/>
  <c r="C60" i="4"/>
  <c r="H300" i="4"/>
  <c r="G301" i="4"/>
  <c r="P31" i="6"/>
  <c r="G31" i="6"/>
  <c r="I539" i="4"/>
  <c r="O539" i="5"/>
  <c r="J539" i="4"/>
  <c r="D539" i="6"/>
  <c r="H180" i="4"/>
  <c r="G181" i="4"/>
  <c r="D1137" i="4"/>
  <c r="C1138" i="4"/>
  <c r="P391" i="6"/>
  <c r="G391" i="6"/>
  <c r="L862" i="6"/>
  <c r="M862" i="6"/>
  <c r="Q862" i="6"/>
  <c r="P871" i="6"/>
  <c r="G871" i="6"/>
  <c r="G1138" i="4"/>
  <c r="H1137" i="4"/>
  <c r="Q622" i="6"/>
  <c r="L622" i="6"/>
  <c r="M622" i="6"/>
  <c r="L862" i="5"/>
  <c r="N862" i="5"/>
  <c r="G863" i="5"/>
  <c r="H863" i="5"/>
  <c r="J818" i="4"/>
  <c r="D818" i="6"/>
  <c r="I818" i="4"/>
  <c r="O818" i="5"/>
  <c r="G983" i="5"/>
  <c r="H983" i="5"/>
  <c r="L982" i="5"/>
  <c r="N982" i="5"/>
  <c r="P631" i="6"/>
  <c r="G631" i="6"/>
  <c r="Q502" i="6"/>
  <c r="L502" i="6"/>
  <c r="M502" i="6"/>
  <c r="D1018" i="4"/>
  <c r="C1019" i="4"/>
  <c r="H897" i="4"/>
  <c r="G898" i="4"/>
  <c r="J1018" i="4"/>
  <c r="D1018" i="6"/>
  <c r="I1018" i="4"/>
  <c r="O1018" i="5"/>
  <c r="J1136" i="4"/>
  <c r="D1136" i="6"/>
  <c r="I1136" i="4"/>
  <c r="O1136" i="5"/>
  <c r="P751" i="6"/>
  <c r="G751" i="6"/>
  <c r="G271" i="6"/>
  <c r="P271" i="6"/>
  <c r="D419" i="4"/>
  <c r="C420" i="4"/>
  <c r="P151" i="6"/>
  <c r="G151" i="6"/>
  <c r="G820" i="4"/>
  <c r="H819" i="4"/>
  <c r="G660" i="4"/>
  <c r="H659" i="4"/>
  <c r="L622" i="5"/>
  <c r="N622" i="5"/>
  <c r="G623" i="5"/>
  <c r="H623" i="5"/>
  <c r="C660" i="4"/>
  <c r="D659" i="4"/>
  <c r="E872" i="6"/>
  <c r="F872" i="6"/>
  <c r="G182" i="4"/>
  <c r="H181" i="4"/>
  <c r="C61" i="4"/>
  <c r="D60" i="4"/>
  <c r="C543" i="4"/>
  <c r="D542" i="4"/>
  <c r="C301" i="4"/>
  <c r="D300" i="4"/>
  <c r="G821" i="4"/>
  <c r="H820" i="4"/>
  <c r="J180" i="4"/>
  <c r="D180" i="6"/>
  <c r="I180" i="4"/>
  <c r="O180" i="5"/>
  <c r="R982" i="6"/>
  <c r="S982" i="6"/>
  <c r="N982" i="6"/>
  <c r="R263" i="5"/>
  <c r="I263" i="5"/>
  <c r="J263" i="5"/>
  <c r="R502" i="6"/>
  <c r="N502" i="6"/>
  <c r="P1102" i="5"/>
  <c r="T1102" i="5"/>
  <c r="U1102" i="5"/>
  <c r="R503" i="5"/>
  <c r="I503" i="5"/>
  <c r="J503" i="5"/>
  <c r="I1103" i="5"/>
  <c r="J1103" i="5"/>
  <c r="R1103" i="5"/>
  <c r="C822" i="4"/>
  <c r="D821" i="4"/>
  <c r="G421" i="4"/>
  <c r="H420" i="4"/>
  <c r="I143" i="5"/>
  <c r="J143" i="5"/>
  <c r="R143" i="5"/>
  <c r="R383" i="5"/>
  <c r="I383" i="5"/>
  <c r="J383" i="5"/>
  <c r="E752" i="6"/>
  <c r="F752" i="6"/>
  <c r="E152" i="6"/>
  <c r="F152" i="6"/>
  <c r="T382" i="5"/>
  <c r="U382" i="5"/>
  <c r="P382" i="5"/>
  <c r="S502" i="6"/>
  <c r="C421" i="4"/>
  <c r="D420" i="4"/>
  <c r="E632" i="6"/>
  <c r="F632" i="6"/>
  <c r="N622" i="6"/>
  <c r="R622" i="6"/>
  <c r="E392" i="6"/>
  <c r="F392" i="6"/>
  <c r="E32" i="6"/>
  <c r="F32" i="6"/>
  <c r="J540" i="4"/>
  <c r="D540" i="6"/>
  <c r="I540" i="4"/>
  <c r="O540" i="5"/>
  <c r="N22" i="6"/>
  <c r="R22" i="6"/>
  <c r="P22" i="5"/>
  <c r="T22" i="5"/>
  <c r="U22" i="5"/>
  <c r="G1021" i="4"/>
  <c r="H1020" i="4"/>
  <c r="C1020" i="4"/>
  <c r="D1019" i="4"/>
  <c r="I863" i="5"/>
  <c r="J863" i="5"/>
  <c r="R863" i="5"/>
  <c r="P502" i="5"/>
  <c r="T502" i="5"/>
  <c r="U502" i="5"/>
  <c r="P142" i="5"/>
  <c r="T142" i="5"/>
  <c r="U142" i="5"/>
  <c r="N862" i="6"/>
  <c r="R862" i="6"/>
  <c r="S622" i="6"/>
  <c r="G542" i="4"/>
  <c r="H541" i="4"/>
  <c r="E1112" i="6"/>
  <c r="F1112" i="6"/>
  <c r="S22" i="6"/>
  <c r="N1102" i="6"/>
  <c r="R1102" i="6"/>
  <c r="S1102" i="6"/>
  <c r="R742" i="6"/>
  <c r="S742" i="6"/>
  <c r="N742" i="6"/>
  <c r="R23" i="5"/>
  <c r="I23" i="5"/>
  <c r="J23" i="5"/>
  <c r="I1019" i="4"/>
  <c r="O1019" i="5"/>
  <c r="J1019" i="4"/>
  <c r="D1019" i="6"/>
  <c r="I819" i="4"/>
  <c r="O819" i="5"/>
  <c r="J819" i="4"/>
  <c r="D819" i="6"/>
  <c r="S862" i="6"/>
  <c r="C181" i="4"/>
  <c r="D180" i="4"/>
  <c r="R623" i="5"/>
  <c r="I623" i="5"/>
  <c r="J623" i="5"/>
  <c r="I659" i="4"/>
  <c r="O659" i="5"/>
  <c r="J659" i="4"/>
  <c r="D659" i="6"/>
  <c r="H898" i="4"/>
  <c r="G899" i="4"/>
  <c r="J1137" i="4"/>
  <c r="D1137" i="6"/>
  <c r="I1137" i="4"/>
  <c r="O1137" i="5"/>
  <c r="C1139" i="4"/>
  <c r="D1138" i="4"/>
  <c r="G302" i="4"/>
  <c r="H301" i="4"/>
  <c r="G62" i="4"/>
  <c r="H61" i="4"/>
  <c r="R743" i="5"/>
  <c r="I743" i="5"/>
  <c r="J743" i="5"/>
  <c r="N382" i="6"/>
  <c r="R382" i="6"/>
  <c r="S382" i="6"/>
  <c r="R262" i="6"/>
  <c r="N262" i="6"/>
  <c r="J419" i="4"/>
  <c r="D419" i="6"/>
  <c r="I419" i="4"/>
  <c r="O419" i="5"/>
  <c r="C661" i="4"/>
  <c r="D660" i="4"/>
  <c r="T862" i="5"/>
  <c r="U862" i="5"/>
  <c r="P862" i="5"/>
  <c r="T622" i="5"/>
  <c r="U622" i="5"/>
  <c r="P622" i="5"/>
  <c r="P982" i="5"/>
  <c r="T982" i="5"/>
  <c r="U982" i="5"/>
  <c r="H660" i="4"/>
  <c r="G661" i="4"/>
  <c r="E272" i="6"/>
  <c r="F272" i="6"/>
  <c r="I897" i="4"/>
  <c r="O897" i="5"/>
  <c r="J897" i="4"/>
  <c r="D897" i="6"/>
  <c r="I983" i="5"/>
  <c r="J983" i="5"/>
  <c r="R983" i="5"/>
  <c r="H1138" i="4"/>
  <c r="G1139" i="4"/>
  <c r="J300" i="4"/>
  <c r="D300" i="6"/>
  <c r="I300" i="4"/>
  <c r="O300" i="5"/>
  <c r="N142" i="6"/>
  <c r="R142" i="6"/>
  <c r="S142" i="6"/>
  <c r="E512" i="6"/>
  <c r="F512" i="6"/>
  <c r="J60" i="4"/>
  <c r="D60" i="6"/>
  <c r="I60" i="4"/>
  <c r="O60" i="5"/>
  <c r="T742" i="5"/>
  <c r="U742" i="5"/>
  <c r="P742" i="5"/>
  <c r="S262" i="6"/>
  <c r="C900" i="4"/>
  <c r="D899" i="4"/>
  <c r="T262" i="5"/>
  <c r="U262" i="5"/>
  <c r="P262" i="5"/>
  <c r="E992" i="6"/>
  <c r="F992" i="6"/>
  <c r="G272" i="6"/>
  <c r="P272" i="6"/>
  <c r="M23" i="5"/>
  <c r="Q22" i="5"/>
  <c r="W22" i="5"/>
  <c r="X22" i="5"/>
  <c r="J660" i="4"/>
  <c r="D660" i="6"/>
  <c r="I660" i="4"/>
  <c r="O660" i="5"/>
  <c r="H62" i="4"/>
  <c r="G63" i="4"/>
  <c r="M743" i="5"/>
  <c r="Q742" i="5"/>
  <c r="W742" i="5"/>
  <c r="X742" i="5"/>
  <c r="I898" i="4"/>
  <c r="O898" i="5"/>
  <c r="J898" i="4"/>
  <c r="D898" i="6"/>
  <c r="P632" i="6"/>
  <c r="G632" i="6"/>
  <c r="J503" i="6"/>
  <c r="K503" i="6"/>
  <c r="O502" i="6"/>
  <c r="U502" i="6"/>
  <c r="V502" i="6"/>
  <c r="C823" i="4"/>
  <c r="D822" i="4"/>
  <c r="C544" i="4"/>
  <c r="D543" i="4"/>
  <c r="P752" i="6"/>
  <c r="G752" i="6"/>
  <c r="M263" i="5"/>
  <c r="Q262" i="5"/>
  <c r="W262" i="5"/>
  <c r="X262" i="5"/>
  <c r="G1140" i="4"/>
  <c r="H1139" i="4"/>
  <c r="G662" i="4"/>
  <c r="H661" i="4"/>
  <c r="J383" i="6"/>
  <c r="K383" i="6"/>
  <c r="O382" i="6"/>
  <c r="U382" i="6"/>
  <c r="V382" i="6"/>
  <c r="H302" i="4"/>
  <c r="G303" i="4"/>
  <c r="J1103" i="6"/>
  <c r="K1103" i="6"/>
  <c r="O1102" i="6"/>
  <c r="U1102" i="6"/>
  <c r="V1102" i="6"/>
  <c r="G32" i="6"/>
  <c r="P32" i="6"/>
  <c r="C422" i="4"/>
  <c r="D421" i="4"/>
  <c r="K383" i="5"/>
  <c r="S383" i="5"/>
  <c r="P992" i="6"/>
  <c r="G992" i="6"/>
  <c r="M863" i="5"/>
  <c r="Q862" i="5"/>
  <c r="W862" i="5"/>
  <c r="X862" i="5"/>
  <c r="J1138" i="4"/>
  <c r="D1138" i="6"/>
  <c r="I1138" i="4"/>
  <c r="O1138" i="5"/>
  <c r="K623" i="5"/>
  <c r="S623" i="5"/>
  <c r="G392" i="6"/>
  <c r="P392" i="6"/>
  <c r="S1103" i="5"/>
  <c r="K1103" i="5"/>
  <c r="K263" i="5"/>
  <c r="S263" i="5"/>
  <c r="J820" i="4"/>
  <c r="D820" i="6"/>
  <c r="I820" i="4"/>
  <c r="O820" i="5"/>
  <c r="D61" i="4"/>
  <c r="C62" i="4"/>
  <c r="G512" i="6"/>
  <c r="P512" i="6"/>
  <c r="D661" i="4"/>
  <c r="C662" i="4"/>
  <c r="D1139" i="4"/>
  <c r="C1140" i="4"/>
  <c r="M383" i="5"/>
  <c r="Q382" i="5"/>
  <c r="W382" i="5"/>
  <c r="X382" i="5"/>
  <c r="S503" i="5"/>
  <c r="K503" i="5"/>
  <c r="G822" i="4"/>
  <c r="H821" i="4"/>
  <c r="J181" i="4"/>
  <c r="D181" i="6"/>
  <c r="I181" i="4"/>
  <c r="O181" i="5"/>
  <c r="S863" i="5"/>
  <c r="K863" i="5"/>
  <c r="D900" i="4"/>
  <c r="C901" i="4"/>
  <c r="K983" i="5"/>
  <c r="S983" i="5"/>
  <c r="Q982" i="5"/>
  <c r="W982" i="5"/>
  <c r="X982" i="5"/>
  <c r="M983" i="5"/>
  <c r="J61" i="4"/>
  <c r="D61" i="6"/>
  <c r="I61" i="4"/>
  <c r="O61" i="5"/>
  <c r="S23" i="5"/>
  <c r="K23" i="5"/>
  <c r="P1112" i="6"/>
  <c r="G1112" i="6"/>
  <c r="J863" i="6"/>
  <c r="K863" i="6"/>
  <c r="O862" i="6"/>
  <c r="U862" i="6"/>
  <c r="V862" i="6"/>
  <c r="D1020" i="4"/>
  <c r="C1021" i="4"/>
  <c r="J23" i="6"/>
  <c r="K23" i="6"/>
  <c r="O22" i="6"/>
  <c r="U22" i="6"/>
  <c r="V22" i="6"/>
  <c r="S143" i="5"/>
  <c r="K143" i="5"/>
  <c r="O982" i="6"/>
  <c r="U982" i="6"/>
  <c r="V982" i="6"/>
  <c r="J983" i="6"/>
  <c r="K983" i="6"/>
  <c r="H182" i="4"/>
  <c r="G183" i="4"/>
  <c r="I541" i="4"/>
  <c r="O541" i="5"/>
  <c r="J541" i="4"/>
  <c r="D541" i="6"/>
  <c r="I1020" i="4"/>
  <c r="O1020" i="5"/>
  <c r="J1020" i="4"/>
  <c r="D1020" i="6"/>
  <c r="O622" i="6"/>
  <c r="U622" i="6"/>
  <c r="V622" i="6"/>
  <c r="J623" i="6"/>
  <c r="K623" i="6"/>
  <c r="G152" i="6"/>
  <c r="P152" i="6"/>
  <c r="J420" i="4"/>
  <c r="D420" i="6"/>
  <c r="I420" i="4"/>
  <c r="O420" i="5"/>
  <c r="J301" i="4"/>
  <c r="D301" i="6"/>
  <c r="I301" i="4"/>
  <c r="O301" i="5"/>
  <c r="M503" i="5"/>
  <c r="Q502" i="5"/>
  <c r="W502" i="5"/>
  <c r="X502" i="5"/>
  <c r="S743" i="5"/>
  <c r="K743" i="5"/>
  <c r="J143" i="6"/>
  <c r="K143" i="6"/>
  <c r="O142" i="6"/>
  <c r="U142" i="6"/>
  <c r="V142" i="6"/>
  <c r="Q622" i="5"/>
  <c r="W622" i="5"/>
  <c r="X622" i="5"/>
  <c r="M623" i="5"/>
  <c r="J263" i="6"/>
  <c r="K263" i="6"/>
  <c r="O262" i="6"/>
  <c r="U262" i="6"/>
  <c r="V262" i="6"/>
  <c r="H899" i="4"/>
  <c r="G900" i="4"/>
  <c r="D181" i="4"/>
  <c r="C182" i="4"/>
  <c r="O742" i="6"/>
  <c r="U742" i="6"/>
  <c r="V742" i="6"/>
  <c r="J743" i="6"/>
  <c r="K743" i="6"/>
  <c r="G543" i="4"/>
  <c r="H542" i="4"/>
  <c r="M143" i="5"/>
  <c r="Q142" i="5"/>
  <c r="W142" i="5"/>
  <c r="X142" i="5"/>
  <c r="H1021" i="4"/>
  <c r="G1022" i="4"/>
  <c r="H421" i="4"/>
  <c r="G422" i="4"/>
  <c r="Q1102" i="5"/>
  <c r="W1102" i="5"/>
  <c r="X1102" i="5"/>
  <c r="M1103" i="5"/>
  <c r="D301" i="4"/>
  <c r="C302" i="4"/>
  <c r="P872" i="6"/>
  <c r="G872" i="6"/>
  <c r="G384" i="5"/>
  <c r="H384" i="5"/>
  <c r="L383" i="5"/>
  <c r="N383" i="5"/>
  <c r="E873" i="6"/>
  <c r="F873" i="6"/>
  <c r="G144" i="5"/>
  <c r="H144" i="5"/>
  <c r="L143" i="5"/>
  <c r="N143" i="5"/>
  <c r="I821" i="4"/>
  <c r="O821" i="5"/>
  <c r="J821" i="4"/>
  <c r="D821" i="6"/>
  <c r="E513" i="6"/>
  <c r="F513" i="6"/>
  <c r="C423" i="4"/>
  <c r="D422" i="4"/>
  <c r="E753" i="6"/>
  <c r="F753" i="6"/>
  <c r="E633" i="6"/>
  <c r="F633" i="6"/>
  <c r="L743" i="6"/>
  <c r="M743" i="6"/>
  <c r="Q743" i="6"/>
  <c r="G264" i="5"/>
  <c r="H264" i="5"/>
  <c r="L263" i="5"/>
  <c r="N263" i="5"/>
  <c r="G304" i="4"/>
  <c r="H303" i="4"/>
  <c r="J62" i="4"/>
  <c r="D62" i="6"/>
  <c r="I62" i="4"/>
  <c r="O62" i="5"/>
  <c r="H1022" i="4"/>
  <c r="G1023" i="4"/>
  <c r="C183" i="4"/>
  <c r="D182" i="4"/>
  <c r="E1113" i="6"/>
  <c r="F1113" i="6"/>
  <c r="I1021" i="4"/>
  <c r="O1021" i="5"/>
  <c r="J1021" i="4"/>
  <c r="D1021" i="6"/>
  <c r="L143" i="6"/>
  <c r="M143" i="6"/>
  <c r="Q143" i="6"/>
  <c r="G984" i="5"/>
  <c r="H984" i="5"/>
  <c r="L983" i="5"/>
  <c r="N983" i="5"/>
  <c r="G823" i="4"/>
  <c r="H822" i="4"/>
  <c r="C1141" i="4"/>
  <c r="D1140" i="4"/>
  <c r="C63" i="4"/>
  <c r="D62" i="4"/>
  <c r="Q383" i="6"/>
  <c r="L383" i="6"/>
  <c r="M383" i="6"/>
  <c r="G64" i="4"/>
  <c r="H63" i="4"/>
  <c r="G1104" i="5"/>
  <c r="H1104" i="5"/>
  <c r="L1103" i="5"/>
  <c r="N1103" i="5"/>
  <c r="Q503" i="6"/>
  <c r="L503" i="6"/>
  <c r="M503" i="6"/>
  <c r="L743" i="5"/>
  <c r="N743" i="5"/>
  <c r="G744" i="5"/>
  <c r="H744" i="5"/>
  <c r="G24" i="5"/>
  <c r="H24" i="5"/>
  <c r="L23" i="5"/>
  <c r="N23" i="5"/>
  <c r="C902" i="4"/>
  <c r="D901" i="4"/>
  <c r="E993" i="6"/>
  <c r="F993" i="6"/>
  <c r="E33" i="6"/>
  <c r="F33" i="6"/>
  <c r="I661" i="4"/>
  <c r="O661" i="5"/>
  <c r="J661" i="4"/>
  <c r="D661" i="6"/>
  <c r="G423" i="4"/>
  <c r="H422" i="4"/>
  <c r="I421" i="4"/>
  <c r="O421" i="5"/>
  <c r="J421" i="4"/>
  <c r="D421" i="6"/>
  <c r="L863" i="6"/>
  <c r="M863" i="6"/>
  <c r="Q863" i="6"/>
  <c r="J302" i="4"/>
  <c r="D302" i="6"/>
  <c r="I302" i="4"/>
  <c r="O302" i="5"/>
  <c r="C303" i="4"/>
  <c r="D302" i="4"/>
  <c r="H900" i="4"/>
  <c r="G901" i="4"/>
  <c r="I899" i="4"/>
  <c r="O899" i="5"/>
  <c r="J899" i="4"/>
  <c r="D899" i="6"/>
  <c r="E153" i="6"/>
  <c r="F153" i="6"/>
  <c r="G184" i="4"/>
  <c r="H183" i="4"/>
  <c r="L23" i="6"/>
  <c r="M23" i="6"/>
  <c r="Q23" i="6"/>
  <c r="G504" i="5"/>
  <c r="H504" i="5"/>
  <c r="L503" i="5"/>
  <c r="N503" i="5"/>
  <c r="E393" i="6"/>
  <c r="F393" i="6"/>
  <c r="H662" i="4"/>
  <c r="G663" i="4"/>
  <c r="C545" i="4"/>
  <c r="D544" i="4"/>
  <c r="D1021" i="4"/>
  <c r="C1022" i="4"/>
  <c r="C663" i="4"/>
  <c r="D662" i="4"/>
  <c r="J1139" i="4"/>
  <c r="D1139" i="6"/>
  <c r="I1139" i="4"/>
  <c r="O1139" i="5"/>
  <c r="J542" i="4"/>
  <c r="D542" i="6"/>
  <c r="I542" i="4"/>
  <c r="O542" i="5"/>
  <c r="Q623" i="6"/>
  <c r="L623" i="6"/>
  <c r="M623" i="6"/>
  <c r="J182" i="4"/>
  <c r="D182" i="6"/>
  <c r="I182" i="4"/>
  <c r="O182" i="5"/>
  <c r="L863" i="5"/>
  <c r="N863" i="5"/>
  <c r="G864" i="5"/>
  <c r="H864" i="5"/>
  <c r="G544" i="4"/>
  <c r="H543" i="4"/>
  <c r="L263" i="6"/>
  <c r="M263" i="6"/>
  <c r="Q263" i="6"/>
  <c r="L983" i="6"/>
  <c r="M983" i="6"/>
  <c r="Q983" i="6"/>
  <c r="L623" i="5"/>
  <c r="N623" i="5"/>
  <c r="G624" i="5"/>
  <c r="H624" i="5"/>
  <c r="L1103" i="6"/>
  <c r="M1103" i="6"/>
  <c r="Q1103" i="6"/>
  <c r="H1140" i="4"/>
  <c r="G1141" i="4"/>
  <c r="C824" i="4"/>
  <c r="D823" i="4"/>
  <c r="E273" i="6"/>
  <c r="F273" i="6"/>
  <c r="R504" i="5"/>
  <c r="I504" i="5"/>
  <c r="J504" i="5"/>
  <c r="R24" i="5"/>
  <c r="I24" i="5"/>
  <c r="J24" i="5"/>
  <c r="H64" i="4"/>
  <c r="G65" i="4"/>
  <c r="R143" i="6"/>
  <c r="S143" i="6"/>
  <c r="N143" i="6"/>
  <c r="H1023" i="4"/>
  <c r="G1024" i="4"/>
  <c r="R264" i="5"/>
  <c r="I264" i="5"/>
  <c r="J264" i="5"/>
  <c r="C424" i="4"/>
  <c r="D423" i="4"/>
  <c r="G873" i="6"/>
  <c r="P873" i="6"/>
  <c r="P23" i="5"/>
  <c r="T23" i="5"/>
  <c r="U23" i="5"/>
  <c r="N1103" i="6"/>
  <c r="R1103" i="6"/>
  <c r="S1103" i="6"/>
  <c r="D1141" i="4"/>
  <c r="C1142" i="4"/>
  <c r="P383" i="5"/>
  <c r="T383" i="5"/>
  <c r="U383" i="5"/>
  <c r="G664" i="4"/>
  <c r="H663" i="4"/>
  <c r="R23" i="6"/>
  <c r="S23" i="6"/>
  <c r="N23" i="6"/>
  <c r="H901" i="4"/>
  <c r="G902" i="4"/>
  <c r="T743" i="5"/>
  <c r="U743" i="5"/>
  <c r="P743" i="5"/>
  <c r="J822" i="4"/>
  <c r="D822" i="6"/>
  <c r="I822" i="4"/>
  <c r="O822" i="5"/>
  <c r="N743" i="6"/>
  <c r="R743" i="6"/>
  <c r="P513" i="6"/>
  <c r="G513" i="6"/>
  <c r="I384" i="5"/>
  <c r="J384" i="5"/>
  <c r="R384" i="5"/>
  <c r="I543" i="4"/>
  <c r="O543" i="5"/>
  <c r="J543" i="4"/>
  <c r="D543" i="6"/>
  <c r="J63" i="4"/>
  <c r="D63" i="6"/>
  <c r="I63" i="4"/>
  <c r="O63" i="5"/>
  <c r="R744" i="5"/>
  <c r="I744" i="5"/>
  <c r="J744" i="5"/>
  <c r="J1022" i="4"/>
  <c r="D1022" i="6"/>
  <c r="I1022" i="4"/>
  <c r="O1022" i="5"/>
  <c r="P273" i="6"/>
  <c r="G273" i="6"/>
  <c r="J662" i="4"/>
  <c r="D662" i="6"/>
  <c r="I662" i="4"/>
  <c r="O662" i="5"/>
  <c r="J183" i="4"/>
  <c r="D183" i="6"/>
  <c r="I183" i="4"/>
  <c r="O183" i="5"/>
  <c r="J900" i="4"/>
  <c r="D900" i="6"/>
  <c r="I900" i="4"/>
  <c r="O900" i="5"/>
  <c r="P993" i="6"/>
  <c r="G993" i="6"/>
  <c r="R503" i="6"/>
  <c r="S503" i="6"/>
  <c r="N503" i="6"/>
  <c r="R383" i="6"/>
  <c r="N383" i="6"/>
  <c r="G824" i="4"/>
  <c r="H823" i="4"/>
  <c r="D63" i="4"/>
  <c r="C64" i="4"/>
  <c r="I864" i="5"/>
  <c r="J864" i="5"/>
  <c r="R864" i="5"/>
  <c r="P33" i="6"/>
  <c r="G33" i="6"/>
  <c r="S743" i="6"/>
  <c r="T623" i="5"/>
  <c r="U623" i="5"/>
  <c r="P623" i="5"/>
  <c r="C825" i="4"/>
  <c r="D825" i="4"/>
  <c r="D824" i="4"/>
  <c r="S383" i="6"/>
  <c r="P983" i="5"/>
  <c r="T983" i="5"/>
  <c r="U983" i="5"/>
  <c r="P633" i="6"/>
  <c r="G633" i="6"/>
  <c r="P503" i="5"/>
  <c r="T503" i="5"/>
  <c r="U503" i="5"/>
  <c r="D183" i="4"/>
  <c r="C184" i="4"/>
  <c r="I624" i="5"/>
  <c r="J624" i="5"/>
  <c r="R624" i="5"/>
  <c r="N863" i="6"/>
  <c r="R863" i="6"/>
  <c r="S863" i="6"/>
  <c r="T863" i="5"/>
  <c r="U863" i="5"/>
  <c r="P863" i="5"/>
  <c r="S983" i="6"/>
  <c r="N983" i="6"/>
  <c r="R983" i="6"/>
  <c r="H184" i="4"/>
  <c r="G185" i="4"/>
  <c r="J422" i="4"/>
  <c r="D422" i="6"/>
  <c r="I422" i="4"/>
  <c r="O422" i="5"/>
  <c r="G1142" i="4"/>
  <c r="H1141" i="4"/>
  <c r="N623" i="6"/>
  <c r="R623" i="6"/>
  <c r="S623" i="6"/>
  <c r="C664" i="4"/>
  <c r="D663" i="4"/>
  <c r="D303" i="4"/>
  <c r="C304" i="4"/>
  <c r="G424" i="4"/>
  <c r="H423" i="4"/>
  <c r="P1103" i="5"/>
  <c r="T1103" i="5"/>
  <c r="U1103" i="5"/>
  <c r="I984" i="5"/>
  <c r="J984" i="5"/>
  <c r="R984" i="5"/>
  <c r="P1113" i="6"/>
  <c r="G1113" i="6"/>
  <c r="J303" i="4"/>
  <c r="D303" i="6"/>
  <c r="I303" i="4"/>
  <c r="O303" i="5"/>
  <c r="P143" i="5"/>
  <c r="T143" i="5"/>
  <c r="U143" i="5"/>
  <c r="P263" i="5"/>
  <c r="T263" i="5"/>
  <c r="U263" i="5"/>
  <c r="G545" i="4"/>
  <c r="H544" i="4"/>
  <c r="C546" i="4"/>
  <c r="D545" i="4"/>
  <c r="J1140" i="4"/>
  <c r="D1140" i="6"/>
  <c r="I1140" i="4"/>
  <c r="O1140" i="5"/>
  <c r="R263" i="6"/>
  <c r="S263" i="6"/>
  <c r="N263" i="6"/>
  <c r="D1022" i="4"/>
  <c r="C1023" i="4"/>
  <c r="G393" i="6"/>
  <c r="P393" i="6"/>
  <c r="G153" i="6"/>
  <c r="P153" i="6"/>
  <c r="D902" i="4"/>
  <c r="C903" i="4"/>
  <c r="I1104" i="5"/>
  <c r="J1104" i="5"/>
  <c r="R1104" i="5"/>
  <c r="H304" i="4"/>
  <c r="G305" i="4"/>
  <c r="G753" i="6"/>
  <c r="P753" i="6"/>
  <c r="R144" i="5"/>
  <c r="I144" i="5"/>
  <c r="J144" i="5"/>
  <c r="H1142" i="4"/>
  <c r="G1143" i="4"/>
  <c r="J744" i="6"/>
  <c r="K744" i="6"/>
  <c r="O743" i="6"/>
  <c r="U743" i="6"/>
  <c r="V743" i="6"/>
  <c r="E754" i="6"/>
  <c r="F754" i="6"/>
  <c r="C1024" i="4"/>
  <c r="D1023" i="4"/>
  <c r="C547" i="4"/>
  <c r="D546" i="4"/>
  <c r="G425" i="4"/>
  <c r="H424" i="4"/>
  <c r="J1141" i="4"/>
  <c r="D1141" i="6"/>
  <c r="I1141" i="4"/>
  <c r="O1141" i="5"/>
  <c r="O503" i="6"/>
  <c r="U503" i="6"/>
  <c r="V503" i="6"/>
  <c r="J504" i="6"/>
  <c r="K504" i="6"/>
  <c r="J24" i="6"/>
  <c r="K24" i="6"/>
  <c r="O23" i="6"/>
  <c r="U23" i="6"/>
  <c r="V23" i="6"/>
  <c r="G66" i="4"/>
  <c r="H65" i="4"/>
  <c r="S864" i="5"/>
  <c r="K864" i="5"/>
  <c r="C425" i="4"/>
  <c r="D424" i="4"/>
  <c r="M504" i="5"/>
  <c r="Q503" i="5"/>
  <c r="W503" i="5"/>
  <c r="X503" i="5"/>
  <c r="C65" i="4"/>
  <c r="D64" i="4"/>
  <c r="E994" i="6"/>
  <c r="F994" i="6"/>
  <c r="E274" i="6"/>
  <c r="F274" i="6"/>
  <c r="I663" i="4"/>
  <c r="O663" i="5"/>
  <c r="J663" i="4"/>
  <c r="D663" i="6"/>
  <c r="O1103" i="6"/>
  <c r="U1103" i="6"/>
  <c r="V1103" i="6"/>
  <c r="J1104" i="6"/>
  <c r="K1104" i="6"/>
  <c r="K264" i="5"/>
  <c r="S264" i="5"/>
  <c r="S24" i="5"/>
  <c r="K24" i="5"/>
  <c r="J544" i="4"/>
  <c r="D544" i="6"/>
  <c r="I544" i="4"/>
  <c r="O544" i="5"/>
  <c r="S144" i="5"/>
  <c r="K144" i="5"/>
  <c r="G546" i="4"/>
  <c r="H545" i="4"/>
  <c r="O263" i="6"/>
  <c r="U263" i="6"/>
  <c r="V263" i="6"/>
  <c r="J264" i="6"/>
  <c r="K264" i="6"/>
  <c r="E634" i="6"/>
  <c r="F634" i="6"/>
  <c r="Q623" i="5"/>
  <c r="W623" i="5"/>
  <c r="X623" i="5"/>
  <c r="M624" i="5"/>
  <c r="H664" i="4"/>
  <c r="G665" i="4"/>
  <c r="K1104" i="5"/>
  <c r="S1104" i="5"/>
  <c r="J64" i="4"/>
  <c r="D64" i="6"/>
  <c r="I64" i="4"/>
  <c r="O64" i="5"/>
  <c r="C904" i="4"/>
  <c r="D903" i="4"/>
  <c r="Q263" i="5"/>
  <c r="W263" i="5"/>
  <c r="X263" i="5"/>
  <c r="M264" i="5"/>
  <c r="K984" i="5"/>
  <c r="S984" i="5"/>
  <c r="C665" i="4"/>
  <c r="D664" i="4"/>
  <c r="G186" i="4"/>
  <c r="H185" i="4"/>
  <c r="J864" i="6"/>
  <c r="K864" i="6"/>
  <c r="O863" i="6"/>
  <c r="U863" i="6"/>
  <c r="V863" i="6"/>
  <c r="I823" i="4"/>
  <c r="O823" i="5"/>
  <c r="J823" i="4"/>
  <c r="D823" i="6"/>
  <c r="M744" i="5"/>
  <c r="Q743" i="5"/>
  <c r="W743" i="5"/>
  <c r="X743" i="5"/>
  <c r="M24" i="5"/>
  <c r="Q23" i="5"/>
  <c r="W23" i="5"/>
  <c r="X23" i="5"/>
  <c r="G1025" i="4"/>
  <c r="H1024" i="4"/>
  <c r="S504" i="5"/>
  <c r="K504" i="5"/>
  <c r="C305" i="4"/>
  <c r="D304" i="4"/>
  <c r="G825" i="4"/>
  <c r="H825" i="4"/>
  <c r="H824" i="4"/>
  <c r="K384" i="5"/>
  <c r="S384" i="5"/>
  <c r="M384" i="5"/>
  <c r="Q383" i="5"/>
  <c r="W383" i="5"/>
  <c r="X383" i="5"/>
  <c r="G306" i="4"/>
  <c r="H305" i="4"/>
  <c r="M144" i="5"/>
  <c r="Q143" i="5"/>
  <c r="W143" i="5"/>
  <c r="X143" i="5"/>
  <c r="Q1103" i="5"/>
  <c r="W1103" i="5"/>
  <c r="X1103" i="5"/>
  <c r="M1104" i="5"/>
  <c r="O623" i="6"/>
  <c r="U623" i="6"/>
  <c r="V623" i="6"/>
  <c r="J624" i="6"/>
  <c r="K624" i="6"/>
  <c r="K624" i="5"/>
  <c r="S624" i="5"/>
  <c r="Q983" i="5"/>
  <c r="W983" i="5"/>
  <c r="X983" i="5"/>
  <c r="M984" i="5"/>
  <c r="E34" i="6"/>
  <c r="F34" i="6"/>
  <c r="J384" i="6"/>
  <c r="K384" i="6"/>
  <c r="O383" i="6"/>
  <c r="U383" i="6"/>
  <c r="V383" i="6"/>
  <c r="K744" i="5"/>
  <c r="S744" i="5"/>
  <c r="E514" i="6"/>
  <c r="F514" i="6"/>
  <c r="G903" i="4"/>
  <c r="H902" i="4"/>
  <c r="C1143" i="4"/>
  <c r="D1142" i="4"/>
  <c r="J144" i="6"/>
  <c r="K144" i="6"/>
  <c r="O143" i="6"/>
  <c r="U143" i="6"/>
  <c r="V143" i="6"/>
  <c r="E1114" i="6"/>
  <c r="F1114" i="6"/>
  <c r="M864" i="5"/>
  <c r="Q863" i="5"/>
  <c r="W863" i="5"/>
  <c r="X863" i="5"/>
  <c r="E154" i="6"/>
  <c r="F154" i="6"/>
  <c r="J184" i="4"/>
  <c r="D184" i="6"/>
  <c r="I184" i="4"/>
  <c r="O184" i="5"/>
  <c r="I1023" i="4"/>
  <c r="O1023" i="5"/>
  <c r="J1023" i="4"/>
  <c r="D1023" i="6"/>
  <c r="J304" i="4"/>
  <c r="D304" i="6"/>
  <c r="I304" i="4"/>
  <c r="O304" i="5"/>
  <c r="E394" i="6"/>
  <c r="F394" i="6"/>
  <c r="J423" i="4"/>
  <c r="D423" i="6"/>
  <c r="I423" i="4"/>
  <c r="O423" i="5"/>
  <c r="J984" i="6"/>
  <c r="K984" i="6"/>
  <c r="O983" i="6"/>
  <c r="U983" i="6"/>
  <c r="V983" i="6"/>
  <c r="C185" i="4"/>
  <c r="D184" i="4"/>
  <c r="I901" i="4"/>
  <c r="O901" i="5"/>
  <c r="J901" i="4"/>
  <c r="D901" i="6"/>
  <c r="E874" i="6"/>
  <c r="F874" i="6"/>
  <c r="L144" i="6"/>
  <c r="M144" i="6"/>
  <c r="Q144" i="6"/>
  <c r="J305" i="4"/>
  <c r="D305" i="6"/>
  <c r="I305" i="4"/>
  <c r="O305" i="5"/>
  <c r="Q864" i="6"/>
  <c r="L864" i="6"/>
  <c r="M864" i="6"/>
  <c r="I545" i="4"/>
  <c r="O545" i="5"/>
  <c r="J545" i="4"/>
  <c r="D545" i="6"/>
  <c r="L864" i="5"/>
  <c r="N864" i="5"/>
  <c r="G865" i="5"/>
  <c r="H865" i="5"/>
  <c r="D1024" i="4"/>
  <c r="C1025" i="4"/>
  <c r="P154" i="6"/>
  <c r="G154" i="6"/>
  <c r="P994" i="6"/>
  <c r="G994" i="6"/>
  <c r="D185" i="4"/>
  <c r="C186" i="4"/>
  <c r="D1143" i="4"/>
  <c r="C1144" i="4"/>
  <c r="L384" i="6"/>
  <c r="M384" i="6"/>
  <c r="Q384" i="6"/>
  <c r="G505" i="5"/>
  <c r="H505" i="5"/>
  <c r="L504" i="5"/>
  <c r="N504" i="5"/>
  <c r="G634" i="6"/>
  <c r="P634" i="6"/>
  <c r="D65" i="4"/>
  <c r="C66" i="4"/>
  <c r="H66" i="4"/>
  <c r="G67" i="4"/>
  <c r="J424" i="4"/>
  <c r="D424" i="6"/>
  <c r="I424" i="4"/>
  <c r="O424" i="5"/>
  <c r="G754" i="6"/>
  <c r="P754" i="6"/>
  <c r="L744" i="5"/>
  <c r="N744" i="5"/>
  <c r="G745" i="5"/>
  <c r="H745" i="5"/>
  <c r="G1105" i="5"/>
  <c r="H1105" i="5"/>
  <c r="L1104" i="5"/>
  <c r="N1104" i="5"/>
  <c r="H186" i="4"/>
  <c r="G187" i="4"/>
  <c r="Q1104" i="6"/>
  <c r="L1104" i="6"/>
  <c r="M1104" i="6"/>
  <c r="L984" i="6"/>
  <c r="M984" i="6"/>
  <c r="Q984" i="6"/>
  <c r="J902" i="4"/>
  <c r="D902" i="6"/>
  <c r="I902" i="4"/>
  <c r="O902" i="5"/>
  <c r="P34" i="6"/>
  <c r="G34" i="6"/>
  <c r="C666" i="4"/>
  <c r="D665" i="4"/>
  <c r="G666" i="4"/>
  <c r="H665" i="4"/>
  <c r="G426" i="4"/>
  <c r="H425" i="4"/>
  <c r="H306" i="4"/>
  <c r="G307" i="4"/>
  <c r="J185" i="4"/>
  <c r="D185" i="6"/>
  <c r="I185" i="4"/>
  <c r="O185" i="5"/>
  <c r="G547" i="4"/>
  <c r="H546" i="4"/>
  <c r="J65" i="4"/>
  <c r="D65" i="6"/>
  <c r="I65" i="4"/>
  <c r="O65" i="5"/>
  <c r="P1114" i="6"/>
  <c r="G1114" i="6"/>
  <c r="H903" i="4"/>
  <c r="G904" i="4"/>
  <c r="G385" i="5"/>
  <c r="H385" i="5"/>
  <c r="L384" i="5"/>
  <c r="N384" i="5"/>
  <c r="I1024" i="4"/>
  <c r="O1024" i="5"/>
  <c r="J1024" i="4"/>
  <c r="D1024" i="6"/>
  <c r="D904" i="4"/>
  <c r="C905" i="4"/>
  <c r="J664" i="4"/>
  <c r="D664" i="6"/>
  <c r="I664" i="4"/>
  <c r="O664" i="5"/>
  <c r="L264" i="6"/>
  <c r="M264" i="6"/>
  <c r="Q264" i="6"/>
  <c r="L24" i="6"/>
  <c r="M24" i="6"/>
  <c r="Q24" i="6"/>
  <c r="Q744" i="6"/>
  <c r="L744" i="6"/>
  <c r="M744" i="6"/>
  <c r="P394" i="6"/>
  <c r="G394" i="6"/>
  <c r="L624" i="5"/>
  <c r="N624" i="5"/>
  <c r="G625" i="5"/>
  <c r="H625" i="5"/>
  <c r="G265" i="5"/>
  <c r="H265" i="5"/>
  <c r="L264" i="5"/>
  <c r="N264" i="5"/>
  <c r="Q624" i="6"/>
  <c r="L624" i="6"/>
  <c r="M624" i="6"/>
  <c r="G514" i="6"/>
  <c r="P514" i="6"/>
  <c r="I824" i="4"/>
  <c r="O824" i="5"/>
  <c r="J824" i="4"/>
  <c r="D824" i="6"/>
  <c r="H1025" i="4"/>
  <c r="G1026" i="4"/>
  <c r="G985" i="5"/>
  <c r="H985" i="5"/>
  <c r="L984" i="5"/>
  <c r="N984" i="5"/>
  <c r="G25" i="5"/>
  <c r="H25" i="5"/>
  <c r="L24" i="5"/>
  <c r="N24" i="5"/>
  <c r="L504" i="6"/>
  <c r="M504" i="6"/>
  <c r="Q504" i="6"/>
  <c r="C548" i="4"/>
  <c r="D547" i="4"/>
  <c r="G1144" i="4"/>
  <c r="H1143" i="4"/>
  <c r="D305" i="4"/>
  <c r="C306" i="4"/>
  <c r="G145" i="5"/>
  <c r="H145" i="5"/>
  <c r="L144" i="5"/>
  <c r="N144" i="5"/>
  <c r="P874" i="6"/>
  <c r="G874" i="6"/>
  <c r="I825" i="4"/>
  <c r="O825" i="5"/>
  <c r="J825" i="4"/>
  <c r="D825" i="6"/>
  <c r="P274" i="6"/>
  <c r="G274" i="6"/>
  <c r="C426" i="4"/>
  <c r="D425" i="4"/>
  <c r="J1142" i="4"/>
  <c r="D1142" i="6"/>
  <c r="I1142" i="4"/>
  <c r="O1142" i="5"/>
  <c r="N264" i="6"/>
  <c r="R264" i="6"/>
  <c r="I903" i="4"/>
  <c r="O903" i="5"/>
  <c r="J903" i="4"/>
  <c r="D903" i="6"/>
  <c r="C667" i="4"/>
  <c r="D666" i="4"/>
  <c r="E755" i="6"/>
  <c r="F755" i="6"/>
  <c r="E635" i="6"/>
  <c r="F635" i="6"/>
  <c r="T864" i="5"/>
  <c r="U864" i="5"/>
  <c r="P864" i="5"/>
  <c r="R144" i="6"/>
  <c r="N144" i="6"/>
  <c r="D426" i="4"/>
  <c r="C427" i="4"/>
  <c r="I385" i="5"/>
  <c r="J385" i="5"/>
  <c r="R385" i="5"/>
  <c r="T744" i="5"/>
  <c r="U744" i="5"/>
  <c r="P744" i="5"/>
  <c r="E275" i="6"/>
  <c r="F275" i="6"/>
  <c r="R865" i="5"/>
  <c r="I865" i="5"/>
  <c r="J865" i="5"/>
  <c r="I25" i="5"/>
  <c r="J25" i="5"/>
  <c r="R25" i="5"/>
  <c r="J1143" i="4"/>
  <c r="D1143" i="6"/>
  <c r="I1143" i="4"/>
  <c r="O1143" i="5"/>
  <c r="P984" i="5"/>
  <c r="T984" i="5"/>
  <c r="U984" i="5"/>
  <c r="R624" i="6"/>
  <c r="N624" i="6"/>
  <c r="N744" i="6"/>
  <c r="R744" i="6"/>
  <c r="C906" i="4"/>
  <c r="D905" i="4"/>
  <c r="E1115" i="6"/>
  <c r="F1115" i="6"/>
  <c r="G308" i="4"/>
  <c r="H307" i="4"/>
  <c r="E35" i="6"/>
  <c r="F35" i="6"/>
  <c r="G188" i="4"/>
  <c r="H187" i="4"/>
  <c r="P504" i="5"/>
  <c r="T504" i="5"/>
  <c r="U504" i="5"/>
  <c r="E995" i="6"/>
  <c r="F995" i="6"/>
  <c r="T624" i="5"/>
  <c r="U624" i="5"/>
  <c r="P624" i="5"/>
  <c r="E395" i="6"/>
  <c r="F395" i="6"/>
  <c r="C187" i="4"/>
  <c r="D186" i="4"/>
  <c r="H1144" i="4"/>
  <c r="G1145" i="4"/>
  <c r="I985" i="5"/>
  <c r="J985" i="5"/>
  <c r="R985" i="5"/>
  <c r="S624" i="6"/>
  <c r="S744" i="6"/>
  <c r="J306" i="4"/>
  <c r="D306" i="6"/>
  <c r="I306" i="4"/>
  <c r="O306" i="5"/>
  <c r="J186" i="4"/>
  <c r="D186" i="6"/>
  <c r="I186" i="4"/>
  <c r="O186" i="5"/>
  <c r="I505" i="5"/>
  <c r="J505" i="5"/>
  <c r="R505" i="5"/>
  <c r="R504" i="6"/>
  <c r="N504" i="6"/>
  <c r="H666" i="4"/>
  <c r="G667" i="4"/>
  <c r="C307" i="4"/>
  <c r="D306" i="4"/>
  <c r="G905" i="4"/>
  <c r="H904" i="4"/>
  <c r="S144" i="6"/>
  <c r="G1027" i="4"/>
  <c r="H1026" i="4"/>
  <c r="T264" i="5"/>
  <c r="U264" i="5"/>
  <c r="P264" i="5"/>
  <c r="J425" i="4"/>
  <c r="D425" i="6"/>
  <c r="I425" i="4"/>
  <c r="O425" i="5"/>
  <c r="P1104" i="5"/>
  <c r="T1104" i="5"/>
  <c r="U1104" i="5"/>
  <c r="G68" i="4"/>
  <c r="H67" i="4"/>
  <c r="E155" i="6"/>
  <c r="F155" i="6"/>
  <c r="R864" i="6"/>
  <c r="N864" i="6"/>
  <c r="N984" i="6"/>
  <c r="R984" i="6"/>
  <c r="R1104" i="6"/>
  <c r="S1104" i="6"/>
  <c r="N1104" i="6"/>
  <c r="E875" i="6"/>
  <c r="F875" i="6"/>
  <c r="C549" i="4"/>
  <c r="D548" i="4"/>
  <c r="I1025" i="4"/>
  <c r="O1025" i="5"/>
  <c r="J1025" i="4"/>
  <c r="D1025" i="6"/>
  <c r="R265" i="5"/>
  <c r="I265" i="5"/>
  <c r="J265" i="5"/>
  <c r="R24" i="6"/>
  <c r="S24" i="6"/>
  <c r="N24" i="6"/>
  <c r="G427" i="4"/>
  <c r="H426" i="4"/>
  <c r="I1105" i="5"/>
  <c r="J1105" i="5"/>
  <c r="R1105" i="5"/>
  <c r="J66" i="4"/>
  <c r="D66" i="6"/>
  <c r="I66" i="4"/>
  <c r="O66" i="5"/>
  <c r="R384" i="6"/>
  <c r="S384" i="6"/>
  <c r="N384" i="6"/>
  <c r="S864" i="6"/>
  <c r="R145" i="5"/>
  <c r="I145" i="5"/>
  <c r="J145" i="5"/>
  <c r="G548" i="4"/>
  <c r="H547" i="4"/>
  <c r="P24" i="5"/>
  <c r="T24" i="5"/>
  <c r="U24" i="5"/>
  <c r="E515" i="6"/>
  <c r="F515" i="6"/>
  <c r="P144" i="5"/>
  <c r="T144" i="5"/>
  <c r="U144" i="5"/>
  <c r="S504" i="6"/>
  <c r="I625" i="5"/>
  <c r="J625" i="5"/>
  <c r="R625" i="5"/>
  <c r="S264" i="6"/>
  <c r="P384" i="5"/>
  <c r="T384" i="5"/>
  <c r="U384" i="5"/>
  <c r="J546" i="4"/>
  <c r="D546" i="6"/>
  <c r="I546" i="4"/>
  <c r="O546" i="5"/>
  <c r="I665" i="4"/>
  <c r="O665" i="5"/>
  <c r="J665" i="4"/>
  <c r="D665" i="6"/>
  <c r="S984" i="6"/>
  <c r="R745" i="5"/>
  <c r="I745" i="5"/>
  <c r="J745" i="5"/>
  <c r="C67" i="4"/>
  <c r="D66" i="4"/>
  <c r="C1145" i="4"/>
  <c r="D1144" i="4"/>
  <c r="D1025" i="4"/>
  <c r="C1026" i="4"/>
  <c r="C668" i="4"/>
  <c r="D667" i="4"/>
  <c r="P155" i="6"/>
  <c r="G155" i="6"/>
  <c r="M145" i="5"/>
  <c r="Q144" i="5"/>
  <c r="W144" i="5"/>
  <c r="X144" i="5"/>
  <c r="J1105" i="6"/>
  <c r="K1105" i="6"/>
  <c r="O1104" i="6"/>
  <c r="U1104" i="6"/>
  <c r="V1104" i="6"/>
  <c r="M265" i="5"/>
  <c r="Q264" i="5"/>
  <c r="W264" i="5"/>
  <c r="X264" i="5"/>
  <c r="D307" i="4"/>
  <c r="C308" i="4"/>
  <c r="Q624" i="5"/>
  <c r="W624" i="5"/>
  <c r="X624" i="5"/>
  <c r="M625" i="5"/>
  <c r="M745" i="5"/>
  <c r="Q744" i="5"/>
  <c r="W744" i="5"/>
  <c r="X744" i="5"/>
  <c r="S505" i="5"/>
  <c r="K505" i="5"/>
  <c r="D906" i="4"/>
  <c r="C907" i="4"/>
  <c r="J67" i="4"/>
  <c r="D67" i="6"/>
  <c r="I67" i="4"/>
  <c r="O67" i="5"/>
  <c r="G668" i="4"/>
  <c r="H667" i="4"/>
  <c r="S985" i="5"/>
  <c r="K985" i="5"/>
  <c r="P35" i="6"/>
  <c r="G35" i="6"/>
  <c r="J745" i="6"/>
  <c r="K745" i="6"/>
  <c r="O744" i="6"/>
  <c r="U744" i="6"/>
  <c r="V744" i="6"/>
  <c r="S25" i="5"/>
  <c r="K25" i="5"/>
  <c r="K385" i="5"/>
  <c r="S385" i="5"/>
  <c r="P635" i="6"/>
  <c r="G635" i="6"/>
  <c r="D1145" i="4"/>
  <c r="C1146" i="4"/>
  <c r="P875" i="6"/>
  <c r="G875" i="6"/>
  <c r="P395" i="6"/>
  <c r="G395" i="6"/>
  <c r="H188" i="4"/>
  <c r="G189" i="4"/>
  <c r="S745" i="5"/>
  <c r="K745" i="5"/>
  <c r="H68" i="4"/>
  <c r="G69" i="4"/>
  <c r="J1026" i="4"/>
  <c r="D1026" i="6"/>
  <c r="I1026" i="4"/>
  <c r="O1026" i="5"/>
  <c r="J666" i="4"/>
  <c r="D666" i="6"/>
  <c r="I666" i="4"/>
  <c r="O666" i="5"/>
  <c r="G1146" i="4"/>
  <c r="H1145" i="4"/>
  <c r="J307" i="4"/>
  <c r="D307" i="6"/>
  <c r="I307" i="4"/>
  <c r="O307" i="5"/>
  <c r="J625" i="6"/>
  <c r="K625" i="6"/>
  <c r="O624" i="6"/>
  <c r="U624" i="6"/>
  <c r="V624" i="6"/>
  <c r="S865" i="5"/>
  <c r="K865" i="5"/>
  <c r="C428" i="4"/>
  <c r="D427" i="4"/>
  <c r="I547" i="4"/>
  <c r="O547" i="5"/>
  <c r="J547" i="4"/>
  <c r="D547" i="6"/>
  <c r="S145" i="5"/>
  <c r="K145" i="5"/>
  <c r="M385" i="5"/>
  <c r="Q384" i="5"/>
  <c r="W384" i="5"/>
  <c r="X384" i="5"/>
  <c r="K1105" i="5"/>
  <c r="S1105" i="5"/>
  <c r="J426" i="4"/>
  <c r="D426" i="6"/>
  <c r="I426" i="4"/>
  <c r="O426" i="5"/>
  <c r="J985" i="6"/>
  <c r="K985" i="6"/>
  <c r="O984" i="6"/>
  <c r="U984" i="6"/>
  <c r="V984" i="6"/>
  <c r="H1027" i="4"/>
  <c r="G1028" i="4"/>
  <c r="J505" i="6"/>
  <c r="K505" i="6"/>
  <c r="O504" i="6"/>
  <c r="U504" i="6"/>
  <c r="V504" i="6"/>
  <c r="J1144" i="4"/>
  <c r="D1144" i="6"/>
  <c r="I1144" i="4"/>
  <c r="O1144" i="5"/>
  <c r="G995" i="6"/>
  <c r="P995" i="6"/>
  <c r="H308" i="4"/>
  <c r="G309" i="4"/>
  <c r="P755" i="6"/>
  <c r="G755" i="6"/>
  <c r="M25" i="5"/>
  <c r="Q24" i="5"/>
  <c r="W24" i="5"/>
  <c r="X24" i="5"/>
  <c r="D67" i="4"/>
  <c r="C68" i="4"/>
  <c r="H427" i="4"/>
  <c r="G428" i="4"/>
  <c r="C550" i="4"/>
  <c r="D549" i="4"/>
  <c r="J865" i="6"/>
  <c r="K865" i="6"/>
  <c r="O864" i="6"/>
  <c r="U864" i="6"/>
  <c r="V864" i="6"/>
  <c r="Q1104" i="5"/>
  <c r="W1104" i="5"/>
  <c r="X1104" i="5"/>
  <c r="M1105" i="5"/>
  <c r="O144" i="6"/>
  <c r="U144" i="6"/>
  <c r="V144" i="6"/>
  <c r="J145" i="6"/>
  <c r="K145" i="6"/>
  <c r="H905" i="4"/>
  <c r="G906" i="4"/>
  <c r="J187" i="4"/>
  <c r="D187" i="6"/>
  <c r="I187" i="4"/>
  <c r="O187" i="5"/>
  <c r="M865" i="5"/>
  <c r="Q864" i="5"/>
  <c r="W864" i="5"/>
  <c r="X864" i="5"/>
  <c r="K265" i="5"/>
  <c r="S265" i="5"/>
  <c r="G549" i="4"/>
  <c r="H548" i="4"/>
  <c r="P515" i="6"/>
  <c r="G515" i="6"/>
  <c r="D1026" i="4"/>
  <c r="C1027" i="4"/>
  <c r="K625" i="5"/>
  <c r="S625" i="5"/>
  <c r="O384" i="6"/>
  <c r="U384" i="6"/>
  <c r="V384" i="6"/>
  <c r="J385" i="6"/>
  <c r="K385" i="6"/>
  <c r="O24" i="6"/>
  <c r="U24" i="6"/>
  <c r="V24" i="6"/>
  <c r="J25" i="6"/>
  <c r="K25" i="6"/>
  <c r="J904" i="4"/>
  <c r="D904" i="6"/>
  <c r="I904" i="4"/>
  <c r="O904" i="5"/>
  <c r="D187" i="4"/>
  <c r="C188" i="4"/>
  <c r="M505" i="5"/>
  <c r="Q504" i="5"/>
  <c r="W504" i="5"/>
  <c r="X504" i="5"/>
  <c r="G1115" i="6"/>
  <c r="P1115" i="6"/>
  <c r="Q984" i="5"/>
  <c r="W984" i="5"/>
  <c r="X984" i="5"/>
  <c r="M985" i="5"/>
  <c r="G275" i="6"/>
  <c r="P275" i="6"/>
  <c r="J265" i="6"/>
  <c r="K265" i="6"/>
  <c r="O264" i="6"/>
  <c r="U264" i="6"/>
  <c r="V264" i="6"/>
  <c r="J548" i="4"/>
  <c r="D548" i="6"/>
  <c r="I548" i="4"/>
  <c r="O548" i="5"/>
  <c r="J188" i="4"/>
  <c r="D188" i="6"/>
  <c r="I188" i="4"/>
  <c r="O188" i="5"/>
  <c r="I905" i="4"/>
  <c r="O905" i="5"/>
  <c r="J905" i="4"/>
  <c r="D905" i="6"/>
  <c r="Q625" i="6"/>
  <c r="L625" i="6"/>
  <c r="M625" i="6"/>
  <c r="E396" i="6"/>
  <c r="F396" i="6"/>
  <c r="G986" i="5"/>
  <c r="H986" i="5"/>
  <c r="L985" i="5"/>
  <c r="N985" i="5"/>
  <c r="G506" i="5"/>
  <c r="H506" i="5"/>
  <c r="L505" i="5"/>
  <c r="N505" i="5"/>
  <c r="C189" i="4"/>
  <c r="D188" i="4"/>
  <c r="L145" i="6"/>
  <c r="M145" i="6"/>
  <c r="Q145" i="6"/>
  <c r="G429" i="4"/>
  <c r="H428" i="4"/>
  <c r="E756" i="6"/>
  <c r="F756" i="6"/>
  <c r="G70" i="4"/>
  <c r="H69" i="4"/>
  <c r="G386" i="5"/>
  <c r="H386" i="5"/>
  <c r="L385" i="5"/>
  <c r="N385" i="5"/>
  <c r="C309" i="4"/>
  <c r="D308" i="4"/>
  <c r="G146" i="5"/>
  <c r="H146" i="5"/>
  <c r="L145" i="5"/>
  <c r="N145" i="5"/>
  <c r="Q265" i="6"/>
  <c r="L265" i="6"/>
  <c r="M265" i="6"/>
  <c r="D550" i="4"/>
  <c r="C551" i="4"/>
  <c r="J68" i="4"/>
  <c r="D68" i="6"/>
  <c r="I68" i="4"/>
  <c r="O68" i="5"/>
  <c r="E876" i="6"/>
  <c r="F876" i="6"/>
  <c r="G26" i="5"/>
  <c r="H26" i="5"/>
  <c r="L25" i="5"/>
  <c r="N25" i="5"/>
  <c r="I667" i="4"/>
  <c r="O667" i="5"/>
  <c r="J667" i="4"/>
  <c r="D667" i="6"/>
  <c r="E156" i="6"/>
  <c r="F156" i="6"/>
  <c r="L385" i="6"/>
  <c r="M385" i="6"/>
  <c r="Q385" i="6"/>
  <c r="E996" i="6"/>
  <c r="F996" i="6"/>
  <c r="G550" i="4"/>
  <c r="H549" i="4"/>
  <c r="G266" i="5"/>
  <c r="H266" i="5"/>
  <c r="L265" i="5"/>
  <c r="N265" i="5"/>
  <c r="J427" i="4"/>
  <c r="D427" i="6"/>
  <c r="I427" i="4"/>
  <c r="O427" i="5"/>
  <c r="C1028" i="4"/>
  <c r="D1027" i="4"/>
  <c r="Q505" i="6"/>
  <c r="L505" i="6"/>
  <c r="M505" i="6"/>
  <c r="J1145" i="4"/>
  <c r="D1145" i="6"/>
  <c r="I1145" i="4"/>
  <c r="O1145" i="5"/>
  <c r="H668" i="4"/>
  <c r="G669" i="4"/>
  <c r="L25" i="6"/>
  <c r="M25" i="6"/>
  <c r="Q25" i="6"/>
  <c r="G907" i="4"/>
  <c r="H906" i="4"/>
  <c r="Q985" i="6"/>
  <c r="L985" i="6"/>
  <c r="M985" i="6"/>
  <c r="E276" i="6"/>
  <c r="F276" i="6"/>
  <c r="L625" i="5"/>
  <c r="N625" i="5"/>
  <c r="G626" i="5"/>
  <c r="H626" i="5"/>
  <c r="G310" i="4"/>
  <c r="H309" i="4"/>
  <c r="G1029" i="4"/>
  <c r="H1028" i="4"/>
  <c r="G1106" i="5"/>
  <c r="H1106" i="5"/>
  <c r="L1105" i="5"/>
  <c r="N1105" i="5"/>
  <c r="C429" i="4"/>
  <c r="D428" i="4"/>
  <c r="H1146" i="4"/>
  <c r="G1147" i="4"/>
  <c r="L745" i="5"/>
  <c r="N745" i="5"/>
  <c r="G746" i="5"/>
  <c r="H746" i="5"/>
  <c r="C1147" i="4"/>
  <c r="D1146" i="4"/>
  <c r="L865" i="5"/>
  <c r="N865" i="5"/>
  <c r="G866" i="5"/>
  <c r="H866" i="5"/>
  <c r="C669" i="4"/>
  <c r="D668" i="4"/>
  <c r="E516" i="6"/>
  <c r="F516" i="6"/>
  <c r="C69" i="4"/>
  <c r="D68" i="4"/>
  <c r="J308" i="4"/>
  <c r="D308" i="6"/>
  <c r="I308" i="4"/>
  <c r="O308" i="5"/>
  <c r="I1027" i="4"/>
  <c r="O1027" i="5"/>
  <c r="J1027" i="4"/>
  <c r="D1027" i="6"/>
  <c r="Q745" i="6"/>
  <c r="L745" i="6"/>
  <c r="M745" i="6"/>
  <c r="E1116" i="6"/>
  <c r="F1116" i="6"/>
  <c r="L865" i="6"/>
  <c r="M865" i="6"/>
  <c r="Q865" i="6"/>
  <c r="G190" i="4"/>
  <c r="H189" i="4"/>
  <c r="E636" i="6"/>
  <c r="F636" i="6"/>
  <c r="E36" i="6"/>
  <c r="F36" i="6"/>
  <c r="D907" i="4"/>
  <c r="C908" i="4"/>
  <c r="Q1105" i="6"/>
  <c r="L1105" i="6"/>
  <c r="M1105" i="6"/>
  <c r="T745" i="5"/>
  <c r="U745" i="5"/>
  <c r="P745" i="5"/>
  <c r="H1029" i="4"/>
  <c r="G1030" i="4"/>
  <c r="N385" i="6"/>
  <c r="R385" i="6"/>
  <c r="S385" i="6"/>
  <c r="P876" i="6"/>
  <c r="G876" i="6"/>
  <c r="P145" i="5"/>
  <c r="T145" i="5"/>
  <c r="U145" i="5"/>
  <c r="H70" i="4"/>
  <c r="G71" i="4"/>
  <c r="D189" i="4"/>
  <c r="C190" i="4"/>
  <c r="R625" i="6"/>
  <c r="S625" i="6"/>
  <c r="N625" i="6"/>
  <c r="D908" i="4"/>
  <c r="C909" i="4"/>
  <c r="G1148" i="4"/>
  <c r="H1147" i="4"/>
  <c r="P265" i="5"/>
  <c r="T265" i="5"/>
  <c r="U265" i="5"/>
  <c r="G36" i="6"/>
  <c r="P36" i="6"/>
  <c r="H310" i="4"/>
  <c r="G311" i="4"/>
  <c r="R866" i="5"/>
  <c r="I866" i="5"/>
  <c r="J866" i="5"/>
  <c r="I626" i="5"/>
  <c r="J626" i="5"/>
  <c r="R626" i="5"/>
  <c r="N505" i="6"/>
  <c r="R505" i="6"/>
  <c r="I549" i="4"/>
  <c r="O549" i="5"/>
  <c r="J549" i="4"/>
  <c r="D549" i="6"/>
  <c r="D309" i="4"/>
  <c r="C310" i="4"/>
  <c r="J428" i="4"/>
  <c r="D428" i="6"/>
  <c r="I428" i="4"/>
  <c r="O428" i="5"/>
  <c r="I506" i="5"/>
  <c r="J506" i="5"/>
  <c r="R506" i="5"/>
  <c r="J906" i="4"/>
  <c r="D906" i="6"/>
  <c r="I906" i="4"/>
  <c r="O906" i="5"/>
  <c r="I146" i="5"/>
  <c r="J146" i="5"/>
  <c r="R146" i="5"/>
  <c r="R865" i="6"/>
  <c r="N865" i="6"/>
  <c r="T865" i="5"/>
  <c r="U865" i="5"/>
  <c r="P865" i="5"/>
  <c r="D429" i="4"/>
  <c r="C430" i="4"/>
  <c r="T625" i="5"/>
  <c r="U625" i="5"/>
  <c r="P625" i="5"/>
  <c r="N25" i="6"/>
  <c r="R25" i="6"/>
  <c r="S25" i="6"/>
  <c r="S505" i="6"/>
  <c r="H550" i="4"/>
  <c r="G551" i="4"/>
  <c r="C552" i="4"/>
  <c r="D551" i="4"/>
  <c r="T385" i="5"/>
  <c r="U385" i="5"/>
  <c r="P385" i="5"/>
  <c r="G430" i="4"/>
  <c r="H429" i="4"/>
  <c r="P985" i="5"/>
  <c r="T985" i="5"/>
  <c r="U985" i="5"/>
  <c r="C670" i="4"/>
  <c r="D669" i="4"/>
  <c r="R266" i="5"/>
  <c r="I266" i="5"/>
  <c r="J266" i="5"/>
  <c r="P505" i="5"/>
  <c r="T505" i="5"/>
  <c r="U505" i="5"/>
  <c r="D69" i="4"/>
  <c r="C70" i="4"/>
  <c r="P1105" i="5"/>
  <c r="T1105" i="5"/>
  <c r="U1105" i="5"/>
  <c r="P25" i="5"/>
  <c r="T25" i="5"/>
  <c r="U25" i="5"/>
  <c r="I386" i="5"/>
  <c r="J386" i="5"/>
  <c r="R386" i="5"/>
  <c r="I986" i="5"/>
  <c r="J986" i="5"/>
  <c r="R986" i="5"/>
  <c r="J309" i="4"/>
  <c r="D309" i="6"/>
  <c r="I309" i="4"/>
  <c r="O309" i="5"/>
  <c r="J1146" i="4"/>
  <c r="D1146" i="6"/>
  <c r="I1146" i="4"/>
  <c r="O1146" i="5"/>
  <c r="G156" i="6"/>
  <c r="P156" i="6"/>
  <c r="P756" i="6"/>
  <c r="G756" i="6"/>
  <c r="P636" i="6"/>
  <c r="G636" i="6"/>
  <c r="R1105" i="6"/>
  <c r="S1105" i="6"/>
  <c r="N1105" i="6"/>
  <c r="J189" i="4"/>
  <c r="D189" i="6"/>
  <c r="I189" i="4"/>
  <c r="O189" i="5"/>
  <c r="G516" i="6"/>
  <c r="P516" i="6"/>
  <c r="I1106" i="5"/>
  <c r="J1106" i="5"/>
  <c r="R1106" i="5"/>
  <c r="P276" i="6"/>
  <c r="G276" i="6"/>
  <c r="G670" i="4"/>
  <c r="H669" i="4"/>
  <c r="D1028" i="4"/>
  <c r="C1029" i="4"/>
  <c r="G996" i="6"/>
  <c r="P996" i="6"/>
  <c r="I26" i="5"/>
  <c r="J26" i="5"/>
  <c r="R26" i="5"/>
  <c r="N265" i="6"/>
  <c r="R265" i="6"/>
  <c r="N145" i="6"/>
  <c r="R145" i="6"/>
  <c r="S145" i="6"/>
  <c r="G396" i="6"/>
  <c r="P396" i="6"/>
  <c r="S865" i="6"/>
  <c r="H907" i="4"/>
  <c r="G908" i="4"/>
  <c r="P1116" i="6"/>
  <c r="G1116" i="6"/>
  <c r="R745" i="6"/>
  <c r="N745" i="6"/>
  <c r="D1147" i="4"/>
  <c r="C1148" i="4"/>
  <c r="H190" i="4"/>
  <c r="G191" i="4"/>
  <c r="S745" i="6"/>
  <c r="R746" i="5"/>
  <c r="I746" i="5"/>
  <c r="J746" i="5"/>
  <c r="I1028" i="4"/>
  <c r="O1028" i="5"/>
  <c r="J1028" i="4"/>
  <c r="D1028" i="6"/>
  <c r="R985" i="6"/>
  <c r="S985" i="6"/>
  <c r="N985" i="6"/>
  <c r="J668" i="4"/>
  <c r="D668" i="6"/>
  <c r="I668" i="4"/>
  <c r="O668" i="5"/>
  <c r="S265" i="6"/>
  <c r="J69" i="4"/>
  <c r="D69" i="6"/>
  <c r="I69" i="4"/>
  <c r="O69" i="5"/>
  <c r="M386" i="5"/>
  <c r="Q385" i="5"/>
  <c r="W385" i="5"/>
  <c r="X385" i="5"/>
  <c r="K746" i="5"/>
  <c r="S746" i="5"/>
  <c r="E997" i="6"/>
  <c r="F997" i="6"/>
  <c r="K1106" i="5"/>
  <c r="S1106" i="5"/>
  <c r="M26" i="5"/>
  <c r="Q25" i="5"/>
  <c r="W25" i="5"/>
  <c r="X25" i="5"/>
  <c r="Q625" i="5"/>
  <c r="W625" i="5"/>
  <c r="X625" i="5"/>
  <c r="M626" i="5"/>
  <c r="C311" i="4"/>
  <c r="D310" i="4"/>
  <c r="S626" i="5"/>
  <c r="K626" i="5"/>
  <c r="M266" i="5"/>
  <c r="Q265" i="5"/>
  <c r="W265" i="5"/>
  <c r="X265" i="5"/>
  <c r="O385" i="6"/>
  <c r="U385" i="6"/>
  <c r="V385" i="6"/>
  <c r="J386" i="6"/>
  <c r="K386" i="6"/>
  <c r="S26" i="5"/>
  <c r="K26" i="5"/>
  <c r="E637" i="6"/>
  <c r="F637" i="6"/>
  <c r="J26" i="6"/>
  <c r="K26" i="6"/>
  <c r="O25" i="6"/>
  <c r="U25" i="6"/>
  <c r="V25" i="6"/>
  <c r="J746" i="6"/>
  <c r="K746" i="6"/>
  <c r="O745" i="6"/>
  <c r="U745" i="6"/>
  <c r="V745" i="6"/>
  <c r="E397" i="6"/>
  <c r="F397" i="6"/>
  <c r="D1029" i="4"/>
  <c r="C1030" i="4"/>
  <c r="E757" i="6"/>
  <c r="F757" i="6"/>
  <c r="S146" i="5"/>
  <c r="K146" i="5"/>
  <c r="S866" i="5"/>
  <c r="K866" i="5"/>
  <c r="J1147" i="4"/>
  <c r="D1147" i="6"/>
  <c r="I1147" i="4"/>
  <c r="O1147" i="5"/>
  <c r="G72" i="4"/>
  <c r="H71" i="4"/>
  <c r="G431" i="4"/>
  <c r="H430" i="4"/>
  <c r="E1117" i="6"/>
  <c r="F1117" i="6"/>
  <c r="E517" i="6"/>
  <c r="F517" i="6"/>
  <c r="Q1105" i="5"/>
  <c r="W1105" i="5"/>
  <c r="X1105" i="5"/>
  <c r="M1106" i="5"/>
  <c r="C671" i="4"/>
  <c r="D670" i="4"/>
  <c r="C553" i="4"/>
  <c r="D552" i="4"/>
  <c r="C431" i="4"/>
  <c r="D430" i="4"/>
  <c r="H1148" i="4"/>
  <c r="G1149" i="4"/>
  <c r="J70" i="4"/>
  <c r="D70" i="6"/>
  <c r="I70" i="4"/>
  <c r="O70" i="5"/>
  <c r="G1031" i="4"/>
  <c r="H1030" i="4"/>
  <c r="C1149" i="4"/>
  <c r="D1148" i="4"/>
  <c r="M506" i="5"/>
  <c r="Q505" i="5"/>
  <c r="W505" i="5"/>
  <c r="X505" i="5"/>
  <c r="E37" i="6"/>
  <c r="F37" i="6"/>
  <c r="S266" i="5"/>
  <c r="K266" i="5"/>
  <c r="I669" i="4"/>
  <c r="O669" i="5"/>
  <c r="J669" i="4"/>
  <c r="D669" i="6"/>
  <c r="C71" i="4"/>
  <c r="D70" i="4"/>
  <c r="G552" i="4"/>
  <c r="H551" i="4"/>
  <c r="G312" i="4"/>
  <c r="H311" i="4"/>
  <c r="C910" i="4"/>
  <c r="D909" i="4"/>
  <c r="I1029" i="4"/>
  <c r="O1029" i="5"/>
  <c r="J1029" i="4"/>
  <c r="D1029" i="6"/>
  <c r="S386" i="5"/>
  <c r="K386" i="5"/>
  <c r="O865" i="6"/>
  <c r="U865" i="6"/>
  <c r="V865" i="6"/>
  <c r="J866" i="6"/>
  <c r="K866" i="6"/>
  <c r="C191" i="4"/>
  <c r="D190" i="4"/>
  <c r="J986" i="6"/>
  <c r="K986" i="6"/>
  <c r="O985" i="6"/>
  <c r="U985" i="6"/>
  <c r="V985" i="6"/>
  <c r="H670" i="4"/>
  <c r="G671" i="4"/>
  <c r="E157" i="6"/>
  <c r="F157" i="6"/>
  <c r="Q985" i="5"/>
  <c r="W985" i="5"/>
  <c r="X985" i="5"/>
  <c r="M986" i="5"/>
  <c r="J550" i="4"/>
  <c r="D550" i="6"/>
  <c r="I550" i="4"/>
  <c r="O550" i="5"/>
  <c r="M866" i="5"/>
  <c r="Q865" i="5"/>
  <c r="W865" i="5"/>
  <c r="X865" i="5"/>
  <c r="J310" i="4"/>
  <c r="D310" i="6"/>
  <c r="I310" i="4"/>
  <c r="O310" i="5"/>
  <c r="M146" i="5"/>
  <c r="Q145" i="5"/>
  <c r="W145" i="5"/>
  <c r="X145" i="5"/>
  <c r="M746" i="5"/>
  <c r="Q745" i="5"/>
  <c r="W745" i="5"/>
  <c r="X745" i="5"/>
  <c r="J146" i="6"/>
  <c r="K146" i="6"/>
  <c r="O145" i="6"/>
  <c r="U145" i="6"/>
  <c r="V145" i="6"/>
  <c r="G192" i="4"/>
  <c r="H191" i="4"/>
  <c r="K986" i="5"/>
  <c r="S986" i="5"/>
  <c r="J190" i="4"/>
  <c r="D190" i="6"/>
  <c r="I190" i="4"/>
  <c r="O190" i="5"/>
  <c r="G909" i="4"/>
  <c r="H908" i="4"/>
  <c r="J266" i="6"/>
  <c r="K266" i="6"/>
  <c r="O265" i="6"/>
  <c r="U265" i="6"/>
  <c r="V265" i="6"/>
  <c r="I907" i="4"/>
  <c r="O907" i="5"/>
  <c r="J907" i="4"/>
  <c r="D907" i="6"/>
  <c r="E277" i="6"/>
  <c r="F277" i="6"/>
  <c r="J1106" i="6"/>
  <c r="K1106" i="6"/>
  <c r="O1105" i="6"/>
  <c r="U1105" i="6"/>
  <c r="V1105" i="6"/>
  <c r="J429" i="4"/>
  <c r="D429" i="6"/>
  <c r="I429" i="4"/>
  <c r="O429" i="5"/>
  <c r="S506" i="5"/>
  <c r="K506" i="5"/>
  <c r="O505" i="6"/>
  <c r="U505" i="6"/>
  <c r="V505" i="6"/>
  <c r="J506" i="6"/>
  <c r="K506" i="6"/>
  <c r="O625" i="6"/>
  <c r="U625" i="6"/>
  <c r="V625" i="6"/>
  <c r="J626" i="6"/>
  <c r="K626" i="6"/>
  <c r="E877" i="6"/>
  <c r="F877" i="6"/>
  <c r="G987" i="5"/>
  <c r="H987" i="5"/>
  <c r="L986" i="5"/>
  <c r="N986" i="5"/>
  <c r="D71" i="4"/>
  <c r="C72" i="4"/>
  <c r="L866" i="5"/>
  <c r="N866" i="5"/>
  <c r="G867" i="5"/>
  <c r="H867" i="5"/>
  <c r="L26" i="6"/>
  <c r="M26" i="6"/>
  <c r="Q26" i="6"/>
  <c r="P1117" i="6"/>
  <c r="G1117" i="6"/>
  <c r="G997" i="6"/>
  <c r="P997" i="6"/>
  <c r="L986" i="6"/>
  <c r="M986" i="6"/>
  <c r="Q986" i="6"/>
  <c r="C554" i="4"/>
  <c r="D553" i="4"/>
  <c r="D1030" i="4"/>
  <c r="C1031" i="4"/>
  <c r="H192" i="4"/>
  <c r="G193" i="4"/>
  <c r="G1150" i="4"/>
  <c r="H1149" i="4"/>
  <c r="C672" i="4"/>
  <c r="D671" i="4"/>
  <c r="Q506" i="6"/>
  <c r="L506" i="6"/>
  <c r="M506" i="6"/>
  <c r="L1106" i="6"/>
  <c r="M1106" i="6"/>
  <c r="Q1106" i="6"/>
  <c r="J908" i="4"/>
  <c r="D908" i="6"/>
  <c r="I908" i="4"/>
  <c r="O908" i="5"/>
  <c r="G157" i="6"/>
  <c r="P157" i="6"/>
  <c r="D191" i="4"/>
  <c r="C192" i="4"/>
  <c r="D910" i="4"/>
  <c r="C911" i="4"/>
  <c r="J1148" i="4"/>
  <c r="D1148" i="6"/>
  <c r="I1148" i="4"/>
  <c r="O1148" i="5"/>
  <c r="J430" i="4"/>
  <c r="D430" i="6"/>
  <c r="I430" i="4"/>
  <c r="O430" i="5"/>
  <c r="G147" i="5"/>
  <c r="H147" i="5"/>
  <c r="L146" i="5"/>
  <c r="N146" i="5"/>
  <c r="P637" i="6"/>
  <c r="G637" i="6"/>
  <c r="L626" i="6"/>
  <c r="M626" i="6"/>
  <c r="Q626" i="6"/>
  <c r="Q266" i="6"/>
  <c r="L266" i="6"/>
  <c r="M266" i="6"/>
  <c r="H909" i="4"/>
  <c r="G910" i="4"/>
  <c r="L146" i="6"/>
  <c r="M146" i="6"/>
  <c r="Q146" i="6"/>
  <c r="L866" i="6"/>
  <c r="M866" i="6"/>
  <c r="Q866" i="6"/>
  <c r="J311" i="4"/>
  <c r="D311" i="6"/>
  <c r="I311" i="4"/>
  <c r="O311" i="5"/>
  <c r="H431" i="4"/>
  <c r="G432" i="4"/>
  <c r="G397" i="6"/>
  <c r="P397" i="6"/>
  <c r="L626" i="5"/>
  <c r="N626" i="5"/>
  <c r="G627" i="5"/>
  <c r="H627" i="5"/>
  <c r="L746" i="5"/>
  <c r="N746" i="5"/>
  <c r="G747" i="5"/>
  <c r="H747" i="5"/>
  <c r="G672" i="4"/>
  <c r="H671" i="4"/>
  <c r="H312" i="4"/>
  <c r="G313" i="4"/>
  <c r="G267" i="5"/>
  <c r="H267" i="5"/>
  <c r="L266" i="5"/>
  <c r="N266" i="5"/>
  <c r="D1149" i="4"/>
  <c r="C1150" i="4"/>
  <c r="J71" i="4"/>
  <c r="D71" i="6"/>
  <c r="I71" i="4"/>
  <c r="O71" i="5"/>
  <c r="G37" i="6"/>
  <c r="P37" i="6"/>
  <c r="G517" i="6"/>
  <c r="P517" i="6"/>
  <c r="Q386" i="6"/>
  <c r="L386" i="6"/>
  <c r="M386" i="6"/>
  <c r="J191" i="4"/>
  <c r="D191" i="6"/>
  <c r="I191" i="4"/>
  <c r="O191" i="5"/>
  <c r="J670" i="4"/>
  <c r="D670" i="6"/>
  <c r="I670" i="4"/>
  <c r="O670" i="5"/>
  <c r="G27" i="5"/>
  <c r="H27" i="5"/>
  <c r="L26" i="5"/>
  <c r="N26" i="5"/>
  <c r="G1107" i="5"/>
  <c r="H1107" i="5"/>
  <c r="L1106" i="5"/>
  <c r="N1106" i="5"/>
  <c r="G507" i="5"/>
  <c r="H507" i="5"/>
  <c r="L506" i="5"/>
  <c r="N506" i="5"/>
  <c r="P277" i="6"/>
  <c r="G277" i="6"/>
  <c r="G877" i="6"/>
  <c r="P877" i="6"/>
  <c r="G387" i="5"/>
  <c r="H387" i="5"/>
  <c r="L386" i="5"/>
  <c r="N386" i="5"/>
  <c r="I551" i="4"/>
  <c r="O551" i="5"/>
  <c r="J551" i="4"/>
  <c r="D551" i="6"/>
  <c r="J1030" i="4"/>
  <c r="D1030" i="6"/>
  <c r="I1030" i="4"/>
  <c r="O1030" i="5"/>
  <c r="C432" i="4"/>
  <c r="D431" i="4"/>
  <c r="H72" i="4"/>
  <c r="G73" i="4"/>
  <c r="P757" i="6"/>
  <c r="G757" i="6"/>
  <c r="L746" i="6"/>
  <c r="M746" i="6"/>
  <c r="Q746" i="6"/>
  <c r="G553" i="4"/>
  <c r="H552" i="4"/>
  <c r="H1031" i="4"/>
  <c r="G1032" i="4"/>
  <c r="D311" i="4"/>
  <c r="C312" i="4"/>
  <c r="P266" i="5"/>
  <c r="T266" i="5"/>
  <c r="U266" i="5"/>
  <c r="E278" i="6"/>
  <c r="F278" i="6"/>
  <c r="G314" i="4"/>
  <c r="H313" i="4"/>
  <c r="E638" i="6"/>
  <c r="F638" i="6"/>
  <c r="D911" i="4"/>
  <c r="C912" i="4"/>
  <c r="G194" i="4"/>
  <c r="H193" i="4"/>
  <c r="C73" i="4"/>
  <c r="D72" i="4"/>
  <c r="J192" i="4"/>
  <c r="D192" i="6"/>
  <c r="I192" i="4"/>
  <c r="O192" i="5"/>
  <c r="E758" i="6"/>
  <c r="F758" i="6"/>
  <c r="I671" i="4"/>
  <c r="O671" i="5"/>
  <c r="J671" i="4"/>
  <c r="D671" i="6"/>
  <c r="G433" i="4"/>
  <c r="H432" i="4"/>
  <c r="H910" i="4"/>
  <c r="G911" i="4"/>
  <c r="P146" i="5"/>
  <c r="T146" i="5"/>
  <c r="U146" i="5"/>
  <c r="C193" i="4"/>
  <c r="D192" i="4"/>
  <c r="R506" i="6"/>
  <c r="N506" i="6"/>
  <c r="C1032" i="4"/>
  <c r="D1031" i="4"/>
  <c r="E1118" i="6"/>
  <c r="F1118" i="6"/>
  <c r="P986" i="5"/>
  <c r="T986" i="5"/>
  <c r="U986" i="5"/>
  <c r="J312" i="4"/>
  <c r="D312" i="6"/>
  <c r="I312" i="4"/>
  <c r="O312" i="5"/>
  <c r="E398" i="6"/>
  <c r="F398" i="6"/>
  <c r="N1106" i="6"/>
  <c r="R1106" i="6"/>
  <c r="S1106" i="6"/>
  <c r="E998" i="6"/>
  <c r="F998" i="6"/>
  <c r="P506" i="5"/>
  <c r="T506" i="5"/>
  <c r="U506" i="5"/>
  <c r="I507" i="5"/>
  <c r="J507" i="5"/>
  <c r="R507" i="5"/>
  <c r="G673" i="4"/>
  <c r="H672" i="4"/>
  <c r="I431" i="4"/>
  <c r="O431" i="5"/>
  <c r="J431" i="4"/>
  <c r="D431" i="6"/>
  <c r="I909" i="4"/>
  <c r="O909" i="5"/>
  <c r="J909" i="4"/>
  <c r="D909" i="6"/>
  <c r="I147" i="5"/>
  <c r="J147" i="5"/>
  <c r="R147" i="5"/>
  <c r="S506" i="6"/>
  <c r="I987" i="5"/>
  <c r="J987" i="5"/>
  <c r="R987" i="5"/>
  <c r="P26" i="5"/>
  <c r="T26" i="5"/>
  <c r="U26" i="5"/>
  <c r="R746" i="6"/>
  <c r="N746" i="6"/>
  <c r="N146" i="6"/>
  <c r="R146" i="6"/>
  <c r="S146" i="6"/>
  <c r="C313" i="4"/>
  <c r="D312" i="4"/>
  <c r="G1033" i="4"/>
  <c r="H1032" i="4"/>
  <c r="G74" i="4"/>
  <c r="H73" i="4"/>
  <c r="T386" i="5"/>
  <c r="U386" i="5"/>
  <c r="P386" i="5"/>
  <c r="P1106" i="5"/>
  <c r="T1106" i="5"/>
  <c r="U1106" i="5"/>
  <c r="N386" i="6"/>
  <c r="R386" i="6"/>
  <c r="C1151" i="4"/>
  <c r="D1150" i="4"/>
  <c r="R747" i="5"/>
  <c r="I747" i="5"/>
  <c r="J747" i="5"/>
  <c r="R266" i="6"/>
  <c r="S266" i="6"/>
  <c r="N266" i="6"/>
  <c r="S746" i="6"/>
  <c r="E38" i="6"/>
  <c r="F38" i="6"/>
  <c r="I1031" i="4"/>
  <c r="O1031" i="5"/>
  <c r="J1031" i="4"/>
  <c r="D1031" i="6"/>
  <c r="J72" i="4"/>
  <c r="D72" i="6"/>
  <c r="I72" i="4"/>
  <c r="O72" i="5"/>
  <c r="R387" i="5"/>
  <c r="I387" i="5"/>
  <c r="J387" i="5"/>
  <c r="I1107" i="5"/>
  <c r="J1107" i="5"/>
  <c r="R1107" i="5"/>
  <c r="S386" i="6"/>
  <c r="T746" i="5"/>
  <c r="U746" i="5"/>
  <c r="P746" i="5"/>
  <c r="E158" i="6"/>
  <c r="F158" i="6"/>
  <c r="C673" i="4"/>
  <c r="D672" i="4"/>
  <c r="C555" i="4"/>
  <c r="D554" i="4"/>
  <c r="N26" i="6"/>
  <c r="R26" i="6"/>
  <c r="S26" i="6"/>
  <c r="J552" i="4"/>
  <c r="D552" i="6"/>
  <c r="I552" i="4"/>
  <c r="O552" i="5"/>
  <c r="J1149" i="4"/>
  <c r="D1149" i="6"/>
  <c r="I1149" i="4"/>
  <c r="O1149" i="5"/>
  <c r="I867" i="5"/>
  <c r="J867" i="5"/>
  <c r="R867" i="5"/>
  <c r="I627" i="5"/>
  <c r="J627" i="5"/>
  <c r="R627" i="5"/>
  <c r="G554" i="4"/>
  <c r="H553" i="4"/>
  <c r="D432" i="4"/>
  <c r="C433" i="4"/>
  <c r="E878" i="6"/>
  <c r="F878" i="6"/>
  <c r="R27" i="5"/>
  <c r="I27" i="5"/>
  <c r="J27" i="5"/>
  <c r="E518" i="6"/>
  <c r="F518" i="6"/>
  <c r="R267" i="5"/>
  <c r="I267" i="5"/>
  <c r="J267" i="5"/>
  <c r="T626" i="5"/>
  <c r="U626" i="5"/>
  <c r="P626" i="5"/>
  <c r="N866" i="6"/>
  <c r="R866" i="6"/>
  <c r="S866" i="6"/>
  <c r="R626" i="6"/>
  <c r="S626" i="6"/>
  <c r="N626" i="6"/>
  <c r="H1150" i="4"/>
  <c r="G1151" i="4"/>
  <c r="R986" i="6"/>
  <c r="S986" i="6"/>
  <c r="N986" i="6"/>
  <c r="T866" i="5"/>
  <c r="U866" i="5"/>
  <c r="P866" i="5"/>
  <c r="K387" i="5"/>
  <c r="S387" i="5"/>
  <c r="J193" i="4"/>
  <c r="D193" i="6"/>
  <c r="I193" i="4"/>
  <c r="O193" i="5"/>
  <c r="H74" i="4"/>
  <c r="G75" i="4"/>
  <c r="H194" i="4"/>
  <c r="G195" i="4"/>
  <c r="J313" i="4"/>
  <c r="D313" i="6"/>
  <c r="I313" i="4"/>
  <c r="O313" i="5"/>
  <c r="G1152" i="4"/>
  <c r="H1151" i="4"/>
  <c r="K267" i="5"/>
  <c r="S267" i="5"/>
  <c r="C434" i="4"/>
  <c r="D433" i="4"/>
  <c r="I1032" i="4"/>
  <c r="O1032" i="5"/>
  <c r="J1032" i="4"/>
  <c r="D1032" i="6"/>
  <c r="O746" i="6"/>
  <c r="U746" i="6"/>
  <c r="V746" i="6"/>
  <c r="J747" i="6"/>
  <c r="K747" i="6"/>
  <c r="J1107" i="6"/>
  <c r="K1107" i="6"/>
  <c r="O1106" i="6"/>
  <c r="U1106" i="6"/>
  <c r="V1106" i="6"/>
  <c r="P1118" i="6"/>
  <c r="G1118" i="6"/>
  <c r="M147" i="5"/>
  <c r="Q146" i="5"/>
  <c r="W146" i="5"/>
  <c r="X146" i="5"/>
  <c r="G758" i="6"/>
  <c r="P758" i="6"/>
  <c r="H314" i="4"/>
  <c r="G315" i="4"/>
  <c r="K627" i="5"/>
  <c r="S627" i="5"/>
  <c r="J73" i="4"/>
  <c r="D73" i="6"/>
  <c r="I73" i="4"/>
  <c r="O73" i="5"/>
  <c r="Q986" i="5"/>
  <c r="W986" i="5"/>
  <c r="X986" i="5"/>
  <c r="M987" i="5"/>
  <c r="P158" i="6"/>
  <c r="G158" i="6"/>
  <c r="G674" i="4"/>
  <c r="H673" i="4"/>
  <c r="J1150" i="4"/>
  <c r="D1150" i="6"/>
  <c r="I1150" i="4"/>
  <c r="O1150" i="5"/>
  <c r="S867" i="5"/>
  <c r="K867" i="5"/>
  <c r="J27" i="6"/>
  <c r="K27" i="6"/>
  <c r="O26" i="6"/>
  <c r="U26" i="6"/>
  <c r="V26" i="6"/>
  <c r="M747" i="5"/>
  <c r="Q746" i="5"/>
  <c r="W746" i="5"/>
  <c r="X746" i="5"/>
  <c r="J387" i="6"/>
  <c r="K387" i="6"/>
  <c r="O386" i="6"/>
  <c r="U386" i="6"/>
  <c r="V386" i="6"/>
  <c r="H1033" i="4"/>
  <c r="G1034" i="4"/>
  <c r="S147" i="5"/>
  <c r="K147" i="5"/>
  <c r="S507" i="5"/>
  <c r="K507" i="5"/>
  <c r="H911" i="4"/>
  <c r="G912" i="4"/>
  <c r="D912" i="4"/>
  <c r="C913" i="4"/>
  <c r="J672" i="4"/>
  <c r="D672" i="6"/>
  <c r="I672" i="4"/>
  <c r="O672" i="5"/>
  <c r="P878" i="6"/>
  <c r="G878" i="6"/>
  <c r="J267" i="6"/>
  <c r="K267" i="6"/>
  <c r="O266" i="6"/>
  <c r="U266" i="6"/>
  <c r="V266" i="6"/>
  <c r="P398" i="6"/>
  <c r="G398" i="6"/>
  <c r="D1032" i="4"/>
  <c r="C1033" i="4"/>
  <c r="I910" i="4"/>
  <c r="O910" i="5"/>
  <c r="J910" i="4"/>
  <c r="D910" i="6"/>
  <c r="O986" i="6"/>
  <c r="U986" i="6"/>
  <c r="V986" i="6"/>
  <c r="J987" i="6"/>
  <c r="K987" i="6"/>
  <c r="P998" i="6"/>
  <c r="G998" i="6"/>
  <c r="Q1106" i="5"/>
  <c r="W1106" i="5"/>
  <c r="X1106" i="5"/>
  <c r="M1107" i="5"/>
  <c r="D313" i="4"/>
  <c r="C314" i="4"/>
  <c r="M27" i="5"/>
  <c r="Q26" i="5"/>
  <c r="W26" i="5"/>
  <c r="X26" i="5"/>
  <c r="J507" i="6"/>
  <c r="K507" i="6"/>
  <c r="O506" i="6"/>
  <c r="U506" i="6"/>
  <c r="V506" i="6"/>
  <c r="J432" i="4"/>
  <c r="D432" i="6"/>
  <c r="I432" i="4"/>
  <c r="O432" i="5"/>
  <c r="P278" i="6"/>
  <c r="G278" i="6"/>
  <c r="J147" i="6"/>
  <c r="K147" i="6"/>
  <c r="O146" i="6"/>
  <c r="U146" i="6"/>
  <c r="V146" i="6"/>
  <c r="D193" i="4"/>
  <c r="C194" i="4"/>
  <c r="I553" i="4"/>
  <c r="O553" i="5"/>
  <c r="J553" i="4"/>
  <c r="D553" i="6"/>
  <c r="G555" i="4"/>
  <c r="H554" i="4"/>
  <c r="S27" i="5"/>
  <c r="K27" i="5"/>
  <c r="P38" i="6"/>
  <c r="G38" i="6"/>
  <c r="S747" i="5"/>
  <c r="K747" i="5"/>
  <c r="M387" i="5"/>
  <c r="Q386" i="5"/>
  <c r="W386" i="5"/>
  <c r="X386" i="5"/>
  <c r="M507" i="5"/>
  <c r="Q506" i="5"/>
  <c r="W506" i="5"/>
  <c r="X506" i="5"/>
  <c r="G434" i="4"/>
  <c r="H433" i="4"/>
  <c r="D73" i="4"/>
  <c r="C74" i="4"/>
  <c r="G638" i="6"/>
  <c r="P638" i="6"/>
  <c r="Q626" i="5"/>
  <c r="W626" i="5"/>
  <c r="X626" i="5"/>
  <c r="M627" i="5"/>
  <c r="D1151" i="4"/>
  <c r="C1152" i="4"/>
  <c r="O626" i="6"/>
  <c r="U626" i="6"/>
  <c r="V626" i="6"/>
  <c r="J627" i="6"/>
  <c r="K627" i="6"/>
  <c r="G518" i="6"/>
  <c r="P518" i="6"/>
  <c r="C556" i="4"/>
  <c r="D555" i="4"/>
  <c r="M867" i="5"/>
  <c r="Q866" i="5"/>
  <c r="W866" i="5"/>
  <c r="X866" i="5"/>
  <c r="J867" i="6"/>
  <c r="K867" i="6"/>
  <c r="O866" i="6"/>
  <c r="U866" i="6"/>
  <c r="V866" i="6"/>
  <c r="C674" i="4"/>
  <c r="D673" i="4"/>
  <c r="S1107" i="5"/>
  <c r="K1107" i="5"/>
  <c r="S987" i="5"/>
  <c r="K987" i="5"/>
  <c r="M267" i="5"/>
  <c r="Q266" i="5"/>
  <c r="W266" i="5"/>
  <c r="X266" i="5"/>
  <c r="J194" i="4"/>
  <c r="D194" i="6"/>
  <c r="I194" i="4"/>
  <c r="O194" i="5"/>
  <c r="C1153" i="4"/>
  <c r="D1152" i="4"/>
  <c r="C675" i="4"/>
  <c r="D674" i="4"/>
  <c r="C557" i="4"/>
  <c r="D556" i="4"/>
  <c r="Q507" i="6"/>
  <c r="L507" i="6"/>
  <c r="M507" i="6"/>
  <c r="E999" i="6"/>
  <c r="F999" i="6"/>
  <c r="E399" i="6"/>
  <c r="F399" i="6"/>
  <c r="C914" i="4"/>
  <c r="D913" i="4"/>
  <c r="G1035" i="4"/>
  <c r="H1034" i="4"/>
  <c r="L867" i="5"/>
  <c r="N867" i="5"/>
  <c r="G868" i="5"/>
  <c r="H868" i="5"/>
  <c r="J314" i="4"/>
  <c r="D314" i="6"/>
  <c r="I314" i="4"/>
  <c r="O314" i="5"/>
  <c r="Q1107" i="6"/>
  <c r="L1107" i="6"/>
  <c r="M1107" i="6"/>
  <c r="G196" i="4"/>
  <c r="H195" i="4"/>
  <c r="E519" i="6"/>
  <c r="F519" i="6"/>
  <c r="E759" i="6"/>
  <c r="F759" i="6"/>
  <c r="G76" i="4"/>
  <c r="H75" i="4"/>
  <c r="Q147" i="6"/>
  <c r="L147" i="6"/>
  <c r="M147" i="6"/>
  <c r="L987" i="6"/>
  <c r="M987" i="6"/>
  <c r="Q987" i="6"/>
  <c r="G913" i="4"/>
  <c r="H912" i="4"/>
  <c r="L627" i="6"/>
  <c r="M627" i="6"/>
  <c r="Q627" i="6"/>
  <c r="C75" i="4"/>
  <c r="D74" i="4"/>
  <c r="J554" i="4"/>
  <c r="D554" i="6"/>
  <c r="I554" i="4"/>
  <c r="O554" i="5"/>
  <c r="E279" i="6"/>
  <c r="F279" i="6"/>
  <c r="C315" i="4"/>
  <c r="D314" i="4"/>
  <c r="L267" i="6"/>
  <c r="M267" i="6"/>
  <c r="Q267" i="6"/>
  <c r="I911" i="4"/>
  <c r="O911" i="5"/>
  <c r="J911" i="4"/>
  <c r="D911" i="6"/>
  <c r="Q387" i="6"/>
  <c r="L387" i="6"/>
  <c r="M387" i="6"/>
  <c r="L747" i="6"/>
  <c r="M747" i="6"/>
  <c r="Q747" i="6"/>
  <c r="G268" i="5"/>
  <c r="H268" i="5"/>
  <c r="L267" i="5"/>
  <c r="N267" i="5"/>
  <c r="J74" i="4"/>
  <c r="D74" i="6"/>
  <c r="I74" i="4"/>
  <c r="O74" i="5"/>
  <c r="G28" i="5"/>
  <c r="H28" i="5"/>
  <c r="L27" i="5"/>
  <c r="N27" i="5"/>
  <c r="C435" i="4"/>
  <c r="D434" i="4"/>
  <c r="E639" i="6"/>
  <c r="F639" i="6"/>
  <c r="Q867" i="6"/>
  <c r="L867" i="6"/>
  <c r="M867" i="6"/>
  <c r="L747" i="5"/>
  <c r="N747" i="5"/>
  <c r="G748" i="5"/>
  <c r="H748" i="5"/>
  <c r="H555" i="4"/>
  <c r="G556" i="4"/>
  <c r="E879" i="6"/>
  <c r="F879" i="6"/>
  <c r="G508" i="5"/>
  <c r="H508" i="5"/>
  <c r="L507" i="5"/>
  <c r="N507" i="5"/>
  <c r="J1151" i="4"/>
  <c r="D1151" i="6"/>
  <c r="I1151" i="4"/>
  <c r="O1151" i="5"/>
  <c r="I673" i="4"/>
  <c r="O673" i="5"/>
  <c r="J673" i="4"/>
  <c r="D673" i="6"/>
  <c r="E1119" i="6"/>
  <c r="F1119" i="6"/>
  <c r="H1152" i="4"/>
  <c r="G1153" i="4"/>
  <c r="I1033" i="4"/>
  <c r="O1033" i="5"/>
  <c r="J1033" i="4"/>
  <c r="D1033" i="6"/>
  <c r="G988" i="5"/>
  <c r="H988" i="5"/>
  <c r="L987" i="5"/>
  <c r="N987" i="5"/>
  <c r="G1108" i="5"/>
  <c r="H1108" i="5"/>
  <c r="L1107" i="5"/>
  <c r="N1107" i="5"/>
  <c r="E39" i="6"/>
  <c r="F39" i="6"/>
  <c r="D1033" i="4"/>
  <c r="C1034" i="4"/>
  <c r="G148" i="5"/>
  <c r="H148" i="5"/>
  <c r="L147" i="5"/>
  <c r="N147" i="5"/>
  <c r="H674" i="4"/>
  <c r="G675" i="4"/>
  <c r="L627" i="5"/>
  <c r="N627" i="5"/>
  <c r="G628" i="5"/>
  <c r="H628" i="5"/>
  <c r="I433" i="4"/>
  <c r="O433" i="5"/>
  <c r="J433" i="4"/>
  <c r="D433" i="6"/>
  <c r="G435" i="4"/>
  <c r="H434" i="4"/>
  <c r="C195" i="4"/>
  <c r="D194" i="4"/>
  <c r="L27" i="6"/>
  <c r="M27" i="6"/>
  <c r="Q27" i="6"/>
  <c r="E159" i="6"/>
  <c r="F159" i="6"/>
  <c r="G316" i="4"/>
  <c r="H315" i="4"/>
  <c r="G388" i="5"/>
  <c r="H388" i="5"/>
  <c r="L387" i="5"/>
  <c r="N387" i="5"/>
  <c r="G676" i="4"/>
  <c r="H675" i="4"/>
  <c r="P759" i="6"/>
  <c r="G759" i="6"/>
  <c r="I1108" i="5"/>
  <c r="J1108" i="5"/>
  <c r="R1108" i="5"/>
  <c r="S27" i="6"/>
  <c r="P147" i="5"/>
  <c r="T147" i="5"/>
  <c r="U147" i="5"/>
  <c r="P987" i="5"/>
  <c r="T987" i="5"/>
  <c r="U987" i="5"/>
  <c r="P639" i="6"/>
  <c r="G639" i="6"/>
  <c r="T267" i="5"/>
  <c r="U267" i="5"/>
  <c r="P267" i="5"/>
  <c r="R147" i="6"/>
  <c r="N147" i="6"/>
  <c r="R27" i="6"/>
  <c r="N27" i="6"/>
  <c r="I988" i="5"/>
  <c r="J988" i="5"/>
  <c r="R988" i="5"/>
  <c r="R268" i="5"/>
  <c r="I268" i="5"/>
  <c r="J268" i="5"/>
  <c r="G519" i="6"/>
  <c r="P519" i="6"/>
  <c r="P399" i="6"/>
  <c r="G399" i="6"/>
  <c r="C676" i="4"/>
  <c r="D675" i="4"/>
  <c r="P387" i="5"/>
  <c r="T387" i="5"/>
  <c r="U387" i="5"/>
  <c r="D1034" i="4"/>
  <c r="C1035" i="4"/>
  <c r="I555" i="4"/>
  <c r="O555" i="5"/>
  <c r="J555" i="4"/>
  <c r="D555" i="6"/>
  <c r="D435" i="4"/>
  <c r="C436" i="4"/>
  <c r="S627" i="6"/>
  <c r="I868" i="5"/>
  <c r="J868" i="5"/>
  <c r="R868" i="5"/>
  <c r="G436" i="4"/>
  <c r="H435" i="4"/>
  <c r="P879" i="6"/>
  <c r="G879" i="6"/>
  <c r="R148" i="5"/>
  <c r="I148" i="5"/>
  <c r="J148" i="5"/>
  <c r="R267" i="6"/>
  <c r="S267" i="6"/>
  <c r="N267" i="6"/>
  <c r="D195" i="4"/>
  <c r="C196" i="4"/>
  <c r="R748" i="5"/>
  <c r="I748" i="5"/>
  <c r="J748" i="5"/>
  <c r="P27" i="5"/>
  <c r="T27" i="5"/>
  <c r="U27" i="5"/>
  <c r="N747" i="6"/>
  <c r="R747" i="6"/>
  <c r="S747" i="6"/>
  <c r="D315" i="4"/>
  <c r="C316" i="4"/>
  <c r="N627" i="6"/>
  <c r="R627" i="6"/>
  <c r="J195" i="4"/>
  <c r="D195" i="6"/>
  <c r="I195" i="4"/>
  <c r="O195" i="5"/>
  <c r="T867" i="5"/>
  <c r="U867" i="5"/>
  <c r="P867" i="5"/>
  <c r="P999" i="6"/>
  <c r="G999" i="6"/>
  <c r="D1153" i="4"/>
  <c r="C1154" i="4"/>
  <c r="P1107" i="5"/>
  <c r="T1107" i="5"/>
  <c r="U1107" i="5"/>
  <c r="P159" i="6"/>
  <c r="G159" i="6"/>
  <c r="G1119" i="6"/>
  <c r="P1119" i="6"/>
  <c r="G557" i="4"/>
  <c r="H556" i="4"/>
  <c r="D75" i="4"/>
  <c r="C76" i="4"/>
  <c r="I388" i="5"/>
  <c r="J388" i="5"/>
  <c r="R388" i="5"/>
  <c r="J315" i="4"/>
  <c r="D315" i="6"/>
  <c r="I315" i="4"/>
  <c r="O315" i="5"/>
  <c r="I628" i="5"/>
  <c r="J628" i="5"/>
  <c r="R628" i="5"/>
  <c r="G1154" i="4"/>
  <c r="H1153" i="4"/>
  <c r="P507" i="5"/>
  <c r="T507" i="5"/>
  <c r="U507" i="5"/>
  <c r="T747" i="5"/>
  <c r="U747" i="5"/>
  <c r="P747" i="5"/>
  <c r="R28" i="5"/>
  <c r="I28" i="5"/>
  <c r="J28" i="5"/>
  <c r="R387" i="6"/>
  <c r="N387" i="6"/>
  <c r="G279" i="6"/>
  <c r="P279" i="6"/>
  <c r="J912" i="4"/>
  <c r="D912" i="6"/>
  <c r="I912" i="4"/>
  <c r="O912" i="5"/>
  <c r="J75" i="4"/>
  <c r="D75" i="6"/>
  <c r="I75" i="4"/>
  <c r="O75" i="5"/>
  <c r="H196" i="4"/>
  <c r="G197" i="4"/>
  <c r="J1034" i="4"/>
  <c r="D1034" i="6"/>
  <c r="I1034" i="4"/>
  <c r="O1034" i="5"/>
  <c r="R507" i="6"/>
  <c r="N507" i="6"/>
  <c r="J674" i="4"/>
  <c r="D674" i="6"/>
  <c r="I674" i="4"/>
  <c r="O674" i="5"/>
  <c r="S147" i="6"/>
  <c r="H316" i="4"/>
  <c r="G317" i="4"/>
  <c r="J434" i="4"/>
  <c r="D434" i="6"/>
  <c r="I434" i="4"/>
  <c r="O434" i="5"/>
  <c r="T627" i="5"/>
  <c r="U627" i="5"/>
  <c r="P627" i="5"/>
  <c r="P39" i="6"/>
  <c r="G39" i="6"/>
  <c r="J1152" i="4"/>
  <c r="D1152" i="6"/>
  <c r="I1152" i="4"/>
  <c r="O1152" i="5"/>
  <c r="I508" i="5"/>
  <c r="J508" i="5"/>
  <c r="R508" i="5"/>
  <c r="N867" i="6"/>
  <c r="R867" i="6"/>
  <c r="S867" i="6"/>
  <c r="S387" i="6"/>
  <c r="H913" i="4"/>
  <c r="G914" i="4"/>
  <c r="H76" i="4"/>
  <c r="G77" i="4"/>
  <c r="N1107" i="6"/>
  <c r="R1107" i="6"/>
  <c r="S1107" i="6"/>
  <c r="H1035" i="4"/>
  <c r="G1036" i="4"/>
  <c r="S507" i="6"/>
  <c r="N987" i="6"/>
  <c r="R987" i="6"/>
  <c r="S987" i="6"/>
  <c r="D914" i="4"/>
  <c r="C915" i="4"/>
  <c r="D557" i="4"/>
  <c r="C558" i="4"/>
  <c r="I913" i="4"/>
  <c r="O913" i="5"/>
  <c r="J913" i="4"/>
  <c r="D913" i="6"/>
  <c r="G198" i="4"/>
  <c r="H197" i="4"/>
  <c r="C559" i="4"/>
  <c r="D558" i="4"/>
  <c r="I1035" i="4"/>
  <c r="O1035" i="5"/>
  <c r="J1035" i="4"/>
  <c r="D1035" i="6"/>
  <c r="Q627" i="5"/>
  <c r="W627" i="5"/>
  <c r="X627" i="5"/>
  <c r="M628" i="5"/>
  <c r="S28" i="5"/>
  <c r="K28" i="5"/>
  <c r="J556" i="4"/>
  <c r="D556" i="6"/>
  <c r="I556" i="4"/>
  <c r="O556" i="5"/>
  <c r="C1155" i="4"/>
  <c r="D1154" i="4"/>
  <c r="K748" i="5"/>
  <c r="S748" i="5"/>
  <c r="E880" i="6"/>
  <c r="F880" i="6"/>
  <c r="C437" i="4"/>
  <c r="D436" i="4"/>
  <c r="M148" i="5"/>
  <c r="Q147" i="5"/>
  <c r="W147" i="5"/>
  <c r="X147" i="5"/>
  <c r="K628" i="5"/>
  <c r="S628" i="5"/>
  <c r="C677" i="4"/>
  <c r="D676" i="4"/>
  <c r="C916" i="4"/>
  <c r="D915" i="4"/>
  <c r="O1107" i="6"/>
  <c r="U1107" i="6"/>
  <c r="V1107" i="6"/>
  <c r="J1108" i="6"/>
  <c r="K1108" i="6"/>
  <c r="O507" i="6"/>
  <c r="U507" i="6"/>
  <c r="V507" i="6"/>
  <c r="J508" i="6"/>
  <c r="K508" i="6"/>
  <c r="M748" i="5"/>
  <c r="Q747" i="5"/>
  <c r="W747" i="5"/>
  <c r="X747" i="5"/>
  <c r="E1000" i="6"/>
  <c r="F1000" i="6"/>
  <c r="C317" i="4"/>
  <c r="D316" i="4"/>
  <c r="C197" i="4"/>
  <c r="D196" i="4"/>
  <c r="J435" i="4"/>
  <c r="D435" i="6"/>
  <c r="I435" i="4"/>
  <c r="O435" i="5"/>
  <c r="E400" i="6"/>
  <c r="F400" i="6"/>
  <c r="J28" i="6"/>
  <c r="K28" i="6"/>
  <c r="O27" i="6"/>
  <c r="U27" i="6"/>
  <c r="V27" i="6"/>
  <c r="J628" i="6"/>
  <c r="K628" i="6"/>
  <c r="O627" i="6"/>
  <c r="U627" i="6"/>
  <c r="V627" i="6"/>
  <c r="S508" i="5"/>
  <c r="K508" i="5"/>
  <c r="E1120" i="6"/>
  <c r="F1120" i="6"/>
  <c r="G437" i="4"/>
  <c r="H436" i="4"/>
  <c r="E640" i="6"/>
  <c r="F640" i="6"/>
  <c r="K1108" i="5"/>
  <c r="S1108" i="5"/>
  <c r="G558" i="4"/>
  <c r="H557" i="4"/>
  <c r="M268" i="5"/>
  <c r="Q267" i="5"/>
  <c r="W267" i="5"/>
  <c r="X267" i="5"/>
  <c r="J76" i="4"/>
  <c r="D76" i="6"/>
  <c r="I76" i="4"/>
  <c r="O76" i="5"/>
  <c r="G318" i="4"/>
  <c r="H317" i="4"/>
  <c r="E160" i="6"/>
  <c r="F160" i="6"/>
  <c r="M868" i="5"/>
  <c r="Q867" i="5"/>
  <c r="W867" i="5"/>
  <c r="X867" i="5"/>
  <c r="O267" i="6"/>
  <c r="U267" i="6"/>
  <c r="V267" i="6"/>
  <c r="J268" i="6"/>
  <c r="K268" i="6"/>
  <c r="C1036" i="4"/>
  <c r="D1035" i="4"/>
  <c r="E760" i="6"/>
  <c r="F760" i="6"/>
  <c r="J868" i="6"/>
  <c r="K868" i="6"/>
  <c r="O867" i="6"/>
  <c r="U867" i="6"/>
  <c r="V867" i="6"/>
  <c r="S988" i="5"/>
  <c r="K988" i="5"/>
  <c r="G78" i="4"/>
  <c r="H77" i="4"/>
  <c r="J988" i="6"/>
  <c r="K988" i="6"/>
  <c r="O987" i="6"/>
  <c r="U987" i="6"/>
  <c r="V987" i="6"/>
  <c r="H914" i="4"/>
  <c r="G915" i="4"/>
  <c r="J316" i="4"/>
  <c r="D316" i="6"/>
  <c r="I316" i="4"/>
  <c r="O316" i="5"/>
  <c r="E280" i="6"/>
  <c r="F280" i="6"/>
  <c r="Q507" i="5"/>
  <c r="W507" i="5"/>
  <c r="X507" i="5"/>
  <c r="M508" i="5"/>
  <c r="K388" i="5"/>
  <c r="S388" i="5"/>
  <c r="J748" i="6"/>
  <c r="K748" i="6"/>
  <c r="O747" i="6"/>
  <c r="U747" i="6"/>
  <c r="V747" i="6"/>
  <c r="S868" i="5"/>
  <c r="K868" i="5"/>
  <c r="E520" i="6"/>
  <c r="F520" i="6"/>
  <c r="Q987" i="5"/>
  <c r="W987" i="5"/>
  <c r="X987" i="5"/>
  <c r="M988" i="5"/>
  <c r="I675" i="4"/>
  <c r="O675" i="5"/>
  <c r="J675" i="4"/>
  <c r="D675" i="6"/>
  <c r="E40" i="6"/>
  <c r="F40" i="6"/>
  <c r="J388" i="6"/>
  <c r="K388" i="6"/>
  <c r="O387" i="6"/>
  <c r="U387" i="6"/>
  <c r="V387" i="6"/>
  <c r="J1153" i="4"/>
  <c r="D1153" i="6"/>
  <c r="I1153" i="4"/>
  <c r="O1153" i="5"/>
  <c r="C77" i="4"/>
  <c r="D76" i="4"/>
  <c r="S148" i="5"/>
  <c r="K148" i="5"/>
  <c r="S268" i="5"/>
  <c r="K268" i="5"/>
  <c r="J148" i="6"/>
  <c r="K148" i="6"/>
  <c r="O147" i="6"/>
  <c r="U147" i="6"/>
  <c r="V147" i="6"/>
  <c r="G1037" i="4"/>
  <c r="H1036" i="4"/>
  <c r="J196" i="4"/>
  <c r="D196" i="6"/>
  <c r="I196" i="4"/>
  <c r="O196" i="5"/>
  <c r="H1154" i="4"/>
  <c r="G1155" i="4"/>
  <c r="Q1107" i="5"/>
  <c r="W1107" i="5"/>
  <c r="X1107" i="5"/>
  <c r="M1108" i="5"/>
  <c r="M28" i="5"/>
  <c r="Q27" i="5"/>
  <c r="W27" i="5"/>
  <c r="X27" i="5"/>
  <c r="M388" i="5"/>
  <c r="Q387" i="5"/>
  <c r="W387" i="5"/>
  <c r="X387" i="5"/>
  <c r="H676" i="4"/>
  <c r="G677" i="4"/>
  <c r="I914" i="4"/>
  <c r="O914" i="5"/>
  <c r="J914" i="4"/>
  <c r="D914" i="6"/>
  <c r="H437" i="4"/>
  <c r="G438" i="4"/>
  <c r="G1156" i="4"/>
  <c r="H1155" i="4"/>
  <c r="L148" i="6"/>
  <c r="M148" i="6"/>
  <c r="Q148" i="6"/>
  <c r="G160" i="6"/>
  <c r="P160" i="6"/>
  <c r="D916" i="4"/>
  <c r="C917" i="4"/>
  <c r="D1155" i="4"/>
  <c r="C1156" i="4"/>
  <c r="L268" i="5"/>
  <c r="N268" i="5"/>
  <c r="G269" i="5"/>
  <c r="H269" i="5"/>
  <c r="J436" i="4"/>
  <c r="D436" i="6"/>
  <c r="I436" i="4"/>
  <c r="O436" i="5"/>
  <c r="G389" i="5"/>
  <c r="H389" i="5"/>
  <c r="L388" i="5"/>
  <c r="N388" i="5"/>
  <c r="L508" i="6"/>
  <c r="M508" i="6"/>
  <c r="Q508" i="6"/>
  <c r="G520" i="6"/>
  <c r="P520" i="6"/>
  <c r="Q868" i="6"/>
  <c r="L868" i="6"/>
  <c r="M868" i="6"/>
  <c r="L268" i="6"/>
  <c r="M268" i="6"/>
  <c r="Q268" i="6"/>
  <c r="J317" i="4"/>
  <c r="D317" i="6"/>
  <c r="I317" i="4"/>
  <c r="O317" i="5"/>
  <c r="G559" i="4"/>
  <c r="H558" i="4"/>
  <c r="C560" i="4"/>
  <c r="D559" i="4"/>
  <c r="Q628" i="6"/>
  <c r="L628" i="6"/>
  <c r="M628" i="6"/>
  <c r="D197" i="4"/>
  <c r="C198" i="4"/>
  <c r="G149" i="5"/>
  <c r="H149" i="5"/>
  <c r="L148" i="5"/>
  <c r="N148" i="5"/>
  <c r="G40" i="6"/>
  <c r="P40" i="6"/>
  <c r="L868" i="5"/>
  <c r="N868" i="5"/>
  <c r="G869" i="5"/>
  <c r="H869" i="5"/>
  <c r="Q988" i="6"/>
  <c r="L988" i="6"/>
  <c r="M988" i="6"/>
  <c r="H318" i="4"/>
  <c r="G319" i="4"/>
  <c r="L28" i="6"/>
  <c r="M28" i="6"/>
  <c r="Q28" i="6"/>
  <c r="D317" i="4"/>
  <c r="C318" i="4"/>
  <c r="P880" i="6"/>
  <c r="G880" i="6"/>
  <c r="G29" i="5"/>
  <c r="H29" i="5"/>
  <c r="L28" i="5"/>
  <c r="N28" i="5"/>
  <c r="J197" i="4"/>
  <c r="D197" i="6"/>
  <c r="I197" i="4"/>
  <c r="O197" i="5"/>
  <c r="H915" i="4"/>
  <c r="G916" i="4"/>
  <c r="I1036" i="4"/>
  <c r="O1036" i="5"/>
  <c r="J1036" i="4"/>
  <c r="D1036" i="6"/>
  <c r="J77" i="4"/>
  <c r="D77" i="6"/>
  <c r="I77" i="4"/>
  <c r="O77" i="5"/>
  <c r="P760" i="6"/>
  <c r="G760" i="6"/>
  <c r="G1109" i="5"/>
  <c r="H1109" i="5"/>
  <c r="L1108" i="5"/>
  <c r="N1108" i="5"/>
  <c r="P1120" i="6"/>
  <c r="G1120" i="6"/>
  <c r="Q1108" i="6"/>
  <c r="L1108" i="6"/>
  <c r="M1108" i="6"/>
  <c r="L628" i="5"/>
  <c r="N628" i="5"/>
  <c r="G629" i="5"/>
  <c r="H629" i="5"/>
  <c r="H198" i="4"/>
  <c r="G199" i="4"/>
  <c r="D1036" i="4"/>
  <c r="C1037" i="4"/>
  <c r="D677" i="4"/>
  <c r="C678" i="4"/>
  <c r="G678" i="4"/>
  <c r="H677" i="4"/>
  <c r="H1037" i="4"/>
  <c r="G1038" i="4"/>
  <c r="D77" i="4"/>
  <c r="C78" i="4"/>
  <c r="P280" i="6"/>
  <c r="G280" i="6"/>
  <c r="H78" i="4"/>
  <c r="G79" i="4"/>
  <c r="G509" i="5"/>
  <c r="H509" i="5"/>
  <c r="L508" i="5"/>
  <c r="N508" i="5"/>
  <c r="G400" i="6"/>
  <c r="P400" i="6"/>
  <c r="G1000" i="6"/>
  <c r="P1000" i="6"/>
  <c r="L748" i="5"/>
  <c r="N748" i="5"/>
  <c r="G749" i="5"/>
  <c r="H749" i="5"/>
  <c r="J1154" i="4"/>
  <c r="D1154" i="6"/>
  <c r="I1154" i="4"/>
  <c r="O1154" i="5"/>
  <c r="L388" i="6"/>
  <c r="M388" i="6"/>
  <c r="Q388" i="6"/>
  <c r="I557" i="4"/>
  <c r="O557" i="5"/>
  <c r="J557" i="4"/>
  <c r="D557" i="6"/>
  <c r="C438" i="4"/>
  <c r="D437" i="4"/>
  <c r="J676" i="4"/>
  <c r="D676" i="6"/>
  <c r="I676" i="4"/>
  <c r="O676" i="5"/>
  <c r="Q748" i="6"/>
  <c r="L748" i="6"/>
  <c r="M748" i="6"/>
  <c r="G989" i="5"/>
  <c r="H989" i="5"/>
  <c r="L988" i="5"/>
  <c r="N988" i="5"/>
  <c r="P640" i="6"/>
  <c r="G640" i="6"/>
  <c r="R509" i="5"/>
  <c r="I509" i="5"/>
  <c r="J509" i="5"/>
  <c r="I1037" i="4"/>
  <c r="O1037" i="5"/>
  <c r="J1037" i="4"/>
  <c r="D1037" i="6"/>
  <c r="J198" i="4"/>
  <c r="D198" i="6"/>
  <c r="I198" i="4"/>
  <c r="O198" i="5"/>
  <c r="I1109" i="5"/>
  <c r="J1109" i="5"/>
  <c r="R1109" i="5"/>
  <c r="I915" i="4"/>
  <c r="O915" i="5"/>
  <c r="J915" i="4"/>
  <c r="D915" i="6"/>
  <c r="T868" i="5"/>
  <c r="U868" i="5"/>
  <c r="P868" i="5"/>
  <c r="N268" i="6"/>
  <c r="R268" i="6"/>
  <c r="I389" i="5"/>
  <c r="J389" i="5"/>
  <c r="R389" i="5"/>
  <c r="I437" i="4"/>
  <c r="O437" i="5"/>
  <c r="J437" i="4"/>
  <c r="D437" i="6"/>
  <c r="I629" i="5"/>
  <c r="J629" i="5"/>
  <c r="R629" i="5"/>
  <c r="S28" i="6"/>
  <c r="C439" i="4"/>
  <c r="D438" i="4"/>
  <c r="T748" i="5"/>
  <c r="U748" i="5"/>
  <c r="P748" i="5"/>
  <c r="J78" i="4"/>
  <c r="D78" i="6"/>
  <c r="I78" i="4"/>
  <c r="O78" i="5"/>
  <c r="H678" i="4"/>
  <c r="G679" i="4"/>
  <c r="T628" i="5"/>
  <c r="U628" i="5"/>
  <c r="P628" i="5"/>
  <c r="R28" i="6"/>
  <c r="N28" i="6"/>
  <c r="E41" i="6"/>
  <c r="F41" i="6"/>
  <c r="C561" i="4"/>
  <c r="D560" i="4"/>
  <c r="S868" i="6"/>
  <c r="E161" i="6"/>
  <c r="F161" i="6"/>
  <c r="R749" i="5"/>
  <c r="I749" i="5"/>
  <c r="J749" i="5"/>
  <c r="I677" i="4"/>
  <c r="O677" i="5"/>
  <c r="J677" i="4"/>
  <c r="D677" i="6"/>
  <c r="E761" i="6"/>
  <c r="F761" i="6"/>
  <c r="C679" i="4"/>
  <c r="D678" i="4"/>
  <c r="P28" i="5"/>
  <c r="T28" i="5"/>
  <c r="U28" i="5"/>
  <c r="G320" i="4"/>
  <c r="H319" i="4"/>
  <c r="P148" i="5"/>
  <c r="T148" i="5"/>
  <c r="U148" i="5"/>
  <c r="J558" i="4"/>
  <c r="D558" i="6"/>
  <c r="I558" i="4"/>
  <c r="O558" i="5"/>
  <c r="I269" i="5"/>
  <c r="J269" i="5"/>
  <c r="R269" i="5"/>
  <c r="E641" i="6"/>
  <c r="F641" i="6"/>
  <c r="G80" i="4"/>
  <c r="H79" i="4"/>
  <c r="R868" i="6"/>
  <c r="N868" i="6"/>
  <c r="P988" i="5"/>
  <c r="T988" i="5"/>
  <c r="U988" i="5"/>
  <c r="E281" i="6"/>
  <c r="F281" i="6"/>
  <c r="R1108" i="6"/>
  <c r="S1108" i="6"/>
  <c r="N1108" i="6"/>
  <c r="I989" i="5"/>
  <c r="J989" i="5"/>
  <c r="R989" i="5"/>
  <c r="E1001" i="6"/>
  <c r="F1001" i="6"/>
  <c r="I29" i="5"/>
  <c r="J29" i="5"/>
  <c r="R29" i="5"/>
  <c r="J318" i="4"/>
  <c r="D318" i="6"/>
  <c r="I318" i="4"/>
  <c r="O318" i="5"/>
  <c r="R149" i="5"/>
  <c r="I149" i="5"/>
  <c r="J149" i="5"/>
  <c r="G560" i="4"/>
  <c r="H559" i="4"/>
  <c r="E521" i="6"/>
  <c r="F521" i="6"/>
  <c r="P268" i="5"/>
  <c r="T268" i="5"/>
  <c r="U268" i="5"/>
  <c r="R148" i="6"/>
  <c r="S148" i="6"/>
  <c r="N148" i="6"/>
  <c r="N748" i="6"/>
  <c r="R748" i="6"/>
  <c r="S748" i="6"/>
  <c r="C79" i="4"/>
  <c r="D78" i="4"/>
  <c r="D1037" i="4"/>
  <c r="C1038" i="4"/>
  <c r="E1121" i="6"/>
  <c r="F1121" i="6"/>
  <c r="E881" i="6"/>
  <c r="F881" i="6"/>
  <c r="N988" i="6"/>
  <c r="R988" i="6"/>
  <c r="C199" i="4"/>
  <c r="D198" i="4"/>
  <c r="C1157" i="4"/>
  <c r="D1156" i="4"/>
  <c r="J1155" i="4"/>
  <c r="D1155" i="6"/>
  <c r="I1155" i="4"/>
  <c r="O1155" i="5"/>
  <c r="H1156" i="4"/>
  <c r="G1157" i="4"/>
  <c r="R388" i="6"/>
  <c r="S388" i="6"/>
  <c r="N388" i="6"/>
  <c r="E401" i="6"/>
  <c r="F401" i="6"/>
  <c r="S988" i="6"/>
  <c r="N508" i="6"/>
  <c r="R508" i="6"/>
  <c r="S508" i="6"/>
  <c r="P508" i="5"/>
  <c r="T508" i="5"/>
  <c r="U508" i="5"/>
  <c r="H1038" i="4"/>
  <c r="G1039" i="4"/>
  <c r="G200" i="4"/>
  <c r="H199" i="4"/>
  <c r="P1108" i="5"/>
  <c r="T1108" i="5"/>
  <c r="U1108" i="5"/>
  <c r="H916" i="4"/>
  <c r="G917" i="4"/>
  <c r="C319" i="4"/>
  <c r="D318" i="4"/>
  <c r="I869" i="5"/>
  <c r="J869" i="5"/>
  <c r="R869" i="5"/>
  <c r="N628" i="6"/>
  <c r="R628" i="6"/>
  <c r="S628" i="6"/>
  <c r="S268" i="6"/>
  <c r="P388" i="5"/>
  <c r="T388" i="5"/>
  <c r="U388" i="5"/>
  <c r="C918" i="4"/>
  <c r="D917" i="4"/>
  <c r="G439" i="4"/>
  <c r="H438" i="4"/>
  <c r="D561" i="4"/>
  <c r="C562" i="4"/>
  <c r="H1039" i="4"/>
  <c r="G1040" i="4"/>
  <c r="G881" i="6"/>
  <c r="P881" i="6"/>
  <c r="J1109" i="6"/>
  <c r="K1109" i="6"/>
  <c r="O1108" i="6"/>
  <c r="U1108" i="6"/>
  <c r="V1108" i="6"/>
  <c r="J869" i="6"/>
  <c r="K869" i="6"/>
  <c r="O868" i="6"/>
  <c r="U868" i="6"/>
  <c r="V868" i="6"/>
  <c r="S269" i="5"/>
  <c r="K269" i="5"/>
  <c r="G41" i="6"/>
  <c r="P41" i="6"/>
  <c r="J678" i="4"/>
  <c r="D678" i="6"/>
  <c r="I678" i="4"/>
  <c r="O678" i="5"/>
  <c r="S1109" i="5"/>
  <c r="K1109" i="5"/>
  <c r="G521" i="6"/>
  <c r="P521" i="6"/>
  <c r="S29" i="5"/>
  <c r="K29" i="5"/>
  <c r="M29" i="5"/>
  <c r="Q28" i="5"/>
  <c r="W28" i="5"/>
  <c r="X28" i="5"/>
  <c r="S749" i="5"/>
  <c r="K749" i="5"/>
  <c r="J269" i="6"/>
  <c r="K269" i="6"/>
  <c r="O268" i="6"/>
  <c r="U268" i="6"/>
  <c r="V268" i="6"/>
  <c r="H200" i="4"/>
  <c r="G201" i="4"/>
  <c r="J989" i="6"/>
  <c r="K989" i="6"/>
  <c r="O988" i="6"/>
  <c r="U988" i="6"/>
  <c r="V988" i="6"/>
  <c r="Q268" i="5"/>
  <c r="W268" i="5"/>
  <c r="X268" i="5"/>
  <c r="M269" i="5"/>
  <c r="S989" i="5"/>
  <c r="K989" i="5"/>
  <c r="G680" i="4"/>
  <c r="H679" i="4"/>
  <c r="D918" i="4"/>
  <c r="C919" i="4"/>
  <c r="J1038" i="4"/>
  <c r="D1038" i="6"/>
  <c r="I1038" i="4"/>
  <c r="O1038" i="5"/>
  <c r="Q388" i="5"/>
  <c r="W388" i="5"/>
  <c r="X388" i="5"/>
  <c r="M389" i="5"/>
  <c r="H917" i="4"/>
  <c r="G918" i="4"/>
  <c r="D1157" i="4"/>
  <c r="C1158" i="4"/>
  <c r="I559" i="4"/>
  <c r="O559" i="5"/>
  <c r="J559" i="4"/>
  <c r="D559" i="6"/>
  <c r="J79" i="4"/>
  <c r="D79" i="6"/>
  <c r="I79" i="4"/>
  <c r="O79" i="5"/>
  <c r="O28" i="6"/>
  <c r="U28" i="6"/>
  <c r="V28" i="6"/>
  <c r="J29" i="6"/>
  <c r="K29" i="6"/>
  <c r="K629" i="5"/>
  <c r="S629" i="5"/>
  <c r="D1038" i="4"/>
  <c r="C1039" i="4"/>
  <c r="O148" i="6"/>
  <c r="U148" i="6"/>
  <c r="V148" i="6"/>
  <c r="J149" i="6"/>
  <c r="K149" i="6"/>
  <c r="S869" i="5"/>
  <c r="K869" i="5"/>
  <c r="D79" i="4"/>
  <c r="C80" i="4"/>
  <c r="H320" i="4"/>
  <c r="G321" i="4"/>
  <c r="K389" i="5"/>
  <c r="S389" i="5"/>
  <c r="D319" i="4"/>
  <c r="C320" i="4"/>
  <c r="G401" i="6"/>
  <c r="P401" i="6"/>
  <c r="J916" i="4"/>
  <c r="D916" i="6"/>
  <c r="I916" i="4"/>
  <c r="O916" i="5"/>
  <c r="M509" i="5"/>
  <c r="Q508" i="5"/>
  <c r="W508" i="5"/>
  <c r="X508" i="5"/>
  <c r="O388" i="6"/>
  <c r="U388" i="6"/>
  <c r="V388" i="6"/>
  <c r="J389" i="6"/>
  <c r="K389" i="6"/>
  <c r="P1121" i="6"/>
  <c r="G1121" i="6"/>
  <c r="J749" i="6"/>
  <c r="K749" i="6"/>
  <c r="O748" i="6"/>
  <c r="U748" i="6"/>
  <c r="V748" i="6"/>
  <c r="G561" i="4"/>
  <c r="H560" i="4"/>
  <c r="P281" i="6"/>
  <c r="G281" i="6"/>
  <c r="H80" i="4"/>
  <c r="G81" i="4"/>
  <c r="C680" i="4"/>
  <c r="D679" i="4"/>
  <c r="P161" i="6"/>
  <c r="G161" i="6"/>
  <c r="M749" i="5"/>
  <c r="Q748" i="5"/>
  <c r="W748" i="5"/>
  <c r="X748" i="5"/>
  <c r="M869" i="5"/>
  <c r="Q868" i="5"/>
  <c r="W868" i="5"/>
  <c r="X868" i="5"/>
  <c r="Q628" i="5"/>
  <c r="W628" i="5"/>
  <c r="X628" i="5"/>
  <c r="M629" i="5"/>
  <c r="S509" i="5"/>
  <c r="K509" i="5"/>
  <c r="S149" i="5"/>
  <c r="K149" i="5"/>
  <c r="J438" i="4"/>
  <c r="D438" i="6"/>
  <c r="I438" i="4"/>
  <c r="O438" i="5"/>
  <c r="J629" i="6"/>
  <c r="K629" i="6"/>
  <c r="O628" i="6"/>
  <c r="U628" i="6"/>
  <c r="V628" i="6"/>
  <c r="Q1108" i="5"/>
  <c r="W1108" i="5"/>
  <c r="X1108" i="5"/>
  <c r="M1109" i="5"/>
  <c r="J509" i="6"/>
  <c r="K509" i="6"/>
  <c r="O508" i="6"/>
  <c r="U508" i="6"/>
  <c r="V508" i="6"/>
  <c r="G1158" i="4"/>
  <c r="H1157" i="4"/>
  <c r="D199" i="4"/>
  <c r="C200" i="4"/>
  <c r="P1001" i="6"/>
  <c r="G1001" i="6"/>
  <c r="P641" i="6"/>
  <c r="G641" i="6"/>
  <c r="M149" i="5"/>
  <c r="Q148" i="5"/>
  <c r="W148" i="5"/>
  <c r="X148" i="5"/>
  <c r="G440" i="4"/>
  <c r="H439" i="4"/>
  <c r="J199" i="4"/>
  <c r="D199" i="6"/>
  <c r="I199" i="4"/>
  <c r="O199" i="5"/>
  <c r="J1156" i="4"/>
  <c r="D1156" i="6"/>
  <c r="I1156" i="4"/>
  <c r="O1156" i="5"/>
  <c r="Q988" i="5"/>
  <c r="W988" i="5"/>
  <c r="X988" i="5"/>
  <c r="M989" i="5"/>
  <c r="J319" i="4"/>
  <c r="D319" i="6"/>
  <c r="I319" i="4"/>
  <c r="O319" i="5"/>
  <c r="P761" i="6"/>
  <c r="G761" i="6"/>
  <c r="C440" i="4"/>
  <c r="D439" i="4"/>
  <c r="C201" i="4"/>
  <c r="D200" i="4"/>
  <c r="G990" i="5"/>
  <c r="H990" i="5"/>
  <c r="L989" i="5"/>
  <c r="N989" i="5"/>
  <c r="Q629" i="6"/>
  <c r="L629" i="6"/>
  <c r="M629" i="6"/>
  <c r="C681" i="4"/>
  <c r="D680" i="4"/>
  <c r="Q749" i="6"/>
  <c r="L749" i="6"/>
  <c r="M749" i="6"/>
  <c r="J320" i="4"/>
  <c r="D320" i="6"/>
  <c r="I320" i="4"/>
  <c r="O320" i="5"/>
  <c r="Q269" i="6"/>
  <c r="L269" i="6"/>
  <c r="M269" i="6"/>
  <c r="L269" i="5"/>
  <c r="N269" i="5"/>
  <c r="G270" i="5"/>
  <c r="H270" i="5"/>
  <c r="E882" i="6"/>
  <c r="F882" i="6"/>
  <c r="J439" i="4"/>
  <c r="D439" i="6"/>
  <c r="I439" i="4"/>
  <c r="O439" i="5"/>
  <c r="G390" i="5"/>
  <c r="H390" i="5"/>
  <c r="L389" i="5"/>
  <c r="N389" i="5"/>
  <c r="G30" i="5"/>
  <c r="H30" i="5"/>
  <c r="L29" i="5"/>
  <c r="N29" i="5"/>
  <c r="G441" i="4"/>
  <c r="H440" i="4"/>
  <c r="C441" i="4"/>
  <c r="D440" i="4"/>
  <c r="J1157" i="4"/>
  <c r="D1157" i="6"/>
  <c r="I1157" i="4"/>
  <c r="O1157" i="5"/>
  <c r="G82" i="4"/>
  <c r="H81" i="4"/>
  <c r="E1122" i="6"/>
  <c r="F1122" i="6"/>
  <c r="C81" i="4"/>
  <c r="D80" i="4"/>
  <c r="E522" i="6"/>
  <c r="F522" i="6"/>
  <c r="G1041" i="4"/>
  <c r="H1040" i="4"/>
  <c r="E762" i="6"/>
  <c r="F762" i="6"/>
  <c r="E642" i="6"/>
  <c r="F642" i="6"/>
  <c r="H1158" i="4"/>
  <c r="G1159" i="4"/>
  <c r="J80" i="4"/>
  <c r="D80" i="6"/>
  <c r="I80" i="4"/>
  <c r="O80" i="5"/>
  <c r="E402" i="6"/>
  <c r="F402" i="6"/>
  <c r="L629" i="5"/>
  <c r="N629" i="5"/>
  <c r="G630" i="5"/>
  <c r="H630" i="5"/>
  <c r="C1159" i="4"/>
  <c r="D1158" i="4"/>
  <c r="C920" i="4"/>
  <c r="D919" i="4"/>
  <c r="L749" i="5"/>
  <c r="N749" i="5"/>
  <c r="G750" i="5"/>
  <c r="H750" i="5"/>
  <c r="G1110" i="5"/>
  <c r="H1110" i="5"/>
  <c r="L1109" i="5"/>
  <c r="N1109" i="5"/>
  <c r="I1039" i="4"/>
  <c r="O1039" i="5"/>
  <c r="J1039" i="4"/>
  <c r="D1039" i="6"/>
  <c r="G322" i="4"/>
  <c r="H321" i="4"/>
  <c r="G150" i="5"/>
  <c r="H150" i="5"/>
  <c r="L149" i="5"/>
  <c r="N149" i="5"/>
  <c r="E282" i="6"/>
  <c r="F282" i="6"/>
  <c r="L389" i="6"/>
  <c r="M389" i="6"/>
  <c r="Q389" i="6"/>
  <c r="C321" i="4"/>
  <c r="D320" i="4"/>
  <c r="L869" i="5"/>
  <c r="N869" i="5"/>
  <c r="G870" i="5"/>
  <c r="H870" i="5"/>
  <c r="L29" i="6"/>
  <c r="M29" i="6"/>
  <c r="Q29" i="6"/>
  <c r="L869" i="6"/>
  <c r="M869" i="6"/>
  <c r="Q869" i="6"/>
  <c r="E42" i="6"/>
  <c r="F42" i="6"/>
  <c r="Q509" i="6"/>
  <c r="L509" i="6"/>
  <c r="M509" i="6"/>
  <c r="G919" i="4"/>
  <c r="H918" i="4"/>
  <c r="I679" i="4"/>
  <c r="O679" i="5"/>
  <c r="J679" i="4"/>
  <c r="D679" i="6"/>
  <c r="Q989" i="6"/>
  <c r="L989" i="6"/>
  <c r="M989" i="6"/>
  <c r="C563" i="4"/>
  <c r="D562" i="4"/>
  <c r="H561" i="4"/>
  <c r="G562" i="4"/>
  <c r="J200" i="4"/>
  <c r="D200" i="6"/>
  <c r="I200" i="4"/>
  <c r="O200" i="5"/>
  <c r="C1040" i="4"/>
  <c r="D1039" i="4"/>
  <c r="E1002" i="6"/>
  <c r="F1002" i="6"/>
  <c r="G510" i="5"/>
  <c r="H510" i="5"/>
  <c r="L509" i="5"/>
  <c r="N509" i="5"/>
  <c r="E162" i="6"/>
  <c r="F162" i="6"/>
  <c r="J560" i="4"/>
  <c r="D560" i="6"/>
  <c r="I560" i="4"/>
  <c r="O560" i="5"/>
  <c r="L149" i="6"/>
  <c r="M149" i="6"/>
  <c r="Q149" i="6"/>
  <c r="I917" i="4"/>
  <c r="O917" i="5"/>
  <c r="J917" i="4"/>
  <c r="D917" i="6"/>
  <c r="H680" i="4"/>
  <c r="G681" i="4"/>
  <c r="G202" i="4"/>
  <c r="H201" i="4"/>
  <c r="Q1109" i="6"/>
  <c r="L1109" i="6"/>
  <c r="M1109" i="6"/>
  <c r="T749" i="5"/>
  <c r="U749" i="5"/>
  <c r="P749" i="5"/>
  <c r="P402" i="6"/>
  <c r="G402" i="6"/>
  <c r="C442" i="4"/>
  <c r="D441" i="4"/>
  <c r="P989" i="5"/>
  <c r="T989" i="5"/>
  <c r="U989" i="5"/>
  <c r="N389" i="6"/>
  <c r="R389" i="6"/>
  <c r="S389" i="6"/>
  <c r="S149" i="6"/>
  <c r="H322" i="4"/>
  <c r="G323" i="4"/>
  <c r="P882" i="6"/>
  <c r="G882" i="6"/>
  <c r="N149" i="6"/>
  <c r="R149" i="6"/>
  <c r="N29" i="6"/>
  <c r="R29" i="6"/>
  <c r="S29" i="6"/>
  <c r="P282" i="6"/>
  <c r="G282" i="6"/>
  <c r="G1042" i="4"/>
  <c r="H1041" i="4"/>
  <c r="J81" i="4"/>
  <c r="D81" i="6"/>
  <c r="I81" i="4"/>
  <c r="O81" i="5"/>
  <c r="P29" i="5"/>
  <c r="T29" i="5"/>
  <c r="U29" i="5"/>
  <c r="I270" i="5"/>
  <c r="J270" i="5"/>
  <c r="R270" i="5"/>
  <c r="D201" i="4"/>
  <c r="C202" i="4"/>
  <c r="J918" i="4"/>
  <c r="D918" i="6"/>
  <c r="I918" i="4"/>
  <c r="O918" i="5"/>
  <c r="I990" i="5"/>
  <c r="J990" i="5"/>
  <c r="R990" i="5"/>
  <c r="H919" i="4"/>
  <c r="G920" i="4"/>
  <c r="D920" i="4"/>
  <c r="C921" i="4"/>
  <c r="G442" i="4"/>
  <c r="H441" i="4"/>
  <c r="P1002" i="6"/>
  <c r="G1002" i="6"/>
  <c r="D563" i="4"/>
  <c r="C564" i="4"/>
  <c r="N509" i="6"/>
  <c r="R509" i="6"/>
  <c r="R870" i="5"/>
  <c r="I870" i="5"/>
  <c r="J870" i="5"/>
  <c r="P149" i="5"/>
  <c r="T149" i="5"/>
  <c r="U149" i="5"/>
  <c r="D1159" i="4"/>
  <c r="C1160" i="4"/>
  <c r="G1160" i="4"/>
  <c r="H1159" i="4"/>
  <c r="H82" i="4"/>
  <c r="G83" i="4"/>
  <c r="I30" i="5"/>
  <c r="J30" i="5"/>
  <c r="R30" i="5"/>
  <c r="T269" i="5"/>
  <c r="U269" i="5"/>
  <c r="P269" i="5"/>
  <c r="R510" i="5"/>
  <c r="I510" i="5"/>
  <c r="J510" i="5"/>
  <c r="J321" i="4"/>
  <c r="D321" i="6"/>
  <c r="I321" i="4"/>
  <c r="O321" i="5"/>
  <c r="R1109" i="6"/>
  <c r="N1109" i="6"/>
  <c r="R749" i="6"/>
  <c r="S749" i="6"/>
  <c r="N749" i="6"/>
  <c r="H202" i="4"/>
  <c r="G203" i="4"/>
  <c r="R989" i="6"/>
  <c r="N989" i="6"/>
  <c r="S509" i="6"/>
  <c r="T869" i="5"/>
  <c r="U869" i="5"/>
  <c r="P869" i="5"/>
  <c r="I150" i="5"/>
  <c r="J150" i="5"/>
  <c r="R150" i="5"/>
  <c r="P1109" i="5"/>
  <c r="T1109" i="5"/>
  <c r="U1109" i="5"/>
  <c r="I630" i="5"/>
  <c r="J630" i="5"/>
  <c r="R630" i="5"/>
  <c r="J1158" i="4"/>
  <c r="D1158" i="6"/>
  <c r="I1158" i="4"/>
  <c r="O1158" i="5"/>
  <c r="G522" i="6"/>
  <c r="P522" i="6"/>
  <c r="T389" i="5"/>
  <c r="U389" i="5"/>
  <c r="P389" i="5"/>
  <c r="C682" i="4"/>
  <c r="D681" i="4"/>
  <c r="P509" i="5"/>
  <c r="T509" i="5"/>
  <c r="U509" i="5"/>
  <c r="R869" i="6"/>
  <c r="S869" i="6"/>
  <c r="N869" i="6"/>
  <c r="G762" i="6"/>
  <c r="P762" i="6"/>
  <c r="I1040" i="4"/>
  <c r="O1040" i="5"/>
  <c r="J1040" i="4"/>
  <c r="D1040" i="6"/>
  <c r="S1109" i="6"/>
  <c r="J201" i="4"/>
  <c r="D201" i="6"/>
  <c r="I201" i="4"/>
  <c r="O201" i="5"/>
  <c r="G682" i="4"/>
  <c r="H681" i="4"/>
  <c r="D1040" i="4"/>
  <c r="C1041" i="4"/>
  <c r="S989" i="6"/>
  <c r="I1110" i="5"/>
  <c r="J1110" i="5"/>
  <c r="R1110" i="5"/>
  <c r="T629" i="5"/>
  <c r="U629" i="5"/>
  <c r="P629" i="5"/>
  <c r="G642" i="6"/>
  <c r="P642" i="6"/>
  <c r="I390" i="5"/>
  <c r="J390" i="5"/>
  <c r="R390" i="5"/>
  <c r="N269" i="6"/>
  <c r="R269" i="6"/>
  <c r="R629" i="6"/>
  <c r="N629" i="6"/>
  <c r="G563" i="4"/>
  <c r="H562" i="4"/>
  <c r="J440" i="4"/>
  <c r="D440" i="6"/>
  <c r="I440" i="4"/>
  <c r="O440" i="5"/>
  <c r="I561" i="4"/>
  <c r="O561" i="5"/>
  <c r="J561" i="4"/>
  <c r="D561" i="6"/>
  <c r="P1122" i="6"/>
  <c r="G1122" i="6"/>
  <c r="J680" i="4"/>
  <c r="D680" i="6"/>
  <c r="I680" i="4"/>
  <c r="O680" i="5"/>
  <c r="P162" i="6"/>
  <c r="G162" i="6"/>
  <c r="P42" i="6"/>
  <c r="G42" i="6"/>
  <c r="D321" i="4"/>
  <c r="C322" i="4"/>
  <c r="R750" i="5"/>
  <c r="I750" i="5"/>
  <c r="J750" i="5"/>
  <c r="D81" i="4"/>
  <c r="C82" i="4"/>
  <c r="S269" i="6"/>
  <c r="S629" i="6"/>
  <c r="S1110" i="5"/>
  <c r="K1110" i="5"/>
  <c r="M510" i="5"/>
  <c r="Q509" i="5"/>
  <c r="W509" i="5"/>
  <c r="X509" i="5"/>
  <c r="C83" i="4"/>
  <c r="D82" i="4"/>
  <c r="G564" i="4"/>
  <c r="H563" i="4"/>
  <c r="E1123" i="6"/>
  <c r="F1123" i="6"/>
  <c r="H682" i="4"/>
  <c r="G683" i="4"/>
  <c r="O869" i="6"/>
  <c r="U869" i="6"/>
  <c r="V869" i="6"/>
  <c r="J870" i="6"/>
  <c r="K870" i="6"/>
  <c r="E43" i="6"/>
  <c r="F43" i="6"/>
  <c r="M870" i="5"/>
  <c r="Q869" i="5"/>
  <c r="W869" i="5"/>
  <c r="X869" i="5"/>
  <c r="I919" i="4"/>
  <c r="O919" i="5"/>
  <c r="J919" i="4"/>
  <c r="D919" i="6"/>
  <c r="E283" i="6"/>
  <c r="F283" i="6"/>
  <c r="G324" i="4"/>
  <c r="H323" i="4"/>
  <c r="S270" i="5"/>
  <c r="K270" i="5"/>
  <c r="S30" i="5"/>
  <c r="K30" i="5"/>
  <c r="M150" i="5"/>
  <c r="Q149" i="5"/>
  <c r="W149" i="5"/>
  <c r="X149" i="5"/>
  <c r="K990" i="5"/>
  <c r="S990" i="5"/>
  <c r="E403" i="6"/>
  <c r="F403" i="6"/>
  <c r="J322" i="4"/>
  <c r="D322" i="6"/>
  <c r="I322" i="4"/>
  <c r="O322" i="5"/>
  <c r="E163" i="6"/>
  <c r="F163" i="6"/>
  <c r="S390" i="5"/>
  <c r="K390" i="5"/>
  <c r="D1041" i="4"/>
  <c r="C1042" i="4"/>
  <c r="C683" i="4"/>
  <c r="D682" i="4"/>
  <c r="S630" i="5"/>
  <c r="K630" i="5"/>
  <c r="J990" i="6"/>
  <c r="K990" i="6"/>
  <c r="O989" i="6"/>
  <c r="U989" i="6"/>
  <c r="V989" i="6"/>
  <c r="G84" i="4"/>
  <c r="H83" i="4"/>
  <c r="S870" i="5"/>
  <c r="K870" i="5"/>
  <c r="J441" i="4"/>
  <c r="D441" i="6"/>
  <c r="I441" i="4"/>
  <c r="O441" i="5"/>
  <c r="M30" i="5"/>
  <c r="Q29" i="5"/>
  <c r="W29" i="5"/>
  <c r="X29" i="5"/>
  <c r="J30" i="6"/>
  <c r="K30" i="6"/>
  <c r="O29" i="6"/>
  <c r="U29" i="6"/>
  <c r="V29" i="6"/>
  <c r="J270" i="6"/>
  <c r="K270" i="6"/>
  <c r="O269" i="6"/>
  <c r="U269" i="6"/>
  <c r="V269" i="6"/>
  <c r="J562" i="4"/>
  <c r="D562" i="6"/>
  <c r="I562" i="4"/>
  <c r="O562" i="5"/>
  <c r="M390" i="5"/>
  <c r="Q389" i="5"/>
  <c r="W389" i="5"/>
  <c r="X389" i="5"/>
  <c r="J82" i="4"/>
  <c r="D82" i="6"/>
  <c r="I82" i="4"/>
  <c r="O82" i="5"/>
  <c r="G443" i="4"/>
  <c r="H442" i="4"/>
  <c r="O389" i="6"/>
  <c r="U389" i="6"/>
  <c r="V389" i="6"/>
  <c r="J390" i="6"/>
  <c r="K390" i="6"/>
  <c r="M750" i="5"/>
  <c r="Q749" i="5"/>
  <c r="W749" i="5"/>
  <c r="X749" i="5"/>
  <c r="J1110" i="6"/>
  <c r="K1110" i="6"/>
  <c r="O1109" i="6"/>
  <c r="U1109" i="6"/>
  <c r="V1109" i="6"/>
  <c r="E1003" i="6"/>
  <c r="F1003" i="6"/>
  <c r="D442" i="4"/>
  <c r="C443" i="4"/>
  <c r="E643" i="6"/>
  <c r="F643" i="6"/>
  <c r="I681" i="4"/>
  <c r="O681" i="5"/>
  <c r="J681" i="4"/>
  <c r="D681" i="6"/>
  <c r="E763" i="6"/>
  <c r="F763" i="6"/>
  <c r="Q1109" i="5"/>
  <c r="W1109" i="5"/>
  <c r="X1109" i="5"/>
  <c r="M1110" i="5"/>
  <c r="G204" i="4"/>
  <c r="H203" i="4"/>
  <c r="S510" i="5"/>
  <c r="K510" i="5"/>
  <c r="J1159" i="4"/>
  <c r="D1159" i="6"/>
  <c r="I1159" i="4"/>
  <c r="O1159" i="5"/>
  <c r="C922" i="4"/>
  <c r="D921" i="4"/>
  <c r="C203" i="4"/>
  <c r="D202" i="4"/>
  <c r="O149" i="6"/>
  <c r="U149" i="6"/>
  <c r="V149" i="6"/>
  <c r="J150" i="6"/>
  <c r="K150" i="6"/>
  <c r="I1041" i="4"/>
  <c r="O1041" i="5"/>
  <c r="J1041" i="4"/>
  <c r="D1041" i="6"/>
  <c r="E883" i="6"/>
  <c r="F883" i="6"/>
  <c r="K750" i="5"/>
  <c r="S750" i="5"/>
  <c r="C323" i="4"/>
  <c r="D322" i="4"/>
  <c r="J630" i="6"/>
  <c r="K630" i="6"/>
  <c r="O629" i="6"/>
  <c r="U629" i="6"/>
  <c r="V629" i="6"/>
  <c r="M630" i="5"/>
  <c r="Q629" i="5"/>
  <c r="W629" i="5"/>
  <c r="X629" i="5"/>
  <c r="J202" i="4"/>
  <c r="D202" i="6"/>
  <c r="I202" i="4"/>
  <c r="O202" i="5"/>
  <c r="H1160" i="4"/>
  <c r="G1161" i="4"/>
  <c r="O509" i="6"/>
  <c r="U509" i="6"/>
  <c r="V509" i="6"/>
  <c r="J510" i="6"/>
  <c r="K510" i="6"/>
  <c r="E523" i="6"/>
  <c r="F523" i="6"/>
  <c r="S150" i="5"/>
  <c r="K150" i="5"/>
  <c r="J750" i="6"/>
  <c r="K750" i="6"/>
  <c r="O749" i="6"/>
  <c r="U749" i="6"/>
  <c r="V749" i="6"/>
  <c r="M270" i="5"/>
  <c r="Q269" i="5"/>
  <c r="W269" i="5"/>
  <c r="X269" i="5"/>
  <c r="C1161" i="4"/>
  <c r="D1160" i="4"/>
  <c r="C565" i="4"/>
  <c r="D564" i="4"/>
  <c r="G921" i="4"/>
  <c r="H920" i="4"/>
  <c r="G1043" i="4"/>
  <c r="H1042" i="4"/>
  <c r="Q989" i="5"/>
  <c r="W989" i="5"/>
  <c r="X989" i="5"/>
  <c r="M990" i="5"/>
  <c r="G31" i="5"/>
  <c r="H31" i="5"/>
  <c r="L30" i="5"/>
  <c r="N30" i="5"/>
  <c r="P43" i="6"/>
  <c r="G43" i="6"/>
  <c r="G565" i="4"/>
  <c r="H564" i="4"/>
  <c r="D1161" i="4"/>
  <c r="C1162" i="4"/>
  <c r="D323" i="4"/>
  <c r="C324" i="4"/>
  <c r="P1003" i="6"/>
  <c r="G1003" i="6"/>
  <c r="J203" i="4"/>
  <c r="D203" i="6"/>
  <c r="I203" i="4"/>
  <c r="O203" i="5"/>
  <c r="J83" i="4"/>
  <c r="D83" i="6"/>
  <c r="I83" i="4"/>
  <c r="O83" i="5"/>
  <c r="L870" i="6"/>
  <c r="M870" i="6"/>
  <c r="Q870" i="6"/>
  <c r="G1044" i="4"/>
  <c r="H1043" i="4"/>
  <c r="Q510" i="6"/>
  <c r="L510" i="6"/>
  <c r="M510" i="6"/>
  <c r="L750" i="5"/>
  <c r="N750" i="5"/>
  <c r="G751" i="5"/>
  <c r="H751" i="5"/>
  <c r="D203" i="4"/>
  <c r="C204" i="4"/>
  <c r="H204" i="4"/>
  <c r="G205" i="4"/>
  <c r="P643" i="6"/>
  <c r="G643" i="6"/>
  <c r="L1110" i="6"/>
  <c r="M1110" i="6"/>
  <c r="Q1110" i="6"/>
  <c r="L30" i="6"/>
  <c r="M30" i="6"/>
  <c r="Q30" i="6"/>
  <c r="H84" i="4"/>
  <c r="G85" i="4"/>
  <c r="P403" i="6"/>
  <c r="G403" i="6"/>
  <c r="D83" i="4"/>
  <c r="C84" i="4"/>
  <c r="C1043" i="4"/>
  <c r="D1042" i="4"/>
  <c r="J920" i="4"/>
  <c r="D920" i="6"/>
  <c r="I920" i="4"/>
  <c r="O920" i="5"/>
  <c r="G391" i="5"/>
  <c r="H391" i="5"/>
  <c r="L390" i="5"/>
  <c r="N390" i="5"/>
  <c r="L270" i="5"/>
  <c r="N270" i="5"/>
  <c r="G271" i="5"/>
  <c r="H271" i="5"/>
  <c r="G684" i="4"/>
  <c r="H683" i="4"/>
  <c r="P523" i="6"/>
  <c r="G523" i="6"/>
  <c r="I1042" i="4"/>
  <c r="O1042" i="5"/>
  <c r="J1042" i="4"/>
  <c r="D1042" i="6"/>
  <c r="H921" i="4"/>
  <c r="G922" i="4"/>
  <c r="L990" i="6"/>
  <c r="M990" i="6"/>
  <c r="Q990" i="6"/>
  <c r="G991" i="5"/>
  <c r="H991" i="5"/>
  <c r="L990" i="5"/>
  <c r="N990" i="5"/>
  <c r="J682" i="4"/>
  <c r="D682" i="6"/>
  <c r="I682" i="4"/>
  <c r="O682" i="5"/>
  <c r="J442" i="4"/>
  <c r="D442" i="6"/>
  <c r="I442" i="4"/>
  <c r="O442" i="5"/>
  <c r="C684" i="4"/>
  <c r="D683" i="4"/>
  <c r="H443" i="4"/>
  <c r="G444" i="4"/>
  <c r="L750" i="6"/>
  <c r="M750" i="6"/>
  <c r="Q750" i="6"/>
  <c r="G1162" i="4"/>
  <c r="H1161" i="4"/>
  <c r="P883" i="6"/>
  <c r="G883" i="6"/>
  <c r="D922" i="4"/>
  <c r="C923" i="4"/>
  <c r="G151" i="5"/>
  <c r="H151" i="5"/>
  <c r="L150" i="5"/>
  <c r="N150" i="5"/>
  <c r="J1160" i="4"/>
  <c r="D1160" i="6"/>
  <c r="I1160" i="4"/>
  <c r="O1160" i="5"/>
  <c r="P763" i="6"/>
  <c r="G763" i="6"/>
  <c r="C444" i="4"/>
  <c r="D443" i="4"/>
  <c r="L630" i="5"/>
  <c r="N630" i="5"/>
  <c r="G631" i="5"/>
  <c r="H631" i="5"/>
  <c r="J323" i="4"/>
  <c r="D323" i="6"/>
  <c r="I323" i="4"/>
  <c r="O323" i="5"/>
  <c r="G1123" i="6"/>
  <c r="P1123" i="6"/>
  <c r="G1111" i="5"/>
  <c r="H1111" i="5"/>
  <c r="L1110" i="5"/>
  <c r="N1110" i="5"/>
  <c r="C566" i="4"/>
  <c r="D565" i="4"/>
  <c r="L630" i="6"/>
  <c r="M630" i="6"/>
  <c r="Q630" i="6"/>
  <c r="L390" i="6"/>
  <c r="M390" i="6"/>
  <c r="Q390" i="6"/>
  <c r="P163" i="6"/>
  <c r="G163" i="6"/>
  <c r="H324" i="4"/>
  <c r="G325" i="4"/>
  <c r="L150" i="6"/>
  <c r="M150" i="6"/>
  <c r="Q150" i="6"/>
  <c r="G511" i="5"/>
  <c r="H511" i="5"/>
  <c r="L510" i="5"/>
  <c r="N510" i="5"/>
  <c r="Q270" i="6"/>
  <c r="L270" i="6"/>
  <c r="M270" i="6"/>
  <c r="L870" i="5"/>
  <c r="N870" i="5"/>
  <c r="G871" i="5"/>
  <c r="H871" i="5"/>
  <c r="G283" i="6"/>
  <c r="P283" i="6"/>
  <c r="I563" i="4"/>
  <c r="O563" i="5"/>
  <c r="J563" i="4"/>
  <c r="D563" i="6"/>
  <c r="I1111" i="5"/>
  <c r="J1111" i="5"/>
  <c r="R1111" i="5"/>
  <c r="I991" i="5"/>
  <c r="J991" i="5"/>
  <c r="R991" i="5"/>
  <c r="J84" i="4"/>
  <c r="D84" i="6"/>
  <c r="I84" i="4"/>
  <c r="O84" i="5"/>
  <c r="R511" i="5"/>
  <c r="I511" i="5"/>
  <c r="J511" i="5"/>
  <c r="N390" i="6"/>
  <c r="R390" i="6"/>
  <c r="E1124" i="6"/>
  <c r="F1124" i="6"/>
  <c r="C685" i="4"/>
  <c r="D684" i="4"/>
  <c r="R990" i="6"/>
  <c r="N990" i="6"/>
  <c r="H684" i="4"/>
  <c r="G685" i="4"/>
  <c r="C1044" i="4"/>
  <c r="D1043" i="4"/>
  <c r="N30" i="6"/>
  <c r="R30" i="6"/>
  <c r="N870" i="6"/>
  <c r="R870" i="6"/>
  <c r="R31" i="5"/>
  <c r="I31" i="5"/>
  <c r="J31" i="5"/>
  <c r="I271" i="5"/>
  <c r="J271" i="5"/>
  <c r="R271" i="5"/>
  <c r="R751" i="5"/>
  <c r="I751" i="5"/>
  <c r="J751" i="5"/>
  <c r="N1110" i="6"/>
  <c r="R1110" i="6"/>
  <c r="T750" i="5"/>
  <c r="U750" i="5"/>
  <c r="P750" i="5"/>
  <c r="S1110" i="6"/>
  <c r="I921" i="4"/>
  <c r="O921" i="5"/>
  <c r="J921" i="4"/>
  <c r="D921" i="6"/>
  <c r="I871" i="5"/>
  <c r="J871" i="5"/>
  <c r="R871" i="5"/>
  <c r="I631" i="5"/>
  <c r="J631" i="5"/>
  <c r="R631" i="5"/>
  <c r="P150" i="5"/>
  <c r="T150" i="5"/>
  <c r="U150" i="5"/>
  <c r="S750" i="6"/>
  <c r="T390" i="5"/>
  <c r="U390" i="5"/>
  <c r="P390" i="5"/>
  <c r="E404" i="6"/>
  <c r="F404" i="6"/>
  <c r="E644" i="6"/>
  <c r="F644" i="6"/>
  <c r="N510" i="6"/>
  <c r="R510" i="6"/>
  <c r="J564" i="4"/>
  <c r="D564" i="6"/>
  <c r="I564" i="4"/>
  <c r="O564" i="5"/>
  <c r="S630" i="6"/>
  <c r="J1161" i="4"/>
  <c r="D1161" i="6"/>
  <c r="I1161" i="4"/>
  <c r="O1161" i="5"/>
  <c r="C85" i="4"/>
  <c r="D84" i="4"/>
  <c r="C1163" i="4"/>
  <c r="D1162" i="4"/>
  <c r="N150" i="6"/>
  <c r="R150" i="6"/>
  <c r="S150" i="6"/>
  <c r="T270" i="5"/>
  <c r="U270" i="5"/>
  <c r="P270" i="5"/>
  <c r="T870" i="5"/>
  <c r="U870" i="5"/>
  <c r="P870" i="5"/>
  <c r="C567" i="4"/>
  <c r="D566" i="4"/>
  <c r="N750" i="6"/>
  <c r="R750" i="6"/>
  <c r="R391" i="5"/>
  <c r="I391" i="5"/>
  <c r="J391" i="5"/>
  <c r="S510" i="6"/>
  <c r="G566" i="4"/>
  <c r="H565" i="4"/>
  <c r="E284" i="6"/>
  <c r="F284" i="6"/>
  <c r="R630" i="6"/>
  <c r="N630" i="6"/>
  <c r="H1162" i="4"/>
  <c r="G1163" i="4"/>
  <c r="G326" i="4"/>
  <c r="H325" i="4"/>
  <c r="J324" i="4"/>
  <c r="D324" i="6"/>
  <c r="I324" i="4"/>
  <c r="O324" i="5"/>
  <c r="T630" i="5"/>
  <c r="U630" i="5"/>
  <c r="P630" i="5"/>
  <c r="I151" i="5"/>
  <c r="J151" i="5"/>
  <c r="R151" i="5"/>
  <c r="R270" i="6"/>
  <c r="S270" i="6"/>
  <c r="N270" i="6"/>
  <c r="E164" i="6"/>
  <c r="F164" i="6"/>
  <c r="P1110" i="5"/>
  <c r="T1110" i="5"/>
  <c r="U1110" i="5"/>
  <c r="D923" i="4"/>
  <c r="C924" i="4"/>
  <c r="G445" i="4"/>
  <c r="H444" i="4"/>
  <c r="P990" i="5"/>
  <c r="T990" i="5"/>
  <c r="U990" i="5"/>
  <c r="E524" i="6"/>
  <c r="F524" i="6"/>
  <c r="G86" i="4"/>
  <c r="H85" i="4"/>
  <c r="G206" i="4"/>
  <c r="H205" i="4"/>
  <c r="I1043" i="4"/>
  <c r="O1043" i="5"/>
  <c r="J1043" i="4"/>
  <c r="D1043" i="6"/>
  <c r="E1004" i="6"/>
  <c r="F1004" i="6"/>
  <c r="E44" i="6"/>
  <c r="F44" i="6"/>
  <c r="J204" i="4"/>
  <c r="D204" i="6"/>
  <c r="I204" i="4"/>
  <c r="O204" i="5"/>
  <c r="G1045" i="4"/>
  <c r="H1044" i="4"/>
  <c r="G923" i="4"/>
  <c r="H922" i="4"/>
  <c r="C445" i="4"/>
  <c r="D444" i="4"/>
  <c r="J443" i="4"/>
  <c r="D443" i="6"/>
  <c r="I443" i="4"/>
  <c r="O443" i="5"/>
  <c r="P510" i="5"/>
  <c r="T510" i="5"/>
  <c r="U510" i="5"/>
  <c r="S390" i="6"/>
  <c r="E764" i="6"/>
  <c r="F764" i="6"/>
  <c r="E884" i="6"/>
  <c r="F884" i="6"/>
  <c r="S990" i="6"/>
  <c r="I683" i="4"/>
  <c r="O683" i="5"/>
  <c r="J683" i="4"/>
  <c r="D683" i="6"/>
  <c r="S30" i="6"/>
  <c r="C205" i="4"/>
  <c r="D204" i="4"/>
  <c r="S870" i="6"/>
  <c r="C325" i="4"/>
  <c r="D324" i="4"/>
  <c r="P30" i="5"/>
  <c r="T30" i="5"/>
  <c r="U30" i="5"/>
  <c r="J85" i="4"/>
  <c r="D85" i="6"/>
  <c r="I85" i="4"/>
  <c r="O85" i="5"/>
  <c r="C686" i="4"/>
  <c r="D685" i="4"/>
  <c r="G44" i="6"/>
  <c r="P44" i="6"/>
  <c r="P884" i="6"/>
  <c r="G884" i="6"/>
  <c r="D85" i="4"/>
  <c r="C86" i="4"/>
  <c r="M151" i="5"/>
  <c r="Q150" i="5"/>
  <c r="W150" i="5"/>
  <c r="X150" i="5"/>
  <c r="M751" i="5"/>
  <c r="Q750" i="5"/>
  <c r="W750" i="5"/>
  <c r="X750" i="5"/>
  <c r="C1045" i="4"/>
  <c r="D1044" i="4"/>
  <c r="H923" i="4"/>
  <c r="G924" i="4"/>
  <c r="G1164" i="4"/>
  <c r="H1163" i="4"/>
  <c r="S151" i="5"/>
  <c r="K151" i="5"/>
  <c r="M871" i="5"/>
  <c r="Q870" i="5"/>
  <c r="W870" i="5"/>
  <c r="X870" i="5"/>
  <c r="M631" i="5"/>
  <c r="Q630" i="5"/>
  <c r="W630" i="5"/>
  <c r="X630" i="5"/>
  <c r="O630" i="6"/>
  <c r="U630" i="6"/>
  <c r="V630" i="6"/>
  <c r="J631" i="6"/>
  <c r="K631" i="6"/>
  <c r="G1004" i="6"/>
  <c r="P1004" i="6"/>
  <c r="G524" i="6"/>
  <c r="P524" i="6"/>
  <c r="Q1110" i="5"/>
  <c r="W1110" i="5"/>
  <c r="X1110" i="5"/>
  <c r="M1111" i="5"/>
  <c r="K391" i="5"/>
  <c r="S391" i="5"/>
  <c r="Q270" i="5"/>
  <c r="W270" i="5"/>
  <c r="X270" i="5"/>
  <c r="M271" i="5"/>
  <c r="P644" i="6"/>
  <c r="G644" i="6"/>
  <c r="S31" i="5"/>
  <c r="K31" i="5"/>
  <c r="G686" i="4"/>
  <c r="H685" i="4"/>
  <c r="D924" i="4"/>
  <c r="C925" i="4"/>
  <c r="D1163" i="4"/>
  <c r="C1164" i="4"/>
  <c r="H86" i="4"/>
  <c r="G87" i="4"/>
  <c r="S271" i="5"/>
  <c r="K271" i="5"/>
  <c r="D205" i="4"/>
  <c r="C206" i="4"/>
  <c r="J1044" i="4"/>
  <c r="D1044" i="6"/>
  <c r="I1044" i="4"/>
  <c r="O1044" i="5"/>
  <c r="G164" i="6"/>
  <c r="P164" i="6"/>
  <c r="S631" i="5"/>
  <c r="K631" i="5"/>
  <c r="J684" i="4"/>
  <c r="D684" i="6"/>
  <c r="I684" i="4"/>
  <c r="O684" i="5"/>
  <c r="P1124" i="6"/>
  <c r="G1124" i="6"/>
  <c r="K991" i="5"/>
  <c r="S991" i="5"/>
  <c r="C568" i="4"/>
  <c r="D567" i="4"/>
  <c r="J31" i="6"/>
  <c r="K31" i="6"/>
  <c r="O30" i="6"/>
  <c r="U30" i="6"/>
  <c r="V30" i="6"/>
  <c r="D325" i="4"/>
  <c r="C326" i="4"/>
  <c r="O510" i="6"/>
  <c r="U510" i="6"/>
  <c r="V510" i="6"/>
  <c r="J511" i="6"/>
  <c r="K511" i="6"/>
  <c r="P284" i="6"/>
  <c r="G284" i="6"/>
  <c r="G404" i="6"/>
  <c r="P404" i="6"/>
  <c r="O1110" i="6"/>
  <c r="U1110" i="6"/>
  <c r="V1110" i="6"/>
  <c r="J1111" i="6"/>
  <c r="K1111" i="6"/>
  <c r="O990" i="6"/>
  <c r="U990" i="6"/>
  <c r="V990" i="6"/>
  <c r="J991" i="6"/>
  <c r="K991" i="6"/>
  <c r="J1162" i="4"/>
  <c r="D1162" i="6"/>
  <c r="I1162" i="4"/>
  <c r="O1162" i="5"/>
  <c r="D445" i="4"/>
  <c r="C446" i="4"/>
  <c r="G1046" i="4"/>
  <c r="H1045" i="4"/>
  <c r="Q990" i="5"/>
  <c r="W990" i="5"/>
  <c r="X990" i="5"/>
  <c r="M991" i="5"/>
  <c r="J205" i="4"/>
  <c r="D205" i="6"/>
  <c r="I205" i="4"/>
  <c r="O205" i="5"/>
  <c r="J444" i="4"/>
  <c r="D444" i="6"/>
  <c r="I444" i="4"/>
  <c r="O444" i="5"/>
  <c r="J271" i="6"/>
  <c r="K271" i="6"/>
  <c r="O270" i="6"/>
  <c r="U270" i="6"/>
  <c r="V270" i="6"/>
  <c r="J325" i="4"/>
  <c r="D325" i="6"/>
  <c r="I325" i="4"/>
  <c r="O325" i="5"/>
  <c r="I565" i="4"/>
  <c r="O565" i="5"/>
  <c r="J565" i="4"/>
  <c r="D565" i="6"/>
  <c r="O750" i="6"/>
  <c r="U750" i="6"/>
  <c r="V750" i="6"/>
  <c r="J751" i="6"/>
  <c r="K751" i="6"/>
  <c r="J151" i="6"/>
  <c r="K151" i="6"/>
  <c r="O150" i="6"/>
  <c r="U150" i="6"/>
  <c r="V150" i="6"/>
  <c r="M391" i="5"/>
  <c r="Q390" i="5"/>
  <c r="W390" i="5"/>
  <c r="X390" i="5"/>
  <c r="S871" i="5"/>
  <c r="K871" i="5"/>
  <c r="S751" i="5"/>
  <c r="K751" i="5"/>
  <c r="J871" i="6"/>
  <c r="K871" i="6"/>
  <c r="O870" i="6"/>
  <c r="U870" i="6"/>
  <c r="V870" i="6"/>
  <c r="J391" i="6"/>
  <c r="K391" i="6"/>
  <c r="O390" i="6"/>
  <c r="U390" i="6"/>
  <c r="V390" i="6"/>
  <c r="K1111" i="5"/>
  <c r="S1111" i="5"/>
  <c r="M511" i="5"/>
  <c r="Q510" i="5"/>
  <c r="W510" i="5"/>
  <c r="X510" i="5"/>
  <c r="P764" i="6"/>
  <c r="G764" i="6"/>
  <c r="M31" i="5"/>
  <c r="Q30" i="5"/>
  <c r="W30" i="5"/>
  <c r="X30" i="5"/>
  <c r="J922" i="4"/>
  <c r="D922" i="6"/>
  <c r="I922" i="4"/>
  <c r="O922" i="5"/>
  <c r="H206" i="4"/>
  <c r="G207" i="4"/>
  <c r="G446" i="4"/>
  <c r="H445" i="4"/>
  <c r="H326" i="4"/>
  <c r="G327" i="4"/>
  <c r="G567" i="4"/>
  <c r="H566" i="4"/>
  <c r="S511" i="5"/>
  <c r="K511" i="5"/>
  <c r="Q871" i="6"/>
  <c r="L871" i="6"/>
  <c r="M871" i="6"/>
  <c r="G272" i="5"/>
  <c r="H272" i="5"/>
  <c r="L271" i="5"/>
  <c r="N271" i="5"/>
  <c r="C1046" i="4"/>
  <c r="D1045" i="4"/>
  <c r="L751" i="5"/>
  <c r="N751" i="5"/>
  <c r="G752" i="5"/>
  <c r="H752" i="5"/>
  <c r="C447" i="4"/>
  <c r="D446" i="4"/>
  <c r="G992" i="5"/>
  <c r="H992" i="5"/>
  <c r="L991" i="5"/>
  <c r="N991" i="5"/>
  <c r="G512" i="5"/>
  <c r="H512" i="5"/>
  <c r="L511" i="5"/>
  <c r="N511" i="5"/>
  <c r="G447" i="4"/>
  <c r="H446" i="4"/>
  <c r="I1045" i="4"/>
  <c r="O1045" i="5"/>
  <c r="J1045" i="4"/>
  <c r="D1045" i="6"/>
  <c r="L991" i="6"/>
  <c r="M991" i="6"/>
  <c r="Q991" i="6"/>
  <c r="C569" i="4"/>
  <c r="D568" i="4"/>
  <c r="L631" i="5"/>
  <c r="N631" i="5"/>
  <c r="G632" i="5"/>
  <c r="H632" i="5"/>
  <c r="E525" i="6"/>
  <c r="F525" i="6"/>
  <c r="E885" i="6"/>
  <c r="F885" i="6"/>
  <c r="L271" i="6"/>
  <c r="M271" i="6"/>
  <c r="Q271" i="6"/>
  <c r="I685" i="4"/>
  <c r="O685" i="5"/>
  <c r="J685" i="4"/>
  <c r="D685" i="6"/>
  <c r="E1005" i="6"/>
  <c r="F1005" i="6"/>
  <c r="J566" i="4"/>
  <c r="D566" i="6"/>
  <c r="I566" i="4"/>
  <c r="O566" i="5"/>
  <c r="C327" i="4"/>
  <c r="D326" i="4"/>
  <c r="E1125" i="6"/>
  <c r="F1125" i="6"/>
  <c r="G88" i="4"/>
  <c r="H87" i="4"/>
  <c r="H686" i="4"/>
  <c r="G687" i="4"/>
  <c r="L631" i="6"/>
  <c r="M631" i="6"/>
  <c r="Q631" i="6"/>
  <c r="E45" i="6"/>
  <c r="F45" i="6"/>
  <c r="Q511" i="6"/>
  <c r="L511" i="6"/>
  <c r="M511" i="6"/>
  <c r="Q751" i="6"/>
  <c r="L751" i="6"/>
  <c r="M751" i="6"/>
  <c r="G568" i="4"/>
  <c r="H567" i="4"/>
  <c r="L871" i="5"/>
  <c r="N871" i="5"/>
  <c r="G872" i="5"/>
  <c r="H872" i="5"/>
  <c r="E165" i="6"/>
  <c r="F165" i="6"/>
  <c r="J86" i="4"/>
  <c r="D86" i="6"/>
  <c r="I86" i="4"/>
  <c r="O86" i="5"/>
  <c r="G32" i="5"/>
  <c r="H32" i="5"/>
  <c r="L31" i="5"/>
  <c r="N31" i="5"/>
  <c r="G392" i="5"/>
  <c r="H392" i="5"/>
  <c r="L391" i="5"/>
  <c r="N391" i="5"/>
  <c r="J1163" i="4"/>
  <c r="D1163" i="6"/>
  <c r="I1163" i="4"/>
  <c r="O1163" i="5"/>
  <c r="G208" i="4"/>
  <c r="H207" i="4"/>
  <c r="G1047" i="4"/>
  <c r="H1046" i="4"/>
  <c r="J206" i="4"/>
  <c r="D206" i="6"/>
  <c r="I206" i="4"/>
  <c r="O206" i="5"/>
  <c r="Q1111" i="6"/>
  <c r="L1111" i="6"/>
  <c r="M1111" i="6"/>
  <c r="G1112" i="5"/>
  <c r="H1112" i="5"/>
  <c r="L1111" i="5"/>
  <c r="N1111" i="5"/>
  <c r="C1165" i="4"/>
  <c r="D1164" i="4"/>
  <c r="H1164" i="4"/>
  <c r="G1165" i="4"/>
  <c r="C687" i="4"/>
  <c r="D686" i="4"/>
  <c r="Q151" i="6"/>
  <c r="L151" i="6"/>
  <c r="M151" i="6"/>
  <c r="J326" i="4"/>
  <c r="D326" i="6"/>
  <c r="I326" i="4"/>
  <c r="O326" i="5"/>
  <c r="E405" i="6"/>
  <c r="F405" i="6"/>
  <c r="Q31" i="6"/>
  <c r="L31" i="6"/>
  <c r="M31" i="6"/>
  <c r="G925" i="4"/>
  <c r="H924" i="4"/>
  <c r="C87" i="4"/>
  <c r="D86" i="4"/>
  <c r="G152" i="5"/>
  <c r="H152" i="5"/>
  <c r="L151" i="5"/>
  <c r="N151" i="5"/>
  <c r="G328" i="4"/>
  <c r="H327" i="4"/>
  <c r="J445" i="4"/>
  <c r="D445" i="6"/>
  <c r="I445" i="4"/>
  <c r="O445" i="5"/>
  <c r="E765" i="6"/>
  <c r="F765" i="6"/>
  <c r="Q391" i="6"/>
  <c r="L391" i="6"/>
  <c r="M391" i="6"/>
  <c r="E285" i="6"/>
  <c r="F285" i="6"/>
  <c r="C207" i="4"/>
  <c r="D206" i="4"/>
  <c r="C926" i="4"/>
  <c r="D925" i="4"/>
  <c r="E645" i="6"/>
  <c r="F645" i="6"/>
  <c r="I923" i="4"/>
  <c r="O923" i="5"/>
  <c r="J923" i="4"/>
  <c r="D923" i="6"/>
  <c r="P151" i="5"/>
  <c r="T151" i="5"/>
  <c r="U151" i="5"/>
  <c r="G1166" i="4"/>
  <c r="H1165" i="4"/>
  <c r="J686" i="4"/>
  <c r="D686" i="6"/>
  <c r="I686" i="4"/>
  <c r="O686" i="5"/>
  <c r="T631" i="5"/>
  <c r="U631" i="5"/>
  <c r="P631" i="5"/>
  <c r="C448" i="4"/>
  <c r="D447" i="4"/>
  <c r="R31" i="6"/>
  <c r="N31" i="6"/>
  <c r="J207" i="4"/>
  <c r="D207" i="6"/>
  <c r="I207" i="4"/>
  <c r="O207" i="5"/>
  <c r="C688" i="4"/>
  <c r="D687" i="4"/>
  <c r="I632" i="5"/>
  <c r="J632" i="5"/>
  <c r="R632" i="5"/>
  <c r="S391" i="6"/>
  <c r="P405" i="6"/>
  <c r="G405" i="6"/>
  <c r="G165" i="6"/>
  <c r="P165" i="6"/>
  <c r="N511" i="6"/>
  <c r="R511" i="6"/>
  <c r="J87" i="4"/>
  <c r="D87" i="6"/>
  <c r="I87" i="4"/>
  <c r="O87" i="5"/>
  <c r="R271" i="6"/>
  <c r="S271" i="6"/>
  <c r="N271" i="6"/>
  <c r="J446" i="4"/>
  <c r="D446" i="6"/>
  <c r="I446" i="4"/>
  <c r="O446" i="5"/>
  <c r="R752" i="5"/>
  <c r="I752" i="5"/>
  <c r="J752" i="5"/>
  <c r="I1112" i="5"/>
  <c r="J1112" i="5"/>
  <c r="R1112" i="5"/>
  <c r="H328" i="4"/>
  <c r="G329" i="4"/>
  <c r="G688" i="4"/>
  <c r="H687" i="4"/>
  <c r="R391" i="6"/>
  <c r="N391" i="6"/>
  <c r="R152" i="5"/>
  <c r="I152" i="5"/>
  <c r="J152" i="5"/>
  <c r="J1164" i="4"/>
  <c r="D1164" i="6"/>
  <c r="I1164" i="4"/>
  <c r="O1164" i="5"/>
  <c r="P391" i="5"/>
  <c r="T391" i="5"/>
  <c r="U391" i="5"/>
  <c r="S511" i="6"/>
  <c r="H88" i="4"/>
  <c r="G89" i="4"/>
  <c r="C570" i="4"/>
  <c r="D569" i="4"/>
  <c r="H447" i="4"/>
  <c r="G448" i="4"/>
  <c r="T751" i="5"/>
  <c r="U751" i="5"/>
  <c r="P751" i="5"/>
  <c r="N631" i="6"/>
  <c r="R631" i="6"/>
  <c r="S31" i="6"/>
  <c r="H208" i="4"/>
  <c r="G209" i="4"/>
  <c r="D327" i="4"/>
  <c r="C328" i="4"/>
  <c r="D926" i="4"/>
  <c r="C927" i="4"/>
  <c r="P765" i="6"/>
  <c r="G765" i="6"/>
  <c r="D87" i="4"/>
  <c r="C88" i="4"/>
  <c r="D1165" i="4"/>
  <c r="C1166" i="4"/>
  <c r="I392" i="5"/>
  <c r="J392" i="5"/>
  <c r="R392" i="5"/>
  <c r="I872" i="5"/>
  <c r="J872" i="5"/>
  <c r="R872" i="5"/>
  <c r="P45" i="6"/>
  <c r="G45" i="6"/>
  <c r="G885" i="6"/>
  <c r="P885" i="6"/>
  <c r="P511" i="5"/>
  <c r="T511" i="5"/>
  <c r="U511" i="5"/>
  <c r="G569" i="4"/>
  <c r="H568" i="4"/>
  <c r="P285" i="6"/>
  <c r="G285" i="6"/>
  <c r="N751" i="6"/>
  <c r="R751" i="6"/>
  <c r="S751" i="6"/>
  <c r="J924" i="4"/>
  <c r="D924" i="6"/>
  <c r="I924" i="4"/>
  <c r="O924" i="5"/>
  <c r="R151" i="6"/>
  <c r="S151" i="6"/>
  <c r="N151" i="6"/>
  <c r="I1046" i="4"/>
  <c r="O1046" i="5"/>
  <c r="J1046" i="4"/>
  <c r="D1046" i="6"/>
  <c r="P31" i="5"/>
  <c r="T31" i="5"/>
  <c r="U31" i="5"/>
  <c r="T871" i="5"/>
  <c r="U871" i="5"/>
  <c r="P871" i="5"/>
  <c r="P1125" i="6"/>
  <c r="G1125" i="6"/>
  <c r="P1005" i="6"/>
  <c r="G1005" i="6"/>
  <c r="R512" i="5"/>
  <c r="I512" i="5"/>
  <c r="J512" i="5"/>
  <c r="C1047" i="4"/>
  <c r="D1046" i="4"/>
  <c r="J327" i="4"/>
  <c r="D327" i="6"/>
  <c r="I327" i="4"/>
  <c r="O327" i="5"/>
  <c r="N1111" i="6"/>
  <c r="R1111" i="6"/>
  <c r="S1111" i="6"/>
  <c r="N871" i="6"/>
  <c r="R871" i="6"/>
  <c r="S871" i="6"/>
  <c r="P645" i="6"/>
  <c r="G645" i="6"/>
  <c r="D207" i="4"/>
  <c r="C208" i="4"/>
  <c r="H925" i="4"/>
  <c r="G926" i="4"/>
  <c r="T1111" i="5"/>
  <c r="U1111" i="5"/>
  <c r="P1111" i="5"/>
  <c r="G1048" i="4"/>
  <c r="H1047" i="4"/>
  <c r="R32" i="5"/>
  <c r="I32" i="5"/>
  <c r="J32" i="5"/>
  <c r="I567" i="4"/>
  <c r="O567" i="5"/>
  <c r="J567" i="4"/>
  <c r="D567" i="6"/>
  <c r="S631" i="6"/>
  <c r="G525" i="6"/>
  <c r="P525" i="6"/>
  <c r="N991" i="6"/>
  <c r="R991" i="6"/>
  <c r="S991" i="6"/>
  <c r="P991" i="5"/>
  <c r="T991" i="5"/>
  <c r="U991" i="5"/>
  <c r="T271" i="5"/>
  <c r="U271" i="5"/>
  <c r="P271" i="5"/>
  <c r="I992" i="5"/>
  <c r="J992" i="5"/>
  <c r="R992" i="5"/>
  <c r="R272" i="5"/>
  <c r="I272" i="5"/>
  <c r="J272" i="5"/>
  <c r="G570" i="4"/>
  <c r="H569" i="4"/>
  <c r="S272" i="5"/>
  <c r="K272" i="5"/>
  <c r="C209" i="4"/>
  <c r="D208" i="4"/>
  <c r="J208" i="4"/>
  <c r="D208" i="6"/>
  <c r="I208" i="4"/>
  <c r="O208" i="5"/>
  <c r="J328" i="4"/>
  <c r="D328" i="6"/>
  <c r="I328" i="4"/>
  <c r="O328" i="5"/>
  <c r="J32" i="6"/>
  <c r="K32" i="6"/>
  <c r="O31" i="6"/>
  <c r="U31" i="6"/>
  <c r="V31" i="6"/>
  <c r="J992" i="6"/>
  <c r="K992" i="6"/>
  <c r="O991" i="6"/>
  <c r="U991" i="6"/>
  <c r="V991" i="6"/>
  <c r="J152" i="6"/>
  <c r="K152" i="6"/>
  <c r="O151" i="6"/>
  <c r="U151" i="6"/>
  <c r="V151" i="6"/>
  <c r="G1049" i="4"/>
  <c r="H1048" i="4"/>
  <c r="S1112" i="5"/>
  <c r="K1112" i="5"/>
  <c r="J568" i="4"/>
  <c r="D568" i="6"/>
  <c r="I568" i="4"/>
  <c r="O568" i="5"/>
  <c r="E766" i="6"/>
  <c r="F766" i="6"/>
  <c r="S872" i="5"/>
  <c r="K872" i="5"/>
  <c r="G90" i="4"/>
  <c r="H89" i="4"/>
  <c r="K992" i="5"/>
  <c r="S992" i="5"/>
  <c r="E526" i="6"/>
  <c r="F526" i="6"/>
  <c r="Q1111" i="5"/>
  <c r="W1111" i="5"/>
  <c r="X1111" i="5"/>
  <c r="M1112" i="5"/>
  <c r="C1048" i="4"/>
  <c r="D1047" i="4"/>
  <c r="M872" i="5"/>
  <c r="Q871" i="5"/>
  <c r="W871" i="5"/>
  <c r="X871" i="5"/>
  <c r="D927" i="4"/>
  <c r="C928" i="4"/>
  <c r="J632" i="6"/>
  <c r="K632" i="6"/>
  <c r="O631" i="6"/>
  <c r="U631" i="6"/>
  <c r="V631" i="6"/>
  <c r="J88" i="4"/>
  <c r="D88" i="6"/>
  <c r="I88" i="4"/>
  <c r="O88" i="5"/>
  <c r="J392" i="6"/>
  <c r="K392" i="6"/>
  <c r="O391" i="6"/>
  <c r="U391" i="6"/>
  <c r="V391" i="6"/>
  <c r="K752" i="5"/>
  <c r="S752" i="5"/>
  <c r="K632" i="5"/>
  <c r="S632" i="5"/>
  <c r="J512" i="6"/>
  <c r="K512" i="6"/>
  <c r="O511" i="6"/>
  <c r="U511" i="6"/>
  <c r="V511" i="6"/>
  <c r="D448" i="4"/>
  <c r="C449" i="4"/>
  <c r="J1165" i="4"/>
  <c r="D1165" i="6"/>
  <c r="I1165" i="4"/>
  <c r="O1165" i="5"/>
  <c r="C571" i="4"/>
  <c r="D570" i="4"/>
  <c r="Q271" i="5"/>
  <c r="W271" i="5"/>
  <c r="X271" i="5"/>
  <c r="M272" i="5"/>
  <c r="K392" i="5"/>
  <c r="S392" i="5"/>
  <c r="C1167" i="4"/>
  <c r="D1166" i="4"/>
  <c r="C329" i="4"/>
  <c r="D328" i="4"/>
  <c r="I687" i="4"/>
  <c r="O687" i="5"/>
  <c r="J687" i="4"/>
  <c r="D687" i="6"/>
  <c r="C689" i="4"/>
  <c r="D688" i="4"/>
  <c r="M632" i="5"/>
  <c r="Q631" i="5"/>
  <c r="W631" i="5"/>
  <c r="X631" i="5"/>
  <c r="H1166" i="4"/>
  <c r="G1167" i="4"/>
  <c r="E1126" i="6"/>
  <c r="F1126" i="6"/>
  <c r="S152" i="5"/>
  <c r="K152" i="5"/>
  <c r="M32" i="5"/>
  <c r="Q31" i="5"/>
  <c r="W31" i="5"/>
  <c r="X31" i="5"/>
  <c r="J752" i="6"/>
  <c r="K752" i="6"/>
  <c r="O751" i="6"/>
  <c r="U751" i="6"/>
  <c r="V751" i="6"/>
  <c r="E886" i="6"/>
  <c r="F886" i="6"/>
  <c r="G449" i="4"/>
  <c r="H448" i="4"/>
  <c r="M392" i="5"/>
  <c r="Q391" i="5"/>
  <c r="W391" i="5"/>
  <c r="X391" i="5"/>
  <c r="G689" i="4"/>
  <c r="H688" i="4"/>
  <c r="E166" i="6"/>
  <c r="F166" i="6"/>
  <c r="I1047" i="4"/>
  <c r="O1047" i="5"/>
  <c r="J1047" i="4"/>
  <c r="D1047" i="6"/>
  <c r="E646" i="6"/>
  <c r="F646" i="6"/>
  <c r="S512" i="5"/>
  <c r="K512" i="5"/>
  <c r="M512" i="5"/>
  <c r="Q511" i="5"/>
  <c r="W511" i="5"/>
  <c r="X511" i="5"/>
  <c r="M752" i="5"/>
  <c r="Q751" i="5"/>
  <c r="W751" i="5"/>
  <c r="X751" i="5"/>
  <c r="J872" i="6"/>
  <c r="K872" i="6"/>
  <c r="O871" i="6"/>
  <c r="U871" i="6"/>
  <c r="V871" i="6"/>
  <c r="H926" i="4"/>
  <c r="G927" i="4"/>
  <c r="Q991" i="5"/>
  <c r="W991" i="5"/>
  <c r="X991" i="5"/>
  <c r="M992" i="5"/>
  <c r="S32" i="5"/>
  <c r="K32" i="5"/>
  <c r="I925" i="4"/>
  <c r="O925" i="5"/>
  <c r="J925" i="4"/>
  <c r="D925" i="6"/>
  <c r="O1111" i="6"/>
  <c r="U1111" i="6"/>
  <c r="V1111" i="6"/>
  <c r="J1112" i="6"/>
  <c r="K1112" i="6"/>
  <c r="E1006" i="6"/>
  <c r="F1006" i="6"/>
  <c r="E286" i="6"/>
  <c r="F286" i="6"/>
  <c r="E46" i="6"/>
  <c r="F46" i="6"/>
  <c r="C89" i="4"/>
  <c r="D88" i="4"/>
  <c r="G210" i="4"/>
  <c r="H209" i="4"/>
  <c r="J447" i="4"/>
  <c r="D447" i="6"/>
  <c r="I447" i="4"/>
  <c r="O447" i="5"/>
  <c r="G330" i="4"/>
  <c r="H329" i="4"/>
  <c r="O271" i="6"/>
  <c r="U271" i="6"/>
  <c r="V271" i="6"/>
  <c r="J272" i="6"/>
  <c r="K272" i="6"/>
  <c r="E406" i="6"/>
  <c r="F406" i="6"/>
  <c r="M152" i="5"/>
  <c r="Q151" i="5"/>
  <c r="W151" i="5"/>
  <c r="X151" i="5"/>
  <c r="P406" i="6"/>
  <c r="G406" i="6"/>
  <c r="C690" i="4"/>
  <c r="D689" i="4"/>
  <c r="H927" i="4"/>
  <c r="G928" i="4"/>
  <c r="J209" i="4"/>
  <c r="D209" i="6"/>
  <c r="I209" i="4"/>
  <c r="O209" i="5"/>
  <c r="G450" i="4"/>
  <c r="H449" i="4"/>
  <c r="G153" i="5"/>
  <c r="H153" i="5"/>
  <c r="L152" i="5"/>
  <c r="N152" i="5"/>
  <c r="D1167" i="4"/>
  <c r="C1168" i="4"/>
  <c r="C572" i="4"/>
  <c r="D571" i="4"/>
  <c r="C1049" i="4"/>
  <c r="D1048" i="4"/>
  <c r="H210" i="4"/>
  <c r="G211" i="4"/>
  <c r="L152" i="6"/>
  <c r="M152" i="6"/>
  <c r="Q152" i="6"/>
  <c r="D89" i="4"/>
  <c r="C90" i="4"/>
  <c r="I926" i="4"/>
  <c r="O926" i="5"/>
  <c r="J926" i="4"/>
  <c r="D926" i="6"/>
  <c r="J688" i="4"/>
  <c r="D688" i="6"/>
  <c r="I688" i="4"/>
  <c r="O688" i="5"/>
  <c r="P1126" i="6"/>
  <c r="G1126" i="6"/>
  <c r="G393" i="5"/>
  <c r="H393" i="5"/>
  <c r="L392" i="5"/>
  <c r="N392" i="5"/>
  <c r="C450" i="4"/>
  <c r="D449" i="4"/>
  <c r="L752" i="5"/>
  <c r="N752" i="5"/>
  <c r="G753" i="5"/>
  <c r="H753" i="5"/>
  <c r="L872" i="5"/>
  <c r="N872" i="5"/>
  <c r="G873" i="5"/>
  <c r="H873" i="5"/>
  <c r="G1113" i="5"/>
  <c r="H1113" i="5"/>
  <c r="L1112" i="5"/>
  <c r="N1112" i="5"/>
  <c r="Q992" i="6"/>
  <c r="L992" i="6"/>
  <c r="M992" i="6"/>
  <c r="I569" i="4"/>
  <c r="O569" i="5"/>
  <c r="J569" i="4"/>
  <c r="D569" i="6"/>
  <c r="J329" i="4"/>
  <c r="D329" i="6"/>
  <c r="I329" i="4"/>
  <c r="O329" i="5"/>
  <c r="G690" i="4"/>
  <c r="H689" i="4"/>
  <c r="Q752" i="6"/>
  <c r="L752" i="6"/>
  <c r="M752" i="6"/>
  <c r="G1168" i="4"/>
  <c r="H1167" i="4"/>
  <c r="G526" i="6"/>
  <c r="P526" i="6"/>
  <c r="G571" i="4"/>
  <c r="H570" i="4"/>
  <c r="Q632" i="6"/>
  <c r="L632" i="6"/>
  <c r="M632" i="6"/>
  <c r="L272" i="6"/>
  <c r="M272" i="6"/>
  <c r="Q272" i="6"/>
  <c r="G513" i="5"/>
  <c r="H513" i="5"/>
  <c r="L512" i="5"/>
  <c r="N512" i="5"/>
  <c r="H90" i="4"/>
  <c r="G91" i="4"/>
  <c r="L392" i="6"/>
  <c r="M392" i="6"/>
  <c r="Q392" i="6"/>
  <c r="L32" i="6"/>
  <c r="M32" i="6"/>
  <c r="Q32" i="6"/>
  <c r="P166" i="6"/>
  <c r="G166" i="6"/>
  <c r="L632" i="5"/>
  <c r="N632" i="5"/>
  <c r="G633" i="5"/>
  <c r="H633" i="5"/>
  <c r="J89" i="4"/>
  <c r="D89" i="6"/>
  <c r="I89" i="4"/>
  <c r="O89" i="5"/>
  <c r="Q1112" i="6"/>
  <c r="L1112" i="6"/>
  <c r="M1112" i="6"/>
  <c r="H330" i="4"/>
  <c r="G331" i="4"/>
  <c r="Q872" i="6"/>
  <c r="L872" i="6"/>
  <c r="M872" i="6"/>
  <c r="G646" i="6"/>
  <c r="P646" i="6"/>
  <c r="J1166" i="4"/>
  <c r="D1166" i="6"/>
  <c r="I1166" i="4"/>
  <c r="O1166" i="5"/>
  <c r="G33" i="5"/>
  <c r="H33" i="5"/>
  <c r="L32" i="5"/>
  <c r="N32" i="5"/>
  <c r="D329" i="4"/>
  <c r="C330" i="4"/>
  <c r="L512" i="6"/>
  <c r="M512" i="6"/>
  <c r="Q512" i="6"/>
  <c r="G766" i="6"/>
  <c r="P766" i="6"/>
  <c r="J1048" i="4"/>
  <c r="D1048" i="6"/>
  <c r="I1048" i="4"/>
  <c r="O1048" i="5"/>
  <c r="P1006" i="6"/>
  <c r="G1006" i="6"/>
  <c r="L272" i="5"/>
  <c r="N272" i="5"/>
  <c r="G273" i="5"/>
  <c r="H273" i="5"/>
  <c r="P886" i="6"/>
  <c r="G886" i="6"/>
  <c r="D928" i="4"/>
  <c r="C929" i="4"/>
  <c r="P46" i="6"/>
  <c r="G46" i="6"/>
  <c r="P286" i="6"/>
  <c r="G286" i="6"/>
  <c r="J448" i="4"/>
  <c r="D448" i="6"/>
  <c r="I448" i="4"/>
  <c r="O448" i="5"/>
  <c r="G993" i="5"/>
  <c r="H993" i="5"/>
  <c r="L992" i="5"/>
  <c r="N992" i="5"/>
  <c r="G1050" i="4"/>
  <c r="H1049" i="4"/>
  <c r="D209" i="4"/>
  <c r="C210" i="4"/>
  <c r="G451" i="4"/>
  <c r="H450" i="4"/>
  <c r="R872" i="6"/>
  <c r="S872" i="6"/>
  <c r="N872" i="6"/>
  <c r="R633" i="5"/>
  <c r="I633" i="5"/>
  <c r="J633" i="5"/>
  <c r="G92" i="4"/>
  <c r="H91" i="4"/>
  <c r="J570" i="4"/>
  <c r="D570" i="6"/>
  <c r="I570" i="4"/>
  <c r="O570" i="5"/>
  <c r="I689" i="4"/>
  <c r="O689" i="5"/>
  <c r="J689" i="4"/>
  <c r="D689" i="6"/>
  <c r="P1112" i="5"/>
  <c r="T1112" i="5"/>
  <c r="U1112" i="5"/>
  <c r="P392" i="5"/>
  <c r="T392" i="5"/>
  <c r="U392" i="5"/>
  <c r="C91" i="4"/>
  <c r="D90" i="4"/>
  <c r="G1051" i="4"/>
  <c r="H1050" i="4"/>
  <c r="T632" i="5"/>
  <c r="U632" i="5"/>
  <c r="P632" i="5"/>
  <c r="J90" i="4"/>
  <c r="D90" i="6"/>
  <c r="I90" i="4"/>
  <c r="O90" i="5"/>
  <c r="H571" i="4"/>
  <c r="G572" i="4"/>
  <c r="H690" i="4"/>
  <c r="G691" i="4"/>
  <c r="I1113" i="5"/>
  <c r="J1113" i="5"/>
  <c r="R1113" i="5"/>
  <c r="I393" i="5"/>
  <c r="J393" i="5"/>
  <c r="R393" i="5"/>
  <c r="C573" i="4"/>
  <c r="D572" i="4"/>
  <c r="R392" i="6"/>
  <c r="N392" i="6"/>
  <c r="C1050" i="4"/>
  <c r="D1049" i="4"/>
  <c r="E1007" i="6"/>
  <c r="F1007" i="6"/>
  <c r="P32" i="5"/>
  <c r="T32" i="5"/>
  <c r="U32" i="5"/>
  <c r="R873" i="5"/>
  <c r="I873" i="5"/>
  <c r="J873" i="5"/>
  <c r="E1127" i="6"/>
  <c r="F1127" i="6"/>
  <c r="C1169" i="4"/>
  <c r="D1168" i="4"/>
  <c r="G929" i="4"/>
  <c r="H928" i="4"/>
  <c r="I1049" i="4"/>
  <c r="O1049" i="5"/>
  <c r="J1049" i="4"/>
  <c r="D1049" i="6"/>
  <c r="C331" i="4"/>
  <c r="D330" i="4"/>
  <c r="H331" i="4"/>
  <c r="G332" i="4"/>
  <c r="I993" i="5"/>
  <c r="J993" i="5"/>
  <c r="R993" i="5"/>
  <c r="I33" i="5"/>
  <c r="J33" i="5"/>
  <c r="R33" i="5"/>
  <c r="J330" i="4"/>
  <c r="D330" i="6"/>
  <c r="I330" i="4"/>
  <c r="O330" i="5"/>
  <c r="I513" i="5"/>
  <c r="J513" i="5"/>
  <c r="R513" i="5"/>
  <c r="E527" i="6"/>
  <c r="F527" i="6"/>
  <c r="T872" i="5"/>
  <c r="U872" i="5"/>
  <c r="P872" i="5"/>
  <c r="R152" i="6"/>
  <c r="S152" i="6"/>
  <c r="N152" i="6"/>
  <c r="I927" i="4"/>
  <c r="O927" i="5"/>
  <c r="J927" i="4"/>
  <c r="D927" i="6"/>
  <c r="P272" i="5"/>
  <c r="T272" i="5"/>
  <c r="U272" i="5"/>
  <c r="C451" i="4"/>
  <c r="D450" i="4"/>
  <c r="P992" i="5"/>
  <c r="T992" i="5"/>
  <c r="U992" i="5"/>
  <c r="E167" i="6"/>
  <c r="F167" i="6"/>
  <c r="S272" i="6"/>
  <c r="J1167" i="4"/>
  <c r="D1167" i="6"/>
  <c r="I1167" i="4"/>
  <c r="O1167" i="5"/>
  <c r="R753" i="5"/>
  <c r="I753" i="5"/>
  <c r="J753" i="5"/>
  <c r="G212" i="4"/>
  <c r="H211" i="4"/>
  <c r="P152" i="5"/>
  <c r="T152" i="5"/>
  <c r="U152" i="5"/>
  <c r="R512" i="6"/>
  <c r="N512" i="6"/>
  <c r="E47" i="6"/>
  <c r="F47" i="6"/>
  <c r="C930" i="4"/>
  <c r="D929" i="4"/>
  <c r="P512" i="5"/>
  <c r="T512" i="5"/>
  <c r="U512" i="5"/>
  <c r="E887" i="6"/>
  <c r="F887" i="6"/>
  <c r="N1112" i="6"/>
  <c r="R1112" i="6"/>
  <c r="S1112" i="6"/>
  <c r="N272" i="6"/>
  <c r="R272" i="6"/>
  <c r="H1168" i="4"/>
  <c r="G1169" i="4"/>
  <c r="T752" i="5"/>
  <c r="U752" i="5"/>
  <c r="P752" i="5"/>
  <c r="J210" i="4"/>
  <c r="D210" i="6"/>
  <c r="I210" i="4"/>
  <c r="O210" i="5"/>
  <c r="R153" i="5"/>
  <c r="I153" i="5"/>
  <c r="J153" i="5"/>
  <c r="C691" i="4"/>
  <c r="D690" i="4"/>
  <c r="E647" i="6"/>
  <c r="F647" i="6"/>
  <c r="S632" i="6"/>
  <c r="E767" i="6"/>
  <c r="F767" i="6"/>
  <c r="R32" i="6"/>
  <c r="S32" i="6"/>
  <c r="N32" i="6"/>
  <c r="C211" i="4"/>
  <c r="D210" i="4"/>
  <c r="E287" i="6"/>
  <c r="F287" i="6"/>
  <c r="I273" i="5"/>
  <c r="J273" i="5"/>
  <c r="R273" i="5"/>
  <c r="S512" i="6"/>
  <c r="S392" i="6"/>
  <c r="N632" i="6"/>
  <c r="R632" i="6"/>
  <c r="R752" i="6"/>
  <c r="S752" i="6"/>
  <c r="N752" i="6"/>
  <c r="N992" i="6"/>
  <c r="R992" i="6"/>
  <c r="S992" i="6"/>
  <c r="J449" i="4"/>
  <c r="D449" i="6"/>
  <c r="I449" i="4"/>
  <c r="O449" i="5"/>
  <c r="E407" i="6"/>
  <c r="F407" i="6"/>
  <c r="D211" i="4"/>
  <c r="C212" i="4"/>
  <c r="P167" i="6"/>
  <c r="G167" i="6"/>
  <c r="J928" i="4"/>
  <c r="D928" i="6"/>
  <c r="I928" i="4"/>
  <c r="O928" i="5"/>
  <c r="J690" i="4"/>
  <c r="D690" i="6"/>
  <c r="I690" i="4"/>
  <c r="O690" i="5"/>
  <c r="O32" i="6"/>
  <c r="U32" i="6"/>
  <c r="V32" i="6"/>
  <c r="J33" i="6"/>
  <c r="K33" i="6"/>
  <c r="Q1112" i="5"/>
  <c r="W1112" i="5"/>
  <c r="X1112" i="5"/>
  <c r="M1113" i="5"/>
  <c r="O512" i="6"/>
  <c r="U512" i="6"/>
  <c r="V512" i="6"/>
  <c r="J513" i="6"/>
  <c r="K513" i="6"/>
  <c r="Q992" i="5"/>
  <c r="W992" i="5"/>
  <c r="X992" i="5"/>
  <c r="M993" i="5"/>
  <c r="I331" i="4"/>
  <c r="O331" i="5"/>
  <c r="J331" i="4"/>
  <c r="D331" i="6"/>
  <c r="M33" i="5"/>
  <c r="Q32" i="5"/>
  <c r="W32" i="5"/>
  <c r="X32" i="5"/>
  <c r="D573" i="4"/>
  <c r="C574" i="4"/>
  <c r="I571" i="4"/>
  <c r="O571" i="5"/>
  <c r="J571" i="4"/>
  <c r="D571" i="6"/>
  <c r="I1050" i="4"/>
  <c r="O1050" i="5"/>
  <c r="J1050" i="4"/>
  <c r="D1050" i="6"/>
  <c r="J873" i="6"/>
  <c r="K873" i="6"/>
  <c r="O872" i="6"/>
  <c r="U872" i="6"/>
  <c r="V872" i="6"/>
  <c r="J1113" i="6"/>
  <c r="K1113" i="6"/>
  <c r="O1112" i="6"/>
  <c r="U1112" i="6"/>
  <c r="V1112" i="6"/>
  <c r="G333" i="4"/>
  <c r="H332" i="4"/>
  <c r="G573" i="4"/>
  <c r="H572" i="4"/>
  <c r="P647" i="6"/>
  <c r="G647" i="6"/>
  <c r="J993" i="6"/>
  <c r="K993" i="6"/>
  <c r="O992" i="6"/>
  <c r="U992" i="6"/>
  <c r="V992" i="6"/>
  <c r="G1170" i="4"/>
  <c r="H1169" i="4"/>
  <c r="P887" i="6"/>
  <c r="G887" i="6"/>
  <c r="D1169" i="4"/>
  <c r="C1170" i="4"/>
  <c r="G1052" i="4"/>
  <c r="H1051" i="4"/>
  <c r="S993" i="5"/>
  <c r="K993" i="5"/>
  <c r="P47" i="6"/>
  <c r="G47" i="6"/>
  <c r="O152" i="6"/>
  <c r="U152" i="6"/>
  <c r="V152" i="6"/>
  <c r="J153" i="6"/>
  <c r="K153" i="6"/>
  <c r="J753" i="6"/>
  <c r="K753" i="6"/>
  <c r="O752" i="6"/>
  <c r="U752" i="6"/>
  <c r="V752" i="6"/>
  <c r="D451" i="4"/>
  <c r="C452" i="4"/>
  <c r="M873" i="5"/>
  <c r="Q872" i="5"/>
  <c r="W872" i="5"/>
  <c r="X872" i="5"/>
  <c r="C332" i="4"/>
  <c r="D331" i="4"/>
  <c r="P1007" i="6"/>
  <c r="G1007" i="6"/>
  <c r="K393" i="5"/>
  <c r="S393" i="5"/>
  <c r="J450" i="4"/>
  <c r="D450" i="6"/>
  <c r="I450" i="4"/>
  <c r="O450" i="5"/>
  <c r="M753" i="5"/>
  <c r="Q752" i="5"/>
  <c r="W752" i="5"/>
  <c r="X752" i="5"/>
  <c r="H929" i="4"/>
  <c r="G930" i="4"/>
  <c r="P767" i="6"/>
  <c r="G767" i="6"/>
  <c r="S153" i="5"/>
  <c r="K153" i="5"/>
  <c r="M513" i="5"/>
  <c r="Q512" i="5"/>
  <c r="W512" i="5"/>
  <c r="X512" i="5"/>
  <c r="M153" i="5"/>
  <c r="Q152" i="5"/>
  <c r="W152" i="5"/>
  <c r="X152" i="5"/>
  <c r="M633" i="5"/>
  <c r="Q632" i="5"/>
  <c r="W632" i="5"/>
  <c r="X632" i="5"/>
  <c r="D91" i="4"/>
  <c r="C92" i="4"/>
  <c r="G452" i="4"/>
  <c r="H451" i="4"/>
  <c r="S513" i="5"/>
  <c r="K513" i="5"/>
  <c r="C692" i="4"/>
  <c r="D691" i="4"/>
  <c r="S33" i="5"/>
  <c r="K33" i="5"/>
  <c r="G1127" i="6"/>
  <c r="P1127" i="6"/>
  <c r="C1051" i="4"/>
  <c r="D1050" i="4"/>
  <c r="K1113" i="5"/>
  <c r="S1113" i="5"/>
  <c r="J91" i="4"/>
  <c r="D91" i="6"/>
  <c r="I91" i="4"/>
  <c r="O91" i="5"/>
  <c r="S753" i="5"/>
  <c r="K753" i="5"/>
  <c r="K633" i="5"/>
  <c r="S633" i="5"/>
  <c r="S273" i="5"/>
  <c r="K273" i="5"/>
  <c r="J1168" i="4"/>
  <c r="D1168" i="6"/>
  <c r="I1168" i="4"/>
  <c r="O1168" i="5"/>
  <c r="G287" i="6"/>
  <c r="P287" i="6"/>
  <c r="O272" i="6"/>
  <c r="U272" i="6"/>
  <c r="V272" i="6"/>
  <c r="J273" i="6"/>
  <c r="K273" i="6"/>
  <c r="J211" i="4"/>
  <c r="D211" i="6"/>
  <c r="I211" i="4"/>
  <c r="O211" i="5"/>
  <c r="Q272" i="5"/>
  <c r="W272" i="5"/>
  <c r="X272" i="5"/>
  <c r="M273" i="5"/>
  <c r="P407" i="6"/>
  <c r="G407" i="6"/>
  <c r="J633" i="6"/>
  <c r="K633" i="6"/>
  <c r="O632" i="6"/>
  <c r="U632" i="6"/>
  <c r="V632" i="6"/>
  <c r="D930" i="4"/>
  <c r="C931" i="4"/>
  <c r="H212" i="4"/>
  <c r="G213" i="4"/>
  <c r="G527" i="6"/>
  <c r="P527" i="6"/>
  <c r="S873" i="5"/>
  <c r="K873" i="5"/>
  <c r="O392" i="6"/>
  <c r="U392" i="6"/>
  <c r="V392" i="6"/>
  <c r="J393" i="6"/>
  <c r="K393" i="6"/>
  <c r="G692" i="4"/>
  <c r="H691" i="4"/>
  <c r="Q392" i="5"/>
  <c r="W392" i="5"/>
  <c r="X392" i="5"/>
  <c r="M393" i="5"/>
  <c r="H92" i="4"/>
  <c r="G93" i="4"/>
  <c r="G94" i="4"/>
  <c r="H93" i="4"/>
  <c r="L873" i="5"/>
  <c r="N873" i="5"/>
  <c r="G874" i="5"/>
  <c r="H874" i="5"/>
  <c r="L1113" i="5"/>
  <c r="N1113" i="5"/>
  <c r="G1114" i="5"/>
  <c r="H1114" i="5"/>
  <c r="D332" i="4"/>
  <c r="C333" i="4"/>
  <c r="C1171" i="4"/>
  <c r="D1170" i="4"/>
  <c r="Q993" i="6"/>
  <c r="L993" i="6"/>
  <c r="M993" i="6"/>
  <c r="L393" i="6"/>
  <c r="M393" i="6"/>
  <c r="Q393" i="6"/>
  <c r="E48" i="6"/>
  <c r="F48" i="6"/>
  <c r="Q1113" i="6"/>
  <c r="L1113" i="6"/>
  <c r="M1113" i="6"/>
  <c r="Q513" i="6"/>
  <c r="L513" i="6"/>
  <c r="M513" i="6"/>
  <c r="Q633" i="6"/>
  <c r="L633" i="6"/>
  <c r="M633" i="6"/>
  <c r="L633" i="5"/>
  <c r="N633" i="5"/>
  <c r="G634" i="5"/>
  <c r="H634" i="5"/>
  <c r="C1052" i="4"/>
  <c r="D1051" i="4"/>
  <c r="G514" i="5"/>
  <c r="H514" i="5"/>
  <c r="L513" i="5"/>
  <c r="N513" i="5"/>
  <c r="E888" i="6"/>
  <c r="F888" i="6"/>
  <c r="E408" i="6"/>
  <c r="F408" i="6"/>
  <c r="L753" i="5"/>
  <c r="N753" i="5"/>
  <c r="G754" i="5"/>
  <c r="H754" i="5"/>
  <c r="C453" i="4"/>
  <c r="D452" i="4"/>
  <c r="G994" i="5"/>
  <c r="H994" i="5"/>
  <c r="L993" i="5"/>
  <c r="N993" i="5"/>
  <c r="C693" i="4"/>
  <c r="D692" i="4"/>
  <c r="E768" i="6"/>
  <c r="F768" i="6"/>
  <c r="I691" i="4"/>
  <c r="O691" i="5"/>
  <c r="J691" i="4"/>
  <c r="D691" i="6"/>
  <c r="E528" i="6"/>
  <c r="F528" i="6"/>
  <c r="E288" i="6"/>
  <c r="F288" i="6"/>
  <c r="E1128" i="6"/>
  <c r="F1128" i="6"/>
  <c r="G394" i="5"/>
  <c r="H394" i="5"/>
  <c r="L393" i="5"/>
  <c r="N393" i="5"/>
  <c r="J1169" i="4"/>
  <c r="D1169" i="6"/>
  <c r="I1169" i="4"/>
  <c r="O1169" i="5"/>
  <c r="J572" i="4"/>
  <c r="D572" i="6"/>
  <c r="I572" i="4"/>
  <c r="O572" i="5"/>
  <c r="L873" i="6"/>
  <c r="M873" i="6"/>
  <c r="Q873" i="6"/>
  <c r="E168" i="6"/>
  <c r="F168" i="6"/>
  <c r="J92" i="4"/>
  <c r="D92" i="6"/>
  <c r="I92" i="4"/>
  <c r="O92" i="5"/>
  <c r="Q273" i="6"/>
  <c r="L273" i="6"/>
  <c r="M273" i="6"/>
  <c r="G154" i="5"/>
  <c r="H154" i="5"/>
  <c r="L153" i="5"/>
  <c r="N153" i="5"/>
  <c r="E648" i="6"/>
  <c r="F648" i="6"/>
  <c r="C575" i="4"/>
  <c r="D574" i="4"/>
  <c r="H692" i="4"/>
  <c r="G693" i="4"/>
  <c r="G214" i="4"/>
  <c r="H213" i="4"/>
  <c r="G34" i="5"/>
  <c r="H34" i="5"/>
  <c r="L33" i="5"/>
  <c r="N33" i="5"/>
  <c r="J451" i="4"/>
  <c r="D451" i="6"/>
  <c r="I451" i="4"/>
  <c r="O451" i="5"/>
  <c r="H930" i="4"/>
  <c r="G931" i="4"/>
  <c r="E1008" i="6"/>
  <c r="F1008" i="6"/>
  <c r="I1051" i="4"/>
  <c r="O1051" i="5"/>
  <c r="J1051" i="4"/>
  <c r="D1051" i="6"/>
  <c r="H1170" i="4"/>
  <c r="G1171" i="4"/>
  <c r="G574" i="4"/>
  <c r="H573" i="4"/>
  <c r="J212" i="4"/>
  <c r="D212" i="6"/>
  <c r="I212" i="4"/>
  <c r="O212" i="5"/>
  <c r="G453" i="4"/>
  <c r="H452" i="4"/>
  <c r="I929" i="4"/>
  <c r="O929" i="5"/>
  <c r="J929" i="4"/>
  <c r="D929" i="6"/>
  <c r="L753" i="6"/>
  <c r="M753" i="6"/>
  <c r="Q753" i="6"/>
  <c r="G1053" i="4"/>
  <c r="H1052" i="4"/>
  <c r="J332" i="4"/>
  <c r="D332" i="6"/>
  <c r="I332" i="4"/>
  <c r="O332" i="5"/>
  <c r="L33" i="6"/>
  <c r="M33" i="6"/>
  <c r="Q33" i="6"/>
  <c r="C213" i="4"/>
  <c r="D212" i="4"/>
  <c r="C932" i="4"/>
  <c r="D931" i="4"/>
  <c r="L273" i="5"/>
  <c r="N273" i="5"/>
  <c r="G274" i="5"/>
  <c r="H274" i="5"/>
  <c r="C93" i="4"/>
  <c r="D92" i="4"/>
  <c r="L153" i="6"/>
  <c r="M153" i="6"/>
  <c r="Q153" i="6"/>
  <c r="G334" i="4"/>
  <c r="H333" i="4"/>
  <c r="G1008" i="6"/>
  <c r="P1008" i="6"/>
  <c r="H931" i="4"/>
  <c r="G932" i="4"/>
  <c r="P993" i="5"/>
  <c r="T993" i="5"/>
  <c r="U993" i="5"/>
  <c r="J692" i="4"/>
  <c r="D692" i="6"/>
  <c r="I692" i="4"/>
  <c r="O692" i="5"/>
  <c r="P768" i="6"/>
  <c r="G768" i="6"/>
  <c r="I994" i="5"/>
  <c r="J994" i="5"/>
  <c r="R994" i="5"/>
  <c r="T633" i="5"/>
  <c r="U633" i="5"/>
  <c r="P633" i="5"/>
  <c r="N273" i="6"/>
  <c r="R273" i="6"/>
  <c r="S273" i="6"/>
  <c r="G48" i="6"/>
  <c r="P48" i="6"/>
  <c r="S33" i="6"/>
  <c r="P288" i="6"/>
  <c r="G288" i="6"/>
  <c r="P888" i="6"/>
  <c r="G888" i="6"/>
  <c r="R633" i="6"/>
  <c r="N633" i="6"/>
  <c r="I1114" i="5"/>
  <c r="J1114" i="5"/>
  <c r="R1114" i="5"/>
  <c r="N153" i="6"/>
  <c r="R153" i="6"/>
  <c r="N33" i="6"/>
  <c r="R33" i="6"/>
  <c r="T273" i="5"/>
  <c r="U273" i="5"/>
  <c r="P273" i="5"/>
  <c r="J452" i="4"/>
  <c r="D452" i="6"/>
  <c r="I452" i="4"/>
  <c r="O452" i="5"/>
  <c r="J1170" i="4"/>
  <c r="D1170" i="6"/>
  <c r="I1170" i="4"/>
  <c r="O1170" i="5"/>
  <c r="C576" i="4"/>
  <c r="D575" i="4"/>
  <c r="C454" i="4"/>
  <c r="D453" i="4"/>
  <c r="S633" i="6"/>
  <c r="N393" i="6"/>
  <c r="R393" i="6"/>
  <c r="S393" i="6"/>
  <c r="P1113" i="5"/>
  <c r="T1113" i="5"/>
  <c r="U1113" i="5"/>
  <c r="D213" i="4"/>
  <c r="C214" i="4"/>
  <c r="G694" i="4"/>
  <c r="H693" i="4"/>
  <c r="I634" i="5"/>
  <c r="J634" i="5"/>
  <c r="R634" i="5"/>
  <c r="I930" i="4"/>
  <c r="O930" i="5"/>
  <c r="J930" i="4"/>
  <c r="D930" i="6"/>
  <c r="P33" i="5"/>
  <c r="T33" i="5"/>
  <c r="U33" i="5"/>
  <c r="G528" i="6"/>
  <c r="P528" i="6"/>
  <c r="R754" i="5"/>
  <c r="I754" i="5"/>
  <c r="J754" i="5"/>
  <c r="P513" i="5"/>
  <c r="T513" i="5"/>
  <c r="U513" i="5"/>
  <c r="N513" i="6"/>
  <c r="R513" i="6"/>
  <c r="R993" i="6"/>
  <c r="N993" i="6"/>
  <c r="R874" i="5"/>
  <c r="I874" i="5"/>
  <c r="J874" i="5"/>
  <c r="S753" i="6"/>
  <c r="I573" i="4"/>
  <c r="O573" i="5"/>
  <c r="J573" i="4"/>
  <c r="D573" i="6"/>
  <c r="D93" i="4"/>
  <c r="C94" i="4"/>
  <c r="I274" i="5"/>
  <c r="J274" i="5"/>
  <c r="R274" i="5"/>
  <c r="J333" i="4"/>
  <c r="D333" i="6"/>
  <c r="I333" i="4"/>
  <c r="O333" i="5"/>
  <c r="H453" i="4"/>
  <c r="G454" i="4"/>
  <c r="T393" i="5"/>
  <c r="U393" i="5"/>
  <c r="P393" i="5"/>
  <c r="H334" i="4"/>
  <c r="G335" i="4"/>
  <c r="D932" i="4"/>
  <c r="C933" i="4"/>
  <c r="J1052" i="4"/>
  <c r="D1052" i="6"/>
  <c r="I1052" i="4"/>
  <c r="O1052" i="5"/>
  <c r="I34" i="5"/>
  <c r="J34" i="5"/>
  <c r="R34" i="5"/>
  <c r="P648" i="6"/>
  <c r="G648" i="6"/>
  <c r="G168" i="6"/>
  <c r="P168" i="6"/>
  <c r="I394" i="5"/>
  <c r="J394" i="5"/>
  <c r="R394" i="5"/>
  <c r="T753" i="5"/>
  <c r="U753" i="5"/>
  <c r="P753" i="5"/>
  <c r="I514" i="5"/>
  <c r="J514" i="5"/>
  <c r="R514" i="5"/>
  <c r="S513" i="6"/>
  <c r="S993" i="6"/>
  <c r="T873" i="5"/>
  <c r="U873" i="5"/>
  <c r="P873" i="5"/>
  <c r="R753" i="6"/>
  <c r="N753" i="6"/>
  <c r="P1128" i="6"/>
  <c r="G1128" i="6"/>
  <c r="C334" i="4"/>
  <c r="D333" i="4"/>
  <c r="G575" i="4"/>
  <c r="H574" i="4"/>
  <c r="G1172" i="4"/>
  <c r="H1171" i="4"/>
  <c r="S153" i="6"/>
  <c r="G1054" i="4"/>
  <c r="H1053" i="4"/>
  <c r="J213" i="4"/>
  <c r="D213" i="6"/>
  <c r="I213" i="4"/>
  <c r="O213" i="5"/>
  <c r="P153" i="5"/>
  <c r="T153" i="5"/>
  <c r="U153" i="5"/>
  <c r="D693" i="4"/>
  <c r="C694" i="4"/>
  <c r="G408" i="6"/>
  <c r="P408" i="6"/>
  <c r="R1113" i="6"/>
  <c r="N1113" i="6"/>
  <c r="J93" i="4"/>
  <c r="D93" i="6"/>
  <c r="I93" i="4"/>
  <c r="O93" i="5"/>
  <c r="H214" i="4"/>
  <c r="G215" i="4"/>
  <c r="I154" i="5"/>
  <c r="J154" i="5"/>
  <c r="R154" i="5"/>
  <c r="R873" i="6"/>
  <c r="S873" i="6"/>
  <c r="N873" i="6"/>
  <c r="C1053" i="4"/>
  <c r="D1052" i="4"/>
  <c r="S1113" i="6"/>
  <c r="D1171" i="4"/>
  <c r="C1172" i="4"/>
  <c r="H94" i="4"/>
  <c r="G95" i="4"/>
  <c r="S154" i="5"/>
  <c r="K154" i="5"/>
  <c r="E169" i="6"/>
  <c r="F169" i="6"/>
  <c r="G216" i="4"/>
  <c r="H215" i="4"/>
  <c r="G96" i="4"/>
  <c r="H95" i="4"/>
  <c r="G576" i="4"/>
  <c r="H575" i="4"/>
  <c r="S394" i="5"/>
  <c r="K394" i="5"/>
  <c r="I453" i="4"/>
  <c r="O453" i="5"/>
  <c r="J453" i="4"/>
  <c r="D453" i="6"/>
  <c r="C577" i="4"/>
  <c r="D576" i="4"/>
  <c r="O33" i="6"/>
  <c r="U33" i="6"/>
  <c r="V33" i="6"/>
  <c r="J34" i="6"/>
  <c r="K34" i="6"/>
  <c r="E889" i="6"/>
  <c r="F889" i="6"/>
  <c r="J274" i="6"/>
  <c r="K274" i="6"/>
  <c r="O273" i="6"/>
  <c r="U273" i="6"/>
  <c r="V273" i="6"/>
  <c r="Q1113" i="5"/>
  <c r="W1113" i="5"/>
  <c r="X1113" i="5"/>
  <c r="M1114" i="5"/>
  <c r="M634" i="5"/>
  <c r="Q633" i="5"/>
  <c r="W633" i="5"/>
  <c r="X633" i="5"/>
  <c r="C1173" i="4"/>
  <c r="D1172" i="4"/>
  <c r="S874" i="5"/>
  <c r="K874" i="5"/>
  <c r="K754" i="5"/>
  <c r="S754" i="5"/>
  <c r="J154" i="6"/>
  <c r="K154" i="6"/>
  <c r="O153" i="6"/>
  <c r="U153" i="6"/>
  <c r="V153" i="6"/>
  <c r="E289" i="6"/>
  <c r="F289" i="6"/>
  <c r="J94" i="4"/>
  <c r="D94" i="6"/>
  <c r="I94" i="4"/>
  <c r="O94" i="5"/>
  <c r="M514" i="5"/>
  <c r="Q513" i="5"/>
  <c r="W513" i="5"/>
  <c r="X513" i="5"/>
  <c r="C335" i="4"/>
  <c r="D334" i="4"/>
  <c r="G1055" i="4"/>
  <c r="H1054" i="4"/>
  <c r="E1129" i="6"/>
  <c r="F1129" i="6"/>
  <c r="E649" i="6"/>
  <c r="F649" i="6"/>
  <c r="G336" i="4"/>
  <c r="H335" i="4"/>
  <c r="K634" i="5"/>
  <c r="S634" i="5"/>
  <c r="J394" i="6"/>
  <c r="K394" i="6"/>
  <c r="O393" i="6"/>
  <c r="U393" i="6"/>
  <c r="V393" i="6"/>
  <c r="Q993" i="5"/>
  <c r="W993" i="5"/>
  <c r="X993" i="5"/>
  <c r="M994" i="5"/>
  <c r="C934" i="4"/>
  <c r="D933" i="4"/>
  <c r="S514" i="5"/>
  <c r="K514" i="5"/>
  <c r="J334" i="4"/>
  <c r="D334" i="6"/>
  <c r="I334" i="4"/>
  <c r="O334" i="5"/>
  <c r="S274" i="5"/>
  <c r="K274" i="5"/>
  <c r="O993" i="6"/>
  <c r="U993" i="6"/>
  <c r="V993" i="6"/>
  <c r="J994" i="6"/>
  <c r="K994" i="6"/>
  <c r="I693" i="4"/>
  <c r="O693" i="5"/>
  <c r="J693" i="4"/>
  <c r="D693" i="6"/>
  <c r="K1114" i="5"/>
  <c r="S1114" i="5"/>
  <c r="K994" i="5"/>
  <c r="S994" i="5"/>
  <c r="H932" i="4"/>
  <c r="G933" i="4"/>
  <c r="I1053" i="4"/>
  <c r="O1053" i="5"/>
  <c r="J1053" i="4"/>
  <c r="D1053" i="6"/>
  <c r="C695" i="4"/>
  <c r="D694" i="4"/>
  <c r="J1171" i="4"/>
  <c r="D1171" i="6"/>
  <c r="I1171" i="4"/>
  <c r="O1171" i="5"/>
  <c r="O753" i="6"/>
  <c r="U753" i="6"/>
  <c r="V753" i="6"/>
  <c r="J754" i="6"/>
  <c r="K754" i="6"/>
  <c r="M754" i="5"/>
  <c r="Q753" i="5"/>
  <c r="W753" i="5"/>
  <c r="X753" i="5"/>
  <c r="M394" i="5"/>
  <c r="Q393" i="5"/>
  <c r="W393" i="5"/>
  <c r="X393" i="5"/>
  <c r="C95" i="4"/>
  <c r="D94" i="4"/>
  <c r="E529" i="6"/>
  <c r="F529" i="6"/>
  <c r="H694" i="4"/>
  <c r="G695" i="4"/>
  <c r="M274" i="5"/>
  <c r="Q273" i="5"/>
  <c r="W273" i="5"/>
  <c r="X273" i="5"/>
  <c r="E769" i="6"/>
  <c r="F769" i="6"/>
  <c r="I931" i="4"/>
  <c r="O931" i="5"/>
  <c r="J931" i="4"/>
  <c r="D931" i="6"/>
  <c r="C455" i="4"/>
  <c r="D454" i="4"/>
  <c r="J634" i="6"/>
  <c r="K634" i="6"/>
  <c r="O633" i="6"/>
  <c r="U633" i="6"/>
  <c r="V633" i="6"/>
  <c r="E49" i="6"/>
  <c r="F49" i="6"/>
  <c r="E409" i="6"/>
  <c r="F409" i="6"/>
  <c r="J214" i="4"/>
  <c r="D214" i="6"/>
  <c r="I214" i="4"/>
  <c r="O214" i="5"/>
  <c r="C1054" i="4"/>
  <c r="D1053" i="4"/>
  <c r="H1172" i="4"/>
  <c r="G1173" i="4"/>
  <c r="S34" i="5"/>
  <c r="K34" i="5"/>
  <c r="C215" i="4"/>
  <c r="D214" i="4"/>
  <c r="O873" i="6"/>
  <c r="U873" i="6"/>
  <c r="V873" i="6"/>
  <c r="J874" i="6"/>
  <c r="K874" i="6"/>
  <c r="J1114" i="6"/>
  <c r="K1114" i="6"/>
  <c r="O1113" i="6"/>
  <c r="U1113" i="6"/>
  <c r="V1113" i="6"/>
  <c r="M154" i="5"/>
  <c r="Q153" i="5"/>
  <c r="W153" i="5"/>
  <c r="X153" i="5"/>
  <c r="J574" i="4"/>
  <c r="D574" i="6"/>
  <c r="I574" i="4"/>
  <c r="O574" i="5"/>
  <c r="M874" i="5"/>
  <c r="Q873" i="5"/>
  <c r="W873" i="5"/>
  <c r="X873" i="5"/>
  <c r="G455" i="4"/>
  <c r="H454" i="4"/>
  <c r="J514" i="6"/>
  <c r="K514" i="6"/>
  <c r="O513" i="6"/>
  <c r="U513" i="6"/>
  <c r="V513" i="6"/>
  <c r="M34" i="5"/>
  <c r="Q33" i="5"/>
  <c r="W33" i="5"/>
  <c r="X33" i="5"/>
  <c r="E1009" i="6"/>
  <c r="F1009" i="6"/>
  <c r="G529" i="6"/>
  <c r="P529" i="6"/>
  <c r="P289" i="6"/>
  <c r="G289" i="6"/>
  <c r="J215" i="4"/>
  <c r="D215" i="6"/>
  <c r="I215" i="4"/>
  <c r="O215" i="5"/>
  <c r="D215" i="4"/>
  <c r="C216" i="4"/>
  <c r="P49" i="6"/>
  <c r="G49" i="6"/>
  <c r="P769" i="6"/>
  <c r="G769" i="6"/>
  <c r="H933" i="4"/>
  <c r="G934" i="4"/>
  <c r="G337" i="4"/>
  <c r="H336" i="4"/>
  <c r="D1173" i="4"/>
  <c r="C1174" i="4"/>
  <c r="G395" i="5"/>
  <c r="H395" i="5"/>
  <c r="L394" i="5"/>
  <c r="N394" i="5"/>
  <c r="H216" i="4"/>
  <c r="G217" i="4"/>
  <c r="I1054" i="4"/>
  <c r="O1054" i="5"/>
  <c r="J1054" i="4"/>
  <c r="D1054" i="6"/>
  <c r="J335" i="4"/>
  <c r="D335" i="6"/>
  <c r="I335" i="4"/>
  <c r="O335" i="5"/>
  <c r="D95" i="4"/>
  <c r="C96" i="4"/>
  <c r="J932" i="4"/>
  <c r="D932" i="6"/>
  <c r="I932" i="4"/>
  <c r="O932" i="5"/>
  <c r="Q994" i="6"/>
  <c r="L994" i="6"/>
  <c r="M994" i="6"/>
  <c r="Q394" i="6"/>
  <c r="L394" i="6"/>
  <c r="M394" i="6"/>
  <c r="D335" i="4"/>
  <c r="C336" i="4"/>
  <c r="Q154" i="6"/>
  <c r="L154" i="6"/>
  <c r="M154" i="6"/>
  <c r="G889" i="6"/>
  <c r="P889" i="6"/>
  <c r="C1055" i="4"/>
  <c r="D1054" i="4"/>
  <c r="G1056" i="4"/>
  <c r="H1055" i="4"/>
  <c r="L514" i="6"/>
  <c r="M514" i="6"/>
  <c r="Q514" i="6"/>
  <c r="G35" i="5"/>
  <c r="H35" i="5"/>
  <c r="L34" i="5"/>
  <c r="N34" i="5"/>
  <c r="D934" i="4"/>
  <c r="C935" i="4"/>
  <c r="P649" i="6"/>
  <c r="G649" i="6"/>
  <c r="L34" i="6"/>
  <c r="M34" i="6"/>
  <c r="Q34" i="6"/>
  <c r="I575" i="4"/>
  <c r="O575" i="5"/>
  <c r="J575" i="4"/>
  <c r="D575" i="6"/>
  <c r="P169" i="6"/>
  <c r="G169" i="6"/>
  <c r="L634" i="6"/>
  <c r="M634" i="6"/>
  <c r="Q634" i="6"/>
  <c r="G1174" i="4"/>
  <c r="H1173" i="4"/>
  <c r="G995" i="5"/>
  <c r="H995" i="5"/>
  <c r="L994" i="5"/>
  <c r="N994" i="5"/>
  <c r="L274" i="5"/>
  <c r="N274" i="5"/>
  <c r="G275" i="5"/>
  <c r="H275" i="5"/>
  <c r="L634" i="5"/>
  <c r="N634" i="5"/>
  <c r="G635" i="5"/>
  <c r="H635" i="5"/>
  <c r="G577" i="4"/>
  <c r="H576" i="4"/>
  <c r="G155" i="5"/>
  <c r="H155" i="5"/>
  <c r="L154" i="5"/>
  <c r="N154" i="5"/>
  <c r="L754" i="6"/>
  <c r="M754" i="6"/>
  <c r="Q754" i="6"/>
  <c r="Q274" i="6"/>
  <c r="L274" i="6"/>
  <c r="M274" i="6"/>
  <c r="P409" i="6"/>
  <c r="G409" i="6"/>
  <c r="L1114" i="6"/>
  <c r="M1114" i="6"/>
  <c r="Q1114" i="6"/>
  <c r="C456" i="4"/>
  <c r="D455" i="4"/>
  <c r="G696" i="4"/>
  <c r="H695" i="4"/>
  <c r="P1129" i="6"/>
  <c r="G1129" i="6"/>
  <c r="L754" i="5"/>
  <c r="N754" i="5"/>
  <c r="G755" i="5"/>
  <c r="H755" i="5"/>
  <c r="J95" i="4"/>
  <c r="D95" i="6"/>
  <c r="I95" i="4"/>
  <c r="O95" i="5"/>
  <c r="G515" i="5"/>
  <c r="H515" i="5"/>
  <c r="L514" i="5"/>
  <c r="N514" i="5"/>
  <c r="J454" i="4"/>
  <c r="D454" i="6"/>
  <c r="I454" i="4"/>
  <c r="O454" i="5"/>
  <c r="G456" i="4"/>
  <c r="H455" i="4"/>
  <c r="J1172" i="4"/>
  <c r="D1172" i="6"/>
  <c r="I1172" i="4"/>
  <c r="O1172" i="5"/>
  <c r="P1009" i="6"/>
  <c r="G1009" i="6"/>
  <c r="L874" i="6"/>
  <c r="M874" i="6"/>
  <c r="Q874" i="6"/>
  <c r="J694" i="4"/>
  <c r="D694" i="6"/>
  <c r="I694" i="4"/>
  <c r="O694" i="5"/>
  <c r="C696" i="4"/>
  <c r="D695" i="4"/>
  <c r="L1114" i="5"/>
  <c r="N1114" i="5"/>
  <c r="G1115" i="5"/>
  <c r="H1115" i="5"/>
  <c r="L874" i="5"/>
  <c r="N874" i="5"/>
  <c r="G875" i="5"/>
  <c r="H875" i="5"/>
  <c r="C578" i="4"/>
  <c r="D577" i="4"/>
  <c r="H96" i="4"/>
  <c r="G97" i="4"/>
  <c r="T274" i="5"/>
  <c r="U274" i="5"/>
  <c r="P274" i="5"/>
  <c r="T754" i="5"/>
  <c r="U754" i="5"/>
  <c r="P754" i="5"/>
  <c r="G98" i="4"/>
  <c r="H97" i="4"/>
  <c r="I275" i="5"/>
  <c r="J275" i="5"/>
  <c r="R275" i="5"/>
  <c r="E170" i="6"/>
  <c r="F170" i="6"/>
  <c r="C936" i="4"/>
  <c r="D935" i="4"/>
  <c r="N394" i="6"/>
  <c r="R394" i="6"/>
  <c r="C1175" i="4"/>
  <c r="D1174" i="4"/>
  <c r="E50" i="6"/>
  <c r="F50" i="6"/>
  <c r="S394" i="6"/>
  <c r="E530" i="6"/>
  <c r="F530" i="6"/>
  <c r="J96" i="4"/>
  <c r="D96" i="6"/>
  <c r="I96" i="4"/>
  <c r="O96" i="5"/>
  <c r="C457" i="4"/>
  <c r="D456" i="4"/>
  <c r="C1056" i="4"/>
  <c r="D1055" i="4"/>
  <c r="J455" i="4"/>
  <c r="D455" i="6"/>
  <c r="I455" i="4"/>
  <c r="O455" i="5"/>
  <c r="R755" i="5"/>
  <c r="I755" i="5"/>
  <c r="J755" i="5"/>
  <c r="P154" i="5"/>
  <c r="T154" i="5"/>
  <c r="U154" i="5"/>
  <c r="P994" i="5"/>
  <c r="T994" i="5"/>
  <c r="U994" i="5"/>
  <c r="P34" i="5"/>
  <c r="T34" i="5"/>
  <c r="U34" i="5"/>
  <c r="N994" i="6"/>
  <c r="R994" i="6"/>
  <c r="J336" i="4"/>
  <c r="D336" i="6"/>
  <c r="I336" i="4"/>
  <c r="O336" i="5"/>
  <c r="C217" i="4"/>
  <c r="D216" i="4"/>
  <c r="H337" i="4"/>
  <c r="G338" i="4"/>
  <c r="N754" i="6"/>
  <c r="R754" i="6"/>
  <c r="S754" i="6"/>
  <c r="G457" i="4"/>
  <c r="H456" i="4"/>
  <c r="I995" i="5"/>
  <c r="J995" i="5"/>
  <c r="R995" i="5"/>
  <c r="J1173" i="4"/>
  <c r="D1173" i="6"/>
  <c r="I1173" i="4"/>
  <c r="O1173" i="5"/>
  <c r="N154" i="6"/>
  <c r="R154" i="6"/>
  <c r="S154" i="6"/>
  <c r="G218" i="4"/>
  <c r="H217" i="4"/>
  <c r="G935" i="4"/>
  <c r="H934" i="4"/>
  <c r="R1114" i="6"/>
  <c r="S1114" i="6"/>
  <c r="N1114" i="6"/>
  <c r="R35" i="5"/>
  <c r="I35" i="5"/>
  <c r="J35" i="5"/>
  <c r="S994" i="6"/>
  <c r="E410" i="6"/>
  <c r="F410" i="6"/>
  <c r="T874" i="5"/>
  <c r="U874" i="5"/>
  <c r="P874" i="5"/>
  <c r="N874" i="6"/>
  <c r="R874" i="6"/>
  <c r="G578" i="4"/>
  <c r="H577" i="4"/>
  <c r="H1174" i="4"/>
  <c r="G1175" i="4"/>
  <c r="N34" i="6"/>
  <c r="R34" i="6"/>
  <c r="S34" i="6"/>
  <c r="N514" i="6"/>
  <c r="R514" i="6"/>
  <c r="S514" i="6"/>
  <c r="J216" i="4"/>
  <c r="D216" i="6"/>
  <c r="I216" i="4"/>
  <c r="O216" i="5"/>
  <c r="I933" i="4"/>
  <c r="O933" i="5"/>
  <c r="J933" i="4"/>
  <c r="D933" i="6"/>
  <c r="I155" i="5"/>
  <c r="J155" i="5"/>
  <c r="R155" i="5"/>
  <c r="I875" i="5"/>
  <c r="J875" i="5"/>
  <c r="R875" i="5"/>
  <c r="J576" i="4"/>
  <c r="D576" i="6"/>
  <c r="I576" i="4"/>
  <c r="O576" i="5"/>
  <c r="E1010" i="6"/>
  <c r="F1010" i="6"/>
  <c r="R274" i="6"/>
  <c r="N274" i="6"/>
  <c r="I635" i="5"/>
  <c r="J635" i="5"/>
  <c r="R635" i="5"/>
  <c r="E650" i="6"/>
  <c r="F650" i="6"/>
  <c r="I1055" i="4"/>
  <c r="O1055" i="5"/>
  <c r="J1055" i="4"/>
  <c r="D1055" i="6"/>
  <c r="C337" i="4"/>
  <c r="D336" i="4"/>
  <c r="C97" i="4"/>
  <c r="D96" i="4"/>
  <c r="T394" i="5"/>
  <c r="U394" i="5"/>
  <c r="P394" i="5"/>
  <c r="E770" i="6"/>
  <c r="F770" i="6"/>
  <c r="E290" i="6"/>
  <c r="F290" i="6"/>
  <c r="C697" i="4"/>
  <c r="D696" i="4"/>
  <c r="C579" i="4"/>
  <c r="D578" i="4"/>
  <c r="E890" i="6"/>
  <c r="F890" i="6"/>
  <c r="S874" i="6"/>
  <c r="E1130" i="6"/>
  <c r="F1130" i="6"/>
  <c r="I1115" i="5"/>
  <c r="J1115" i="5"/>
  <c r="R1115" i="5"/>
  <c r="P514" i="5"/>
  <c r="T514" i="5"/>
  <c r="U514" i="5"/>
  <c r="I695" i="4"/>
  <c r="O695" i="5"/>
  <c r="J695" i="4"/>
  <c r="D695" i="6"/>
  <c r="T1114" i="5"/>
  <c r="U1114" i="5"/>
  <c r="P1114" i="5"/>
  <c r="I515" i="5"/>
  <c r="J515" i="5"/>
  <c r="R515" i="5"/>
  <c r="H696" i="4"/>
  <c r="G697" i="4"/>
  <c r="S274" i="6"/>
  <c r="T634" i="5"/>
  <c r="U634" i="5"/>
  <c r="P634" i="5"/>
  <c r="R634" i="6"/>
  <c r="S634" i="6"/>
  <c r="N634" i="6"/>
  <c r="G1057" i="4"/>
  <c r="H1056" i="4"/>
  <c r="R395" i="5"/>
  <c r="I395" i="5"/>
  <c r="J395" i="5"/>
  <c r="S875" i="5"/>
  <c r="K875" i="5"/>
  <c r="D217" i="4"/>
  <c r="C218" i="4"/>
  <c r="S275" i="5"/>
  <c r="K275" i="5"/>
  <c r="P290" i="6"/>
  <c r="G290" i="6"/>
  <c r="C338" i="4"/>
  <c r="D337" i="4"/>
  <c r="J275" i="6"/>
  <c r="K275" i="6"/>
  <c r="O274" i="6"/>
  <c r="U274" i="6"/>
  <c r="V274" i="6"/>
  <c r="O514" i="6"/>
  <c r="U514" i="6"/>
  <c r="V514" i="6"/>
  <c r="J515" i="6"/>
  <c r="K515" i="6"/>
  <c r="S35" i="5"/>
  <c r="K35" i="5"/>
  <c r="J456" i="4"/>
  <c r="D456" i="6"/>
  <c r="I456" i="4"/>
  <c r="O456" i="5"/>
  <c r="Q994" i="5"/>
  <c r="W994" i="5"/>
  <c r="X994" i="5"/>
  <c r="M995" i="5"/>
  <c r="D1175" i="4"/>
  <c r="C1176" i="4"/>
  <c r="J1056" i="4"/>
  <c r="D1056" i="6"/>
  <c r="I1056" i="4"/>
  <c r="O1056" i="5"/>
  <c r="G698" i="4"/>
  <c r="H697" i="4"/>
  <c r="S155" i="5"/>
  <c r="K155" i="5"/>
  <c r="J155" i="6"/>
  <c r="K155" i="6"/>
  <c r="O154" i="6"/>
  <c r="U154" i="6"/>
  <c r="V154" i="6"/>
  <c r="G458" i="4"/>
  <c r="H457" i="4"/>
  <c r="G530" i="6"/>
  <c r="P530" i="6"/>
  <c r="J395" i="6"/>
  <c r="K395" i="6"/>
  <c r="O394" i="6"/>
  <c r="U394" i="6"/>
  <c r="V394" i="6"/>
  <c r="J97" i="4"/>
  <c r="D97" i="6"/>
  <c r="I97" i="4"/>
  <c r="O97" i="5"/>
  <c r="J696" i="4"/>
  <c r="D696" i="6"/>
  <c r="I696" i="4"/>
  <c r="O696" i="5"/>
  <c r="P890" i="6"/>
  <c r="G890" i="6"/>
  <c r="G770" i="6"/>
  <c r="P770" i="6"/>
  <c r="P1010" i="6"/>
  <c r="G1010" i="6"/>
  <c r="J35" i="6"/>
  <c r="K35" i="6"/>
  <c r="O34" i="6"/>
  <c r="U34" i="6"/>
  <c r="V34" i="6"/>
  <c r="M155" i="5"/>
  <c r="Q154" i="5"/>
  <c r="W154" i="5"/>
  <c r="X154" i="5"/>
  <c r="H98" i="4"/>
  <c r="G99" i="4"/>
  <c r="K635" i="5"/>
  <c r="S635" i="5"/>
  <c r="G1058" i="4"/>
  <c r="H1057" i="4"/>
  <c r="J875" i="6"/>
  <c r="K875" i="6"/>
  <c r="O874" i="6"/>
  <c r="U874" i="6"/>
  <c r="V874" i="6"/>
  <c r="J1115" i="6"/>
  <c r="K1115" i="6"/>
  <c r="O1114" i="6"/>
  <c r="U1114" i="6"/>
  <c r="V1114" i="6"/>
  <c r="C1057" i="4"/>
  <c r="D1056" i="4"/>
  <c r="Q514" i="5"/>
  <c r="W514" i="5"/>
  <c r="X514" i="5"/>
  <c r="M515" i="5"/>
  <c r="M395" i="5"/>
  <c r="Q394" i="5"/>
  <c r="W394" i="5"/>
  <c r="X394" i="5"/>
  <c r="G1176" i="4"/>
  <c r="H1175" i="4"/>
  <c r="M875" i="5"/>
  <c r="Q874" i="5"/>
  <c r="W874" i="5"/>
  <c r="X874" i="5"/>
  <c r="O754" i="6"/>
  <c r="U754" i="6"/>
  <c r="V754" i="6"/>
  <c r="J755" i="6"/>
  <c r="K755" i="6"/>
  <c r="J995" i="6"/>
  <c r="K995" i="6"/>
  <c r="O994" i="6"/>
  <c r="U994" i="6"/>
  <c r="V994" i="6"/>
  <c r="D936" i="4"/>
  <c r="C937" i="4"/>
  <c r="M755" i="5"/>
  <c r="Q754" i="5"/>
  <c r="W754" i="5"/>
  <c r="X754" i="5"/>
  <c r="S995" i="5"/>
  <c r="K995" i="5"/>
  <c r="S755" i="5"/>
  <c r="K755" i="5"/>
  <c r="K395" i="5"/>
  <c r="S395" i="5"/>
  <c r="H218" i="4"/>
  <c r="G219" i="4"/>
  <c r="O634" i="6"/>
  <c r="U634" i="6"/>
  <c r="V634" i="6"/>
  <c r="J635" i="6"/>
  <c r="K635" i="6"/>
  <c r="C580" i="4"/>
  <c r="D579" i="4"/>
  <c r="G650" i="6"/>
  <c r="P650" i="6"/>
  <c r="J934" i="4"/>
  <c r="D934" i="6"/>
  <c r="I934" i="4"/>
  <c r="O934" i="5"/>
  <c r="G339" i="4"/>
  <c r="H338" i="4"/>
  <c r="I577" i="4"/>
  <c r="O577" i="5"/>
  <c r="J577" i="4"/>
  <c r="D577" i="6"/>
  <c r="H935" i="4"/>
  <c r="G936" i="4"/>
  <c r="I337" i="4"/>
  <c r="O337" i="5"/>
  <c r="J337" i="4"/>
  <c r="D337" i="6"/>
  <c r="C458" i="4"/>
  <c r="D457" i="4"/>
  <c r="P50" i="6"/>
  <c r="G50" i="6"/>
  <c r="P170" i="6"/>
  <c r="G170" i="6"/>
  <c r="Q274" i="5"/>
  <c r="W274" i="5"/>
  <c r="X274" i="5"/>
  <c r="M275" i="5"/>
  <c r="P1130" i="6"/>
  <c r="G1130" i="6"/>
  <c r="S515" i="5"/>
  <c r="K515" i="5"/>
  <c r="J1174" i="4"/>
  <c r="D1174" i="6"/>
  <c r="I1174" i="4"/>
  <c r="O1174" i="5"/>
  <c r="K1115" i="5"/>
  <c r="S1115" i="5"/>
  <c r="M635" i="5"/>
  <c r="Q634" i="5"/>
  <c r="W634" i="5"/>
  <c r="X634" i="5"/>
  <c r="Q1114" i="5"/>
  <c r="W1114" i="5"/>
  <c r="X1114" i="5"/>
  <c r="M1115" i="5"/>
  <c r="C698" i="4"/>
  <c r="D697" i="4"/>
  <c r="D97" i="4"/>
  <c r="C98" i="4"/>
  <c r="G579" i="4"/>
  <c r="H578" i="4"/>
  <c r="P410" i="6"/>
  <c r="G410" i="6"/>
  <c r="J217" i="4"/>
  <c r="D217" i="6"/>
  <c r="I217" i="4"/>
  <c r="O217" i="5"/>
  <c r="M35" i="5"/>
  <c r="Q34" i="5"/>
  <c r="W34" i="5"/>
  <c r="X34" i="5"/>
  <c r="E1011" i="6"/>
  <c r="F1011" i="6"/>
  <c r="G516" i="5"/>
  <c r="H516" i="5"/>
  <c r="L515" i="5"/>
  <c r="N515" i="5"/>
  <c r="J1175" i="4"/>
  <c r="D1175" i="6"/>
  <c r="I1175" i="4"/>
  <c r="O1175" i="5"/>
  <c r="Q515" i="6"/>
  <c r="L515" i="6"/>
  <c r="M515" i="6"/>
  <c r="G396" i="5"/>
  <c r="H396" i="5"/>
  <c r="L395" i="5"/>
  <c r="N395" i="5"/>
  <c r="H1176" i="4"/>
  <c r="G1177" i="4"/>
  <c r="G100" i="4"/>
  <c r="H99" i="4"/>
  <c r="J218" i="4"/>
  <c r="D218" i="6"/>
  <c r="I218" i="4"/>
  <c r="O218" i="5"/>
  <c r="J578" i="4"/>
  <c r="D578" i="6"/>
  <c r="I578" i="4"/>
  <c r="O578" i="5"/>
  <c r="E651" i="6"/>
  <c r="F651" i="6"/>
  <c r="G580" i="4"/>
  <c r="H579" i="4"/>
  <c r="E1131" i="6"/>
  <c r="F1131" i="6"/>
  <c r="C581" i="4"/>
  <c r="D580" i="4"/>
  <c r="L755" i="5"/>
  <c r="N755" i="5"/>
  <c r="G756" i="5"/>
  <c r="H756" i="5"/>
  <c r="L1115" i="6"/>
  <c r="M1115" i="6"/>
  <c r="Q1115" i="6"/>
  <c r="J98" i="4"/>
  <c r="D98" i="6"/>
  <c r="I98" i="4"/>
  <c r="O98" i="5"/>
  <c r="E771" i="6"/>
  <c r="F771" i="6"/>
  <c r="Q395" i="6"/>
  <c r="L395" i="6"/>
  <c r="M395" i="6"/>
  <c r="G156" i="5"/>
  <c r="H156" i="5"/>
  <c r="L155" i="5"/>
  <c r="N155" i="5"/>
  <c r="G276" i="5"/>
  <c r="H276" i="5"/>
  <c r="L275" i="5"/>
  <c r="N275" i="5"/>
  <c r="C699" i="4"/>
  <c r="D698" i="4"/>
  <c r="E51" i="6"/>
  <c r="F51" i="6"/>
  <c r="C1058" i="4"/>
  <c r="D1057" i="4"/>
  <c r="Q155" i="6"/>
  <c r="L155" i="6"/>
  <c r="M155" i="6"/>
  <c r="J338" i="4"/>
  <c r="D338" i="6"/>
  <c r="I338" i="4"/>
  <c r="O338" i="5"/>
  <c r="Q995" i="6"/>
  <c r="L995" i="6"/>
  <c r="M995" i="6"/>
  <c r="E891" i="6"/>
  <c r="F891" i="6"/>
  <c r="I935" i="4"/>
  <c r="O935" i="5"/>
  <c r="J935" i="4"/>
  <c r="D935" i="6"/>
  <c r="C938" i="4"/>
  <c r="D937" i="4"/>
  <c r="L635" i="5"/>
  <c r="N635" i="5"/>
  <c r="G636" i="5"/>
  <c r="H636" i="5"/>
  <c r="C1177" i="4"/>
  <c r="D1176" i="4"/>
  <c r="D458" i="4"/>
  <c r="C459" i="4"/>
  <c r="C99" i="4"/>
  <c r="D98" i="4"/>
  <c r="G340" i="4"/>
  <c r="H339" i="4"/>
  <c r="L635" i="6"/>
  <c r="M635" i="6"/>
  <c r="Q635" i="6"/>
  <c r="G996" i="5"/>
  <c r="H996" i="5"/>
  <c r="L995" i="5"/>
  <c r="N995" i="5"/>
  <c r="Q755" i="6"/>
  <c r="L755" i="6"/>
  <c r="M755" i="6"/>
  <c r="L875" i="6"/>
  <c r="M875" i="6"/>
  <c r="Q875" i="6"/>
  <c r="E531" i="6"/>
  <c r="F531" i="6"/>
  <c r="I697" i="4"/>
  <c r="O697" i="5"/>
  <c r="J697" i="4"/>
  <c r="D697" i="6"/>
  <c r="L275" i="6"/>
  <c r="M275" i="6"/>
  <c r="Q275" i="6"/>
  <c r="C219" i="4"/>
  <c r="D218" i="4"/>
  <c r="G937" i="4"/>
  <c r="H936" i="4"/>
  <c r="I1057" i="4"/>
  <c r="O1057" i="5"/>
  <c r="J1057" i="4"/>
  <c r="D1057" i="6"/>
  <c r="J457" i="4"/>
  <c r="D457" i="6"/>
  <c r="I457" i="4"/>
  <c r="O457" i="5"/>
  <c r="G699" i="4"/>
  <c r="H698" i="4"/>
  <c r="G1116" i="5"/>
  <c r="H1116" i="5"/>
  <c r="L1115" i="5"/>
  <c r="N1115" i="5"/>
  <c r="E411" i="6"/>
  <c r="F411" i="6"/>
  <c r="E171" i="6"/>
  <c r="F171" i="6"/>
  <c r="G220" i="4"/>
  <c r="H219" i="4"/>
  <c r="G1059" i="4"/>
  <c r="H1058" i="4"/>
  <c r="Q35" i="6"/>
  <c r="L35" i="6"/>
  <c r="M35" i="6"/>
  <c r="G459" i="4"/>
  <c r="H458" i="4"/>
  <c r="G36" i="5"/>
  <c r="H36" i="5"/>
  <c r="L35" i="5"/>
  <c r="N35" i="5"/>
  <c r="C339" i="4"/>
  <c r="D338" i="4"/>
  <c r="L875" i="5"/>
  <c r="N875" i="5"/>
  <c r="G876" i="5"/>
  <c r="H876" i="5"/>
  <c r="E291" i="6"/>
  <c r="F291" i="6"/>
  <c r="P171" i="6"/>
  <c r="G171" i="6"/>
  <c r="T635" i="5"/>
  <c r="U635" i="5"/>
  <c r="P635" i="5"/>
  <c r="G1131" i="6"/>
  <c r="P1131" i="6"/>
  <c r="I396" i="5"/>
  <c r="J396" i="5"/>
  <c r="R396" i="5"/>
  <c r="I516" i="5"/>
  <c r="J516" i="5"/>
  <c r="R516" i="5"/>
  <c r="I876" i="5"/>
  <c r="J876" i="5"/>
  <c r="R876" i="5"/>
  <c r="R35" i="6"/>
  <c r="N35" i="6"/>
  <c r="R275" i="6"/>
  <c r="S275" i="6"/>
  <c r="N275" i="6"/>
  <c r="N755" i="6"/>
  <c r="R755" i="6"/>
  <c r="P891" i="6"/>
  <c r="G891" i="6"/>
  <c r="P155" i="5"/>
  <c r="T155" i="5"/>
  <c r="U155" i="5"/>
  <c r="S1115" i="6"/>
  <c r="I579" i="4"/>
  <c r="O579" i="5"/>
  <c r="J579" i="4"/>
  <c r="D579" i="6"/>
  <c r="S755" i="6"/>
  <c r="D99" i="4"/>
  <c r="C100" i="4"/>
  <c r="D938" i="4"/>
  <c r="C939" i="4"/>
  <c r="R995" i="6"/>
  <c r="S995" i="6"/>
  <c r="N995" i="6"/>
  <c r="C1059" i="4"/>
  <c r="D1058" i="4"/>
  <c r="R156" i="5"/>
  <c r="I156" i="5"/>
  <c r="J156" i="5"/>
  <c r="N1115" i="6"/>
  <c r="R1115" i="6"/>
  <c r="G581" i="4"/>
  <c r="H580" i="4"/>
  <c r="N515" i="6"/>
  <c r="R515" i="6"/>
  <c r="P1011" i="6"/>
  <c r="G1011" i="6"/>
  <c r="I1058" i="4"/>
  <c r="O1058" i="5"/>
  <c r="J1058" i="4"/>
  <c r="D1058" i="6"/>
  <c r="P995" i="5"/>
  <c r="T995" i="5"/>
  <c r="U995" i="5"/>
  <c r="S515" i="6"/>
  <c r="C340" i="4"/>
  <c r="D339" i="4"/>
  <c r="I1116" i="5"/>
  <c r="J1116" i="5"/>
  <c r="R1116" i="5"/>
  <c r="J936" i="4"/>
  <c r="D936" i="6"/>
  <c r="I936" i="4"/>
  <c r="O936" i="5"/>
  <c r="I996" i="5"/>
  <c r="J996" i="5"/>
  <c r="R996" i="5"/>
  <c r="P51" i="6"/>
  <c r="G51" i="6"/>
  <c r="T755" i="5"/>
  <c r="U755" i="5"/>
  <c r="P755" i="5"/>
  <c r="H100" i="4"/>
  <c r="G101" i="4"/>
  <c r="T875" i="5"/>
  <c r="U875" i="5"/>
  <c r="P875" i="5"/>
  <c r="C460" i="4"/>
  <c r="D459" i="4"/>
  <c r="R756" i="5"/>
  <c r="I756" i="5"/>
  <c r="J756" i="5"/>
  <c r="G1060" i="4"/>
  <c r="H1059" i="4"/>
  <c r="P35" i="5"/>
  <c r="T35" i="5"/>
  <c r="U35" i="5"/>
  <c r="J219" i="4"/>
  <c r="D219" i="6"/>
  <c r="I219" i="4"/>
  <c r="O219" i="5"/>
  <c r="H937" i="4"/>
  <c r="G938" i="4"/>
  <c r="P531" i="6"/>
  <c r="G531" i="6"/>
  <c r="S635" i="6"/>
  <c r="P651" i="6"/>
  <c r="G651" i="6"/>
  <c r="G1178" i="4"/>
  <c r="H1177" i="4"/>
  <c r="H459" i="4"/>
  <c r="G460" i="4"/>
  <c r="G341" i="4"/>
  <c r="H340" i="4"/>
  <c r="P411" i="6"/>
  <c r="G411" i="6"/>
  <c r="T1115" i="5"/>
  <c r="U1115" i="5"/>
  <c r="P1115" i="5"/>
  <c r="J99" i="4"/>
  <c r="D99" i="6"/>
  <c r="I99" i="4"/>
  <c r="O99" i="5"/>
  <c r="R36" i="5"/>
  <c r="I36" i="5"/>
  <c r="J36" i="5"/>
  <c r="H220" i="4"/>
  <c r="G221" i="4"/>
  <c r="J698" i="4"/>
  <c r="D698" i="6"/>
  <c r="I698" i="4"/>
  <c r="O698" i="5"/>
  <c r="N635" i="6"/>
  <c r="R635" i="6"/>
  <c r="D1177" i="4"/>
  <c r="C1178" i="4"/>
  <c r="C700" i="4"/>
  <c r="D699" i="4"/>
  <c r="P771" i="6"/>
  <c r="G771" i="6"/>
  <c r="C582" i="4"/>
  <c r="D581" i="4"/>
  <c r="J1176" i="4"/>
  <c r="D1176" i="6"/>
  <c r="I1176" i="4"/>
  <c r="O1176" i="5"/>
  <c r="N875" i="6"/>
  <c r="R875" i="6"/>
  <c r="I276" i="5"/>
  <c r="J276" i="5"/>
  <c r="R276" i="5"/>
  <c r="S35" i="6"/>
  <c r="R395" i="6"/>
  <c r="S395" i="6"/>
  <c r="N395" i="6"/>
  <c r="G291" i="6"/>
  <c r="P291" i="6"/>
  <c r="J458" i="4"/>
  <c r="D458" i="6"/>
  <c r="I458" i="4"/>
  <c r="O458" i="5"/>
  <c r="G700" i="4"/>
  <c r="H699" i="4"/>
  <c r="D219" i="4"/>
  <c r="C220" i="4"/>
  <c r="S875" i="6"/>
  <c r="J339" i="4"/>
  <c r="D339" i="6"/>
  <c r="I339" i="4"/>
  <c r="O339" i="5"/>
  <c r="R636" i="5"/>
  <c r="I636" i="5"/>
  <c r="J636" i="5"/>
  <c r="R155" i="6"/>
  <c r="S155" i="6"/>
  <c r="N155" i="6"/>
  <c r="T275" i="5"/>
  <c r="U275" i="5"/>
  <c r="P275" i="5"/>
  <c r="P395" i="5"/>
  <c r="T395" i="5"/>
  <c r="U395" i="5"/>
  <c r="P515" i="5"/>
  <c r="T515" i="5"/>
  <c r="U515" i="5"/>
  <c r="I699" i="4"/>
  <c r="O699" i="5"/>
  <c r="J699" i="4"/>
  <c r="D699" i="6"/>
  <c r="K636" i="5"/>
  <c r="S636" i="5"/>
  <c r="E772" i="6"/>
  <c r="F772" i="6"/>
  <c r="Q1115" i="5"/>
  <c r="W1115" i="5"/>
  <c r="X1115" i="5"/>
  <c r="M1116" i="5"/>
  <c r="M756" i="5"/>
  <c r="Q755" i="5"/>
  <c r="W755" i="5"/>
  <c r="X755" i="5"/>
  <c r="S276" i="5"/>
  <c r="K276" i="5"/>
  <c r="H1178" i="4"/>
  <c r="G1179" i="4"/>
  <c r="G582" i="4"/>
  <c r="H581" i="4"/>
  <c r="K396" i="5"/>
  <c r="S396" i="5"/>
  <c r="Q995" i="5"/>
  <c r="W995" i="5"/>
  <c r="X995" i="5"/>
  <c r="M996" i="5"/>
  <c r="J996" i="6"/>
  <c r="K996" i="6"/>
  <c r="O995" i="6"/>
  <c r="U995" i="6"/>
  <c r="V995" i="6"/>
  <c r="O275" i="6"/>
  <c r="U275" i="6"/>
  <c r="V275" i="6"/>
  <c r="J276" i="6"/>
  <c r="K276" i="6"/>
  <c r="M516" i="5"/>
  <c r="Q515" i="5"/>
  <c r="W515" i="5"/>
  <c r="X515" i="5"/>
  <c r="G222" i="4"/>
  <c r="H221" i="4"/>
  <c r="E412" i="6"/>
  <c r="F412" i="6"/>
  <c r="E652" i="6"/>
  <c r="F652" i="6"/>
  <c r="C461" i="4"/>
  <c r="D460" i="4"/>
  <c r="S1116" i="5"/>
  <c r="K1116" i="5"/>
  <c r="D939" i="4"/>
  <c r="C940" i="4"/>
  <c r="J36" i="6"/>
  <c r="K36" i="6"/>
  <c r="O35" i="6"/>
  <c r="U35" i="6"/>
  <c r="V35" i="6"/>
  <c r="C583" i="4"/>
  <c r="D582" i="4"/>
  <c r="G701" i="4"/>
  <c r="H700" i="4"/>
  <c r="J1177" i="4"/>
  <c r="D1177" i="6"/>
  <c r="I1177" i="4"/>
  <c r="O1177" i="5"/>
  <c r="J580" i="4"/>
  <c r="D580" i="6"/>
  <c r="I580" i="4"/>
  <c r="O580" i="5"/>
  <c r="M396" i="5"/>
  <c r="Q395" i="5"/>
  <c r="W395" i="5"/>
  <c r="X395" i="5"/>
  <c r="J876" i="6"/>
  <c r="K876" i="6"/>
  <c r="O875" i="6"/>
  <c r="U875" i="6"/>
  <c r="V875" i="6"/>
  <c r="C701" i="4"/>
  <c r="D700" i="4"/>
  <c r="J220" i="4"/>
  <c r="D220" i="6"/>
  <c r="I220" i="4"/>
  <c r="O220" i="5"/>
  <c r="M876" i="5"/>
  <c r="Q875" i="5"/>
  <c r="W875" i="5"/>
  <c r="X875" i="5"/>
  <c r="E52" i="6"/>
  <c r="F52" i="6"/>
  <c r="O1115" i="6"/>
  <c r="U1115" i="6"/>
  <c r="V1115" i="6"/>
  <c r="J1116" i="6"/>
  <c r="K1116" i="6"/>
  <c r="M156" i="5"/>
  <c r="Q155" i="5"/>
  <c r="W155" i="5"/>
  <c r="X155" i="5"/>
  <c r="E1132" i="6"/>
  <c r="F1132" i="6"/>
  <c r="J636" i="6"/>
  <c r="K636" i="6"/>
  <c r="O635" i="6"/>
  <c r="U635" i="6"/>
  <c r="V635" i="6"/>
  <c r="G939" i="4"/>
  <c r="H938" i="4"/>
  <c r="I937" i="4"/>
  <c r="O937" i="5"/>
  <c r="J937" i="4"/>
  <c r="D937" i="6"/>
  <c r="Q275" i="5"/>
  <c r="W275" i="5"/>
  <c r="X275" i="5"/>
  <c r="M276" i="5"/>
  <c r="E292" i="6"/>
  <c r="F292" i="6"/>
  <c r="C1179" i="4"/>
  <c r="D1178" i="4"/>
  <c r="S36" i="5"/>
  <c r="K36" i="5"/>
  <c r="J340" i="4"/>
  <c r="D340" i="6"/>
  <c r="I340" i="4"/>
  <c r="O340" i="5"/>
  <c r="M36" i="5"/>
  <c r="Q35" i="5"/>
  <c r="W35" i="5"/>
  <c r="X35" i="5"/>
  <c r="C341" i="4"/>
  <c r="D340" i="4"/>
  <c r="E1012" i="6"/>
  <c r="F1012" i="6"/>
  <c r="S156" i="5"/>
  <c r="K156" i="5"/>
  <c r="C101" i="4"/>
  <c r="D100" i="4"/>
  <c r="E892" i="6"/>
  <c r="F892" i="6"/>
  <c r="M636" i="5"/>
  <c r="Q635" i="5"/>
  <c r="W635" i="5"/>
  <c r="X635" i="5"/>
  <c r="C221" i="4"/>
  <c r="D220" i="4"/>
  <c r="J396" i="6"/>
  <c r="K396" i="6"/>
  <c r="O395" i="6"/>
  <c r="U395" i="6"/>
  <c r="V395" i="6"/>
  <c r="G342" i="4"/>
  <c r="H341" i="4"/>
  <c r="E532" i="6"/>
  <c r="F532" i="6"/>
  <c r="I1059" i="4"/>
  <c r="O1059" i="5"/>
  <c r="J1059" i="4"/>
  <c r="D1059" i="6"/>
  <c r="S876" i="5"/>
  <c r="K876" i="5"/>
  <c r="J156" i="6"/>
  <c r="K156" i="6"/>
  <c r="O155" i="6"/>
  <c r="U155" i="6"/>
  <c r="V155" i="6"/>
  <c r="G461" i="4"/>
  <c r="H460" i="4"/>
  <c r="G1061" i="4"/>
  <c r="H1060" i="4"/>
  <c r="G102" i="4"/>
  <c r="H101" i="4"/>
  <c r="S996" i="5"/>
  <c r="K996" i="5"/>
  <c r="E172" i="6"/>
  <c r="F172" i="6"/>
  <c r="J459" i="4"/>
  <c r="D459" i="6"/>
  <c r="I459" i="4"/>
  <c r="O459" i="5"/>
  <c r="K756" i="5"/>
  <c r="S756" i="5"/>
  <c r="J100" i="4"/>
  <c r="D100" i="6"/>
  <c r="I100" i="4"/>
  <c r="O100" i="5"/>
  <c r="J516" i="6"/>
  <c r="K516" i="6"/>
  <c r="O515" i="6"/>
  <c r="U515" i="6"/>
  <c r="V515" i="6"/>
  <c r="C1060" i="4"/>
  <c r="D1059" i="4"/>
  <c r="J756" i="6"/>
  <c r="K756" i="6"/>
  <c r="O755" i="6"/>
  <c r="U755" i="6"/>
  <c r="V755" i="6"/>
  <c r="S516" i="5"/>
  <c r="K516" i="5"/>
  <c r="C1061" i="4"/>
  <c r="D1060" i="4"/>
  <c r="D461" i="4"/>
  <c r="C462" i="4"/>
  <c r="Q516" i="6"/>
  <c r="L516" i="6"/>
  <c r="M516" i="6"/>
  <c r="G997" i="5"/>
  <c r="H997" i="5"/>
  <c r="L996" i="5"/>
  <c r="N996" i="5"/>
  <c r="G462" i="4"/>
  <c r="H461" i="4"/>
  <c r="P892" i="6"/>
  <c r="G892" i="6"/>
  <c r="C342" i="4"/>
  <c r="D341" i="4"/>
  <c r="J700" i="4"/>
  <c r="D700" i="6"/>
  <c r="I700" i="4"/>
  <c r="O700" i="5"/>
  <c r="G412" i="6"/>
  <c r="P412" i="6"/>
  <c r="L996" i="6"/>
  <c r="M996" i="6"/>
  <c r="Q996" i="6"/>
  <c r="G1180" i="4"/>
  <c r="H1179" i="4"/>
  <c r="D1179" i="4"/>
  <c r="C1180" i="4"/>
  <c r="L1116" i="6"/>
  <c r="M1116" i="6"/>
  <c r="Q1116" i="6"/>
  <c r="G702" i="4"/>
  <c r="H701" i="4"/>
  <c r="L1116" i="5"/>
  <c r="N1116" i="5"/>
  <c r="G1117" i="5"/>
  <c r="H1117" i="5"/>
  <c r="J221" i="4"/>
  <c r="D221" i="6"/>
  <c r="I221" i="4"/>
  <c r="O221" i="5"/>
  <c r="J1178" i="4"/>
  <c r="D1178" i="6"/>
  <c r="I1178" i="4"/>
  <c r="O1178" i="5"/>
  <c r="L396" i="6"/>
  <c r="M396" i="6"/>
  <c r="Q396" i="6"/>
  <c r="J938" i="4"/>
  <c r="D938" i="6"/>
  <c r="I938" i="4"/>
  <c r="O938" i="5"/>
  <c r="Q756" i="6"/>
  <c r="L756" i="6"/>
  <c r="M756" i="6"/>
  <c r="L756" i="5"/>
  <c r="N756" i="5"/>
  <c r="G757" i="5"/>
  <c r="H757" i="5"/>
  <c r="J101" i="4"/>
  <c r="D101" i="6"/>
  <c r="I101" i="4"/>
  <c r="O101" i="5"/>
  <c r="L156" i="6"/>
  <c r="M156" i="6"/>
  <c r="Q156" i="6"/>
  <c r="D101" i="4"/>
  <c r="C102" i="4"/>
  <c r="H939" i="4"/>
  <c r="G940" i="4"/>
  <c r="H222" i="4"/>
  <c r="G223" i="4"/>
  <c r="J1060" i="4"/>
  <c r="D1060" i="6"/>
  <c r="I1060" i="4"/>
  <c r="O1060" i="5"/>
  <c r="H102" i="4"/>
  <c r="G103" i="4"/>
  <c r="L876" i="5"/>
  <c r="N876" i="5"/>
  <c r="G877" i="5"/>
  <c r="H877" i="5"/>
  <c r="D221" i="4"/>
  <c r="C222" i="4"/>
  <c r="G157" i="5"/>
  <c r="H157" i="5"/>
  <c r="L156" i="5"/>
  <c r="N156" i="5"/>
  <c r="G292" i="6"/>
  <c r="P292" i="6"/>
  <c r="G52" i="6"/>
  <c r="P52" i="6"/>
  <c r="C584" i="4"/>
  <c r="D583" i="4"/>
  <c r="L276" i="5"/>
  <c r="N276" i="5"/>
  <c r="G277" i="5"/>
  <c r="H277" i="5"/>
  <c r="P772" i="6"/>
  <c r="G772" i="6"/>
  <c r="G397" i="5"/>
  <c r="H397" i="5"/>
  <c r="L396" i="5"/>
  <c r="N396" i="5"/>
  <c r="G532" i="6"/>
  <c r="P532" i="6"/>
  <c r="L276" i="6"/>
  <c r="M276" i="6"/>
  <c r="Q276" i="6"/>
  <c r="I581" i="4"/>
  <c r="O581" i="5"/>
  <c r="J581" i="4"/>
  <c r="D581" i="6"/>
  <c r="L636" i="5"/>
  <c r="N636" i="5"/>
  <c r="G637" i="5"/>
  <c r="H637" i="5"/>
  <c r="P1132" i="6"/>
  <c r="G1132" i="6"/>
  <c r="Q876" i="6"/>
  <c r="L876" i="6"/>
  <c r="M876" i="6"/>
  <c r="L36" i="6"/>
  <c r="M36" i="6"/>
  <c r="Q36" i="6"/>
  <c r="P652" i="6"/>
  <c r="G652" i="6"/>
  <c r="G583" i="4"/>
  <c r="H582" i="4"/>
  <c r="Q636" i="6"/>
  <c r="L636" i="6"/>
  <c r="M636" i="6"/>
  <c r="C702" i="4"/>
  <c r="D701" i="4"/>
  <c r="G1062" i="4"/>
  <c r="H1061" i="4"/>
  <c r="J341" i="4"/>
  <c r="D341" i="6"/>
  <c r="I341" i="4"/>
  <c r="O341" i="5"/>
  <c r="G172" i="6"/>
  <c r="P172" i="6"/>
  <c r="G343" i="4"/>
  <c r="H342" i="4"/>
  <c r="G1012" i="6"/>
  <c r="P1012" i="6"/>
  <c r="G37" i="5"/>
  <c r="H37" i="5"/>
  <c r="L36" i="5"/>
  <c r="N36" i="5"/>
  <c r="G517" i="5"/>
  <c r="H517" i="5"/>
  <c r="L516" i="5"/>
  <c r="N516" i="5"/>
  <c r="J460" i="4"/>
  <c r="D460" i="6"/>
  <c r="I460" i="4"/>
  <c r="O460" i="5"/>
  <c r="D940" i="4"/>
  <c r="C941" i="4"/>
  <c r="J461" i="4"/>
  <c r="D461" i="6"/>
  <c r="I461" i="4"/>
  <c r="O461" i="5"/>
  <c r="E653" i="6"/>
  <c r="F653" i="6"/>
  <c r="R757" i="5"/>
  <c r="I757" i="5"/>
  <c r="J757" i="5"/>
  <c r="I397" i="5"/>
  <c r="J397" i="5"/>
  <c r="R397" i="5"/>
  <c r="T756" i="5"/>
  <c r="U756" i="5"/>
  <c r="P756" i="5"/>
  <c r="S36" i="6"/>
  <c r="E773" i="6"/>
  <c r="F773" i="6"/>
  <c r="G104" i="4"/>
  <c r="H103" i="4"/>
  <c r="C103" i="4"/>
  <c r="D102" i="4"/>
  <c r="R756" i="6"/>
  <c r="N756" i="6"/>
  <c r="C1181" i="4"/>
  <c r="D1180" i="4"/>
  <c r="P996" i="5"/>
  <c r="T996" i="5"/>
  <c r="U996" i="5"/>
  <c r="I1061" i="4"/>
  <c r="O1061" i="5"/>
  <c r="J1061" i="4"/>
  <c r="D1061" i="6"/>
  <c r="P396" i="5"/>
  <c r="T396" i="5"/>
  <c r="U396" i="5"/>
  <c r="T636" i="5"/>
  <c r="U636" i="5"/>
  <c r="P636" i="5"/>
  <c r="R36" i="6"/>
  <c r="N36" i="6"/>
  <c r="E293" i="6"/>
  <c r="F293" i="6"/>
  <c r="J102" i="4"/>
  <c r="D102" i="6"/>
  <c r="I102" i="4"/>
  <c r="O102" i="5"/>
  <c r="S756" i="6"/>
  <c r="I997" i="5"/>
  <c r="J997" i="5"/>
  <c r="R997" i="5"/>
  <c r="G1063" i="4"/>
  <c r="H1062" i="4"/>
  <c r="N1116" i="6"/>
  <c r="R1116" i="6"/>
  <c r="S1116" i="6"/>
  <c r="H343" i="4"/>
  <c r="G344" i="4"/>
  <c r="N636" i="6"/>
  <c r="R636" i="6"/>
  <c r="R876" i="6"/>
  <c r="N876" i="6"/>
  <c r="I277" i="5"/>
  <c r="J277" i="5"/>
  <c r="R277" i="5"/>
  <c r="P156" i="5"/>
  <c r="T156" i="5"/>
  <c r="U156" i="5"/>
  <c r="I1117" i="5"/>
  <c r="J1117" i="5"/>
  <c r="R1117" i="5"/>
  <c r="J1179" i="4"/>
  <c r="D1179" i="6"/>
  <c r="I1179" i="4"/>
  <c r="O1179" i="5"/>
  <c r="R516" i="6"/>
  <c r="N516" i="6"/>
  <c r="I877" i="5"/>
  <c r="J877" i="5"/>
  <c r="R877" i="5"/>
  <c r="E1013" i="6"/>
  <c r="F1013" i="6"/>
  <c r="E53" i="6"/>
  <c r="F53" i="6"/>
  <c r="G463" i="4"/>
  <c r="H462" i="4"/>
  <c r="P516" i="5"/>
  <c r="T516" i="5"/>
  <c r="U516" i="5"/>
  <c r="E173" i="6"/>
  <c r="F173" i="6"/>
  <c r="N276" i="6"/>
  <c r="R276" i="6"/>
  <c r="S276" i="6"/>
  <c r="P276" i="5"/>
  <c r="T276" i="5"/>
  <c r="U276" i="5"/>
  <c r="R157" i="5"/>
  <c r="I157" i="5"/>
  <c r="J157" i="5"/>
  <c r="R156" i="6"/>
  <c r="S156" i="6"/>
  <c r="N156" i="6"/>
  <c r="P1116" i="5"/>
  <c r="T1116" i="5"/>
  <c r="U1116" i="5"/>
  <c r="H1180" i="4"/>
  <c r="G1181" i="4"/>
  <c r="D342" i="4"/>
  <c r="C343" i="4"/>
  <c r="S516" i="6"/>
  <c r="C942" i="4"/>
  <c r="D941" i="4"/>
  <c r="G941" i="4"/>
  <c r="H940" i="4"/>
  <c r="I939" i="4"/>
  <c r="O939" i="5"/>
  <c r="J939" i="4"/>
  <c r="D939" i="6"/>
  <c r="E413" i="6"/>
  <c r="F413" i="6"/>
  <c r="J342" i="4"/>
  <c r="D342" i="6"/>
  <c r="I342" i="4"/>
  <c r="O342" i="5"/>
  <c r="S636" i="6"/>
  <c r="P36" i="5"/>
  <c r="T36" i="5"/>
  <c r="U36" i="5"/>
  <c r="J582" i="4"/>
  <c r="D582" i="6"/>
  <c r="I582" i="4"/>
  <c r="O582" i="5"/>
  <c r="E1133" i="6"/>
  <c r="F1133" i="6"/>
  <c r="C223" i="4"/>
  <c r="D222" i="4"/>
  <c r="G224" i="4"/>
  <c r="H223" i="4"/>
  <c r="I701" i="4"/>
  <c r="O701" i="5"/>
  <c r="J701" i="4"/>
  <c r="D701" i="6"/>
  <c r="E893" i="6"/>
  <c r="F893" i="6"/>
  <c r="C463" i="4"/>
  <c r="D462" i="4"/>
  <c r="R637" i="5"/>
  <c r="I637" i="5"/>
  <c r="J637" i="5"/>
  <c r="T876" i="5"/>
  <c r="U876" i="5"/>
  <c r="P876" i="5"/>
  <c r="C1062" i="4"/>
  <c r="D1061" i="4"/>
  <c r="C703" i="4"/>
  <c r="D702" i="4"/>
  <c r="R517" i="5"/>
  <c r="I517" i="5"/>
  <c r="J517" i="5"/>
  <c r="S876" i="6"/>
  <c r="I37" i="5"/>
  <c r="J37" i="5"/>
  <c r="R37" i="5"/>
  <c r="G584" i="4"/>
  <c r="H583" i="4"/>
  <c r="E533" i="6"/>
  <c r="F533" i="6"/>
  <c r="D584" i="4"/>
  <c r="C585" i="4"/>
  <c r="D585" i="4"/>
  <c r="J222" i="4"/>
  <c r="D222" i="6"/>
  <c r="I222" i="4"/>
  <c r="O222" i="5"/>
  <c r="R396" i="6"/>
  <c r="S396" i="6"/>
  <c r="N396" i="6"/>
  <c r="G703" i="4"/>
  <c r="H702" i="4"/>
  <c r="R996" i="6"/>
  <c r="S996" i="6"/>
  <c r="N996" i="6"/>
  <c r="S277" i="5"/>
  <c r="K277" i="5"/>
  <c r="M637" i="5"/>
  <c r="Q636" i="5"/>
  <c r="W636" i="5"/>
  <c r="X636" i="5"/>
  <c r="J702" i="4"/>
  <c r="D702" i="6"/>
  <c r="I702" i="4"/>
  <c r="O702" i="5"/>
  <c r="S517" i="5"/>
  <c r="K517" i="5"/>
  <c r="S637" i="5"/>
  <c r="K637" i="5"/>
  <c r="P1133" i="6"/>
  <c r="G1133" i="6"/>
  <c r="Q1116" i="5"/>
  <c r="W1116" i="5"/>
  <c r="X1116" i="5"/>
  <c r="M1117" i="5"/>
  <c r="O276" i="6"/>
  <c r="U276" i="6"/>
  <c r="V276" i="6"/>
  <c r="J277" i="6"/>
  <c r="K277" i="6"/>
  <c r="G53" i="6"/>
  <c r="P53" i="6"/>
  <c r="J1117" i="6"/>
  <c r="K1117" i="6"/>
  <c r="O1116" i="6"/>
  <c r="U1116" i="6"/>
  <c r="V1116" i="6"/>
  <c r="D1181" i="4"/>
  <c r="C1182" i="4"/>
  <c r="G893" i="6"/>
  <c r="P893" i="6"/>
  <c r="H941" i="4"/>
  <c r="G942" i="4"/>
  <c r="S757" i="5"/>
  <c r="K757" i="5"/>
  <c r="G704" i="4"/>
  <c r="H703" i="4"/>
  <c r="P533" i="6"/>
  <c r="G533" i="6"/>
  <c r="D942" i="4"/>
  <c r="C943" i="4"/>
  <c r="O156" i="6"/>
  <c r="U156" i="6"/>
  <c r="V156" i="6"/>
  <c r="J157" i="6"/>
  <c r="K157" i="6"/>
  <c r="J877" i="6"/>
  <c r="K877" i="6"/>
  <c r="O876" i="6"/>
  <c r="U876" i="6"/>
  <c r="V876" i="6"/>
  <c r="I1062" i="4"/>
  <c r="O1062" i="5"/>
  <c r="J1062" i="4"/>
  <c r="D1062" i="6"/>
  <c r="J757" i="6"/>
  <c r="K757" i="6"/>
  <c r="O756" i="6"/>
  <c r="U756" i="6"/>
  <c r="V756" i="6"/>
  <c r="P773" i="6"/>
  <c r="G773" i="6"/>
  <c r="J223" i="4"/>
  <c r="D223" i="6"/>
  <c r="I223" i="4"/>
  <c r="O223" i="5"/>
  <c r="P413" i="6"/>
  <c r="G413" i="6"/>
  <c r="K1117" i="5"/>
  <c r="S1117" i="5"/>
  <c r="G1064" i="4"/>
  <c r="H1063" i="4"/>
  <c r="M397" i="5"/>
  <c r="Q396" i="5"/>
  <c r="W396" i="5"/>
  <c r="X396" i="5"/>
  <c r="P653" i="6"/>
  <c r="G653" i="6"/>
  <c r="O396" i="6"/>
  <c r="U396" i="6"/>
  <c r="V396" i="6"/>
  <c r="J397" i="6"/>
  <c r="K397" i="6"/>
  <c r="G173" i="6"/>
  <c r="P173" i="6"/>
  <c r="P1013" i="6"/>
  <c r="G1013" i="6"/>
  <c r="I583" i="4"/>
  <c r="O583" i="5"/>
  <c r="J583" i="4"/>
  <c r="D583" i="6"/>
  <c r="C704" i="4"/>
  <c r="D703" i="4"/>
  <c r="C464" i="4"/>
  <c r="D463" i="4"/>
  <c r="H224" i="4"/>
  <c r="G225" i="4"/>
  <c r="H225" i="4"/>
  <c r="C344" i="4"/>
  <c r="D343" i="4"/>
  <c r="S157" i="5"/>
  <c r="K157" i="5"/>
  <c r="P293" i="6"/>
  <c r="G293" i="6"/>
  <c r="M757" i="5"/>
  <c r="Q756" i="5"/>
  <c r="W756" i="5"/>
  <c r="X756" i="5"/>
  <c r="G585" i="4"/>
  <c r="H585" i="4"/>
  <c r="H584" i="4"/>
  <c r="M37" i="5"/>
  <c r="Q36" i="5"/>
  <c r="W36" i="5"/>
  <c r="X36" i="5"/>
  <c r="S877" i="5"/>
  <c r="K877" i="5"/>
  <c r="J637" i="6"/>
  <c r="K637" i="6"/>
  <c r="O636" i="6"/>
  <c r="U636" i="6"/>
  <c r="V636" i="6"/>
  <c r="D103" i="4"/>
  <c r="C104" i="4"/>
  <c r="C1063" i="4"/>
  <c r="D1062" i="4"/>
  <c r="G1182" i="4"/>
  <c r="H1181" i="4"/>
  <c r="M157" i="5"/>
  <c r="Q156" i="5"/>
  <c r="W156" i="5"/>
  <c r="X156" i="5"/>
  <c r="G345" i="4"/>
  <c r="H345" i="4"/>
  <c r="H344" i="4"/>
  <c r="O36" i="6"/>
  <c r="U36" i="6"/>
  <c r="V36" i="6"/>
  <c r="J37" i="6"/>
  <c r="K37" i="6"/>
  <c r="J103" i="4"/>
  <c r="D103" i="6"/>
  <c r="I103" i="4"/>
  <c r="O103" i="5"/>
  <c r="M517" i="5"/>
  <c r="Q516" i="5"/>
  <c r="W516" i="5"/>
  <c r="X516" i="5"/>
  <c r="D223" i="4"/>
  <c r="C224" i="4"/>
  <c r="J462" i="4"/>
  <c r="D462" i="6"/>
  <c r="I462" i="4"/>
  <c r="O462" i="5"/>
  <c r="O516" i="6"/>
  <c r="U516" i="6"/>
  <c r="V516" i="6"/>
  <c r="J517" i="6"/>
  <c r="K517" i="6"/>
  <c r="O996" i="6"/>
  <c r="U996" i="6"/>
  <c r="V996" i="6"/>
  <c r="J997" i="6"/>
  <c r="K997" i="6"/>
  <c r="S37" i="5"/>
  <c r="K37" i="5"/>
  <c r="M877" i="5"/>
  <c r="Q876" i="5"/>
  <c r="W876" i="5"/>
  <c r="X876" i="5"/>
  <c r="J940" i="4"/>
  <c r="D940" i="6"/>
  <c r="I940" i="4"/>
  <c r="O940" i="5"/>
  <c r="J1180" i="4"/>
  <c r="D1180" i="6"/>
  <c r="I1180" i="4"/>
  <c r="O1180" i="5"/>
  <c r="Q276" i="5"/>
  <c r="W276" i="5"/>
  <c r="X276" i="5"/>
  <c r="M277" i="5"/>
  <c r="H463" i="4"/>
  <c r="G464" i="4"/>
  <c r="J343" i="4"/>
  <c r="D343" i="6"/>
  <c r="I343" i="4"/>
  <c r="O343" i="5"/>
  <c r="S997" i="5"/>
  <c r="K997" i="5"/>
  <c r="Q996" i="5"/>
  <c r="W996" i="5"/>
  <c r="X996" i="5"/>
  <c r="M997" i="5"/>
  <c r="H104" i="4"/>
  <c r="G105" i="4"/>
  <c r="H105" i="4"/>
  <c r="K397" i="5"/>
  <c r="S397" i="5"/>
  <c r="J104" i="4"/>
  <c r="D104" i="6"/>
  <c r="I104" i="4"/>
  <c r="O104" i="5"/>
  <c r="G998" i="5"/>
  <c r="H998" i="5"/>
  <c r="L997" i="5"/>
  <c r="N997" i="5"/>
  <c r="L37" i="6"/>
  <c r="M37" i="6"/>
  <c r="Q37" i="6"/>
  <c r="H1182" i="4"/>
  <c r="G1183" i="4"/>
  <c r="I1063" i="4"/>
  <c r="O1063" i="5"/>
  <c r="J1063" i="4"/>
  <c r="D1063" i="6"/>
  <c r="E774" i="6"/>
  <c r="F774" i="6"/>
  <c r="E894" i="6"/>
  <c r="F894" i="6"/>
  <c r="Q277" i="6"/>
  <c r="L277" i="6"/>
  <c r="M277" i="6"/>
  <c r="G518" i="5"/>
  <c r="H518" i="5"/>
  <c r="L517" i="5"/>
  <c r="N517" i="5"/>
  <c r="Q997" i="6"/>
  <c r="L997" i="6"/>
  <c r="M997" i="6"/>
  <c r="E174" i="6"/>
  <c r="F174" i="6"/>
  <c r="C1064" i="4"/>
  <c r="D1063" i="4"/>
  <c r="C1183" i="4"/>
  <c r="D1182" i="4"/>
  <c r="Q517" i="6"/>
  <c r="L517" i="6"/>
  <c r="M517" i="6"/>
  <c r="J344" i="4"/>
  <c r="D344" i="6"/>
  <c r="I344" i="4"/>
  <c r="O344" i="5"/>
  <c r="C105" i="4"/>
  <c r="D105" i="4"/>
  <c r="D104" i="4"/>
  <c r="J584" i="4"/>
  <c r="D584" i="6"/>
  <c r="I584" i="4"/>
  <c r="O584" i="5"/>
  <c r="C705" i="4"/>
  <c r="D705" i="4"/>
  <c r="D704" i="4"/>
  <c r="L1117" i="5"/>
  <c r="N1117" i="5"/>
  <c r="G1118" i="5"/>
  <c r="H1118" i="5"/>
  <c r="L757" i="6"/>
  <c r="M757" i="6"/>
  <c r="Q757" i="6"/>
  <c r="D943" i="4"/>
  <c r="C944" i="4"/>
  <c r="L757" i="5"/>
  <c r="N757" i="5"/>
  <c r="G758" i="5"/>
  <c r="H758" i="5"/>
  <c r="G1065" i="4"/>
  <c r="H1065" i="4"/>
  <c r="H1064" i="4"/>
  <c r="G158" i="5"/>
  <c r="H158" i="5"/>
  <c r="L157" i="5"/>
  <c r="N157" i="5"/>
  <c r="G705" i="4"/>
  <c r="H705" i="4"/>
  <c r="H704" i="4"/>
  <c r="G398" i="5"/>
  <c r="H398" i="5"/>
  <c r="L397" i="5"/>
  <c r="N397" i="5"/>
  <c r="J345" i="4"/>
  <c r="D345" i="6"/>
  <c r="I345" i="4"/>
  <c r="O345" i="5"/>
  <c r="I585" i="4"/>
  <c r="O585" i="5"/>
  <c r="J585" i="4"/>
  <c r="D585" i="6"/>
  <c r="E654" i="6"/>
  <c r="F654" i="6"/>
  <c r="E414" i="6"/>
  <c r="F414" i="6"/>
  <c r="E1134" i="6"/>
  <c r="F1134" i="6"/>
  <c r="D464" i="4"/>
  <c r="C465" i="4"/>
  <c r="D465" i="4"/>
  <c r="I703" i="4"/>
  <c r="O703" i="5"/>
  <c r="J703" i="4"/>
  <c r="D703" i="6"/>
  <c r="J105" i="4"/>
  <c r="D105" i="6"/>
  <c r="I105" i="4"/>
  <c r="O105" i="5"/>
  <c r="G465" i="4"/>
  <c r="H465" i="4"/>
  <c r="H464" i="4"/>
  <c r="C345" i="4"/>
  <c r="D345" i="4"/>
  <c r="D344" i="4"/>
  <c r="H942" i="4"/>
  <c r="G943" i="4"/>
  <c r="Q1117" i="6"/>
  <c r="L1117" i="6"/>
  <c r="M1117" i="6"/>
  <c r="L397" i="6"/>
  <c r="M397" i="6"/>
  <c r="Q397" i="6"/>
  <c r="E1014" i="6"/>
  <c r="F1014" i="6"/>
  <c r="I941" i="4"/>
  <c r="O941" i="5"/>
  <c r="J941" i="4"/>
  <c r="D941" i="6"/>
  <c r="L637" i="5"/>
  <c r="N637" i="5"/>
  <c r="G638" i="5"/>
  <c r="H638" i="5"/>
  <c r="L277" i="5"/>
  <c r="N277" i="5"/>
  <c r="G278" i="5"/>
  <c r="H278" i="5"/>
  <c r="L157" i="6"/>
  <c r="M157" i="6"/>
  <c r="Q157" i="6"/>
  <c r="I463" i="4"/>
  <c r="O463" i="5"/>
  <c r="J463" i="4"/>
  <c r="D463" i="6"/>
  <c r="Q637" i="6"/>
  <c r="L637" i="6"/>
  <c r="M637" i="6"/>
  <c r="J225" i="4"/>
  <c r="D225" i="6"/>
  <c r="I225" i="4"/>
  <c r="O225" i="5"/>
  <c r="G38" i="5"/>
  <c r="H38" i="5"/>
  <c r="L37" i="5"/>
  <c r="N37" i="5"/>
  <c r="C225" i="4"/>
  <c r="D225" i="4"/>
  <c r="D224" i="4"/>
  <c r="J1181" i="4"/>
  <c r="D1181" i="6"/>
  <c r="I1181" i="4"/>
  <c r="O1181" i="5"/>
  <c r="L877" i="5"/>
  <c r="N877" i="5"/>
  <c r="G878" i="5"/>
  <c r="H878" i="5"/>
  <c r="E294" i="6"/>
  <c r="F294" i="6"/>
  <c r="J224" i="4"/>
  <c r="D224" i="6"/>
  <c r="I224" i="4"/>
  <c r="O224" i="5"/>
  <c r="L877" i="6"/>
  <c r="M877" i="6"/>
  <c r="Q877" i="6"/>
  <c r="E534" i="6"/>
  <c r="F534" i="6"/>
  <c r="E54" i="6"/>
  <c r="F54" i="6"/>
  <c r="I998" i="5"/>
  <c r="J998" i="5"/>
  <c r="R998" i="5"/>
  <c r="R878" i="5"/>
  <c r="I878" i="5"/>
  <c r="J878" i="5"/>
  <c r="I278" i="5"/>
  <c r="J278" i="5"/>
  <c r="R278" i="5"/>
  <c r="R877" i="6"/>
  <c r="N877" i="6"/>
  <c r="R637" i="6"/>
  <c r="N637" i="6"/>
  <c r="I638" i="5"/>
  <c r="J638" i="5"/>
  <c r="R638" i="5"/>
  <c r="N397" i="6"/>
  <c r="R397" i="6"/>
  <c r="S397" i="6"/>
  <c r="G654" i="6"/>
  <c r="P654" i="6"/>
  <c r="I705" i="4"/>
  <c r="O705" i="5"/>
  <c r="J705" i="4"/>
  <c r="D705" i="6"/>
  <c r="D1183" i="4"/>
  <c r="C1184" i="4"/>
  <c r="R518" i="5"/>
  <c r="I518" i="5"/>
  <c r="J518" i="5"/>
  <c r="P997" i="5"/>
  <c r="T997" i="5"/>
  <c r="U997" i="5"/>
  <c r="I158" i="5"/>
  <c r="J158" i="5"/>
  <c r="R158" i="5"/>
  <c r="R757" i="6"/>
  <c r="S757" i="6"/>
  <c r="N757" i="6"/>
  <c r="C1065" i="4"/>
  <c r="D1065" i="4"/>
  <c r="D1064" i="4"/>
  <c r="R1117" i="6"/>
  <c r="N1117" i="6"/>
  <c r="J464" i="4"/>
  <c r="D464" i="6"/>
  <c r="I464" i="4"/>
  <c r="O464" i="5"/>
  <c r="J1064" i="4"/>
  <c r="D1064" i="6"/>
  <c r="I1064" i="4"/>
  <c r="O1064" i="5"/>
  <c r="I1118" i="5"/>
  <c r="J1118" i="5"/>
  <c r="R1118" i="5"/>
  <c r="P174" i="6"/>
  <c r="G174" i="6"/>
  <c r="P54" i="6"/>
  <c r="G54" i="6"/>
  <c r="P37" i="5"/>
  <c r="T37" i="5"/>
  <c r="U37" i="5"/>
  <c r="S157" i="6"/>
  <c r="S1117" i="6"/>
  <c r="I465" i="4"/>
  <c r="O465" i="5"/>
  <c r="J465" i="4"/>
  <c r="D465" i="6"/>
  <c r="P1134" i="6"/>
  <c r="G1134" i="6"/>
  <c r="I1065" i="4"/>
  <c r="O1065" i="5"/>
  <c r="J1065" i="4"/>
  <c r="D1065" i="6"/>
  <c r="P1117" i="5"/>
  <c r="T1117" i="5"/>
  <c r="U1117" i="5"/>
  <c r="P894" i="6"/>
  <c r="G894" i="6"/>
  <c r="G1184" i="4"/>
  <c r="H1183" i="4"/>
  <c r="T637" i="5"/>
  <c r="U637" i="5"/>
  <c r="P637" i="5"/>
  <c r="N277" i="6"/>
  <c r="R277" i="6"/>
  <c r="S277" i="6"/>
  <c r="P294" i="6"/>
  <c r="G294" i="6"/>
  <c r="I38" i="5"/>
  <c r="J38" i="5"/>
  <c r="R38" i="5"/>
  <c r="N157" i="6"/>
  <c r="R157" i="6"/>
  <c r="P1014" i="6"/>
  <c r="G1014" i="6"/>
  <c r="H943" i="4"/>
  <c r="G944" i="4"/>
  <c r="T397" i="5"/>
  <c r="U397" i="5"/>
  <c r="P397" i="5"/>
  <c r="R758" i="5"/>
  <c r="I758" i="5"/>
  <c r="J758" i="5"/>
  <c r="R517" i="6"/>
  <c r="S517" i="6"/>
  <c r="N517" i="6"/>
  <c r="N997" i="6"/>
  <c r="R997" i="6"/>
  <c r="J1182" i="4"/>
  <c r="D1182" i="6"/>
  <c r="I1182" i="4"/>
  <c r="O1182" i="5"/>
  <c r="S637" i="6"/>
  <c r="P157" i="5"/>
  <c r="T157" i="5"/>
  <c r="U157" i="5"/>
  <c r="G534" i="6"/>
  <c r="P534" i="6"/>
  <c r="I942" i="4"/>
  <c r="O942" i="5"/>
  <c r="J942" i="4"/>
  <c r="D942" i="6"/>
  <c r="P414" i="6"/>
  <c r="G414" i="6"/>
  <c r="I398" i="5"/>
  <c r="J398" i="5"/>
  <c r="R398" i="5"/>
  <c r="T757" i="5"/>
  <c r="U757" i="5"/>
  <c r="P757" i="5"/>
  <c r="S997" i="6"/>
  <c r="S877" i="6"/>
  <c r="T877" i="5"/>
  <c r="U877" i="5"/>
  <c r="P877" i="5"/>
  <c r="T277" i="5"/>
  <c r="U277" i="5"/>
  <c r="P277" i="5"/>
  <c r="J704" i="4"/>
  <c r="D704" i="6"/>
  <c r="I704" i="4"/>
  <c r="O704" i="5"/>
  <c r="D944" i="4"/>
  <c r="C945" i="4"/>
  <c r="D945" i="4"/>
  <c r="P517" i="5"/>
  <c r="T517" i="5"/>
  <c r="U517" i="5"/>
  <c r="G774" i="6"/>
  <c r="P774" i="6"/>
  <c r="N37" i="6"/>
  <c r="R37" i="6"/>
  <c r="S37" i="6"/>
  <c r="J518" i="6"/>
  <c r="K518" i="6"/>
  <c r="O517" i="6"/>
  <c r="U517" i="6"/>
  <c r="V517" i="6"/>
  <c r="E1015" i="6"/>
  <c r="F1015" i="6"/>
  <c r="Q997" i="5"/>
  <c r="W997" i="5"/>
  <c r="X997" i="5"/>
  <c r="M998" i="5"/>
  <c r="E655" i="6"/>
  <c r="F655" i="6"/>
  <c r="E415" i="6"/>
  <c r="F415" i="6"/>
  <c r="M638" i="5"/>
  <c r="Q637" i="5"/>
  <c r="W637" i="5"/>
  <c r="X637" i="5"/>
  <c r="J398" i="6"/>
  <c r="K398" i="6"/>
  <c r="O397" i="6"/>
  <c r="U397" i="6"/>
  <c r="V397" i="6"/>
  <c r="S278" i="5"/>
  <c r="K278" i="5"/>
  <c r="M518" i="5"/>
  <c r="Q517" i="5"/>
  <c r="W517" i="5"/>
  <c r="X517" i="5"/>
  <c r="K1118" i="5"/>
  <c r="S1118" i="5"/>
  <c r="O157" i="6"/>
  <c r="U157" i="6"/>
  <c r="V157" i="6"/>
  <c r="J158" i="6"/>
  <c r="K158" i="6"/>
  <c r="M38" i="5"/>
  <c r="Q37" i="5"/>
  <c r="W37" i="5"/>
  <c r="X37" i="5"/>
  <c r="J758" i="6"/>
  <c r="K758" i="6"/>
  <c r="O757" i="6"/>
  <c r="U757" i="6"/>
  <c r="V757" i="6"/>
  <c r="C1185" i="4"/>
  <c r="D1185" i="4"/>
  <c r="D1184" i="4"/>
  <c r="S878" i="5"/>
  <c r="K878" i="5"/>
  <c r="M878" i="5"/>
  <c r="Q877" i="5"/>
  <c r="W877" i="5"/>
  <c r="X877" i="5"/>
  <c r="S518" i="5"/>
  <c r="K518" i="5"/>
  <c r="M398" i="5"/>
  <c r="Q397" i="5"/>
  <c r="W397" i="5"/>
  <c r="X397" i="5"/>
  <c r="J1183" i="4"/>
  <c r="D1183" i="6"/>
  <c r="I1183" i="4"/>
  <c r="O1183" i="5"/>
  <c r="E1135" i="6"/>
  <c r="F1135" i="6"/>
  <c r="E55" i="6"/>
  <c r="F55" i="6"/>
  <c r="S638" i="5"/>
  <c r="K638" i="5"/>
  <c r="S398" i="5"/>
  <c r="K398" i="5"/>
  <c r="K758" i="5"/>
  <c r="S758" i="5"/>
  <c r="S38" i="5"/>
  <c r="K38" i="5"/>
  <c r="H1184" i="4"/>
  <c r="G1185" i="4"/>
  <c r="H1185" i="4"/>
  <c r="J638" i="6"/>
  <c r="K638" i="6"/>
  <c r="O637" i="6"/>
  <c r="U637" i="6"/>
  <c r="V637" i="6"/>
  <c r="Q1117" i="5"/>
  <c r="W1117" i="5"/>
  <c r="X1117" i="5"/>
  <c r="M1118" i="5"/>
  <c r="G945" i="4"/>
  <c r="H945" i="4"/>
  <c r="H944" i="4"/>
  <c r="E295" i="6"/>
  <c r="F295" i="6"/>
  <c r="E895" i="6"/>
  <c r="F895" i="6"/>
  <c r="E175" i="6"/>
  <c r="F175" i="6"/>
  <c r="J1118" i="6"/>
  <c r="K1118" i="6"/>
  <c r="O1117" i="6"/>
  <c r="U1117" i="6"/>
  <c r="V1117" i="6"/>
  <c r="S158" i="5"/>
  <c r="K158" i="5"/>
  <c r="K998" i="5"/>
  <c r="S998" i="5"/>
  <c r="M158" i="5"/>
  <c r="Q157" i="5"/>
  <c r="W157" i="5"/>
  <c r="X157" i="5"/>
  <c r="J278" i="6"/>
  <c r="K278" i="6"/>
  <c r="O277" i="6"/>
  <c r="U277" i="6"/>
  <c r="V277" i="6"/>
  <c r="J38" i="6"/>
  <c r="K38" i="6"/>
  <c r="O37" i="6"/>
  <c r="U37" i="6"/>
  <c r="V37" i="6"/>
  <c r="M758" i="5"/>
  <c r="Q757" i="5"/>
  <c r="W757" i="5"/>
  <c r="X757" i="5"/>
  <c r="E775" i="6"/>
  <c r="F775" i="6"/>
  <c r="Q277" i="5"/>
  <c r="W277" i="5"/>
  <c r="X277" i="5"/>
  <c r="M278" i="5"/>
  <c r="E535" i="6"/>
  <c r="F535" i="6"/>
  <c r="O997" i="6"/>
  <c r="U997" i="6"/>
  <c r="V997" i="6"/>
  <c r="J998" i="6"/>
  <c r="K998" i="6"/>
  <c r="I943" i="4"/>
  <c r="O943" i="5"/>
  <c r="J943" i="4"/>
  <c r="D943" i="6"/>
  <c r="O877" i="6"/>
  <c r="U877" i="6"/>
  <c r="V877" i="6"/>
  <c r="J878" i="6"/>
  <c r="K878" i="6"/>
  <c r="Q38" i="6"/>
  <c r="L38" i="6"/>
  <c r="M38" i="6"/>
  <c r="P775" i="6"/>
  <c r="G775" i="6"/>
  <c r="J944" i="4"/>
  <c r="D944" i="6"/>
  <c r="I944" i="4"/>
  <c r="O944" i="5"/>
  <c r="G399" i="5"/>
  <c r="H399" i="5"/>
  <c r="L398" i="5"/>
  <c r="N398" i="5"/>
  <c r="G1135" i="6"/>
  <c r="P1135" i="6"/>
  <c r="L758" i="6"/>
  <c r="M758" i="6"/>
  <c r="Q758" i="6"/>
  <c r="L758" i="5"/>
  <c r="N758" i="5"/>
  <c r="G759" i="5"/>
  <c r="H759" i="5"/>
  <c r="L1118" i="6"/>
  <c r="M1118" i="6"/>
  <c r="Q1118" i="6"/>
  <c r="J1185" i="4"/>
  <c r="D1185" i="6"/>
  <c r="I1185" i="4"/>
  <c r="O1185" i="5"/>
  <c r="L878" i="5"/>
  <c r="N878" i="5"/>
  <c r="G879" i="5"/>
  <c r="H879" i="5"/>
  <c r="I945" i="4"/>
  <c r="O945" i="5"/>
  <c r="J945" i="4"/>
  <c r="D945" i="6"/>
  <c r="L1118" i="5"/>
  <c r="N1118" i="5"/>
  <c r="G1119" i="5"/>
  <c r="H1119" i="5"/>
  <c r="Q998" i="6"/>
  <c r="L998" i="6"/>
  <c r="M998" i="6"/>
  <c r="P175" i="6"/>
  <c r="G175" i="6"/>
  <c r="J1184" i="4"/>
  <c r="D1184" i="6"/>
  <c r="I1184" i="4"/>
  <c r="O1184" i="5"/>
  <c r="L638" i="5"/>
  <c r="N638" i="5"/>
  <c r="G639" i="5"/>
  <c r="H639" i="5"/>
  <c r="Q158" i="6"/>
  <c r="L158" i="6"/>
  <c r="M158" i="6"/>
  <c r="L878" i="6"/>
  <c r="M878" i="6"/>
  <c r="Q878" i="6"/>
  <c r="G39" i="5"/>
  <c r="H39" i="5"/>
  <c r="L38" i="5"/>
  <c r="N38" i="5"/>
  <c r="L278" i="5"/>
  <c r="N278" i="5"/>
  <c r="G279" i="5"/>
  <c r="H279" i="5"/>
  <c r="P415" i="6"/>
  <c r="G415" i="6"/>
  <c r="P1015" i="6"/>
  <c r="G1015" i="6"/>
  <c r="Q278" i="6"/>
  <c r="L278" i="6"/>
  <c r="M278" i="6"/>
  <c r="P535" i="6"/>
  <c r="G535" i="6"/>
  <c r="G999" i="5"/>
  <c r="H999" i="5"/>
  <c r="L998" i="5"/>
  <c r="N998" i="5"/>
  <c r="P895" i="6"/>
  <c r="G895" i="6"/>
  <c r="G159" i="5"/>
  <c r="H159" i="5"/>
  <c r="L158" i="5"/>
  <c r="N158" i="5"/>
  <c r="G295" i="6"/>
  <c r="P295" i="6"/>
  <c r="L638" i="6"/>
  <c r="M638" i="6"/>
  <c r="Q638" i="6"/>
  <c r="P55" i="6"/>
  <c r="G55" i="6"/>
  <c r="G519" i="5"/>
  <c r="H519" i="5"/>
  <c r="L518" i="5"/>
  <c r="N518" i="5"/>
  <c r="Q518" i="6"/>
  <c r="L518" i="6"/>
  <c r="M518" i="6"/>
  <c r="Q398" i="6"/>
  <c r="L398" i="6"/>
  <c r="M398" i="6"/>
  <c r="P655" i="6"/>
  <c r="G655" i="6"/>
  <c r="I999" i="5"/>
  <c r="J999" i="5"/>
  <c r="R999" i="5"/>
  <c r="E296" i="6"/>
  <c r="F296" i="6"/>
  <c r="T278" i="5"/>
  <c r="U278" i="5"/>
  <c r="P278" i="5"/>
  <c r="T638" i="5"/>
  <c r="U638" i="5"/>
  <c r="P638" i="5"/>
  <c r="T1118" i="5"/>
  <c r="U1118" i="5"/>
  <c r="P1118" i="5"/>
  <c r="R1118" i="6"/>
  <c r="N1118" i="6"/>
  <c r="R399" i="5"/>
  <c r="I399" i="5"/>
  <c r="J399" i="5"/>
  <c r="P158" i="5"/>
  <c r="T158" i="5"/>
  <c r="U158" i="5"/>
  <c r="R519" i="5"/>
  <c r="I519" i="5"/>
  <c r="J519" i="5"/>
  <c r="S278" i="6"/>
  <c r="T758" i="5"/>
  <c r="U758" i="5"/>
  <c r="P758" i="5"/>
  <c r="R278" i="6"/>
  <c r="N278" i="6"/>
  <c r="I159" i="5"/>
  <c r="J159" i="5"/>
  <c r="R159" i="5"/>
  <c r="R39" i="5"/>
  <c r="I39" i="5"/>
  <c r="J39" i="5"/>
  <c r="E656" i="6"/>
  <c r="F656" i="6"/>
  <c r="E56" i="6"/>
  <c r="F56" i="6"/>
  <c r="E896" i="6"/>
  <c r="F896" i="6"/>
  <c r="E1016" i="6"/>
  <c r="F1016" i="6"/>
  <c r="E176" i="6"/>
  <c r="F176" i="6"/>
  <c r="I879" i="5"/>
  <c r="J879" i="5"/>
  <c r="R879" i="5"/>
  <c r="S758" i="6"/>
  <c r="E776" i="6"/>
  <c r="F776" i="6"/>
  <c r="P518" i="5"/>
  <c r="T518" i="5"/>
  <c r="U518" i="5"/>
  <c r="P38" i="5"/>
  <c r="T38" i="5"/>
  <c r="U38" i="5"/>
  <c r="R759" i="5"/>
  <c r="I759" i="5"/>
  <c r="J759" i="5"/>
  <c r="N878" i="6"/>
  <c r="R878" i="6"/>
  <c r="S878" i="6"/>
  <c r="T878" i="5"/>
  <c r="U878" i="5"/>
  <c r="P878" i="5"/>
  <c r="N758" i="6"/>
  <c r="R758" i="6"/>
  <c r="N398" i="6"/>
  <c r="R398" i="6"/>
  <c r="S398" i="6"/>
  <c r="P998" i="5"/>
  <c r="T998" i="5"/>
  <c r="U998" i="5"/>
  <c r="E416" i="6"/>
  <c r="F416" i="6"/>
  <c r="N158" i="6"/>
  <c r="R158" i="6"/>
  <c r="N998" i="6"/>
  <c r="R998" i="6"/>
  <c r="N38" i="6"/>
  <c r="R38" i="6"/>
  <c r="R638" i="6"/>
  <c r="S638" i="6"/>
  <c r="N638" i="6"/>
  <c r="S158" i="6"/>
  <c r="S998" i="6"/>
  <c r="S38" i="6"/>
  <c r="E1136" i="6"/>
  <c r="F1136" i="6"/>
  <c r="R518" i="6"/>
  <c r="S518" i="6"/>
  <c r="N518" i="6"/>
  <c r="E536" i="6"/>
  <c r="F536" i="6"/>
  <c r="I279" i="5"/>
  <c r="J279" i="5"/>
  <c r="R279" i="5"/>
  <c r="I639" i="5"/>
  <c r="J639" i="5"/>
  <c r="R639" i="5"/>
  <c r="I1119" i="5"/>
  <c r="J1119" i="5"/>
  <c r="R1119" i="5"/>
  <c r="S1118" i="6"/>
  <c r="T398" i="5"/>
  <c r="U398" i="5"/>
  <c r="P398" i="5"/>
  <c r="K1119" i="5"/>
  <c r="S1119" i="5"/>
  <c r="J159" i="6"/>
  <c r="K159" i="6"/>
  <c r="O158" i="6"/>
  <c r="U158" i="6"/>
  <c r="V158" i="6"/>
  <c r="G416" i="6"/>
  <c r="P416" i="6"/>
  <c r="M519" i="5"/>
  <c r="Q518" i="5"/>
  <c r="W518" i="5"/>
  <c r="X518" i="5"/>
  <c r="P656" i="6"/>
  <c r="G656" i="6"/>
  <c r="J1119" i="6"/>
  <c r="K1119" i="6"/>
  <c r="O1118" i="6"/>
  <c r="U1118" i="6"/>
  <c r="V1118" i="6"/>
  <c r="J39" i="6"/>
  <c r="K39" i="6"/>
  <c r="O38" i="6"/>
  <c r="U38" i="6"/>
  <c r="V38" i="6"/>
  <c r="O518" i="6"/>
  <c r="U518" i="6"/>
  <c r="V518" i="6"/>
  <c r="J519" i="6"/>
  <c r="K519" i="6"/>
  <c r="O638" i="6"/>
  <c r="U638" i="6"/>
  <c r="V638" i="6"/>
  <c r="J639" i="6"/>
  <c r="K639" i="6"/>
  <c r="M759" i="5"/>
  <c r="Q758" i="5"/>
  <c r="W758" i="5"/>
  <c r="X758" i="5"/>
  <c r="S639" i="5"/>
  <c r="K639" i="5"/>
  <c r="O758" i="6"/>
  <c r="U758" i="6"/>
  <c r="V758" i="6"/>
  <c r="J759" i="6"/>
  <c r="K759" i="6"/>
  <c r="S39" i="5"/>
  <c r="K39" i="5"/>
  <c r="P776" i="6"/>
  <c r="G776" i="6"/>
  <c r="G296" i="6"/>
  <c r="P296" i="6"/>
  <c r="M879" i="5"/>
  <c r="Q878" i="5"/>
  <c r="W878" i="5"/>
  <c r="X878" i="5"/>
  <c r="Q1118" i="5"/>
  <c r="W1118" i="5"/>
  <c r="X1118" i="5"/>
  <c r="M1119" i="5"/>
  <c r="S759" i="5"/>
  <c r="K759" i="5"/>
  <c r="G536" i="6"/>
  <c r="P536" i="6"/>
  <c r="P896" i="6"/>
  <c r="G896" i="6"/>
  <c r="S159" i="5"/>
  <c r="K159" i="5"/>
  <c r="M639" i="5"/>
  <c r="Q638" i="5"/>
  <c r="W638" i="5"/>
  <c r="X638" i="5"/>
  <c r="P1136" i="6"/>
  <c r="G1136" i="6"/>
  <c r="G1016" i="6"/>
  <c r="P1016" i="6"/>
  <c r="S279" i="5"/>
  <c r="K279" i="5"/>
  <c r="Q998" i="5"/>
  <c r="W998" i="5"/>
  <c r="X998" i="5"/>
  <c r="M999" i="5"/>
  <c r="J999" i="6"/>
  <c r="K999" i="6"/>
  <c r="O998" i="6"/>
  <c r="U998" i="6"/>
  <c r="V998" i="6"/>
  <c r="S879" i="5"/>
  <c r="K879" i="5"/>
  <c r="J279" i="6"/>
  <c r="K279" i="6"/>
  <c r="O278" i="6"/>
  <c r="U278" i="6"/>
  <c r="V278" i="6"/>
  <c r="M159" i="5"/>
  <c r="Q158" i="5"/>
  <c r="W158" i="5"/>
  <c r="X158" i="5"/>
  <c r="K999" i="5"/>
  <c r="S999" i="5"/>
  <c r="S519" i="5"/>
  <c r="K519" i="5"/>
  <c r="M399" i="5"/>
  <c r="Q398" i="5"/>
  <c r="W398" i="5"/>
  <c r="X398" i="5"/>
  <c r="J399" i="6"/>
  <c r="K399" i="6"/>
  <c r="O398" i="6"/>
  <c r="U398" i="6"/>
  <c r="V398" i="6"/>
  <c r="J879" i="6"/>
  <c r="K879" i="6"/>
  <c r="O878" i="6"/>
  <c r="U878" i="6"/>
  <c r="V878" i="6"/>
  <c r="M39" i="5"/>
  <c r="Q38" i="5"/>
  <c r="W38" i="5"/>
  <c r="X38" i="5"/>
  <c r="G176" i="6"/>
  <c r="P176" i="6"/>
  <c r="G56" i="6"/>
  <c r="P56" i="6"/>
  <c r="K399" i="5"/>
  <c r="S399" i="5"/>
  <c r="Q278" i="5"/>
  <c r="W278" i="5"/>
  <c r="X278" i="5"/>
  <c r="M279" i="5"/>
  <c r="G1000" i="5"/>
  <c r="H1000" i="5"/>
  <c r="L999" i="5"/>
  <c r="N999" i="5"/>
  <c r="Q999" i="6"/>
  <c r="L999" i="6"/>
  <c r="M999" i="6"/>
  <c r="E777" i="6"/>
  <c r="F777" i="6"/>
  <c r="L639" i="5"/>
  <c r="N639" i="5"/>
  <c r="G640" i="5"/>
  <c r="H640" i="5"/>
  <c r="G400" i="5"/>
  <c r="H400" i="5"/>
  <c r="L399" i="5"/>
  <c r="N399" i="5"/>
  <c r="E417" i="6"/>
  <c r="F417" i="6"/>
  <c r="E57" i="6"/>
  <c r="F57" i="6"/>
  <c r="Q399" i="6"/>
  <c r="L399" i="6"/>
  <c r="M399" i="6"/>
  <c r="L1119" i="6"/>
  <c r="M1119" i="6"/>
  <c r="Q1119" i="6"/>
  <c r="E897" i="6"/>
  <c r="F897" i="6"/>
  <c r="Q879" i="6"/>
  <c r="L879" i="6"/>
  <c r="M879" i="6"/>
  <c r="Q39" i="6"/>
  <c r="L39" i="6"/>
  <c r="M39" i="6"/>
  <c r="G40" i="5"/>
  <c r="H40" i="5"/>
  <c r="L39" i="5"/>
  <c r="N39" i="5"/>
  <c r="L639" i="6"/>
  <c r="M639" i="6"/>
  <c r="Q639" i="6"/>
  <c r="E657" i="6"/>
  <c r="F657" i="6"/>
  <c r="E1137" i="6"/>
  <c r="F1137" i="6"/>
  <c r="G280" i="5"/>
  <c r="H280" i="5"/>
  <c r="L279" i="5"/>
  <c r="N279" i="5"/>
  <c r="E537" i="6"/>
  <c r="F537" i="6"/>
  <c r="L159" i="6"/>
  <c r="M159" i="6"/>
  <c r="Q159" i="6"/>
  <c r="E177" i="6"/>
  <c r="F177" i="6"/>
  <c r="G160" i="5"/>
  <c r="H160" i="5"/>
  <c r="L159" i="5"/>
  <c r="N159" i="5"/>
  <c r="L759" i="5"/>
  <c r="N759" i="5"/>
  <c r="G760" i="5"/>
  <c r="H760" i="5"/>
  <c r="Q759" i="6"/>
  <c r="L759" i="6"/>
  <c r="M759" i="6"/>
  <c r="Q519" i="6"/>
  <c r="L519" i="6"/>
  <c r="M519" i="6"/>
  <c r="E1017" i="6"/>
  <c r="F1017" i="6"/>
  <c r="E297" i="6"/>
  <c r="F297" i="6"/>
  <c r="L279" i="6"/>
  <c r="M279" i="6"/>
  <c r="Q279" i="6"/>
  <c r="G520" i="5"/>
  <c r="H520" i="5"/>
  <c r="L519" i="5"/>
  <c r="N519" i="5"/>
  <c r="L879" i="5"/>
  <c r="N879" i="5"/>
  <c r="G880" i="5"/>
  <c r="H880" i="5"/>
  <c r="G1120" i="5"/>
  <c r="H1120" i="5"/>
  <c r="L1119" i="5"/>
  <c r="N1119" i="5"/>
  <c r="N879" i="6"/>
  <c r="R879" i="6"/>
  <c r="I640" i="5"/>
  <c r="J640" i="5"/>
  <c r="R640" i="5"/>
  <c r="I1000" i="5"/>
  <c r="J1000" i="5"/>
  <c r="R1000" i="5"/>
  <c r="R520" i="5"/>
  <c r="I520" i="5"/>
  <c r="J520" i="5"/>
  <c r="G177" i="6"/>
  <c r="P177" i="6"/>
  <c r="I280" i="5"/>
  <c r="J280" i="5"/>
  <c r="R280" i="5"/>
  <c r="S639" i="6"/>
  <c r="S879" i="6"/>
  <c r="T639" i="5"/>
  <c r="U639" i="5"/>
  <c r="P639" i="5"/>
  <c r="N639" i="6"/>
  <c r="R639" i="6"/>
  <c r="G897" i="6"/>
  <c r="P897" i="6"/>
  <c r="G57" i="6"/>
  <c r="P57" i="6"/>
  <c r="P519" i="5"/>
  <c r="T519" i="5"/>
  <c r="U519" i="5"/>
  <c r="N759" i="6"/>
  <c r="R759" i="6"/>
  <c r="S759" i="6"/>
  <c r="T1119" i="5"/>
  <c r="U1119" i="5"/>
  <c r="P1119" i="5"/>
  <c r="R279" i="6"/>
  <c r="S279" i="6"/>
  <c r="N279" i="6"/>
  <c r="S159" i="6"/>
  <c r="P39" i="5"/>
  <c r="T39" i="5"/>
  <c r="U39" i="5"/>
  <c r="P777" i="6"/>
  <c r="G777" i="6"/>
  <c r="T279" i="5"/>
  <c r="U279" i="5"/>
  <c r="P279" i="5"/>
  <c r="R159" i="6"/>
  <c r="N159" i="6"/>
  <c r="P1137" i="6"/>
  <c r="G1137" i="6"/>
  <c r="R40" i="5"/>
  <c r="I40" i="5"/>
  <c r="J40" i="5"/>
  <c r="S1119" i="6"/>
  <c r="P417" i="6"/>
  <c r="G417" i="6"/>
  <c r="N1119" i="6"/>
  <c r="R1119" i="6"/>
  <c r="R999" i="6"/>
  <c r="N999" i="6"/>
  <c r="R519" i="6"/>
  <c r="S519" i="6"/>
  <c r="N519" i="6"/>
  <c r="R760" i="5"/>
  <c r="I760" i="5"/>
  <c r="J760" i="5"/>
  <c r="P297" i="6"/>
  <c r="G297" i="6"/>
  <c r="I880" i="5"/>
  <c r="J880" i="5"/>
  <c r="R880" i="5"/>
  <c r="P159" i="5"/>
  <c r="T159" i="5"/>
  <c r="U159" i="5"/>
  <c r="R39" i="6"/>
  <c r="N39" i="6"/>
  <c r="P399" i="5"/>
  <c r="T399" i="5"/>
  <c r="U399" i="5"/>
  <c r="S999" i="6"/>
  <c r="P657" i="6"/>
  <c r="G657" i="6"/>
  <c r="I1120" i="5"/>
  <c r="J1120" i="5"/>
  <c r="R1120" i="5"/>
  <c r="T759" i="5"/>
  <c r="U759" i="5"/>
  <c r="P759" i="5"/>
  <c r="T879" i="5"/>
  <c r="U879" i="5"/>
  <c r="P879" i="5"/>
  <c r="P1017" i="6"/>
  <c r="G1017" i="6"/>
  <c r="R160" i="5"/>
  <c r="I160" i="5"/>
  <c r="J160" i="5"/>
  <c r="P537" i="6"/>
  <c r="G537" i="6"/>
  <c r="S39" i="6"/>
  <c r="R399" i="6"/>
  <c r="S399" i="6"/>
  <c r="N399" i="6"/>
  <c r="I400" i="5"/>
  <c r="J400" i="5"/>
  <c r="R400" i="5"/>
  <c r="P999" i="5"/>
  <c r="T999" i="5"/>
  <c r="U999" i="5"/>
  <c r="J520" i="6"/>
  <c r="K520" i="6"/>
  <c r="O519" i="6"/>
  <c r="U519" i="6"/>
  <c r="V519" i="6"/>
  <c r="S1120" i="5"/>
  <c r="K1120" i="5"/>
  <c r="Q279" i="5"/>
  <c r="W279" i="5"/>
  <c r="X279" i="5"/>
  <c r="M280" i="5"/>
  <c r="O279" i="6"/>
  <c r="U279" i="6"/>
  <c r="V279" i="6"/>
  <c r="J280" i="6"/>
  <c r="K280" i="6"/>
  <c r="S520" i="5"/>
  <c r="K520" i="5"/>
  <c r="E778" i="6"/>
  <c r="F778" i="6"/>
  <c r="Q1119" i="5"/>
  <c r="W1119" i="5"/>
  <c r="X1119" i="5"/>
  <c r="M1120" i="5"/>
  <c r="M160" i="5"/>
  <c r="Q159" i="5"/>
  <c r="W159" i="5"/>
  <c r="X159" i="5"/>
  <c r="S880" i="5"/>
  <c r="K880" i="5"/>
  <c r="J1000" i="6"/>
  <c r="K1000" i="6"/>
  <c r="O999" i="6"/>
  <c r="U999" i="6"/>
  <c r="V999" i="6"/>
  <c r="E898" i="6"/>
  <c r="F898" i="6"/>
  <c r="K1000" i="5"/>
  <c r="S1000" i="5"/>
  <c r="E1018" i="6"/>
  <c r="F1018" i="6"/>
  <c r="J400" i="6"/>
  <c r="K400" i="6"/>
  <c r="O399" i="6"/>
  <c r="U399" i="6"/>
  <c r="V399" i="6"/>
  <c r="E298" i="6"/>
  <c r="F298" i="6"/>
  <c r="E1138" i="6"/>
  <c r="F1138" i="6"/>
  <c r="S280" i="5"/>
  <c r="K280" i="5"/>
  <c r="K400" i="5"/>
  <c r="S400" i="5"/>
  <c r="E58" i="6"/>
  <c r="F58" i="6"/>
  <c r="M880" i="5"/>
  <c r="Q879" i="5"/>
  <c r="W879" i="5"/>
  <c r="X879" i="5"/>
  <c r="E538" i="6"/>
  <c r="F538" i="6"/>
  <c r="M400" i="5"/>
  <c r="Q399" i="5"/>
  <c r="W399" i="5"/>
  <c r="X399" i="5"/>
  <c r="M40" i="5"/>
  <c r="Q39" i="5"/>
  <c r="W39" i="5"/>
  <c r="X39" i="5"/>
  <c r="J760" i="6"/>
  <c r="K760" i="6"/>
  <c r="O759" i="6"/>
  <c r="U759" i="6"/>
  <c r="V759" i="6"/>
  <c r="J640" i="6"/>
  <c r="K640" i="6"/>
  <c r="O639" i="6"/>
  <c r="U639" i="6"/>
  <c r="V639" i="6"/>
  <c r="K640" i="5"/>
  <c r="S640" i="5"/>
  <c r="S40" i="5"/>
  <c r="K40" i="5"/>
  <c r="K760" i="5"/>
  <c r="S760" i="5"/>
  <c r="O1119" i="6"/>
  <c r="U1119" i="6"/>
  <c r="V1119" i="6"/>
  <c r="J1120" i="6"/>
  <c r="K1120" i="6"/>
  <c r="J160" i="6"/>
  <c r="K160" i="6"/>
  <c r="O159" i="6"/>
  <c r="U159" i="6"/>
  <c r="V159" i="6"/>
  <c r="E178" i="6"/>
  <c r="F178" i="6"/>
  <c r="E658" i="6"/>
  <c r="F658" i="6"/>
  <c r="M760" i="5"/>
  <c r="Q759" i="5"/>
  <c r="W759" i="5"/>
  <c r="X759" i="5"/>
  <c r="J40" i="6"/>
  <c r="K40" i="6"/>
  <c r="O39" i="6"/>
  <c r="U39" i="6"/>
  <c r="V39" i="6"/>
  <c r="Q999" i="5"/>
  <c r="W999" i="5"/>
  <c r="X999" i="5"/>
  <c r="M1000" i="5"/>
  <c r="S160" i="5"/>
  <c r="K160" i="5"/>
  <c r="E418" i="6"/>
  <c r="F418" i="6"/>
  <c r="M520" i="5"/>
  <c r="Q519" i="5"/>
  <c r="W519" i="5"/>
  <c r="X519" i="5"/>
  <c r="M640" i="5"/>
  <c r="Q639" i="5"/>
  <c r="W639" i="5"/>
  <c r="X639" i="5"/>
  <c r="J880" i="6"/>
  <c r="K880" i="6"/>
  <c r="O879" i="6"/>
  <c r="U879" i="6"/>
  <c r="V879" i="6"/>
  <c r="G658" i="6"/>
  <c r="P658" i="6"/>
  <c r="Q640" i="6"/>
  <c r="L640" i="6"/>
  <c r="M640" i="6"/>
  <c r="P298" i="6"/>
  <c r="G298" i="6"/>
  <c r="G778" i="6"/>
  <c r="P778" i="6"/>
  <c r="G41" i="5"/>
  <c r="H41" i="5"/>
  <c r="L40" i="5"/>
  <c r="N40" i="5"/>
  <c r="Q760" i="6"/>
  <c r="L760" i="6"/>
  <c r="M760" i="6"/>
  <c r="G538" i="6"/>
  <c r="P538" i="6"/>
  <c r="L400" i="6"/>
  <c r="M400" i="6"/>
  <c r="Q400" i="6"/>
  <c r="G521" i="5"/>
  <c r="H521" i="5"/>
  <c r="L520" i="5"/>
  <c r="N520" i="5"/>
  <c r="G1121" i="5"/>
  <c r="H1121" i="5"/>
  <c r="L1120" i="5"/>
  <c r="N1120" i="5"/>
  <c r="L40" i="6"/>
  <c r="M40" i="6"/>
  <c r="Q40" i="6"/>
  <c r="P178" i="6"/>
  <c r="G178" i="6"/>
  <c r="L280" i="5"/>
  <c r="N280" i="5"/>
  <c r="G281" i="5"/>
  <c r="H281" i="5"/>
  <c r="L760" i="5"/>
  <c r="N760" i="5"/>
  <c r="G761" i="5"/>
  <c r="H761" i="5"/>
  <c r="P1018" i="6"/>
  <c r="G1018" i="6"/>
  <c r="P898" i="6"/>
  <c r="G898" i="6"/>
  <c r="Q880" i="6"/>
  <c r="L880" i="6"/>
  <c r="M880" i="6"/>
  <c r="L160" i="6"/>
  <c r="M160" i="6"/>
  <c r="Q160" i="6"/>
  <c r="L640" i="5"/>
  <c r="N640" i="5"/>
  <c r="G641" i="5"/>
  <c r="H641" i="5"/>
  <c r="L1000" i="6"/>
  <c r="M1000" i="6"/>
  <c r="Q1000" i="6"/>
  <c r="L280" i="6"/>
  <c r="M280" i="6"/>
  <c r="Q280" i="6"/>
  <c r="G401" i="5"/>
  <c r="H401" i="5"/>
  <c r="L400" i="5"/>
  <c r="N400" i="5"/>
  <c r="P418" i="6"/>
  <c r="G418" i="6"/>
  <c r="G161" i="5"/>
  <c r="H161" i="5"/>
  <c r="L160" i="5"/>
  <c r="N160" i="5"/>
  <c r="L1120" i="6"/>
  <c r="M1120" i="6"/>
  <c r="Q1120" i="6"/>
  <c r="P1138" i="6"/>
  <c r="G1138" i="6"/>
  <c r="G1001" i="5"/>
  <c r="H1001" i="5"/>
  <c r="L1000" i="5"/>
  <c r="N1000" i="5"/>
  <c r="L880" i="5"/>
  <c r="N880" i="5"/>
  <c r="G881" i="5"/>
  <c r="H881" i="5"/>
  <c r="P58" i="6"/>
  <c r="G58" i="6"/>
  <c r="Q520" i="6"/>
  <c r="L520" i="6"/>
  <c r="M520" i="6"/>
  <c r="N1120" i="6"/>
  <c r="R1120" i="6"/>
  <c r="I41" i="5"/>
  <c r="J41" i="5"/>
  <c r="R41" i="5"/>
  <c r="E659" i="6"/>
  <c r="F659" i="6"/>
  <c r="R881" i="5"/>
  <c r="I881" i="5"/>
  <c r="J881" i="5"/>
  <c r="P160" i="5"/>
  <c r="T160" i="5"/>
  <c r="U160" i="5"/>
  <c r="E899" i="6"/>
  <c r="F899" i="6"/>
  <c r="E179" i="6"/>
  <c r="F179" i="6"/>
  <c r="S400" i="6"/>
  <c r="R161" i="5"/>
  <c r="I161" i="5"/>
  <c r="J161" i="5"/>
  <c r="R400" i="6"/>
  <c r="N400" i="6"/>
  <c r="E779" i="6"/>
  <c r="F779" i="6"/>
  <c r="E1019" i="6"/>
  <c r="F1019" i="6"/>
  <c r="R1000" i="6"/>
  <c r="S1000" i="6"/>
  <c r="N1000" i="6"/>
  <c r="E419" i="6"/>
  <c r="F419" i="6"/>
  <c r="R40" i="6"/>
  <c r="N40" i="6"/>
  <c r="E539" i="6"/>
  <c r="F539" i="6"/>
  <c r="N280" i="6"/>
  <c r="R280" i="6"/>
  <c r="S280" i="6"/>
  <c r="T880" i="5"/>
  <c r="U880" i="5"/>
  <c r="P880" i="5"/>
  <c r="R641" i="5"/>
  <c r="I641" i="5"/>
  <c r="J641" i="5"/>
  <c r="E299" i="6"/>
  <c r="F299" i="6"/>
  <c r="T640" i="5"/>
  <c r="U640" i="5"/>
  <c r="P640" i="5"/>
  <c r="R520" i="6"/>
  <c r="S520" i="6"/>
  <c r="N520" i="6"/>
  <c r="E1139" i="6"/>
  <c r="F1139" i="6"/>
  <c r="P400" i="5"/>
  <c r="T400" i="5"/>
  <c r="U400" i="5"/>
  <c r="S160" i="6"/>
  <c r="R761" i="5"/>
  <c r="I761" i="5"/>
  <c r="J761" i="5"/>
  <c r="P1120" i="5"/>
  <c r="T1120" i="5"/>
  <c r="U1120" i="5"/>
  <c r="R760" i="6"/>
  <c r="N760" i="6"/>
  <c r="N640" i="6"/>
  <c r="R640" i="6"/>
  <c r="S640" i="6"/>
  <c r="P280" i="5"/>
  <c r="T280" i="5"/>
  <c r="U280" i="5"/>
  <c r="P1000" i="5"/>
  <c r="T1000" i="5"/>
  <c r="U1000" i="5"/>
  <c r="R160" i="6"/>
  <c r="N160" i="6"/>
  <c r="T760" i="5"/>
  <c r="U760" i="5"/>
  <c r="P760" i="5"/>
  <c r="I1121" i="5"/>
  <c r="J1121" i="5"/>
  <c r="R1121" i="5"/>
  <c r="S760" i="6"/>
  <c r="I521" i="5"/>
  <c r="J521" i="5"/>
  <c r="R521" i="5"/>
  <c r="S40" i="6"/>
  <c r="I1001" i="5"/>
  <c r="J1001" i="5"/>
  <c r="R1001" i="5"/>
  <c r="I401" i="5"/>
  <c r="J401" i="5"/>
  <c r="R401" i="5"/>
  <c r="E59" i="6"/>
  <c r="F59" i="6"/>
  <c r="S1120" i="6"/>
  <c r="R880" i="6"/>
  <c r="S880" i="6"/>
  <c r="N880" i="6"/>
  <c r="I281" i="5"/>
  <c r="J281" i="5"/>
  <c r="R281" i="5"/>
  <c r="P520" i="5"/>
  <c r="T520" i="5"/>
  <c r="U520" i="5"/>
  <c r="P40" i="5"/>
  <c r="T40" i="5"/>
  <c r="U40" i="5"/>
  <c r="S881" i="5"/>
  <c r="K881" i="5"/>
  <c r="S761" i="5"/>
  <c r="K761" i="5"/>
  <c r="M641" i="5"/>
  <c r="Q640" i="5"/>
  <c r="W640" i="5"/>
  <c r="X640" i="5"/>
  <c r="O160" i="6"/>
  <c r="U160" i="6"/>
  <c r="V160" i="6"/>
  <c r="J161" i="6"/>
  <c r="K161" i="6"/>
  <c r="O280" i="6"/>
  <c r="U280" i="6"/>
  <c r="V280" i="6"/>
  <c r="J281" i="6"/>
  <c r="K281" i="6"/>
  <c r="P419" i="6"/>
  <c r="G419" i="6"/>
  <c r="O400" i="6"/>
  <c r="U400" i="6"/>
  <c r="V400" i="6"/>
  <c r="J401" i="6"/>
  <c r="K401" i="6"/>
  <c r="P179" i="6"/>
  <c r="G179" i="6"/>
  <c r="M521" i="5"/>
  <c r="Q520" i="5"/>
  <c r="W520" i="5"/>
  <c r="X520" i="5"/>
  <c r="Q280" i="5"/>
  <c r="W280" i="5"/>
  <c r="X280" i="5"/>
  <c r="M281" i="5"/>
  <c r="S281" i="5"/>
  <c r="K281" i="5"/>
  <c r="S521" i="5"/>
  <c r="K521" i="5"/>
  <c r="J641" i="6"/>
  <c r="K641" i="6"/>
  <c r="O640" i="6"/>
  <c r="U640" i="6"/>
  <c r="V640" i="6"/>
  <c r="G299" i="6"/>
  <c r="P299" i="6"/>
  <c r="O1000" i="6"/>
  <c r="U1000" i="6"/>
  <c r="V1000" i="6"/>
  <c r="J1001" i="6"/>
  <c r="K1001" i="6"/>
  <c r="P659" i="6"/>
  <c r="G659" i="6"/>
  <c r="K401" i="5"/>
  <c r="S401" i="5"/>
  <c r="J761" i="6"/>
  <c r="K761" i="6"/>
  <c r="O760" i="6"/>
  <c r="U760" i="6"/>
  <c r="V760" i="6"/>
  <c r="M401" i="5"/>
  <c r="Q400" i="5"/>
  <c r="W400" i="5"/>
  <c r="X400" i="5"/>
  <c r="P899" i="6"/>
  <c r="G899" i="6"/>
  <c r="M761" i="5"/>
  <c r="Q760" i="5"/>
  <c r="W760" i="5"/>
  <c r="X760" i="5"/>
  <c r="K641" i="5"/>
  <c r="S641" i="5"/>
  <c r="P539" i="6"/>
  <c r="G539" i="6"/>
  <c r="S161" i="5"/>
  <c r="K161" i="5"/>
  <c r="S41" i="5"/>
  <c r="K41" i="5"/>
  <c r="P779" i="6"/>
  <c r="G779" i="6"/>
  <c r="Q1000" i="5"/>
  <c r="W1000" i="5"/>
  <c r="X1000" i="5"/>
  <c r="M1001" i="5"/>
  <c r="G1139" i="6"/>
  <c r="P1139" i="6"/>
  <c r="O40" i="6"/>
  <c r="U40" i="6"/>
  <c r="V40" i="6"/>
  <c r="J41" i="6"/>
  <c r="K41" i="6"/>
  <c r="P1019" i="6"/>
  <c r="G1019" i="6"/>
  <c r="P59" i="6"/>
  <c r="G59" i="6"/>
  <c r="J881" i="6"/>
  <c r="K881" i="6"/>
  <c r="O880" i="6"/>
  <c r="U880" i="6"/>
  <c r="V880" i="6"/>
  <c r="M41" i="5"/>
  <c r="Q40" i="5"/>
  <c r="W40" i="5"/>
  <c r="X40" i="5"/>
  <c r="S1001" i="5"/>
  <c r="K1001" i="5"/>
  <c r="K1121" i="5"/>
  <c r="S1121" i="5"/>
  <c r="Q1120" i="5"/>
  <c r="W1120" i="5"/>
  <c r="X1120" i="5"/>
  <c r="M1121" i="5"/>
  <c r="O520" i="6"/>
  <c r="U520" i="6"/>
  <c r="V520" i="6"/>
  <c r="J521" i="6"/>
  <c r="K521" i="6"/>
  <c r="M881" i="5"/>
  <c r="Q880" i="5"/>
  <c r="W880" i="5"/>
  <c r="X880" i="5"/>
  <c r="M161" i="5"/>
  <c r="Q160" i="5"/>
  <c r="W160" i="5"/>
  <c r="X160" i="5"/>
  <c r="J1121" i="6"/>
  <c r="K1121" i="6"/>
  <c r="O1120" i="6"/>
  <c r="U1120" i="6"/>
  <c r="V1120" i="6"/>
  <c r="G42" i="5"/>
  <c r="H42" i="5"/>
  <c r="L41" i="5"/>
  <c r="N41" i="5"/>
  <c r="L761" i="6"/>
  <c r="M761" i="6"/>
  <c r="Q761" i="6"/>
  <c r="E300" i="6"/>
  <c r="F300" i="6"/>
  <c r="Q281" i="6"/>
  <c r="L281" i="6"/>
  <c r="M281" i="6"/>
  <c r="G1002" i="5"/>
  <c r="H1002" i="5"/>
  <c r="L1001" i="5"/>
  <c r="N1001" i="5"/>
  <c r="E1140" i="6"/>
  <c r="F1140" i="6"/>
  <c r="Q521" i="6"/>
  <c r="L521" i="6"/>
  <c r="M521" i="6"/>
  <c r="E540" i="6"/>
  <c r="F540" i="6"/>
  <c r="G402" i="5"/>
  <c r="H402" i="5"/>
  <c r="L401" i="5"/>
  <c r="N401" i="5"/>
  <c r="Q641" i="6"/>
  <c r="L641" i="6"/>
  <c r="M641" i="6"/>
  <c r="L761" i="5"/>
  <c r="N761" i="5"/>
  <c r="G762" i="5"/>
  <c r="H762" i="5"/>
  <c r="L1121" i="5"/>
  <c r="N1121" i="5"/>
  <c r="G1122" i="5"/>
  <c r="H1122" i="5"/>
  <c r="E1020" i="6"/>
  <c r="F1020" i="6"/>
  <c r="E900" i="6"/>
  <c r="F900" i="6"/>
  <c r="E660" i="6"/>
  <c r="F660" i="6"/>
  <c r="G522" i="5"/>
  <c r="H522" i="5"/>
  <c r="L521" i="5"/>
  <c r="N521" i="5"/>
  <c r="E180" i="6"/>
  <c r="F180" i="6"/>
  <c r="L161" i="6"/>
  <c r="M161" i="6"/>
  <c r="Q161" i="6"/>
  <c r="E420" i="6"/>
  <c r="F420" i="6"/>
  <c r="E60" i="6"/>
  <c r="F60" i="6"/>
  <c r="G162" i="5"/>
  <c r="H162" i="5"/>
  <c r="L161" i="5"/>
  <c r="N161" i="5"/>
  <c r="E780" i="6"/>
  <c r="F780" i="6"/>
  <c r="L881" i="5"/>
  <c r="N881" i="5"/>
  <c r="G882" i="5"/>
  <c r="H882" i="5"/>
  <c r="L881" i="6"/>
  <c r="M881" i="6"/>
  <c r="Q881" i="6"/>
  <c r="Q1121" i="6"/>
  <c r="L1121" i="6"/>
  <c r="M1121" i="6"/>
  <c r="L41" i="6"/>
  <c r="M41" i="6"/>
  <c r="Q41" i="6"/>
  <c r="L641" i="5"/>
  <c r="N641" i="5"/>
  <c r="G642" i="5"/>
  <c r="H642" i="5"/>
  <c r="Q1001" i="6"/>
  <c r="L1001" i="6"/>
  <c r="M1001" i="6"/>
  <c r="L281" i="5"/>
  <c r="N281" i="5"/>
  <c r="G282" i="5"/>
  <c r="H282" i="5"/>
  <c r="L401" i="6"/>
  <c r="M401" i="6"/>
  <c r="Q401" i="6"/>
  <c r="N1001" i="6"/>
  <c r="R1001" i="6"/>
  <c r="P660" i="6"/>
  <c r="G660" i="6"/>
  <c r="P1121" i="5"/>
  <c r="T1121" i="5"/>
  <c r="U1121" i="5"/>
  <c r="N281" i="6"/>
  <c r="R281" i="6"/>
  <c r="P41" i="5"/>
  <c r="T41" i="5"/>
  <c r="U41" i="5"/>
  <c r="S1001" i="6"/>
  <c r="R762" i="5"/>
  <c r="I762" i="5"/>
  <c r="J762" i="5"/>
  <c r="I42" i="5"/>
  <c r="J42" i="5"/>
  <c r="R42" i="5"/>
  <c r="I642" i="5"/>
  <c r="J642" i="5"/>
  <c r="R642" i="5"/>
  <c r="R881" i="6"/>
  <c r="S881" i="6"/>
  <c r="N881" i="6"/>
  <c r="N161" i="6"/>
  <c r="R161" i="6"/>
  <c r="T761" i="5"/>
  <c r="U761" i="5"/>
  <c r="P761" i="5"/>
  <c r="R882" i="5"/>
  <c r="I882" i="5"/>
  <c r="J882" i="5"/>
  <c r="R641" i="6"/>
  <c r="N641" i="6"/>
  <c r="P780" i="6"/>
  <c r="G780" i="6"/>
  <c r="S281" i="6"/>
  <c r="G180" i="6"/>
  <c r="P180" i="6"/>
  <c r="S641" i="6"/>
  <c r="P1140" i="6"/>
  <c r="G1140" i="6"/>
  <c r="S161" i="6"/>
  <c r="T641" i="5"/>
  <c r="U641" i="5"/>
  <c r="P641" i="5"/>
  <c r="I162" i="5"/>
  <c r="J162" i="5"/>
  <c r="R162" i="5"/>
  <c r="S41" i="6"/>
  <c r="P521" i="5"/>
  <c r="T521" i="5"/>
  <c r="U521" i="5"/>
  <c r="G1020" i="6"/>
  <c r="P1020" i="6"/>
  <c r="T401" i="5"/>
  <c r="U401" i="5"/>
  <c r="P401" i="5"/>
  <c r="G300" i="6"/>
  <c r="P300" i="6"/>
  <c r="P900" i="6"/>
  <c r="G900" i="6"/>
  <c r="P161" i="5"/>
  <c r="T161" i="5"/>
  <c r="U161" i="5"/>
  <c r="N41" i="6"/>
  <c r="R41" i="6"/>
  <c r="G60" i="6"/>
  <c r="P60" i="6"/>
  <c r="I522" i="5"/>
  <c r="J522" i="5"/>
  <c r="R522" i="5"/>
  <c r="I402" i="5"/>
  <c r="J402" i="5"/>
  <c r="R402" i="5"/>
  <c r="P1001" i="5"/>
  <c r="T1001" i="5"/>
  <c r="U1001" i="5"/>
  <c r="S761" i="6"/>
  <c r="R521" i="6"/>
  <c r="S521" i="6"/>
  <c r="N521" i="6"/>
  <c r="S401" i="6"/>
  <c r="T881" i="5"/>
  <c r="U881" i="5"/>
  <c r="P881" i="5"/>
  <c r="N401" i="6"/>
  <c r="R401" i="6"/>
  <c r="I282" i="5"/>
  <c r="J282" i="5"/>
  <c r="R282" i="5"/>
  <c r="T281" i="5"/>
  <c r="U281" i="5"/>
  <c r="P281" i="5"/>
  <c r="R1121" i="6"/>
  <c r="S1121" i="6"/>
  <c r="N1121" i="6"/>
  <c r="G420" i="6"/>
  <c r="P420" i="6"/>
  <c r="I1122" i="5"/>
  <c r="J1122" i="5"/>
  <c r="R1122" i="5"/>
  <c r="G540" i="6"/>
  <c r="P540" i="6"/>
  <c r="I1002" i="5"/>
  <c r="J1002" i="5"/>
  <c r="R1002" i="5"/>
  <c r="R761" i="6"/>
  <c r="N761" i="6"/>
  <c r="S402" i="5"/>
  <c r="K402" i="5"/>
  <c r="J1122" i="6"/>
  <c r="K1122" i="6"/>
  <c r="O1121" i="6"/>
  <c r="U1121" i="6"/>
  <c r="V1121" i="6"/>
  <c r="M882" i="5"/>
  <c r="Q881" i="5"/>
  <c r="W881" i="5"/>
  <c r="X881" i="5"/>
  <c r="E781" i="6"/>
  <c r="F781" i="6"/>
  <c r="M762" i="5"/>
  <c r="Q761" i="5"/>
  <c r="W761" i="5"/>
  <c r="X761" i="5"/>
  <c r="J282" i="6"/>
  <c r="K282" i="6"/>
  <c r="O281" i="6"/>
  <c r="U281" i="6"/>
  <c r="V281" i="6"/>
  <c r="M162" i="5"/>
  <c r="Q161" i="5"/>
  <c r="W161" i="5"/>
  <c r="X161" i="5"/>
  <c r="Q281" i="5"/>
  <c r="W281" i="5"/>
  <c r="X281" i="5"/>
  <c r="M282" i="5"/>
  <c r="E901" i="6"/>
  <c r="F901" i="6"/>
  <c r="E1141" i="6"/>
  <c r="F1141" i="6"/>
  <c r="J642" i="6"/>
  <c r="K642" i="6"/>
  <c r="O641" i="6"/>
  <c r="U641" i="6"/>
  <c r="V641" i="6"/>
  <c r="K762" i="5"/>
  <c r="S762" i="5"/>
  <c r="Q1121" i="5"/>
  <c r="W1121" i="5"/>
  <c r="X1121" i="5"/>
  <c r="M1122" i="5"/>
  <c r="E1021" i="6"/>
  <c r="F1021" i="6"/>
  <c r="O521" i="6"/>
  <c r="U521" i="6"/>
  <c r="V521" i="6"/>
  <c r="J522" i="6"/>
  <c r="K522" i="6"/>
  <c r="S522" i="5"/>
  <c r="K522" i="5"/>
  <c r="M522" i="5"/>
  <c r="Q521" i="5"/>
  <c r="W521" i="5"/>
  <c r="X521" i="5"/>
  <c r="O161" i="6"/>
  <c r="U161" i="6"/>
  <c r="V161" i="6"/>
  <c r="J162" i="6"/>
  <c r="K162" i="6"/>
  <c r="E661" i="6"/>
  <c r="F661" i="6"/>
  <c r="S882" i="5"/>
  <c r="K882" i="5"/>
  <c r="O881" i="6"/>
  <c r="U881" i="6"/>
  <c r="V881" i="6"/>
  <c r="J882" i="6"/>
  <c r="K882" i="6"/>
  <c r="S42" i="5"/>
  <c r="K42" i="5"/>
  <c r="E541" i="6"/>
  <c r="F541" i="6"/>
  <c r="E301" i="6"/>
  <c r="F301" i="6"/>
  <c r="K1122" i="5"/>
  <c r="S1122" i="5"/>
  <c r="S162" i="5"/>
  <c r="K162" i="5"/>
  <c r="E181" i="6"/>
  <c r="F181" i="6"/>
  <c r="M42" i="5"/>
  <c r="Q41" i="5"/>
  <c r="W41" i="5"/>
  <c r="X41" i="5"/>
  <c r="K1002" i="5"/>
  <c r="S1002" i="5"/>
  <c r="S282" i="5"/>
  <c r="K282" i="5"/>
  <c r="E61" i="6"/>
  <c r="F61" i="6"/>
  <c r="J762" i="6"/>
  <c r="K762" i="6"/>
  <c r="O761" i="6"/>
  <c r="U761" i="6"/>
  <c r="V761" i="6"/>
  <c r="M402" i="5"/>
  <c r="Q401" i="5"/>
  <c r="W401" i="5"/>
  <c r="X401" i="5"/>
  <c r="E421" i="6"/>
  <c r="F421" i="6"/>
  <c r="O401" i="6"/>
  <c r="U401" i="6"/>
  <c r="V401" i="6"/>
  <c r="J402" i="6"/>
  <c r="K402" i="6"/>
  <c r="Q1001" i="5"/>
  <c r="W1001" i="5"/>
  <c r="X1001" i="5"/>
  <c r="M1002" i="5"/>
  <c r="O41" i="6"/>
  <c r="U41" i="6"/>
  <c r="V41" i="6"/>
  <c r="J42" i="6"/>
  <c r="K42" i="6"/>
  <c r="M642" i="5"/>
  <c r="Q641" i="5"/>
  <c r="W641" i="5"/>
  <c r="X641" i="5"/>
  <c r="K642" i="5"/>
  <c r="S642" i="5"/>
  <c r="J1002" i="6"/>
  <c r="K1002" i="6"/>
  <c r="O1001" i="6"/>
  <c r="U1001" i="6"/>
  <c r="V1001" i="6"/>
  <c r="G901" i="6"/>
  <c r="P901" i="6"/>
  <c r="G61" i="6"/>
  <c r="P61" i="6"/>
  <c r="L282" i="5"/>
  <c r="N282" i="5"/>
  <c r="G283" i="5"/>
  <c r="H283" i="5"/>
  <c r="P661" i="6"/>
  <c r="G661" i="6"/>
  <c r="G523" i="5"/>
  <c r="H523" i="5"/>
  <c r="L522" i="5"/>
  <c r="N522" i="5"/>
  <c r="L642" i="5"/>
  <c r="N642" i="5"/>
  <c r="G643" i="5"/>
  <c r="H643" i="5"/>
  <c r="G43" i="5"/>
  <c r="H43" i="5"/>
  <c r="L42" i="5"/>
  <c r="N42" i="5"/>
  <c r="G421" i="6"/>
  <c r="P421" i="6"/>
  <c r="Q42" i="6"/>
  <c r="L42" i="6"/>
  <c r="M42" i="6"/>
  <c r="G181" i="6"/>
  <c r="P181" i="6"/>
  <c r="L882" i="6"/>
  <c r="M882" i="6"/>
  <c r="Q882" i="6"/>
  <c r="L762" i="5"/>
  <c r="N762" i="5"/>
  <c r="G763" i="5"/>
  <c r="H763" i="5"/>
  <c r="L1122" i="6"/>
  <c r="M1122" i="6"/>
  <c r="Q1122" i="6"/>
  <c r="Q162" i="6"/>
  <c r="L162" i="6"/>
  <c r="M162" i="6"/>
  <c r="Q522" i="6"/>
  <c r="L522" i="6"/>
  <c r="M522" i="6"/>
  <c r="L882" i="5"/>
  <c r="N882" i="5"/>
  <c r="G883" i="5"/>
  <c r="H883" i="5"/>
  <c r="L642" i="6"/>
  <c r="M642" i="6"/>
  <c r="Q642" i="6"/>
  <c r="P781" i="6"/>
  <c r="G781" i="6"/>
  <c r="G163" i="5"/>
  <c r="H163" i="5"/>
  <c r="L162" i="5"/>
  <c r="N162" i="5"/>
  <c r="Q1002" i="6"/>
  <c r="L1002" i="6"/>
  <c r="M1002" i="6"/>
  <c r="G1003" i="5"/>
  <c r="H1003" i="5"/>
  <c r="L1002" i="5"/>
  <c r="N1002" i="5"/>
  <c r="P301" i="6"/>
  <c r="G301" i="6"/>
  <c r="L402" i="6"/>
  <c r="M402" i="6"/>
  <c r="Q402" i="6"/>
  <c r="L762" i="6"/>
  <c r="M762" i="6"/>
  <c r="Q762" i="6"/>
  <c r="L1122" i="5"/>
  <c r="N1122" i="5"/>
  <c r="G1123" i="5"/>
  <c r="H1123" i="5"/>
  <c r="G541" i="6"/>
  <c r="P541" i="6"/>
  <c r="P1021" i="6"/>
  <c r="G1021" i="6"/>
  <c r="P1141" i="6"/>
  <c r="G1141" i="6"/>
  <c r="G403" i="5"/>
  <c r="H403" i="5"/>
  <c r="L402" i="5"/>
  <c r="N402" i="5"/>
  <c r="Q282" i="6"/>
  <c r="L282" i="6"/>
  <c r="M282" i="6"/>
  <c r="N162" i="6"/>
  <c r="R162" i="6"/>
  <c r="I643" i="5"/>
  <c r="J643" i="5"/>
  <c r="R643" i="5"/>
  <c r="E62" i="6"/>
  <c r="F62" i="6"/>
  <c r="I1123" i="5"/>
  <c r="J1123" i="5"/>
  <c r="R1123" i="5"/>
  <c r="P1002" i="5"/>
  <c r="T1002" i="5"/>
  <c r="U1002" i="5"/>
  <c r="S642" i="6"/>
  <c r="N42" i="6"/>
  <c r="R42" i="6"/>
  <c r="P522" i="5"/>
  <c r="T522" i="5"/>
  <c r="U522" i="5"/>
  <c r="S282" i="6"/>
  <c r="T642" i="5"/>
  <c r="U642" i="5"/>
  <c r="P642" i="5"/>
  <c r="R642" i="6"/>
  <c r="N642" i="6"/>
  <c r="R1122" i="6"/>
  <c r="S1122" i="6"/>
  <c r="N1122" i="6"/>
  <c r="S42" i="6"/>
  <c r="I523" i="5"/>
  <c r="J523" i="5"/>
  <c r="R523" i="5"/>
  <c r="E902" i="6"/>
  <c r="F902" i="6"/>
  <c r="R282" i="6"/>
  <c r="N282" i="6"/>
  <c r="R403" i="5"/>
  <c r="I403" i="5"/>
  <c r="J403" i="5"/>
  <c r="S762" i="6"/>
  <c r="R1002" i="6"/>
  <c r="N1002" i="6"/>
  <c r="I883" i="5"/>
  <c r="J883" i="5"/>
  <c r="R883" i="5"/>
  <c r="R763" i="5"/>
  <c r="I763" i="5"/>
  <c r="J763" i="5"/>
  <c r="E662" i="6"/>
  <c r="F662" i="6"/>
  <c r="E302" i="6"/>
  <c r="F302" i="6"/>
  <c r="E542" i="6"/>
  <c r="F542" i="6"/>
  <c r="E182" i="6"/>
  <c r="F182" i="6"/>
  <c r="T1122" i="5"/>
  <c r="U1122" i="5"/>
  <c r="P1122" i="5"/>
  <c r="N762" i="6"/>
  <c r="R762" i="6"/>
  <c r="S1002" i="6"/>
  <c r="T882" i="5"/>
  <c r="U882" i="5"/>
  <c r="P882" i="5"/>
  <c r="T762" i="5"/>
  <c r="U762" i="5"/>
  <c r="P762" i="5"/>
  <c r="E422" i="6"/>
  <c r="F422" i="6"/>
  <c r="P162" i="5"/>
  <c r="T162" i="5"/>
  <c r="U162" i="5"/>
  <c r="N522" i="6"/>
  <c r="R522" i="6"/>
  <c r="S882" i="6"/>
  <c r="P42" i="5"/>
  <c r="T42" i="5"/>
  <c r="U42" i="5"/>
  <c r="I283" i="5"/>
  <c r="J283" i="5"/>
  <c r="R283" i="5"/>
  <c r="E782" i="6"/>
  <c r="F782" i="6"/>
  <c r="S162" i="6"/>
  <c r="T402" i="5"/>
  <c r="U402" i="5"/>
  <c r="P402" i="5"/>
  <c r="I1003" i="5"/>
  <c r="J1003" i="5"/>
  <c r="R1003" i="5"/>
  <c r="E1142" i="6"/>
  <c r="F1142" i="6"/>
  <c r="E1022" i="6"/>
  <c r="F1022" i="6"/>
  <c r="N402" i="6"/>
  <c r="R402" i="6"/>
  <c r="S402" i="6"/>
  <c r="I163" i="5"/>
  <c r="J163" i="5"/>
  <c r="R163" i="5"/>
  <c r="S522" i="6"/>
  <c r="N882" i="6"/>
  <c r="R882" i="6"/>
  <c r="R43" i="5"/>
  <c r="I43" i="5"/>
  <c r="J43" i="5"/>
  <c r="T282" i="5"/>
  <c r="U282" i="5"/>
  <c r="P282" i="5"/>
  <c r="O522" i="6"/>
  <c r="U522" i="6"/>
  <c r="V522" i="6"/>
  <c r="J523" i="6"/>
  <c r="K523" i="6"/>
  <c r="Q282" i="5"/>
  <c r="W282" i="5"/>
  <c r="X282" i="5"/>
  <c r="M283" i="5"/>
  <c r="M403" i="5"/>
  <c r="Q402" i="5"/>
  <c r="W402" i="5"/>
  <c r="X402" i="5"/>
  <c r="M43" i="5"/>
  <c r="Q42" i="5"/>
  <c r="W42" i="5"/>
  <c r="X42" i="5"/>
  <c r="P422" i="6"/>
  <c r="G422" i="6"/>
  <c r="Q1122" i="5"/>
  <c r="W1122" i="5"/>
  <c r="X1122" i="5"/>
  <c r="M1123" i="5"/>
  <c r="M643" i="5"/>
  <c r="Q642" i="5"/>
  <c r="W642" i="5"/>
  <c r="X642" i="5"/>
  <c r="P1022" i="6"/>
  <c r="G1022" i="6"/>
  <c r="K403" i="5"/>
  <c r="S403" i="5"/>
  <c r="S523" i="5"/>
  <c r="K523" i="5"/>
  <c r="P182" i="6"/>
  <c r="G182" i="6"/>
  <c r="S763" i="5"/>
  <c r="K763" i="5"/>
  <c r="Q1002" i="5"/>
  <c r="W1002" i="5"/>
  <c r="X1002" i="5"/>
  <c r="M1003" i="5"/>
  <c r="G542" i="6"/>
  <c r="P542" i="6"/>
  <c r="J1123" i="6"/>
  <c r="K1123" i="6"/>
  <c r="O1122" i="6"/>
  <c r="U1122" i="6"/>
  <c r="V1122" i="6"/>
  <c r="S643" i="5"/>
  <c r="K643" i="5"/>
  <c r="J883" i="6"/>
  <c r="K883" i="6"/>
  <c r="O882" i="6"/>
  <c r="U882" i="6"/>
  <c r="V882" i="6"/>
  <c r="M763" i="5"/>
  <c r="Q762" i="5"/>
  <c r="W762" i="5"/>
  <c r="X762" i="5"/>
  <c r="S163" i="5"/>
  <c r="K163" i="5"/>
  <c r="M163" i="5"/>
  <c r="Q162" i="5"/>
  <c r="W162" i="5"/>
  <c r="X162" i="5"/>
  <c r="J283" i="6"/>
  <c r="K283" i="6"/>
  <c r="O282" i="6"/>
  <c r="U282" i="6"/>
  <c r="V282" i="6"/>
  <c r="M523" i="5"/>
  <c r="Q522" i="5"/>
  <c r="W522" i="5"/>
  <c r="X522" i="5"/>
  <c r="K1123" i="5"/>
  <c r="S1123" i="5"/>
  <c r="M883" i="5"/>
  <c r="Q882" i="5"/>
  <c r="W882" i="5"/>
  <c r="X882" i="5"/>
  <c r="P1142" i="6"/>
  <c r="G1142" i="6"/>
  <c r="S43" i="5"/>
  <c r="K43" i="5"/>
  <c r="S883" i="5"/>
  <c r="K883" i="5"/>
  <c r="O642" i="6"/>
  <c r="U642" i="6"/>
  <c r="V642" i="6"/>
  <c r="J643" i="6"/>
  <c r="K643" i="6"/>
  <c r="G662" i="6"/>
  <c r="P662" i="6"/>
  <c r="G782" i="6"/>
  <c r="P782" i="6"/>
  <c r="J403" i="6"/>
  <c r="K403" i="6"/>
  <c r="O402" i="6"/>
  <c r="U402" i="6"/>
  <c r="V402" i="6"/>
  <c r="S283" i="5"/>
  <c r="K283" i="5"/>
  <c r="S1003" i="5"/>
  <c r="K1003" i="5"/>
  <c r="O762" i="6"/>
  <c r="U762" i="6"/>
  <c r="V762" i="6"/>
  <c r="J763" i="6"/>
  <c r="K763" i="6"/>
  <c r="P302" i="6"/>
  <c r="G302" i="6"/>
  <c r="J1003" i="6"/>
  <c r="K1003" i="6"/>
  <c r="O1002" i="6"/>
  <c r="U1002" i="6"/>
  <c r="V1002" i="6"/>
  <c r="G902" i="6"/>
  <c r="P902" i="6"/>
  <c r="J43" i="6"/>
  <c r="K43" i="6"/>
  <c r="O42" i="6"/>
  <c r="U42" i="6"/>
  <c r="V42" i="6"/>
  <c r="P62" i="6"/>
  <c r="G62" i="6"/>
  <c r="J163" i="6"/>
  <c r="K163" i="6"/>
  <c r="O162" i="6"/>
  <c r="U162" i="6"/>
  <c r="V162" i="6"/>
  <c r="Q883" i="6"/>
  <c r="L883" i="6"/>
  <c r="M883" i="6"/>
  <c r="E543" i="6"/>
  <c r="F543" i="6"/>
  <c r="E183" i="6"/>
  <c r="F183" i="6"/>
  <c r="G524" i="5"/>
  <c r="H524" i="5"/>
  <c r="L523" i="5"/>
  <c r="N523" i="5"/>
  <c r="E303" i="6"/>
  <c r="F303" i="6"/>
  <c r="L43" i="6"/>
  <c r="M43" i="6"/>
  <c r="Q43" i="6"/>
  <c r="G1004" i="5"/>
  <c r="H1004" i="5"/>
  <c r="L1003" i="5"/>
  <c r="N1003" i="5"/>
  <c r="G1124" i="5"/>
  <c r="H1124" i="5"/>
  <c r="L1123" i="5"/>
  <c r="N1123" i="5"/>
  <c r="G164" i="5"/>
  <c r="H164" i="5"/>
  <c r="L163" i="5"/>
  <c r="N163" i="5"/>
  <c r="E63" i="6"/>
  <c r="F63" i="6"/>
  <c r="L283" i="6"/>
  <c r="M283" i="6"/>
  <c r="Q283" i="6"/>
  <c r="E903" i="6"/>
  <c r="F903" i="6"/>
  <c r="E783" i="6"/>
  <c r="F783" i="6"/>
  <c r="G44" i="5"/>
  <c r="H44" i="5"/>
  <c r="L43" i="5"/>
  <c r="N43" i="5"/>
  <c r="Q763" i="6"/>
  <c r="L763" i="6"/>
  <c r="M763" i="6"/>
  <c r="L883" i="5"/>
  <c r="N883" i="5"/>
  <c r="G884" i="5"/>
  <c r="H884" i="5"/>
  <c r="L1123" i="6"/>
  <c r="M1123" i="6"/>
  <c r="Q1123" i="6"/>
  <c r="G404" i="5"/>
  <c r="H404" i="5"/>
  <c r="L403" i="5"/>
  <c r="N403" i="5"/>
  <c r="E423" i="6"/>
  <c r="F423" i="6"/>
  <c r="Q523" i="6"/>
  <c r="L523" i="6"/>
  <c r="M523" i="6"/>
  <c r="L643" i="6"/>
  <c r="M643" i="6"/>
  <c r="Q643" i="6"/>
  <c r="Q403" i="6"/>
  <c r="L403" i="6"/>
  <c r="M403" i="6"/>
  <c r="L643" i="5"/>
  <c r="N643" i="5"/>
  <c r="G644" i="5"/>
  <c r="H644" i="5"/>
  <c r="Q163" i="6"/>
  <c r="L163" i="6"/>
  <c r="M163" i="6"/>
  <c r="L1003" i="6"/>
  <c r="M1003" i="6"/>
  <c r="Q1003" i="6"/>
  <c r="G284" i="5"/>
  <c r="H284" i="5"/>
  <c r="L283" i="5"/>
  <c r="N283" i="5"/>
  <c r="E663" i="6"/>
  <c r="F663" i="6"/>
  <c r="E1143" i="6"/>
  <c r="F1143" i="6"/>
  <c r="L763" i="5"/>
  <c r="N763" i="5"/>
  <c r="G764" i="5"/>
  <c r="H764" i="5"/>
  <c r="E1023" i="6"/>
  <c r="F1023" i="6"/>
  <c r="G1143" i="6"/>
  <c r="P1143" i="6"/>
  <c r="N523" i="6"/>
  <c r="R523" i="6"/>
  <c r="S523" i="6"/>
  <c r="R44" i="5"/>
  <c r="I44" i="5"/>
  <c r="J44" i="5"/>
  <c r="P63" i="6"/>
  <c r="G63" i="6"/>
  <c r="P163" i="5"/>
  <c r="T163" i="5"/>
  <c r="U163" i="5"/>
  <c r="P663" i="6"/>
  <c r="G663" i="6"/>
  <c r="T643" i="5"/>
  <c r="U643" i="5"/>
  <c r="P643" i="5"/>
  <c r="T883" i="5"/>
  <c r="U883" i="5"/>
  <c r="P883" i="5"/>
  <c r="P783" i="6"/>
  <c r="G783" i="6"/>
  <c r="R164" i="5"/>
  <c r="I164" i="5"/>
  <c r="J164" i="5"/>
  <c r="R43" i="6"/>
  <c r="S43" i="6"/>
  <c r="N43" i="6"/>
  <c r="P183" i="6"/>
  <c r="G183" i="6"/>
  <c r="R163" i="6"/>
  <c r="S163" i="6"/>
  <c r="N163" i="6"/>
  <c r="T283" i="5"/>
  <c r="U283" i="5"/>
  <c r="P283" i="5"/>
  <c r="P423" i="6"/>
  <c r="G423" i="6"/>
  <c r="N763" i="6"/>
  <c r="R763" i="6"/>
  <c r="P903" i="6"/>
  <c r="G903" i="6"/>
  <c r="T1123" i="5"/>
  <c r="U1123" i="5"/>
  <c r="P1123" i="5"/>
  <c r="R403" i="6"/>
  <c r="S403" i="6"/>
  <c r="N403" i="6"/>
  <c r="P403" i="5"/>
  <c r="T403" i="5"/>
  <c r="U403" i="5"/>
  <c r="S763" i="6"/>
  <c r="I1124" i="5"/>
  <c r="J1124" i="5"/>
  <c r="R1124" i="5"/>
  <c r="P543" i="6"/>
  <c r="G543" i="6"/>
  <c r="R644" i="5"/>
  <c r="I644" i="5"/>
  <c r="J644" i="5"/>
  <c r="P1023" i="6"/>
  <c r="G1023" i="6"/>
  <c r="I404" i="5"/>
  <c r="J404" i="5"/>
  <c r="R404" i="5"/>
  <c r="G303" i="6"/>
  <c r="P303" i="6"/>
  <c r="N883" i="6"/>
  <c r="R883" i="6"/>
  <c r="N643" i="6"/>
  <c r="R643" i="6"/>
  <c r="S643" i="6"/>
  <c r="I884" i="5"/>
  <c r="J884" i="5"/>
  <c r="R884" i="5"/>
  <c r="R284" i="5"/>
  <c r="I284" i="5"/>
  <c r="J284" i="5"/>
  <c r="R764" i="5"/>
  <c r="I764" i="5"/>
  <c r="J764" i="5"/>
  <c r="S1003" i="6"/>
  <c r="T763" i="5"/>
  <c r="U763" i="5"/>
  <c r="P763" i="5"/>
  <c r="R1003" i="6"/>
  <c r="N1003" i="6"/>
  <c r="R283" i="6"/>
  <c r="S283" i="6"/>
  <c r="N283" i="6"/>
  <c r="P1003" i="5"/>
  <c r="T1003" i="5"/>
  <c r="U1003" i="5"/>
  <c r="P523" i="5"/>
  <c r="T523" i="5"/>
  <c r="U523" i="5"/>
  <c r="S883" i="6"/>
  <c r="N1123" i="6"/>
  <c r="R1123" i="6"/>
  <c r="S1123" i="6"/>
  <c r="P43" i="5"/>
  <c r="T43" i="5"/>
  <c r="U43" i="5"/>
  <c r="I1004" i="5"/>
  <c r="J1004" i="5"/>
  <c r="R1004" i="5"/>
  <c r="I524" i="5"/>
  <c r="J524" i="5"/>
  <c r="R524" i="5"/>
  <c r="S1004" i="5"/>
  <c r="K1004" i="5"/>
  <c r="M764" i="5"/>
  <c r="Q763" i="5"/>
  <c r="W763" i="5"/>
  <c r="X763" i="5"/>
  <c r="M524" i="5"/>
  <c r="Q523" i="5"/>
  <c r="W523" i="5"/>
  <c r="X523" i="5"/>
  <c r="J44" i="6"/>
  <c r="K44" i="6"/>
  <c r="O43" i="6"/>
  <c r="U43" i="6"/>
  <c r="V43" i="6"/>
  <c r="M644" i="5"/>
  <c r="Q643" i="5"/>
  <c r="W643" i="5"/>
  <c r="X643" i="5"/>
  <c r="S884" i="5"/>
  <c r="K884" i="5"/>
  <c r="Q283" i="5"/>
  <c r="W283" i="5"/>
  <c r="X283" i="5"/>
  <c r="M284" i="5"/>
  <c r="K404" i="5"/>
  <c r="S404" i="5"/>
  <c r="S1124" i="5"/>
  <c r="K1124" i="5"/>
  <c r="S164" i="5"/>
  <c r="K164" i="5"/>
  <c r="E664" i="6"/>
  <c r="F664" i="6"/>
  <c r="S44" i="5"/>
  <c r="K44" i="5"/>
  <c r="E1024" i="6"/>
  <c r="F1024" i="6"/>
  <c r="S764" i="5"/>
  <c r="K764" i="5"/>
  <c r="J164" i="6"/>
  <c r="K164" i="6"/>
  <c r="O163" i="6"/>
  <c r="U163" i="6"/>
  <c r="V163" i="6"/>
  <c r="E784" i="6"/>
  <c r="F784" i="6"/>
  <c r="O523" i="6"/>
  <c r="U523" i="6"/>
  <c r="V523" i="6"/>
  <c r="J524" i="6"/>
  <c r="K524" i="6"/>
  <c r="Q1123" i="5"/>
  <c r="W1123" i="5"/>
  <c r="X1123" i="5"/>
  <c r="M1124" i="5"/>
  <c r="Q1003" i="5"/>
  <c r="W1003" i="5"/>
  <c r="X1003" i="5"/>
  <c r="M1004" i="5"/>
  <c r="J644" i="6"/>
  <c r="K644" i="6"/>
  <c r="O643" i="6"/>
  <c r="U643" i="6"/>
  <c r="V643" i="6"/>
  <c r="E904" i="6"/>
  <c r="F904" i="6"/>
  <c r="J884" i="6"/>
  <c r="K884" i="6"/>
  <c r="O883" i="6"/>
  <c r="U883" i="6"/>
  <c r="V883" i="6"/>
  <c r="K644" i="5"/>
  <c r="S644" i="5"/>
  <c r="M404" i="5"/>
  <c r="Q403" i="5"/>
  <c r="W403" i="5"/>
  <c r="X403" i="5"/>
  <c r="M44" i="5"/>
  <c r="Q43" i="5"/>
  <c r="W43" i="5"/>
  <c r="X43" i="5"/>
  <c r="S284" i="5"/>
  <c r="K284" i="5"/>
  <c r="J764" i="6"/>
  <c r="K764" i="6"/>
  <c r="O763" i="6"/>
  <c r="U763" i="6"/>
  <c r="V763" i="6"/>
  <c r="E184" i="6"/>
  <c r="F184" i="6"/>
  <c r="M884" i="5"/>
  <c r="Q883" i="5"/>
  <c r="W883" i="5"/>
  <c r="X883" i="5"/>
  <c r="M164" i="5"/>
  <c r="Q163" i="5"/>
  <c r="W163" i="5"/>
  <c r="X163" i="5"/>
  <c r="O283" i="6"/>
  <c r="U283" i="6"/>
  <c r="V283" i="6"/>
  <c r="J284" i="6"/>
  <c r="K284" i="6"/>
  <c r="O1123" i="6"/>
  <c r="U1123" i="6"/>
  <c r="V1123" i="6"/>
  <c r="J1124" i="6"/>
  <c r="K1124" i="6"/>
  <c r="S524" i="5"/>
  <c r="K524" i="5"/>
  <c r="J1004" i="6"/>
  <c r="K1004" i="6"/>
  <c r="O1003" i="6"/>
  <c r="U1003" i="6"/>
  <c r="V1003" i="6"/>
  <c r="E304" i="6"/>
  <c r="F304" i="6"/>
  <c r="E544" i="6"/>
  <c r="F544" i="6"/>
  <c r="J404" i="6"/>
  <c r="K404" i="6"/>
  <c r="O403" i="6"/>
  <c r="U403" i="6"/>
  <c r="V403" i="6"/>
  <c r="E424" i="6"/>
  <c r="F424" i="6"/>
  <c r="E64" i="6"/>
  <c r="F64" i="6"/>
  <c r="E1144" i="6"/>
  <c r="F1144" i="6"/>
  <c r="G304" i="6"/>
  <c r="P304" i="6"/>
  <c r="L1124" i="6"/>
  <c r="M1124" i="6"/>
  <c r="Q1124" i="6"/>
  <c r="L644" i="6"/>
  <c r="M644" i="6"/>
  <c r="Q644" i="6"/>
  <c r="G1024" i="6"/>
  <c r="P1024" i="6"/>
  <c r="L644" i="5"/>
  <c r="N644" i="5"/>
  <c r="G645" i="5"/>
  <c r="H645" i="5"/>
  <c r="G45" i="5"/>
  <c r="H45" i="5"/>
  <c r="L44" i="5"/>
  <c r="N44" i="5"/>
  <c r="L164" i="6"/>
  <c r="M164" i="6"/>
  <c r="Q164" i="6"/>
  <c r="G184" i="6"/>
  <c r="P184" i="6"/>
  <c r="G405" i="5"/>
  <c r="H405" i="5"/>
  <c r="L404" i="5"/>
  <c r="N404" i="5"/>
  <c r="G424" i="6"/>
  <c r="P424" i="6"/>
  <c r="P784" i="6"/>
  <c r="G784" i="6"/>
  <c r="L284" i="6"/>
  <c r="M284" i="6"/>
  <c r="Q284" i="6"/>
  <c r="L404" i="6"/>
  <c r="M404" i="6"/>
  <c r="Q404" i="6"/>
  <c r="P1144" i="6"/>
  <c r="G1144" i="6"/>
  <c r="L44" i="6"/>
  <c r="M44" i="6"/>
  <c r="Q44" i="6"/>
  <c r="G1125" i="5"/>
  <c r="H1125" i="5"/>
  <c r="L1124" i="5"/>
  <c r="N1124" i="5"/>
  <c r="L1004" i="6"/>
  <c r="M1004" i="6"/>
  <c r="Q1004" i="6"/>
  <c r="G525" i="5"/>
  <c r="H525" i="5"/>
  <c r="L524" i="5"/>
  <c r="N524" i="5"/>
  <c r="Q884" i="6"/>
  <c r="L884" i="6"/>
  <c r="M884" i="6"/>
  <c r="G544" i="6"/>
  <c r="P544" i="6"/>
  <c r="Q764" i="6"/>
  <c r="L764" i="6"/>
  <c r="M764" i="6"/>
  <c r="P904" i="6"/>
  <c r="G904" i="6"/>
  <c r="Q524" i="6"/>
  <c r="L524" i="6"/>
  <c r="M524" i="6"/>
  <c r="L764" i="5"/>
  <c r="N764" i="5"/>
  <c r="G765" i="5"/>
  <c r="H765" i="5"/>
  <c r="P664" i="6"/>
  <c r="G664" i="6"/>
  <c r="G1005" i="5"/>
  <c r="H1005" i="5"/>
  <c r="L1004" i="5"/>
  <c r="N1004" i="5"/>
  <c r="L284" i="5"/>
  <c r="N284" i="5"/>
  <c r="G285" i="5"/>
  <c r="H285" i="5"/>
  <c r="G64" i="6"/>
  <c r="P64" i="6"/>
  <c r="G165" i="5"/>
  <c r="H165" i="5"/>
  <c r="L164" i="5"/>
  <c r="N164" i="5"/>
  <c r="L884" i="5"/>
  <c r="N884" i="5"/>
  <c r="G885" i="5"/>
  <c r="H885" i="5"/>
  <c r="P284" i="5"/>
  <c r="T284" i="5"/>
  <c r="U284" i="5"/>
  <c r="R44" i="6"/>
  <c r="N44" i="6"/>
  <c r="R164" i="6"/>
  <c r="N164" i="6"/>
  <c r="N644" i="6"/>
  <c r="R644" i="6"/>
  <c r="E905" i="6"/>
  <c r="F905" i="6"/>
  <c r="R525" i="5"/>
  <c r="I525" i="5"/>
  <c r="J525" i="5"/>
  <c r="E425" i="6"/>
  <c r="F425" i="6"/>
  <c r="I45" i="5"/>
  <c r="J45" i="5"/>
  <c r="R45" i="5"/>
  <c r="N1124" i="6"/>
  <c r="R1124" i="6"/>
  <c r="S1124" i="6"/>
  <c r="P1004" i="5"/>
  <c r="T1004" i="5"/>
  <c r="U1004" i="5"/>
  <c r="P404" i="5"/>
  <c r="T404" i="5"/>
  <c r="U404" i="5"/>
  <c r="R645" i="5"/>
  <c r="I645" i="5"/>
  <c r="J645" i="5"/>
  <c r="P524" i="5"/>
  <c r="T524" i="5"/>
  <c r="U524" i="5"/>
  <c r="T884" i="5"/>
  <c r="U884" i="5"/>
  <c r="P884" i="5"/>
  <c r="I405" i="5"/>
  <c r="J405" i="5"/>
  <c r="R405" i="5"/>
  <c r="T644" i="5"/>
  <c r="U644" i="5"/>
  <c r="P644" i="5"/>
  <c r="E305" i="6"/>
  <c r="F305" i="6"/>
  <c r="E1145" i="6"/>
  <c r="F1145" i="6"/>
  <c r="I1005" i="5"/>
  <c r="J1005" i="5"/>
  <c r="R1005" i="5"/>
  <c r="N1004" i="6"/>
  <c r="R1004" i="6"/>
  <c r="S1004" i="6"/>
  <c r="P1124" i="5"/>
  <c r="T1124" i="5"/>
  <c r="U1124" i="5"/>
  <c r="I885" i="5"/>
  <c r="J885" i="5"/>
  <c r="R885" i="5"/>
  <c r="P164" i="5"/>
  <c r="T164" i="5"/>
  <c r="U164" i="5"/>
  <c r="E665" i="6"/>
  <c r="F665" i="6"/>
  <c r="R404" i="6"/>
  <c r="S404" i="6"/>
  <c r="N404" i="6"/>
  <c r="E65" i="6"/>
  <c r="F65" i="6"/>
  <c r="I1125" i="5"/>
  <c r="J1125" i="5"/>
  <c r="R1125" i="5"/>
  <c r="N284" i="6"/>
  <c r="R284" i="6"/>
  <c r="S284" i="6"/>
  <c r="E185" i="6"/>
  <c r="F185" i="6"/>
  <c r="E1025" i="6"/>
  <c r="F1025" i="6"/>
  <c r="P44" i="5"/>
  <c r="T44" i="5"/>
  <c r="U44" i="5"/>
  <c r="R764" i="6"/>
  <c r="S764" i="6"/>
  <c r="N764" i="6"/>
  <c r="R165" i="5"/>
  <c r="I165" i="5"/>
  <c r="J165" i="5"/>
  <c r="R765" i="5"/>
  <c r="I765" i="5"/>
  <c r="J765" i="5"/>
  <c r="T764" i="5"/>
  <c r="U764" i="5"/>
  <c r="P764" i="5"/>
  <c r="E545" i="6"/>
  <c r="F545" i="6"/>
  <c r="I285" i="5"/>
  <c r="J285" i="5"/>
  <c r="R285" i="5"/>
  <c r="N524" i="6"/>
  <c r="R524" i="6"/>
  <c r="S524" i="6"/>
  <c r="R884" i="6"/>
  <c r="S884" i="6"/>
  <c r="N884" i="6"/>
  <c r="S44" i="6"/>
  <c r="E785" i="6"/>
  <c r="F785" i="6"/>
  <c r="S164" i="6"/>
  <c r="S644" i="6"/>
  <c r="S1005" i="5"/>
  <c r="K1005" i="5"/>
  <c r="J885" i="6"/>
  <c r="K885" i="6"/>
  <c r="O884" i="6"/>
  <c r="U884" i="6"/>
  <c r="V884" i="6"/>
  <c r="M765" i="5"/>
  <c r="Q764" i="5"/>
  <c r="W764" i="5"/>
  <c r="X764" i="5"/>
  <c r="J765" i="6"/>
  <c r="K765" i="6"/>
  <c r="O764" i="6"/>
  <c r="U764" i="6"/>
  <c r="V764" i="6"/>
  <c r="J1125" i="6"/>
  <c r="K1125" i="6"/>
  <c r="O1124" i="6"/>
  <c r="U1124" i="6"/>
  <c r="V1124" i="6"/>
  <c r="O44" i="6"/>
  <c r="U44" i="6"/>
  <c r="V44" i="6"/>
  <c r="J45" i="6"/>
  <c r="K45" i="6"/>
  <c r="K405" i="5"/>
  <c r="S405" i="5"/>
  <c r="O284" i="6"/>
  <c r="U284" i="6"/>
  <c r="V284" i="6"/>
  <c r="J285" i="6"/>
  <c r="K285" i="6"/>
  <c r="P1145" i="6"/>
  <c r="G1145" i="6"/>
  <c r="M885" i="5"/>
  <c r="Q884" i="5"/>
  <c r="W884" i="5"/>
  <c r="X884" i="5"/>
  <c r="Q404" i="5"/>
  <c r="W404" i="5"/>
  <c r="X404" i="5"/>
  <c r="M405" i="5"/>
  <c r="G545" i="6"/>
  <c r="P545" i="6"/>
  <c r="P185" i="6"/>
  <c r="G185" i="6"/>
  <c r="P665" i="6"/>
  <c r="G665" i="6"/>
  <c r="S45" i="5"/>
  <c r="K45" i="5"/>
  <c r="P905" i="6"/>
  <c r="G905" i="6"/>
  <c r="M45" i="5"/>
  <c r="Q44" i="5"/>
  <c r="W44" i="5"/>
  <c r="X44" i="5"/>
  <c r="K1125" i="5"/>
  <c r="S1125" i="5"/>
  <c r="Q1124" i="5"/>
  <c r="W1124" i="5"/>
  <c r="X1124" i="5"/>
  <c r="M1125" i="5"/>
  <c r="P305" i="6"/>
  <c r="G305" i="6"/>
  <c r="M645" i="5"/>
  <c r="Q644" i="5"/>
  <c r="W644" i="5"/>
  <c r="X644" i="5"/>
  <c r="M525" i="5"/>
  <c r="Q524" i="5"/>
  <c r="W524" i="5"/>
  <c r="X524" i="5"/>
  <c r="G425" i="6"/>
  <c r="P425" i="6"/>
  <c r="J645" i="6"/>
  <c r="K645" i="6"/>
  <c r="O644" i="6"/>
  <c r="U644" i="6"/>
  <c r="V644" i="6"/>
  <c r="O404" i="6"/>
  <c r="U404" i="6"/>
  <c r="V404" i="6"/>
  <c r="J405" i="6"/>
  <c r="K405" i="6"/>
  <c r="O524" i="6"/>
  <c r="U524" i="6"/>
  <c r="V524" i="6"/>
  <c r="J525" i="6"/>
  <c r="K525" i="6"/>
  <c r="M165" i="5"/>
  <c r="Q164" i="5"/>
  <c r="W164" i="5"/>
  <c r="X164" i="5"/>
  <c r="S285" i="5"/>
  <c r="K285" i="5"/>
  <c r="P1025" i="6"/>
  <c r="G1025" i="6"/>
  <c r="P65" i="6"/>
  <c r="G65" i="6"/>
  <c r="O1004" i="6"/>
  <c r="U1004" i="6"/>
  <c r="V1004" i="6"/>
  <c r="J1005" i="6"/>
  <c r="K1005" i="6"/>
  <c r="O164" i="6"/>
  <c r="U164" i="6"/>
  <c r="V164" i="6"/>
  <c r="J165" i="6"/>
  <c r="K165" i="6"/>
  <c r="Q284" i="5"/>
  <c r="W284" i="5"/>
  <c r="X284" i="5"/>
  <c r="M285" i="5"/>
  <c r="S765" i="5"/>
  <c r="K765" i="5"/>
  <c r="P785" i="6"/>
  <c r="G785" i="6"/>
  <c r="S165" i="5"/>
  <c r="K165" i="5"/>
  <c r="S885" i="5"/>
  <c r="K885" i="5"/>
  <c r="S645" i="5"/>
  <c r="K645" i="5"/>
  <c r="Q1004" i="5"/>
  <c r="W1004" i="5"/>
  <c r="X1004" i="5"/>
  <c r="M1005" i="5"/>
  <c r="S525" i="5"/>
  <c r="K525" i="5"/>
  <c r="L165" i="6"/>
  <c r="M165" i="6"/>
  <c r="Q165" i="6"/>
  <c r="L645" i="5"/>
  <c r="N645" i="5"/>
  <c r="G646" i="5"/>
  <c r="H646" i="5"/>
  <c r="G406" i="5"/>
  <c r="H406" i="5"/>
  <c r="L405" i="5"/>
  <c r="N405" i="5"/>
  <c r="L1125" i="5"/>
  <c r="N1125" i="5"/>
  <c r="G1126" i="5"/>
  <c r="H1126" i="5"/>
  <c r="Q1005" i="6"/>
  <c r="L1005" i="6"/>
  <c r="M1005" i="6"/>
  <c r="E186" i="6"/>
  <c r="F186" i="6"/>
  <c r="L45" i="6"/>
  <c r="M45" i="6"/>
  <c r="Q45" i="6"/>
  <c r="E666" i="6"/>
  <c r="F666" i="6"/>
  <c r="E786" i="6"/>
  <c r="F786" i="6"/>
  <c r="L765" i="5"/>
  <c r="N765" i="5"/>
  <c r="G766" i="5"/>
  <c r="H766" i="5"/>
  <c r="E306" i="6"/>
  <c r="F306" i="6"/>
  <c r="E906" i="6"/>
  <c r="F906" i="6"/>
  <c r="E1146" i="6"/>
  <c r="F1146" i="6"/>
  <c r="L885" i="6"/>
  <c r="M885" i="6"/>
  <c r="Q885" i="6"/>
  <c r="L405" i="6"/>
  <c r="M405" i="6"/>
  <c r="Q405" i="6"/>
  <c r="E66" i="6"/>
  <c r="F66" i="6"/>
  <c r="G526" i="5"/>
  <c r="H526" i="5"/>
  <c r="L525" i="5"/>
  <c r="N525" i="5"/>
  <c r="L885" i="5"/>
  <c r="N885" i="5"/>
  <c r="G886" i="5"/>
  <c r="H886" i="5"/>
  <c r="G46" i="5"/>
  <c r="H46" i="5"/>
  <c r="L45" i="5"/>
  <c r="N45" i="5"/>
  <c r="E546" i="6"/>
  <c r="F546" i="6"/>
  <c r="Q285" i="6"/>
  <c r="L285" i="6"/>
  <c r="M285" i="6"/>
  <c r="Q1125" i="6"/>
  <c r="L1125" i="6"/>
  <c r="M1125" i="6"/>
  <c r="G1006" i="5"/>
  <c r="H1006" i="5"/>
  <c r="L1005" i="5"/>
  <c r="N1005" i="5"/>
  <c r="G166" i="5"/>
  <c r="H166" i="5"/>
  <c r="L165" i="5"/>
  <c r="N165" i="5"/>
  <c r="L765" i="6"/>
  <c r="M765" i="6"/>
  <c r="Q765" i="6"/>
  <c r="L285" i="5"/>
  <c r="N285" i="5"/>
  <c r="G286" i="5"/>
  <c r="H286" i="5"/>
  <c r="Q645" i="6"/>
  <c r="L645" i="6"/>
  <c r="M645" i="6"/>
  <c r="E1026" i="6"/>
  <c r="F1026" i="6"/>
  <c r="Q525" i="6"/>
  <c r="L525" i="6"/>
  <c r="M525" i="6"/>
  <c r="E426" i="6"/>
  <c r="F426" i="6"/>
  <c r="R765" i="6"/>
  <c r="N765" i="6"/>
  <c r="P165" i="5"/>
  <c r="T165" i="5"/>
  <c r="U165" i="5"/>
  <c r="N405" i="6"/>
  <c r="R405" i="6"/>
  <c r="S405" i="6"/>
  <c r="G666" i="6"/>
  <c r="P666" i="6"/>
  <c r="R526" i="5"/>
  <c r="I526" i="5"/>
  <c r="J526" i="5"/>
  <c r="P306" i="6"/>
  <c r="G306" i="6"/>
  <c r="P1125" i="5"/>
  <c r="T1125" i="5"/>
  <c r="U1125" i="5"/>
  <c r="R645" i="6"/>
  <c r="N645" i="6"/>
  <c r="P1005" i="5"/>
  <c r="T1005" i="5"/>
  <c r="U1005" i="5"/>
  <c r="P45" i="5"/>
  <c r="T45" i="5"/>
  <c r="U45" i="5"/>
  <c r="R885" i="6"/>
  <c r="S885" i="6"/>
  <c r="N885" i="6"/>
  <c r="R766" i="5"/>
  <c r="I766" i="5"/>
  <c r="J766" i="5"/>
  <c r="T405" i="5"/>
  <c r="U405" i="5"/>
  <c r="P405" i="5"/>
  <c r="P1026" i="6"/>
  <c r="G1026" i="6"/>
  <c r="T885" i="5"/>
  <c r="U885" i="5"/>
  <c r="P885" i="5"/>
  <c r="G546" i="6"/>
  <c r="P546" i="6"/>
  <c r="P525" i="5"/>
  <c r="T525" i="5"/>
  <c r="U525" i="5"/>
  <c r="I1126" i="5"/>
  <c r="J1126" i="5"/>
  <c r="R1126" i="5"/>
  <c r="I166" i="5"/>
  <c r="J166" i="5"/>
  <c r="R166" i="5"/>
  <c r="I406" i="5"/>
  <c r="J406" i="5"/>
  <c r="R406" i="5"/>
  <c r="I646" i="5"/>
  <c r="J646" i="5"/>
  <c r="R646" i="5"/>
  <c r="S765" i="6"/>
  <c r="G906" i="6"/>
  <c r="P906" i="6"/>
  <c r="P426" i="6"/>
  <c r="G426" i="6"/>
  <c r="S645" i="6"/>
  <c r="I1006" i="5"/>
  <c r="J1006" i="5"/>
  <c r="R1006" i="5"/>
  <c r="I46" i="5"/>
  <c r="J46" i="5"/>
  <c r="R46" i="5"/>
  <c r="T765" i="5"/>
  <c r="U765" i="5"/>
  <c r="P765" i="5"/>
  <c r="N45" i="6"/>
  <c r="R45" i="6"/>
  <c r="S45" i="6"/>
  <c r="N525" i="6"/>
  <c r="R525" i="6"/>
  <c r="I286" i="5"/>
  <c r="J286" i="5"/>
  <c r="R286" i="5"/>
  <c r="R1125" i="6"/>
  <c r="S1125" i="6"/>
  <c r="N1125" i="6"/>
  <c r="P66" i="6"/>
  <c r="G66" i="6"/>
  <c r="P1146" i="6"/>
  <c r="G1146" i="6"/>
  <c r="S525" i="6"/>
  <c r="T285" i="5"/>
  <c r="U285" i="5"/>
  <c r="P285" i="5"/>
  <c r="P186" i="6"/>
  <c r="G186" i="6"/>
  <c r="T645" i="5"/>
  <c r="U645" i="5"/>
  <c r="P645" i="5"/>
  <c r="N285" i="6"/>
  <c r="R285" i="6"/>
  <c r="S285" i="6"/>
  <c r="R886" i="5"/>
  <c r="I886" i="5"/>
  <c r="J886" i="5"/>
  <c r="G786" i="6"/>
  <c r="P786" i="6"/>
  <c r="N1005" i="6"/>
  <c r="R1005" i="6"/>
  <c r="S165" i="6"/>
  <c r="S1005" i="6"/>
  <c r="N165" i="6"/>
  <c r="R165" i="6"/>
  <c r="J286" i="6"/>
  <c r="K286" i="6"/>
  <c r="O285" i="6"/>
  <c r="U285" i="6"/>
  <c r="V285" i="6"/>
  <c r="E307" i="6"/>
  <c r="F307" i="6"/>
  <c r="M646" i="5"/>
  <c r="Q645" i="5"/>
  <c r="W645" i="5"/>
  <c r="X645" i="5"/>
  <c r="M46" i="5"/>
  <c r="Q45" i="5"/>
  <c r="W45" i="5"/>
  <c r="X45" i="5"/>
  <c r="K1006" i="5"/>
  <c r="S1006" i="5"/>
  <c r="M526" i="5"/>
  <c r="Q525" i="5"/>
  <c r="W525" i="5"/>
  <c r="X525" i="5"/>
  <c r="M166" i="5"/>
  <c r="Q165" i="5"/>
  <c r="W165" i="5"/>
  <c r="X165" i="5"/>
  <c r="E187" i="6"/>
  <c r="F187" i="6"/>
  <c r="E67" i="6"/>
  <c r="F67" i="6"/>
  <c r="Q1005" i="5"/>
  <c r="W1005" i="5"/>
  <c r="X1005" i="5"/>
  <c r="M1006" i="5"/>
  <c r="S526" i="5"/>
  <c r="K526" i="5"/>
  <c r="S46" i="5"/>
  <c r="K46" i="5"/>
  <c r="E1147" i="6"/>
  <c r="F1147" i="6"/>
  <c r="M406" i="5"/>
  <c r="Q405" i="5"/>
  <c r="W405" i="5"/>
  <c r="X405" i="5"/>
  <c r="S646" i="5"/>
  <c r="K646" i="5"/>
  <c r="E427" i="6"/>
  <c r="F427" i="6"/>
  <c r="S406" i="5"/>
  <c r="K406" i="5"/>
  <c r="E547" i="6"/>
  <c r="F547" i="6"/>
  <c r="S766" i="5"/>
  <c r="K766" i="5"/>
  <c r="J646" i="6"/>
  <c r="K646" i="6"/>
  <c r="O645" i="6"/>
  <c r="U645" i="6"/>
  <c r="V645" i="6"/>
  <c r="E1027" i="6"/>
  <c r="F1027" i="6"/>
  <c r="S286" i="5"/>
  <c r="K286" i="5"/>
  <c r="J1006" i="6"/>
  <c r="K1006" i="6"/>
  <c r="O1005" i="6"/>
  <c r="U1005" i="6"/>
  <c r="V1005" i="6"/>
  <c r="O525" i="6"/>
  <c r="U525" i="6"/>
  <c r="V525" i="6"/>
  <c r="J526" i="6"/>
  <c r="K526" i="6"/>
  <c r="S886" i="5"/>
  <c r="K886" i="5"/>
  <c r="J1126" i="6"/>
  <c r="K1126" i="6"/>
  <c r="O1125" i="6"/>
  <c r="U1125" i="6"/>
  <c r="V1125" i="6"/>
  <c r="M766" i="5"/>
  <c r="Q765" i="5"/>
  <c r="W765" i="5"/>
  <c r="X765" i="5"/>
  <c r="M886" i="5"/>
  <c r="Q885" i="5"/>
  <c r="W885" i="5"/>
  <c r="X885" i="5"/>
  <c r="J766" i="6"/>
  <c r="K766" i="6"/>
  <c r="O765" i="6"/>
  <c r="U765" i="6"/>
  <c r="V765" i="6"/>
  <c r="E907" i="6"/>
  <c r="F907" i="6"/>
  <c r="Q1125" i="5"/>
  <c r="W1125" i="5"/>
  <c r="X1125" i="5"/>
  <c r="M1126" i="5"/>
  <c r="K1126" i="5"/>
  <c r="S1126" i="5"/>
  <c r="J406" i="6"/>
  <c r="K406" i="6"/>
  <c r="O405" i="6"/>
  <c r="U405" i="6"/>
  <c r="V405" i="6"/>
  <c r="E787" i="6"/>
  <c r="F787" i="6"/>
  <c r="O45" i="6"/>
  <c r="U45" i="6"/>
  <c r="V45" i="6"/>
  <c r="J46" i="6"/>
  <c r="K46" i="6"/>
  <c r="J166" i="6"/>
  <c r="K166" i="6"/>
  <c r="O165" i="6"/>
  <c r="U165" i="6"/>
  <c r="V165" i="6"/>
  <c r="M286" i="5"/>
  <c r="Q285" i="5"/>
  <c r="W285" i="5"/>
  <c r="X285" i="5"/>
  <c r="S166" i="5"/>
  <c r="K166" i="5"/>
  <c r="O885" i="6"/>
  <c r="U885" i="6"/>
  <c r="V885" i="6"/>
  <c r="J886" i="6"/>
  <c r="K886" i="6"/>
  <c r="E667" i="6"/>
  <c r="F667" i="6"/>
  <c r="P667" i="6"/>
  <c r="G667" i="6"/>
  <c r="G167" i="5"/>
  <c r="H167" i="5"/>
  <c r="L166" i="5"/>
  <c r="N166" i="5"/>
  <c r="Q46" i="6"/>
  <c r="L46" i="6"/>
  <c r="M46" i="6"/>
  <c r="L1126" i="5"/>
  <c r="N1126" i="5"/>
  <c r="G1127" i="5"/>
  <c r="H1127" i="5"/>
  <c r="Q1006" i="6"/>
  <c r="L1006" i="6"/>
  <c r="M1006" i="6"/>
  <c r="L1126" i="6"/>
  <c r="M1126" i="6"/>
  <c r="Q1126" i="6"/>
  <c r="P427" i="6"/>
  <c r="G427" i="6"/>
  <c r="G1147" i="6"/>
  <c r="P1147" i="6"/>
  <c r="L886" i="5"/>
  <c r="N886" i="5"/>
  <c r="G887" i="5"/>
  <c r="H887" i="5"/>
  <c r="P787" i="6"/>
  <c r="G787" i="6"/>
  <c r="L286" i="5"/>
  <c r="N286" i="5"/>
  <c r="G287" i="5"/>
  <c r="H287" i="5"/>
  <c r="L646" i="5"/>
  <c r="N646" i="5"/>
  <c r="G647" i="5"/>
  <c r="H647" i="5"/>
  <c r="G47" i="5"/>
  <c r="H47" i="5"/>
  <c r="L46" i="5"/>
  <c r="N46" i="5"/>
  <c r="L646" i="6"/>
  <c r="M646" i="6"/>
  <c r="Q646" i="6"/>
  <c r="L766" i="5"/>
  <c r="N766" i="5"/>
  <c r="G767" i="5"/>
  <c r="H767" i="5"/>
  <c r="P907" i="6"/>
  <c r="G907" i="6"/>
  <c r="G307" i="6"/>
  <c r="P307" i="6"/>
  <c r="L886" i="6"/>
  <c r="M886" i="6"/>
  <c r="Q886" i="6"/>
  <c r="Q406" i="6"/>
  <c r="L406" i="6"/>
  <c r="M406" i="6"/>
  <c r="P1027" i="6"/>
  <c r="G1027" i="6"/>
  <c r="G407" i="5"/>
  <c r="H407" i="5"/>
  <c r="L406" i="5"/>
  <c r="N406" i="5"/>
  <c r="G527" i="5"/>
  <c r="H527" i="5"/>
  <c r="L526" i="5"/>
  <c r="N526" i="5"/>
  <c r="G1007" i="5"/>
  <c r="H1007" i="5"/>
  <c r="L1006" i="5"/>
  <c r="N1006" i="5"/>
  <c r="Q286" i="6"/>
  <c r="L286" i="6"/>
  <c r="M286" i="6"/>
  <c r="L526" i="6"/>
  <c r="M526" i="6"/>
  <c r="Q526" i="6"/>
  <c r="P547" i="6"/>
  <c r="G547" i="6"/>
  <c r="P67" i="6"/>
  <c r="G67" i="6"/>
  <c r="Q166" i="6"/>
  <c r="L166" i="6"/>
  <c r="M166" i="6"/>
  <c r="L766" i="6"/>
  <c r="M766" i="6"/>
  <c r="Q766" i="6"/>
  <c r="P187" i="6"/>
  <c r="G187" i="6"/>
  <c r="E548" i="6"/>
  <c r="F548" i="6"/>
  <c r="E788" i="6"/>
  <c r="F788" i="6"/>
  <c r="P166" i="5"/>
  <c r="T166" i="5"/>
  <c r="U166" i="5"/>
  <c r="R527" i="5"/>
  <c r="I527" i="5"/>
  <c r="J527" i="5"/>
  <c r="N886" i="6"/>
  <c r="R886" i="6"/>
  <c r="S886" i="6"/>
  <c r="R646" i="6"/>
  <c r="S646" i="6"/>
  <c r="N646" i="6"/>
  <c r="R1126" i="6"/>
  <c r="S1126" i="6"/>
  <c r="N1126" i="6"/>
  <c r="I167" i="5"/>
  <c r="J167" i="5"/>
  <c r="R167" i="5"/>
  <c r="P526" i="5"/>
  <c r="T526" i="5"/>
  <c r="U526" i="5"/>
  <c r="T406" i="5"/>
  <c r="U406" i="5"/>
  <c r="P406" i="5"/>
  <c r="P46" i="5"/>
  <c r="T46" i="5"/>
  <c r="U46" i="5"/>
  <c r="I887" i="5"/>
  <c r="J887" i="5"/>
  <c r="R887" i="5"/>
  <c r="R1006" i="6"/>
  <c r="S1006" i="6"/>
  <c r="N1006" i="6"/>
  <c r="E668" i="6"/>
  <c r="F668" i="6"/>
  <c r="N766" i="6"/>
  <c r="R766" i="6"/>
  <c r="S766" i="6"/>
  <c r="R47" i="5"/>
  <c r="I47" i="5"/>
  <c r="J47" i="5"/>
  <c r="T886" i="5"/>
  <c r="U886" i="5"/>
  <c r="P886" i="5"/>
  <c r="N166" i="6"/>
  <c r="R166" i="6"/>
  <c r="S166" i="6"/>
  <c r="R286" i="6"/>
  <c r="S286" i="6"/>
  <c r="N286" i="6"/>
  <c r="E1028" i="6"/>
  <c r="F1028" i="6"/>
  <c r="E908" i="6"/>
  <c r="F908" i="6"/>
  <c r="I647" i="5"/>
  <c r="J647" i="5"/>
  <c r="R647" i="5"/>
  <c r="I1127" i="5"/>
  <c r="J1127" i="5"/>
  <c r="R1127" i="5"/>
  <c r="R407" i="5"/>
  <c r="I407" i="5"/>
  <c r="J407" i="5"/>
  <c r="T1126" i="5"/>
  <c r="U1126" i="5"/>
  <c r="P1126" i="5"/>
  <c r="E188" i="6"/>
  <c r="F188" i="6"/>
  <c r="T646" i="5"/>
  <c r="U646" i="5"/>
  <c r="P646" i="5"/>
  <c r="E68" i="6"/>
  <c r="F68" i="6"/>
  <c r="P1006" i="5"/>
  <c r="T1006" i="5"/>
  <c r="U1006" i="5"/>
  <c r="R767" i="5"/>
  <c r="I767" i="5"/>
  <c r="J767" i="5"/>
  <c r="I287" i="5"/>
  <c r="J287" i="5"/>
  <c r="R287" i="5"/>
  <c r="E428" i="6"/>
  <c r="F428" i="6"/>
  <c r="N46" i="6"/>
  <c r="R46" i="6"/>
  <c r="S46" i="6"/>
  <c r="N526" i="6"/>
  <c r="R526" i="6"/>
  <c r="S526" i="6"/>
  <c r="E308" i="6"/>
  <c r="F308" i="6"/>
  <c r="E1148" i="6"/>
  <c r="F1148" i="6"/>
  <c r="N406" i="6"/>
  <c r="R406" i="6"/>
  <c r="S406" i="6"/>
  <c r="I1007" i="5"/>
  <c r="J1007" i="5"/>
  <c r="R1007" i="5"/>
  <c r="T766" i="5"/>
  <c r="U766" i="5"/>
  <c r="P766" i="5"/>
  <c r="T286" i="5"/>
  <c r="U286" i="5"/>
  <c r="P286" i="5"/>
  <c r="S887" i="5"/>
  <c r="K887" i="5"/>
  <c r="J47" i="6"/>
  <c r="K47" i="6"/>
  <c r="O46" i="6"/>
  <c r="U46" i="6"/>
  <c r="V46" i="6"/>
  <c r="G68" i="6"/>
  <c r="P68" i="6"/>
  <c r="S647" i="5"/>
  <c r="K647" i="5"/>
  <c r="J167" i="6"/>
  <c r="K167" i="6"/>
  <c r="O166" i="6"/>
  <c r="U166" i="6"/>
  <c r="V166" i="6"/>
  <c r="O766" i="6"/>
  <c r="U766" i="6"/>
  <c r="V766" i="6"/>
  <c r="J767" i="6"/>
  <c r="K767" i="6"/>
  <c r="M47" i="5"/>
  <c r="Q46" i="5"/>
  <c r="W46" i="5"/>
  <c r="X46" i="5"/>
  <c r="O646" i="6"/>
  <c r="U646" i="6"/>
  <c r="V646" i="6"/>
  <c r="J647" i="6"/>
  <c r="K647" i="6"/>
  <c r="M167" i="5"/>
  <c r="Q166" i="5"/>
  <c r="W166" i="5"/>
  <c r="X166" i="5"/>
  <c r="Q1006" i="5"/>
  <c r="W1006" i="5"/>
  <c r="X1006" i="5"/>
  <c r="M1007" i="5"/>
  <c r="Q1126" i="5"/>
  <c r="W1126" i="5"/>
  <c r="X1126" i="5"/>
  <c r="M1127" i="5"/>
  <c r="G428" i="6"/>
  <c r="P428" i="6"/>
  <c r="K1007" i="5"/>
  <c r="S1007" i="5"/>
  <c r="M647" i="5"/>
  <c r="Q646" i="5"/>
  <c r="W646" i="5"/>
  <c r="X646" i="5"/>
  <c r="K407" i="5"/>
  <c r="S407" i="5"/>
  <c r="P908" i="6"/>
  <c r="G908" i="6"/>
  <c r="P668" i="6"/>
  <c r="G668" i="6"/>
  <c r="M407" i="5"/>
  <c r="Q406" i="5"/>
  <c r="W406" i="5"/>
  <c r="X406" i="5"/>
  <c r="M527" i="5"/>
  <c r="Q526" i="5"/>
  <c r="W526" i="5"/>
  <c r="X526" i="5"/>
  <c r="P788" i="6"/>
  <c r="G788" i="6"/>
  <c r="S287" i="5"/>
  <c r="K287" i="5"/>
  <c r="M887" i="5"/>
  <c r="Q886" i="5"/>
  <c r="W886" i="5"/>
  <c r="X886" i="5"/>
  <c r="J1007" i="6"/>
  <c r="K1007" i="6"/>
  <c r="O1006" i="6"/>
  <c r="U1006" i="6"/>
  <c r="V1006" i="6"/>
  <c r="J887" i="6"/>
  <c r="K887" i="6"/>
  <c r="O886" i="6"/>
  <c r="U886" i="6"/>
  <c r="V886" i="6"/>
  <c r="M767" i="5"/>
  <c r="Q766" i="5"/>
  <c r="W766" i="5"/>
  <c r="X766" i="5"/>
  <c r="P1148" i="6"/>
  <c r="G1148" i="6"/>
  <c r="P308" i="6"/>
  <c r="G308" i="6"/>
  <c r="K767" i="5"/>
  <c r="S767" i="5"/>
  <c r="G1028" i="6"/>
  <c r="P1028" i="6"/>
  <c r="S167" i="5"/>
  <c r="K167" i="5"/>
  <c r="S527" i="5"/>
  <c r="K527" i="5"/>
  <c r="Q286" i="5"/>
  <c r="W286" i="5"/>
  <c r="X286" i="5"/>
  <c r="M287" i="5"/>
  <c r="J407" i="6"/>
  <c r="K407" i="6"/>
  <c r="O406" i="6"/>
  <c r="U406" i="6"/>
  <c r="V406" i="6"/>
  <c r="O526" i="6"/>
  <c r="U526" i="6"/>
  <c r="V526" i="6"/>
  <c r="J527" i="6"/>
  <c r="K527" i="6"/>
  <c r="G188" i="6"/>
  <c r="P188" i="6"/>
  <c r="K1127" i="5"/>
  <c r="S1127" i="5"/>
  <c r="J287" i="6"/>
  <c r="K287" i="6"/>
  <c r="O286" i="6"/>
  <c r="U286" i="6"/>
  <c r="V286" i="6"/>
  <c r="S47" i="5"/>
  <c r="K47" i="5"/>
  <c r="J1127" i="6"/>
  <c r="K1127" i="6"/>
  <c r="O1126" i="6"/>
  <c r="U1126" i="6"/>
  <c r="V1126" i="6"/>
  <c r="G548" i="6"/>
  <c r="P548" i="6"/>
  <c r="G408" i="5"/>
  <c r="H408" i="5"/>
  <c r="L407" i="5"/>
  <c r="N407" i="5"/>
  <c r="G1128" i="5"/>
  <c r="H1128" i="5"/>
  <c r="L1127" i="5"/>
  <c r="N1127" i="5"/>
  <c r="G528" i="5"/>
  <c r="H528" i="5"/>
  <c r="L527" i="5"/>
  <c r="N527" i="5"/>
  <c r="E669" i="6"/>
  <c r="F669" i="6"/>
  <c r="Q767" i="6"/>
  <c r="L767" i="6"/>
  <c r="M767" i="6"/>
  <c r="E69" i="6"/>
  <c r="F69" i="6"/>
  <c r="E189" i="6"/>
  <c r="F189" i="6"/>
  <c r="L767" i="5"/>
  <c r="N767" i="5"/>
  <c r="G768" i="5"/>
  <c r="H768" i="5"/>
  <c r="G288" i="5"/>
  <c r="H288" i="5"/>
  <c r="L287" i="5"/>
  <c r="N287" i="5"/>
  <c r="E309" i="6"/>
  <c r="F309" i="6"/>
  <c r="Q887" i="6"/>
  <c r="L887" i="6"/>
  <c r="M887" i="6"/>
  <c r="G48" i="5"/>
  <c r="H48" i="5"/>
  <c r="L47" i="5"/>
  <c r="N47" i="5"/>
  <c r="Q527" i="6"/>
  <c r="L527" i="6"/>
  <c r="M527" i="6"/>
  <c r="G168" i="5"/>
  <c r="H168" i="5"/>
  <c r="L167" i="5"/>
  <c r="N167" i="5"/>
  <c r="E789" i="6"/>
  <c r="F789" i="6"/>
  <c r="E909" i="6"/>
  <c r="F909" i="6"/>
  <c r="G1008" i="5"/>
  <c r="H1008" i="5"/>
  <c r="L1007" i="5"/>
  <c r="N1007" i="5"/>
  <c r="Q47" i="6"/>
  <c r="L47" i="6"/>
  <c r="M47" i="6"/>
  <c r="E1029" i="6"/>
  <c r="F1029" i="6"/>
  <c r="L1127" i="6"/>
  <c r="M1127" i="6"/>
  <c r="Q1127" i="6"/>
  <c r="E1149" i="6"/>
  <c r="F1149" i="6"/>
  <c r="Q167" i="6"/>
  <c r="L167" i="6"/>
  <c r="M167" i="6"/>
  <c r="L887" i="5"/>
  <c r="N887" i="5"/>
  <c r="G888" i="5"/>
  <c r="H888" i="5"/>
  <c r="Q407" i="6"/>
  <c r="L407" i="6"/>
  <c r="M407" i="6"/>
  <c r="E429" i="6"/>
  <c r="F429" i="6"/>
  <c r="E549" i="6"/>
  <c r="F549" i="6"/>
  <c r="L287" i="6"/>
  <c r="M287" i="6"/>
  <c r="Q287" i="6"/>
  <c r="L1007" i="6"/>
  <c r="M1007" i="6"/>
  <c r="Q1007" i="6"/>
  <c r="L647" i="6"/>
  <c r="M647" i="6"/>
  <c r="Q647" i="6"/>
  <c r="L647" i="5"/>
  <c r="N647" i="5"/>
  <c r="G648" i="5"/>
  <c r="H648" i="5"/>
  <c r="I1128" i="5"/>
  <c r="J1128" i="5"/>
  <c r="R1128" i="5"/>
  <c r="R167" i="6"/>
  <c r="N167" i="6"/>
  <c r="G69" i="6"/>
  <c r="P69" i="6"/>
  <c r="T287" i="5"/>
  <c r="U287" i="5"/>
  <c r="P287" i="5"/>
  <c r="N767" i="6"/>
  <c r="R767" i="6"/>
  <c r="S767" i="6"/>
  <c r="P407" i="5"/>
  <c r="T407" i="5"/>
  <c r="U407" i="5"/>
  <c r="P1029" i="6"/>
  <c r="G1029" i="6"/>
  <c r="P789" i="6"/>
  <c r="G789" i="6"/>
  <c r="R288" i="5"/>
  <c r="I288" i="5"/>
  <c r="J288" i="5"/>
  <c r="I408" i="5"/>
  <c r="J408" i="5"/>
  <c r="R408" i="5"/>
  <c r="N1127" i="6"/>
  <c r="R1127" i="6"/>
  <c r="S167" i="6"/>
  <c r="R48" i="5"/>
  <c r="I48" i="5"/>
  <c r="J48" i="5"/>
  <c r="G429" i="6"/>
  <c r="P429" i="6"/>
  <c r="R47" i="6"/>
  <c r="N47" i="6"/>
  <c r="R768" i="5"/>
  <c r="I768" i="5"/>
  <c r="J768" i="5"/>
  <c r="N647" i="6"/>
  <c r="R647" i="6"/>
  <c r="P309" i="6"/>
  <c r="G309" i="6"/>
  <c r="R407" i="6"/>
  <c r="N407" i="6"/>
  <c r="S47" i="6"/>
  <c r="P167" i="5"/>
  <c r="T167" i="5"/>
  <c r="U167" i="5"/>
  <c r="T767" i="5"/>
  <c r="U767" i="5"/>
  <c r="P767" i="5"/>
  <c r="P669" i="6"/>
  <c r="G669" i="6"/>
  <c r="P909" i="6"/>
  <c r="G909" i="6"/>
  <c r="R1007" i="6"/>
  <c r="S1007" i="6"/>
  <c r="N1007" i="6"/>
  <c r="I648" i="5"/>
  <c r="J648" i="5"/>
  <c r="R648" i="5"/>
  <c r="S407" i="6"/>
  <c r="P1149" i="6"/>
  <c r="G1149" i="6"/>
  <c r="P1007" i="5"/>
  <c r="T1007" i="5"/>
  <c r="U1007" i="5"/>
  <c r="R168" i="5"/>
  <c r="I168" i="5"/>
  <c r="J168" i="5"/>
  <c r="N887" i="6"/>
  <c r="R887" i="6"/>
  <c r="P527" i="5"/>
  <c r="T527" i="5"/>
  <c r="U527" i="5"/>
  <c r="S887" i="6"/>
  <c r="P189" i="6"/>
  <c r="G189" i="6"/>
  <c r="R528" i="5"/>
  <c r="I528" i="5"/>
  <c r="J528" i="5"/>
  <c r="P47" i="5"/>
  <c r="T47" i="5"/>
  <c r="U47" i="5"/>
  <c r="G549" i="6"/>
  <c r="P549" i="6"/>
  <c r="T647" i="5"/>
  <c r="U647" i="5"/>
  <c r="P647" i="5"/>
  <c r="I888" i="5"/>
  <c r="J888" i="5"/>
  <c r="R888" i="5"/>
  <c r="I1008" i="5"/>
  <c r="J1008" i="5"/>
  <c r="R1008" i="5"/>
  <c r="N527" i="6"/>
  <c r="R527" i="6"/>
  <c r="S527" i="6"/>
  <c r="S647" i="6"/>
  <c r="R287" i="6"/>
  <c r="S287" i="6"/>
  <c r="N287" i="6"/>
  <c r="T887" i="5"/>
  <c r="U887" i="5"/>
  <c r="P887" i="5"/>
  <c r="S1127" i="6"/>
  <c r="T1127" i="5"/>
  <c r="U1127" i="5"/>
  <c r="P1127" i="5"/>
  <c r="M168" i="5"/>
  <c r="Q167" i="5"/>
  <c r="W167" i="5"/>
  <c r="X167" i="5"/>
  <c r="Q1007" i="5"/>
  <c r="W1007" i="5"/>
  <c r="X1007" i="5"/>
  <c r="M1008" i="5"/>
  <c r="E910" i="6"/>
  <c r="F910" i="6"/>
  <c r="Q287" i="5"/>
  <c r="W287" i="5"/>
  <c r="X287" i="5"/>
  <c r="M288" i="5"/>
  <c r="O1127" i="6"/>
  <c r="U1127" i="6"/>
  <c r="V1127" i="6"/>
  <c r="J1128" i="6"/>
  <c r="K1128" i="6"/>
  <c r="K1008" i="5"/>
  <c r="S1008" i="5"/>
  <c r="M528" i="5"/>
  <c r="Q527" i="5"/>
  <c r="W527" i="5"/>
  <c r="X527" i="5"/>
  <c r="E670" i="6"/>
  <c r="F670" i="6"/>
  <c r="K768" i="5"/>
  <c r="S768" i="5"/>
  <c r="J528" i="6"/>
  <c r="K528" i="6"/>
  <c r="O527" i="6"/>
  <c r="U527" i="6"/>
  <c r="V527" i="6"/>
  <c r="E550" i="6"/>
  <c r="F550" i="6"/>
  <c r="J408" i="6"/>
  <c r="K408" i="6"/>
  <c r="O407" i="6"/>
  <c r="U407" i="6"/>
  <c r="V407" i="6"/>
  <c r="E310" i="6"/>
  <c r="F310" i="6"/>
  <c r="K408" i="5"/>
  <c r="S408" i="5"/>
  <c r="E70" i="6"/>
  <c r="F70" i="6"/>
  <c r="E1150" i="6"/>
  <c r="F1150" i="6"/>
  <c r="E1030" i="6"/>
  <c r="F1030" i="6"/>
  <c r="M888" i="5"/>
  <c r="Q887" i="5"/>
  <c r="W887" i="5"/>
  <c r="X887" i="5"/>
  <c r="M48" i="5"/>
  <c r="Q47" i="5"/>
  <c r="W47" i="5"/>
  <c r="X47" i="5"/>
  <c r="O287" i="6"/>
  <c r="U287" i="6"/>
  <c r="V287" i="6"/>
  <c r="J288" i="6"/>
  <c r="K288" i="6"/>
  <c r="S888" i="5"/>
  <c r="K888" i="5"/>
  <c r="S528" i="5"/>
  <c r="K528" i="5"/>
  <c r="J888" i="6"/>
  <c r="K888" i="6"/>
  <c r="O887" i="6"/>
  <c r="U887" i="6"/>
  <c r="V887" i="6"/>
  <c r="M768" i="5"/>
  <c r="Q767" i="5"/>
  <c r="W767" i="5"/>
  <c r="X767" i="5"/>
  <c r="E430" i="6"/>
  <c r="F430" i="6"/>
  <c r="J168" i="6"/>
  <c r="K168" i="6"/>
  <c r="O167" i="6"/>
  <c r="U167" i="6"/>
  <c r="V167" i="6"/>
  <c r="E790" i="6"/>
  <c r="F790" i="6"/>
  <c r="J48" i="6"/>
  <c r="K48" i="6"/>
  <c r="O47" i="6"/>
  <c r="U47" i="6"/>
  <c r="V47" i="6"/>
  <c r="S168" i="5"/>
  <c r="K168" i="5"/>
  <c r="K648" i="5"/>
  <c r="S648" i="5"/>
  <c r="S48" i="5"/>
  <c r="K48" i="5"/>
  <c r="S288" i="5"/>
  <c r="K288" i="5"/>
  <c r="M408" i="5"/>
  <c r="Q407" i="5"/>
  <c r="W407" i="5"/>
  <c r="X407" i="5"/>
  <c r="Q1127" i="5"/>
  <c r="W1127" i="5"/>
  <c r="X1127" i="5"/>
  <c r="M1128" i="5"/>
  <c r="M648" i="5"/>
  <c r="Q647" i="5"/>
  <c r="W647" i="5"/>
  <c r="X647" i="5"/>
  <c r="E190" i="6"/>
  <c r="F190" i="6"/>
  <c r="J1008" i="6"/>
  <c r="K1008" i="6"/>
  <c r="O1007" i="6"/>
  <c r="U1007" i="6"/>
  <c r="V1007" i="6"/>
  <c r="J648" i="6"/>
  <c r="K648" i="6"/>
  <c r="O647" i="6"/>
  <c r="U647" i="6"/>
  <c r="V647" i="6"/>
  <c r="J768" i="6"/>
  <c r="K768" i="6"/>
  <c r="O767" i="6"/>
  <c r="U767" i="6"/>
  <c r="V767" i="6"/>
  <c r="S1128" i="5"/>
  <c r="K1128" i="5"/>
  <c r="G1009" i="5"/>
  <c r="H1009" i="5"/>
  <c r="L1008" i="5"/>
  <c r="N1008" i="5"/>
  <c r="P190" i="6"/>
  <c r="G190" i="6"/>
  <c r="P430" i="6"/>
  <c r="G430" i="6"/>
  <c r="L1128" i="6"/>
  <c r="M1128" i="6"/>
  <c r="Q1128" i="6"/>
  <c r="L408" i="6"/>
  <c r="M408" i="6"/>
  <c r="Q408" i="6"/>
  <c r="G49" i="5"/>
  <c r="H49" i="5"/>
  <c r="L48" i="5"/>
  <c r="N48" i="5"/>
  <c r="L48" i="6"/>
  <c r="M48" i="6"/>
  <c r="Q48" i="6"/>
  <c r="L888" i="5"/>
  <c r="N888" i="5"/>
  <c r="G889" i="5"/>
  <c r="H889" i="5"/>
  <c r="G409" i="5"/>
  <c r="H409" i="5"/>
  <c r="L408" i="5"/>
  <c r="N408" i="5"/>
  <c r="G550" i="6"/>
  <c r="P550" i="6"/>
  <c r="G910" i="6"/>
  <c r="P910" i="6"/>
  <c r="G670" i="6"/>
  <c r="P670" i="6"/>
  <c r="L1128" i="5"/>
  <c r="N1128" i="5"/>
  <c r="G1129" i="5"/>
  <c r="H1129" i="5"/>
  <c r="Q648" i="6"/>
  <c r="L648" i="6"/>
  <c r="M648" i="6"/>
  <c r="G790" i="6"/>
  <c r="P790" i="6"/>
  <c r="L288" i="6"/>
  <c r="M288" i="6"/>
  <c r="Q288" i="6"/>
  <c r="L528" i="6"/>
  <c r="M528" i="6"/>
  <c r="Q528" i="6"/>
  <c r="P1030" i="6"/>
  <c r="G1030" i="6"/>
  <c r="L648" i="5"/>
  <c r="N648" i="5"/>
  <c r="G649" i="5"/>
  <c r="H649" i="5"/>
  <c r="P310" i="6"/>
  <c r="G310" i="6"/>
  <c r="L288" i="5"/>
  <c r="N288" i="5"/>
  <c r="G289" i="5"/>
  <c r="H289" i="5"/>
  <c r="G529" i="5"/>
  <c r="H529" i="5"/>
  <c r="L528" i="5"/>
  <c r="N528" i="5"/>
  <c r="L1008" i="6"/>
  <c r="M1008" i="6"/>
  <c r="Q1008" i="6"/>
  <c r="G169" i="5"/>
  <c r="H169" i="5"/>
  <c r="L168" i="5"/>
  <c r="N168" i="5"/>
  <c r="P1150" i="6"/>
  <c r="G1150" i="6"/>
  <c r="L768" i="5"/>
  <c r="N768" i="5"/>
  <c r="G769" i="5"/>
  <c r="H769" i="5"/>
  <c r="Q768" i="6"/>
  <c r="L768" i="6"/>
  <c r="M768" i="6"/>
  <c r="L168" i="6"/>
  <c r="M168" i="6"/>
  <c r="Q168" i="6"/>
  <c r="Q888" i="6"/>
  <c r="L888" i="6"/>
  <c r="M888" i="6"/>
  <c r="P70" i="6"/>
  <c r="G70" i="6"/>
  <c r="P528" i="5"/>
  <c r="T528" i="5"/>
  <c r="U528" i="5"/>
  <c r="P48" i="5"/>
  <c r="T48" i="5"/>
  <c r="U48" i="5"/>
  <c r="E191" i="6"/>
  <c r="F191" i="6"/>
  <c r="T768" i="5"/>
  <c r="U768" i="5"/>
  <c r="P768" i="5"/>
  <c r="I529" i="5"/>
  <c r="J529" i="5"/>
  <c r="R529" i="5"/>
  <c r="E551" i="6"/>
  <c r="F551" i="6"/>
  <c r="I49" i="5"/>
  <c r="J49" i="5"/>
  <c r="R49" i="5"/>
  <c r="R888" i="6"/>
  <c r="N888" i="6"/>
  <c r="E1151" i="6"/>
  <c r="F1151" i="6"/>
  <c r="I289" i="5"/>
  <c r="J289" i="5"/>
  <c r="R289" i="5"/>
  <c r="I1129" i="5"/>
  <c r="J1129" i="5"/>
  <c r="R1129" i="5"/>
  <c r="P408" i="5"/>
  <c r="T408" i="5"/>
  <c r="U408" i="5"/>
  <c r="P1008" i="5"/>
  <c r="T1008" i="5"/>
  <c r="U1008" i="5"/>
  <c r="N528" i="6"/>
  <c r="R528" i="6"/>
  <c r="S528" i="6"/>
  <c r="P1128" i="5"/>
  <c r="T1128" i="5"/>
  <c r="U1128" i="5"/>
  <c r="I1009" i="5"/>
  <c r="J1009" i="5"/>
  <c r="R1009" i="5"/>
  <c r="S168" i="6"/>
  <c r="P168" i="5"/>
  <c r="T168" i="5"/>
  <c r="U168" i="5"/>
  <c r="E311" i="6"/>
  <c r="F311" i="6"/>
  <c r="R889" i="5"/>
  <c r="I889" i="5"/>
  <c r="J889" i="5"/>
  <c r="N648" i="6"/>
  <c r="R648" i="6"/>
  <c r="S648" i="6"/>
  <c r="S888" i="6"/>
  <c r="P288" i="5"/>
  <c r="T288" i="5"/>
  <c r="U288" i="5"/>
  <c r="I409" i="5"/>
  <c r="J409" i="5"/>
  <c r="R409" i="5"/>
  <c r="R168" i="6"/>
  <c r="N168" i="6"/>
  <c r="R169" i="5"/>
  <c r="I169" i="5"/>
  <c r="J169" i="5"/>
  <c r="N288" i="6"/>
  <c r="R288" i="6"/>
  <c r="S288" i="6"/>
  <c r="E671" i="6"/>
  <c r="F671" i="6"/>
  <c r="T888" i="5"/>
  <c r="U888" i="5"/>
  <c r="P888" i="5"/>
  <c r="N1128" i="6"/>
  <c r="R1128" i="6"/>
  <c r="S1128" i="6"/>
  <c r="R769" i="5"/>
  <c r="I769" i="5"/>
  <c r="J769" i="5"/>
  <c r="E431" i="6"/>
  <c r="F431" i="6"/>
  <c r="E71" i="6"/>
  <c r="F71" i="6"/>
  <c r="E1031" i="6"/>
  <c r="F1031" i="6"/>
  <c r="R408" i="6"/>
  <c r="S408" i="6"/>
  <c r="N408" i="6"/>
  <c r="R768" i="6"/>
  <c r="N768" i="6"/>
  <c r="R649" i="5"/>
  <c r="I649" i="5"/>
  <c r="J649" i="5"/>
  <c r="S48" i="6"/>
  <c r="S768" i="6"/>
  <c r="N1008" i="6"/>
  <c r="R1008" i="6"/>
  <c r="S1008" i="6"/>
  <c r="T648" i="5"/>
  <c r="U648" i="5"/>
  <c r="P648" i="5"/>
  <c r="E791" i="6"/>
  <c r="F791" i="6"/>
  <c r="E911" i="6"/>
  <c r="F911" i="6"/>
  <c r="R48" i="6"/>
  <c r="N48" i="6"/>
  <c r="S289" i="5"/>
  <c r="K289" i="5"/>
  <c r="P431" i="6"/>
  <c r="G431" i="6"/>
  <c r="P791" i="6"/>
  <c r="G791" i="6"/>
  <c r="K409" i="5"/>
  <c r="S409" i="5"/>
  <c r="P551" i="6"/>
  <c r="G551" i="6"/>
  <c r="O288" i="6"/>
  <c r="U288" i="6"/>
  <c r="V288" i="6"/>
  <c r="J289" i="6"/>
  <c r="K289" i="6"/>
  <c r="S1009" i="5"/>
  <c r="K1009" i="5"/>
  <c r="P191" i="6"/>
  <c r="G191" i="6"/>
  <c r="P671" i="6"/>
  <c r="G671" i="6"/>
  <c r="Q288" i="5"/>
  <c r="W288" i="5"/>
  <c r="X288" i="5"/>
  <c r="M289" i="5"/>
  <c r="Q408" i="5"/>
  <c r="W408" i="5"/>
  <c r="X408" i="5"/>
  <c r="M409" i="5"/>
  <c r="J889" i="6"/>
  <c r="K889" i="6"/>
  <c r="O888" i="6"/>
  <c r="U888" i="6"/>
  <c r="V888" i="6"/>
  <c r="S169" i="5"/>
  <c r="K169" i="5"/>
  <c r="G311" i="6"/>
  <c r="P311" i="6"/>
  <c r="Q1128" i="5"/>
  <c r="W1128" i="5"/>
  <c r="X1128" i="5"/>
  <c r="M1129" i="5"/>
  <c r="M49" i="5"/>
  <c r="Q48" i="5"/>
  <c r="W48" i="5"/>
  <c r="X48" i="5"/>
  <c r="O408" i="6"/>
  <c r="U408" i="6"/>
  <c r="V408" i="6"/>
  <c r="J409" i="6"/>
  <c r="K409" i="6"/>
  <c r="K769" i="5"/>
  <c r="S769" i="5"/>
  <c r="M649" i="5"/>
  <c r="Q648" i="5"/>
  <c r="W648" i="5"/>
  <c r="X648" i="5"/>
  <c r="O48" i="6"/>
  <c r="U48" i="6"/>
  <c r="V48" i="6"/>
  <c r="J49" i="6"/>
  <c r="K49" i="6"/>
  <c r="M889" i="5"/>
  <c r="Q888" i="5"/>
  <c r="W888" i="5"/>
  <c r="X888" i="5"/>
  <c r="K1129" i="5"/>
  <c r="S1129" i="5"/>
  <c r="S529" i="5"/>
  <c r="K529" i="5"/>
  <c r="S889" i="5"/>
  <c r="K889" i="5"/>
  <c r="G1151" i="6"/>
  <c r="P1151" i="6"/>
  <c r="P1031" i="6"/>
  <c r="G1031" i="6"/>
  <c r="J1129" i="6"/>
  <c r="K1129" i="6"/>
  <c r="O1128" i="6"/>
  <c r="U1128" i="6"/>
  <c r="V1128" i="6"/>
  <c r="O1008" i="6"/>
  <c r="U1008" i="6"/>
  <c r="V1008" i="6"/>
  <c r="J1009" i="6"/>
  <c r="K1009" i="6"/>
  <c r="J769" i="6"/>
  <c r="K769" i="6"/>
  <c r="O768" i="6"/>
  <c r="U768" i="6"/>
  <c r="V768" i="6"/>
  <c r="P71" i="6"/>
  <c r="G71" i="6"/>
  <c r="O168" i="6"/>
  <c r="U168" i="6"/>
  <c r="V168" i="6"/>
  <c r="J169" i="6"/>
  <c r="K169" i="6"/>
  <c r="J649" i="6"/>
  <c r="K649" i="6"/>
  <c r="O648" i="6"/>
  <c r="U648" i="6"/>
  <c r="V648" i="6"/>
  <c r="O528" i="6"/>
  <c r="U528" i="6"/>
  <c r="V528" i="6"/>
  <c r="J529" i="6"/>
  <c r="K529" i="6"/>
  <c r="M769" i="5"/>
  <c r="Q768" i="5"/>
  <c r="W768" i="5"/>
  <c r="X768" i="5"/>
  <c r="Q1008" i="5"/>
  <c r="W1008" i="5"/>
  <c r="X1008" i="5"/>
  <c r="M1009" i="5"/>
  <c r="K649" i="5"/>
  <c r="S649" i="5"/>
  <c r="G911" i="6"/>
  <c r="P911" i="6"/>
  <c r="M169" i="5"/>
  <c r="Q168" i="5"/>
  <c r="W168" i="5"/>
  <c r="X168" i="5"/>
  <c r="S49" i="5"/>
  <c r="K49" i="5"/>
  <c r="M529" i="5"/>
  <c r="Q528" i="5"/>
  <c r="W528" i="5"/>
  <c r="X528" i="5"/>
  <c r="L49" i="6"/>
  <c r="M49" i="6"/>
  <c r="Q49" i="6"/>
  <c r="G410" i="5"/>
  <c r="H410" i="5"/>
  <c r="L409" i="5"/>
  <c r="N409" i="5"/>
  <c r="L169" i="6"/>
  <c r="M169" i="6"/>
  <c r="Q169" i="6"/>
  <c r="G530" i="5"/>
  <c r="H530" i="5"/>
  <c r="L529" i="5"/>
  <c r="N529" i="5"/>
  <c r="L409" i="6"/>
  <c r="M409" i="6"/>
  <c r="Q409" i="6"/>
  <c r="E792" i="6"/>
  <c r="F792" i="6"/>
  <c r="G50" i="5"/>
  <c r="H50" i="5"/>
  <c r="L49" i="5"/>
  <c r="N49" i="5"/>
  <c r="L769" i="5"/>
  <c r="N769" i="5"/>
  <c r="G770" i="5"/>
  <c r="H770" i="5"/>
  <c r="E312" i="6"/>
  <c r="F312" i="6"/>
  <c r="Q289" i="6"/>
  <c r="L289" i="6"/>
  <c r="M289" i="6"/>
  <c r="E1032" i="6"/>
  <c r="F1032" i="6"/>
  <c r="G170" i="5"/>
  <c r="H170" i="5"/>
  <c r="L169" i="5"/>
  <c r="N169" i="5"/>
  <c r="E432" i="6"/>
  <c r="F432" i="6"/>
  <c r="L649" i="5"/>
  <c r="N649" i="5"/>
  <c r="G650" i="5"/>
  <c r="H650" i="5"/>
  <c r="Q649" i="6"/>
  <c r="L649" i="6"/>
  <c r="M649" i="6"/>
  <c r="G1010" i="5"/>
  <c r="H1010" i="5"/>
  <c r="L1009" i="5"/>
  <c r="N1009" i="5"/>
  <c r="Q1129" i="6"/>
  <c r="L1129" i="6"/>
  <c r="M1129" i="6"/>
  <c r="E72" i="6"/>
  <c r="F72" i="6"/>
  <c r="L1129" i="5"/>
  <c r="N1129" i="5"/>
  <c r="G1130" i="5"/>
  <c r="H1130" i="5"/>
  <c r="E672" i="6"/>
  <c r="F672" i="6"/>
  <c r="L889" i="5"/>
  <c r="N889" i="5"/>
  <c r="G890" i="5"/>
  <c r="H890" i="5"/>
  <c r="E552" i="6"/>
  <c r="F552" i="6"/>
  <c r="L289" i="5"/>
  <c r="N289" i="5"/>
  <c r="G290" i="5"/>
  <c r="H290" i="5"/>
  <c r="Q1009" i="6"/>
  <c r="L1009" i="6"/>
  <c r="M1009" i="6"/>
  <c r="E912" i="6"/>
  <c r="F912" i="6"/>
  <c r="L529" i="6"/>
  <c r="M529" i="6"/>
  <c r="Q529" i="6"/>
  <c r="L769" i="6"/>
  <c r="M769" i="6"/>
  <c r="Q769" i="6"/>
  <c r="E1152" i="6"/>
  <c r="F1152" i="6"/>
  <c r="L889" i="6"/>
  <c r="M889" i="6"/>
  <c r="Q889" i="6"/>
  <c r="E192" i="6"/>
  <c r="F192" i="6"/>
  <c r="G552" i="6"/>
  <c r="P552" i="6"/>
  <c r="N529" i="6"/>
  <c r="R529" i="6"/>
  <c r="I1130" i="5"/>
  <c r="J1130" i="5"/>
  <c r="R1130" i="5"/>
  <c r="G432" i="6"/>
  <c r="P432" i="6"/>
  <c r="I410" i="5"/>
  <c r="J410" i="5"/>
  <c r="R410" i="5"/>
  <c r="P1009" i="5"/>
  <c r="T1009" i="5"/>
  <c r="U1009" i="5"/>
  <c r="P312" i="6"/>
  <c r="G312" i="6"/>
  <c r="P1152" i="6"/>
  <c r="G1152" i="6"/>
  <c r="P912" i="6"/>
  <c r="G912" i="6"/>
  <c r="I1010" i="5"/>
  <c r="J1010" i="5"/>
  <c r="R1010" i="5"/>
  <c r="I170" i="5"/>
  <c r="J170" i="5"/>
  <c r="R170" i="5"/>
  <c r="R770" i="5"/>
  <c r="I770" i="5"/>
  <c r="J770" i="5"/>
  <c r="N409" i="6"/>
  <c r="R409" i="6"/>
  <c r="S409" i="6"/>
  <c r="N49" i="6"/>
  <c r="R49" i="6"/>
  <c r="S49" i="6"/>
  <c r="P1129" i="5"/>
  <c r="T1129" i="5"/>
  <c r="U1129" i="5"/>
  <c r="P169" i="5"/>
  <c r="T169" i="5"/>
  <c r="U169" i="5"/>
  <c r="R890" i="5"/>
  <c r="I890" i="5"/>
  <c r="J890" i="5"/>
  <c r="R649" i="6"/>
  <c r="N649" i="6"/>
  <c r="T769" i="5"/>
  <c r="U769" i="5"/>
  <c r="P769" i="5"/>
  <c r="P529" i="5"/>
  <c r="T529" i="5"/>
  <c r="U529" i="5"/>
  <c r="R889" i="6"/>
  <c r="S889" i="6"/>
  <c r="N889" i="6"/>
  <c r="S769" i="6"/>
  <c r="T889" i="5"/>
  <c r="U889" i="5"/>
  <c r="P889" i="5"/>
  <c r="S649" i="6"/>
  <c r="G1032" i="6"/>
  <c r="P1032" i="6"/>
  <c r="P49" i="5"/>
  <c r="T49" i="5"/>
  <c r="U49" i="5"/>
  <c r="I530" i="5"/>
  <c r="J530" i="5"/>
  <c r="R530" i="5"/>
  <c r="R769" i="6"/>
  <c r="N769" i="6"/>
  <c r="I650" i="5"/>
  <c r="J650" i="5"/>
  <c r="R650" i="5"/>
  <c r="I50" i="5"/>
  <c r="J50" i="5"/>
  <c r="R50" i="5"/>
  <c r="S169" i="6"/>
  <c r="T649" i="5"/>
  <c r="U649" i="5"/>
  <c r="P649" i="5"/>
  <c r="N289" i="6"/>
  <c r="R289" i="6"/>
  <c r="N169" i="6"/>
  <c r="R169" i="6"/>
  <c r="N1009" i="6"/>
  <c r="R1009" i="6"/>
  <c r="S1009" i="6"/>
  <c r="G192" i="6"/>
  <c r="P192" i="6"/>
  <c r="I290" i="5"/>
  <c r="J290" i="5"/>
  <c r="R290" i="5"/>
  <c r="G72" i="6"/>
  <c r="P72" i="6"/>
  <c r="S529" i="6"/>
  <c r="T289" i="5"/>
  <c r="U289" i="5"/>
  <c r="P289" i="5"/>
  <c r="P672" i="6"/>
  <c r="G672" i="6"/>
  <c r="R1129" i="6"/>
  <c r="S1129" i="6"/>
  <c r="N1129" i="6"/>
  <c r="S289" i="6"/>
  <c r="P792" i="6"/>
  <c r="G792" i="6"/>
  <c r="T409" i="5"/>
  <c r="U409" i="5"/>
  <c r="P409" i="5"/>
  <c r="S170" i="5"/>
  <c r="K170" i="5"/>
  <c r="E313" i="6"/>
  <c r="F313" i="6"/>
  <c r="Q1129" i="5"/>
  <c r="W1129" i="5"/>
  <c r="X1129" i="5"/>
  <c r="M1130" i="5"/>
  <c r="O889" i="6"/>
  <c r="U889" i="6"/>
  <c r="V889" i="6"/>
  <c r="J890" i="6"/>
  <c r="K890" i="6"/>
  <c r="S890" i="5"/>
  <c r="K890" i="5"/>
  <c r="O49" i="6"/>
  <c r="U49" i="6"/>
  <c r="V49" i="6"/>
  <c r="J50" i="6"/>
  <c r="K50" i="6"/>
  <c r="K1010" i="5"/>
  <c r="S1010" i="5"/>
  <c r="K1130" i="5"/>
  <c r="S1130" i="5"/>
  <c r="J1010" i="6"/>
  <c r="K1010" i="6"/>
  <c r="O1009" i="6"/>
  <c r="U1009" i="6"/>
  <c r="V1009" i="6"/>
  <c r="J1130" i="6"/>
  <c r="K1130" i="6"/>
  <c r="O1129" i="6"/>
  <c r="U1129" i="6"/>
  <c r="V1129" i="6"/>
  <c r="M50" i="5"/>
  <c r="Q49" i="5"/>
  <c r="W49" i="5"/>
  <c r="X49" i="5"/>
  <c r="E913" i="6"/>
  <c r="F913" i="6"/>
  <c r="Q1009" i="5"/>
  <c r="W1009" i="5"/>
  <c r="X1009" i="5"/>
  <c r="M1010" i="5"/>
  <c r="E793" i="6"/>
  <c r="F793" i="6"/>
  <c r="J650" i="6"/>
  <c r="K650" i="6"/>
  <c r="O649" i="6"/>
  <c r="U649" i="6"/>
  <c r="V649" i="6"/>
  <c r="S50" i="5"/>
  <c r="K50" i="5"/>
  <c r="J170" i="6"/>
  <c r="K170" i="6"/>
  <c r="O169" i="6"/>
  <c r="U169" i="6"/>
  <c r="V169" i="6"/>
  <c r="K650" i="5"/>
  <c r="S650" i="5"/>
  <c r="O409" i="6"/>
  <c r="U409" i="6"/>
  <c r="V409" i="6"/>
  <c r="J410" i="6"/>
  <c r="K410" i="6"/>
  <c r="O529" i="6"/>
  <c r="U529" i="6"/>
  <c r="V529" i="6"/>
  <c r="J530" i="6"/>
  <c r="K530" i="6"/>
  <c r="S530" i="5"/>
  <c r="K530" i="5"/>
  <c r="S290" i="5"/>
  <c r="K290" i="5"/>
  <c r="S770" i="5"/>
  <c r="K770" i="5"/>
  <c r="E1153" i="6"/>
  <c r="F1153" i="6"/>
  <c r="S410" i="5"/>
  <c r="K410" i="5"/>
  <c r="E73" i="6"/>
  <c r="F73" i="6"/>
  <c r="E673" i="6"/>
  <c r="F673" i="6"/>
  <c r="J290" i="6"/>
  <c r="K290" i="6"/>
  <c r="O289" i="6"/>
  <c r="U289" i="6"/>
  <c r="V289" i="6"/>
  <c r="E1033" i="6"/>
  <c r="F1033" i="6"/>
  <c r="M530" i="5"/>
  <c r="Q529" i="5"/>
  <c r="W529" i="5"/>
  <c r="X529" i="5"/>
  <c r="M410" i="5"/>
  <c r="Q409" i="5"/>
  <c r="W409" i="5"/>
  <c r="X409" i="5"/>
  <c r="M650" i="5"/>
  <c r="Q649" i="5"/>
  <c r="W649" i="5"/>
  <c r="X649" i="5"/>
  <c r="J770" i="6"/>
  <c r="K770" i="6"/>
  <c r="O769" i="6"/>
  <c r="U769" i="6"/>
  <c r="V769" i="6"/>
  <c r="M770" i="5"/>
  <c r="Q769" i="5"/>
  <c r="W769" i="5"/>
  <c r="X769" i="5"/>
  <c r="M170" i="5"/>
  <c r="Q169" i="5"/>
  <c r="W169" i="5"/>
  <c r="X169" i="5"/>
  <c r="M290" i="5"/>
  <c r="Q289" i="5"/>
  <c r="W289" i="5"/>
  <c r="X289" i="5"/>
  <c r="E193" i="6"/>
  <c r="F193" i="6"/>
  <c r="M890" i="5"/>
  <c r="Q889" i="5"/>
  <c r="W889" i="5"/>
  <c r="X889" i="5"/>
  <c r="E433" i="6"/>
  <c r="F433" i="6"/>
  <c r="E553" i="6"/>
  <c r="F553" i="6"/>
  <c r="L1130" i="6"/>
  <c r="M1130" i="6"/>
  <c r="Q1130" i="6"/>
  <c r="Q50" i="6"/>
  <c r="L50" i="6"/>
  <c r="M50" i="6"/>
  <c r="Q170" i="6"/>
  <c r="L170" i="6"/>
  <c r="M170" i="6"/>
  <c r="P1033" i="6"/>
  <c r="G1033" i="6"/>
  <c r="L290" i="5"/>
  <c r="N290" i="5"/>
  <c r="G291" i="5"/>
  <c r="H291" i="5"/>
  <c r="G51" i="5"/>
  <c r="H51" i="5"/>
  <c r="L50" i="5"/>
  <c r="N50" i="5"/>
  <c r="Q410" i="6"/>
  <c r="L410" i="6"/>
  <c r="M410" i="6"/>
  <c r="P913" i="6"/>
  <c r="G913" i="6"/>
  <c r="L890" i="5"/>
  <c r="N890" i="5"/>
  <c r="G891" i="5"/>
  <c r="H891" i="5"/>
  <c r="L770" i="6"/>
  <c r="M770" i="6"/>
  <c r="Q770" i="6"/>
  <c r="L770" i="5"/>
  <c r="N770" i="5"/>
  <c r="G771" i="5"/>
  <c r="H771" i="5"/>
  <c r="G1011" i="5"/>
  <c r="H1011" i="5"/>
  <c r="L1010" i="5"/>
  <c r="N1010" i="5"/>
  <c r="P193" i="6"/>
  <c r="G193" i="6"/>
  <c r="Q290" i="6"/>
  <c r="L290" i="6"/>
  <c r="M290" i="6"/>
  <c r="G411" i="5"/>
  <c r="H411" i="5"/>
  <c r="L410" i="5"/>
  <c r="N410" i="5"/>
  <c r="Q1010" i="6"/>
  <c r="L1010" i="6"/>
  <c r="M1010" i="6"/>
  <c r="P313" i="6"/>
  <c r="G313" i="6"/>
  <c r="L890" i="6"/>
  <c r="M890" i="6"/>
  <c r="Q890" i="6"/>
  <c r="G171" i="5"/>
  <c r="H171" i="5"/>
  <c r="L170" i="5"/>
  <c r="N170" i="5"/>
  <c r="P673" i="6"/>
  <c r="G673" i="6"/>
  <c r="L1130" i="5"/>
  <c r="N1130" i="5"/>
  <c r="G1131" i="5"/>
  <c r="H1131" i="5"/>
  <c r="G73" i="6"/>
  <c r="P73" i="6"/>
  <c r="P553" i="6"/>
  <c r="G553" i="6"/>
  <c r="G531" i="5"/>
  <c r="H531" i="5"/>
  <c r="L530" i="5"/>
  <c r="N530" i="5"/>
  <c r="L650" i="6"/>
  <c r="M650" i="6"/>
  <c r="Q650" i="6"/>
  <c r="G1153" i="6"/>
  <c r="P1153" i="6"/>
  <c r="G433" i="6"/>
  <c r="P433" i="6"/>
  <c r="Q530" i="6"/>
  <c r="L530" i="6"/>
  <c r="M530" i="6"/>
  <c r="L650" i="5"/>
  <c r="N650" i="5"/>
  <c r="G651" i="5"/>
  <c r="H651" i="5"/>
  <c r="P793" i="6"/>
  <c r="G793" i="6"/>
  <c r="N890" i="6"/>
  <c r="R890" i="6"/>
  <c r="S650" i="6"/>
  <c r="I891" i="5"/>
  <c r="J891" i="5"/>
  <c r="R891" i="5"/>
  <c r="T1130" i="5"/>
  <c r="U1130" i="5"/>
  <c r="P1130" i="5"/>
  <c r="T890" i="5"/>
  <c r="U890" i="5"/>
  <c r="P890" i="5"/>
  <c r="T290" i="5"/>
  <c r="U290" i="5"/>
  <c r="P290" i="5"/>
  <c r="R1130" i="6"/>
  <c r="N1130" i="6"/>
  <c r="N770" i="6"/>
  <c r="R770" i="6"/>
  <c r="I1131" i="5"/>
  <c r="J1131" i="5"/>
  <c r="R1131" i="5"/>
  <c r="E314" i="6"/>
  <c r="F314" i="6"/>
  <c r="R650" i="6"/>
  <c r="N650" i="6"/>
  <c r="N530" i="6"/>
  <c r="R530" i="6"/>
  <c r="S530" i="6"/>
  <c r="R1010" i="6"/>
  <c r="N1010" i="6"/>
  <c r="P1010" i="5"/>
  <c r="T1010" i="5"/>
  <c r="U1010" i="5"/>
  <c r="E914" i="6"/>
  <c r="F914" i="6"/>
  <c r="E1034" i="6"/>
  <c r="F1034" i="6"/>
  <c r="E194" i="6"/>
  <c r="F194" i="6"/>
  <c r="T650" i="5"/>
  <c r="U650" i="5"/>
  <c r="P650" i="5"/>
  <c r="P530" i="5"/>
  <c r="T530" i="5"/>
  <c r="U530" i="5"/>
  <c r="E674" i="6"/>
  <c r="F674" i="6"/>
  <c r="I531" i="5"/>
  <c r="J531" i="5"/>
  <c r="R531" i="5"/>
  <c r="S1010" i="6"/>
  <c r="I1011" i="5"/>
  <c r="J1011" i="5"/>
  <c r="R1011" i="5"/>
  <c r="T410" i="5"/>
  <c r="U410" i="5"/>
  <c r="P410" i="5"/>
  <c r="R771" i="5"/>
  <c r="I771" i="5"/>
  <c r="J771" i="5"/>
  <c r="N410" i="6"/>
  <c r="R410" i="6"/>
  <c r="N170" i="6"/>
  <c r="R170" i="6"/>
  <c r="E74" i="6"/>
  <c r="F74" i="6"/>
  <c r="R51" i="5"/>
  <c r="I51" i="5"/>
  <c r="J51" i="5"/>
  <c r="I291" i="5"/>
  <c r="J291" i="5"/>
  <c r="R291" i="5"/>
  <c r="E554" i="6"/>
  <c r="F554" i="6"/>
  <c r="I171" i="5"/>
  <c r="J171" i="5"/>
  <c r="R171" i="5"/>
  <c r="R411" i="5"/>
  <c r="I411" i="5"/>
  <c r="J411" i="5"/>
  <c r="T770" i="5"/>
  <c r="U770" i="5"/>
  <c r="P770" i="5"/>
  <c r="S410" i="6"/>
  <c r="S170" i="6"/>
  <c r="E1154" i="6"/>
  <c r="F1154" i="6"/>
  <c r="I651" i="5"/>
  <c r="J651" i="5"/>
  <c r="R651" i="5"/>
  <c r="S1130" i="6"/>
  <c r="P170" i="5"/>
  <c r="T170" i="5"/>
  <c r="U170" i="5"/>
  <c r="E434" i="6"/>
  <c r="F434" i="6"/>
  <c r="E794" i="6"/>
  <c r="F794" i="6"/>
  <c r="S890" i="6"/>
  <c r="R290" i="6"/>
  <c r="S290" i="6"/>
  <c r="N290" i="6"/>
  <c r="S770" i="6"/>
  <c r="P50" i="5"/>
  <c r="T50" i="5"/>
  <c r="U50" i="5"/>
  <c r="N50" i="6"/>
  <c r="R50" i="6"/>
  <c r="S50" i="6"/>
  <c r="S171" i="5"/>
  <c r="K171" i="5"/>
  <c r="M411" i="5"/>
  <c r="Q410" i="5"/>
  <c r="W410" i="5"/>
  <c r="X410" i="5"/>
  <c r="P1034" i="6"/>
  <c r="G1034" i="6"/>
  <c r="O770" i="6"/>
  <c r="U770" i="6"/>
  <c r="V770" i="6"/>
  <c r="J771" i="6"/>
  <c r="K771" i="6"/>
  <c r="P74" i="6"/>
  <c r="G74" i="6"/>
  <c r="J1131" i="6"/>
  <c r="K1131" i="6"/>
  <c r="O1130" i="6"/>
  <c r="U1130" i="6"/>
  <c r="V1130" i="6"/>
  <c r="M171" i="5"/>
  <c r="Q170" i="5"/>
  <c r="W170" i="5"/>
  <c r="X170" i="5"/>
  <c r="M771" i="5"/>
  <c r="Q770" i="5"/>
  <c r="W770" i="5"/>
  <c r="X770" i="5"/>
  <c r="G914" i="6"/>
  <c r="P914" i="6"/>
  <c r="J291" i="6"/>
  <c r="K291" i="6"/>
  <c r="O290" i="6"/>
  <c r="U290" i="6"/>
  <c r="V290" i="6"/>
  <c r="O530" i="6"/>
  <c r="U530" i="6"/>
  <c r="V530" i="6"/>
  <c r="J531" i="6"/>
  <c r="K531" i="6"/>
  <c r="G554" i="6"/>
  <c r="P554" i="6"/>
  <c r="S531" i="5"/>
  <c r="K531" i="5"/>
  <c r="O650" i="6"/>
  <c r="U650" i="6"/>
  <c r="V650" i="6"/>
  <c r="J651" i="6"/>
  <c r="K651" i="6"/>
  <c r="J171" i="6"/>
  <c r="K171" i="6"/>
  <c r="O170" i="6"/>
  <c r="U170" i="6"/>
  <c r="V170" i="6"/>
  <c r="G674" i="6"/>
  <c r="P674" i="6"/>
  <c r="P194" i="6"/>
  <c r="G194" i="6"/>
  <c r="Q290" i="5"/>
  <c r="W290" i="5"/>
  <c r="X290" i="5"/>
  <c r="M291" i="5"/>
  <c r="S891" i="5"/>
  <c r="K891" i="5"/>
  <c r="P434" i="6"/>
  <c r="G434" i="6"/>
  <c r="M651" i="5"/>
  <c r="Q650" i="5"/>
  <c r="W650" i="5"/>
  <c r="X650" i="5"/>
  <c r="Q1130" i="5"/>
  <c r="W1130" i="5"/>
  <c r="X1130" i="5"/>
  <c r="M1131" i="5"/>
  <c r="J51" i="6"/>
  <c r="K51" i="6"/>
  <c r="O50" i="6"/>
  <c r="U50" i="6"/>
  <c r="V50" i="6"/>
  <c r="K411" i="5"/>
  <c r="S411" i="5"/>
  <c r="Q1010" i="5"/>
  <c r="W1010" i="5"/>
  <c r="X1010" i="5"/>
  <c r="M1011" i="5"/>
  <c r="P314" i="6"/>
  <c r="G314" i="6"/>
  <c r="S1011" i="5"/>
  <c r="K1011" i="5"/>
  <c r="J1011" i="6"/>
  <c r="K1011" i="6"/>
  <c r="O1010" i="6"/>
  <c r="U1010" i="6"/>
  <c r="V1010" i="6"/>
  <c r="M891" i="5"/>
  <c r="Q890" i="5"/>
  <c r="W890" i="5"/>
  <c r="X890" i="5"/>
  <c r="G1154" i="6"/>
  <c r="P1154" i="6"/>
  <c r="S651" i="5"/>
  <c r="K651" i="5"/>
  <c r="S291" i="5"/>
  <c r="K291" i="5"/>
  <c r="J411" i="6"/>
  <c r="K411" i="6"/>
  <c r="O410" i="6"/>
  <c r="U410" i="6"/>
  <c r="V410" i="6"/>
  <c r="M51" i="5"/>
  <c r="Q50" i="5"/>
  <c r="W50" i="5"/>
  <c r="X50" i="5"/>
  <c r="G794" i="6"/>
  <c r="P794" i="6"/>
  <c r="S51" i="5"/>
  <c r="K51" i="5"/>
  <c r="S771" i="5"/>
  <c r="K771" i="5"/>
  <c r="M531" i="5"/>
  <c r="Q530" i="5"/>
  <c r="W530" i="5"/>
  <c r="X530" i="5"/>
  <c r="K1131" i="5"/>
  <c r="S1131" i="5"/>
  <c r="J891" i="6"/>
  <c r="K891" i="6"/>
  <c r="O890" i="6"/>
  <c r="U890" i="6"/>
  <c r="V890" i="6"/>
  <c r="E195" i="6"/>
  <c r="F195" i="6"/>
  <c r="G532" i="5"/>
  <c r="H532" i="5"/>
  <c r="L531" i="5"/>
  <c r="N531" i="5"/>
  <c r="L291" i="6"/>
  <c r="M291" i="6"/>
  <c r="Q291" i="6"/>
  <c r="L651" i="6"/>
  <c r="M651" i="6"/>
  <c r="Q651" i="6"/>
  <c r="L651" i="5"/>
  <c r="N651" i="5"/>
  <c r="G652" i="5"/>
  <c r="H652" i="5"/>
  <c r="L1131" i="6"/>
  <c r="M1131" i="6"/>
  <c r="Q1131" i="6"/>
  <c r="L771" i="5"/>
  <c r="N771" i="5"/>
  <c r="G772" i="5"/>
  <c r="H772" i="5"/>
  <c r="G412" i="5"/>
  <c r="H412" i="5"/>
  <c r="L411" i="5"/>
  <c r="N411" i="5"/>
  <c r="E435" i="6"/>
  <c r="F435" i="6"/>
  <c r="E75" i="6"/>
  <c r="F75" i="6"/>
  <c r="E795" i="6"/>
  <c r="F795" i="6"/>
  <c r="G1012" i="5"/>
  <c r="H1012" i="5"/>
  <c r="L1011" i="5"/>
  <c r="N1011" i="5"/>
  <c r="E1155" i="6"/>
  <c r="F1155" i="6"/>
  <c r="E315" i="6"/>
  <c r="F315" i="6"/>
  <c r="E675" i="6"/>
  <c r="F675" i="6"/>
  <c r="E555" i="6"/>
  <c r="F555" i="6"/>
  <c r="E915" i="6"/>
  <c r="F915" i="6"/>
  <c r="E1035" i="6"/>
  <c r="F1035" i="6"/>
  <c r="G1132" i="5"/>
  <c r="H1132" i="5"/>
  <c r="L1131" i="5"/>
  <c r="N1131" i="5"/>
  <c r="L1011" i="6"/>
  <c r="M1011" i="6"/>
  <c r="Q1011" i="6"/>
  <c r="Q531" i="6"/>
  <c r="L531" i="6"/>
  <c r="M531" i="6"/>
  <c r="Q771" i="6"/>
  <c r="L771" i="6"/>
  <c r="M771" i="6"/>
  <c r="G172" i="5"/>
  <c r="H172" i="5"/>
  <c r="L171" i="5"/>
  <c r="N171" i="5"/>
  <c r="G52" i="5"/>
  <c r="H52" i="5"/>
  <c r="L51" i="5"/>
  <c r="N51" i="5"/>
  <c r="Q411" i="6"/>
  <c r="L411" i="6"/>
  <c r="M411" i="6"/>
  <c r="L891" i="5"/>
  <c r="N891" i="5"/>
  <c r="G892" i="5"/>
  <c r="H892" i="5"/>
  <c r="L891" i="6"/>
  <c r="M891" i="6"/>
  <c r="Q891" i="6"/>
  <c r="G292" i="5"/>
  <c r="H292" i="5"/>
  <c r="L291" i="5"/>
  <c r="N291" i="5"/>
  <c r="L51" i="6"/>
  <c r="M51" i="6"/>
  <c r="Q51" i="6"/>
  <c r="Q171" i="6"/>
  <c r="L171" i="6"/>
  <c r="M171" i="6"/>
  <c r="R652" i="5"/>
  <c r="I652" i="5"/>
  <c r="J652" i="5"/>
  <c r="I412" i="5"/>
  <c r="J412" i="5"/>
  <c r="R412" i="5"/>
  <c r="T651" i="5"/>
  <c r="U651" i="5"/>
  <c r="P651" i="5"/>
  <c r="P195" i="6"/>
  <c r="G195" i="6"/>
  <c r="I292" i="5"/>
  <c r="J292" i="5"/>
  <c r="R292" i="5"/>
  <c r="R52" i="5"/>
  <c r="I52" i="5"/>
  <c r="J52" i="5"/>
  <c r="G915" i="6"/>
  <c r="P915" i="6"/>
  <c r="P75" i="6"/>
  <c r="G75" i="6"/>
  <c r="S651" i="6"/>
  <c r="N531" i="6"/>
  <c r="R531" i="6"/>
  <c r="S531" i="6"/>
  <c r="S1011" i="6"/>
  <c r="R772" i="5"/>
  <c r="I772" i="5"/>
  <c r="J772" i="5"/>
  <c r="N651" i="6"/>
  <c r="R651" i="6"/>
  <c r="R51" i="6"/>
  <c r="N51" i="6"/>
  <c r="T291" i="5"/>
  <c r="U291" i="5"/>
  <c r="P291" i="5"/>
  <c r="N891" i="6"/>
  <c r="R891" i="6"/>
  <c r="S891" i="6"/>
  <c r="P171" i="5"/>
  <c r="T171" i="5"/>
  <c r="U171" i="5"/>
  <c r="R1011" i="6"/>
  <c r="N1011" i="6"/>
  <c r="T771" i="5"/>
  <c r="U771" i="5"/>
  <c r="P771" i="5"/>
  <c r="P1035" i="6"/>
  <c r="G1035" i="6"/>
  <c r="P51" i="5"/>
  <c r="T51" i="5"/>
  <c r="U51" i="5"/>
  <c r="R171" i="6"/>
  <c r="N171" i="6"/>
  <c r="T1131" i="5"/>
  <c r="U1131" i="5"/>
  <c r="P1131" i="5"/>
  <c r="P555" i="6"/>
  <c r="G555" i="6"/>
  <c r="P1011" i="5"/>
  <c r="T1011" i="5"/>
  <c r="U1011" i="5"/>
  <c r="R291" i="6"/>
  <c r="S291" i="6"/>
  <c r="N291" i="6"/>
  <c r="P411" i="5"/>
  <c r="T411" i="5"/>
  <c r="U411" i="5"/>
  <c r="G315" i="6"/>
  <c r="P315" i="6"/>
  <c r="I892" i="5"/>
  <c r="J892" i="5"/>
  <c r="R892" i="5"/>
  <c r="N771" i="6"/>
  <c r="R771" i="6"/>
  <c r="I1012" i="5"/>
  <c r="J1012" i="5"/>
  <c r="R1012" i="5"/>
  <c r="N1131" i="6"/>
  <c r="R1131" i="6"/>
  <c r="S1131" i="6"/>
  <c r="P531" i="5"/>
  <c r="T531" i="5"/>
  <c r="U531" i="5"/>
  <c r="G1155" i="6"/>
  <c r="P1155" i="6"/>
  <c r="R172" i="5"/>
  <c r="I172" i="5"/>
  <c r="J172" i="5"/>
  <c r="S171" i="6"/>
  <c r="T891" i="5"/>
  <c r="U891" i="5"/>
  <c r="P891" i="5"/>
  <c r="I1132" i="5"/>
  <c r="J1132" i="5"/>
  <c r="R1132" i="5"/>
  <c r="S51" i="6"/>
  <c r="R411" i="6"/>
  <c r="S411" i="6"/>
  <c r="N411" i="6"/>
  <c r="S771" i="6"/>
  <c r="P675" i="6"/>
  <c r="G675" i="6"/>
  <c r="P795" i="6"/>
  <c r="G795" i="6"/>
  <c r="G435" i="6"/>
  <c r="P435" i="6"/>
  <c r="I532" i="5"/>
  <c r="J532" i="5"/>
  <c r="R532" i="5"/>
  <c r="S172" i="5"/>
  <c r="K172" i="5"/>
  <c r="Q1011" i="5"/>
  <c r="W1011" i="5"/>
  <c r="X1011" i="5"/>
  <c r="M1012" i="5"/>
  <c r="M52" i="5"/>
  <c r="Q51" i="5"/>
  <c r="W51" i="5"/>
  <c r="X51" i="5"/>
  <c r="O1131" i="6"/>
  <c r="U1131" i="6"/>
  <c r="V1131" i="6"/>
  <c r="J1132" i="6"/>
  <c r="K1132" i="6"/>
  <c r="E316" i="6"/>
  <c r="F316" i="6"/>
  <c r="E556" i="6"/>
  <c r="F556" i="6"/>
  <c r="E1036" i="6"/>
  <c r="F1036" i="6"/>
  <c r="M172" i="5"/>
  <c r="Q171" i="5"/>
  <c r="W171" i="5"/>
  <c r="X171" i="5"/>
  <c r="J652" i="6"/>
  <c r="K652" i="6"/>
  <c r="O651" i="6"/>
  <c r="U651" i="6"/>
  <c r="V651" i="6"/>
  <c r="S532" i="5"/>
  <c r="K532" i="5"/>
  <c r="E1156" i="6"/>
  <c r="F1156" i="6"/>
  <c r="S1012" i="5"/>
  <c r="K1012" i="5"/>
  <c r="M412" i="5"/>
  <c r="Q411" i="5"/>
  <c r="W411" i="5"/>
  <c r="X411" i="5"/>
  <c r="Q1131" i="5"/>
  <c r="W1131" i="5"/>
  <c r="X1131" i="5"/>
  <c r="M1132" i="5"/>
  <c r="J892" i="6"/>
  <c r="K892" i="6"/>
  <c r="O891" i="6"/>
  <c r="U891" i="6"/>
  <c r="V891" i="6"/>
  <c r="E916" i="6"/>
  <c r="F916" i="6"/>
  <c r="S772" i="5"/>
  <c r="K772" i="5"/>
  <c r="O291" i="6"/>
  <c r="U291" i="6"/>
  <c r="V291" i="6"/>
  <c r="J292" i="6"/>
  <c r="K292" i="6"/>
  <c r="M772" i="5"/>
  <c r="Q771" i="5"/>
  <c r="W771" i="5"/>
  <c r="X771" i="5"/>
  <c r="Q291" i="5"/>
  <c r="W291" i="5"/>
  <c r="X291" i="5"/>
  <c r="M292" i="5"/>
  <c r="S52" i="5"/>
  <c r="K52" i="5"/>
  <c r="J412" i="6"/>
  <c r="K412" i="6"/>
  <c r="O411" i="6"/>
  <c r="U411" i="6"/>
  <c r="V411" i="6"/>
  <c r="E436" i="6"/>
  <c r="F436" i="6"/>
  <c r="S1132" i="5"/>
  <c r="K1132" i="5"/>
  <c r="E676" i="6"/>
  <c r="F676" i="6"/>
  <c r="J772" i="6"/>
  <c r="K772" i="6"/>
  <c r="O771" i="6"/>
  <c r="U771" i="6"/>
  <c r="V771" i="6"/>
  <c r="K412" i="5"/>
  <c r="S412" i="5"/>
  <c r="M652" i="5"/>
  <c r="Q651" i="5"/>
  <c r="W651" i="5"/>
  <c r="X651" i="5"/>
  <c r="E796" i="6"/>
  <c r="F796" i="6"/>
  <c r="M892" i="5"/>
  <c r="Q891" i="5"/>
  <c r="W891" i="5"/>
  <c r="X891" i="5"/>
  <c r="J172" i="6"/>
  <c r="K172" i="6"/>
  <c r="O171" i="6"/>
  <c r="U171" i="6"/>
  <c r="V171" i="6"/>
  <c r="J1012" i="6"/>
  <c r="K1012" i="6"/>
  <c r="O1011" i="6"/>
  <c r="U1011" i="6"/>
  <c r="V1011" i="6"/>
  <c r="J52" i="6"/>
  <c r="K52" i="6"/>
  <c r="O51" i="6"/>
  <c r="U51" i="6"/>
  <c r="V51" i="6"/>
  <c r="J532" i="6"/>
  <c r="K532" i="6"/>
  <c r="O531" i="6"/>
  <c r="U531" i="6"/>
  <c r="V531" i="6"/>
  <c r="M532" i="5"/>
  <c r="Q531" i="5"/>
  <c r="W531" i="5"/>
  <c r="X531" i="5"/>
  <c r="S892" i="5"/>
  <c r="K892" i="5"/>
  <c r="S292" i="5"/>
  <c r="K292" i="5"/>
  <c r="K652" i="5"/>
  <c r="S652" i="5"/>
  <c r="E76" i="6"/>
  <c r="F76" i="6"/>
  <c r="E196" i="6"/>
  <c r="F196" i="6"/>
  <c r="P436" i="6"/>
  <c r="G436" i="6"/>
  <c r="P916" i="6"/>
  <c r="G916" i="6"/>
  <c r="G1013" i="5"/>
  <c r="H1013" i="5"/>
  <c r="L1012" i="5"/>
  <c r="N1012" i="5"/>
  <c r="G556" i="6"/>
  <c r="P556" i="6"/>
  <c r="G76" i="6"/>
  <c r="P76" i="6"/>
  <c r="P796" i="6"/>
  <c r="G796" i="6"/>
  <c r="P1036" i="6"/>
  <c r="G1036" i="6"/>
  <c r="Q772" i="6"/>
  <c r="L772" i="6"/>
  <c r="M772" i="6"/>
  <c r="L652" i="5"/>
  <c r="N652" i="5"/>
  <c r="G653" i="5"/>
  <c r="H653" i="5"/>
  <c r="L292" i="5"/>
  <c r="N292" i="5"/>
  <c r="G293" i="5"/>
  <c r="H293" i="5"/>
  <c r="P676" i="6"/>
  <c r="G676" i="6"/>
  <c r="L532" i="6"/>
  <c r="M532" i="6"/>
  <c r="Q532" i="6"/>
  <c r="L172" i="6"/>
  <c r="M172" i="6"/>
  <c r="Q172" i="6"/>
  <c r="G1133" i="5"/>
  <c r="H1133" i="5"/>
  <c r="L1132" i="5"/>
  <c r="N1132" i="5"/>
  <c r="Q892" i="6"/>
  <c r="L892" i="6"/>
  <c r="M892" i="6"/>
  <c r="P1156" i="6"/>
  <c r="G1156" i="6"/>
  <c r="L652" i="6"/>
  <c r="M652" i="6"/>
  <c r="Q652" i="6"/>
  <c r="P316" i="6"/>
  <c r="G316" i="6"/>
  <c r="G196" i="6"/>
  <c r="P196" i="6"/>
  <c r="L892" i="5"/>
  <c r="N892" i="5"/>
  <c r="G893" i="5"/>
  <c r="H893" i="5"/>
  <c r="G53" i="5"/>
  <c r="H53" i="5"/>
  <c r="L52" i="5"/>
  <c r="N52" i="5"/>
  <c r="L1132" i="6"/>
  <c r="M1132" i="6"/>
  <c r="Q1132" i="6"/>
  <c r="L412" i="6"/>
  <c r="M412" i="6"/>
  <c r="Q412" i="6"/>
  <c r="L772" i="5"/>
  <c r="N772" i="5"/>
  <c r="G773" i="5"/>
  <c r="H773" i="5"/>
  <c r="G173" i="5"/>
  <c r="H173" i="5"/>
  <c r="L172" i="5"/>
  <c r="N172" i="5"/>
  <c r="L1012" i="6"/>
  <c r="M1012" i="6"/>
  <c r="Q1012" i="6"/>
  <c r="L292" i="6"/>
  <c r="M292" i="6"/>
  <c r="Q292" i="6"/>
  <c r="L52" i="6"/>
  <c r="M52" i="6"/>
  <c r="Q52" i="6"/>
  <c r="G413" i="5"/>
  <c r="H413" i="5"/>
  <c r="L412" i="5"/>
  <c r="N412" i="5"/>
  <c r="G533" i="5"/>
  <c r="H533" i="5"/>
  <c r="L532" i="5"/>
  <c r="N532" i="5"/>
  <c r="P52" i="5"/>
  <c r="T52" i="5"/>
  <c r="U52" i="5"/>
  <c r="R653" i="5"/>
  <c r="I653" i="5"/>
  <c r="J653" i="5"/>
  <c r="E437" i="6"/>
  <c r="F437" i="6"/>
  <c r="I413" i="5"/>
  <c r="J413" i="5"/>
  <c r="R413" i="5"/>
  <c r="R173" i="5"/>
  <c r="I173" i="5"/>
  <c r="J173" i="5"/>
  <c r="I53" i="5"/>
  <c r="J53" i="5"/>
  <c r="R53" i="5"/>
  <c r="N652" i="6"/>
  <c r="R652" i="6"/>
  <c r="R172" i="6"/>
  <c r="S172" i="6"/>
  <c r="N172" i="6"/>
  <c r="T652" i="5"/>
  <c r="U652" i="5"/>
  <c r="P652" i="5"/>
  <c r="E77" i="6"/>
  <c r="F77" i="6"/>
  <c r="P172" i="5"/>
  <c r="T172" i="5"/>
  <c r="U172" i="5"/>
  <c r="I773" i="5"/>
  <c r="J773" i="5"/>
  <c r="R773" i="5"/>
  <c r="I893" i="5"/>
  <c r="J893" i="5"/>
  <c r="R893" i="5"/>
  <c r="E1157" i="6"/>
  <c r="F1157" i="6"/>
  <c r="R772" i="6"/>
  <c r="S772" i="6"/>
  <c r="N772" i="6"/>
  <c r="T892" i="5"/>
  <c r="U892" i="5"/>
  <c r="P892" i="5"/>
  <c r="R892" i="6"/>
  <c r="N892" i="6"/>
  <c r="E677" i="6"/>
  <c r="F677" i="6"/>
  <c r="E1037" i="6"/>
  <c r="F1037" i="6"/>
  <c r="P1012" i="5"/>
  <c r="T1012" i="5"/>
  <c r="U1012" i="5"/>
  <c r="P412" i="5"/>
  <c r="T412" i="5"/>
  <c r="U412" i="5"/>
  <c r="R52" i="6"/>
  <c r="N52" i="6"/>
  <c r="N292" i="6"/>
  <c r="R292" i="6"/>
  <c r="S292" i="6"/>
  <c r="E197" i="6"/>
  <c r="F197" i="6"/>
  <c r="S892" i="6"/>
  <c r="I1013" i="5"/>
  <c r="J1013" i="5"/>
  <c r="R1013" i="5"/>
  <c r="S652" i="6"/>
  <c r="S52" i="6"/>
  <c r="R532" i="6"/>
  <c r="S532" i="6"/>
  <c r="N532" i="6"/>
  <c r="R412" i="6"/>
  <c r="N412" i="6"/>
  <c r="S1132" i="6"/>
  <c r="E317" i="6"/>
  <c r="F317" i="6"/>
  <c r="P1132" i="5"/>
  <c r="T1132" i="5"/>
  <c r="U1132" i="5"/>
  <c r="I293" i="5"/>
  <c r="J293" i="5"/>
  <c r="R293" i="5"/>
  <c r="E797" i="6"/>
  <c r="F797" i="6"/>
  <c r="E917" i="6"/>
  <c r="F917" i="6"/>
  <c r="T772" i="5"/>
  <c r="U772" i="5"/>
  <c r="P772" i="5"/>
  <c r="E557" i="6"/>
  <c r="F557" i="6"/>
  <c r="S412" i="6"/>
  <c r="P532" i="5"/>
  <c r="T532" i="5"/>
  <c r="U532" i="5"/>
  <c r="S1012" i="6"/>
  <c r="R533" i="5"/>
  <c r="I533" i="5"/>
  <c r="J533" i="5"/>
  <c r="N1012" i="6"/>
  <c r="R1012" i="6"/>
  <c r="N1132" i="6"/>
  <c r="R1132" i="6"/>
  <c r="I1133" i="5"/>
  <c r="J1133" i="5"/>
  <c r="R1133" i="5"/>
  <c r="P292" i="5"/>
  <c r="T292" i="5"/>
  <c r="U292" i="5"/>
  <c r="M773" i="5"/>
  <c r="Q772" i="5"/>
  <c r="W772" i="5"/>
  <c r="X772" i="5"/>
  <c r="M413" i="5"/>
  <c r="Q412" i="5"/>
  <c r="W412" i="5"/>
  <c r="X412" i="5"/>
  <c r="J773" i="6"/>
  <c r="K773" i="6"/>
  <c r="O772" i="6"/>
  <c r="U772" i="6"/>
  <c r="V772" i="6"/>
  <c r="K413" i="5"/>
  <c r="S413" i="5"/>
  <c r="Q1132" i="5"/>
  <c r="W1132" i="5"/>
  <c r="X1132" i="5"/>
  <c r="M1133" i="5"/>
  <c r="P197" i="6"/>
  <c r="G197" i="6"/>
  <c r="Q1012" i="5"/>
  <c r="W1012" i="5"/>
  <c r="X1012" i="5"/>
  <c r="M1013" i="5"/>
  <c r="M173" i="5"/>
  <c r="Q172" i="5"/>
  <c r="W172" i="5"/>
  <c r="X172" i="5"/>
  <c r="S773" i="5"/>
  <c r="K773" i="5"/>
  <c r="M533" i="5"/>
  <c r="Q532" i="5"/>
  <c r="W532" i="5"/>
  <c r="X532" i="5"/>
  <c r="P1037" i="6"/>
  <c r="G1037" i="6"/>
  <c r="J653" i="6"/>
  <c r="K653" i="6"/>
  <c r="O652" i="6"/>
  <c r="U652" i="6"/>
  <c r="V652" i="6"/>
  <c r="G437" i="6"/>
  <c r="P437" i="6"/>
  <c r="K1133" i="5"/>
  <c r="S1133" i="5"/>
  <c r="J1133" i="6"/>
  <c r="K1133" i="6"/>
  <c r="O1132" i="6"/>
  <c r="U1132" i="6"/>
  <c r="V1132" i="6"/>
  <c r="P917" i="6"/>
  <c r="G917" i="6"/>
  <c r="P317" i="6"/>
  <c r="G317" i="6"/>
  <c r="O292" i="6"/>
  <c r="U292" i="6"/>
  <c r="V292" i="6"/>
  <c r="J293" i="6"/>
  <c r="K293" i="6"/>
  <c r="M893" i="5"/>
  <c r="Q892" i="5"/>
  <c r="W892" i="5"/>
  <c r="X892" i="5"/>
  <c r="G1157" i="6"/>
  <c r="P1157" i="6"/>
  <c r="P77" i="6"/>
  <c r="G77" i="6"/>
  <c r="S653" i="5"/>
  <c r="K653" i="5"/>
  <c r="O52" i="6"/>
  <c r="U52" i="6"/>
  <c r="V52" i="6"/>
  <c r="J53" i="6"/>
  <c r="K53" i="6"/>
  <c r="S53" i="5"/>
  <c r="K53" i="5"/>
  <c r="O532" i="6"/>
  <c r="U532" i="6"/>
  <c r="V532" i="6"/>
  <c r="J533" i="6"/>
  <c r="K533" i="6"/>
  <c r="P557" i="6"/>
  <c r="G557" i="6"/>
  <c r="P797" i="6"/>
  <c r="G797" i="6"/>
  <c r="O412" i="6"/>
  <c r="U412" i="6"/>
  <c r="V412" i="6"/>
  <c r="J413" i="6"/>
  <c r="K413" i="6"/>
  <c r="P677" i="6"/>
  <c r="G677" i="6"/>
  <c r="S893" i="5"/>
  <c r="K893" i="5"/>
  <c r="M653" i="5"/>
  <c r="Q652" i="5"/>
  <c r="W652" i="5"/>
  <c r="X652" i="5"/>
  <c r="S173" i="5"/>
  <c r="K173" i="5"/>
  <c r="S293" i="5"/>
  <c r="K293" i="5"/>
  <c r="O172" i="6"/>
  <c r="U172" i="6"/>
  <c r="V172" i="6"/>
  <c r="J173" i="6"/>
  <c r="K173" i="6"/>
  <c r="S1013" i="5"/>
  <c r="K1013" i="5"/>
  <c r="O1012" i="6"/>
  <c r="U1012" i="6"/>
  <c r="V1012" i="6"/>
  <c r="J1013" i="6"/>
  <c r="K1013" i="6"/>
  <c r="Q292" i="5"/>
  <c r="W292" i="5"/>
  <c r="X292" i="5"/>
  <c r="M293" i="5"/>
  <c r="S533" i="5"/>
  <c r="K533" i="5"/>
  <c r="J893" i="6"/>
  <c r="K893" i="6"/>
  <c r="O892" i="6"/>
  <c r="U892" i="6"/>
  <c r="V892" i="6"/>
  <c r="M53" i="5"/>
  <c r="Q52" i="5"/>
  <c r="W52" i="5"/>
  <c r="X52" i="5"/>
  <c r="L413" i="6"/>
  <c r="M413" i="6"/>
  <c r="Q413" i="6"/>
  <c r="L653" i="5"/>
  <c r="N653" i="5"/>
  <c r="G654" i="5"/>
  <c r="H654" i="5"/>
  <c r="L293" i="6"/>
  <c r="M293" i="6"/>
  <c r="Q293" i="6"/>
  <c r="Q1133" i="6"/>
  <c r="L1133" i="6"/>
  <c r="M1133" i="6"/>
  <c r="E1038" i="6"/>
  <c r="F1038" i="6"/>
  <c r="Q1013" i="6"/>
  <c r="L1013" i="6"/>
  <c r="M1013" i="6"/>
  <c r="G414" i="5"/>
  <c r="H414" i="5"/>
  <c r="L413" i="5"/>
  <c r="N413" i="5"/>
  <c r="L773" i="6"/>
  <c r="M773" i="6"/>
  <c r="Q773" i="6"/>
  <c r="G174" i="5"/>
  <c r="H174" i="5"/>
  <c r="L173" i="5"/>
  <c r="N173" i="5"/>
  <c r="Q653" i="6"/>
  <c r="L653" i="6"/>
  <c r="M653" i="6"/>
  <c r="L893" i="6"/>
  <c r="M893" i="6"/>
  <c r="Q893" i="6"/>
  <c r="G1014" i="5"/>
  <c r="H1014" i="5"/>
  <c r="L1013" i="5"/>
  <c r="N1013" i="5"/>
  <c r="G54" i="5"/>
  <c r="H54" i="5"/>
  <c r="L53" i="5"/>
  <c r="N53" i="5"/>
  <c r="E798" i="6"/>
  <c r="F798" i="6"/>
  <c r="E78" i="6"/>
  <c r="F78" i="6"/>
  <c r="L1133" i="5"/>
  <c r="N1133" i="5"/>
  <c r="G1134" i="5"/>
  <c r="H1134" i="5"/>
  <c r="E198" i="6"/>
  <c r="F198" i="6"/>
  <c r="G534" i="5"/>
  <c r="H534" i="5"/>
  <c r="L533" i="5"/>
  <c r="N533" i="5"/>
  <c r="L173" i="6"/>
  <c r="M173" i="6"/>
  <c r="Q173" i="6"/>
  <c r="L893" i="5"/>
  <c r="N893" i="5"/>
  <c r="G894" i="5"/>
  <c r="H894" i="5"/>
  <c r="E558" i="6"/>
  <c r="F558" i="6"/>
  <c r="E318" i="6"/>
  <c r="F318" i="6"/>
  <c r="L773" i="5"/>
  <c r="N773" i="5"/>
  <c r="G774" i="5"/>
  <c r="H774" i="5"/>
  <c r="L53" i="6"/>
  <c r="M53" i="6"/>
  <c r="Q53" i="6"/>
  <c r="L293" i="5"/>
  <c r="N293" i="5"/>
  <c r="G294" i="5"/>
  <c r="H294" i="5"/>
  <c r="E678" i="6"/>
  <c r="F678" i="6"/>
  <c r="L533" i="6"/>
  <c r="M533" i="6"/>
  <c r="Q533" i="6"/>
  <c r="E1158" i="6"/>
  <c r="F1158" i="6"/>
  <c r="E918" i="6"/>
  <c r="F918" i="6"/>
  <c r="E438" i="6"/>
  <c r="F438" i="6"/>
  <c r="T893" i="5"/>
  <c r="U893" i="5"/>
  <c r="P893" i="5"/>
  <c r="P1133" i="5"/>
  <c r="T1133" i="5"/>
  <c r="U1133" i="5"/>
  <c r="I54" i="5"/>
  <c r="J54" i="5"/>
  <c r="R54" i="5"/>
  <c r="I174" i="5"/>
  <c r="J174" i="5"/>
  <c r="R174" i="5"/>
  <c r="P1013" i="5"/>
  <c r="T1013" i="5"/>
  <c r="U1013" i="5"/>
  <c r="N413" i="6"/>
  <c r="R413" i="6"/>
  <c r="S413" i="6"/>
  <c r="N173" i="6"/>
  <c r="R173" i="6"/>
  <c r="P78" i="6"/>
  <c r="G78" i="6"/>
  <c r="I1014" i="5"/>
  <c r="J1014" i="5"/>
  <c r="R1014" i="5"/>
  <c r="R773" i="6"/>
  <c r="N773" i="6"/>
  <c r="R1133" i="6"/>
  <c r="N1133" i="6"/>
  <c r="T293" i="5"/>
  <c r="U293" i="5"/>
  <c r="P293" i="5"/>
  <c r="S773" i="6"/>
  <c r="P1038" i="6"/>
  <c r="G1038" i="6"/>
  <c r="G1158" i="6"/>
  <c r="P1158" i="6"/>
  <c r="S533" i="6"/>
  <c r="S53" i="6"/>
  <c r="P318" i="6"/>
  <c r="G318" i="6"/>
  <c r="P533" i="5"/>
  <c r="T533" i="5"/>
  <c r="U533" i="5"/>
  <c r="S893" i="6"/>
  <c r="S1133" i="6"/>
  <c r="R534" i="5"/>
  <c r="I534" i="5"/>
  <c r="J534" i="5"/>
  <c r="R893" i="6"/>
  <c r="N893" i="6"/>
  <c r="T413" i="5"/>
  <c r="U413" i="5"/>
  <c r="P413" i="5"/>
  <c r="S293" i="6"/>
  <c r="G918" i="6"/>
  <c r="P918" i="6"/>
  <c r="N533" i="6"/>
  <c r="R533" i="6"/>
  <c r="G678" i="6"/>
  <c r="P678" i="6"/>
  <c r="G558" i="6"/>
  <c r="P558" i="6"/>
  <c r="P798" i="6"/>
  <c r="G798" i="6"/>
  <c r="R653" i="6"/>
  <c r="S653" i="6"/>
  <c r="N653" i="6"/>
  <c r="I414" i="5"/>
  <c r="J414" i="5"/>
  <c r="R414" i="5"/>
  <c r="N293" i="6"/>
  <c r="R293" i="6"/>
  <c r="I654" i="5"/>
  <c r="J654" i="5"/>
  <c r="R654" i="5"/>
  <c r="S173" i="6"/>
  <c r="N53" i="6"/>
  <c r="R53" i="6"/>
  <c r="P438" i="6"/>
  <c r="G438" i="6"/>
  <c r="R774" i="5"/>
  <c r="I774" i="5"/>
  <c r="J774" i="5"/>
  <c r="P198" i="6"/>
  <c r="G198" i="6"/>
  <c r="N1013" i="6"/>
  <c r="R1013" i="6"/>
  <c r="I294" i="5"/>
  <c r="J294" i="5"/>
  <c r="R294" i="5"/>
  <c r="T773" i="5"/>
  <c r="U773" i="5"/>
  <c r="P773" i="5"/>
  <c r="R894" i="5"/>
  <c r="I894" i="5"/>
  <c r="J894" i="5"/>
  <c r="I1134" i="5"/>
  <c r="J1134" i="5"/>
  <c r="R1134" i="5"/>
  <c r="P53" i="5"/>
  <c r="T53" i="5"/>
  <c r="U53" i="5"/>
  <c r="P173" i="5"/>
  <c r="T173" i="5"/>
  <c r="U173" i="5"/>
  <c r="S1013" i="6"/>
  <c r="T653" i="5"/>
  <c r="U653" i="5"/>
  <c r="P653" i="5"/>
  <c r="E799" i="6"/>
  <c r="F799" i="6"/>
  <c r="J1134" i="6"/>
  <c r="K1134" i="6"/>
  <c r="O1133" i="6"/>
  <c r="U1133" i="6"/>
  <c r="V1133" i="6"/>
  <c r="S174" i="5"/>
  <c r="K174" i="5"/>
  <c r="S654" i="5"/>
  <c r="K654" i="5"/>
  <c r="E919" i="6"/>
  <c r="F919" i="6"/>
  <c r="J174" i="6"/>
  <c r="K174" i="6"/>
  <c r="O173" i="6"/>
  <c r="U173" i="6"/>
  <c r="V173" i="6"/>
  <c r="J774" i="6"/>
  <c r="K774" i="6"/>
  <c r="O773" i="6"/>
  <c r="U773" i="6"/>
  <c r="V773" i="6"/>
  <c r="S294" i="5"/>
  <c r="K294" i="5"/>
  <c r="E439" i="6"/>
  <c r="F439" i="6"/>
  <c r="J294" i="6"/>
  <c r="K294" i="6"/>
  <c r="O293" i="6"/>
  <c r="U293" i="6"/>
  <c r="V293" i="6"/>
  <c r="E559" i="6"/>
  <c r="F559" i="6"/>
  <c r="M414" i="5"/>
  <c r="Q413" i="5"/>
  <c r="W413" i="5"/>
  <c r="X413" i="5"/>
  <c r="E1039" i="6"/>
  <c r="F1039" i="6"/>
  <c r="O413" i="6"/>
  <c r="U413" i="6"/>
  <c r="V413" i="6"/>
  <c r="J414" i="6"/>
  <c r="K414" i="6"/>
  <c r="E199" i="6"/>
  <c r="F199" i="6"/>
  <c r="O533" i="6"/>
  <c r="U533" i="6"/>
  <c r="V533" i="6"/>
  <c r="J534" i="6"/>
  <c r="K534" i="6"/>
  <c r="M774" i="5"/>
  <c r="Q773" i="5"/>
  <c r="W773" i="5"/>
  <c r="X773" i="5"/>
  <c r="M174" i="5"/>
  <c r="Q173" i="5"/>
  <c r="W173" i="5"/>
  <c r="X173" i="5"/>
  <c r="S54" i="5"/>
  <c r="K54" i="5"/>
  <c r="M54" i="5"/>
  <c r="Q53" i="5"/>
  <c r="W53" i="5"/>
  <c r="X53" i="5"/>
  <c r="M534" i="5"/>
  <c r="Q533" i="5"/>
  <c r="W533" i="5"/>
  <c r="X533" i="5"/>
  <c r="Q1133" i="5"/>
  <c r="W1133" i="5"/>
  <c r="X1133" i="5"/>
  <c r="M1134" i="5"/>
  <c r="S534" i="5"/>
  <c r="K534" i="5"/>
  <c r="E1159" i="6"/>
  <c r="F1159" i="6"/>
  <c r="M654" i="5"/>
  <c r="Q653" i="5"/>
  <c r="W653" i="5"/>
  <c r="X653" i="5"/>
  <c r="K1134" i="5"/>
  <c r="S1134" i="5"/>
  <c r="J1014" i="6"/>
  <c r="K1014" i="6"/>
  <c r="O1013" i="6"/>
  <c r="U1013" i="6"/>
  <c r="V1013" i="6"/>
  <c r="S414" i="5"/>
  <c r="K414" i="5"/>
  <c r="E679" i="6"/>
  <c r="F679" i="6"/>
  <c r="O893" i="6"/>
  <c r="U893" i="6"/>
  <c r="V893" i="6"/>
  <c r="J894" i="6"/>
  <c r="K894" i="6"/>
  <c r="E319" i="6"/>
  <c r="F319" i="6"/>
  <c r="K1014" i="5"/>
  <c r="S1014" i="5"/>
  <c r="Q1013" i="5"/>
  <c r="W1013" i="5"/>
  <c r="X1013" i="5"/>
  <c r="M1014" i="5"/>
  <c r="M894" i="5"/>
  <c r="Q893" i="5"/>
  <c r="W893" i="5"/>
  <c r="X893" i="5"/>
  <c r="K774" i="5"/>
  <c r="S774" i="5"/>
  <c r="S894" i="5"/>
  <c r="K894" i="5"/>
  <c r="J54" i="6"/>
  <c r="K54" i="6"/>
  <c r="O53" i="6"/>
  <c r="U53" i="6"/>
  <c r="V53" i="6"/>
  <c r="J654" i="6"/>
  <c r="K654" i="6"/>
  <c r="O653" i="6"/>
  <c r="U653" i="6"/>
  <c r="V653" i="6"/>
  <c r="Q293" i="5"/>
  <c r="W293" i="5"/>
  <c r="X293" i="5"/>
  <c r="M294" i="5"/>
  <c r="E79" i="6"/>
  <c r="F79" i="6"/>
  <c r="L774" i="5"/>
  <c r="N774" i="5"/>
  <c r="G775" i="5"/>
  <c r="H775" i="5"/>
  <c r="G919" i="6"/>
  <c r="P919" i="6"/>
  <c r="Q1014" i="6"/>
  <c r="L1014" i="6"/>
  <c r="M1014" i="6"/>
  <c r="G535" i="5"/>
  <c r="H535" i="5"/>
  <c r="L534" i="5"/>
  <c r="N534" i="5"/>
  <c r="P199" i="6"/>
  <c r="G199" i="6"/>
  <c r="P559" i="6"/>
  <c r="G559" i="6"/>
  <c r="L774" i="6"/>
  <c r="M774" i="6"/>
  <c r="Q774" i="6"/>
  <c r="L1134" i="6"/>
  <c r="M1134" i="6"/>
  <c r="Q1134" i="6"/>
  <c r="G319" i="6"/>
  <c r="P319" i="6"/>
  <c r="L894" i="6"/>
  <c r="M894" i="6"/>
  <c r="Q894" i="6"/>
  <c r="Q414" i="6"/>
  <c r="L414" i="6"/>
  <c r="M414" i="6"/>
  <c r="Q54" i="6"/>
  <c r="L54" i="6"/>
  <c r="M54" i="6"/>
  <c r="G439" i="6"/>
  <c r="P439" i="6"/>
  <c r="Q294" i="6"/>
  <c r="L294" i="6"/>
  <c r="M294" i="6"/>
  <c r="P1039" i="6"/>
  <c r="G1039" i="6"/>
  <c r="G799" i="6"/>
  <c r="P799" i="6"/>
  <c r="L654" i="6"/>
  <c r="M654" i="6"/>
  <c r="Q654" i="6"/>
  <c r="L1134" i="5"/>
  <c r="N1134" i="5"/>
  <c r="G1135" i="5"/>
  <c r="H1135" i="5"/>
  <c r="L654" i="5"/>
  <c r="N654" i="5"/>
  <c r="G655" i="5"/>
  <c r="H655" i="5"/>
  <c r="G415" i="5"/>
  <c r="H415" i="5"/>
  <c r="L414" i="5"/>
  <c r="N414" i="5"/>
  <c r="Q534" i="6"/>
  <c r="L534" i="6"/>
  <c r="M534" i="6"/>
  <c r="L294" i="5"/>
  <c r="N294" i="5"/>
  <c r="G295" i="5"/>
  <c r="H295" i="5"/>
  <c r="Q174" i="6"/>
  <c r="L174" i="6"/>
  <c r="M174" i="6"/>
  <c r="G175" i="5"/>
  <c r="H175" i="5"/>
  <c r="L174" i="5"/>
  <c r="N174" i="5"/>
  <c r="P79" i="6"/>
  <c r="G79" i="6"/>
  <c r="L894" i="5"/>
  <c r="N894" i="5"/>
  <c r="G895" i="5"/>
  <c r="H895" i="5"/>
  <c r="P679" i="6"/>
  <c r="G679" i="6"/>
  <c r="G1015" i="5"/>
  <c r="H1015" i="5"/>
  <c r="L1014" i="5"/>
  <c r="N1014" i="5"/>
  <c r="G1159" i="6"/>
  <c r="P1159" i="6"/>
  <c r="G55" i="5"/>
  <c r="H55" i="5"/>
  <c r="L54" i="5"/>
  <c r="N54" i="5"/>
  <c r="E200" i="6"/>
  <c r="F200" i="6"/>
  <c r="I775" i="5"/>
  <c r="J775" i="5"/>
  <c r="R775" i="5"/>
  <c r="I295" i="5"/>
  <c r="J295" i="5"/>
  <c r="R295" i="5"/>
  <c r="T294" i="5"/>
  <c r="U294" i="5"/>
  <c r="P294" i="5"/>
  <c r="N534" i="6"/>
  <c r="R534" i="6"/>
  <c r="E1160" i="6"/>
  <c r="F1160" i="6"/>
  <c r="S534" i="6"/>
  <c r="R654" i="6"/>
  <c r="S654" i="6"/>
  <c r="N654" i="6"/>
  <c r="E440" i="6"/>
  <c r="F440" i="6"/>
  <c r="E320" i="6"/>
  <c r="F320" i="6"/>
  <c r="T774" i="5"/>
  <c r="U774" i="5"/>
  <c r="P774" i="5"/>
  <c r="I895" i="5"/>
  <c r="J895" i="5"/>
  <c r="R895" i="5"/>
  <c r="N894" i="6"/>
  <c r="R894" i="6"/>
  <c r="P1014" i="5"/>
  <c r="T1014" i="5"/>
  <c r="U1014" i="5"/>
  <c r="P174" i="5"/>
  <c r="T174" i="5"/>
  <c r="U174" i="5"/>
  <c r="T414" i="5"/>
  <c r="U414" i="5"/>
  <c r="P414" i="5"/>
  <c r="N54" i="6"/>
  <c r="R54" i="6"/>
  <c r="S54" i="6"/>
  <c r="S1134" i="6"/>
  <c r="P534" i="5"/>
  <c r="T534" i="5"/>
  <c r="U534" i="5"/>
  <c r="P54" i="5"/>
  <c r="T54" i="5"/>
  <c r="U54" i="5"/>
  <c r="T894" i="5"/>
  <c r="U894" i="5"/>
  <c r="P894" i="5"/>
  <c r="E80" i="6"/>
  <c r="F80" i="6"/>
  <c r="I1015" i="5"/>
  <c r="J1015" i="5"/>
  <c r="R1015" i="5"/>
  <c r="I175" i="5"/>
  <c r="J175" i="5"/>
  <c r="R175" i="5"/>
  <c r="R415" i="5"/>
  <c r="I415" i="5"/>
  <c r="J415" i="5"/>
  <c r="E800" i="6"/>
  <c r="F800" i="6"/>
  <c r="R1134" i="6"/>
  <c r="N1134" i="6"/>
  <c r="R535" i="5"/>
  <c r="I535" i="5"/>
  <c r="J535" i="5"/>
  <c r="R55" i="5"/>
  <c r="I55" i="5"/>
  <c r="J55" i="5"/>
  <c r="S294" i="6"/>
  <c r="E680" i="6"/>
  <c r="F680" i="6"/>
  <c r="N174" i="6"/>
  <c r="R174" i="6"/>
  <c r="I655" i="5"/>
  <c r="J655" i="5"/>
  <c r="R655" i="5"/>
  <c r="E1040" i="6"/>
  <c r="F1040" i="6"/>
  <c r="N414" i="6"/>
  <c r="R414" i="6"/>
  <c r="R1014" i="6"/>
  <c r="S1014" i="6"/>
  <c r="N1014" i="6"/>
  <c r="I1135" i="5"/>
  <c r="J1135" i="5"/>
  <c r="R1135" i="5"/>
  <c r="T1134" i="5"/>
  <c r="U1134" i="5"/>
  <c r="P1134" i="5"/>
  <c r="E920" i="6"/>
  <c r="F920" i="6"/>
  <c r="S174" i="6"/>
  <c r="T654" i="5"/>
  <c r="U654" i="5"/>
  <c r="P654" i="5"/>
  <c r="S414" i="6"/>
  <c r="N774" i="6"/>
  <c r="R774" i="6"/>
  <c r="S774" i="6"/>
  <c r="R294" i="6"/>
  <c r="N294" i="6"/>
  <c r="S894" i="6"/>
  <c r="E560" i="6"/>
  <c r="F560" i="6"/>
  <c r="M175" i="5"/>
  <c r="Q174" i="5"/>
  <c r="W174" i="5"/>
  <c r="X174" i="5"/>
  <c r="P800" i="6"/>
  <c r="G800" i="6"/>
  <c r="M535" i="5"/>
  <c r="Q534" i="5"/>
  <c r="W534" i="5"/>
  <c r="X534" i="5"/>
  <c r="S55" i="5"/>
  <c r="K55" i="5"/>
  <c r="J1015" i="6"/>
  <c r="K1015" i="6"/>
  <c r="O1014" i="6"/>
  <c r="U1014" i="6"/>
  <c r="V1014" i="6"/>
  <c r="S655" i="5"/>
  <c r="K655" i="5"/>
  <c r="K415" i="5"/>
  <c r="S415" i="5"/>
  <c r="Q1014" i="5"/>
  <c r="W1014" i="5"/>
  <c r="X1014" i="5"/>
  <c r="M1015" i="5"/>
  <c r="S295" i="5"/>
  <c r="K295" i="5"/>
  <c r="P320" i="6"/>
  <c r="G320" i="6"/>
  <c r="S775" i="5"/>
  <c r="K775" i="5"/>
  <c r="G80" i="6"/>
  <c r="P80" i="6"/>
  <c r="K1135" i="5"/>
  <c r="S1135" i="5"/>
  <c r="M895" i="5"/>
  <c r="Q894" i="5"/>
  <c r="W894" i="5"/>
  <c r="X894" i="5"/>
  <c r="J55" i="6"/>
  <c r="K55" i="6"/>
  <c r="O54" i="6"/>
  <c r="U54" i="6"/>
  <c r="V54" i="6"/>
  <c r="P920" i="6"/>
  <c r="G920" i="6"/>
  <c r="S175" i="5"/>
  <c r="K175" i="5"/>
  <c r="M415" i="5"/>
  <c r="Q414" i="5"/>
  <c r="W414" i="5"/>
  <c r="X414" i="5"/>
  <c r="J895" i="6"/>
  <c r="K895" i="6"/>
  <c r="O894" i="6"/>
  <c r="U894" i="6"/>
  <c r="V894" i="6"/>
  <c r="G200" i="6"/>
  <c r="P200" i="6"/>
  <c r="J295" i="6"/>
  <c r="K295" i="6"/>
  <c r="O294" i="6"/>
  <c r="U294" i="6"/>
  <c r="V294" i="6"/>
  <c r="M775" i="5"/>
  <c r="Q774" i="5"/>
  <c r="W774" i="5"/>
  <c r="X774" i="5"/>
  <c r="O774" i="6"/>
  <c r="U774" i="6"/>
  <c r="V774" i="6"/>
  <c r="J775" i="6"/>
  <c r="K775" i="6"/>
  <c r="J175" i="6"/>
  <c r="K175" i="6"/>
  <c r="O174" i="6"/>
  <c r="U174" i="6"/>
  <c r="V174" i="6"/>
  <c r="Q1134" i="5"/>
  <c r="W1134" i="5"/>
  <c r="X1134" i="5"/>
  <c r="M1135" i="5"/>
  <c r="J415" i="6"/>
  <c r="K415" i="6"/>
  <c r="O414" i="6"/>
  <c r="U414" i="6"/>
  <c r="V414" i="6"/>
  <c r="P680" i="6"/>
  <c r="G680" i="6"/>
  <c r="M55" i="5"/>
  <c r="Q54" i="5"/>
  <c r="W54" i="5"/>
  <c r="X54" i="5"/>
  <c r="P440" i="6"/>
  <c r="G440" i="6"/>
  <c r="O534" i="6"/>
  <c r="U534" i="6"/>
  <c r="V534" i="6"/>
  <c r="J535" i="6"/>
  <c r="K535" i="6"/>
  <c r="P1040" i="6"/>
  <c r="G1040" i="6"/>
  <c r="S535" i="5"/>
  <c r="K535" i="5"/>
  <c r="P1160" i="6"/>
  <c r="G1160" i="6"/>
  <c r="G560" i="6"/>
  <c r="P560" i="6"/>
  <c r="J1135" i="6"/>
  <c r="K1135" i="6"/>
  <c r="O1134" i="6"/>
  <c r="U1134" i="6"/>
  <c r="V1134" i="6"/>
  <c r="M655" i="5"/>
  <c r="Q654" i="5"/>
  <c r="W654" i="5"/>
  <c r="X654" i="5"/>
  <c r="K1015" i="5"/>
  <c r="S1015" i="5"/>
  <c r="S895" i="5"/>
  <c r="K895" i="5"/>
  <c r="O654" i="6"/>
  <c r="U654" i="6"/>
  <c r="V654" i="6"/>
  <c r="J655" i="6"/>
  <c r="K655" i="6"/>
  <c r="Q294" i="5"/>
  <c r="W294" i="5"/>
  <c r="X294" i="5"/>
  <c r="M295" i="5"/>
  <c r="L655" i="6"/>
  <c r="M655" i="6"/>
  <c r="Q655" i="6"/>
  <c r="L295" i="6"/>
  <c r="M295" i="6"/>
  <c r="Q295" i="6"/>
  <c r="L655" i="5"/>
  <c r="N655" i="5"/>
  <c r="G656" i="5"/>
  <c r="H656" i="5"/>
  <c r="Q535" i="6"/>
  <c r="L535" i="6"/>
  <c r="M535" i="6"/>
  <c r="E681" i="6"/>
  <c r="F681" i="6"/>
  <c r="Q775" i="6"/>
  <c r="L775" i="6"/>
  <c r="M775" i="6"/>
  <c r="E921" i="6"/>
  <c r="F921" i="6"/>
  <c r="G296" i="5"/>
  <c r="H296" i="5"/>
  <c r="L295" i="5"/>
  <c r="N295" i="5"/>
  <c r="E801" i="6"/>
  <c r="F801" i="6"/>
  <c r="Q175" i="6"/>
  <c r="L175" i="6"/>
  <c r="M175" i="6"/>
  <c r="G1136" i="5"/>
  <c r="H1136" i="5"/>
  <c r="L1135" i="5"/>
  <c r="N1135" i="5"/>
  <c r="L895" i="5"/>
  <c r="N895" i="5"/>
  <c r="G896" i="5"/>
  <c r="H896" i="5"/>
  <c r="E561" i="6"/>
  <c r="F561" i="6"/>
  <c r="E201" i="6"/>
  <c r="F201" i="6"/>
  <c r="E81" i="6"/>
  <c r="F81" i="6"/>
  <c r="G176" i="5"/>
  <c r="H176" i="5"/>
  <c r="L175" i="5"/>
  <c r="N175" i="5"/>
  <c r="L1135" i="6"/>
  <c r="M1135" i="6"/>
  <c r="Q1135" i="6"/>
  <c r="L775" i="5"/>
  <c r="N775" i="5"/>
  <c r="G776" i="5"/>
  <c r="H776" i="5"/>
  <c r="L1015" i="6"/>
  <c r="M1015" i="6"/>
  <c r="Q1015" i="6"/>
  <c r="E1161" i="6"/>
  <c r="F1161" i="6"/>
  <c r="Q415" i="6"/>
  <c r="L415" i="6"/>
  <c r="M415" i="6"/>
  <c r="L55" i="6"/>
  <c r="M55" i="6"/>
  <c r="Q55" i="6"/>
  <c r="G56" i="5"/>
  <c r="H56" i="5"/>
  <c r="L55" i="5"/>
  <c r="N55" i="5"/>
  <c r="E1041" i="6"/>
  <c r="F1041" i="6"/>
  <c r="E441" i="6"/>
  <c r="F441" i="6"/>
  <c r="E321" i="6"/>
  <c r="F321" i="6"/>
  <c r="G1016" i="5"/>
  <c r="H1016" i="5"/>
  <c r="L1015" i="5"/>
  <c r="N1015" i="5"/>
  <c r="Q895" i="6"/>
  <c r="L895" i="6"/>
  <c r="M895" i="6"/>
  <c r="G536" i="5"/>
  <c r="H536" i="5"/>
  <c r="L535" i="5"/>
  <c r="N535" i="5"/>
  <c r="G416" i="5"/>
  <c r="H416" i="5"/>
  <c r="L415" i="5"/>
  <c r="N415" i="5"/>
  <c r="I416" i="5"/>
  <c r="J416" i="5"/>
  <c r="R416" i="5"/>
  <c r="P801" i="6"/>
  <c r="G801" i="6"/>
  <c r="S295" i="6"/>
  <c r="T295" i="5"/>
  <c r="U295" i="5"/>
  <c r="P295" i="5"/>
  <c r="R295" i="6"/>
  <c r="N295" i="6"/>
  <c r="I1016" i="5"/>
  <c r="J1016" i="5"/>
  <c r="R1016" i="5"/>
  <c r="G561" i="6"/>
  <c r="P561" i="6"/>
  <c r="S55" i="6"/>
  <c r="R776" i="5"/>
  <c r="I776" i="5"/>
  <c r="J776" i="5"/>
  <c r="P81" i="6"/>
  <c r="G81" i="6"/>
  <c r="T895" i="5"/>
  <c r="U895" i="5"/>
  <c r="P895" i="5"/>
  <c r="I296" i="5"/>
  <c r="J296" i="5"/>
  <c r="R296" i="5"/>
  <c r="P681" i="6"/>
  <c r="G681" i="6"/>
  <c r="T655" i="5"/>
  <c r="U655" i="5"/>
  <c r="P655" i="5"/>
  <c r="R56" i="5"/>
  <c r="I56" i="5"/>
  <c r="J56" i="5"/>
  <c r="N895" i="6"/>
  <c r="R895" i="6"/>
  <c r="S895" i="6"/>
  <c r="R55" i="6"/>
  <c r="N55" i="6"/>
  <c r="T775" i="5"/>
  <c r="U775" i="5"/>
  <c r="P775" i="5"/>
  <c r="T1135" i="5"/>
  <c r="U1135" i="5"/>
  <c r="P1135" i="5"/>
  <c r="N535" i="6"/>
  <c r="R535" i="6"/>
  <c r="N655" i="6"/>
  <c r="R655" i="6"/>
  <c r="S655" i="6"/>
  <c r="R176" i="5"/>
  <c r="I176" i="5"/>
  <c r="J176" i="5"/>
  <c r="P55" i="5"/>
  <c r="T55" i="5"/>
  <c r="U55" i="5"/>
  <c r="S775" i="6"/>
  <c r="I896" i="5"/>
  <c r="J896" i="5"/>
  <c r="R896" i="5"/>
  <c r="R415" i="6"/>
  <c r="S415" i="6"/>
  <c r="N415" i="6"/>
  <c r="I1136" i="5"/>
  <c r="J1136" i="5"/>
  <c r="R1136" i="5"/>
  <c r="S535" i="6"/>
  <c r="P1161" i="6"/>
  <c r="G1161" i="6"/>
  <c r="P535" i="5"/>
  <c r="T535" i="5"/>
  <c r="U535" i="5"/>
  <c r="P321" i="6"/>
  <c r="G321" i="6"/>
  <c r="G441" i="6"/>
  <c r="P441" i="6"/>
  <c r="G201" i="6"/>
  <c r="P201" i="6"/>
  <c r="R175" i="6"/>
  <c r="S175" i="6"/>
  <c r="N175" i="6"/>
  <c r="P921" i="6"/>
  <c r="G921" i="6"/>
  <c r="N775" i="6"/>
  <c r="R775" i="6"/>
  <c r="R1015" i="6"/>
  <c r="S1015" i="6"/>
  <c r="N1015" i="6"/>
  <c r="R536" i="5"/>
  <c r="I536" i="5"/>
  <c r="J536" i="5"/>
  <c r="N1135" i="6"/>
  <c r="R1135" i="6"/>
  <c r="S1135" i="6"/>
  <c r="P415" i="5"/>
  <c r="T415" i="5"/>
  <c r="U415" i="5"/>
  <c r="P1015" i="5"/>
  <c r="T1015" i="5"/>
  <c r="U1015" i="5"/>
  <c r="P1041" i="6"/>
  <c r="G1041" i="6"/>
  <c r="P175" i="5"/>
  <c r="T175" i="5"/>
  <c r="U175" i="5"/>
  <c r="R656" i="5"/>
  <c r="I656" i="5"/>
  <c r="J656" i="5"/>
  <c r="J536" i="6"/>
  <c r="K536" i="6"/>
  <c r="O535" i="6"/>
  <c r="U535" i="6"/>
  <c r="V535" i="6"/>
  <c r="K536" i="5"/>
  <c r="S536" i="5"/>
  <c r="K656" i="5"/>
  <c r="S656" i="5"/>
  <c r="M416" i="5"/>
  <c r="Q415" i="5"/>
  <c r="W415" i="5"/>
  <c r="X415" i="5"/>
  <c r="J776" i="6"/>
  <c r="K776" i="6"/>
  <c r="O775" i="6"/>
  <c r="U775" i="6"/>
  <c r="V775" i="6"/>
  <c r="J656" i="6"/>
  <c r="K656" i="6"/>
  <c r="O655" i="6"/>
  <c r="U655" i="6"/>
  <c r="V655" i="6"/>
  <c r="E682" i="6"/>
  <c r="F682" i="6"/>
  <c r="K776" i="5"/>
  <c r="S776" i="5"/>
  <c r="E1042" i="6"/>
  <c r="F1042" i="6"/>
  <c r="Q1135" i="5"/>
  <c r="W1135" i="5"/>
  <c r="X1135" i="5"/>
  <c r="M1136" i="5"/>
  <c r="S56" i="5"/>
  <c r="K56" i="5"/>
  <c r="S296" i="5"/>
  <c r="K296" i="5"/>
  <c r="E922" i="6"/>
  <c r="F922" i="6"/>
  <c r="M176" i="5"/>
  <c r="Q175" i="5"/>
  <c r="W175" i="5"/>
  <c r="X175" i="5"/>
  <c r="M56" i="5"/>
  <c r="Q55" i="5"/>
  <c r="W55" i="5"/>
  <c r="X55" i="5"/>
  <c r="M896" i="5"/>
  <c r="Q895" i="5"/>
  <c r="W895" i="5"/>
  <c r="X895" i="5"/>
  <c r="E562" i="6"/>
  <c r="F562" i="6"/>
  <c r="E802" i="6"/>
  <c r="F802" i="6"/>
  <c r="E442" i="6"/>
  <c r="F442" i="6"/>
  <c r="Q295" i="5"/>
  <c r="W295" i="5"/>
  <c r="X295" i="5"/>
  <c r="M296" i="5"/>
  <c r="E322" i="6"/>
  <c r="F322" i="6"/>
  <c r="J896" i="6"/>
  <c r="K896" i="6"/>
  <c r="O895" i="6"/>
  <c r="U895" i="6"/>
  <c r="V895" i="6"/>
  <c r="J176" i="6"/>
  <c r="K176" i="6"/>
  <c r="O175" i="6"/>
  <c r="U175" i="6"/>
  <c r="V175" i="6"/>
  <c r="J1016" i="6"/>
  <c r="K1016" i="6"/>
  <c r="O1015" i="6"/>
  <c r="U1015" i="6"/>
  <c r="V1015" i="6"/>
  <c r="Q535" i="5"/>
  <c r="W535" i="5"/>
  <c r="X535" i="5"/>
  <c r="M536" i="5"/>
  <c r="J416" i="6"/>
  <c r="K416" i="6"/>
  <c r="O415" i="6"/>
  <c r="U415" i="6"/>
  <c r="V415" i="6"/>
  <c r="S176" i="5"/>
  <c r="K176" i="5"/>
  <c r="M776" i="5"/>
  <c r="Q775" i="5"/>
  <c r="W775" i="5"/>
  <c r="X775" i="5"/>
  <c r="M656" i="5"/>
  <c r="Q655" i="5"/>
  <c r="W655" i="5"/>
  <c r="X655" i="5"/>
  <c r="S896" i="5"/>
  <c r="K896" i="5"/>
  <c r="O1135" i="6"/>
  <c r="U1135" i="6"/>
  <c r="V1135" i="6"/>
  <c r="J1136" i="6"/>
  <c r="K1136" i="6"/>
  <c r="S1136" i="5"/>
  <c r="K1136" i="5"/>
  <c r="E202" i="6"/>
  <c r="F202" i="6"/>
  <c r="E82" i="6"/>
  <c r="F82" i="6"/>
  <c r="K1016" i="5"/>
  <c r="S1016" i="5"/>
  <c r="Q1015" i="5"/>
  <c r="W1015" i="5"/>
  <c r="X1015" i="5"/>
  <c r="M1016" i="5"/>
  <c r="E1162" i="6"/>
  <c r="F1162" i="6"/>
  <c r="J56" i="6"/>
  <c r="K56" i="6"/>
  <c r="O55" i="6"/>
  <c r="U55" i="6"/>
  <c r="V55" i="6"/>
  <c r="O295" i="6"/>
  <c r="U295" i="6"/>
  <c r="V295" i="6"/>
  <c r="J296" i="6"/>
  <c r="K296" i="6"/>
  <c r="K416" i="5"/>
  <c r="S416" i="5"/>
  <c r="Q656" i="6"/>
  <c r="L656" i="6"/>
  <c r="M656" i="6"/>
  <c r="P442" i="6"/>
  <c r="G442" i="6"/>
  <c r="L656" i="5"/>
  <c r="N656" i="5"/>
  <c r="G657" i="5"/>
  <c r="H657" i="5"/>
  <c r="Q896" i="6"/>
  <c r="L896" i="6"/>
  <c r="M896" i="6"/>
  <c r="P802" i="6"/>
  <c r="G802" i="6"/>
  <c r="L296" i="5"/>
  <c r="N296" i="5"/>
  <c r="G297" i="5"/>
  <c r="H297" i="5"/>
  <c r="L56" i="6"/>
  <c r="M56" i="6"/>
  <c r="Q56" i="6"/>
  <c r="L416" i="6"/>
  <c r="M416" i="6"/>
  <c r="Q416" i="6"/>
  <c r="G1162" i="6"/>
  <c r="P1162" i="6"/>
  <c r="L1136" i="6"/>
  <c r="M1136" i="6"/>
  <c r="Q1136" i="6"/>
  <c r="L776" i="5"/>
  <c r="N776" i="5"/>
  <c r="G777" i="5"/>
  <c r="H777" i="5"/>
  <c r="G537" i="5"/>
  <c r="H537" i="5"/>
  <c r="L536" i="5"/>
  <c r="N536" i="5"/>
  <c r="P202" i="6"/>
  <c r="G202" i="6"/>
  <c r="G922" i="6"/>
  <c r="P922" i="6"/>
  <c r="G417" i="5"/>
  <c r="H417" i="5"/>
  <c r="L416" i="5"/>
  <c r="N416" i="5"/>
  <c r="G1017" i="5"/>
  <c r="H1017" i="5"/>
  <c r="L1016" i="5"/>
  <c r="N1016" i="5"/>
  <c r="P322" i="6"/>
  <c r="G322" i="6"/>
  <c r="G562" i="6"/>
  <c r="P562" i="6"/>
  <c r="G57" i="5"/>
  <c r="H57" i="5"/>
  <c r="L56" i="5"/>
  <c r="N56" i="5"/>
  <c r="Q776" i="6"/>
  <c r="L776" i="6"/>
  <c r="M776" i="6"/>
  <c r="L1136" i="5"/>
  <c r="N1136" i="5"/>
  <c r="G1137" i="5"/>
  <c r="H1137" i="5"/>
  <c r="P1042" i="6"/>
  <c r="G1042" i="6"/>
  <c r="L1016" i="6"/>
  <c r="M1016" i="6"/>
  <c r="Q1016" i="6"/>
  <c r="G682" i="6"/>
  <c r="P682" i="6"/>
  <c r="L536" i="6"/>
  <c r="M536" i="6"/>
  <c r="Q536" i="6"/>
  <c r="L176" i="6"/>
  <c r="M176" i="6"/>
  <c r="Q176" i="6"/>
  <c r="L296" i="6"/>
  <c r="M296" i="6"/>
  <c r="Q296" i="6"/>
  <c r="P82" i="6"/>
  <c r="G82" i="6"/>
  <c r="L896" i="5"/>
  <c r="N896" i="5"/>
  <c r="G897" i="5"/>
  <c r="H897" i="5"/>
  <c r="G177" i="5"/>
  <c r="H177" i="5"/>
  <c r="L176" i="5"/>
  <c r="N176" i="5"/>
  <c r="I297" i="5"/>
  <c r="J297" i="5"/>
  <c r="R297" i="5"/>
  <c r="E443" i="6"/>
  <c r="F443" i="6"/>
  <c r="E1043" i="6"/>
  <c r="F1043" i="6"/>
  <c r="E923" i="6"/>
  <c r="F923" i="6"/>
  <c r="R897" i="5"/>
  <c r="I897" i="5"/>
  <c r="J897" i="5"/>
  <c r="E323" i="6"/>
  <c r="F323" i="6"/>
  <c r="T896" i="5"/>
  <c r="U896" i="5"/>
  <c r="P896" i="5"/>
  <c r="P1136" i="5"/>
  <c r="T1136" i="5"/>
  <c r="U1136" i="5"/>
  <c r="E1163" i="6"/>
  <c r="F1163" i="6"/>
  <c r="N1136" i="6"/>
  <c r="R1136" i="6"/>
  <c r="S1136" i="6"/>
  <c r="I1137" i="5"/>
  <c r="J1137" i="5"/>
  <c r="R1137" i="5"/>
  <c r="E203" i="6"/>
  <c r="F203" i="6"/>
  <c r="E803" i="6"/>
  <c r="F803" i="6"/>
  <c r="P1016" i="5"/>
  <c r="T1016" i="5"/>
  <c r="U1016" i="5"/>
  <c r="T536" i="5"/>
  <c r="U536" i="5"/>
  <c r="P536" i="5"/>
  <c r="S416" i="6"/>
  <c r="R896" i="6"/>
  <c r="N896" i="6"/>
  <c r="R177" i="5"/>
  <c r="I177" i="5"/>
  <c r="J177" i="5"/>
  <c r="E563" i="6"/>
  <c r="F563" i="6"/>
  <c r="N656" i="6"/>
  <c r="R656" i="6"/>
  <c r="S656" i="6"/>
  <c r="I1017" i="5"/>
  <c r="J1017" i="5"/>
  <c r="R1017" i="5"/>
  <c r="R537" i="5"/>
  <c r="I537" i="5"/>
  <c r="J537" i="5"/>
  <c r="R416" i="6"/>
  <c r="N416" i="6"/>
  <c r="S896" i="6"/>
  <c r="P176" i="5"/>
  <c r="T176" i="5"/>
  <c r="U176" i="5"/>
  <c r="R536" i="6"/>
  <c r="S536" i="6"/>
  <c r="N536" i="6"/>
  <c r="E83" i="6"/>
  <c r="F83" i="6"/>
  <c r="P56" i="5"/>
  <c r="T56" i="5"/>
  <c r="U56" i="5"/>
  <c r="P416" i="5"/>
  <c r="T416" i="5"/>
  <c r="U416" i="5"/>
  <c r="I777" i="5"/>
  <c r="J777" i="5"/>
  <c r="R777" i="5"/>
  <c r="S56" i="6"/>
  <c r="R657" i="5"/>
  <c r="I657" i="5"/>
  <c r="J657" i="5"/>
  <c r="R176" i="6"/>
  <c r="S176" i="6"/>
  <c r="N176" i="6"/>
  <c r="P296" i="5"/>
  <c r="T296" i="5"/>
  <c r="U296" i="5"/>
  <c r="R776" i="6"/>
  <c r="S776" i="6"/>
  <c r="N776" i="6"/>
  <c r="E683" i="6"/>
  <c r="F683" i="6"/>
  <c r="N296" i="6"/>
  <c r="R296" i="6"/>
  <c r="S296" i="6"/>
  <c r="N1016" i="6"/>
  <c r="R1016" i="6"/>
  <c r="S1016" i="6"/>
  <c r="I57" i="5"/>
  <c r="J57" i="5"/>
  <c r="R57" i="5"/>
  <c r="I417" i="5"/>
  <c r="J417" i="5"/>
  <c r="R417" i="5"/>
  <c r="T776" i="5"/>
  <c r="U776" i="5"/>
  <c r="P776" i="5"/>
  <c r="R56" i="6"/>
  <c r="N56" i="6"/>
  <c r="T656" i="5"/>
  <c r="U656" i="5"/>
  <c r="P656" i="5"/>
  <c r="M777" i="5"/>
  <c r="Q776" i="5"/>
  <c r="W776" i="5"/>
  <c r="X776" i="5"/>
  <c r="J297" i="6"/>
  <c r="K297" i="6"/>
  <c r="O296" i="6"/>
  <c r="U296" i="6"/>
  <c r="V296" i="6"/>
  <c r="O416" i="6"/>
  <c r="U416" i="6"/>
  <c r="V416" i="6"/>
  <c r="J417" i="6"/>
  <c r="K417" i="6"/>
  <c r="O536" i="6"/>
  <c r="U536" i="6"/>
  <c r="V536" i="6"/>
  <c r="J537" i="6"/>
  <c r="K537" i="6"/>
  <c r="S897" i="5"/>
  <c r="K897" i="5"/>
  <c r="Q296" i="5"/>
  <c r="W296" i="5"/>
  <c r="X296" i="5"/>
  <c r="M297" i="5"/>
  <c r="P443" i="6"/>
  <c r="G443" i="6"/>
  <c r="O176" i="6"/>
  <c r="U176" i="6"/>
  <c r="V176" i="6"/>
  <c r="J177" i="6"/>
  <c r="K177" i="6"/>
  <c r="K537" i="5"/>
  <c r="S537" i="5"/>
  <c r="P563" i="6"/>
  <c r="G563" i="6"/>
  <c r="K1137" i="5"/>
  <c r="S1137" i="5"/>
  <c r="S297" i="5"/>
  <c r="K297" i="5"/>
  <c r="M537" i="5"/>
  <c r="Q536" i="5"/>
  <c r="W536" i="5"/>
  <c r="X536" i="5"/>
  <c r="K417" i="5"/>
  <c r="S417" i="5"/>
  <c r="S657" i="5"/>
  <c r="K657" i="5"/>
  <c r="M57" i="5"/>
  <c r="Q56" i="5"/>
  <c r="W56" i="5"/>
  <c r="X56" i="5"/>
  <c r="S177" i="5"/>
  <c r="K177" i="5"/>
  <c r="Q1016" i="5"/>
  <c r="W1016" i="5"/>
  <c r="X1016" i="5"/>
  <c r="M1017" i="5"/>
  <c r="G323" i="6"/>
  <c r="P323" i="6"/>
  <c r="P83" i="6"/>
  <c r="G83" i="6"/>
  <c r="J657" i="6"/>
  <c r="K657" i="6"/>
  <c r="O656" i="6"/>
  <c r="U656" i="6"/>
  <c r="V656" i="6"/>
  <c r="J777" i="6"/>
  <c r="K777" i="6"/>
  <c r="O776" i="6"/>
  <c r="U776" i="6"/>
  <c r="V776" i="6"/>
  <c r="S57" i="5"/>
  <c r="K57" i="5"/>
  <c r="J1137" i="6"/>
  <c r="K1137" i="6"/>
  <c r="O1136" i="6"/>
  <c r="U1136" i="6"/>
  <c r="V1136" i="6"/>
  <c r="Q1136" i="5"/>
  <c r="W1136" i="5"/>
  <c r="X1136" i="5"/>
  <c r="M1137" i="5"/>
  <c r="G923" i="6"/>
  <c r="P923" i="6"/>
  <c r="G1163" i="6"/>
  <c r="P1163" i="6"/>
  <c r="M417" i="5"/>
  <c r="Q416" i="5"/>
  <c r="W416" i="5"/>
  <c r="X416" i="5"/>
  <c r="P683" i="6"/>
  <c r="G683" i="6"/>
  <c r="M657" i="5"/>
  <c r="Q656" i="5"/>
  <c r="W656" i="5"/>
  <c r="X656" i="5"/>
  <c r="S1017" i="5"/>
  <c r="K1017" i="5"/>
  <c r="J897" i="6"/>
  <c r="K897" i="6"/>
  <c r="O896" i="6"/>
  <c r="U896" i="6"/>
  <c r="V896" i="6"/>
  <c r="M897" i="5"/>
  <c r="Q896" i="5"/>
  <c r="W896" i="5"/>
  <c r="X896" i="5"/>
  <c r="S777" i="5"/>
  <c r="K777" i="5"/>
  <c r="P203" i="6"/>
  <c r="G203" i="6"/>
  <c r="O56" i="6"/>
  <c r="U56" i="6"/>
  <c r="V56" i="6"/>
  <c r="J57" i="6"/>
  <c r="K57" i="6"/>
  <c r="O1016" i="6"/>
  <c r="U1016" i="6"/>
  <c r="V1016" i="6"/>
  <c r="J1017" i="6"/>
  <c r="K1017" i="6"/>
  <c r="M177" i="5"/>
  <c r="Q176" i="5"/>
  <c r="W176" i="5"/>
  <c r="X176" i="5"/>
  <c r="P803" i="6"/>
  <c r="G803" i="6"/>
  <c r="G1043" i="6"/>
  <c r="P1043" i="6"/>
  <c r="E204" i="6"/>
  <c r="F204" i="6"/>
  <c r="G1018" i="5"/>
  <c r="H1018" i="5"/>
  <c r="L1017" i="5"/>
  <c r="N1017" i="5"/>
  <c r="G178" i="5"/>
  <c r="H178" i="5"/>
  <c r="L177" i="5"/>
  <c r="N177" i="5"/>
  <c r="G418" i="5"/>
  <c r="H418" i="5"/>
  <c r="L417" i="5"/>
  <c r="N417" i="5"/>
  <c r="E564" i="6"/>
  <c r="F564" i="6"/>
  <c r="L417" i="6"/>
  <c r="M417" i="6"/>
  <c r="Q417" i="6"/>
  <c r="E444" i="6"/>
  <c r="F444" i="6"/>
  <c r="Q1137" i="6"/>
  <c r="L1137" i="6"/>
  <c r="M1137" i="6"/>
  <c r="L1137" i="5"/>
  <c r="N1137" i="5"/>
  <c r="G1138" i="5"/>
  <c r="H1138" i="5"/>
  <c r="E804" i="6"/>
  <c r="F804" i="6"/>
  <c r="L537" i="6"/>
  <c r="M537" i="6"/>
  <c r="Q537" i="6"/>
  <c r="E1164" i="6"/>
  <c r="F1164" i="6"/>
  <c r="E84" i="6"/>
  <c r="F84" i="6"/>
  <c r="L777" i="6"/>
  <c r="M777" i="6"/>
  <c r="Q777" i="6"/>
  <c r="L897" i="6"/>
  <c r="M897" i="6"/>
  <c r="Q897" i="6"/>
  <c r="Q657" i="6"/>
  <c r="L657" i="6"/>
  <c r="M657" i="6"/>
  <c r="L777" i="5"/>
  <c r="N777" i="5"/>
  <c r="G778" i="5"/>
  <c r="H778" i="5"/>
  <c r="Q1017" i="6"/>
  <c r="L1017" i="6"/>
  <c r="M1017" i="6"/>
  <c r="E924" i="6"/>
  <c r="F924" i="6"/>
  <c r="G58" i="5"/>
  <c r="H58" i="5"/>
  <c r="L57" i="5"/>
  <c r="N57" i="5"/>
  <c r="L297" i="5"/>
  <c r="N297" i="5"/>
  <c r="G298" i="5"/>
  <c r="H298" i="5"/>
  <c r="L537" i="5"/>
  <c r="N537" i="5"/>
  <c r="G538" i="5"/>
  <c r="H538" i="5"/>
  <c r="L897" i="5"/>
  <c r="N897" i="5"/>
  <c r="G898" i="5"/>
  <c r="H898" i="5"/>
  <c r="Q297" i="6"/>
  <c r="L297" i="6"/>
  <c r="M297" i="6"/>
  <c r="L177" i="6"/>
  <c r="M177" i="6"/>
  <c r="Q177" i="6"/>
  <c r="E684" i="6"/>
  <c r="F684" i="6"/>
  <c r="E1044" i="6"/>
  <c r="F1044" i="6"/>
  <c r="L57" i="6"/>
  <c r="M57" i="6"/>
  <c r="Q57" i="6"/>
  <c r="E324" i="6"/>
  <c r="F324" i="6"/>
  <c r="L657" i="5"/>
  <c r="N657" i="5"/>
  <c r="G658" i="5"/>
  <c r="H658" i="5"/>
  <c r="R538" i="5"/>
  <c r="I538" i="5"/>
  <c r="J538" i="5"/>
  <c r="P537" i="5"/>
  <c r="T537" i="5"/>
  <c r="U537" i="5"/>
  <c r="G564" i="6"/>
  <c r="P564" i="6"/>
  <c r="G204" i="6"/>
  <c r="P204" i="6"/>
  <c r="I298" i="5"/>
  <c r="J298" i="5"/>
  <c r="R298" i="5"/>
  <c r="S1017" i="6"/>
  <c r="R897" i="6"/>
  <c r="S897" i="6"/>
  <c r="N897" i="6"/>
  <c r="T417" i="5"/>
  <c r="U417" i="5"/>
  <c r="P417" i="5"/>
  <c r="G324" i="6"/>
  <c r="P324" i="6"/>
  <c r="P1137" i="5"/>
  <c r="T1137" i="5"/>
  <c r="U1137" i="5"/>
  <c r="N1017" i="6"/>
  <c r="R1017" i="6"/>
  <c r="N177" i="6"/>
  <c r="R177" i="6"/>
  <c r="S177" i="6"/>
  <c r="R537" i="6"/>
  <c r="S537" i="6"/>
  <c r="N537" i="6"/>
  <c r="I418" i="5"/>
  <c r="J418" i="5"/>
  <c r="R418" i="5"/>
  <c r="P684" i="6"/>
  <c r="G684" i="6"/>
  <c r="I1018" i="5"/>
  <c r="J1018" i="5"/>
  <c r="R1018" i="5"/>
  <c r="R1137" i="6"/>
  <c r="S1137" i="6"/>
  <c r="N1137" i="6"/>
  <c r="T297" i="5"/>
  <c r="U297" i="5"/>
  <c r="P297" i="5"/>
  <c r="N297" i="6"/>
  <c r="R297" i="6"/>
  <c r="R777" i="6"/>
  <c r="N777" i="6"/>
  <c r="P177" i="5"/>
  <c r="T177" i="5"/>
  <c r="U177" i="5"/>
  <c r="P924" i="6"/>
  <c r="G924" i="6"/>
  <c r="N57" i="6"/>
  <c r="R57" i="6"/>
  <c r="S57" i="6"/>
  <c r="S777" i="6"/>
  <c r="R778" i="5"/>
  <c r="I778" i="5"/>
  <c r="J778" i="5"/>
  <c r="R658" i="5"/>
  <c r="I658" i="5"/>
  <c r="J658" i="5"/>
  <c r="P1044" i="6"/>
  <c r="G1044" i="6"/>
  <c r="S297" i="6"/>
  <c r="P57" i="5"/>
  <c r="T57" i="5"/>
  <c r="U57" i="5"/>
  <c r="T777" i="5"/>
  <c r="U777" i="5"/>
  <c r="P777" i="5"/>
  <c r="G84" i="6"/>
  <c r="P84" i="6"/>
  <c r="P804" i="6"/>
  <c r="G804" i="6"/>
  <c r="P444" i="6"/>
  <c r="G444" i="6"/>
  <c r="I178" i="5"/>
  <c r="J178" i="5"/>
  <c r="R178" i="5"/>
  <c r="T657" i="5"/>
  <c r="U657" i="5"/>
  <c r="P657" i="5"/>
  <c r="R898" i="5"/>
  <c r="I898" i="5"/>
  <c r="J898" i="5"/>
  <c r="I58" i="5"/>
  <c r="J58" i="5"/>
  <c r="R58" i="5"/>
  <c r="R657" i="6"/>
  <c r="S657" i="6"/>
  <c r="N657" i="6"/>
  <c r="T897" i="5"/>
  <c r="U897" i="5"/>
  <c r="P897" i="5"/>
  <c r="P1164" i="6"/>
  <c r="G1164" i="6"/>
  <c r="I1138" i="5"/>
  <c r="J1138" i="5"/>
  <c r="R1138" i="5"/>
  <c r="N417" i="6"/>
  <c r="R417" i="6"/>
  <c r="S417" i="6"/>
  <c r="P1017" i="5"/>
  <c r="T1017" i="5"/>
  <c r="U1017" i="5"/>
  <c r="E925" i="6"/>
  <c r="F925" i="6"/>
  <c r="S178" i="5"/>
  <c r="K178" i="5"/>
  <c r="K778" i="5"/>
  <c r="S778" i="5"/>
  <c r="M178" i="5"/>
  <c r="Q177" i="5"/>
  <c r="W177" i="5"/>
  <c r="X177" i="5"/>
  <c r="E325" i="6"/>
  <c r="F325" i="6"/>
  <c r="O897" i="6"/>
  <c r="U897" i="6"/>
  <c r="V897" i="6"/>
  <c r="J898" i="6"/>
  <c r="K898" i="6"/>
  <c r="O417" i="6"/>
  <c r="U417" i="6"/>
  <c r="V417" i="6"/>
  <c r="J418" i="6"/>
  <c r="K418" i="6"/>
  <c r="E85" i="6"/>
  <c r="F85" i="6"/>
  <c r="M778" i="5"/>
  <c r="Q777" i="5"/>
  <c r="W777" i="5"/>
  <c r="X777" i="5"/>
  <c r="K1138" i="5"/>
  <c r="S1138" i="5"/>
  <c r="E1165" i="6"/>
  <c r="F1165" i="6"/>
  <c r="E445" i="6"/>
  <c r="F445" i="6"/>
  <c r="J778" i="6"/>
  <c r="K778" i="6"/>
  <c r="O777" i="6"/>
  <c r="U777" i="6"/>
  <c r="V777" i="6"/>
  <c r="M418" i="5"/>
  <c r="Q417" i="5"/>
  <c r="W417" i="5"/>
  <c r="X417" i="5"/>
  <c r="S298" i="5"/>
  <c r="K298" i="5"/>
  <c r="E205" i="6"/>
  <c r="F205" i="6"/>
  <c r="Q1137" i="5"/>
  <c r="W1137" i="5"/>
  <c r="X1137" i="5"/>
  <c r="M1138" i="5"/>
  <c r="M58" i="5"/>
  <c r="Q57" i="5"/>
  <c r="W57" i="5"/>
  <c r="X57" i="5"/>
  <c r="K1018" i="5"/>
  <c r="S1018" i="5"/>
  <c r="J178" i="6"/>
  <c r="K178" i="6"/>
  <c r="O177" i="6"/>
  <c r="U177" i="6"/>
  <c r="V177" i="6"/>
  <c r="M538" i="5"/>
  <c r="Q537" i="5"/>
  <c r="W537" i="5"/>
  <c r="X537" i="5"/>
  <c r="K658" i="5"/>
  <c r="S658" i="5"/>
  <c r="J658" i="6"/>
  <c r="K658" i="6"/>
  <c r="O657" i="6"/>
  <c r="U657" i="6"/>
  <c r="V657" i="6"/>
  <c r="J1138" i="6"/>
  <c r="K1138" i="6"/>
  <c r="O1137" i="6"/>
  <c r="U1137" i="6"/>
  <c r="V1137" i="6"/>
  <c r="E565" i="6"/>
  <c r="F565" i="6"/>
  <c r="S58" i="5"/>
  <c r="K58" i="5"/>
  <c r="S898" i="5"/>
  <c r="K898" i="5"/>
  <c r="E805" i="6"/>
  <c r="F805" i="6"/>
  <c r="E685" i="6"/>
  <c r="F685" i="6"/>
  <c r="S538" i="5"/>
  <c r="K538" i="5"/>
  <c r="M658" i="5"/>
  <c r="Q657" i="5"/>
  <c r="W657" i="5"/>
  <c r="X657" i="5"/>
  <c r="Q297" i="5"/>
  <c r="W297" i="5"/>
  <c r="X297" i="5"/>
  <c r="M298" i="5"/>
  <c r="S418" i="5"/>
  <c r="K418" i="5"/>
  <c r="O537" i="6"/>
  <c r="U537" i="6"/>
  <c r="V537" i="6"/>
  <c r="J538" i="6"/>
  <c r="K538" i="6"/>
  <c r="Q1017" i="5"/>
  <c r="W1017" i="5"/>
  <c r="X1017" i="5"/>
  <c r="M1018" i="5"/>
  <c r="M898" i="5"/>
  <c r="Q897" i="5"/>
  <c r="W897" i="5"/>
  <c r="X897" i="5"/>
  <c r="E1045" i="6"/>
  <c r="F1045" i="6"/>
  <c r="J58" i="6"/>
  <c r="K58" i="6"/>
  <c r="O57" i="6"/>
  <c r="U57" i="6"/>
  <c r="V57" i="6"/>
  <c r="J298" i="6"/>
  <c r="K298" i="6"/>
  <c r="O297" i="6"/>
  <c r="U297" i="6"/>
  <c r="V297" i="6"/>
  <c r="J1018" i="6"/>
  <c r="K1018" i="6"/>
  <c r="O1017" i="6"/>
  <c r="U1017" i="6"/>
  <c r="V1017" i="6"/>
  <c r="L778" i="6"/>
  <c r="M778" i="6"/>
  <c r="Q778" i="6"/>
  <c r="P565" i="6"/>
  <c r="G565" i="6"/>
  <c r="P1045" i="6"/>
  <c r="G1045" i="6"/>
  <c r="Q1018" i="6"/>
  <c r="L1018" i="6"/>
  <c r="M1018" i="6"/>
  <c r="L538" i="5"/>
  <c r="N538" i="5"/>
  <c r="G539" i="5"/>
  <c r="H539" i="5"/>
  <c r="G59" i="5"/>
  <c r="H59" i="5"/>
  <c r="L58" i="5"/>
  <c r="N58" i="5"/>
  <c r="G1019" i="5"/>
  <c r="H1019" i="5"/>
  <c r="L1018" i="5"/>
  <c r="N1018" i="5"/>
  <c r="L658" i="5"/>
  <c r="N658" i="5"/>
  <c r="G659" i="5"/>
  <c r="H659" i="5"/>
  <c r="L1138" i="5"/>
  <c r="N1138" i="5"/>
  <c r="G1139" i="5"/>
  <c r="H1139" i="5"/>
  <c r="L898" i="6"/>
  <c r="M898" i="6"/>
  <c r="Q898" i="6"/>
  <c r="L298" i="5"/>
  <c r="N298" i="5"/>
  <c r="G299" i="5"/>
  <c r="H299" i="5"/>
  <c r="G419" i="5"/>
  <c r="H419" i="5"/>
  <c r="L418" i="5"/>
  <c r="N418" i="5"/>
  <c r="G179" i="5"/>
  <c r="H179" i="5"/>
  <c r="L178" i="5"/>
  <c r="N178" i="5"/>
  <c r="L58" i="6"/>
  <c r="M58" i="6"/>
  <c r="Q58" i="6"/>
  <c r="P805" i="6"/>
  <c r="G805" i="6"/>
  <c r="L1138" i="6"/>
  <c r="M1138" i="6"/>
  <c r="Q1138" i="6"/>
  <c r="G445" i="6"/>
  <c r="P445" i="6"/>
  <c r="L778" i="5"/>
  <c r="N778" i="5"/>
  <c r="G779" i="5"/>
  <c r="H779" i="5"/>
  <c r="Q178" i="6"/>
  <c r="L178" i="6"/>
  <c r="M178" i="6"/>
  <c r="G85" i="6"/>
  <c r="P85" i="6"/>
  <c r="P325" i="6"/>
  <c r="G325" i="6"/>
  <c r="P685" i="6"/>
  <c r="G685" i="6"/>
  <c r="L898" i="5"/>
  <c r="N898" i="5"/>
  <c r="G899" i="5"/>
  <c r="H899" i="5"/>
  <c r="L658" i="6"/>
  <c r="M658" i="6"/>
  <c r="Q658" i="6"/>
  <c r="P1165" i="6"/>
  <c r="G1165" i="6"/>
  <c r="Q418" i="6"/>
  <c r="L418" i="6"/>
  <c r="M418" i="6"/>
  <c r="G205" i="6"/>
  <c r="P205" i="6"/>
  <c r="Q298" i="6"/>
  <c r="L298" i="6"/>
  <c r="M298" i="6"/>
  <c r="L538" i="6"/>
  <c r="M538" i="6"/>
  <c r="Q538" i="6"/>
  <c r="P925" i="6"/>
  <c r="G925" i="6"/>
  <c r="R59" i="5"/>
  <c r="I59" i="5"/>
  <c r="J59" i="5"/>
  <c r="E326" i="6"/>
  <c r="F326" i="6"/>
  <c r="N538" i="6"/>
  <c r="R538" i="6"/>
  <c r="S538" i="6"/>
  <c r="E446" i="6"/>
  <c r="F446" i="6"/>
  <c r="N778" i="6"/>
  <c r="R778" i="6"/>
  <c r="R298" i="6"/>
  <c r="S298" i="6"/>
  <c r="N298" i="6"/>
  <c r="T418" i="5"/>
  <c r="U418" i="5"/>
  <c r="P418" i="5"/>
  <c r="R659" i="5"/>
  <c r="I659" i="5"/>
  <c r="J659" i="5"/>
  <c r="R1018" i="6"/>
  <c r="S1018" i="6"/>
  <c r="N1018" i="6"/>
  <c r="P178" i="5"/>
  <c r="T178" i="5"/>
  <c r="U178" i="5"/>
  <c r="S778" i="6"/>
  <c r="I179" i="5"/>
  <c r="J179" i="5"/>
  <c r="R179" i="5"/>
  <c r="T538" i="5"/>
  <c r="U538" i="5"/>
  <c r="P538" i="5"/>
  <c r="R658" i="6"/>
  <c r="S658" i="6"/>
  <c r="N658" i="6"/>
  <c r="E86" i="6"/>
  <c r="F86" i="6"/>
  <c r="R1138" i="6"/>
  <c r="S1138" i="6"/>
  <c r="N1138" i="6"/>
  <c r="R419" i="5"/>
  <c r="I419" i="5"/>
  <c r="J419" i="5"/>
  <c r="T658" i="5"/>
  <c r="U658" i="5"/>
  <c r="P658" i="5"/>
  <c r="N58" i="6"/>
  <c r="R58" i="6"/>
  <c r="I1139" i="5"/>
  <c r="J1139" i="5"/>
  <c r="R1139" i="5"/>
  <c r="I899" i="5"/>
  <c r="J899" i="5"/>
  <c r="R899" i="5"/>
  <c r="N178" i="6"/>
  <c r="R178" i="6"/>
  <c r="E806" i="6"/>
  <c r="F806" i="6"/>
  <c r="I299" i="5"/>
  <c r="J299" i="5"/>
  <c r="R299" i="5"/>
  <c r="P1018" i="5"/>
  <c r="T1018" i="5"/>
  <c r="U1018" i="5"/>
  <c r="E1046" i="6"/>
  <c r="F1046" i="6"/>
  <c r="N898" i="6"/>
  <c r="R898" i="6"/>
  <c r="T898" i="5"/>
  <c r="U898" i="5"/>
  <c r="P898" i="5"/>
  <c r="T298" i="5"/>
  <c r="U298" i="5"/>
  <c r="P298" i="5"/>
  <c r="I1019" i="5"/>
  <c r="J1019" i="5"/>
  <c r="R1019" i="5"/>
  <c r="T778" i="5"/>
  <c r="U778" i="5"/>
  <c r="P778" i="5"/>
  <c r="E1166" i="6"/>
  <c r="F1166" i="6"/>
  <c r="R539" i="5"/>
  <c r="I539" i="5"/>
  <c r="J539" i="5"/>
  <c r="T1138" i="5"/>
  <c r="U1138" i="5"/>
  <c r="P1138" i="5"/>
  <c r="E206" i="6"/>
  <c r="F206" i="6"/>
  <c r="S178" i="6"/>
  <c r="E926" i="6"/>
  <c r="F926" i="6"/>
  <c r="N418" i="6"/>
  <c r="R418" i="6"/>
  <c r="S418" i="6"/>
  <c r="E686" i="6"/>
  <c r="F686" i="6"/>
  <c r="I779" i="5"/>
  <c r="J779" i="5"/>
  <c r="R779" i="5"/>
  <c r="S58" i="6"/>
  <c r="S898" i="6"/>
  <c r="P58" i="5"/>
  <c r="T58" i="5"/>
  <c r="U58" i="5"/>
  <c r="E566" i="6"/>
  <c r="F566" i="6"/>
  <c r="Q1018" i="5"/>
  <c r="W1018" i="5"/>
  <c r="X1018" i="5"/>
  <c r="M1019" i="5"/>
  <c r="G926" i="6"/>
  <c r="P926" i="6"/>
  <c r="K1139" i="5"/>
  <c r="S1139" i="5"/>
  <c r="J1139" i="6"/>
  <c r="K1139" i="6"/>
  <c r="O1138" i="6"/>
  <c r="U1138" i="6"/>
  <c r="V1138" i="6"/>
  <c r="J1019" i="6"/>
  <c r="K1019" i="6"/>
  <c r="O1018" i="6"/>
  <c r="U1018" i="6"/>
  <c r="V1018" i="6"/>
  <c r="O538" i="6"/>
  <c r="U538" i="6"/>
  <c r="V538" i="6"/>
  <c r="J539" i="6"/>
  <c r="K539" i="6"/>
  <c r="S899" i="5"/>
  <c r="K899" i="5"/>
  <c r="Q298" i="5"/>
  <c r="W298" i="5"/>
  <c r="X298" i="5"/>
  <c r="M299" i="5"/>
  <c r="J899" i="6"/>
  <c r="K899" i="6"/>
  <c r="O898" i="6"/>
  <c r="U898" i="6"/>
  <c r="V898" i="6"/>
  <c r="P806" i="6"/>
  <c r="G806" i="6"/>
  <c r="J299" i="6"/>
  <c r="K299" i="6"/>
  <c r="O298" i="6"/>
  <c r="U298" i="6"/>
  <c r="V298" i="6"/>
  <c r="S779" i="5"/>
  <c r="K779" i="5"/>
  <c r="G1166" i="6"/>
  <c r="P1166" i="6"/>
  <c r="P1046" i="6"/>
  <c r="G1046" i="6"/>
  <c r="P86" i="6"/>
  <c r="G86" i="6"/>
  <c r="S179" i="5"/>
  <c r="K179" i="5"/>
  <c r="S659" i="5"/>
  <c r="K659" i="5"/>
  <c r="P326" i="6"/>
  <c r="G326" i="6"/>
  <c r="K539" i="5"/>
  <c r="S539" i="5"/>
  <c r="M539" i="5"/>
  <c r="Q538" i="5"/>
  <c r="W538" i="5"/>
  <c r="X538" i="5"/>
  <c r="S1019" i="5"/>
  <c r="K1019" i="5"/>
  <c r="J59" i="6"/>
  <c r="K59" i="6"/>
  <c r="O58" i="6"/>
  <c r="U58" i="6"/>
  <c r="V58" i="6"/>
  <c r="P206" i="6"/>
  <c r="G206" i="6"/>
  <c r="M779" i="5"/>
  <c r="Q778" i="5"/>
  <c r="W778" i="5"/>
  <c r="X778" i="5"/>
  <c r="J179" i="6"/>
  <c r="K179" i="6"/>
  <c r="O178" i="6"/>
  <c r="U178" i="6"/>
  <c r="V178" i="6"/>
  <c r="S299" i="5"/>
  <c r="K299" i="5"/>
  <c r="G566" i="6"/>
  <c r="P566" i="6"/>
  <c r="G686" i="6"/>
  <c r="P686" i="6"/>
  <c r="M899" i="5"/>
  <c r="Q898" i="5"/>
  <c r="W898" i="5"/>
  <c r="X898" i="5"/>
  <c r="M659" i="5"/>
  <c r="Q658" i="5"/>
  <c r="W658" i="5"/>
  <c r="X658" i="5"/>
  <c r="O658" i="6"/>
  <c r="U658" i="6"/>
  <c r="V658" i="6"/>
  <c r="J659" i="6"/>
  <c r="K659" i="6"/>
  <c r="M419" i="5"/>
  <c r="Q418" i="5"/>
  <c r="W418" i="5"/>
  <c r="X418" i="5"/>
  <c r="O778" i="6"/>
  <c r="U778" i="6"/>
  <c r="V778" i="6"/>
  <c r="J779" i="6"/>
  <c r="K779" i="6"/>
  <c r="S59" i="5"/>
  <c r="K59" i="5"/>
  <c r="Q1138" i="5"/>
  <c r="W1138" i="5"/>
  <c r="X1138" i="5"/>
  <c r="M1139" i="5"/>
  <c r="M179" i="5"/>
  <c r="Q178" i="5"/>
  <c r="W178" i="5"/>
  <c r="X178" i="5"/>
  <c r="M59" i="5"/>
  <c r="Q58" i="5"/>
  <c r="W58" i="5"/>
  <c r="X58" i="5"/>
  <c r="J419" i="6"/>
  <c r="K419" i="6"/>
  <c r="O418" i="6"/>
  <c r="U418" i="6"/>
  <c r="V418" i="6"/>
  <c r="K419" i="5"/>
  <c r="S419" i="5"/>
  <c r="P446" i="6"/>
  <c r="G446" i="6"/>
  <c r="E1047" i="6"/>
  <c r="F1047" i="6"/>
  <c r="G1020" i="5"/>
  <c r="H1020" i="5"/>
  <c r="L1019" i="5"/>
  <c r="N1019" i="5"/>
  <c r="L659" i="5"/>
  <c r="N659" i="5"/>
  <c r="G660" i="5"/>
  <c r="H660" i="5"/>
  <c r="E807" i="6"/>
  <c r="F807" i="6"/>
  <c r="L1139" i="6"/>
  <c r="M1139" i="6"/>
  <c r="Q1139" i="6"/>
  <c r="G420" i="5"/>
  <c r="H420" i="5"/>
  <c r="L419" i="5"/>
  <c r="N419" i="5"/>
  <c r="Q179" i="6"/>
  <c r="L179" i="6"/>
  <c r="M179" i="6"/>
  <c r="E1167" i="6"/>
  <c r="F1167" i="6"/>
  <c r="L899" i="5"/>
  <c r="N899" i="5"/>
  <c r="G900" i="5"/>
  <c r="H900" i="5"/>
  <c r="E447" i="6"/>
  <c r="F447" i="6"/>
  <c r="L659" i="6"/>
  <c r="M659" i="6"/>
  <c r="Q659" i="6"/>
  <c r="E687" i="6"/>
  <c r="F687" i="6"/>
  <c r="G180" i="5"/>
  <c r="H180" i="5"/>
  <c r="L179" i="5"/>
  <c r="N179" i="5"/>
  <c r="L779" i="5"/>
  <c r="N779" i="5"/>
  <c r="G780" i="5"/>
  <c r="H780" i="5"/>
  <c r="G1140" i="5"/>
  <c r="H1140" i="5"/>
  <c r="L1139" i="5"/>
  <c r="N1139" i="5"/>
  <c r="G60" i="5"/>
  <c r="H60" i="5"/>
  <c r="L59" i="5"/>
  <c r="N59" i="5"/>
  <c r="E567" i="6"/>
  <c r="F567" i="6"/>
  <c r="E207" i="6"/>
  <c r="F207" i="6"/>
  <c r="E87" i="6"/>
  <c r="F87" i="6"/>
  <c r="E927" i="6"/>
  <c r="F927" i="6"/>
  <c r="Q899" i="6"/>
  <c r="L899" i="6"/>
  <c r="M899" i="6"/>
  <c r="Q539" i="6"/>
  <c r="L539" i="6"/>
  <c r="M539" i="6"/>
  <c r="Q419" i="6"/>
  <c r="L419" i="6"/>
  <c r="M419" i="6"/>
  <c r="G300" i="5"/>
  <c r="H300" i="5"/>
  <c r="L299" i="5"/>
  <c r="N299" i="5"/>
  <c r="G540" i="5"/>
  <c r="H540" i="5"/>
  <c r="L539" i="5"/>
  <c r="N539" i="5"/>
  <c r="L299" i="6"/>
  <c r="M299" i="6"/>
  <c r="Q299" i="6"/>
  <c r="L1019" i="6"/>
  <c r="M1019" i="6"/>
  <c r="Q1019" i="6"/>
  <c r="Q779" i="6"/>
  <c r="L779" i="6"/>
  <c r="M779" i="6"/>
  <c r="E327" i="6"/>
  <c r="F327" i="6"/>
  <c r="L59" i="6"/>
  <c r="M59" i="6"/>
  <c r="Q59" i="6"/>
  <c r="R59" i="6"/>
  <c r="N59" i="6"/>
  <c r="G927" i="6"/>
  <c r="P927" i="6"/>
  <c r="S1139" i="6"/>
  <c r="I1020" i="5"/>
  <c r="J1020" i="5"/>
  <c r="R1020" i="5"/>
  <c r="R299" i="6"/>
  <c r="S299" i="6"/>
  <c r="N299" i="6"/>
  <c r="P687" i="6"/>
  <c r="G687" i="6"/>
  <c r="N1139" i="6"/>
  <c r="R1139" i="6"/>
  <c r="T1139" i="5"/>
  <c r="U1139" i="5"/>
  <c r="P1139" i="5"/>
  <c r="P1167" i="6"/>
  <c r="G1167" i="6"/>
  <c r="G807" i="6"/>
  <c r="P807" i="6"/>
  <c r="P1047" i="6"/>
  <c r="G1047" i="6"/>
  <c r="R419" i="6"/>
  <c r="S419" i="6"/>
  <c r="N419" i="6"/>
  <c r="T539" i="5"/>
  <c r="U539" i="5"/>
  <c r="P539" i="5"/>
  <c r="G327" i="6"/>
  <c r="P327" i="6"/>
  <c r="N659" i="6"/>
  <c r="R659" i="6"/>
  <c r="S659" i="6"/>
  <c r="R780" i="5"/>
  <c r="I780" i="5"/>
  <c r="J780" i="5"/>
  <c r="R539" i="6"/>
  <c r="N539" i="6"/>
  <c r="N899" i="6"/>
  <c r="R899" i="6"/>
  <c r="S899" i="6"/>
  <c r="T779" i="5"/>
  <c r="U779" i="5"/>
  <c r="P779" i="5"/>
  <c r="P447" i="6"/>
  <c r="G447" i="6"/>
  <c r="R660" i="5"/>
  <c r="I660" i="5"/>
  <c r="J660" i="5"/>
  <c r="R179" i="6"/>
  <c r="S179" i="6"/>
  <c r="N179" i="6"/>
  <c r="R540" i="5"/>
  <c r="I540" i="5"/>
  <c r="J540" i="5"/>
  <c r="T299" i="5"/>
  <c r="U299" i="5"/>
  <c r="P299" i="5"/>
  <c r="P567" i="6"/>
  <c r="G567" i="6"/>
  <c r="P179" i="5"/>
  <c r="T179" i="5"/>
  <c r="U179" i="5"/>
  <c r="I900" i="5"/>
  <c r="J900" i="5"/>
  <c r="R900" i="5"/>
  <c r="P419" i="5"/>
  <c r="T419" i="5"/>
  <c r="U419" i="5"/>
  <c r="T659" i="5"/>
  <c r="U659" i="5"/>
  <c r="P659" i="5"/>
  <c r="R60" i="5"/>
  <c r="I60" i="5"/>
  <c r="J60" i="5"/>
  <c r="P87" i="6"/>
  <c r="G87" i="6"/>
  <c r="S539" i="6"/>
  <c r="I1140" i="5"/>
  <c r="J1140" i="5"/>
  <c r="R1140" i="5"/>
  <c r="N779" i="6"/>
  <c r="R779" i="6"/>
  <c r="S779" i="6"/>
  <c r="P207" i="6"/>
  <c r="G207" i="6"/>
  <c r="S59" i="6"/>
  <c r="R1019" i="6"/>
  <c r="S1019" i="6"/>
  <c r="N1019" i="6"/>
  <c r="R300" i="5"/>
  <c r="I300" i="5"/>
  <c r="J300" i="5"/>
  <c r="P59" i="5"/>
  <c r="T59" i="5"/>
  <c r="U59" i="5"/>
  <c r="R180" i="5"/>
  <c r="I180" i="5"/>
  <c r="J180" i="5"/>
  <c r="T899" i="5"/>
  <c r="U899" i="5"/>
  <c r="P899" i="5"/>
  <c r="I420" i="5"/>
  <c r="J420" i="5"/>
  <c r="R420" i="5"/>
  <c r="P1019" i="5"/>
  <c r="T1019" i="5"/>
  <c r="U1019" i="5"/>
  <c r="K420" i="5"/>
  <c r="S420" i="5"/>
  <c r="J780" i="6"/>
  <c r="K780" i="6"/>
  <c r="O779" i="6"/>
  <c r="U779" i="6"/>
  <c r="V779" i="6"/>
  <c r="M660" i="5"/>
  <c r="Q659" i="5"/>
  <c r="W659" i="5"/>
  <c r="X659" i="5"/>
  <c r="E568" i="6"/>
  <c r="F568" i="6"/>
  <c r="E1048" i="6"/>
  <c r="F1048" i="6"/>
  <c r="S300" i="5"/>
  <c r="K300" i="5"/>
  <c r="M900" i="5"/>
  <c r="Q899" i="5"/>
  <c r="W899" i="5"/>
  <c r="X899" i="5"/>
  <c r="K660" i="5"/>
  <c r="S660" i="5"/>
  <c r="J660" i="6"/>
  <c r="K660" i="6"/>
  <c r="O659" i="6"/>
  <c r="U659" i="6"/>
  <c r="V659" i="6"/>
  <c r="S1020" i="5"/>
  <c r="K1020" i="5"/>
  <c r="Q1139" i="5"/>
  <c r="W1139" i="5"/>
  <c r="X1139" i="5"/>
  <c r="M1140" i="5"/>
  <c r="O899" i="6"/>
  <c r="U899" i="6"/>
  <c r="V899" i="6"/>
  <c r="J900" i="6"/>
  <c r="K900" i="6"/>
  <c r="S180" i="5"/>
  <c r="K180" i="5"/>
  <c r="M420" i="5"/>
  <c r="Q419" i="5"/>
  <c r="W419" i="5"/>
  <c r="X419" i="5"/>
  <c r="E448" i="6"/>
  <c r="F448" i="6"/>
  <c r="J540" i="6"/>
  <c r="K540" i="6"/>
  <c r="O539" i="6"/>
  <c r="U539" i="6"/>
  <c r="V539" i="6"/>
  <c r="E328" i="6"/>
  <c r="F328" i="6"/>
  <c r="E808" i="6"/>
  <c r="F808" i="6"/>
  <c r="E688" i="6"/>
  <c r="F688" i="6"/>
  <c r="S1140" i="5"/>
  <c r="K1140" i="5"/>
  <c r="E88" i="6"/>
  <c r="F88" i="6"/>
  <c r="K540" i="5"/>
  <c r="S540" i="5"/>
  <c r="Q539" i="5"/>
  <c r="W539" i="5"/>
  <c r="X539" i="5"/>
  <c r="M540" i="5"/>
  <c r="E1168" i="6"/>
  <c r="F1168" i="6"/>
  <c r="E928" i="6"/>
  <c r="F928" i="6"/>
  <c r="M180" i="5"/>
  <c r="Q179" i="5"/>
  <c r="W179" i="5"/>
  <c r="X179" i="5"/>
  <c r="O1139" i="6"/>
  <c r="U1139" i="6"/>
  <c r="V1139" i="6"/>
  <c r="J1140" i="6"/>
  <c r="K1140" i="6"/>
  <c r="S900" i="5"/>
  <c r="K900" i="5"/>
  <c r="M780" i="5"/>
  <c r="Q779" i="5"/>
  <c r="W779" i="5"/>
  <c r="X779" i="5"/>
  <c r="J60" i="6"/>
  <c r="K60" i="6"/>
  <c r="O59" i="6"/>
  <c r="U59" i="6"/>
  <c r="V59" i="6"/>
  <c r="J1020" i="6"/>
  <c r="K1020" i="6"/>
  <c r="O1019" i="6"/>
  <c r="U1019" i="6"/>
  <c r="V1019" i="6"/>
  <c r="Q299" i="5"/>
  <c r="W299" i="5"/>
  <c r="X299" i="5"/>
  <c r="M300" i="5"/>
  <c r="E208" i="6"/>
  <c r="F208" i="6"/>
  <c r="Q1019" i="5"/>
  <c r="W1019" i="5"/>
  <c r="X1019" i="5"/>
  <c r="M1020" i="5"/>
  <c r="M60" i="5"/>
  <c r="Q59" i="5"/>
  <c r="W59" i="5"/>
  <c r="X59" i="5"/>
  <c r="S60" i="5"/>
  <c r="K60" i="5"/>
  <c r="J180" i="6"/>
  <c r="K180" i="6"/>
  <c r="O179" i="6"/>
  <c r="U179" i="6"/>
  <c r="V179" i="6"/>
  <c r="K780" i="5"/>
  <c r="S780" i="5"/>
  <c r="J420" i="6"/>
  <c r="K420" i="6"/>
  <c r="O419" i="6"/>
  <c r="U419" i="6"/>
  <c r="V419" i="6"/>
  <c r="O299" i="6"/>
  <c r="U299" i="6"/>
  <c r="V299" i="6"/>
  <c r="J300" i="6"/>
  <c r="K300" i="6"/>
  <c r="L180" i="6"/>
  <c r="M180" i="6"/>
  <c r="Q180" i="6"/>
  <c r="P448" i="6"/>
  <c r="G448" i="6"/>
  <c r="L780" i="5"/>
  <c r="N780" i="5"/>
  <c r="G781" i="5"/>
  <c r="H781" i="5"/>
  <c r="Q540" i="6"/>
  <c r="L540" i="6"/>
  <c r="M540" i="6"/>
  <c r="L900" i="6"/>
  <c r="M900" i="6"/>
  <c r="Q900" i="6"/>
  <c r="L900" i="5"/>
  <c r="N900" i="5"/>
  <c r="G901" i="5"/>
  <c r="H901" i="5"/>
  <c r="G541" i="5"/>
  <c r="H541" i="5"/>
  <c r="L540" i="5"/>
  <c r="N540" i="5"/>
  <c r="L660" i="6"/>
  <c r="M660" i="6"/>
  <c r="Q660" i="6"/>
  <c r="L300" i="5"/>
  <c r="N300" i="5"/>
  <c r="G301" i="5"/>
  <c r="H301" i="5"/>
  <c r="P688" i="6"/>
  <c r="G688" i="6"/>
  <c r="L300" i="6"/>
  <c r="M300" i="6"/>
  <c r="Q300" i="6"/>
  <c r="G61" i="5"/>
  <c r="H61" i="5"/>
  <c r="L60" i="5"/>
  <c r="N60" i="5"/>
  <c r="G208" i="6"/>
  <c r="P208" i="6"/>
  <c r="L660" i="5"/>
  <c r="N660" i="5"/>
  <c r="G661" i="5"/>
  <c r="H661" i="5"/>
  <c r="Q780" i="6"/>
  <c r="L780" i="6"/>
  <c r="M780" i="6"/>
  <c r="P928" i="6"/>
  <c r="G928" i="6"/>
  <c r="L1140" i="6"/>
  <c r="M1140" i="6"/>
  <c r="Q1140" i="6"/>
  <c r="G88" i="6"/>
  <c r="P88" i="6"/>
  <c r="P808" i="6"/>
  <c r="G808" i="6"/>
  <c r="P1168" i="6"/>
  <c r="G1168" i="6"/>
  <c r="G181" i="5"/>
  <c r="H181" i="5"/>
  <c r="L180" i="5"/>
  <c r="N180" i="5"/>
  <c r="G1021" i="5"/>
  <c r="H1021" i="5"/>
  <c r="L1020" i="5"/>
  <c r="N1020" i="5"/>
  <c r="P1048" i="6"/>
  <c r="G1048" i="6"/>
  <c r="L1020" i="6"/>
  <c r="M1020" i="6"/>
  <c r="Q1020" i="6"/>
  <c r="L60" i="6"/>
  <c r="M60" i="6"/>
  <c r="Q60" i="6"/>
  <c r="L420" i="6"/>
  <c r="M420" i="6"/>
  <c r="Q420" i="6"/>
  <c r="L1140" i="5"/>
  <c r="N1140" i="5"/>
  <c r="G1141" i="5"/>
  <c r="H1141" i="5"/>
  <c r="G328" i="6"/>
  <c r="P328" i="6"/>
  <c r="G568" i="6"/>
  <c r="P568" i="6"/>
  <c r="G421" i="5"/>
  <c r="H421" i="5"/>
  <c r="L420" i="5"/>
  <c r="N420" i="5"/>
  <c r="I301" i="5"/>
  <c r="J301" i="5"/>
  <c r="R301" i="5"/>
  <c r="S900" i="6"/>
  <c r="R60" i="6"/>
  <c r="N60" i="6"/>
  <c r="R181" i="5"/>
  <c r="I181" i="5"/>
  <c r="J181" i="5"/>
  <c r="N1140" i="6"/>
  <c r="R1140" i="6"/>
  <c r="S1140" i="6"/>
  <c r="E209" i="6"/>
  <c r="F209" i="6"/>
  <c r="P300" i="5"/>
  <c r="T300" i="5"/>
  <c r="U300" i="5"/>
  <c r="N900" i="6"/>
  <c r="R900" i="6"/>
  <c r="R180" i="6"/>
  <c r="N180" i="6"/>
  <c r="P180" i="5"/>
  <c r="T180" i="5"/>
  <c r="U180" i="5"/>
  <c r="S180" i="6"/>
  <c r="E569" i="6"/>
  <c r="F569" i="6"/>
  <c r="E1169" i="6"/>
  <c r="F1169" i="6"/>
  <c r="E929" i="6"/>
  <c r="F929" i="6"/>
  <c r="P60" i="5"/>
  <c r="T60" i="5"/>
  <c r="U60" i="5"/>
  <c r="R540" i="6"/>
  <c r="N540" i="6"/>
  <c r="I421" i="5"/>
  <c r="J421" i="5"/>
  <c r="R421" i="5"/>
  <c r="I61" i="5"/>
  <c r="J61" i="5"/>
  <c r="R61" i="5"/>
  <c r="P420" i="5"/>
  <c r="T420" i="5"/>
  <c r="U420" i="5"/>
  <c r="E329" i="6"/>
  <c r="F329" i="6"/>
  <c r="N660" i="6"/>
  <c r="R660" i="6"/>
  <c r="S660" i="6"/>
  <c r="E1049" i="6"/>
  <c r="F1049" i="6"/>
  <c r="E809" i="6"/>
  <c r="F809" i="6"/>
  <c r="P540" i="5"/>
  <c r="T540" i="5"/>
  <c r="U540" i="5"/>
  <c r="I781" i="5"/>
  <c r="J781" i="5"/>
  <c r="R781" i="5"/>
  <c r="P1020" i="5"/>
  <c r="T1020" i="5"/>
  <c r="U1020" i="5"/>
  <c r="S60" i="6"/>
  <c r="N1020" i="6"/>
  <c r="R1020" i="6"/>
  <c r="S1020" i="6"/>
  <c r="S540" i="6"/>
  <c r="I1141" i="5"/>
  <c r="J1141" i="5"/>
  <c r="R1141" i="5"/>
  <c r="R780" i="6"/>
  <c r="S780" i="6"/>
  <c r="N780" i="6"/>
  <c r="P1140" i="5"/>
  <c r="T1140" i="5"/>
  <c r="U1140" i="5"/>
  <c r="N300" i="6"/>
  <c r="R300" i="6"/>
  <c r="S300" i="6"/>
  <c r="R541" i="5"/>
  <c r="I541" i="5"/>
  <c r="J541" i="5"/>
  <c r="T780" i="5"/>
  <c r="U780" i="5"/>
  <c r="P780" i="5"/>
  <c r="R661" i="5"/>
  <c r="I661" i="5"/>
  <c r="J661" i="5"/>
  <c r="E689" i="6"/>
  <c r="F689" i="6"/>
  <c r="I901" i="5"/>
  <c r="J901" i="5"/>
  <c r="R901" i="5"/>
  <c r="E449" i="6"/>
  <c r="F449" i="6"/>
  <c r="R420" i="6"/>
  <c r="S420" i="6"/>
  <c r="N420" i="6"/>
  <c r="I1021" i="5"/>
  <c r="J1021" i="5"/>
  <c r="R1021" i="5"/>
  <c r="E89" i="6"/>
  <c r="F89" i="6"/>
  <c r="T660" i="5"/>
  <c r="U660" i="5"/>
  <c r="P660" i="5"/>
  <c r="T900" i="5"/>
  <c r="U900" i="5"/>
  <c r="P900" i="5"/>
  <c r="O420" i="6"/>
  <c r="U420" i="6"/>
  <c r="V420" i="6"/>
  <c r="J421" i="6"/>
  <c r="K421" i="6"/>
  <c r="J901" i="6"/>
  <c r="K901" i="6"/>
  <c r="O900" i="6"/>
  <c r="U900" i="6"/>
  <c r="V900" i="6"/>
  <c r="G449" i="6"/>
  <c r="P449" i="6"/>
  <c r="M781" i="5"/>
  <c r="Q780" i="5"/>
  <c r="W780" i="5"/>
  <c r="X780" i="5"/>
  <c r="S781" i="5"/>
  <c r="K781" i="5"/>
  <c r="P929" i="6"/>
  <c r="G929" i="6"/>
  <c r="O60" i="6"/>
  <c r="U60" i="6"/>
  <c r="V60" i="6"/>
  <c r="J61" i="6"/>
  <c r="K61" i="6"/>
  <c r="S61" i="5"/>
  <c r="K61" i="5"/>
  <c r="J661" i="6"/>
  <c r="K661" i="6"/>
  <c r="O660" i="6"/>
  <c r="U660" i="6"/>
  <c r="V660" i="6"/>
  <c r="K421" i="5"/>
  <c r="S421" i="5"/>
  <c r="Q300" i="5"/>
  <c r="W300" i="5"/>
  <c r="X300" i="5"/>
  <c r="M301" i="5"/>
  <c r="G89" i="6"/>
  <c r="P89" i="6"/>
  <c r="S901" i="5"/>
  <c r="K901" i="5"/>
  <c r="K541" i="5"/>
  <c r="S541" i="5"/>
  <c r="Q1140" i="5"/>
  <c r="W1140" i="5"/>
  <c r="X1140" i="5"/>
  <c r="M1141" i="5"/>
  <c r="Q540" i="5"/>
  <c r="W540" i="5"/>
  <c r="X540" i="5"/>
  <c r="M541" i="5"/>
  <c r="O540" i="6"/>
  <c r="U540" i="6"/>
  <c r="V540" i="6"/>
  <c r="J541" i="6"/>
  <c r="K541" i="6"/>
  <c r="P1169" i="6"/>
  <c r="G1169" i="6"/>
  <c r="M181" i="5"/>
  <c r="Q180" i="5"/>
  <c r="W180" i="5"/>
  <c r="X180" i="5"/>
  <c r="M661" i="5"/>
  <c r="Q660" i="5"/>
  <c r="W660" i="5"/>
  <c r="X660" i="5"/>
  <c r="J781" i="6"/>
  <c r="K781" i="6"/>
  <c r="O780" i="6"/>
  <c r="U780" i="6"/>
  <c r="V780" i="6"/>
  <c r="O1020" i="6"/>
  <c r="U1020" i="6"/>
  <c r="V1020" i="6"/>
  <c r="J1021" i="6"/>
  <c r="K1021" i="6"/>
  <c r="P329" i="6"/>
  <c r="G329" i="6"/>
  <c r="G209" i="6"/>
  <c r="P209" i="6"/>
  <c r="M901" i="5"/>
  <c r="Q900" i="5"/>
  <c r="W900" i="5"/>
  <c r="X900" i="5"/>
  <c r="S1021" i="5"/>
  <c r="K1021" i="5"/>
  <c r="P689" i="6"/>
  <c r="G689" i="6"/>
  <c r="O180" i="6"/>
  <c r="U180" i="6"/>
  <c r="V180" i="6"/>
  <c r="J181" i="6"/>
  <c r="K181" i="6"/>
  <c r="S301" i="5"/>
  <c r="K301" i="5"/>
  <c r="S661" i="5"/>
  <c r="K661" i="5"/>
  <c r="O300" i="6"/>
  <c r="U300" i="6"/>
  <c r="V300" i="6"/>
  <c r="J301" i="6"/>
  <c r="K301" i="6"/>
  <c r="P809" i="6"/>
  <c r="G809" i="6"/>
  <c r="Q420" i="5"/>
  <c r="W420" i="5"/>
  <c r="X420" i="5"/>
  <c r="M421" i="5"/>
  <c r="J1141" i="6"/>
  <c r="K1141" i="6"/>
  <c r="O1140" i="6"/>
  <c r="U1140" i="6"/>
  <c r="V1140" i="6"/>
  <c r="K1141" i="5"/>
  <c r="S1141" i="5"/>
  <c r="Q1020" i="5"/>
  <c r="W1020" i="5"/>
  <c r="X1020" i="5"/>
  <c r="M1021" i="5"/>
  <c r="P1049" i="6"/>
  <c r="G1049" i="6"/>
  <c r="M61" i="5"/>
  <c r="Q60" i="5"/>
  <c r="W60" i="5"/>
  <c r="X60" i="5"/>
  <c r="P569" i="6"/>
  <c r="G569" i="6"/>
  <c r="S181" i="5"/>
  <c r="K181" i="5"/>
  <c r="L181" i="6"/>
  <c r="M181" i="6"/>
  <c r="Q181" i="6"/>
  <c r="L781" i="6"/>
  <c r="M781" i="6"/>
  <c r="Q781" i="6"/>
  <c r="L541" i="5"/>
  <c r="N541" i="5"/>
  <c r="G542" i="5"/>
  <c r="H542" i="5"/>
  <c r="L1141" i="5"/>
  <c r="N1141" i="5"/>
  <c r="G1142" i="5"/>
  <c r="H1142" i="5"/>
  <c r="L541" i="6"/>
  <c r="M541" i="6"/>
  <c r="Q541" i="6"/>
  <c r="L901" i="5"/>
  <c r="N901" i="5"/>
  <c r="G902" i="5"/>
  <c r="H902" i="5"/>
  <c r="G422" i="5"/>
  <c r="H422" i="5"/>
  <c r="L421" i="5"/>
  <c r="N421" i="5"/>
  <c r="E930" i="6"/>
  <c r="F930" i="6"/>
  <c r="E450" i="6"/>
  <c r="F450" i="6"/>
  <c r="L61" i="6"/>
  <c r="M61" i="6"/>
  <c r="Q61" i="6"/>
  <c r="E810" i="6"/>
  <c r="F810" i="6"/>
  <c r="Q661" i="6"/>
  <c r="L661" i="6"/>
  <c r="M661" i="6"/>
  <c r="L901" i="6"/>
  <c r="M901" i="6"/>
  <c r="Q901" i="6"/>
  <c r="E210" i="6"/>
  <c r="F210" i="6"/>
  <c r="E1050" i="6"/>
  <c r="F1050" i="6"/>
  <c r="Q1141" i="6"/>
  <c r="L1141" i="6"/>
  <c r="M1141" i="6"/>
  <c r="L661" i="5"/>
  <c r="N661" i="5"/>
  <c r="G662" i="5"/>
  <c r="H662" i="5"/>
  <c r="G1022" i="5"/>
  <c r="H1022" i="5"/>
  <c r="L1021" i="5"/>
  <c r="N1021" i="5"/>
  <c r="E90" i="6"/>
  <c r="F90" i="6"/>
  <c r="L781" i="5"/>
  <c r="N781" i="5"/>
  <c r="G782" i="5"/>
  <c r="H782" i="5"/>
  <c r="E690" i="6"/>
  <c r="F690" i="6"/>
  <c r="G62" i="5"/>
  <c r="H62" i="5"/>
  <c r="L61" i="5"/>
  <c r="N61" i="5"/>
  <c r="L421" i="6"/>
  <c r="M421" i="6"/>
  <c r="Q421" i="6"/>
  <c r="E570" i="6"/>
  <c r="F570" i="6"/>
  <c r="E1170" i="6"/>
  <c r="F1170" i="6"/>
  <c r="Q301" i="6"/>
  <c r="L301" i="6"/>
  <c r="M301" i="6"/>
  <c r="E330" i="6"/>
  <c r="F330" i="6"/>
  <c r="G182" i="5"/>
  <c r="H182" i="5"/>
  <c r="L181" i="5"/>
  <c r="N181" i="5"/>
  <c r="Q1021" i="6"/>
  <c r="L1021" i="6"/>
  <c r="M1021" i="6"/>
  <c r="L301" i="5"/>
  <c r="N301" i="5"/>
  <c r="G302" i="5"/>
  <c r="H302" i="5"/>
  <c r="G1170" i="6"/>
  <c r="P1170" i="6"/>
  <c r="R662" i="5"/>
  <c r="I662" i="5"/>
  <c r="J662" i="5"/>
  <c r="P810" i="6"/>
  <c r="G810" i="6"/>
  <c r="P210" i="6"/>
  <c r="G210" i="6"/>
  <c r="I422" i="5"/>
  <c r="J422" i="5"/>
  <c r="R422" i="5"/>
  <c r="P330" i="6"/>
  <c r="G330" i="6"/>
  <c r="G570" i="6"/>
  <c r="P570" i="6"/>
  <c r="R782" i="5"/>
  <c r="I782" i="5"/>
  <c r="J782" i="5"/>
  <c r="T661" i="5"/>
  <c r="U661" i="5"/>
  <c r="P661" i="5"/>
  <c r="R902" i="5"/>
  <c r="I902" i="5"/>
  <c r="J902" i="5"/>
  <c r="R542" i="5"/>
  <c r="I542" i="5"/>
  <c r="J542" i="5"/>
  <c r="I302" i="5"/>
  <c r="J302" i="5"/>
  <c r="R302" i="5"/>
  <c r="N61" i="6"/>
  <c r="R61" i="6"/>
  <c r="S61" i="6"/>
  <c r="N421" i="6"/>
  <c r="R421" i="6"/>
  <c r="R661" i="6"/>
  <c r="S661" i="6"/>
  <c r="N661" i="6"/>
  <c r="I1022" i="5"/>
  <c r="J1022" i="5"/>
  <c r="R1022" i="5"/>
  <c r="P1141" i="5"/>
  <c r="T1141" i="5"/>
  <c r="U1141" i="5"/>
  <c r="R901" i="6"/>
  <c r="S901" i="6"/>
  <c r="N901" i="6"/>
  <c r="N301" i="6"/>
  <c r="R301" i="6"/>
  <c r="P90" i="6"/>
  <c r="G90" i="6"/>
  <c r="P1050" i="6"/>
  <c r="G1050" i="6"/>
  <c r="P450" i="6"/>
  <c r="G450" i="6"/>
  <c r="R541" i="6"/>
  <c r="S541" i="6"/>
  <c r="N541" i="6"/>
  <c r="I182" i="5"/>
  <c r="J182" i="5"/>
  <c r="R182" i="5"/>
  <c r="T421" i="5"/>
  <c r="U421" i="5"/>
  <c r="P421" i="5"/>
  <c r="S421" i="6"/>
  <c r="T781" i="5"/>
  <c r="U781" i="5"/>
  <c r="P781" i="5"/>
  <c r="T901" i="5"/>
  <c r="U901" i="5"/>
  <c r="P901" i="5"/>
  <c r="T301" i="5"/>
  <c r="U301" i="5"/>
  <c r="P301" i="5"/>
  <c r="S1141" i="6"/>
  <c r="P61" i="5"/>
  <c r="T61" i="5"/>
  <c r="U61" i="5"/>
  <c r="R781" i="6"/>
  <c r="S781" i="6"/>
  <c r="N781" i="6"/>
  <c r="G690" i="6"/>
  <c r="P690" i="6"/>
  <c r="N181" i="6"/>
  <c r="R181" i="6"/>
  <c r="S181" i="6"/>
  <c r="R1141" i="6"/>
  <c r="N1141" i="6"/>
  <c r="T541" i="5"/>
  <c r="U541" i="5"/>
  <c r="P541" i="5"/>
  <c r="N1021" i="6"/>
  <c r="R1021" i="6"/>
  <c r="S301" i="6"/>
  <c r="S1021" i="6"/>
  <c r="I62" i="5"/>
  <c r="J62" i="5"/>
  <c r="R62" i="5"/>
  <c r="P181" i="5"/>
  <c r="T181" i="5"/>
  <c r="U181" i="5"/>
  <c r="P1021" i="5"/>
  <c r="T1021" i="5"/>
  <c r="U1021" i="5"/>
  <c r="G930" i="6"/>
  <c r="P930" i="6"/>
  <c r="I1142" i="5"/>
  <c r="J1142" i="5"/>
  <c r="R1142" i="5"/>
  <c r="S62" i="5"/>
  <c r="K62" i="5"/>
  <c r="M62" i="5"/>
  <c r="Q61" i="5"/>
  <c r="W61" i="5"/>
  <c r="X61" i="5"/>
  <c r="E451" i="6"/>
  <c r="F451" i="6"/>
  <c r="J302" i="6"/>
  <c r="K302" i="6"/>
  <c r="O301" i="6"/>
  <c r="U301" i="6"/>
  <c r="V301" i="6"/>
  <c r="J662" i="6"/>
  <c r="K662" i="6"/>
  <c r="O661" i="6"/>
  <c r="U661" i="6"/>
  <c r="V661" i="6"/>
  <c r="S542" i="5"/>
  <c r="K542" i="5"/>
  <c r="K782" i="5"/>
  <c r="S782" i="5"/>
  <c r="E211" i="6"/>
  <c r="F211" i="6"/>
  <c r="E1051" i="6"/>
  <c r="F1051" i="6"/>
  <c r="O421" i="6"/>
  <c r="U421" i="6"/>
  <c r="V421" i="6"/>
  <c r="J422" i="6"/>
  <c r="K422" i="6"/>
  <c r="E571" i="6"/>
  <c r="F571" i="6"/>
  <c r="S902" i="5"/>
  <c r="K902" i="5"/>
  <c r="E691" i="6"/>
  <c r="F691" i="6"/>
  <c r="E331" i="6"/>
  <c r="F331" i="6"/>
  <c r="K662" i="5"/>
  <c r="S662" i="5"/>
  <c r="K1142" i="5"/>
  <c r="S1142" i="5"/>
  <c r="M422" i="5"/>
  <c r="Q421" i="5"/>
  <c r="W421" i="5"/>
  <c r="X421" i="5"/>
  <c r="J902" i="6"/>
  <c r="K902" i="6"/>
  <c r="O901" i="6"/>
  <c r="U901" i="6"/>
  <c r="V901" i="6"/>
  <c r="O181" i="6"/>
  <c r="U181" i="6"/>
  <c r="V181" i="6"/>
  <c r="J182" i="6"/>
  <c r="K182" i="6"/>
  <c r="S182" i="5"/>
  <c r="K182" i="5"/>
  <c r="Q1141" i="5"/>
  <c r="W1141" i="5"/>
  <c r="X1141" i="5"/>
  <c r="M1142" i="5"/>
  <c r="M542" i="5"/>
  <c r="Q541" i="5"/>
  <c r="W541" i="5"/>
  <c r="X541" i="5"/>
  <c r="J782" i="6"/>
  <c r="K782" i="6"/>
  <c r="O781" i="6"/>
  <c r="U781" i="6"/>
  <c r="V781" i="6"/>
  <c r="E91" i="6"/>
  <c r="F91" i="6"/>
  <c r="J62" i="6"/>
  <c r="K62" i="6"/>
  <c r="O61" i="6"/>
  <c r="U61" i="6"/>
  <c r="V61" i="6"/>
  <c r="E931" i="6"/>
  <c r="F931" i="6"/>
  <c r="M302" i="5"/>
  <c r="Q301" i="5"/>
  <c r="W301" i="5"/>
  <c r="X301" i="5"/>
  <c r="J1022" i="6"/>
  <c r="K1022" i="6"/>
  <c r="O1021" i="6"/>
  <c r="U1021" i="6"/>
  <c r="V1021" i="6"/>
  <c r="M182" i="5"/>
  <c r="Q181" i="5"/>
  <c r="W181" i="5"/>
  <c r="X181" i="5"/>
  <c r="M782" i="5"/>
  <c r="Q781" i="5"/>
  <c r="W781" i="5"/>
  <c r="X781" i="5"/>
  <c r="J542" i="6"/>
  <c r="K542" i="6"/>
  <c r="O541" i="6"/>
  <c r="U541" i="6"/>
  <c r="V541" i="6"/>
  <c r="K1022" i="5"/>
  <c r="S1022" i="5"/>
  <c r="M662" i="5"/>
  <c r="Q661" i="5"/>
  <c r="W661" i="5"/>
  <c r="X661" i="5"/>
  <c r="E811" i="6"/>
  <c r="F811" i="6"/>
  <c r="Q1021" i="5"/>
  <c r="W1021" i="5"/>
  <c r="X1021" i="5"/>
  <c r="M1022" i="5"/>
  <c r="M902" i="5"/>
  <c r="Q901" i="5"/>
  <c r="W901" i="5"/>
  <c r="X901" i="5"/>
  <c r="J1142" i="6"/>
  <c r="K1142" i="6"/>
  <c r="O1141" i="6"/>
  <c r="U1141" i="6"/>
  <c r="V1141" i="6"/>
  <c r="S302" i="5"/>
  <c r="K302" i="5"/>
  <c r="S422" i="5"/>
  <c r="K422" i="5"/>
  <c r="E1171" i="6"/>
  <c r="F1171" i="6"/>
  <c r="G931" i="6"/>
  <c r="P931" i="6"/>
  <c r="P211" i="6"/>
  <c r="G211" i="6"/>
  <c r="G811" i="6"/>
  <c r="P811" i="6"/>
  <c r="P691" i="6"/>
  <c r="G691" i="6"/>
  <c r="L1142" i="6"/>
  <c r="M1142" i="6"/>
  <c r="Q1142" i="6"/>
  <c r="L782" i="6"/>
  <c r="M782" i="6"/>
  <c r="Q782" i="6"/>
  <c r="Q182" i="6"/>
  <c r="L182" i="6"/>
  <c r="M182" i="6"/>
  <c r="L1142" i="5"/>
  <c r="N1142" i="5"/>
  <c r="G1143" i="5"/>
  <c r="H1143" i="5"/>
  <c r="L902" i="5"/>
  <c r="N902" i="5"/>
  <c r="G903" i="5"/>
  <c r="H903" i="5"/>
  <c r="L782" i="5"/>
  <c r="N782" i="5"/>
  <c r="G783" i="5"/>
  <c r="H783" i="5"/>
  <c r="P451" i="6"/>
  <c r="G451" i="6"/>
  <c r="G1023" i="5"/>
  <c r="H1023" i="5"/>
  <c r="L1022" i="5"/>
  <c r="N1022" i="5"/>
  <c r="P1051" i="6"/>
  <c r="G1051" i="6"/>
  <c r="G543" i="5"/>
  <c r="H543" i="5"/>
  <c r="L542" i="5"/>
  <c r="N542" i="5"/>
  <c r="G183" i="5"/>
  <c r="H183" i="5"/>
  <c r="L182" i="5"/>
  <c r="N182" i="5"/>
  <c r="L422" i="6"/>
  <c r="M422" i="6"/>
  <c r="Q422" i="6"/>
  <c r="P1171" i="6"/>
  <c r="G1171" i="6"/>
  <c r="Q1022" i="6"/>
  <c r="L1022" i="6"/>
  <c r="M1022" i="6"/>
  <c r="L662" i="5"/>
  <c r="N662" i="5"/>
  <c r="G663" i="5"/>
  <c r="H663" i="5"/>
  <c r="L302" i="5"/>
  <c r="N302" i="5"/>
  <c r="G303" i="5"/>
  <c r="H303" i="5"/>
  <c r="G423" i="5"/>
  <c r="H423" i="5"/>
  <c r="L422" i="5"/>
  <c r="N422" i="5"/>
  <c r="L62" i="6"/>
  <c r="M62" i="6"/>
  <c r="Q62" i="6"/>
  <c r="G331" i="6"/>
  <c r="P331" i="6"/>
  <c r="G63" i="5"/>
  <c r="H63" i="5"/>
  <c r="L62" i="5"/>
  <c r="N62" i="5"/>
  <c r="P91" i="6"/>
  <c r="G91" i="6"/>
  <c r="Q302" i="6"/>
  <c r="L302" i="6"/>
  <c r="M302" i="6"/>
  <c r="L542" i="6"/>
  <c r="M542" i="6"/>
  <c r="Q542" i="6"/>
  <c r="L902" i="6"/>
  <c r="M902" i="6"/>
  <c r="Q902" i="6"/>
  <c r="P571" i="6"/>
  <c r="G571" i="6"/>
  <c r="L662" i="6"/>
  <c r="M662" i="6"/>
  <c r="Q662" i="6"/>
  <c r="R63" i="5"/>
  <c r="I63" i="5"/>
  <c r="J63" i="5"/>
  <c r="E572" i="6"/>
  <c r="F572" i="6"/>
  <c r="E92" i="6"/>
  <c r="F92" i="6"/>
  <c r="T422" i="5"/>
  <c r="U422" i="5"/>
  <c r="P422" i="5"/>
  <c r="E1172" i="6"/>
  <c r="F1172" i="6"/>
  <c r="E1052" i="6"/>
  <c r="F1052" i="6"/>
  <c r="I903" i="5"/>
  <c r="J903" i="5"/>
  <c r="R903" i="5"/>
  <c r="R1142" i="6"/>
  <c r="S1142" i="6"/>
  <c r="N1142" i="6"/>
  <c r="E932" i="6"/>
  <c r="F932" i="6"/>
  <c r="R423" i="5"/>
  <c r="I423" i="5"/>
  <c r="J423" i="5"/>
  <c r="T902" i="5"/>
  <c r="U902" i="5"/>
  <c r="P902" i="5"/>
  <c r="S902" i="6"/>
  <c r="P62" i="5"/>
  <c r="T62" i="5"/>
  <c r="U62" i="5"/>
  <c r="I303" i="5"/>
  <c r="J303" i="5"/>
  <c r="R303" i="5"/>
  <c r="P1022" i="5"/>
  <c r="T1022" i="5"/>
  <c r="U1022" i="5"/>
  <c r="I1143" i="5"/>
  <c r="J1143" i="5"/>
  <c r="R1143" i="5"/>
  <c r="E692" i="6"/>
  <c r="F692" i="6"/>
  <c r="R902" i="6"/>
  <c r="N902" i="6"/>
  <c r="T302" i="5"/>
  <c r="U302" i="5"/>
  <c r="P302" i="5"/>
  <c r="N422" i="6"/>
  <c r="R422" i="6"/>
  <c r="S422" i="6"/>
  <c r="I1023" i="5"/>
  <c r="J1023" i="5"/>
  <c r="R1023" i="5"/>
  <c r="T1142" i="5"/>
  <c r="U1142" i="5"/>
  <c r="P1142" i="5"/>
  <c r="P182" i="5"/>
  <c r="T182" i="5"/>
  <c r="U182" i="5"/>
  <c r="E452" i="6"/>
  <c r="F452" i="6"/>
  <c r="N182" i="6"/>
  <c r="R182" i="6"/>
  <c r="S182" i="6"/>
  <c r="S542" i="6"/>
  <c r="R663" i="5"/>
  <c r="I663" i="5"/>
  <c r="J663" i="5"/>
  <c r="N542" i="6"/>
  <c r="R542" i="6"/>
  <c r="E332" i="6"/>
  <c r="F332" i="6"/>
  <c r="T662" i="5"/>
  <c r="U662" i="5"/>
  <c r="P662" i="5"/>
  <c r="I183" i="5"/>
  <c r="J183" i="5"/>
  <c r="R183" i="5"/>
  <c r="E812" i="6"/>
  <c r="F812" i="6"/>
  <c r="I783" i="5"/>
  <c r="J783" i="5"/>
  <c r="R783" i="5"/>
  <c r="S782" i="6"/>
  <c r="E212" i="6"/>
  <c r="F212" i="6"/>
  <c r="R302" i="6"/>
  <c r="N302" i="6"/>
  <c r="R1022" i="6"/>
  <c r="N1022" i="6"/>
  <c r="T542" i="5"/>
  <c r="U542" i="5"/>
  <c r="P542" i="5"/>
  <c r="R662" i="6"/>
  <c r="S662" i="6"/>
  <c r="N662" i="6"/>
  <c r="S302" i="6"/>
  <c r="N62" i="6"/>
  <c r="R62" i="6"/>
  <c r="S62" i="6"/>
  <c r="S1022" i="6"/>
  <c r="R543" i="5"/>
  <c r="I543" i="5"/>
  <c r="J543" i="5"/>
  <c r="T782" i="5"/>
  <c r="U782" i="5"/>
  <c r="P782" i="5"/>
  <c r="N782" i="6"/>
  <c r="R782" i="6"/>
  <c r="G92" i="6"/>
  <c r="P92" i="6"/>
  <c r="K423" i="5"/>
  <c r="S423" i="5"/>
  <c r="P692" i="6"/>
  <c r="G692" i="6"/>
  <c r="M663" i="5"/>
  <c r="Q662" i="5"/>
  <c r="W662" i="5"/>
  <c r="X662" i="5"/>
  <c r="M183" i="5"/>
  <c r="Q182" i="5"/>
  <c r="W182" i="5"/>
  <c r="X182" i="5"/>
  <c r="M63" i="5"/>
  <c r="Q62" i="5"/>
  <c r="W62" i="5"/>
  <c r="X62" i="5"/>
  <c r="G572" i="6"/>
  <c r="P572" i="6"/>
  <c r="S303" i="5"/>
  <c r="K303" i="5"/>
  <c r="S783" i="5"/>
  <c r="K783" i="5"/>
  <c r="J423" i="6"/>
  <c r="K423" i="6"/>
  <c r="O422" i="6"/>
  <c r="U422" i="6"/>
  <c r="V422" i="6"/>
  <c r="K1143" i="5"/>
  <c r="S1143" i="5"/>
  <c r="P932" i="6"/>
  <c r="G932" i="6"/>
  <c r="P1052" i="6"/>
  <c r="G1052" i="6"/>
  <c r="S663" i="5"/>
  <c r="K663" i="5"/>
  <c r="S183" i="5"/>
  <c r="K183" i="5"/>
  <c r="Q302" i="5"/>
  <c r="W302" i="5"/>
  <c r="X302" i="5"/>
  <c r="M303" i="5"/>
  <c r="M903" i="5"/>
  <c r="Q902" i="5"/>
  <c r="W902" i="5"/>
  <c r="X902" i="5"/>
  <c r="J1143" i="6"/>
  <c r="K1143" i="6"/>
  <c r="O1142" i="6"/>
  <c r="U1142" i="6"/>
  <c r="V1142" i="6"/>
  <c r="G212" i="6"/>
  <c r="P212" i="6"/>
  <c r="K1023" i="5"/>
  <c r="S1023" i="5"/>
  <c r="J303" i="6"/>
  <c r="K303" i="6"/>
  <c r="O302" i="6"/>
  <c r="U302" i="6"/>
  <c r="V302" i="6"/>
  <c r="P1172" i="6"/>
  <c r="G1172" i="6"/>
  <c r="P452" i="6"/>
  <c r="G452" i="6"/>
  <c r="S543" i="5"/>
  <c r="K543" i="5"/>
  <c r="S903" i="5"/>
  <c r="K903" i="5"/>
  <c r="P812" i="6"/>
  <c r="G812" i="6"/>
  <c r="Q1142" i="5"/>
  <c r="W1142" i="5"/>
  <c r="X1142" i="5"/>
  <c r="M1143" i="5"/>
  <c r="M423" i="5"/>
  <c r="Q422" i="5"/>
  <c r="W422" i="5"/>
  <c r="X422" i="5"/>
  <c r="S63" i="5"/>
  <c r="K63" i="5"/>
  <c r="M543" i="5"/>
  <c r="Q542" i="5"/>
  <c r="W542" i="5"/>
  <c r="X542" i="5"/>
  <c r="J1023" i="6"/>
  <c r="K1023" i="6"/>
  <c r="O1022" i="6"/>
  <c r="U1022" i="6"/>
  <c r="V1022" i="6"/>
  <c r="J63" i="6"/>
  <c r="K63" i="6"/>
  <c r="O62" i="6"/>
  <c r="U62" i="6"/>
  <c r="V62" i="6"/>
  <c r="G332" i="6"/>
  <c r="P332" i="6"/>
  <c r="Q1022" i="5"/>
  <c r="W1022" i="5"/>
  <c r="X1022" i="5"/>
  <c r="M1023" i="5"/>
  <c r="O782" i="6"/>
  <c r="U782" i="6"/>
  <c r="V782" i="6"/>
  <c r="J783" i="6"/>
  <c r="K783" i="6"/>
  <c r="J183" i="6"/>
  <c r="K183" i="6"/>
  <c r="O182" i="6"/>
  <c r="U182" i="6"/>
  <c r="V182" i="6"/>
  <c r="O902" i="6"/>
  <c r="U902" i="6"/>
  <c r="V902" i="6"/>
  <c r="J903" i="6"/>
  <c r="K903" i="6"/>
  <c r="M783" i="5"/>
  <c r="Q782" i="5"/>
  <c r="W782" i="5"/>
  <c r="X782" i="5"/>
  <c r="O662" i="6"/>
  <c r="U662" i="6"/>
  <c r="V662" i="6"/>
  <c r="J663" i="6"/>
  <c r="K663" i="6"/>
  <c r="O542" i="6"/>
  <c r="U542" i="6"/>
  <c r="V542" i="6"/>
  <c r="J543" i="6"/>
  <c r="K543" i="6"/>
  <c r="Q63" i="6"/>
  <c r="L63" i="6"/>
  <c r="M63" i="6"/>
  <c r="Q543" i="6"/>
  <c r="L543" i="6"/>
  <c r="M543" i="6"/>
  <c r="E813" i="6"/>
  <c r="F813" i="6"/>
  <c r="E1173" i="6"/>
  <c r="F1173" i="6"/>
  <c r="G184" i="5"/>
  <c r="H184" i="5"/>
  <c r="L183" i="5"/>
  <c r="N183" i="5"/>
  <c r="G1144" i="5"/>
  <c r="H1144" i="5"/>
  <c r="L1143" i="5"/>
  <c r="N1143" i="5"/>
  <c r="L663" i="5"/>
  <c r="N663" i="5"/>
  <c r="G664" i="5"/>
  <c r="H664" i="5"/>
  <c r="E693" i="6"/>
  <c r="F693" i="6"/>
  <c r="Q183" i="6"/>
  <c r="L183" i="6"/>
  <c r="M183" i="6"/>
  <c r="L663" i="6"/>
  <c r="M663" i="6"/>
  <c r="Q663" i="6"/>
  <c r="G64" i="5"/>
  <c r="H64" i="5"/>
  <c r="L63" i="5"/>
  <c r="N63" i="5"/>
  <c r="L1023" i="6"/>
  <c r="M1023" i="6"/>
  <c r="Q1023" i="6"/>
  <c r="L303" i="6"/>
  <c r="M303" i="6"/>
  <c r="Q303" i="6"/>
  <c r="L1143" i="6"/>
  <c r="M1143" i="6"/>
  <c r="Q1143" i="6"/>
  <c r="Q423" i="6"/>
  <c r="L423" i="6"/>
  <c r="M423" i="6"/>
  <c r="E213" i="6"/>
  <c r="F213" i="6"/>
  <c r="Q783" i="6"/>
  <c r="L783" i="6"/>
  <c r="M783" i="6"/>
  <c r="G544" i="5"/>
  <c r="H544" i="5"/>
  <c r="L543" i="5"/>
  <c r="N543" i="5"/>
  <c r="E1053" i="6"/>
  <c r="F1053" i="6"/>
  <c r="L783" i="5"/>
  <c r="N783" i="5"/>
  <c r="G784" i="5"/>
  <c r="H784" i="5"/>
  <c r="L903" i="5"/>
  <c r="N903" i="5"/>
  <c r="G904" i="5"/>
  <c r="H904" i="5"/>
  <c r="G424" i="5"/>
  <c r="H424" i="5"/>
  <c r="L423" i="5"/>
  <c r="N423" i="5"/>
  <c r="E573" i="6"/>
  <c r="F573" i="6"/>
  <c r="Q903" i="6"/>
  <c r="L903" i="6"/>
  <c r="M903" i="6"/>
  <c r="E453" i="6"/>
  <c r="F453" i="6"/>
  <c r="G1024" i="5"/>
  <c r="H1024" i="5"/>
  <c r="L1023" i="5"/>
  <c r="N1023" i="5"/>
  <c r="E933" i="6"/>
  <c r="F933" i="6"/>
  <c r="G304" i="5"/>
  <c r="H304" i="5"/>
  <c r="L303" i="5"/>
  <c r="N303" i="5"/>
  <c r="E333" i="6"/>
  <c r="F333" i="6"/>
  <c r="E93" i="6"/>
  <c r="F93" i="6"/>
  <c r="T783" i="5"/>
  <c r="U783" i="5"/>
  <c r="P783" i="5"/>
  <c r="R184" i="5"/>
  <c r="I184" i="5"/>
  <c r="J184" i="5"/>
  <c r="R63" i="6"/>
  <c r="N63" i="6"/>
  <c r="G573" i="6"/>
  <c r="P573" i="6"/>
  <c r="I1024" i="5"/>
  <c r="J1024" i="5"/>
  <c r="R1024" i="5"/>
  <c r="G213" i="6"/>
  <c r="P213" i="6"/>
  <c r="P333" i="6"/>
  <c r="G333" i="6"/>
  <c r="P423" i="5"/>
  <c r="T423" i="5"/>
  <c r="U423" i="5"/>
  <c r="P1053" i="6"/>
  <c r="G1053" i="6"/>
  <c r="R1023" i="6"/>
  <c r="S1023" i="6"/>
  <c r="N1023" i="6"/>
  <c r="P693" i="6"/>
  <c r="G693" i="6"/>
  <c r="S63" i="6"/>
  <c r="P1023" i="5"/>
  <c r="T1023" i="5"/>
  <c r="U1023" i="5"/>
  <c r="P183" i="5"/>
  <c r="T183" i="5"/>
  <c r="U183" i="5"/>
  <c r="I424" i="5"/>
  <c r="J424" i="5"/>
  <c r="R424" i="5"/>
  <c r="P1173" i="6"/>
  <c r="G1173" i="6"/>
  <c r="R303" i="6"/>
  <c r="N303" i="6"/>
  <c r="R664" i="5"/>
  <c r="I664" i="5"/>
  <c r="J664" i="5"/>
  <c r="R64" i="5"/>
  <c r="I64" i="5"/>
  <c r="J64" i="5"/>
  <c r="G93" i="6"/>
  <c r="P93" i="6"/>
  <c r="R304" i="5"/>
  <c r="I304" i="5"/>
  <c r="J304" i="5"/>
  <c r="N903" i="6"/>
  <c r="R903" i="6"/>
  <c r="S903" i="6"/>
  <c r="I904" i="5"/>
  <c r="J904" i="5"/>
  <c r="R904" i="5"/>
  <c r="R544" i="5"/>
  <c r="I544" i="5"/>
  <c r="J544" i="5"/>
  <c r="T1143" i="5"/>
  <c r="U1143" i="5"/>
  <c r="P1143" i="5"/>
  <c r="R423" i="6"/>
  <c r="N423" i="6"/>
  <c r="S423" i="6"/>
  <c r="N783" i="6"/>
  <c r="R783" i="6"/>
  <c r="N663" i="6"/>
  <c r="R663" i="6"/>
  <c r="S663" i="6"/>
  <c r="I1144" i="5"/>
  <c r="J1144" i="5"/>
  <c r="R1144" i="5"/>
  <c r="P813" i="6"/>
  <c r="G813" i="6"/>
  <c r="R784" i="5"/>
  <c r="I784" i="5"/>
  <c r="J784" i="5"/>
  <c r="S543" i="6"/>
  <c r="G453" i="6"/>
  <c r="P453" i="6"/>
  <c r="P63" i="5"/>
  <c r="T63" i="5"/>
  <c r="U63" i="5"/>
  <c r="T303" i="5"/>
  <c r="U303" i="5"/>
  <c r="P303" i="5"/>
  <c r="P543" i="5"/>
  <c r="T543" i="5"/>
  <c r="U543" i="5"/>
  <c r="T663" i="5"/>
  <c r="U663" i="5"/>
  <c r="P663" i="5"/>
  <c r="T903" i="5"/>
  <c r="U903" i="5"/>
  <c r="P903" i="5"/>
  <c r="N1143" i="6"/>
  <c r="R1143" i="6"/>
  <c r="S1143" i="6"/>
  <c r="P933" i="6"/>
  <c r="G933" i="6"/>
  <c r="S783" i="6"/>
  <c r="S303" i="6"/>
  <c r="R183" i="6"/>
  <c r="S183" i="6"/>
  <c r="N183" i="6"/>
  <c r="N543" i="6"/>
  <c r="R543" i="6"/>
  <c r="M904" i="5"/>
  <c r="Q903" i="5"/>
  <c r="W903" i="5"/>
  <c r="X903" i="5"/>
  <c r="M424" i="5"/>
  <c r="Q423" i="5"/>
  <c r="W423" i="5"/>
  <c r="X423" i="5"/>
  <c r="M64" i="5"/>
  <c r="Q63" i="5"/>
  <c r="W63" i="5"/>
  <c r="X63" i="5"/>
  <c r="J424" i="6"/>
  <c r="K424" i="6"/>
  <c r="O423" i="6"/>
  <c r="U423" i="6"/>
  <c r="V423" i="6"/>
  <c r="E94" i="6"/>
  <c r="F94" i="6"/>
  <c r="E694" i="6"/>
  <c r="F694" i="6"/>
  <c r="E334" i="6"/>
  <c r="F334" i="6"/>
  <c r="E574" i="6"/>
  <c r="F574" i="6"/>
  <c r="S1144" i="5"/>
  <c r="K1144" i="5"/>
  <c r="S64" i="5"/>
  <c r="K64" i="5"/>
  <c r="J64" i="6"/>
  <c r="K64" i="6"/>
  <c r="O63" i="6"/>
  <c r="U63" i="6"/>
  <c r="V63" i="6"/>
  <c r="M664" i="5"/>
  <c r="Q663" i="5"/>
  <c r="W663" i="5"/>
  <c r="X663" i="5"/>
  <c r="E454" i="6"/>
  <c r="F454" i="6"/>
  <c r="S904" i="5"/>
  <c r="K904" i="5"/>
  <c r="K424" i="5"/>
  <c r="S424" i="5"/>
  <c r="J1024" i="6"/>
  <c r="K1024" i="6"/>
  <c r="O1023" i="6"/>
  <c r="U1023" i="6"/>
  <c r="V1023" i="6"/>
  <c r="S184" i="5"/>
  <c r="K184" i="5"/>
  <c r="K544" i="5"/>
  <c r="S544" i="5"/>
  <c r="J664" i="6"/>
  <c r="K664" i="6"/>
  <c r="O663" i="6"/>
  <c r="U663" i="6"/>
  <c r="V663" i="6"/>
  <c r="Q543" i="5"/>
  <c r="W543" i="5"/>
  <c r="X543" i="5"/>
  <c r="M544" i="5"/>
  <c r="O903" i="6"/>
  <c r="U903" i="6"/>
  <c r="V903" i="6"/>
  <c r="J904" i="6"/>
  <c r="K904" i="6"/>
  <c r="M184" i="5"/>
  <c r="Q183" i="5"/>
  <c r="W183" i="5"/>
  <c r="X183" i="5"/>
  <c r="E1054" i="6"/>
  <c r="F1054" i="6"/>
  <c r="E214" i="6"/>
  <c r="F214" i="6"/>
  <c r="J184" i="6"/>
  <c r="K184" i="6"/>
  <c r="O183" i="6"/>
  <c r="U183" i="6"/>
  <c r="V183" i="6"/>
  <c r="E934" i="6"/>
  <c r="F934" i="6"/>
  <c r="K664" i="5"/>
  <c r="S664" i="5"/>
  <c r="S304" i="5"/>
  <c r="K304" i="5"/>
  <c r="O303" i="6"/>
  <c r="U303" i="6"/>
  <c r="V303" i="6"/>
  <c r="J304" i="6"/>
  <c r="K304" i="6"/>
  <c r="M784" i="5"/>
  <c r="Q783" i="5"/>
  <c r="W783" i="5"/>
  <c r="X783" i="5"/>
  <c r="E1174" i="6"/>
  <c r="F1174" i="6"/>
  <c r="Q1143" i="5"/>
  <c r="W1143" i="5"/>
  <c r="X1143" i="5"/>
  <c r="M1144" i="5"/>
  <c r="K784" i="5"/>
  <c r="S784" i="5"/>
  <c r="Q303" i="5"/>
  <c r="W303" i="5"/>
  <c r="X303" i="5"/>
  <c r="M304" i="5"/>
  <c r="J784" i="6"/>
  <c r="K784" i="6"/>
  <c r="O783" i="6"/>
  <c r="U783" i="6"/>
  <c r="V783" i="6"/>
  <c r="J544" i="6"/>
  <c r="K544" i="6"/>
  <c r="O543" i="6"/>
  <c r="U543" i="6"/>
  <c r="V543" i="6"/>
  <c r="O1143" i="6"/>
  <c r="U1143" i="6"/>
  <c r="V1143" i="6"/>
  <c r="J1144" i="6"/>
  <c r="K1144" i="6"/>
  <c r="E814" i="6"/>
  <c r="F814" i="6"/>
  <c r="Q1023" i="5"/>
  <c r="W1023" i="5"/>
  <c r="X1023" i="5"/>
  <c r="M1024" i="5"/>
  <c r="K1024" i="5"/>
  <c r="S1024" i="5"/>
  <c r="Q784" i="6"/>
  <c r="L784" i="6"/>
  <c r="M784" i="6"/>
  <c r="L184" i="6"/>
  <c r="M184" i="6"/>
  <c r="Q184" i="6"/>
  <c r="G545" i="5"/>
  <c r="H545" i="5"/>
  <c r="L544" i="5"/>
  <c r="N544" i="5"/>
  <c r="G694" i="6"/>
  <c r="P694" i="6"/>
  <c r="P814" i="6"/>
  <c r="G814" i="6"/>
  <c r="G1174" i="6"/>
  <c r="P1174" i="6"/>
  <c r="L64" i="6"/>
  <c r="M64" i="6"/>
  <c r="Q64" i="6"/>
  <c r="P214" i="6"/>
  <c r="G214" i="6"/>
  <c r="P454" i="6"/>
  <c r="G454" i="6"/>
  <c r="G574" i="6"/>
  <c r="P574" i="6"/>
  <c r="P94" i="6"/>
  <c r="G94" i="6"/>
  <c r="L304" i="5"/>
  <c r="N304" i="5"/>
  <c r="G305" i="5"/>
  <c r="H305" i="5"/>
  <c r="L904" i="5"/>
  <c r="N904" i="5"/>
  <c r="G905" i="5"/>
  <c r="H905" i="5"/>
  <c r="P1054" i="6"/>
  <c r="G1054" i="6"/>
  <c r="G1025" i="5"/>
  <c r="H1025" i="5"/>
  <c r="L1024" i="5"/>
  <c r="N1024" i="5"/>
  <c r="L784" i="5"/>
  <c r="N784" i="5"/>
  <c r="G785" i="5"/>
  <c r="H785" i="5"/>
  <c r="L1024" i="6"/>
  <c r="M1024" i="6"/>
  <c r="Q1024" i="6"/>
  <c r="G185" i="5"/>
  <c r="H185" i="5"/>
  <c r="L184" i="5"/>
  <c r="N184" i="5"/>
  <c r="Q664" i="6"/>
  <c r="L664" i="6"/>
  <c r="M664" i="6"/>
  <c r="G65" i="5"/>
  <c r="H65" i="5"/>
  <c r="L64" i="5"/>
  <c r="N64" i="5"/>
  <c r="Q904" i="6"/>
  <c r="L904" i="6"/>
  <c r="M904" i="6"/>
  <c r="G1145" i="5"/>
  <c r="H1145" i="5"/>
  <c r="L1144" i="5"/>
  <c r="N1144" i="5"/>
  <c r="L1144" i="6"/>
  <c r="M1144" i="6"/>
  <c r="Q1144" i="6"/>
  <c r="L664" i="5"/>
  <c r="N664" i="5"/>
  <c r="G665" i="5"/>
  <c r="H665" i="5"/>
  <c r="Q544" i="6"/>
  <c r="L544" i="6"/>
  <c r="M544" i="6"/>
  <c r="G934" i="6"/>
  <c r="P934" i="6"/>
  <c r="L304" i="6"/>
  <c r="M304" i="6"/>
  <c r="Q304" i="6"/>
  <c r="G425" i="5"/>
  <c r="H425" i="5"/>
  <c r="L424" i="5"/>
  <c r="N424" i="5"/>
  <c r="P334" i="6"/>
  <c r="G334" i="6"/>
  <c r="L424" i="6"/>
  <c r="M424" i="6"/>
  <c r="Q424" i="6"/>
  <c r="N1144" i="6"/>
  <c r="R1144" i="6"/>
  <c r="R545" i="5"/>
  <c r="I545" i="5"/>
  <c r="J545" i="5"/>
  <c r="P1144" i="5"/>
  <c r="T1144" i="5"/>
  <c r="U1144" i="5"/>
  <c r="P184" i="5"/>
  <c r="T184" i="5"/>
  <c r="U184" i="5"/>
  <c r="E1055" i="6"/>
  <c r="F1055" i="6"/>
  <c r="I1025" i="5"/>
  <c r="J1025" i="5"/>
  <c r="R1025" i="5"/>
  <c r="E575" i="6"/>
  <c r="F575" i="6"/>
  <c r="E1175" i="6"/>
  <c r="F1175" i="6"/>
  <c r="R184" i="6"/>
  <c r="S184" i="6"/>
  <c r="N184" i="6"/>
  <c r="E935" i="6"/>
  <c r="F935" i="6"/>
  <c r="R905" i="5"/>
  <c r="I905" i="5"/>
  <c r="J905" i="5"/>
  <c r="E455" i="6"/>
  <c r="F455" i="6"/>
  <c r="E815" i="6"/>
  <c r="F815" i="6"/>
  <c r="R784" i="6"/>
  <c r="N784" i="6"/>
  <c r="I1145" i="5"/>
  <c r="J1145" i="5"/>
  <c r="R1145" i="5"/>
  <c r="E335" i="6"/>
  <c r="F335" i="6"/>
  <c r="T904" i="5"/>
  <c r="U904" i="5"/>
  <c r="P904" i="5"/>
  <c r="S784" i="6"/>
  <c r="R64" i="6"/>
  <c r="S64" i="6"/>
  <c r="N64" i="6"/>
  <c r="R185" i="5"/>
  <c r="I185" i="5"/>
  <c r="J185" i="5"/>
  <c r="N1024" i="6"/>
  <c r="R1024" i="6"/>
  <c r="P424" i="5"/>
  <c r="T424" i="5"/>
  <c r="U424" i="5"/>
  <c r="R665" i="5"/>
  <c r="I665" i="5"/>
  <c r="J665" i="5"/>
  <c r="P64" i="5"/>
  <c r="T64" i="5"/>
  <c r="U64" i="5"/>
  <c r="I785" i="5"/>
  <c r="J785" i="5"/>
  <c r="R785" i="5"/>
  <c r="I305" i="5"/>
  <c r="J305" i="5"/>
  <c r="R305" i="5"/>
  <c r="E215" i="6"/>
  <c r="F215" i="6"/>
  <c r="N904" i="6"/>
  <c r="R904" i="6"/>
  <c r="S904" i="6"/>
  <c r="I425" i="5"/>
  <c r="J425" i="5"/>
  <c r="R425" i="5"/>
  <c r="T664" i="5"/>
  <c r="U664" i="5"/>
  <c r="P664" i="5"/>
  <c r="I65" i="5"/>
  <c r="J65" i="5"/>
  <c r="R65" i="5"/>
  <c r="T784" i="5"/>
  <c r="U784" i="5"/>
  <c r="P784" i="5"/>
  <c r="P304" i="5"/>
  <c r="T304" i="5"/>
  <c r="U304" i="5"/>
  <c r="E695" i="6"/>
  <c r="F695" i="6"/>
  <c r="N304" i="6"/>
  <c r="R304" i="6"/>
  <c r="S304" i="6"/>
  <c r="R424" i="6"/>
  <c r="S424" i="6"/>
  <c r="N424" i="6"/>
  <c r="R544" i="6"/>
  <c r="S544" i="6"/>
  <c r="N544" i="6"/>
  <c r="S1024" i="6"/>
  <c r="S1144" i="6"/>
  <c r="N664" i="6"/>
  <c r="R664" i="6"/>
  <c r="S664" i="6"/>
  <c r="P1024" i="5"/>
  <c r="T1024" i="5"/>
  <c r="U1024" i="5"/>
  <c r="E95" i="6"/>
  <c r="F95" i="6"/>
  <c r="T544" i="5"/>
  <c r="U544" i="5"/>
  <c r="P544" i="5"/>
  <c r="P95" i="6"/>
  <c r="G95" i="6"/>
  <c r="P695" i="6"/>
  <c r="G695" i="6"/>
  <c r="M665" i="5"/>
  <c r="Q664" i="5"/>
  <c r="W664" i="5"/>
  <c r="X664" i="5"/>
  <c r="J905" i="6"/>
  <c r="K905" i="6"/>
  <c r="O904" i="6"/>
  <c r="U904" i="6"/>
  <c r="V904" i="6"/>
  <c r="S185" i="5"/>
  <c r="K185" i="5"/>
  <c r="G815" i="6"/>
  <c r="P815" i="6"/>
  <c r="O184" i="6"/>
  <c r="U184" i="6"/>
  <c r="V184" i="6"/>
  <c r="J185" i="6"/>
  <c r="K185" i="6"/>
  <c r="S1025" i="5"/>
  <c r="K1025" i="5"/>
  <c r="M65" i="5"/>
  <c r="Q64" i="5"/>
  <c r="W64" i="5"/>
  <c r="X64" i="5"/>
  <c r="Q1144" i="5"/>
  <c r="W1144" i="5"/>
  <c r="X1144" i="5"/>
  <c r="M1145" i="5"/>
  <c r="G335" i="6"/>
  <c r="P335" i="6"/>
  <c r="Q1024" i="5"/>
  <c r="W1024" i="5"/>
  <c r="X1024" i="5"/>
  <c r="M1025" i="5"/>
  <c r="S665" i="5"/>
  <c r="K665" i="5"/>
  <c r="O64" i="6"/>
  <c r="U64" i="6"/>
  <c r="V64" i="6"/>
  <c r="J65" i="6"/>
  <c r="K65" i="6"/>
  <c r="P455" i="6"/>
  <c r="G455" i="6"/>
  <c r="P215" i="6"/>
  <c r="G215" i="6"/>
  <c r="K1145" i="5"/>
  <c r="S1145" i="5"/>
  <c r="S905" i="5"/>
  <c r="K905" i="5"/>
  <c r="G1175" i="6"/>
  <c r="P1175" i="6"/>
  <c r="O544" i="6"/>
  <c r="U544" i="6"/>
  <c r="V544" i="6"/>
  <c r="J545" i="6"/>
  <c r="K545" i="6"/>
  <c r="O424" i="6"/>
  <c r="U424" i="6"/>
  <c r="V424" i="6"/>
  <c r="J425" i="6"/>
  <c r="K425" i="6"/>
  <c r="Q304" i="5"/>
  <c r="W304" i="5"/>
  <c r="X304" i="5"/>
  <c r="M305" i="5"/>
  <c r="M545" i="5"/>
  <c r="Q544" i="5"/>
  <c r="W544" i="5"/>
  <c r="X544" i="5"/>
  <c r="M785" i="5"/>
  <c r="Q784" i="5"/>
  <c r="W784" i="5"/>
  <c r="X784" i="5"/>
  <c r="K545" i="5"/>
  <c r="S545" i="5"/>
  <c r="G1055" i="6"/>
  <c r="P1055" i="6"/>
  <c r="K425" i="5"/>
  <c r="S425" i="5"/>
  <c r="S305" i="5"/>
  <c r="K305" i="5"/>
  <c r="J785" i="6"/>
  <c r="K785" i="6"/>
  <c r="O784" i="6"/>
  <c r="U784" i="6"/>
  <c r="V784" i="6"/>
  <c r="O304" i="6"/>
  <c r="U304" i="6"/>
  <c r="V304" i="6"/>
  <c r="J305" i="6"/>
  <c r="K305" i="6"/>
  <c r="M905" i="5"/>
  <c r="Q904" i="5"/>
  <c r="W904" i="5"/>
  <c r="X904" i="5"/>
  <c r="G935" i="6"/>
  <c r="P935" i="6"/>
  <c r="J665" i="6"/>
  <c r="K665" i="6"/>
  <c r="O664" i="6"/>
  <c r="U664" i="6"/>
  <c r="V664" i="6"/>
  <c r="Q424" i="5"/>
  <c r="W424" i="5"/>
  <c r="X424" i="5"/>
  <c r="M425" i="5"/>
  <c r="P575" i="6"/>
  <c r="G575" i="6"/>
  <c r="S65" i="5"/>
  <c r="K65" i="5"/>
  <c r="S785" i="5"/>
  <c r="K785" i="5"/>
  <c r="O1024" i="6"/>
  <c r="U1024" i="6"/>
  <c r="V1024" i="6"/>
  <c r="J1025" i="6"/>
  <c r="K1025" i="6"/>
  <c r="M185" i="5"/>
  <c r="Q184" i="5"/>
  <c r="W184" i="5"/>
  <c r="X184" i="5"/>
  <c r="J1145" i="6"/>
  <c r="K1145" i="6"/>
  <c r="O1144" i="6"/>
  <c r="U1144" i="6"/>
  <c r="V1144" i="6"/>
  <c r="L905" i="6"/>
  <c r="M905" i="6"/>
  <c r="Q905" i="6"/>
  <c r="E936" i="6"/>
  <c r="F936" i="6"/>
  <c r="L785" i="6"/>
  <c r="M785" i="6"/>
  <c r="Q785" i="6"/>
  <c r="L905" i="5"/>
  <c r="N905" i="5"/>
  <c r="G906" i="5"/>
  <c r="H906" i="5"/>
  <c r="G1026" i="5"/>
  <c r="H1026" i="5"/>
  <c r="L1025" i="5"/>
  <c r="N1025" i="5"/>
  <c r="L425" i="6"/>
  <c r="M425" i="6"/>
  <c r="Q425" i="6"/>
  <c r="E336" i="6"/>
  <c r="F336" i="6"/>
  <c r="L1145" i="5"/>
  <c r="N1145" i="5"/>
  <c r="G1146" i="5"/>
  <c r="H1146" i="5"/>
  <c r="L65" i="6"/>
  <c r="M65" i="6"/>
  <c r="Q65" i="6"/>
  <c r="Q1025" i="6"/>
  <c r="L1025" i="6"/>
  <c r="M1025" i="6"/>
  <c r="G426" i="5"/>
  <c r="H426" i="5"/>
  <c r="L425" i="5"/>
  <c r="N425" i="5"/>
  <c r="L545" i="6"/>
  <c r="M545" i="6"/>
  <c r="Q545" i="6"/>
  <c r="L665" i="5"/>
  <c r="N665" i="5"/>
  <c r="G666" i="5"/>
  <c r="H666" i="5"/>
  <c r="E696" i="6"/>
  <c r="F696" i="6"/>
  <c r="L185" i="6"/>
  <c r="M185" i="6"/>
  <c r="Q185" i="6"/>
  <c r="L785" i="5"/>
  <c r="N785" i="5"/>
  <c r="G786" i="5"/>
  <c r="H786" i="5"/>
  <c r="Q305" i="6"/>
  <c r="L305" i="6"/>
  <c r="M305" i="6"/>
  <c r="E216" i="6"/>
  <c r="F216" i="6"/>
  <c r="E816" i="6"/>
  <c r="F816" i="6"/>
  <c r="L305" i="5"/>
  <c r="N305" i="5"/>
  <c r="G306" i="5"/>
  <c r="H306" i="5"/>
  <c r="G186" i="5"/>
  <c r="H186" i="5"/>
  <c r="L185" i="5"/>
  <c r="N185" i="5"/>
  <c r="E96" i="6"/>
  <c r="F96" i="6"/>
  <c r="E576" i="6"/>
  <c r="F576" i="6"/>
  <c r="L545" i="5"/>
  <c r="N545" i="5"/>
  <c r="G546" i="5"/>
  <c r="H546" i="5"/>
  <c r="Q665" i="6"/>
  <c r="L665" i="6"/>
  <c r="M665" i="6"/>
  <c r="Q1145" i="6"/>
  <c r="L1145" i="6"/>
  <c r="M1145" i="6"/>
  <c r="G66" i="5"/>
  <c r="H66" i="5"/>
  <c r="L65" i="5"/>
  <c r="N65" i="5"/>
  <c r="E1056" i="6"/>
  <c r="F1056" i="6"/>
  <c r="E1176" i="6"/>
  <c r="F1176" i="6"/>
  <c r="E456" i="6"/>
  <c r="F456" i="6"/>
  <c r="N185" i="6"/>
  <c r="R185" i="6"/>
  <c r="R665" i="6"/>
  <c r="N665" i="6"/>
  <c r="P185" i="5"/>
  <c r="T185" i="5"/>
  <c r="U185" i="5"/>
  <c r="S185" i="6"/>
  <c r="I1026" i="5"/>
  <c r="J1026" i="5"/>
  <c r="R1026" i="5"/>
  <c r="R905" i="6"/>
  <c r="S905" i="6"/>
  <c r="N905" i="6"/>
  <c r="P1056" i="6"/>
  <c r="G1056" i="6"/>
  <c r="R546" i="5"/>
  <c r="I546" i="5"/>
  <c r="J546" i="5"/>
  <c r="T425" i="5"/>
  <c r="U425" i="5"/>
  <c r="P425" i="5"/>
  <c r="P1145" i="5"/>
  <c r="T1145" i="5"/>
  <c r="U1145" i="5"/>
  <c r="R906" i="5"/>
  <c r="I906" i="5"/>
  <c r="J906" i="5"/>
  <c r="S665" i="6"/>
  <c r="P545" i="5"/>
  <c r="T545" i="5"/>
  <c r="U545" i="5"/>
  <c r="G216" i="6"/>
  <c r="P216" i="6"/>
  <c r="I426" i="5"/>
  <c r="J426" i="5"/>
  <c r="R426" i="5"/>
  <c r="T905" i="5"/>
  <c r="U905" i="5"/>
  <c r="P905" i="5"/>
  <c r="R545" i="6"/>
  <c r="S545" i="6"/>
  <c r="N545" i="6"/>
  <c r="N1025" i="6"/>
  <c r="R1025" i="6"/>
  <c r="G336" i="6"/>
  <c r="P336" i="6"/>
  <c r="S785" i="6"/>
  <c r="I186" i="5"/>
  <c r="J186" i="5"/>
  <c r="R186" i="5"/>
  <c r="I66" i="5"/>
  <c r="J66" i="5"/>
  <c r="R66" i="5"/>
  <c r="I306" i="5"/>
  <c r="J306" i="5"/>
  <c r="R306" i="5"/>
  <c r="S1025" i="6"/>
  <c r="R785" i="6"/>
  <c r="N785" i="6"/>
  <c r="P816" i="6"/>
  <c r="G816" i="6"/>
  <c r="P65" i="5"/>
  <c r="T65" i="5"/>
  <c r="U65" i="5"/>
  <c r="P696" i="6"/>
  <c r="G696" i="6"/>
  <c r="P456" i="6"/>
  <c r="G456" i="6"/>
  <c r="T305" i="5"/>
  <c r="U305" i="5"/>
  <c r="P305" i="5"/>
  <c r="R786" i="5"/>
  <c r="I786" i="5"/>
  <c r="J786" i="5"/>
  <c r="R666" i="5"/>
  <c r="I666" i="5"/>
  <c r="J666" i="5"/>
  <c r="N425" i="6"/>
  <c r="R425" i="6"/>
  <c r="S425" i="6"/>
  <c r="I1146" i="5"/>
  <c r="J1146" i="5"/>
  <c r="R1146" i="5"/>
  <c r="N305" i="6"/>
  <c r="R305" i="6"/>
  <c r="S305" i="6"/>
  <c r="G576" i="6"/>
  <c r="P576" i="6"/>
  <c r="R1145" i="6"/>
  <c r="N1145" i="6"/>
  <c r="G1176" i="6"/>
  <c r="P1176" i="6"/>
  <c r="S1145" i="6"/>
  <c r="G96" i="6"/>
  <c r="P96" i="6"/>
  <c r="T785" i="5"/>
  <c r="U785" i="5"/>
  <c r="P785" i="5"/>
  <c r="T665" i="5"/>
  <c r="U665" i="5"/>
  <c r="P665" i="5"/>
  <c r="N65" i="6"/>
  <c r="R65" i="6"/>
  <c r="S65" i="6"/>
  <c r="P1025" i="5"/>
  <c r="T1025" i="5"/>
  <c r="U1025" i="5"/>
  <c r="P936" i="6"/>
  <c r="G936" i="6"/>
  <c r="S906" i="5"/>
  <c r="K906" i="5"/>
  <c r="E577" i="6"/>
  <c r="F577" i="6"/>
  <c r="K666" i="5"/>
  <c r="S666" i="5"/>
  <c r="E697" i="6"/>
  <c r="F697" i="6"/>
  <c r="S186" i="5"/>
  <c r="K186" i="5"/>
  <c r="M906" i="5"/>
  <c r="Q905" i="5"/>
  <c r="W905" i="5"/>
  <c r="X905" i="5"/>
  <c r="Q1025" i="5"/>
  <c r="W1025" i="5"/>
  <c r="X1025" i="5"/>
  <c r="M1026" i="5"/>
  <c r="J306" i="6"/>
  <c r="K306" i="6"/>
  <c r="O305" i="6"/>
  <c r="U305" i="6"/>
  <c r="V305" i="6"/>
  <c r="K786" i="5"/>
  <c r="S786" i="5"/>
  <c r="E97" i="6"/>
  <c r="F97" i="6"/>
  <c r="J66" i="6"/>
  <c r="K66" i="6"/>
  <c r="O65" i="6"/>
  <c r="U65" i="6"/>
  <c r="V65" i="6"/>
  <c r="E337" i="6"/>
  <c r="F337" i="6"/>
  <c r="S426" i="5"/>
  <c r="K426" i="5"/>
  <c r="J906" i="6"/>
  <c r="K906" i="6"/>
  <c r="O905" i="6"/>
  <c r="U905" i="6"/>
  <c r="V905" i="6"/>
  <c r="M186" i="5"/>
  <c r="Q185" i="5"/>
  <c r="W185" i="5"/>
  <c r="X185" i="5"/>
  <c r="E1057" i="6"/>
  <c r="F1057" i="6"/>
  <c r="K1146" i="5"/>
  <c r="S1146" i="5"/>
  <c r="S306" i="5"/>
  <c r="K306" i="5"/>
  <c r="Q1145" i="5"/>
  <c r="W1145" i="5"/>
  <c r="X1145" i="5"/>
  <c r="M1146" i="5"/>
  <c r="J666" i="6"/>
  <c r="K666" i="6"/>
  <c r="O665" i="6"/>
  <c r="U665" i="6"/>
  <c r="V665" i="6"/>
  <c r="E1177" i="6"/>
  <c r="F1177" i="6"/>
  <c r="J1026" i="6"/>
  <c r="K1026" i="6"/>
  <c r="O1025" i="6"/>
  <c r="U1025" i="6"/>
  <c r="V1025" i="6"/>
  <c r="E217" i="6"/>
  <c r="F217" i="6"/>
  <c r="M426" i="5"/>
  <c r="Q425" i="5"/>
  <c r="W425" i="5"/>
  <c r="X425" i="5"/>
  <c r="M786" i="5"/>
  <c r="Q785" i="5"/>
  <c r="W785" i="5"/>
  <c r="X785" i="5"/>
  <c r="J786" i="6"/>
  <c r="K786" i="6"/>
  <c r="O785" i="6"/>
  <c r="U785" i="6"/>
  <c r="V785" i="6"/>
  <c r="S66" i="5"/>
  <c r="K66" i="5"/>
  <c r="J546" i="6"/>
  <c r="K546" i="6"/>
  <c r="O545" i="6"/>
  <c r="U545" i="6"/>
  <c r="V545" i="6"/>
  <c r="M66" i="5"/>
  <c r="Q65" i="5"/>
  <c r="W65" i="5"/>
  <c r="X65" i="5"/>
  <c r="M666" i="5"/>
  <c r="Q665" i="5"/>
  <c r="W665" i="5"/>
  <c r="X665" i="5"/>
  <c r="M306" i="5"/>
  <c r="Q305" i="5"/>
  <c r="W305" i="5"/>
  <c r="X305" i="5"/>
  <c r="E817" i="6"/>
  <c r="F817" i="6"/>
  <c r="J1146" i="6"/>
  <c r="K1146" i="6"/>
  <c r="O1145" i="6"/>
  <c r="U1145" i="6"/>
  <c r="V1145" i="6"/>
  <c r="E937" i="6"/>
  <c r="F937" i="6"/>
  <c r="J426" i="6"/>
  <c r="K426" i="6"/>
  <c r="O425" i="6"/>
  <c r="U425" i="6"/>
  <c r="V425" i="6"/>
  <c r="E457" i="6"/>
  <c r="F457" i="6"/>
  <c r="M546" i="5"/>
  <c r="Q545" i="5"/>
  <c r="W545" i="5"/>
  <c r="X545" i="5"/>
  <c r="S546" i="5"/>
  <c r="K546" i="5"/>
  <c r="K1026" i="5"/>
  <c r="S1026" i="5"/>
  <c r="O185" i="6"/>
  <c r="U185" i="6"/>
  <c r="V185" i="6"/>
  <c r="J186" i="6"/>
  <c r="K186" i="6"/>
  <c r="L1146" i="5"/>
  <c r="N1146" i="5"/>
  <c r="G1147" i="5"/>
  <c r="H1147" i="5"/>
  <c r="P697" i="6"/>
  <c r="G697" i="6"/>
  <c r="L546" i="5"/>
  <c r="N546" i="5"/>
  <c r="G547" i="5"/>
  <c r="H547" i="5"/>
  <c r="G457" i="6"/>
  <c r="P457" i="6"/>
  <c r="P817" i="6"/>
  <c r="G817" i="6"/>
  <c r="Q1026" i="6"/>
  <c r="L1026" i="6"/>
  <c r="M1026" i="6"/>
  <c r="L666" i="6"/>
  <c r="M666" i="6"/>
  <c r="Q666" i="6"/>
  <c r="P337" i="6"/>
  <c r="G337" i="6"/>
  <c r="L666" i="5"/>
  <c r="N666" i="5"/>
  <c r="G667" i="5"/>
  <c r="H667" i="5"/>
  <c r="Q426" i="6"/>
  <c r="L426" i="6"/>
  <c r="M426" i="6"/>
  <c r="P1177" i="6"/>
  <c r="G1177" i="6"/>
  <c r="G577" i="6"/>
  <c r="P577" i="6"/>
  <c r="L306" i="5"/>
  <c r="N306" i="5"/>
  <c r="G307" i="5"/>
  <c r="H307" i="5"/>
  <c r="L66" i="6"/>
  <c r="M66" i="6"/>
  <c r="Q66" i="6"/>
  <c r="L786" i="5"/>
  <c r="N786" i="5"/>
  <c r="G787" i="5"/>
  <c r="H787" i="5"/>
  <c r="G187" i="5"/>
  <c r="H187" i="5"/>
  <c r="L186" i="5"/>
  <c r="N186" i="5"/>
  <c r="G67" i="5"/>
  <c r="H67" i="5"/>
  <c r="L66" i="5"/>
  <c r="N66" i="5"/>
  <c r="L906" i="6"/>
  <c r="M906" i="6"/>
  <c r="Q906" i="6"/>
  <c r="L906" i="5"/>
  <c r="N906" i="5"/>
  <c r="G907" i="5"/>
  <c r="H907" i="5"/>
  <c r="P1057" i="6"/>
  <c r="G1057" i="6"/>
  <c r="L546" i="6"/>
  <c r="M546" i="6"/>
  <c r="Q546" i="6"/>
  <c r="Q186" i="6"/>
  <c r="L186" i="6"/>
  <c r="M186" i="6"/>
  <c r="P937" i="6"/>
  <c r="G937" i="6"/>
  <c r="G1027" i="5"/>
  <c r="H1027" i="5"/>
  <c r="L1026" i="5"/>
  <c r="N1026" i="5"/>
  <c r="L1146" i="6"/>
  <c r="M1146" i="6"/>
  <c r="Q1146" i="6"/>
  <c r="L786" i="6"/>
  <c r="M786" i="6"/>
  <c r="Q786" i="6"/>
  <c r="P217" i="6"/>
  <c r="G217" i="6"/>
  <c r="G427" i="5"/>
  <c r="H427" i="5"/>
  <c r="L426" i="5"/>
  <c r="N426" i="5"/>
  <c r="P97" i="6"/>
  <c r="G97" i="6"/>
  <c r="Q306" i="6"/>
  <c r="L306" i="6"/>
  <c r="M306" i="6"/>
  <c r="R306" i="6"/>
  <c r="N306" i="6"/>
  <c r="T906" i="5"/>
  <c r="U906" i="5"/>
  <c r="P906" i="5"/>
  <c r="T786" i="5"/>
  <c r="U786" i="5"/>
  <c r="P786" i="5"/>
  <c r="R666" i="6"/>
  <c r="N666" i="6"/>
  <c r="T546" i="5"/>
  <c r="U546" i="5"/>
  <c r="P546" i="5"/>
  <c r="R1026" i="6"/>
  <c r="S1026" i="6"/>
  <c r="N1026" i="6"/>
  <c r="S306" i="6"/>
  <c r="N786" i="6"/>
  <c r="R786" i="6"/>
  <c r="S186" i="6"/>
  <c r="R906" i="6"/>
  <c r="S906" i="6"/>
  <c r="N906" i="6"/>
  <c r="N66" i="6"/>
  <c r="R66" i="6"/>
  <c r="S66" i="6"/>
  <c r="P66" i="5"/>
  <c r="T66" i="5"/>
  <c r="U66" i="5"/>
  <c r="I307" i="5"/>
  <c r="J307" i="5"/>
  <c r="R307" i="5"/>
  <c r="R667" i="5"/>
  <c r="I667" i="5"/>
  <c r="J667" i="5"/>
  <c r="E818" i="6"/>
  <c r="F818" i="6"/>
  <c r="I1147" i="5"/>
  <c r="J1147" i="5"/>
  <c r="R1147" i="5"/>
  <c r="N186" i="6"/>
  <c r="R186" i="6"/>
  <c r="R67" i="5"/>
  <c r="I67" i="5"/>
  <c r="J67" i="5"/>
  <c r="T1146" i="5"/>
  <c r="U1146" i="5"/>
  <c r="P1146" i="5"/>
  <c r="S786" i="6"/>
  <c r="E698" i="6"/>
  <c r="F698" i="6"/>
  <c r="N546" i="6"/>
  <c r="R546" i="6"/>
  <c r="S546" i="6"/>
  <c r="T306" i="5"/>
  <c r="U306" i="5"/>
  <c r="P306" i="5"/>
  <c r="P1026" i="5"/>
  <c r="T1026" i="5"/>
  <c r="U1026" i="5"/>
  <c r="E1058" i="6"/>
  <c r="F1058" i="6"/>
  <c r="P186" i="5"/>
  <c r="T186" i="5"/>
  <c r="U186" i="5"/>
  <c r="E338" i="6"/>
  <c r="F338" i="6"/>
  <c r="I187" i="5"/>
  <c r="J187" i="5"/>
  <c r="R187" i="5"/>
  <c r="E578" i="6"/>
  <c r="F578" i="6"/>
  <c r="E458" i="6"/>
  <c r="F458" i="6"/>
  <c r="N426" i="6"/>
  <c r="R426" i="6"/>
  <c r="S426" i="6"/>
  <c r="E98" i="6"/>
  <c r="F98" i="6"/>
  <c r="R1146" i="6"/>
  <c r="S1146" i="6"/>
  <c r="N1146" i="6"/>
  <c r="T666" i="5"/>
  <c r="U666" i="5"/>
  <c r="P666" i="5"/>
  <c r="T426" i="5"/>
  <c r="U426" i="5"/>
  <c r="P426" i="5"/>
  <c r="R427" i="5"/>
  <c r="I427" i="5"/>
  <c r="J427" i="5"/>
  <c r="I1027" i="5"/>
  <c r="J1027" i="5"/>
  <c r="R1027" i="5"/>
  <c r="E218" i="6"/>
  <c r="F218" i="6"/>
  <c r="E938" i="6"/>
  <c r="F938" i="6"/>
  <c r="I907" i="5"/>
  <c r="J907" i="5"/>
  <c r="R907" i="5"/>
  <c r="I787" i="5"/>
  <c r="J787" i="5"/>
  <c r="R787" i="5"/>
  <c r="E1178" i="6"/>
  <c r="F1178" i="6"/>
  <c r="S666" i="6"/>
  <c r="R547" i="5"/>
  <c r="I547" i="5"/>
  <c r="J547" i="5"/>
  <c r="P1178" i="6"/>
  <c r="G1178" i="6"/>
  <c r="P218" i="6"/>
  <c r="G218" i="6"/>
  <c r="Q1026" i="5"/>
  <c r="W1026" i="5"/>
  <c r="X1026" i="5"/>
  <c r="M1027" i="5"/>
  <c r="J187" i="6"/>
  <c r="K187" i="6"/>
  <c r="O186" i="6"/>
  <c r="U186" i="6"/>
  <c r="V186" i="6"/>
  <c r="S307" i="5"/>
  <c r="K307" i="5"/>
  <c r="J1027" i="6"/>
  <c r="K1027" i="6"/>
  <c r="O1026" i="6"/>
  <c r="U1026" i="6"/>
  <c r="V1026" i="6"/>
  <c r="J1147" i="6"/>
  <c r="K1147" i="6"/>
  <c r="O1146" i="6"/>
  <c r="U1146" i="6"/>
  <c r="V1146" i="6"/>
  <c r="S1027" i="5"/>
  <c r="K1027" i="5"/>
  <c r="G578" i="6"/>
  <c r="P578" i="6"/>
  <c r="K1147" i="5"/>
  <c r="S1147" i="5"/>
  <c r="M67" i="5"/>
  <c r="Q66" i="5"/>
  <c r="W66" i="5"/>
  <c r="X66" i="5"/>
  <c r="O906" i="6"/>
  <c r="U906" i="6"/>
  <c r="V906" i="6"/>
  <c r="J907" i="6"/>
  <c r="K907" i="6"/>
  <c r="M547" i="5"/>
  <c r="Q546" i="5"/>
  <c r="W546" i="5"/>
  <c r="X546" i="5"/>
  <c r="Q1146" i="5"/>
  <c r="W1146" i="5"/>
  <c r="X1146" i="5"/>
  <c r="M1147" i="5"/>
  <c r="M907" i="5"/>
  <c r="Q906" i="5"/>
  <c r="W906" i="5"/>
  <c r="X906" i="5"/>
  <c r="P98" i="6"/>
  <c r="G98" i="6"/>
  <c r="S67" i="5"/>
  <c r="K67" i="5"/>
  <c r="P818" i="6"/>
  <c r="G818" i="6"/>
  <c r="O666" i="6"/>
  <c r="U666" i="6"/>
  <c r="V666" i="6"/>
  <c r="J667" i="6"/>
  <c r="K667" i="6"/>
  <c r="Q306" i="5"/>
  <c r="W306" i="5"/>
  <c r="X306" i="5"/>
  <c r="M307" i="5"/>
  <c r="J67" i="6"/>
  <c r="K67" i="6"/>
  <c r="O66" i="6"/>
  <c r="U66" i="6"/>
  <c r="V66" i="6"/>
  <c r="K547" i="5"/>
  <c r="S547" i="5"/>
  <c r="S667" i="5"/>
  <c r="K667" i="5"/>
  <c r="P338" i="6"/>
  <c r="G338" i="6"/>
  <c r="S787" i="5"/>
  <c r="K787" i="5"/>
  <c r="S907" i="5"/>
  <c r="K907" i="5"/>
  <c r="S187" i="5"/>
  <c r="K187" i="5"/>
  <c r="G938" i="6"/>
  <c r="P938" i="6"/>
  <c r="J427" i="6"/>
  <c r="K427" i="6"/>
  <c r="O426" i="6"/>
  <c r="U426" i="6"/>
  <c r="V426" i="6"/>
  <c r="P1058" i="6"/>
  <c r="G1058" i="6"/>
  <c r="O786" i="6"/>
  <c r="U786" i="6"/>
  <c r="V786" i="6"/>
  <c r="J787" i="6"/>
  <c r="K787" i="6"/>
  <c r="J307" i="6"/>
  <c r="K307" i="6"/>
  <c r="O306" i="6"/>
  <c r="U306" i="6"/>
  <c r="V306" i="6"/>
  <c r="K427" i="5"/>
  <c r="S427" i="5"/>
  <c r="M187" i="5"/>
  <c r="Q186" i="5"/>
  <c r="W186" i="5"/>
  <c r="X186" i="5"/>
  <c r="O546" i="6"/>
  <c r="U546" i="6"/>
  <c r="V546" i="6"/>
  <c r="J547" i="6"/>
  <c r="K547" i="6"/>
  <c r="M427" i="5"/>
  <c r="Q426" i="5"/>
  <c r="W426" i="5"/>
  <c r="X426" i="5"/>
  <c r="M667" i="5"/>
  <c r="Q666" i="5"/>
  <c r="W666" i="5"/>
  <c r="X666" i="5"/>
  <c r="P458" i="6"/>
  <c r="G458" i="6"/>
  <c r="G698" i="6"/>
  <c r="P698" i="6"/>
  <c r="M787" i="5"/>
  <c r="Q786" i="5"/>
  <c r="W786" i="5"/>
  <c r="X786" i="5"/>
  <c r="Q427" i="6"/>
  <c r="L427" i="6"/>
  <c r="M427" i="6"/>
  <c r="G548" i="5"/>
  <c r="H548" i="5"/>
  <c r="L547" i="5"/>
  <c r="N547" i="5"/>
  <c r="E459" i="6"/>
  <c r="F459" i="6"/>
  <c r="G428" i="5"/>
  <c r="H428" i="5"/>
  <c r="L427" i="5"/>
  <c r="N427" i="5"/>
  <c r="L907" i="5"/>
  <c r="N907" i="5"/>
  <c r="G908" i="5"/>
  <c r="H908" i="5"/>
  <c r="Q187" i="6"/>
  <c r="L187" i="6"/>
  <c r="M187" i="6"/>
  <c r="E819" i="6"/>
  <c r="F819" i="6"/>
  <c r="L787" i="5"/>
  <c r="N787" i="5"/>
  <c r="G788" i="5"/>
  <c r="H788" i="5"/>
  <c r="E699" i="6"/>
  <c r="F699" i="6"/>
  <c r="L307" i="6"/>
  <c r="M307" i="6"/>
  <c r="Q307" i="6"/>
  <c r="G68" i="5"/>
  <c r="H68" i="5"/>
  <c r="L67" i="5"/>
  <c r="N67" i="5"/>
  <c r="E219" i="6"/>
  <c r="F219" i="6"/>
  <c r="E339" i="6"/>
  <c r="F339" i="6"/>
  <c r="G1148" i="5"/>
  <c r="H1148" i="5"/>
  <c r="L1147" i="5"/>
  <c r="N1147" i="5"/>
  <c r="L1027" i="6"/>
  <c r="M1027" i="6"/>
  <c r="Q1027" i="6"/>
  <c r="Q787" i="6"/>
  <c r="L787" i="6"/>
  <c r="M787" i="6"/>
  <c r="E939" i="6"/>
  <c r="F939" i="6"/>
  <c r="G188" i="5"/>
  <c r="H188" i="5"/>
  <c r="L187" i="5"/>
  <c r="N187" i="5"/>
  <c r="G308" i="5"/>
  <c r="H308" i="5"/>
  <c r="L307" i="5"/>
  <c r="N307" i="5"/>
  <c r="E1179" i="6"/>
  <c r="F1179" i="6"/>
  <c r="Q547" i="6"/>
  <c r="L547" i="6"/>
  <c r="M547" i="6"/>
  <c r="L667" i="5"/>
  <c r="N667" i="5"/>
  <c r="G668" i="5"/>
  <c r="H668" i="5"/>
  <c r="E99" i="6"/>
  <c r="F99" i="6"/>
  <c r="E579" i="6"/>
  <c r="F579" i="6"/>
  <c r="L1147" i="6"/>
  <c r="M1147" i="6"/>
  <c r="Q1147" i="6"/>
  <c r="Q67" i="6"/>
  <c r="L67" i="6"/>
  <c r="M67" i="6"/>
  <c r="E1059" i="6"/>
  <c r="F1059" i="6"/>
  <c r="L667" i="6"/>
  <c r="M667" i="6"/>
  <c r="Q667" i="6"/>
  <c r="Q907" i="6"/>
  <c r="L907" i="6"/>
  <c r="M907" i="6"/>
  <c r="G1028" i="5"/>
  <c r="H1028" i="5"/>
  <c r="L1027" i="5"/>
  <c r="N1027" i="5"/>
  <c r="T667" i="5"/>
  <c r="U667" i="5"/>
  <c r="P667" i="5"/>
  <c r="P187" i="5"/>
  <c r="T187" i="5"/>
  <c r="U187" i="5"/>
  <c r="R1027" i="6"/>
  <c r="S1027" i="6"/>
  <c r="N1027" i="6"/>
  <c r="P67" i="5"/>
  <c r="T67" i="5"/>
  <c r="U67" i="5"/>
  <c r="T787" i="5"/>
  <c r="U787" i="5"/>
  <c r="P787" i="5"/>
  <c r="P427" i="5"/>
  <c r="T427" i="5"/>
  <c r="U427" i="5"/>
  <c r="P219" i="6"/>
  <c r="G219" i="6"/>
  <c r="N547" i="6"/>
  <c r="R547" i="6"/>
  <c r="R188" i="5"/>
  <c r="I188" i="5"/>
  <c r="J188" i="5"/>
  <c r="T1147" i="5"/>
  <c r="U1147" i="5"/>
  <c r="P1147" i="5"/>
  <c r="R68" i="5"/>
  <c r="I68" i="5"/>
  <c r="J68" i="5"/>
  <c r="I428" i="5"/>
  <c r="J428" i="5"/>
  <c r="R428" i="5"/>
  <c r="R788" i="5"/>
  <c r="I788" i="5"/>
  <c r="J788" i="5"/>
  <c r="S547" i="6"/>
  <c r="I1148" i="5"/>
  <c r="J1148" i="5"/>
  <c r="R1148" i="5"/>
  <c r="G819" i="6"/>
  <c r="P819" i="6"/>
  <c r="S67" i="6"/>
  <c r="N1147" i="6"/>
  <c r="R1147" i="6"/>
  <c r="S1147" i="6"/>
  <c r="R307" i="6"/>
  <c r="S307" i="6"/>
  <c r="N307" i="6"/>
  <c r="R187" i="6"/>
  <c r="N187" i="6"/>
  <c r="R668" i="5"/>
  <c r="I668" i="5"/>
  <c r="J668" i="5"/>
  <c r="N667" i="6"/>
  <c r="R667" i="6"/>
  <c r="G1059" i="6"/>
  <c r="P1059" i="6"/>
  <c r="G1179" i="6"/>
  <c r="P1179" i="6"/>
  <c r="G339" i="6"/>
  <c r="P339" i="6"/>
  <c r="S187" i="6"/>
  <c r="G459" i="6"/>
  <c r="P459" i="6"/>
  <c r="I1028" i="5"/>
  <c r="J1028" i="5"/>
  <c r="R1028" i="5"/>
  <c r="T307" i="5"/>
  <c r="U307" i="5"/>
  <c r="P307" i="5"/>
  <c r="S787" i="6"/>
  <c r="I908" i="5"/>
  <c r="J908" i="5"/>
  <c r="R908" i="5"/>
  <c r="T547" i="5"/>
  <c r="U547" i="5"/>
  <c r="P547" i="5"/>
  <c r="R427" i="6"/>
  <c r="S427" i="6"/>
  <c r="N427" i="6"/>
  <c r="S667" i="6"/>
  <c r="G939" i="6"/>
  <c r="P939" i="6"/>
  <c r="P1027" i="5"/>
  <c r="T1027" i="5"/>
  <c r="U1027" i="5"/>
  <c r="P579" i="6"/>
  <c r="G579" i="6"/>
  <c r="N787" i="6"/>
  <c r="R787" i="6"/>
  <c r="N907" i="6"/>
  <c r="R907" i="6"/>
  <c r="S907" i="6"/>
  <c r="R67" i="6"/>
  <c r="N67" i="6"/>
  <c r="P99" i="6"/>
  <c r="G99" i="6"/>
  <c r="I308" i="5"/>
  <c r="J308" i="5"/>
  <c r="R308" i="5"/>
  <c r="P699" i="6"/>
  <c r="G699" i="6"/>
  <c r="T907" i="5"/>
  <c r="U907" i="5"/>
  <c r="P907" i="5"/>
  <c r="R548" i="5"/>
  <c r="I548" i="5"/>
  <c r="J548" i="5"/>
  <c r="M908" i="5"/>
  <c r="Q907" i="5"/>
  <c r="W907" i="5"/>
  <c r="X907" i="5"/>
  <c r="J68" i="6"/>
  <c r="K68" i="6"/>
  <c r="O67" i="6"/>
  <c r="U67" i="6"/>
  <c r="V67" i="6"/>
  <c r="E1060" i="6"/>
  <c r="F1060" i="6"/>
  <c r="S1148" i="5"/>
  <c r="K1148" i="5"/>
  <c r="E220" i="6"/>
  <c r="F220" i="6"/>
  <c r="M68" i="5"/>
  <c r="Q67" i="5"/>
  <c r="W67" i="5"/>
  <c r="X67" i="5"/>
  <c r="Q1027" i="5"/>
  <c r="W1027" i="5"/>
  <c r="X1027" i="5"/>
  <c r="M1028" i="5"/>
  <c r="E460" i="6"/>
  <c r="F460" i="6"/>
  <c r="Q1147" i="5"/>
  <c r="W1147" i="5"/>
  <c r="X1147" i="5"/>
  <c r="M1148" i="5"/>
  <c r="J1028" i="6"/>
  <c r="K1028" i="6"/>
  <c r="O1027" i="6"/>
  <c r="U1027" i="6"/>
  <c r="V1027" i="6"/>
  <c r="E700" i="6"/>
  <c r="F700" i="6"/>
  <c r="S908" i="5"/>
  <c r="K908" i="5"/>
  <c r="J668" i="6"/>
  <c r="K668" i="6"/>
  <c r="O667" i="6"/>
  <c r="U667" i="6"/>
  <c r="V667" i="6"/>
  <c r="O1147" i="6"/>
  <c r="U1147" i="6"/>
  <c r="V1147" i="6"/>
  <c r="J1148" i="6"/>
  <c r="K1148" i="6"/>
  <c r="K788" i="5"/>
  <c r="S788" i="5"/>
  <c r="K668" i="5"/>
  <c r="S668" i="5"/>
  <c r="Q307" i="5"/>
  <c r="W307" i="5"/>
  <c r="X307" i="5"/>
  <c r="M308" i="5"/>
  <c r="E340" i="6"/>
  <c r="F340" i="6"/>
  <c r="M428" i="5"/>
  <c r="Q427" i="5"/>
  <c r="W427" i="5"/>
  <c r="X427" i="5"/>
  <c r="M188" i="5"/>
  <c r="Q187" i="5"/>
  <c r="W187" i="5"/>
  <c r="X187" i="5"/>
  <c r="O907" i="6"/>
  <c r="U907" i="6"/>
  <c r="V907" i="6"/>
  <c r="J908" i="6"/>
  <c r="K908" i="6"/>
  <c r="S188" i="5"/>
  <c r="K188" i="5"/>
  <c r="S308" i="5"/>
  <c r="K308" i="5"/>
  <c r="J788" i="6"/>
  <c r="K788" i="6"/>
  <c r="O787" i="6"/>
  <c r="U787" i="6"/>
  <c r="V787" i="6"/>
  <c r="J428" i="6"/>
  <c r="K428" i="6"/>
  <c r="O427" i="6"/>
  <c r="U427" i="6"/>
  <c r="V427" i="6"/>
  <c r="J188" i="6"/>
  <c r="K188" i="6"/>
  <c r="O187" i="6"/>
  <c r="U187" i="6"/>
  <c r="V187" i="6"/>
  <c r="E820" i="6"/>
  <c r="F820" i="6"/>
  <c r="M788" i="5"/>
  <c r="Q787" i="5"/>
  <c r="W787" i="5"/>
  <c r="X787" i="5"/>
  <c r="M668" i="5"/>
  <c r="Q667" i="5"/>
  <c r="W667" i="5"/>
  <c r="X667" i="5"/>
  <c r="K428" i="5"/>
  <c r="S428" i="5"/>
  <c r="J548" i="6"/>
  <c r="K548" i="6"/>
  <c r="O547" i="6"/>
  <c r="U547" i="6"/>
  <c r="V547" i="6"/>
  <c r="E940" i="6"/>
  <c r="F940" i="6"/>
  <c r="K548" i="5"/>
  <c r="S548" i="5"/>
  <c r="E100" i="6"/>
  <c r="F100" i="6"/>
  <c r="E580" i="6"/>
  <c r="F580" i="6"/>
  <c r="E1180" i="6"/>
  <c r="F1180" i="6"/>
  <c r="Q547" i="5"/>
  <c r="W547" i="5"/>
  <c r="X547" i="5"/>
  <c r="M548" i="5"/>
  <c r="S1028" i="5"/>
  <c r="K1028" i="5"/>
  <c r="O307" i="6"/>
  <c r="U307" i="6"/>
  <c r="V307" i="6"/>
  <c r="J308" i="6"/>
  <c r="K308" i="6"/>
  <c r="S68" i="5"/>
  <c r="K68" i="5"/>
  <c r="G549" i="5"/>
  <c r="H549" i="5"/>
  <c r="L548" i="5"/>
  <c r="N548" i="5"/>
  <c r="L1028" i="6"/>
  <c r="M1028" i="6"/>
  <c r="Q1028" i="6"/>
  <c r="G429" i="5"/>
  <c r="H429" i="5"/>
  <c r="L428" i="5"/>
  <c r="N428" i="5"/>
  <c r="G1180" i="6"/>
  <c r="P1180" i="6"/>
  <c r="G189" i="5"/>
  <c r="H189" i="5"/>
  <c r="L188" i="5"/>
  <c r="N188" i="5"/>
  <c r="L668" i="6"/>
  <c r="M668" i="6"/>
  <c r="Q668" i="6"/>
  <c r="P1060" i="6"/>
  <c r="G1060" i="6"/>
  <c r="P940" i="6"/>
  <c r="G940" i="6"/>
  <c r="L908" i="5"/>
  <c r="N908" i="5"/>
  <c r="G909" i="5"/>
  <c r="H909" i="5"/>
  <c r="L188" i="6"/>
  <c r="M188" i="6"/>
  <c r="Q188" i="6"/>
  <c r="G69" i="5"/>
  <c r="H69" i="5"/>
  <c r="L68" i="5"/>
  <c r="N68" i="5"/>
  <c r="L428" i="6"/>
  <c r="M428" i="6"/>
  <c r="Q428" i="6"/>
  <c r="L668" i="5"/>
  <c r="N668" i="5"/>
  <c r="G669" i="5"/>
  <c r="H669" i="5"/>
  <c r="G220" i="6"/>
  <c r="P220" i="6"/>
  <c r="G580" i="6"/>
  <c r="P580" i="6"/>
  <c r="Q908" i="6"/>
  <c r="L908" i="6"/>
  <c r="M908" i="6"/>
  <c r="L68" i="6"/>
  <c r="M68" i="6"/>
  <c r="Q68" i="6"/>
  <c r="Q548" i="6"/>
  <c r="L548" i="6"/>
  <c r="M548" i="6"/>
  <c r="L788" i="5"/>
  <c r="N788" i="5"/>
  <c r="G789" i="5"/>
  <c r="H789" i="5"/>
  <c r="P460" i="6"/>
  <c r="G460" i="6"/>
  <c r="G1029" i="5"/>
  <c r="H1029" i="5"/>
  <c r="L1028" i="5"/>
  <c r="N1028" i="5"/>
  <c r="G100" i="6"/>
  <c r="P100" i="6"/>
  <c r="Q788" i="6"/>
  <c r="L788" i="6"/>
  <c r="M788" i="6"/>
  <c r="L308" i="6"/>
  <c r="M308" i="6"/>
  <c r="Q308" i="6"/>
  <c r="P820" i="6"/>
  <c r="G820" i="6"/>
  <c r="L308" i="5"/>
  <c r="N308" i="5"/>
  <c r="G309" i="5"/>
  <c r="H309" i="5"/>
  <c r="G340" i="6"/>
  <c r="P340" i="6"/>
  <c r="L1148" i="6"/>
  <c r="M1148" i="6"/>
  <c r="Q1148" i="6"/>
  <c r="P700" i="6"/>
  <c r="G700" i="6"/>
  <c r="L1148" i="5"/>
  <c r="N1148" i="5"/>
  <c r="G1149" i="5"/>
  <c r="H1149" i="5"/>
  <c r="R68" i="6"/>
  <c r="N68" i="6"/>
  <c r="T668" i="5"/>
  <c r="U668" i="5"/>
  <c r="P668" i="5"/>
  <c r="T908" i="5"/>
  <c r="U908" i="5"/>
  <c r="P908" i="5"/>
  <c r="R189" i="5"/>
  <c r="I189" i="5"/>
  <c r="J189" i="5"/>
  <c r="R549" i="5"/>
  <c r="I549" i="5"/>
  <c r="J549" i="5"/>
  <c r="S308" i="6"/>
  <c r="E461" i="6"/>
  <c r="F461" i="6"/>
  <c r="N908" i="6"/>
  <c r="R908" i="6"/>
  <c r="E941" i="6"/>
  <c r="F941" i="6"/>
  <c r="S908" i="6"/>
  <c r="R428" i="6"/>
  <c r="S428" i="6"/>
  <c r="N428" i="6"/>
  <c r="E1181" i="6"/>
  <c r="F1181" i="6"/>
  <c r="R788" i="6"/>
  <c r="N788" i="6"/>
  <c r="I789" i="5"/>
  <c r="J789" i="5"/>
  <c r="R789" i="5"/>
  <c r="P68" i="5"/>
  <c r="T68" i="5"/>
  <c r="U68" i="5"/>
  <c r="E1061" i="6"/>
  <c r="F1061" i="6"/>
  <c r="P428" i="5"/>
  <c r="T428" i="5"/>
  <c r="U428" i="5"/>
  <c r="N308" i="6"/>
  <c r="R308" i="6"/>
  <c r="E341" i="6"/>
  <c r="F341" i="6"/>
  <c r="S788" i="6"/>
  <c r="T788" i="5"/>
  <c r="U788" i="5"/>
  <c r="P788" i="5"/>
  <c r="E581" i="6"/>
  <c r="F581" i="6"/>
  <c r="I69" i="5"/>
  <c r="J69" i="5"/>
  <c r="R69" i="5"/>
  <c r="I429" i="5"/>
  <c r="J429" i="5"/>
  <c r="R429" i="5"/>
  <c r="R548" i="6"/>
  <c r="S548" i="6"/>
  <c r="N548" i="6"/>
  <c r="I1029" i="5"/>
  <c r="J1029" i="5"/>
  <c r="R1029" i="5"/>
  <c r="I1149" i="5"/>
  <c r="J1149" i="5"/>
  <c r="R1149" i="5"/>
  <c r="P1148" i="5"/>
  <c r="T1148" i="5"/>
  <c r="U1148" i="5"/>
  <c r="E101" i="6"/>
  <c r="F101" i="6"/>
  <c r="R188" i="6"/>
  <c r="S188" i="6"/>
  <c r="N188" i="6"/>
  <c r="N1028" i="6"/>
  <c r="R1028" i="6"/>
  <c r="S1028" i="6"/>
  <c r="N1148" i="6"/>
  <c r="R1148" i="6"/>
  <c r="S1148" i="6"/>
  <c r="I309" i="5"/>
  <c r="J309" i="5"/>
  <c r="R309" i="5"/>
  <c r="S668" i="6"/>
  <c r="P308" i="5"/>
  <c r="T308" i="5"/>
  <c r="U308" i="5"/>
  <c r="E221" i="6"/>
  <c r="F221" i="6"/>
  <c r="N668" i="6"/>
  <c r="R668" i="6"/>
  <c r="E701" i="6"/>
  <c r="F701" i="6"/>
  <c r="E821" i="6"/>
  <c r="F821" i="6"/>
  <c r="P1028" i="5"/>
  <c r="T1028" i="5"/>
  <c r="U1028" i="5"/>
  <c r="S68" i="6"/>
  <c r="R669" i="5"/>
  <c r="I669" i="5"/>
  <c r="J669" i="5"/>
  <c r="I909" i="5"/>
  <c r="J909" i="5"/>
  <c r="R909" i="5"/>
  <c r="P188" i="5"/>
  <c r="T188" i="5"/>
  <c r="U188" i="5"/>
  <c r="P548" i="5"/>
  <c r="T548" i="5"/>
  <c r="U548" i="5"/>
  <c r="J1149" i="6"/>
  <c r="K1149" i="6"/>
  <c r="O1148" i="6"/>
  <c r="U1148" i="6"/>
  <c r="V1148" i="6"/>
  <c r="S789" i="5"/>
  <c r="K789" i="5"/>
  <c r="G461" i="6"/>
  <c r="P461" i="6"/>
  <c r="O308" i="6"/>
  <c r="U308" i="6"/>
  <c r="V308" i="6"/>
  <c r="J309" i="6"/>
  <c r="K309" i="6"/>
  <c r="S669" i="5"/>
  <c r="K669" i="5"/>
  <c r="O1028" i="6"/>
  <c r="U1028" i="6"/>
  <c r="V1028" i="6"/>
  <c r="J1029" i="6"/>
  <c r="K1029" i="6"/>
  <c r="K429" i="5"/>
  <c r="S429" i="5"/>
  <c r="M429" i="5"/>
  <c r="Q428" i="5"/>
  <c r="W428" i="5"/>
  <c r="X428" i="5"/>
  <c r="J789" i="6"/>
  <c r="K789" i="6"/>
  <c r="O788" i="6"/>
  <c r="U788" i="6"/>
  <c r="V788" i="6"/>
  <c r="M669" i="5"/>
  <c r="Q668" i="5"/>
  <c r="W668" i="5"/>
  <c r="X668" i="5"/>
  <c r="Q308" i="5"/>
  <c r="W308" i="5"/>
  <c r="X308" i="5"/>
  <c r="M309" i="5"/>
  <c r="K1149" i="5"/>
  <c r="S1149" i="5"/>
  <c r="O188" i="6"/>
  <c r="U188" i="6"/>
  <c r="V188" i="6"/>
  <c r="J189" i="6"/>
  <c r="K189" i="6"/>
  <c r="P341" i="6"/>
  <c r="G341" i="6"/>
  <c r="P1061" i="6"/>
  <c r="G1061" i="6"/>
  <c r="P1181" i="6"/>
  <c r="G1181" i="6"/>
  <c r="P941" i="6"/>
  <c r="G941" i="6"/>
  <c r="K549" i="5"/>
  <c r="S549" i="5"/>
  <c r="O68" i="6"/>
  <c r="U68" i="6"/>
  <c r="V68" i="6"/>
  <c r="J69" i="6"/>
  <c r="K69" i="6"/>
  <c r="P821" i="6"/>
  <c r="G821" i="6"/>
  <c r="S909" i="5"/>
  <c r="K909" i="5"/>
  <c r="Q548" i="5"/>
  <c r="W548" i="5"/>
  <c r="X548" i="5"/>
  <c r="M549" i="5"/>
  <c r="S69" i="5"/>
  <c r="K69" i="5"/>
  <c r="Q1148" i="5"/>
  <c r="W1148" i="5"/>
  <c r="X1148" i="5"/>
  <c r="M1149" i="5"/>
  <c r="M909" i="5"/>
  <c r="Q908" i="5"/>
  <c r="W908" i="5"/>
  <c r="X908" i="5"/>
  <c r="S1029" i="5"/>
  <c r="K1029" i="5"/>
  <c r="Q1028" i="5"/>
  <c r="W1028" i="5"/>
  <c r="X1028" i="5"/>
  <c r="M1029" i="5"/>
  <c r="P221" i="6"/>
  <c r="G221" i="6"/>
  <c r="G101" i="6"/>
  <c r="P101" i="6"/>
  <c r="M69" i="5"/>
  <c r="Q68" i="5"/>
  <c r="W68" i="5"/>
  <c r="X68" i="5"/>
  <c r="S189" i="5"/>
  <c r="K189" i="5"/>
  <c r="M789" i="5"/>
  <c r="Q788" i="5"/>
  <c r="W788" i="5"/>
  <c r="X788" i="5"/>
  <c r="P701" i="6"/>
  <c r="G701" i="6"/>
  <c r="J669" i="6"/>
  <c r="K669" i="6"/>
  <c r="O668" i="6"/>
  <c r="U668" i="6"/>
  <c r="V668" i="6"/>
  <c r="S309" i="5"/>
  <c r="K309" i="5"/>
  <c r="M189" i="5"/>
  <c r="Q188" i="5"/>
  <c r="W188" i="5"/>
  <c r="X188" i="5"/>
  <c r="O548" i="6"/>
  <c r="U548" i="6"/>
  <c r="V548" i="6"/>
  <c r="J549" i="6"/>
  <c r="K549" i="6"/>
  <c r="G581" i="6"/>
  <c r="P581" i="6"/>
  <c r="O428" i="6"/>
  <c r="U428" i="6"/>
  <c r="V428" i="6"/>
  <c r="J429" i="6"/>
  <c r="K429" i="6"/>
  <c r="J909" i="6"/>
  <c r="K909" i="6"/>
  <c r="O908" i="6"/>
  <c r="U908" i="6"/>
  <c r="V908" i="6"/>
  <c r="L429" i="6"/>
  <c r="M429" i="6"/>
  <c r="Q429" i="6"/>
  <c r="G430" i="5"/>
  <c r="H430" i="5"/>
  <c r="L429" i="5"/>
  <c r="N429" i="5"/>
  <c r="Q909" i="6"/>
  <c r="L909" i="6"/>
  <c r="M909" i="6"/>
  <c r="L909" i="5"/>
  <c r="N909" i="5"/>
  <c r="G910" i="5"/>
  <c r="H910" i="5"/>
  <c r="E942" i="6"/>
  <c r="F942" i="6"/>
  <c r="E822" i="6"/>
  <c r="F822" i="6"/>
  <c r="Q1029" i="6"/>
  <c r="L1029" i="6"/>
  <c r="M1029" i="6"/>
  <c r="L789" i="5"/>
  <c r="N789" i="5"/>
  <c r="G790" i="5"/>
  <c r="H790" i="5"/>
  <c r="L189" i="6"/>
  <c r="M189" i="6"/>
  <c r="Q189" i="6"/>
  <c r="G1030" i="5"/>
  <c r="H1030" i="5"/>
  <c r="L1029" i="5"/>
  <c r="N1029" i="5"/>
  <c r="G190" i="5"/>
  <c r="H190" i="5"/>
  <c r="L189" i="5"/>
  <c r="N189" i="5"/>
  <c r="E462" i="6"/>
  <c r="F462" i="6"/>
  <c r="E1182" i="6"/>
  <c r="F1182" i="6"/>
  <c r="G70" i="5"/>
  <c r="H70" i="5"/>
  <c r="L69" i="5"/>
  <c r="N69" i="5"/>
  <c r="E582" i="6"/>
  <c r="F582" i="6"/>
  <c r="Q669" i="6"/>
  <c r="L669" i="6"/>
  <c r="M669" i="6"/>
  <c r="L69" i="6"/>
  <c r="M69" i="6"/>
  <c r="Q69" i="6"/>
  <c r="E1062" i="6"/>
  <c r="F1062" i="6"/>
  <c r="L669" i="5"/>
  <c r="N669" i="5"/>
  <c r="G670" i="5"/>
  <c r="H670" i="5"/>
  <c r="L789" i="6"/>
  <c r="M789" i="6"/>
  <c r="Q789" i="6"/>
  <c r="L309" i="5"/>
  <c r="N309" i="5"/>
  <c r="G310" i="5"/>
  <c r="H310" i="5"/>
  <c r="L549" i="6"/>
  <c r="M549" i="6"/>
  <c r="Q549" i="6"/>
  <c r="E102" i="6"/>
  <c r="F102" i="6"/>
  <c r="E342" i="6"/>
  <c r="F342" i="6"/>
  <c r="L1149" i="5"/>
  <c r="N1149" i="5"/>
  <c r="G1150" i="5"/>
  <c r="H1150" i="5"/>
  <c r="Q309" i="6"/>
  <c r="L309" i="6"/>
  <c r="M309" i="6"/>
  <c r="E702" i="6"/>
  <c r="F702" i="6"/>
  <c r="E222" i="6"/>
  <c r="F222" i="6"/>
  <c r="G550" i="5"/>
  <c r="H550" i="5"/>
  <c r="L549" i="5"/>
  <c r="N549" i="5"/>
  <c r="Q1149" i="6"/>
  <c r="L1149" i="6"/>
  <c r="M1149" i="6"/>
  <c r="P69" i="5"/>
  <c r="T69" i="5"/>
  <c r="U69" i="5"/>
  <c r="N549" i="6"/>
  <c r="R549" i="6"/>
  <c r="P1062" i="6"/>
  <c r="G1062" i="6"/>
  <c r="I70" i="5"/>
  <c r="J70" i="5"/>
  <c r="R70" i="5"/>
  <c r="N1029" i="6"/>
  <c r="R1029" i="6"/>
  <c r="T909" i="5"/>
  <c r="U909" i="5"/>
  <c r="P909" i="5"/>
  <c r="N429" i="6"/>
  <c r="R429" i="6"/>
  <c r="T669" i="5"/>
  <c r="U669" i="5"/>
  <c r="P669" i="5"/>
  <c r="I310" i="5"/>
  <c r="J310" i="5"/>
  <c r="R310" i="5"/>
  <c r="S1029" i="6"/>
  <c r="G582" i="6"/>
  <c r="P582" i="6"/>
  <c r="S429" i="6"/>
  <c r="P102" i="6"/>
  <c r="G102" i="6"/>
  <c r="N69" i="6"/>
  <c r="R69" i="6"/>
  <c r="P1182" i="6"/>
  <c r="G1182" i="6"/>
  <c r="P1029" i="5"/>
  <c r="T1029" i="5"/>
  <c r="U1029" i="5"/>
  <c r="R909" i="6"/>
  <c r="S909" i="6"/>
  <c r="N909" i="6"/>
  <c r="T549" i="5"/>
  <c r="U549" i="5"/>
  <c r="P549" i="5"/>
  <c r="P1149" i="5"/>
  <c r="T1149" i="5"/>
  <c r="U1149" i="5"/>
  <c r="T789" i="5"/>
  <c r="U789" i="5"/>
  <c r="P789" i="5"/>
  <c r="P342" i="6"/>
  <c r="G342" i="6"/>
  <c r="G702" i="6"/>
  <c r="P702" i="6"/>
  <c r="R669" i="6"/>
  <c r="N669" i="6"/>
  <c r="I1030" i="5"/>
  <c r="J1030" i="5"/>
  <c r="R1030" i="5"/>
  <c r="P822" i="6"/>
  <c r="G822" i="6"/>
  <c r="R550" i="5"/>
  <c r="I550" i="5"/>
  <c r="J550" i="5"/>
  <c r="I190" i="5"/>
  <c r="J190" i="5"/>
  <c r="R190" i="5"/>
  <c r="P222" i="6"/>
  <c r="G222" i="6"/>
  <c r="T309" i="5"/>
  <c r="U309" i="5"/>
  <c r="P309" i="5"/>
  <c r="N309" i="6"/>
  <c r="R309" i="6"/>
  <c r="R789" i="6"/>
  <c r="S789" i="6"/>
  <c r="N789" i="6"/>
  <c r="S669" i="6"/>
  <c r="P462" i="6"/>
  <c r="G462" i="6"/>
  <c r="T429" i="5"/>
  <c r="U429" i="5"/>
  <c r="P429" i="5"/>
  <c r="I1150" i="5"/>
  <c r="J1150" i="5"/>
  <c r="R1150" i="5"/>
  <c r="S549" i="6"/>
  <c r="R910" i="5"/>
  <c r="I910" i="5"/>
  <c r="J910" i="5"/>
  <c r="S69" i="6"/>
  <c r="R1149" i="6"/>
  <c r="N1149" i="6"/>
  <c r="S1149" i="6"/>
  <c r="S309" i="6"/>
  <c r="R670" i="5"/>
  <c r="I670" i="5"/>
  <c r="J670" i="5"/>
  <c r="N189" i="6"/>
  <c r="R189" i="6"/>
  <c r="S189" i="6"/>
  <c r="I430" i="5"/>
  <c r="J430" i="5"/>
  <c r="R430" i="5"/>
  <c r="P189" i="5"/>
  <c r="T189" i="5"/>
  <c r="U189" i="5"/>
  <c r="R790" i="5"/>
  <c r="I790" i="5"/>
  <c r="J790" i="5"/>
  <c r="G942" i="6"/>
  <c r="P942" i="6"/>
  <c r="K790" i="5"/>
  <c r="S790" i="5"/>
  <c r="K670" i="5"/>
  <c r="S670" i="5"/>
  <c r="E223" i="6"/>
  <c r="F223" i="6"/>
  <c r="E343" i="6"/>
  <c r="F343" i="6"/>
  <c r="J910" i="6"/>
  <c r="K910" i="6"/>
  <c r="O909" i="6"/>
  <c r="U909" i="6"/>
  <c r="V909" i="6"/>
  <c r="E103" i="6"/>
  <c r="F103" i="6"/>
  <c r="M670" i="5"/>
  <c r="Q669" i="5"/>
  <c r="W669" i="5"/>
  <c r="X669" i="5"/>
  <c r="J790" i="6"/>
  <c r="K790" i="6"/>
  <c r="O789" i="6"/>
  <c r="U789" i="6"/>
  <c r="V789" i="6"/>
  <c r="E1063" i="6"/>
  <c r="F1063" i="6"/>
  <c r="S190" i="5"/>
  <c r="K190" i="5"/>
  <c r="J670" i="6"/>
  <c r="K670" i="6"/>
  <c r="O669" i="6"/>
  <c r="U669" i="6"/>
  <c r="V669" i="6"/>
  <c r="Q1029" i="5"/>
  <c r="W1029" i="5"/>
  <c r="X1029" i="5"/>
  <c r="M1030" i="5"/>
  <c r="J430" i="6"/>
  <c r="K430" i="6"/>
  <c r="O429" i="6"/>
  <c r="U429" i="6"/>
  <c r="V429" i="6"/>
  <c r="M790" i="5"/>
  <c r="Q789" i="5"/>
  <c r="W789" i="5"/>
  <c r="X789" i="5"/>
  <c r="O1149" i="6"/>
  <c r="U1149" i="6"/>
  <c r="V1149" i="6"/>
  <c r="J1150" i="6"/>
  <c r="K1150" i="6"/>
  <c r="M430" i="5"/>
  <c r="Q429" i="5"/>
  <c r="W429" i="5"/>
  <c r="X429" i="5"/>
  <c r="S550" i="5"/>
  <c r="K550" i="5"/>
  <c r="E1183" i="6"/>
  <c r="F1183" i="6"/>
  <c r="E583" i="6"/>
  <c r="F583" i="6"/>
  <c r="M910" i="5"/>
  <c r="Q909" i="5"/>
  <c r="W909" i="5"/>
  <c r="X909" i="5"/>
  <c r="M190" i="5"/>
  <c r="Q189" i="5"/>
  <c r="W189" i="5"/>
  <c r="X189" i="5"/>
  <c r="Q1149" i="5"/>
  <c r="W1149" i="5"/>
  <c r="X1149" i="5"/>
  <c r="M1150" i="5"/>
  <c r="J550" i="6"/>
  <c r="K550" i="6"/>
  <c r="O549" i="6"/>
  <c r="U549" i="6"/>
  <c r="V549" i="6"/>
  <c r="K1030" i="5"/>
  <c r="S1030" i="5"/>
  <c r="Q309" i="5"/>
  <c r="W309" i="5"/>
  <c r="X309" i="5"/>
  <c r="M310" i="5"/>
  <c r="M550" i="5"/>
  <c r="Q549" i="5"/>
  <c r="W549" i="5"/>
  <c r="X549" i="5"/>
  <c r="S70" i="5"/>
  <c r="K70" i="5"/>
  <c r="K1150" i="5"/>
  <c r="S1150" i="5"/>
  <c r="S430" i="5"/>
  <c r="K430" i="5"/>
  <c r="J310" i="6"/>
  <c r="K310" i="6"/>
  <c r="O309" i="6"/>
  <c r="U309" i="6"/>
  <c r="V309" i="6"/>
  <c r="E943" i="6"/>
  <c r="F943" i="6"/>
  <c r="O189" i="6"/>
  <c r="U189" i="6"/>
  <c r="V189" i="6"/>
  <c r="J190" i="6"/>
  <c r="K190" i="6"/>
  <c r="S910" i="5"/>
  <c r="K910" i="5"/>
  <c r="E463" i="6"/>
  <c r="F463" i="6"/>
  <c r="E823" i="6"/>
  <c r="F823" i="6"/>
  <c r="E703" i="6"/>
  <c r="F703" i="6"/>
  <c r="J70" i="6"/>
  <c r="K70" i="6"/>
  <c r="O69" i="6"/>
  <c r="U69" i="6"/>
  <c r="V69" i="6"/>
  <c r="S310" i="5"/>
  <c r="K310" i="5"/>
  <c r="J1030" i="6"/>
  <c r="K1030" i="6"/>
  <c r="O1029" i="6"/>
  <c r="U1029" i="6"/>
  <c r="V1029" i="6"/>
  <c r="M70" i="5"/>
  <c r="Q69" i="5"/>
  <c r="W69" i="5"/>
  <c r="X69" i="5"/>
  <c r="G463" i="6"/>
  <c r="P463" i="6"/>
  <c r="G1031" i="5"/>
  <c r="H1031" i="5"/>
  <c r="L1030" i="5"/>
  <c r="N1030" i="5"/>
  <c r="Q70" i="6"/>
  <c r="L70" i="6"/>
  <c r="M70" i="6"/>
  <c r="G943" i="6"/>
  <c r="P943" i="6"/>
  <c r="L310" i="5"/>
  <c r="N310" i="5"/>
  <c r="G311" i="5"/>
  <c r="H311" i="5"/>
  <c r="L1150" i="6"/>
  <c r="M1150" i="6"/>
  <c r="Q1150" i="6"/>
  <c r="P223" i="6"/>
  <c r="G223" i="6"/>
  <c r="P1063" i="6"/>
  <c r="G1063" i="6"/>
  <c r="P103" i="6"/>
  <c r="G103" i="6"/>
  <c r="P583" i="6"/>
  <c r="G583" i="6"/>
  <c r="Q310" i="6"/>
  <c r="L310" i="6"/>
  <c r="M310" i="6"/>
  <c r="P1183" i="6"/>
  <c r="G1183" i="6"/>
  <c r="G551" i="5"/>
  <c r="H551" i="5"/>
  <c r="L550" i="5"/>
  <c r="N550" i="5"/>
  <c r="L670" i="6"/>
  <c r="M670" i="6"/>
  <c r="Q670" i="6"/>
  <c r="L790" i="6"/>
  <c r="M790" i="6"/>
  <c r="Q790" i="6"/>
  <c r="L910" i="6"/>
  <c r="M910" i="6"/>
  <c r="Q910" i="6"/>
  <c r="L910" i="5"/>
  <c r="N910" i="5"/>
  <c r="G911" i="5"/>
  <c r="H911" i="5"/>
  <c r="Q190" i="6"/>
  <c r="L190" i="6"/>
  <c r="M190" i="6"/>
  <c r="P703" i="6"/>
  <c r="G703" i="6"/>
  <c r="L550" i="6"/>
  <c r="M550" i="6"/>
  <c r="Q550" i="6"/>
  <c r="G191" i="5"/>
  <c r="H191" i="5"/>
  <c r="L190" i="5"/>
  <c r="N190" i="5"/>
  <c r="L670" i="5"/>
  <c r="N670" i="5"/>
  <c r="G671" i="5"/>
  <c r="H671" i="5"/>
  <c r="G823" i="6"/>
  <c r="P823" i="6"/>
  <c r="P343" i="6"/>
  <c r="G343" i="6"/>
  <c r="G431" i="5"/>
  <c r="H431" i="5"/>
  <c r="L430" i="5"/>
  <c r="N430" i="5"/>
  <c r="L1150" i="5"/>
  <c r="N1150" i="5"/>
  <c r="G1151" i="5"/>
  <c r="H1151" i="5"/>
  <c r="Q1030" i="6"/>
  <c r="L1030" i="6"/>
  <c r="M1030" i="6"/>
  <c r="G71" i="5"/>
  <c r="H71" i="5"/>
  <c r="L70" i="5"/>
  <c r="N70" i="5"/>
  <c r="Q430" i="6"/>
  <c r="L430" i="6"/>
  <c r="M430" i="6"/>
  <c r="L790" i="5"/>
  <c r="N790" i="5"/>
  <c r="G791" i="5"/>
  <c r="H791" i="5"/>
  <c r="R431" i="5"/>
  <c r="I431" i="5"/>
  <c r="J431" i="5"/>
  <c r="I191" i="5"/>
  <c r="J191" i="5"/>
  <c r="R191" i="5"/>
  <c r="T910" i="5"/>
  <c r="U910" i="5"/>
  <c r="P910" i="5"/>
  <c r="R551" i="5"/>
  <c r="I551" i="5"/>
  <c r="J551" i="5"/>
  <c r="T310" i="5"/>
  <c r="U310" i="5"/>
  <c r="P310" i="5"/>
  <c r="E464" i="6"/>
  <c r="F464" i="6"/>
  <c r="R71" i="5"/>
  <c r="I71" i="5"/>
  <c r="J71" i="5"/>
  <c r="N550" i="6"/>
  <c r="R550" i="6"/>
  <c r="S550" i="6"/>
  <c r="R910" i="6"/>
  <c r="S910" i="6"/>
  <c r="N910" i="6"/>
  <c r="E944" i="6"/>
  <c r="F944" i="6"/>
  <c r="E1184" i="6"/>
  <c r="F1184" i="6"/>
  <c r="E704" i="6"/>
  <c r="F704" i="6"/>
  <c r="S790" i="6"/>
  <c r="R310" i="6"/>
  <c r="N310" i="6"/>
  <c r="E224" i="6"/>
  <c r="F224" i="6"/>
  <c r="N70" i="6"/>
  <c r="R70" i="6"/>
  <c r="S1030" i="6"/>
  <c r="N790" i="6"/>
  <c r="R790" i="6"/>
  <c r="S310" i="6"/>
  <c r="S70" i="6"/>
  <c r="E344" i="6"/>
  <c r="F344" i="6"/>
  <c r="I1151" i="5"/>
  <c r="J1151" i="5"/>
  <c r="R1151" i="5"/>
  <c r="R671" i="5"/>
  <c r="I671" i="5"/>
  <c r="J671" i="5"/>
  <c r="N190" i="6"/>
  <c r="R190" i="6"/>
  <c r="S670" i="6"/>
  <c r="E584" i="6"/>
  <c r="F584" i="6"/>
  <c r="P1030" i="5"/>
  <c r="T1030" i="5"/>
  <c r="U1030" i="5"/>
  <c r="P70" i="5"/>
  <c r="T70" i="5"/>
  <c r="U70" i="5"/>
  <c r="E1064" i="6"/>
  <c r="F1064" i="6"/>
  <c r="E824" i="6"/>
  <c r="F824" i="6"/>
  <c r="T1150" i="5"/>
  <c r="U1150" i="5"/>
  <c r="P1150" i="5"/>
  <c r="R670" i="6"/>
  <c r="N670" i="6"/>
  <c r="N1150" i="6"/>
  <c r="R1150" i="6"/>
  <c r="S1150" i="6"/>
  <c r="I1031" i="5"/>
  <c r="J1031" i="5"/>
  <c r="R1031" i="5"/>
  <c r="R1030" i="6"/>
  <c r="N1030" i="6"/>
  <c r="I791" i="5"/>
  <c r="J791" i="5"/>
  <c r="R791" i="5"/>
  <c r="T790" i="5"/>
  <c r="U790" i="5"/>
  <c r="P790" i="5"/>
  <c r="T670" i="5"/>
  <c r="U670" i="5"/>
  <c r="P670" i="5"/>
  <c r="S190" i="6"/>
  <c r="N430" i="6"/>
  <c r="R430" i="6"/>
  <c r="S430" i="6"/>
  <c r="T430" i="5"/>
  <c r="U430" i="5"/>
  <c r="P430" i="5"/>
  <c r="P190" i="5"/>
  <c r="T190" i="5"/>
  <c r="U190" i="5"/>
  <c r="I911" i="5"/>
  <c r="J911" i="5"/>
  <c r="R911" i="5"/>
  <c r="T550" i="5"/>
  <c r="U550" i="5"/>
  <c r="P550" i="5"/>
  <c r="E104" i="6"/>
  <c r="F104" i="6"/>
  <c r="I311" i="5"/>
  <c r="J311" i="5"/>
  <c r="R311" i="5"/>
  <c r="P1064" i="6"/>
  <c r="G1064" i="6"/>
  <c r="M551" i="5"/>
  <c r="Q550" i="5"/>
  <c r="W550" i="5"/>
  <c r="X550" i="5"/>
  <c r="S791" i="5"/>
  <c r="K791" i="5"/>
  <c r="O670" i="6"/>
  <c r="U670" i="6"/>
  <c r="V670" i="6"/>
  <c r="J671" i="6"/>
  <c r="K671" i="6"/>
  <c r="P344" i="6"/>
  <c r="G344" i="6"/>
  <c r="M911" i="5"/>
  <c r="Q910" i="5"/>
  <c r="W910" i="5"/>
  <c r="X910" i="5"/>
  <c r="J1031" i="6"/>
  <c r="K1031" i="6"/>
  <c r="O1030" i="6"/>
  <c r="U1030" i="6"/>
  <c r="V1030" i="6"/>
  <c r="M71" i="5"/>
  <c r="Q70" i="5"/>
  <c r="W70" i="5"/>
  <c r="X70" i="5"/>
  <c r="J191" i="6"/>
  <c r="K191" i="6"/>
  <c r="O190" i="6"/>
  <c r="U190" i="6"/>
  <c r="V190" i="6"/>
  <c r="P704" i="6"/>
  <c r="G704" i="6"/>
  <c r="O910" i="6"/>
  <c r="U910" i="6"/>
  <c r="V910" i="6"/>
  <c r="J911" i="6"/>
  <c r="K911" i="6"/>
  <c r="G104" i="6"/>
  <c r="P104" i="6"/>
  <c r="J431" i="6"/>
  <c r="K431" i="6"/>
  <c r="O430" i="6"/>
  <c r="U430" i="6"/>
  <c r="V430" i="6"/>
  <c r="Q1150" i="5"/>
  <c r="W1150" i="5"/>
  <c r="X1150" i="5"/>
  <c r="M1151" i="5"/>
  <c r="S671" i="5"/>
  <c r="K671" i="5"/>
  <c r="J71" i="6"/>
  <c r="K71" i="6"/>
  <c r="O70" i="6"/>
  <c r="U70" i="6"/>
  <c r="V70" i="6"/>
  <c r="P464" i="6"/>
  <c r="G464" i="6"/>
  <c r="M671" i="5"/>
  <c r="Q670" i="5"/>
  <c r="W670" i="5"/>
  <c r="X670" i="5"/>
  <c r="Q1030" i="5"/>
  <c r="W1030" i="5"/>
  <c r="X1030" i="5"/>
  <c r="M1031" i="5"/>
  <c r="G224" i="6"/>
  <c r="P224" i="6"/>
  <c r="Q310" i="5"/>
  <c r="W310" i="5"/>
  <c r="X310" i="5"/>
  <c r="M311" i="5"/>
  <c r="S191" i="5"/>
  <c r="K191" i="5"/>
  <c r="S911" i="5"/>
  <c r="K911" i="5"/>
  <c r="K1031" i="5"/>
  <c r="S1031" i="5"/>
  <c r="G1184" i="6"/>
  <c r="P1184" i="6"/>
  <c r="O550" i="6"/>
  <c r="U550" i="6"/>
  <c r="V550" i="6"/>
  <c r="J551" i="6"/>
  <c r="K551" i="6"/>
  <c r="K431" i="5"/>
  <c r="S431" i="5"/>
  <c r="O790" i="6"/>
  <c r="U790" i="6"/>
  <c r="V790" i="6"/>
  <c r="J791" i="6"/>
  <c r="K791" i="6"/>
  <c r="J311" i="6"/>
  <c r="K311" i="6"/>
  <c r="O310" i="6"/>
  <c r="U310" i="6"/>
  <c r="V310" i="6"/>
  <c r="S311" i="5"/>
  <c r="K311" i="5"/>
  <c r="M191" i="5"/>
  <c r="Q190" i="5"/>
  <c r="W190" i="5"/>
  <c r="X190" i="5"/>
  <c r="M791" i="5"/>
  <c r="Q790" i="5"/>
  <c r="W790" i="5"/>
  <c r="X790" i="5"/>
  <c r="P824" i="6"/>
  <c r="G824" i="6"/>
  <c r="K1151" i="5"/>
  <c r="S1151" i="5"/>
  <c r="M431" i="5"/>
  <c r="Q430" i="5"/>
  <c r="W430" i="5"/>
  <c r="X430" i="5"/>
  <c r="O1150" i="6"/>
  <c r="U1150" i="6"/>
  <c r="V1150" i="6"/>
  <c r="J1151" i="6"/>
  <c r="K1151" i="6"/>
  <c r="G584" i="6"/>
  <c r="P584" i="6"/>
  <c r="P944" i="6"/>
  <c r="G944" i="6"/>
  <c r="S71" i="5"/>
  <c r="K71" i="5"/>
  <c r="S551" i="5"/>
  <c r="K551" i="5"/>
  <c r="Q911" i="6"/>
  <c r="L911" i="6"/>
  <c r="M911" i="6"/>
  <c r="L791" i="5"/>
  <c r="N791" i="5"/>
  <c r="G792" i="5"/>
  <c r="H792" i="5"/>
  <c r="L1031" i="6"/>
  <c r="M1031" i="6"/>
  <c r="Q1031" i="6"/>
  <c r="E465" i="6"/>
  <c r="F465" i="6"/>
  <c r="E705" i="6"/>
  <c r="F705" i="6"/>
  <c r="E945" i="6"/>
  <c r="F945" i="6"/>
  <c r="G312" i="5"/>
  <c r="H312" i="5"/>
  <c r="L311" i="5"/>
  <c r="N311" i="5"/>
  <c r="G432" i="5"/>
  <c r="H432" i="5"/>
  <c r="L431" i="5"/>
  <c r="N431" i="5"/>
  <c r="E225" i="6"/>
  <c r="F225" i="6"/>
  <c r="G1152" i="5"/>
  <c r="H1152" i="5"/>
  <c r="L1151" i="5"/>
  <c r="N1151" i="5"/>
  <c r="Q551" i="6"/>
  <c r="L551" i="6"/>
  <c r="M551" i="6"/>
  <c r="L911" i="5"/>
  <c r="N911" i="5"/>
  <c r="G912" i="5"/>
  <c r="H912" i="5"/>
  <c r="G72" i="5"/>
  <c r="H72" i="5"/>
  <c r="L71" i="5"/>
  <c r="N71" i="5"/>
  <c r="Q431" i="6"/>
  <c r="L431" i="6"/>
  <c r="M431" i="6"/>
  <c r="E345" i="6"/>
  <c r="F345" i="6"/>
  <c r="G192" i="5"/>
  <c r="H192" i="5"/>
  <c r="L191" i="5"/>
  <c r="N191" i="5"/>
  <c r="Q71" i="6"/>
  <c r="L71" i="6"/>
  <c r="M71" i="6"/>
  <c r="Q191" i="6"/>
  <c r="L191" i="6"/>
  <c r="M191" i="6"/>
  <c r="E825" i="6"/>
  <c r="F825" i="6"/>
  <c r="E585" i="6"/>
  <c r="F585" i="6"/>
  <c r="L1151" i="6"/>
  <c r="M1151" i="6"/>
  <c r="Q1151" i="6"/>
  <c r="L311" i="6"/>
  <c r="M311" i="6"/>
  <c r="Q311" i="6"/>
  <c r="E1185" i="6"/>
  <c r="F1185" i="6"/>
  <c r="L671" i="5"/>
  <c r="N671" i="5"/>
  <c r="G672" i="5"/>
  <c r="H672" i="5"/>
  <c r="L671" i="6"/>
  <c r="M671" i="6"/>
  <c r="Q671" i="6"/>
  <c r="E1065" i="6"/>
  <c r="F1065" i="6"/>
  <c r="G1032" i="5"/>
  <c r="H1032" i="5"/>
  <c r="L1031" i="5"/>
  <c r="N1031" i="5"/>
  <c r="G552" i="5"/>
  <c r="H552" i="5"/>
  <c r="L551" i="5"/>
  <c r="N551" i="5"/>
  <c r="Q791" i="6"/>
  <c r="L791" i="6"/>
  <c r="M791" i="6"/>
  <c r="E105" i="6"/>
  <c r="F105" i="6"/>
  <c r="P551" i="5"/>
  <c r="T551" i="5"/>
  <c r="U551" i="5"/>
  <c r="N671" i="6"/>
  <c r="R671" i="6"/>
  <c r="R431" i="6"/>
  <c r="S431" i="6"/>
  <c r="N431" i="6"/>
  <c r="T911" i="5"/>
  <c r="U911" i="5"/>
  <c r="P911" i="5"/>
  <c r="P431" i="5"/>
  <c r="T431" i="5"/>
  <c r="U431" i="5"/>
  <c r="P705" i="6"/>
  <c r="G705" i="6"/>
  <c r="S911" i="6"/>
  <c r="R552" i="5"/>
  <c r="I552" i="5"/>
  <c r="J552" i="5"/>
  <c r="R672" i="5"/>
  <c r="I672" i="5"/>
  <c r="J672" i="5"/>
  <c r="T311" i="5"/>
  <c r="U311" i="5"/>
  <c r="P311" i="5"/>
  <c r="G465" i="6"/>
  <c r="P465" i="6"/>
  <c r="P1031" i="5"/>
  <c r="T1031" i="5"/>
  <c r="U1031" i="5"/>
  <c r="P191" i="5"/>
  <c r="T191" i="5"/>
  <c r="U191" i="5"/>
  <c r="P71" i="5"/>
  <c r="T71" i="5"/>
  <c r="U71" i="5"/>
  <c r="T1151" i="5"/>
  <c r="U1151" i="5"/>
  <c r="P1151" i="5"/>
  <c r="I312" i="5"/>
  <c r="J312" i="5"/>
  <c r="R312" i="5"/>
  <c r="R71" i="6"/>
  <c r="S71" i="6"/>
  <c r="N71" i="6"/>
  <c r="I1032" i="5"/>
  <c r="J1032" i="5"/>
  <c r="R1032" i="5"/>
  <c r="I1152" i="5"/>
  <c r="J1152" i="5"/>
  <c r="R1152" i="5"/>
  <c r="R1031" i="6"/>
  <c r="S1031" i="6"/>
  <c r="N1031" i="6"/>
  <c r="R551" i="6"/>
  <c r="S551" i="6"/>
  <c r="N551" i="6"/>
  <c r="P585" i="6"/>
  <c r="G585" i="6"/>
  <c r="P1185" i="6"/>
  <c r="G1185" i="6"/>
  <c r="P825" i="6"/>
  <c r="G825" i="6"/>
  <c r="P945" i="6"/>
  <c r="G945" i="6"/>
  <c r="R792" i="5"/>
  <c r="I792" i="5"/>
  <c r="J792" i="5"/>
  <c r="N1151" i="6"/>
  <c r="R1151" i="6"/>
  <c r="S1151" i="6"/>
  <c r="T671" i="5"/>
  <c r="U671" i="5"/>
  <c r="P671" i="5"/>
  <c r="R192" i="5"/>
  <c r="I192" i="5"/>
  <c r="J192" i="5"/>
  <c r="N791" i="6"/>
  <c r="R791" i="6"/>
  <c r="P1065" i="6"/>
  <c r="G1065" i="6"/>
  <c r="T791" i="5"/>
  <c r="U791" i="5"/>
  <c r="P791" i="5"/>
  <c r="I432" i="5"/>
  <c r="J432" i="5"/>
  <c r="R432" i="5"/>
  <c r="G105" i="6"/>
  <c r="P105" i="6"/>
  <c r="R72" i="5"/>
  <c r="I72" i="5"/>
  <c r="J72" i="5"/>
  <c r="S791" i="6"/>
  <c r="S671" i="6"/>
  <c r="R311" i="6"/>
  <c r="S311" i="6"/>
  <c r="N311" i="6"/>
  <c r="R191" i="6"/>
  <c r="S191" i="6"/>
  <c r="N191" i="6"/>
  <c r="G345" i="6"/>
  <c r="P345" i="6"/>
  <c r="I912" i="5"/>
  <c r="J912" i="5"/>
  <c r="R912" i="5"/>
  <c r="P225" i="6"/>
  <c r="G225" i="6"/>
  <c r="N911" i="6"/>
  <c r="R911" i="6"/>
  <c r="O311" i="6"/>
  <c r="U311" i="6"/>
  <c r="V311" i="6"/>
  <c r="J312" i="6"/>
  <c r="K312" i="6"/>
  <c r="J792" i="6"/>
  <c r="K792" i="6"/>
  <c r="O791" i="6"/>
  <c r="U791" i="6"/>
  <c r="V791" i="6"/>
  <c r="K1032" i="5"/>
  <c r="S1032" i="5"/>
  <c r="Q311" i="5"/>
  <c r="W311" i="5"/>
  <c r="X311" i="5"/>
  <c r="M312" i="5"/>
  <c r="J432" i="6"/>
  <c r="K432" i="6"/>
  <c r="O431" i="6"/>
  <c r="U431" i="6"/>
  <c r="V431" i="6"/>
  <c r="K432" i="5"/>
  <c r="S432" i="5"/>
  <c r="J72" i="6"/>
  <c r="K72" i="6"/>
  <c r="O71" i="6"/>
  <c r="U71" i="6"/>
  <c r="V71" i="6"/>
  <c r="M792" i="5"/>
  <c r="Q791" i="5"/>
  <c r="W791" i="5"/>
  <c r="X791" i="5"/>
  <c r="M672" i="5"/>
  <c r="Q671" i="5"/>
  <c r="W671" i="5"/>
  <c r="X671" i="5"/>
  <c r="J1032" i="6"/>
  <c r="K1032" i="6"/>
  <c r="O1031" i="6"/>
  <c r="U1031" i="6"/>
  <c r="V1031" i="6"/>
  <c r="M192" i="5"/>
  <c r="Q191" i="5"/>
  <c r="W191" i="5"/>
  <c r="X191" i="5"/>
  <c r="K672" i="5"/>
  <c r="S672" i="5"/>
  <c r="S192" i="5"/>
  <c r="K192" i="5"/>
  <c r="M72" i="5"/>
  <c r="Q71" i="5"/>
  <c r="W71" i="5"/>
  <c r="X71" i="5"/>
  <c r="S312" i="5"/>
  <c r="K312" i="5"/>
  <c r="Q1031" i="5"/>
  <c r="W1031" i="5"/>
  <c r="X1031" i="5"/>
  <c r="M1032" i="5"/>
  <c r="M432" i="5"/>
  <c r="Q431" i="5"/>
  <c r="W431" i="5"/>
  <c r="X431" i="5"/>
  <c r="J672" i="6"/>
  <c r="K672" i="6"/>
  <c r="O671" i="6"/>
  <c r="U671" i="6"/>
  <c r="V671" i="6"/>
  <c r="S912" i="5"/>
  <c r="K912" i="5"/>
  <c r="J192" i="6"/>
  <c r="K192" i="6"/>
  <c r="O191" i="6"/>
  <c r="U191" i="6"/>
  <c r="V191" i="6"/>
  <c r="O1151" i="6"/>
  <c r="U1151" i="6"/>
  <c r="V1151" i="6"/>
  <c r="J1152" i="6"/>
  <c r="K1152" i="6"/>
  <c r="S1152" i="5"/>
  <c r="K1152" i="5"/>
  <c r="Q1151" i="5"/>
  <c r="W1151" i="5"/>
  <c r="X1151" i="5"/>
  <c r="M1152" i="5"/>
  <c r="M912" i="5"/>
  <c r="Q911" i="5"/>
  <c r="W911" i="5"/>
  <c r="X911" i="5"/>
  <c r="J552" i="6"/>
  <c r="K552" i="6"/>
  <c r="O551" i="6"/>
  <c r="U551" i="6"/>
  <c r="V551" i="6"/>
  <c r="S72" i="5"/>
  <c r="K72" i="5"/>
  <c r="O911" i="6"/>
  <c r="U911" i="6"/>
  <c r="V911" i="6"/>
  <c r="J912" i="6"/>
  <c r="K912" i="6"/>
  <c r="K792" i="5"/>
  <c r="S792" i="5"/>
  <c r="K552" i="5"/>
  <c r="S552" i="5"/>
  <c r="Q551" i="5"/>
  <c r="W551" i="5"/>
  <c r="X551" i="5"/>
  <c r="M552" i="5"/>
  <c r="Q792" i="6"/>
  <c r="L792" i="6"/>
  <c r="M792" i="6"/>
  <c r="G73" i="5"/>
  <c r="H73" i="5"/>
  <c r="L72" i="5"/>
  <c r="N72" i="5"/>
  <c r="Q912" i="6"/>
  <c r="L912" i="6"/>
  <c r="M912" i="6"/>
  <c r="G553" i="5"/>
  <c r="H553" i="5"/>
  <c r="L552" i="5"/>
  <c r="N552" i="5"/>
  <c r="G193" i="5"/>
  <c r="H193" i="5"/>
  <c r="L192" i="5"/>
  <c r="N192" i="5"/>
  <c r="L672" i="5"/>
  <c r="N672" i="5"/>
  <c r="G673" i="5"/>
  <c r="H673" i="5"/>
  <c r="L312" i="6"/>
  <c r="M312" i="6"/>
  <c r="Q312" i="6"/>
  <c r="Q672" i="6"/>
  <c r="L672" i="6"/>
  <c r="M672" i="6"/>
  <c r="L432" i="6"/>
  <c r="M432" i="6"/>
  <c r="Q432" i="6"/>
  <c r="L1032" i="6"/>
  <c r="M1032" i="6"/>
  <c r="Q1032" i="6"/>
  <c r="L192" i="6"/>
  <c r="M192" i="6"/>
  <c r="Q192" i="6"/>
  <c r="L72" i="6"/>
  <c r="M72" i="6"/>
  <c r="Q72" i="6"/>
  <c r="Q552" i="6"/>
  <c r="L552" i="6"/>
  <c r="M552" i="6"/>
  <c r="L792" i="5"/>
  <c r="N792" i="5"/>
  <c r="G793" i="5"/>
  <c r="H793" i="5"/>
  <c r="L912" i="5"/>
  <c r="N912" i="5"/>
  <c r="G913" i="5"/>
  <c r="H913" i="5"/>
  <c r="G1033" i="5"/>
  <c r="H1033" i="5"/>
  <c r="L1032" i="5"/>
  <c r="N1032" i="5"/>
  <c r="G1153" i="5"/>
  <c r="H1153" i="5"/>
  <c r="L1152" i="5"/>
  <c r="N1152" i="5"/>
  <c r="Q1152" i="6"/>
  <c r="L1152" i="6"/>
  <c r="M1152" i="6"/>
  <c r="L312" i="5"/>
  <c r="N312" i="5"/>
  <c r="G313" i="5"/>
  <c r="H313" i="5"/>
  <c r="G433" i="5"/>
  <c r="H433" i="5"/>
  <c r="L432" i="5"/>
  <c r="N432" i="5"/>
  <c r="N1152" i="6"/>
  <c r="R1152" i="6"/>
  <c r="P72" i="5"/>
  <c r="T72" i="5"/>
  <c r="U72" i="5"/>
  <c r="I793" i="5"/>
  <c r="J793" i="5"/>
  <c r="R793" i="5"/>
  <c r="N1032" i="6"/>
  <c r="R1032" i="6"/>
  <c r="S1032" i="6"/>
  <c r="P1152" i="5"/>
  <c r="T1152" i="5"/>
  <c r="U1152" i="5"/>
  <c r="R552" i="6"/>
  <c r="N552" i="6"/>
  <c r="S432" i="6"/>
  <c r="P192" i="5"/>
  <c r="T192" i="5"/>
  <c r="U192" i="5"/>
  <c r="R792" i="6"/>
  <c r="S792" i="6"/>
  <c r="N792" i="6"/>
  <c r="R432" i="6"/>
  <c r="N432" i="6"/>
  <c r="R193" i="5"/>
  <c r="I193" i="5"/>
  <c r="J193" i="5"/>
  <c r="S1152" i="6"/>
  <c r="I73" i="5"/>
  <c r="J73" i="5"/>
  <c r="R73" i="5"/>
  <c r="T552" i="5"/>
  <c r="U552" i="5"/>
  <c r="P552" i="5"/>
  <c r="T792" i="5"/>
  <c r="U792" i="5"/>
  <c r="P792" i="5"/>
  <c r="I1153" i="5"/>
  <c r="J1153" i="5"/>
  <c r="R1153" i="5"/>
  <c r="P432" i="5"/>
  <c r="T432" i="5"/>
  <c r="U432" i="5"/>
  <c r="P1032" i="5"/>
  <c r="T1032" i="5"/>
  <c r="U1032" i="5"/>
  <c r="I433" i="5"/>
  <c r="J433" i="5"/>
  <c r="R433" i="5"/>
  <c r="S672" i="6"/>
  <c r="R553" i="5"/>
  <c r="I553" i="5"/>
  <c r="J553" i="5"/>
  <c r="I1033" i="5"/>
  <c r="J1033" i="5"/>
  <c r="R1033" i="5"/>
  <c r="R72" i="6"/>
  <c r="S72" i="6"/>
  <c r="N72" i="6"/>
  <c r="I313" i="5"/>
  <c r="J313" i="5"/>
  <c r="R313" i="5"/>
  <c r="R913" i="5"/>
  <c r="I913" i="5"/>
  <c r="J913" i="5"/>
  <c r="S192" i="6"/>
  <c r="N912" i="6"/>
  <c r="R912" i="6"/>
  <c r="R673" i="5"/>
  <c r="I673" i="5"/>
  <c r="J673" i="5"/>
  <c r="T672" i="5"/>
  <c r="U672" i="5"/>
  <c r="P672" i="5"/>
  <c r="S552" i="6"/>
  <c r="N672" i="6"/>
  <c r="R672" i="6"/>
  <c r="P312" i="5"/>
  <c r="T312" i="5"/>
  <c r="U312" i="5"/>
  <c r="T912" i="5"/>
  <c r="U912" i="5"/>
  <c r="P912" i="5"/>
  <c r="R192" i="6"/>
  <c r="N192" i="6"/>
  <c r="N312" i="6"/>
  <c r="R312" i="6"/>
  <c r="S312" i="6"/>
  <c r="S912" i="6"/>
  <c r="S313" i="5"/>
  <c r="K313" i="5"/>
  <c r="M793" i="5"/>
  <c r="Q792" i="5"/>
  <c r="W792" i="5"/>
  <c r="X792" i="5"/>
  <c r="O1032" i="6"/>
  <c r="U1032" i="6"/>
  <c r="V1032" i="6"/>
  <c r="J1033" i="6"/>
  <c r="K1033" i="6"/>
  <c r="S73" i="5"/>
  <c r="K73" i="5"/>
  <c r="Q312" i="5"/>
  <c r="W312" i="5"/>
  <c r="X312" i="5"/>
  <c r="M313" i="5"/>
  <c r="O72" i="6"/>
  <c r="U72" i="6"/>
  <c r="V72" i="6"/>
  <c r="J73" i="6"/>
  <c r="K73" i="6"/>
  <c r="K433" i="5"/>
  <c r="S433" i="5"/>
  <c r="M193" i="5"/>
  <c r="Q192" i="5"/>
  <c r="W192" i="5"/>
  <c r="X192" i="5"/>
  <c r="S793" i="5"/>
  <c r="K793" i="5"/>
  <c r="O312" i="6"/>
  <c r="U312" i="6"/>
  <c r="V312" i="6"/>
  <c r="J313" i="6"/>
  <c r="K313" i="6"/>
  <c r="J673" i="6"/>
  <c r="K673" i="6"/>
  <c r="O672" i="6"/>
  <c r="U672" i="6"/>
  <c r="V672" i="6"/>
  <c r="Q1032" i="5"/>
  <c r="W1032" i="5"/>
  <c r="X1032" i="5"/>
  <c r="M1033" i="5"/>
  <c r="M553" i="5"/>
  <c r="Q552" i="5"/>
  <c r="W552" i="5"/>
  <c r="X552" i="5"/>
  <c r="O552" i="6"/>
  <c r="U552" i="6"/>
  <c r="V552" i="6"/>
  <c r="J553" i="6"/>
  <c r="K553" i="6"/>
  <c r="S673" i="5"/>
  <c r="K673" i="5"/>
  <c r="J913" i="6"/>
  <c r="K913" i="6"/>
  <c r="O912" i="6"/>
  <c r="U912" i="6"/>
  <c r="V912" i="6"/>
  <c r="S1033" i="5"/>
  <c r="K1033" i="5"/>
  <c r="O432" i="6"/>
  <c r="U432" i="6"/>
  <c r="V432" i="6"/>
  <c r="J433" i="6"/>
  <c r="K433" i="6"/>
  <c r="M73" i="5"/>
  <c r="Q72" i="5"/>
  <c r="W72" i="5"/>
  <c r="X72" i="5"/>
  <c r="S913" i="5"/>
  <c r="K913" i="5"/>
  <c r="K1153" i="5"/>
  <c r="S1153" i="5"/>
  <c r="S193" i="5"/>
  <c r="K193" i="5"/>
  <c r="O192" i="6"/>
  <c r="U192" i="6"/>
  <c r="V192" i="6"/>
  <c r="J193" i="6"/>
  <c r="K193" i="6"/>
  <c r="M673" i="5"/>
  <c r="Q672" i="5"/>
  <c r="W672" i="5"/>
  <c r="X672" i="5"/>
  <c r="K553" i="5"/>
  <c r="S553" i="5"/>
  <c r="M433" i="5"/>
  <c r="Q432" i="5"/>
  <c r="W432" i="5"/>
  <c r="X432" i="5"/>
  <c r="M913" i="5"/>
  <c r="Q912" i="5"/>
  <c r="W912" i="5"/>
  <c r="X912" i="5"/>
  <c r="J793" i="6"/>
  <c r="K793" i="6"/>
  <c r="O792" i="6"/>
  <c r="U792" i="6"/>
  <c r="V792" i="6"/>
  <c r="Q1152" i="5"/>
  <c r="W1152" i="5"/>
  <c r="X1152" i="5"/>
  <c r="M1153" i="5"/>
  <c r="J1153" i="6"/>
  <c r="K1153" i="6"/>
  <c r="O1152" i="6"/>
  <c r="U1152" i="6"/>
  <c r="V1152" i="6"/>
  <c r="L1153" i="5"/>
  <c r="N1153" i="5"/>
  <c r="G1154" i="5"/>
  <c r="H1154" i="5"/>
  <c r="G1034" i="5"/>
  <c r="H1034" i="5"/>
  <c r="L1033" i="5"/>
  <c r="N1033" i="5"/>
  <c r="Q313" i="6"/>
  <c r="L313" i="6"/>
  <c r="M313" i="6"/>
  <c r="G434" i="5"/>
  <c r="H434" i="5"/>
  <c r="L433" i="5"/>
  <c r="N433" i="5"/>
  <c r="L433" i="6"/>
  <c r="M433" i="6"/>
  <c r="Q433" i="6"/>
  <c r="L913" i="5"/>
  <c r="N913" i="5"/>
  <c r="G914" i="5"/>
  <c r="H914" i="5"/>
  <c r="L73" i="6"/>
  <c r="M73" i="6"/>
  <c r="Q73" i="6"/>
  <c r="L553" i="6"/>
  <c r="M553" i="6"/>
  <c r="Q553" i="6"/>
  <c r="Q673" i="6"/>
  <c r="L673" i="6"/>
  <c r="M673" i="6"/>
  <c r="L793" i="5"/>
  <c r="N793" i="5"/>
  <c r="G794" i="5"/>
  <c r="H794" i="5"/>
  <c r="L913" i="6"/>
  <c r="M913" i="6"/>
  <c r="Q913" i="6"/>
  <c r="G554" i="5"/>
  <c r="H554" i="5"/>
  <c r="L553" i="5"/>
  <c r="N553" i="5"/>
  <c r="L1153" i="6"/>
  <c r="M1153" i="6"/>
  <c r="Q1153" i="6"/>
  <c r="L193" i="6"/>
  <c r="M193" i="6"/>
  <c r="Q193" i="6"/>
  <c r="G194" i="5"/>
  <c r="H194" i="5"/>
  <c r="L193" i="5"/>
  <c r="N193" i="5"/>
  <c r="L313" i="5"/>
  <c r="N313" i="5"/>
  <c r="G314" i="5"/>
  <c r="H314" i="5"/>
  <c r="Q1033" i="6"/>
  <c r="L1033" i="6"/>
  <c r="M1033" i="6"/>
  <c r="L673" i="5"/>
  <c r="N673" i="5"/>
  <c r="G674" i="5"/>
  <c r="H674" i="5"/>
  <c r="L793" i="6"/>
  <c r="M793" i="6"/>
  <c r="Q793" i="6"/>
  <c r="G74" i="5"/>
  <c r="H74" i="5"/>
  <c r="L73" i="5"/>
  <c r="N73" i="5"/>
  <c r="R794" i="5"/>
  <c r="I794" i="5"/>
  <c r="J794" i="5"/>
  <c r="P1033" i="5"/>
  <c r="T1033" i="5"/>
  <c r="U1033" i="5"/>
  <c r="T793" i="5"/>
  <c r="U793" i="5"/>
  <c r="P793" i="5"/>
  <c r="R673" i="6"/>
  <c r="S673" i="6"/>
  <c r="N673" i="6"/>
  <c r="R1153" i="6"/>
  <c r="N1153" i="6"/>
  <c r="N433" i="6"/>
  <c r="R433" i="6"/>
  <c r="P1153" i="5"/>
  <c r="T1153" i="5"/>
  <c r="U1153" i="5"/>
  <c r="R674" i="5"/>
  <c r="I674" i="5"/>
  <c r="J674" i="5"/>
  <c r="N193" i="6"/>
  <c r="R193" i="6"/>
  <c r="I1034" i="5"/>
  <c r="J1034" i="5"/>
  <c r="R1034" i="5"/>
  <c r="S433" i="6"/>
  <c r="I314" i="5"/>
  <c r="J314" i="5"/>
  <c r="R314" i="5"/>
  <c r="I74" i="5"/>
  <c r="J74" i="5"/>
  <c r="R74" i="5"/>
  <c r="R553" i="6"/>
  <c r="N553" i="6"/>
  <c r="I434" i="5"/>
  <c r="J434" i="5"/>
  <c r="R434" i="5"/>
  <c r="R914" i="5"/>
  <c r="I914" i="5"/>
  <c r="J914" i="5"/>
  <c r="T673" i="5"/>
  <c r="U673" i="5"/>
  <c r="P673" i="5"/>
  <c r="N1033" i="6"/>
  <c r="R1033" i="6"/>
  <c r="I1154" i="5"/>
  <c r="J1154" i="5"/>
  <c r="R1154" i="5"/>
  <c r="P73" i="5"/>
  <c r="T73" i="5"/>
  <c r="U73" i="5"/>
  <c r="S553" i="6"/>
  <c r="T313" i="5"/>
  <c r="U313" i="5"/>
  <c r="P313" i="5"/>
  <c r="P193" i="5"/>
  <c r="T193" i="5"/>
  <c r="U193" i="5"/>
  <c r="S913" i="6"/>
  <c r="S73" i="6"/>
  <c r="N313" i="6"/>
  <c r="R313" i="6"/>
  <c r="S193" i="6"/>
  <c r="T913" i="5"/>
  <c r="U913" i="5"/>
  <c r="P913" i="5"/>
  <c r="S1153" i="6"/>
  <c r="S1033" i="6"/>
  <c r="P553" i="5"/>
  <c r="T553" i="5"/>
  <c r="U553" i="5"/>
  <c r="T433" i="5"/>
  <c r="U433" i="5"/>
  <c r="P433" i="5"/>
  <c r="R554" i="5"/>
  <c r="I554" i="5"/>
  <c r="J554" i="5"/>
  <c r="R793" i="6"/>
  <c r="S793" i="6"/>
  <c r="N793" i="6"/>
  <c r="I194" i="5"/>
  <c r="J194" i="5"/>
  <c r="R194" i="5"/>
  <c r="R913" i="6"/>
  <c r="N913" i="6"/>
  <c r="N73" i="6"/>
  <c r="R73" i="6"/>
  <c r="S313" i="6"/>
  <c r="S194" i="5"/>
  <c r="K194" i="5"/>
  <c r="M554" i="5"/>
  <c r="Q553" i="5"/>
  <c r="W553" i="5"/>
  <c r="X553" i="5"/>
  <c r="S914" i="5"/>
  <c r="K914" i="5"/>
  <c r="J674" i="6"/>
  <c r="K674" i="6"/>
  <c r="O673" i="6"/>
  <c r="U673" i="6"/>
  <c r="V673" i="6"/>
  <c r="M74" i="5"/>
  <c r="Q73" i="5"/>
  <c r="W73" i="5"/>
  <c r="X73" i="5"/>
  <c r="S314" i="5"/>
  <c r="K314" i="5"/>
  <c r="M794" i="5"/>
  <c r="Q793" i="5"/>
  <c r="W793" i="5"/>
  <c r="X793" i="5"/>
  <c r="M914" i="5"/>
  <c r="Q913" i="5"/>
  <c r="W913" i="5"/>
  <c r="X913" i="5"/>
  <c r="S434" i="5"/>
  <c r="K434" i="5"/>
  <c r="J794" i="6"/>
  <c r="K794" i="6"/>
  <c r="O793" i="6"/>
  <c r="U793" i="6"/>
  <c r="V793" i="6"/>
  <c r="K1034" i="5"/>
  <c r="S1034" i="5"/>
  <c r="O433" i="6"/>
  <c r="U433" i="6"/>
  <c r="V433" i="6"/>
  <c r="J434" i="6"/>
  <c r="K434" i="6"/>
  <c r="S554" i="5"/>
  <c r="K554" i="5"/>
  <c r="O553" i="6"/>
  <c r="U553" i="6"/>
  <c r="V553" i="6"/>
  <c r="J554" i="6"/>
  <c r="K554" i="6"/>
  <c r="J914" i="6"/>
  <c r="K914" i="6"/>
  <c r="O913" i="6"/>
  <c r="U913" i="6"/>
  <c r="V913" i="6"/>
  <c r="M434" i="5"/>
  <c r="Q433" i="5"/>
  <c r="W433" i="5"/>
  <c r="X433" i="5"/>
  <c r="Q313" i="5"/>
  <c r="W313" i="5"/>
  <c r="X313" i="5"/>
  <c r="M314" i="5"/>
  <c r="J1034" i="6"/>
  <c r="K1034" i="6"/>
  <c r="O1033" i="6"/>
  <c r="U1033" i="6"/>
  <c r="V1033" i="6"/>
  <c r="Q1033" i="5"/>
  <c r="W1033" i="5"/>
  <c r="X1033" i="5"/>
  <c r="M1034" i="5"/>
  <c r="Q1153" i="5"/>
  <c r="W1153" i="5"/>
  <c r="X1153" i="5"/>
  <c r="M1154" i="5"/>
  <c r="M194" i="5"/>
  <c r="Q193" i="5"/>
  <c r="W193" i="5"/>
  <c r="X193" i="5"/>
  <c r="O73" i="6"/>
  <c r="U73" i="6"/>
  <c r="V73" i="6"/>
  <c r="J74" i="6"/>
  <c r="K74" i="6"/>
  <c r="M674" i="5"/>
  <c r="Q673" i="5"/>
  <c r="W673" i="5"/>
  <c r="X673" i="5"/>
  <c r="O193" i="6"/>
  <c r="U193" i="6"/>
  <c r="V193" i="6"/>
  <c r="J194" i="6"/>
  <c r="K194" i="6"/>
  <c r="J1154" i="6"/>
  <c r="K1154" i="6"/>
  <c r="O1153" i="6"/>
  <c r="U1153" i="6"/>
  <c r="V1153" i="6"/>
  <c r="K794" i="5"/>
  <c r="S794" i="5"/>
  <c r="K1154" i="5"/>
  <c r="S1154" i="5"/>
  <c r="J314" i="6"/>
  <c r="K314" i="6"/>
  <c r="O313" i="6"/>
  <c r="U313" i="6"/>
  <c r="V313" i="6"/>
  <c r="S74" i="5"/>
  <c r="K74" i="5"/>
  <c r="K674" i="5"/>
  <c r="S674" i="5"/>
  <c r="L314" i="5"/>
  <c r="N314" i="5"/>
  <c r="G315" i="5"/>
  <c r="H315" i="5"/>
  <c r="Q314" i="6"/>
  <c r="L314" i="6"/>
  <c r="M314" i="6"/>
  <c r="L1154" i="6"/>
  <c r="M1154" i="6"/>
  <c r="Q1154" i="6"/>
  <c r="L794" i="6"/>
  <c r="M794" i="6"/>
  <c r="Q794" i="6"/>
  <c r="L1154" i="5"/>
  <c r="N1154" i="5"/>
  <c r="G1155" i="5"/>
  <c r="H1155" i="5"/>
  <c r="L434" i="6"/>
  <c r="M434" i="6"/>
  <c r="Q434" i="6"/>
  <c r="G555" i="5"/>
  <c r="H555" i="5"/>
  <c r="L554" i="5"/>
  <c r="N554" i="5"/>
  <c r="L914" i="5"/>
  <c r="N914" i="5"/>
  <c r="G915" i="5"/>
  <c r="H915" i="5"/>
  <c r="L674" i="5"/>
  <c r="N674" i="5"/>
  <c r="G675" i="5"/>
  <c r="H675" i="5"/>
  <c r="G75" i="5"/>
  <c r="H75" i="5"/>
  <c r="L74" i="5"/>
  <c r="N74" i="5"/>
  <c r="L914" i="6"/>
  <c r="M914" i="6"/>
  <c r="Q914" i="6"/>
  <c r="L794" i="5"/>
  <c r="N794" i="5"/>
  <c r="G795" i="5"/>
  <c r="H795" i="5"/>
  <c r="L554" i="6"/>
  <c r="M554" i="6"/>
  <c r="Q554" i="6"/>
  <c r="G1035" i="5"/>
  <c r="H1035" i="5"/>
  <c r="L1034" i="5"/>
  <c r="N1034" i="5"/>
  <c r="G195" i="5"/>
  <c r="H195" i="5"/>
  <c r="L194" i="5"/>
  <c r="N194" i="5"/>
  <c r="Q194" i="6"/>
  <c r="L194" i="6"/>
  <c r="M194" i="6"/>
  <c r="G435" i="5"/>
  <c r="H435" i="5"/>
  <c r="L434" i="5"/>
  <c r="N434" i="5"/>
  <c r="Q74" i="6"/>
  <c r="L74" i="6"/>
  <c r="M74" i="6"/>
  <c r="Q1034" i="6"/>
  <c r="L1034" i="6"/>
  <c r="M1034" i="6"/>
  <c r="L674" i="6"/>
  <c r="M674" i="6"/>
  <c r="Q674" i="6"/>
  <c r="N74" i="6"/>
  <c r="R74" i="6"/>
  <c r="N434" i="6"/>
  <c r="R434" i="6"/>
  <c r="T434" i="5"/>
  <c r="U434" i="5"/>
  <c r="P434" i="5"/>
  <c r="R675" i="5"/>
  <c r="I675" i="5"/>
  <c r="J675" i="5"/>
  <c r="I1155" i="5"/>
  <c r="J1155" i="5"/>
  <c r="R1155" i="5"/>
  <c r="I315" i="5"/>
  <c r="J315" i="5"/>
  <c r="R315" i="5"/>
  <c r="P1034" i="5"/>
  <c r="T1034" i="5"/>
  <c r="U1034" i="5"/>
  <c r="I1035" i="5"/>
  <c r="J1035" i="5"/>
  <c r="R1035" i="5"/>
  <c r="R75" i="5"/>
  <c r="I75" i="5"/>
  <c r="J75" i="5"/>
  <c r="R435" i="5"/>
  <c r="I435" i="5"/>
  <c r="J435" i="5"/>
  <c r="N554" i="6"/>
  <c r="R554" i="6"/>
  <c r="S554" i="6"/>
  <c r="T674" i="5"/>
  <c r="U674" i="5"/>
  <c r="P674" i="5"/>
  <c r="T1154" i="5"/>
  <c r="U1154" i="5"/>
  <c r="P1154" i="5"/>
  <c r="T314" i="5"/>
  <c r="U314" i="5"/>
  <c r="P314" i="5"/>
  <c r="N194" i="6"/>
  <c r="R194" i="6"/>
  <c r="S194" i="6"/>
  <c r="I795" i="5"/>
  <c r="J795" i="5"/>
  <c r="R795" i="5"/>
  <c r="I915" i="5"/>
  <c r="J915" i="5"/>
  <c r="R915" i="5"/>
  <c r="S794" i="6"/>
  <c r="S74" i="6"/>
  <c r="S674" i="6"/>
  <c r="R674" i="6"/>
  <c r="N674" i="6"/>
  <c r="T794" i="5"/>
  <c r="U794" i="5"/>
  <c r="P794" i="5"/>
  <c r="T914" i="5"/>
  <c r="U914" i="5"/>
  <c r="P914" i="5"/>
  <c r="N794" i="6"/>
  <c r="R794" i="6"/>
  <c r="R1034" i="6"/>
  <c r="S1034" i="6"/>
  <c r="N1034" i="6"/>
  <c r="P194" i="5"/>
  <c r="T194" i="5"/>
  <c r="U194" i="5"/>
  <c r="S914" i="6"/>
  <c r="T554" i="5"/>
  <c r="U554" i="5"/>
  <c r="P554" i="5"/>
  <c r="I195" i="5"/>
  <c r="J195" i="5"/>
  <c r="R195" i="5"/>
  <c r="R914" i="6"/>
  <c r="N914" i="6"/>
  <c r="R555" i="5"/>
  <c r="I555" i="5"/>
  <c r="J555" i="5"/>
  <c r="N1154" i="6"/>
  <c r="R1154" i="6"/>
  <c r="S1154" i="6"/>
  <c r="P74" i="5"/>
  <c r="T74" i="5"/>
  <c r="U74" i="5"/>
  <c r="S434" i="6"/>
  <c r="R314" i="6"/>
  <c r="S314" i="6"/>
  <c r="N314" i="6"/>
  <c r="S795" i="5"/>
  <c r="K795" i="5"/>
  <c r="J1155" i="6"/>
  <c r="K1155" i="6"/>
  <c r="O1154" i="6"/>
  <c r="U1154" i="6"/>
  <c r="V1154" i="6"/>
  <c r="K555" i="5"/>
  <c r="S555" i="5"/>
  <c r="J195" i="6"/>
  <c r="K195" i="6"/>
  <c r="O194" i="6"/>
  <c r="U194" i="6"/>
  <c r="V194" i="6"/>
  <c r="O554" i="6"/>
  <c r="U554" i="6"/>
  <c r="V554" i="6"/>
  <c r="J555" i="6"/>
  <c r="K555" i="6"/>
  <c r="Q1034" i="5"/>
  <c r="W1034" i="5"/>
  <c r="X1034" i="5"/>
  <c r="M1035" i="5"/>
  <c r="M435" i="5"/>
  <c r="Q434" i="5"/>
  <c r="W434" i="5"/>
  <c r="X434" i="5"/>
  <c r="J315" i="6"/>
  <c r="K315" i="6"/>
  <c r="O314" i="6"/>
  <c r="U314" i="6"/>
  <c r="V314" i="6"/>
  <c r="M915" i="5"/>
  <c r="Q914" i="5"/>
  <c r="W914" i="5"/>
  <c r="X914" i="5"/>
  <c r="Q314" i="5"/>
  <c r="W314" i="5"/>
  <c r="X314" i="5"/>
  <c r="M315" i="5"/>
  <c r="K435" i="5"/>
  <c r="S435" i="5"/>
  <c r="S315" i="5"/>
  <c r="K315" i="5"/>
  <c r="Q1154" i="5"/>
  <c r="W1154" i="5"/>
  <c r="X1154" i="5"/>
  <c r="M1155" i="5"/>
  <c r="S75" i="5"/>
  <c r="K75" i="5"/>
  <c r="O674" i="6"/>
  <c r="U674" i="6"/>
  <c r="V674" i="6"/>
  <c r="J675" i="6"/>
  <c r="K675" i="6"/>
  <c r="O794" i="6"/>
  <c r="U794" i="6"/>
  <c r="V794" i="6"/>
  <c r="J795" i="6"/>
  <c r="K795" i="6"/>
  <c r="M795" i="5"/>
  <c r="Q794" i="5"/>
  <c r="W794" i="5"/>
  <c r="X794" i="5"/>
  <c r="M195" i="5"/>
  <c r="Q194" i="5"/>
  <c r="W194" i="5"/>
  <c r="X194" i="5"/>
  <c r="S915" i="5"/>
  <c r="K915" i="5"/>
  <c r="K1155" i="5"/>
  <c r="S1155" i="5"/>
  <c r="J435" i="6"/>
  <c r="K435" i="6"/>
  <c r="O434" i="6"/>
  <c r="U434" i="6"/>
  <c r="V434" i="6"/>
  <c r="M555" i="5"/>
  <c r="Q554" i="5"/>
  <c r="W554" i="5"/>
  <c r="X554" i="5"/>
  <c r="O914" i="6"/>
  <c r="U914" i="6"/>
  <c r="V914" i="6"/>
  <c r="J915" i="6"/>
  <c r="K915" i="6"/>
  <c r="M75" i="5"/>
  <c r="Q74" i="5"/>
  <c r="W74" i="5"/>
  <c r="X74" i="5"/>
  <c r="S195" i="5"/>
  <c r="K195" i="5"/>
  <c r="J1035" i="6"/>
  <c r="K1035" i="6"/>
  <c r="O1034" i="6"/>
  <c r="U1034" i="6"/>
  <c r="V1034" i="6"/>
  <c r="M675" i="5"/>
  <c r="Q674" i="5"/>
  <c r="W674" i="5"/>
  <c r="X674" i="5"/>
  <c r="S675" i="5"/>
  <c r="K675" i="5"/>
  <c r="S1035" i="5"/>
  <c r="K1035" i="5"/>
  <c r="J75" i="6"/>
  <c r="K75" i="6"/>
  <c r="O74" i="6"/>
  <c r="U74" i="6"/>
  <c r="V74" i="6"/>
  <c r="G76" i="5"/>
  <c r="H76" i="5"/>
  <c r="L75" i="5"/>
  <c r="N75" i="5"/>
  <c r="L315" i="6"/>
  <c r="M315" i="6"/>
  <c r="Q315" i="6"/>
  <c r="Q195" i="6"/>
  <c r="L195" i="6"/>
  <c r="M195" i="6"/>
  <c r="G436" i="5"/>
  <c r="H436" i="5"/>
  <c r="L435" i="5"/>
  <c r="N435" i="5"/>
  <c r="G1156" i="5"/>
  <c r="H1156" i="5"/>
  <c r="L1155" i="5"/>
  <c r="N1155" i="5"/>
  <c r="Q75" i="6"/>
  <c r="L75" i="6"/>
  <c r="M75" i="6"/>
  <c r="Q915" i="6"/>
  <c r="L915" i="6"/>
  <c r="M915" i="6"/>
  <c r="G556" i="5"/>
  <c r="H556" i="5"/>
  <c r="L555" i="5"/>
  <c r="N555" i="5"/>
  <c r="Q435" i="6"/>
  <c r="L435" i="6"/>
  <c r="M435" i="6"/>
  <c r="Q795" i="6"/>
  <c r="L795" i="6"/>
  <c r="M795" i="6"/>
  <c r="G1036" i="5"/>
  <c r="H1036" i="5"/>
  <c r="L1035" i="5"/>
  <c r="N1035" i="5"/>
  <c r="Q1155" i="6"/>
  <c r="L1155" i="6"/>
  <c r="M1155" i="6"/>
  <c r="L1035" i="6"/>
  <c r="M1035" i="6"/>
  <c r="Q1035" i="6"/>
  <c r="L675" i="6"/>
  <c r="M675" i="6"/>
  <c r="Q675" i="6"/>
  <c r="G316" i="5"/>
  <c r="H316" i="5"/>
  <c r="L315" i="5"/>
  <c r="N315" i="5"/>
  <c r="Q555" i="6"/>
  <c r="L555" i="6"/>
  <c r="M555" i="6"/>
  <c r="L795" i="5"/>
  <c r="N795" i="5"/>
  <c r="G796" i="5"/>
  <c r="H796" i="5"/>
  <c r="L915" i="5"/>
  <c r="N915" i="5"/>
  <c r="G916" i="5"/>
  <c r="H916" i="5"/>
  <c r="L675" i="5"/>
  <c r="N675" i="5"/>
  <c r="G676" i="5"/>
  <c r="H676" i="5"/>
  <c r="G196" i="5"/>
  <c r="H196" i="5"/>
  <c r="L195" i="5"/>
  <c r="N195" i="5"/>
  <c r="T795" i="5"/>
  <c r="U795" i="5"/>
  <c r="P795" i="5"/>
  <c r="R1035" i="6"/>
  <c r="S1035" i="6"/>
  <c r="N1035" i="6"/>
  <c r="I1156" i="5"/>
  <c r="J1156" i="5"/>
  <c r="R1156" i="5"/>
  <c r="R76" i="5"/>
  <c r="I76" i="5"/>
  <c r="J76" i="5"/>
  <c r="N1155" i="6"/>
  <c r="R1155" i="6"/>
  <c r="T555" i="5"/>
  <c r="U555" i="5"/>
  <c r="P555" i="5"/>
  <c r="P435" i="5"/>
  <c r="T435" i="5"/>
  <c r="U435" i="5"/>
  <c r="R555" i="6"/>
  <c r="N555" i="6"/>
  <c r="R196" i="5"/>
  <c r="I196" i="5"/>
  <c r="J196" i="5"/>
  <c r="S555" i="6"/>
  <c r="S1155" i="6"/>
  <c r="I556" i="5"/>
  <c r="J556" i="5"/>
  <c r="R556" i="5"/>
  <c r="I436" i="5"/>
  <c r="J436" i="5"/>
  <c r="R436" i="5"/>
  <c r="N435" i="6"/>
  <c r="R435" i="6"/>
  <c r="S435" i="6"/>
  <c r="R195" i="6"/>
  <c r="N195" i="6"/>
  <c r="T1155" i="5"/>
  <c r="U1155" i="5"/>
  <c r="P1155" i="5"/>
  <c r="P195" i="5"/>
  <c r="T195" i="5"/>
  <c r="U195" i="5"/>
  <c r="T315" i="5"/>
  <c r="U315" i="5"/>
  <c r="P315" i="5"/>
  <c r="P1035" i="5"/>
  <c r="T1035" i="5"/>
  <c r="U1035" i="5"/>
  <c r="T675" i="5"/>
  <c r="U675" i="5"/>
  <c r="P675" i="5"/>
  <c r="R316" i="5"/>
  <c r="I316" i="5"/>
  <c r="J316" i="5"/>
  <c r="I1036" i="5"/>
  <c r="J1036" i="5"/>
  <c r="R1036" i="5"/>
  <c r="S195" i="6"/>
  <c r="P75" i="5"/>
  <c r="T75" i="5"/>
  <c r="U75" i="5"/>
  <c r="I916" i="5"/>
  <c r="J916" i="5"/>
  <c r="R916" i="5"/>
  <c r="R75" i="6"/>
  <c r="N75" i="6"/>
  <c r="R796" i="5"/>
  <c r="I796" i="5"/>
  <c r="J796" i="5"/>
  <c r="R676" i="5"/>
  <c r="I676" i="5"/>
  <c r="J676" i="5"/>
  <c r="N915" i="6"/>
  <c r="R915" i="6"/>
  <c r="S915" i="6"/>
  <c r="S675" i="6"/>
  <c r="N795" i="6"/>
  <c r="R795" i="6"/>
  <c r="T915" i="5"/>
  <c r="U915" i="5"/>
  <c r="P915" i="5"/>
  <c r="N675" i="6"/>
  <c r="R675" i="6"/>
  <c r="S795" i="6"/>
  <c r="S75" i="6"/>
  <c r="R315" i="6"/>
  <c r="S315" i="6"/>
  <c r="N315" i="6"/>
  <c r="M916" i="5"/>
  <c r="Q915" i="5"/>
  <c r="W915" i="5"/>
  <c r="X915" i="5"/>
  <c r="M676" i="5"/>
  <c r="Q675" i="5"/>
  <c r="W675" i="5"/>
  <c r="X675" i="5"/>
  <c r="K556" i="5"/>
  <c r="S556" i="5"/>
  <c r="M436" i="5"/>
  <c r="Q435" i="5"/>
  <c r="W435" i="5"/>
  <c r="X435" i="5"/>
  <c r="J196" i="6"/>
  <c r="K196" i="6"/>
  <c r="O195" i="6"/>
  <c r="U195" i="6"/>
  <c r="V195" i="6"/>
  <c r="Q555" i="5"/>
  <c r="W555" i="5"/>
  <c r="X555" i="5"/>
  <c r="M556" i="5"/>
  <c r="S1156" i="5"/>
  <c r="K1156" i="5"/>
  <c r="O315" i="6"/>
  <c r="U315" i="6"/>
  <c r="V315" i="6"/>
  <c r="J316" i="6"/>
  <c r="K316" i="6"/>
  <c r="O795" i="6"/>
  <c r="U795" i="6"/>
  <c r="V795" i="6"/>
  <c r="J796" i="6"/>
  <c r="K796" i="6"/>
  <c r="Q1035" i="5"/>
  <c r="W1035" i="5"/>
  <c r="X1035" i="5"/>
  <c r="M1036" i="5"/>
  <c r="J1036" i="6"/>
  <c r="K1036" i="6"/>
  <c r="O1035" i="6"/>
  <c r="U1035" i="6"/>
  <c r="V1035" i="6"/>
  <c r="S196" i="5"/>
  <c r="K196" i="5"/>
  <c r="M76" i="5"/>
  <c r="Q75" i="5"/>
  <c r="W75" i="5"/>
  <c r="X75" i="5"/>
  <c r="Q315" i="5"/>
  <c r="W315" i="5"/>
  <c r="X315" i="5"/>
  <c r="M316" i="5"/>
  <c r="M796" i="5"/>
  <c r="Q795" i="5"/>
  <c r="W795" i="5"/>
  <c r="X795" i="5"/>
  <c r="Q1155" i="5"/>
  <c r="W1155" i="5"/>
  <c r="X1155" i="5"/>
  <c r="M1156" i="5"/>
  <c r="J76" i="6"/>
  <c r="K76" i="6"/>
  <c r="O75" i="6"/>
  <c r="U75" i="6"/>
  <c r="V75" i="6"/>
  <c r="S316" i="5"/>
  <c r="K316" i="5"/>
  <c r="J556" i="6"/>
  <c r="K556" i="6"/>
  <c r="O555" i="6"/>
  <c r="U555" i="6"/>
  <c r="V555" i="6"/>
  <c r="S76" i="5"/>
  <c r="K76" i="5"/>
  <c r="S796" i="5"/>
  <c r="K796" i="5"/>
  <c r="S1036" i="5"/>
  <c r="K1036" i="5"/>
  <c r="J436" i="6"/>
  <c r="K436" i="6"/>
  <c r="O435" i="6"/>
  <c r="U435" i="6"/>
  <c r="V435" i="6"/>
  <c r="O1155" i="6"/>
  <c r="U1155" i="6"/>
  <c r="V1155" i="6"/>
  <c r="J1156" i="6"/>
  <c r="K1156" i="6"/>
  <c r="O915" i="6"/>
  <c r="U915" i="6"/>
  <c r="V915" i="6"/>
  <c r="J916" i="6"/>
  <c r="K916" i="6"/>
  <c r="J676" i="6"/>
  <c r="K676" i="6"/>
  <c r="O675" i="6"/>
  <c r="U675" i="6"/>
  <c r="V675" i="6"/>
  <c r="K676" i="5"/>
  <c r="S676" i="5"/>
  <c r="S916" i="5"/>
  <c r="K916" i="5"/>
  <c r="M196" i="5"/>
  <c r="Q195" i="5"/>
  <c r="W195" i="5"/>
  <c r="X195" i="5"/>
  <c r="K436" i="5"/>
  <c r="S436" i="5"/>
  <c r="G1157" i="5"/>
  <c r="H1157" i="5"/>
  <c r="L1156" i="5"/>
  <c r="N1156" i="5"/>
  <c r="L796" i="5"/>
  <c r="N796" i="5"/>
  <c r="G797" i="5"/>
  <c r="H797" i="5"/>
  <c r="G557" i="5"/>
  <c r="H557" i="5"/>
  <c r="L556" i="5"/>
  <c r="N556" i="5"/>
  <c r="L316" i="5"/>
  <c r="N316" i="5"/>
  <c r="G317" i="5"/>
  <c r="H317" i="5"/>
  <c r="L76" i="6"/>
  <c r="M76" i="6"/>
  <c r="Q76" i="6"/>
  <c r="G437" i="5"/>
  <c r="H437" i="5"/>
  <c r="L436" i="5"/>
  <c r="N436" i="5"/>
  <c r="G1037" i="5"/>
  <c r="H1037" i="5"/>
  <c r="L1036" i="5"/>
  <c r="N1036" i="5"/>
  <c r="Q1156" i="6"/>
  <c r="L1156" i="6"/>
  <c r="M1156" i="6"/>
  <c r="L1036" i="6"/>
  <c r="M1036" i="6"/>
  <c r="Q1036" i="6"/>
  <c r="L676" i="5"/>
  <c r="N676" i="5"/>
  <c r="G677" i="5"/>
  <c r="H677" i="5"/>
  <c r="G77" i="5"/>
  <c r="H77" i="5"/>
  <c r="L76" i="5"/>
  <c r="N76" i="5"/>
  <c r="L436" i="6"/>
  <c r="M436" i="6"/>
  <c r="Q436" i="6"/>
  <c r="L796" i="6"/>
  <c r="M796" i="6"/>
  <c r="Q796" i="6"/>
  <c r="L676" i="6"/>
  <c r="M676" i="6"/>
  <c r="Q676" i="6"/>
  <c r="L556" i="6"/>
  <c r="M556" i="6"/>
  <c r="Q556" i="6"/>
  <c r="G197" i="5"/>
  <c r="H197" i="5"/>
  <c r="L196" i="5"/>
  <c r="N196" i="5"/>
  <c r="L316" i="6"/>
  <c r="M316" i="6"/>
  <c r="Q316" i="6"/>
  <c r="L196" i="6"/>
  <c r="M196" i="6"/>
  <c r="Q196" i="6"/>
  <c r="L916" i="5"/>
  <c r="N916" i="5"/>
  <c r="G917" i="5"/>
  <c r="H917" i="5"/>
  <c r="Q916" i="6"/>
  <c r="L916" i="6"/>
  <c r="M916" i="6"/>
  <c r="R1156" i="6"/>
  <c r="N1156" i="6"/>
  <c r="I317" i="5"/>
  <c r="J317" i="5"/>
  <c r="R317" i="5"/>
  <c r="N916" i="6"/>
  <c r="R916" i="6"/>
  <c r="N436" i="6"/>
  <c r="R436" i="6"/>
  <c r="S436" i="6"/>
  <c r="S1156" i="6"/>
  <c r="P316" i="5"/>
  <c r="T316" i="5"/>
  <c r="U316" i="5"/>
  <c r="I1157" i="5"/>
  <c r="J1157" i="5"/>
  <c r="R1157" i="5"/>
  <c r="R197" i="5"/>
  <c r="I197" i="5"/>
  <c r="J197" i="5"/>
  <c r="S556" i="6"/>
  <c r="P76" i="5"/>
  <c r="T76" i="5"/>
  <c r="U76" i="5"/>
  <c r="P1036" i="5"/>
  <c r="T1036" i="5"/>
  <c r="U1036" i="5"/>
  <c r="P556" i="5"/>
  <c r="T556" i="5"/>
  <c r="U556" i="5"/>
  <c r="N1036" i="6"/>
  <c r="R1036" i="6"/>
  <c r="S1036" i="6"/>
  <c r="I917" i="5"/>
  <c r="J917" i="5"/>
  <c r="R917" i="5"/>
  <c r="I77" i="5"/>
  <c r="J77" i="5"/>
  <c r="R77" i="5"/>
  <c r="I1037" i="5"/>
  <c r="J1037" i="5"/>
  <c r="R1037" i="5"/>
  <c r="R557" i="5"/>
  <c r="I557" i="5"/>
  <c r="J557" i="5"/>
  <c r="N316" i="6"/>
  <c r="R316" i="6"/>
  <c r="S316" i="6"/>
  <c r="S916" i="6"/>
  <c r="T916" i="5"/>
  <c r="U916" i="5"/>
  <c r="P916" i="5"/>
  <c r="R677" i="5"/>
  <c r="I677" i="5"/>
  <c r="J677" i="5"/>
  <c r="P436" i="5"/>
  <c r="T436" i="5"/>
  <c r="U436" i="5"/>
  <c r="R797" i="5"/>
  <c r="I797" i="5"/>
  <c r="J797" i="5"/>
  <c r="R76" i="6"/>
  <c r="N76" i="6"/>
  <c r="R196" i="6"/>
  <c r="S196" i="6"/>
  <c r="N196" i="6"/>
  <c r="T676" i="5"/>
  <c r="U676" i="5"/>
  <c r="P676" i="5"/>
  <c r="T796" i="5"/>
  <c r="U796" i="5"/>
  <c r="P796" i="5"/>
  <c r="N796" i="6"/>
  <c r="R796" i="6"/>
  <c r="S796" i="6"/>
  <c r="P196" i="5"/>
  <c r="T196" i="5"/>
  <c r="U196" i="5"/>
  <c r="R556" i="6"/>
  <c r="N556" i="6"/>
  <c r="N676" i="6"/>
  <c r="R676" i="6"/>
  <c r="S676" i="6"/>
  <c r="I437" i="5"/>
  <c r="J437" i="5"/>
  <c r="R437" i="5"/>
  <c r="S76" i="6"/>
  <c r="P1156" i="5"/>
  <c r="T1156" i="5"/>
  <c r="U1156" i="5"/>
  <c r="S197" i="5"/>
  <c r="K197" i="5"/>
  <c r="J437" i="6"/>
  <c r="K437" i="6"/>
  <c r="O436" i="6"/>
  <c r="U436" i="6"/>
  <c r="V436" i="6"/>
  <c r="O196" i="6"/>
  <c r="U196" i="6"/>
  <c r="V196" i="6"/>
  <c r="J197" i="6"/>
  <c r="K197" i="6"/>
  <c r="S1037" i="5"/>
  <c r="K1037" i="5"/>
  <c r="Q1156" i="5"/>
  <c r="W1156" i="5"/>
  <c r="X1156" i="5"/>
  <c r="M1157" i="5"/>
  <c r="J677" i="6"/>
  <c r="K677" i="6"/>
  <c r="O676" i="6"/>
  <c r="U676" i="6"/>
  <c r="V676" i="6"/>
  <c r="J797" i="6"/>
  <c r="K797" i="6"/>
  <c r="O796" i="6"/>
  <c r="U796" i="6"/>
  <c r="V796" i="6"/>
  <c r="Q556" i="5"/>
  <c r="W556" i="5"/>
  <c r="X556" i="5"/>
  <c r="M557" i="5"/>
  <c r="J917" i="6"/>
  <c r="K917" i="6"/>
  <c r="O916" i="6"/>
  <c r="U916" i="6"/>
  <c r="V916" i="6"/>
  <c r="S677" i="5"/>
  <c r="K677" i="5"/>
  <c r="K1157" i="5"/>
  <c r="S1157" i="5"/>
  <c r="M917" i="5"/>
  <c r="Q916" i="5"/>
  <c r="W916" i="5"/>
  <c r="X916" i="5"/>
  <c r="M797" i="5"/>
  <c r="Q796" i="5"/>
  <c r="W796" i="5"/>
  <c r="X796" i="5"/>
  <c r="S317" i="5"/>
  <c r="K317" i="5"/>
  <c r="M197" i="5"/>
  <c r="Q196" i="5"/>
  <c r="W196" i="5"/>
  <c r="X196" i="5"/>
  <c r="J1037" i="6"/>
  <c r="K1037" i="6"/>
  <c r="O1036" i="6"/>
  <c r="U1036" i="6"/>
  <c r="V1036" i="6"/>
  <c r="S797" i="5"/>
  <c r="K797" i="5"/>
  <c r="S917" i="5"/>
  <c r="K917" i="5"/>
  <c r="Q316" i="5"/>
  <c r="W316" i="5"/>
  <c r="X316" i="5"/>
  <c r="M317" i="5"/>
  <c r="J1157" i="6"/>
  <c r="K1157" i="6"/>
  <c r="O1156" i="6"/>
  <c r="U1156" i="6"/>
  <c r="V1156" i="6"/>
  <c r="K437" i="5"/>
  <c r="S437" i="5"/>
  <c r="O76" i="6"/>
  <c r="U76" i="6"/>
  <c r="V76" i="6"/>
  <c r="J77" i="6"/>
  <c r="K77" i="6"/>
  <c r="S77" i="5"/>
  <c r="K77" i="5"/>
  <c r="Q1036" i="5"/>
  <c r="W1036" i="5"/>
  <c r="X1036" i="5"/>
  <c r="M1037" i="5"/>
  <c r="O556" i="6"/>
  <c r="U556" i="6"/>
  <c r="V556" i="6"/>
  <c r="J557" i="6"/>
  <c r="K557" i="6"/>
  <c r="M677" i="5"/>
  <c r="Q676" i="5"/>
  <c r="W676" i="5"/>
  <c r="X676" i="5"/>
  <c r="O316" i="6"/>
  <c r="U316" i="6"/>
  <c r="V316" i="6"/>
  <c r="J317" i="6"/>
  <c r="K317" i="6"/>
  <c r="Q436" i="5"/>
  <c r="W436" i="5"/>
  <c r="X436" i="5"/>
  <c r="M437" i="5"/>
  <c r="K557" i="5"/>
  <c r="S557" i="5"/>
  <c r="M77" i="5"/>
  <c r="Q76" i="5"/>
  <c r="W76" i="5"/>
  <c r="X76" i="5"/>
  <c r="Q317" i="6"/>
  <c r="L317" i="6"/>
  <c r="M317" i="6"/>
  <c r="Q797" i="6"/>
  <c r="L797" i="6"/>
  <c r="M797" i="6"/>
  <c r="L1037" i="6"/>
  <c r="M1037" i="6"/>
  <c r="Q1037" i="6"/>
  <c r="L917" i="6"/>
  <c r="M917" i="6"/>
  <c r="Q917" i="6"/>
  <c r="Q677" i="6"/>
  <c r="L677" i="6"/>
  <c r="M677" i="6"/>
  <c r="G78" i="5"/>
  <c r="H78" i="5"/>
  <c r="L77" i="5"/>
  <c r="N77" i="5"/>
  <c r="L77" i="6"/>
  <c r="M77" i="6"/>
  <c r="Q77" i="6"/>
  <c r="L917" i="5"/>
  <c r="N917" i="5"/>
  <c r="G918" i="5"/>
  <c r="H918" i="5"/>
  <c r="Q437" i="6"/>
  <c r="L437" i="6"/>
  <c r="M437" i="6"/>
  <c r="Q1157" i="6"/>
  <c r="L1157" i="6"/>
  <c r="M1157" i="6"/>
  <c r="G198" i="5"/>
  <c r="H198" i="5"/>
  <c r="L197" i="5"/>
  <c r="N197" i="5"/>
  <c r="G558" i="5"/>
  <c r="H558" i="5"/>
  <c r="L557" i="5"/>
  <c r="N557" i="5"/>
  <c r="L557" i="6"/>
  <c r="M557" i="6"/>
  <c r="Q557" i="6"/>
  <c r="L317" i="5"/>
  <c r="N317" i="5"/>
  <c r="G318" i="5"/>
  <c r="H318" i="5"/>
  <c r="G1038" i="5"/>
  <c r="H1038" i="5"/>
  <c r="L1037" i="5"/>
  <c r="N1037" i="5"/>
  <c r="G438" i="5"/>
  <c r="H438" i="5"/>
  <c r="L437" i="5"/>
  <c r="N437" i="5"/>
  <c r="L797" i="5"/>
  <c r="N797" i="5"/>
  <c r="G798" i="5"/>
  <c r="H798" i="5"/>
  <c r="L1157" i="5"/>
  <c r="N1157" i="5"/>
  <c r="G1158" i="5"/>
  <c r="H1158" i="5"/>
  <c r="L677" i="5"/>
  <c r="N677" i="5"/>
  <c r="G678" i="5"/>
  <c r="H678" i="5"/>
  <c r="L197" i="6"/>
  <c r="M197" i="6"/>
  <c r="Q197" i="6"/>
  <c r="I798" i="5"/>
  <c r="J798" i="5"/>
  <c r="R798" i="5"/>
  <c r="N437" i="6"/>
  <c r="R437" i="6"/>
  <c r="R677" i="6"/>
  <c r="N677" i="6"/>
  <c r="N317" i="6"/>
  <c r="R317" i="6"/>
  <c r="N557" i="6"/>
  <c r="R557" i="6"/>
  <c r="T797" i="5"/>
  <c r="U797" i="5"/>
  <c r="P797" i="5"/>
  <c r="R558" i="5"/>
  <c r="I558" i="5"/>
  <c r="J558" i="5"/>
  <c r="T917" i="5"/>
  <c r="U917" i="5"/>
  <c r="P917" i="5"/>
  <c r="R917" i="6"/>
  <c r="S917" i="6"/>
  <c r="N917" i="6"/>
  <c r="S677" i="6"/>
  <c r="T557" i="5"/>
  <c r="U557" i="5"/>
  <c r="P557" i="5"/>
  <c r="R678" i="5"/>
  <c r="I678" i="5"/>
  <c r="J678" i="5"/>
  <c r="P1037" i="5"/>
  <c r="T1037" i="5"/>
  <c r="U1037" i="5"/>
  <c r="P197" i="5"/>
  <c r="T197" i="5"/>
  <c r="U197" i="5"/>
  <c r="S1037" i="6"/>
  <c r="S317" i="6"/>
  <c r="T437" i="5"/>
  <c r="U437" i="5"/>
  <c r="P437" i="5"/>
  <c r="I438" i="5"/>
  <c r="J438" i="5"/>
  <c r="R438" i="5"/>
  <c r="I1038" i="5"/>
  <c r="J1038" i="5"/>
  <c r="R1038" i="5"/>
  <c r="I198" i="5"/>
  <c r="J198" i="5"/>
  <c r="R198" i="5"/>
  <c r="N77" i="6"/>
  <c r="R77" i="6"/>
  <c r="S77" i="6"/>
  <c r="R1037" i="6"/>
  <c r="N1037" i="6"/>
  <c r="S437" i="6"/>
  <c r="R918" i="5"/>
  <c r="I918" i="5"/>
  <c r="J918" i="5"/>
  <c r="R1157" i="6"/>
  <c r="S1157" i="6"/>
  <c r="N1157" i="6"/>
  <c r="P77" i="5"/>
  <c r="T77" i="5"/>
  <c r="U77" i="5"/>
  <c r="N797" i="6"/>
  <c r="R797" i="6"/>
  <c r="S557" i="6"/>
  <c r="N197" i="6"/>
  <c r="R197" i="6"/>
  <c r="S197" i="6"/>
  <c r="T677" i="5"/>
  <c r="U677" i="5"/>
  <c r="P677" i="5"/>
  <c r="I1158" i="5"/>
  <c r="J1158" i="5"/>
  <c r="R1158" i="5"/>
  <c r="I318" i="5"/>
  <c r="J318" i="5"/>
  <c r="R318" i="5"/>
  <c r="P1157" i="5"/>
  <c r="T1157" i="5"/>
  <c r="U1157" i="5"/>
  <c r="T317" i="5"/>
  <c r="U317" i="5"/>
  <c r="P317" i="5"/>
  <c r="I78" i="5"/>
  <c r="J78" i="5"/>
  <c r="R78" i="5"/>
  <c r="S797" i="6"/>
  <c r="S558" i="5"/>
  <c r="K558" i="5"/>
  <c r="Q1157" i="5"/>
  <c r="W1157" i="5"/>
  <c r="X1157" i="5"/>
  <c r="M1158" i="5"/>
  <c r="J318" i="6"/>
  <c r="K318" i="6"/>
  <c r="O317" i="6"/>
  <c r="U317" i="6"/>
  <c r="V317" i="6"/>
  <c r="J678" i="6"/>
  <c r="K678" i="6"/>
  <c r="O677" i="6"/>
  <c r="U677" i="6"/>
  <c r="V677" i="6"/>
  <c r="S198" i="5"/>
  <c r="K198" i="5"/>
  <c r="S318" i="5"/>
  <c r="K318" i="5"/>
  <c r="K1038" i="5"/>
  <c r="S1038" i="5"/>
  <c r="M798" i="5"/>
  <c r="Q797" i="5"/>
  <c r="W797" i="5"/>
  <c r="X797" i="5"/>
  <c r="S78" i="5"/>
  <c r="K78" i="5"/>
  <c r="J798" i="6"/>
  <c r="K798" i="6"/>
  <c r="O797" i="6"/>
  <c r="U797" i="6"/>
  <c r="V797" i="6"/>
  <c r="J1038" i="6"/>
  <c r="K1038" i="6"/>
  <c r="O1037" i="6"/>
  <c r="U1037" i="6"/>
  <c r="V1037" i="6"/>
  <c r="M198" i="5"/>
  <c r="Q197" i="5"/>
  <c r="W197" i="5"/>
  <c r="X197" i="5"/>
  <c r="J918" i="6"/>
  <c r="K918" i="6"/>
  <c r="O917" i="6"/>
  <c r="U917" i="6"/>
  <c r="V917" i="6"/>
  <c r="S918" i="5"/>
  <c r="K918" i="5"/>
  <c r="K1158" i="5"/>
  <c r="S1158" i="5"/>
  <c r="S438" i="5"/>
  <c r="K438" i="5"/>
  <c r="O437" i="6"/>
  <c r="U437" i="6"/>
  <c r="V437" i="6"/>
  <c r="J438" i="6"/>
  <c r="K438" i="6"/>
  <c r="O197" i="6"/>
  <c r="U197" i="6"/>
  <c r="V197" i="6"/>
  <c r="J198" i="6"/>
  <c r="K198" i="6"/>
  <c r="M558" i="5"/>
  <c r="Q557" i="5"/>
  <c r="W557" i="5"/>
  <c r="X557" i="5"/>
  <c r="M318" i="5"/>
  <c r="Q317" i="5"/>
  <c r="W317" i="5"/>
  <c r="X317" i="5"/>
  <c r="M678" i="5"/>
  <c r="Q677" i="5"/>
  <c r="W677" i="5"/>
  <c r="X677" i="5"/>
  <c r="M78" i="5"/>
  <c r="Q77" i="5"/>
  <c r="W77" i="5"/>
  <c r="X77" i="5"/>
  <c r="M438" i="5"/>
  <c r="Q437" i="5"/>
  <c r="W437" i="5"/>
  <c r="X437" i="5"/>
  <c r="Q1037" i="5"/>
  <c r="W1037" i="5"/>
  <c r="X1037" i="5"/>
  <c r="M1038" i="5"/>
  <c r="M918" i="5"/>
  <c r="Q917" i="5"/>
  <c r="W917" i="5"/>
  <c r="X917" i="5"/>
  <c r="J1158" i="6"/>
  <c r="K1158" i="6"/>
  <c r="O1157" i="6"/>
  <c r="U1157" i="6"/>
  <c r="V1157" i="6"/>
  <c r="O77" i="6"/>
  <c r="U77" i="6"/>
  <c r="V77" i="6"/>
  <c r="J78" i="6"/>
  <c r="K78" i="6"/>
  <c r="K678" i="5"/>
  <c r="S678" i="5"/>
  <c r="O557" i="6"/>
  <c r="U557" i="6"/>
  <c r="V557" i="6"/>
  <c r="J558" i="6"/>
  <c r="K558" i="6"/>
  <c r="S798" i="5"/>
  <c r="K798" i="5"/>
  <c r="Q78" i="6"/>
  <c r="L78" i="6"/>
  <c r="M78" i="6"/>
  <c r="G439" i="5"/>
  <c r="H439" i="5"/>
  <c r="L438" i="5"/>
  <c r="N438" i="5"/>
  <c r="G79" i="5"/>
  <c r="H79" i="5"/>
  <c r="L78" i="5"/>
  <c r="N78" i="5"/>
  <c r="G199" i="5"/>
  <c r="H199" i="5"/>
  <c r="L198" i="5"/>
  <c r="N198" i="5"/>
  <c r="Q318" i="6"/>
  <c r="L318" i="6"/>
  <c r="M318" i="6"/>
  <c r="L1158" i="5"/>
  <c r="N1158" i="5"/>
  <c r="G1159" i="5"/>
  <c r="H1159" i="5"/>
  <c r="L678" i="6"/>
  <c r="M678" i="6"/>
  <c r="Q678" i="6"/>
  <c r="L798" i="5"/>
  <c r="N798" i="5"/>
  <c r="G799" i="5"/>
  <c r="H799" i="5"/>
  <c r="L1158" i="6"/>
  <c r="M1158" i="6"/>
  <c r="Q1158" i="6"/>
  <c r="Q558" i="6"/>
  <c r="L558" i="6"/>
  <c r="M558" i="6"/>
  <c r="Q198" i="6"/>
  <c r="L198" i="6"/>
  <c r="M198" i="6"/>
  <c r="L918" i="5"/>
  <c r="N918" i="5"/>
  <c r="G919" i="5"/>
  <c r="H919" i="5"/>
  <c r="L1038" i="6"/>
  <c r="M1038" i="6"/>
  <c r="Q1038" i="6"/>
  <c r="G559" i="5"/>
  <c r="H559" i="5"/>
  <c r="L558" i="5"/>
  <c r="N558" i="5"/>
  <c r="G1039" i="5"/>
  <c r="H1039" i="5"/>
  <c r="L1038" i="5"/>
  <c r="N1038" i="5"/>
  <c r="Q798" i="6"/>
  <c r="L798" i="6"/>
  <c r="M798" i="6"/>
  <c r="L318" i="5"/>
  <c r="N318" i="5"/>
  <c r="G319" i="5"/>
  <c r="H319" i="5"/>
  <c r="Q438" i="6"/>
  <c r="L438" i="6"/>
  <c r="M438" i="6"/>
  <c r="L678" i="5"/>
  <c r="N678" i="5"/>
  <c r="G679" i="5"/>
  <c r="H679" i="5"/>
  <c r="L918" i="6"/>
  <c r="M918" i="6"/>
  <c r="Q918" i="6"/>
  <c r="R798" i="6"/>
  <c r="N798" i="6"/>
  <c r="I919" i="5"/>
  <c r="J919" i="5"/>
  <c r="R919" i="5"/>
  <c r="I799" i="5"/>
  <c r="J799" i="5"/>
  <c r="R799" i="5"/>
  <c r="P198" i="5"/>
  <c r="T198" i="5"/>
  <c r="U198" i="5"/>
  <c r="R918" i="6"/>
  <c r="S918" i="6"/>
  <c r="N918" i="6"/>
  <c r="T798" i="5"/>
  <c r="U798" i="5"/>
  <c r="P798" i="5"/>
  <c r="R679" i="5"/>
  <c r="I679" i="5"/>
  <c r="J679" i="5"/>
  <c r="P1038" i="5"/>
  <c r="T1038" i="5"/>
  <c r="U1038" i="5"/>
  <c r="N198" i="6"/>
  <c r="R198" i="6"/>
  <c r="S678" i="6"/>
  <c r="P78" i="5"/>
  <c r="T78" i="5"/>
  <c r="U78" i="5"/>
  <c r="R678" i="6"/>
  <c r="N678" i="6"/>
  <c r="R79" i="5"/>
  <c r="I79" i="5"/>
  <c r="J79" i="5"/>
  <c r="S798" i="6"/>
  <c r="N558" i="6"/>
  <c r="R558" i="6"/>
  <c r="I1159" i="5"/>
  <c r="J1159" i="5"/>
  <c r="R1159" i="5"/>
  <c r="T438" i="5"/>
  <c r="U438" i="5"/>
  <c r="P438" i="5"/>
  <c r="T918" i="5"/>
  <c r="U918" i="5"/>
  <c r="P918" i="5"/>
  <c r="R438" i="6"/>
  <c r="S438" i="6"/>
  <c r="N438" i="6"/>
  <c r="S558" i="6"/>
  <c r="T1158" i="5"/>
  <c r="U1158" i="5"/>
  <c r="P1158" i="5"/>
  <c r="R439" i="5"/>
  <c r="I439" i="5"/>
  <c r="J439" i="5"/>
  <c r="I319" i="5"/>
  <c r="J319" i="5"/>
  <c r="R319" i="5"/>
  <c r="R318" i="6"/>
  <c r="S318" i="6"/>
  <c r="N318" i="6"/>
  <c r="N78" i="6"/>
  <c r="R78" i="6"/>
  <c r="I199" i="5"/>
  <c r="J199" i="5"/>
  <c r="R199" i="5"/>
  <c r="T678" i="5"/>
  <c r="U678" i="5"/>
  <c r="P678" i="5"/>
  <c r="I1039" i="5"/>
  <c r="J1039" i="5"/>
  <c r="R1039" i="5"/>
  <c r="S198" i="6"/>
  <c r="T558" i="5"/>
  <c r="U558" i="5"/>
  <c r="P558" i="5"/>
  <c r="R559" i="5"/>
  <c r="I559" i="5"/>
  <c r="J559" i="5"/>
  <c r="S1038" i="6"/>
  <c r="S1158" i="6"/>
  <c r="T318" i="5"/>
  <c r="U318" i="5"/>
  <c r="P318" i="5"/>
  <c r="R1038" i="6"/>
  <c r="N1038" i="6"/>
  <c r="R1158" i="6"/>
  <c r="N1158" i="6"/>
  <c r="S78" i="6"/>
  <c r="M199" i="5"/>
  <c r="Q198" i="5"/>
  <c r="W198" i="5"/>
  <c r="X198" i="5"/>
  <c r="S679" i="5"/>
  <c r="K679" i="5"/>
  <c r="Q1038" i="5"/>
  <c r="W1038" i="5"/>
  <c r="X1038" i="5"/>
  <c r="M1039" i="5"/>
  <c r="J319" i="6"/>
  <c r="K319" i="6"/>
  <c r="O318" i="6"/>
  <c r="U318" i="6"/>
  <c r="V318" i="6"/>
  <c r="K1159" i="5"/>
  <c r="S1159" i="5"/>
  <c r="S799" i="5"/>
  <c r="K799" i="5"/>
  <c r="J79" i="6"/>
  <c r="K79" i="6"/>
  <c r="O78" i="6"/>
  <c r="U78" i="6"/>
  <c r="V78" i="6"/>
  <c r="K1039" i="5"/>
  <c r="S1039" i="5"/>
  <c r="M679" i="5"/>
  <c r="Q678" i="5"/>
  <c r="W678" i="5"/>
  <c r="X678" i="5"/>
  <c r="J439" i="6"/>
  <c r="K439" i="6"/>
  <c r="O438" i="6"/>
  <c r="U438" i="6"/>
  <c r="V438" i="6"/>
  <c r="M79" i="5"/>
  <c r="Q78" i="5"/>
  <c r="W78" i="5"/>
  <c r="X78" i="5"/>
  <c r="M799" i="5"/>
  <c r="Q798" i="5"/>
  <c r="W798" i="5"/>
  <c r="X798" i="5"/>
  <c r="S319" i="5"/>
  <c r="K319" i="5"/>
  <c r="S919" i="5"/>
  <c r="K919" i="5"/>
  <c r="O678" i="6"/>
  <c r="U678" i="6"/>
  <c r="V678" i="6"/>
  <c r="J679" i="6"/>
  <c r="K679" i="6"/>
  <c r="S559" i="5"/>
  <c r="K559" i="5"/>
  <c r="O558" i="6"/>
  <c r="U558" i="6"/>
  <c r="V558" i="6"/>
  <c r="J559" i="6"/>
  <c r="K559" i="6"/>
  <c r="K439" i="5"/>
  <c r="S439" i="5"/>
  <c r="M919" i="5"/>
  <c r="Q918" i="5"/>
  <c r="W918" i="5"/>
  <c r="X918" i="5"/>
  <c r="O918" i="6"/>
  <c r="U918" i="6"/>
  <c r="V918" i="6"/>
  <c r="J919" i="6"/>
  <c r="K919" i="6"/>
  <c r="J799" i="6"/>
  <c r="K799" i="6"/>
  <c r="O798" i="6"/>
  <c r="U798" i="6"/>
  <c r="V798" i="6"/>
  <c r="O1158" i="6"/>
  <c r="U1158" i="6"/>
  <c r="V1158" i="6"/>
  <c r="J1159" i="6"/>
  <c r="K1159" i="6"/>
  <c r="M559" i="5"/>
  <c r="Q558" i="5"/>
  <c r="W558" i="5"/>
  <c r="X558" i="5"/>
  <c r="S79" i="5"/>
  <c r="K79" i="5"/>
  <c r="J199" i="6"/>
  <c r="K199" i="6"/>
  <c r="O198" i="6"/>
  <c r="U198" i="6"/>
  <c r="V198" i="6"/>
  <c r="Q318" i="5"/>
  <c r="W318" i="5"/>
  <c r="X318" i="5"/>
  <c r="M319" i="5"/>
  <c r="J1039" i="6"/>
  <c r="K1039" i="6"/>
  <c r="O1038" i="6"/>
  <c r="U1038" i="6"/>
  <c r="V1038" i="6"/>
  <c r="S199" i="5"/>
  <c r="K199" i="5"/>
  <c r="Q1158" i="5"/>
  <c r="W1158" i="5"/>
  <c r="X1158" i="5"/>
  <c r="M1159" i="5"/>
  <c r="M439" i="5"/>
  <c r="Q438" i="5"/>
  <c r="W438" i="5"/>
  <c r="X438" i="5"/>
  <c r="G200" i="5"/>
  <c r="H200" i="5"/>
  <c r="L199" i="5"/>
  <c r="N199" i="5"/>
  <c r="Q199" i="6"/>
  <c r="L199" i="6"/>
  <c r="M199" i="6"/>
  <c r="Q79" i="6"/>
  <c r="L79" i="6"/>
  <c r="M79" i="6"/>
  <c r="G80" i="5"/>
  <c r="H80" i="5"/>
  <c r="L79" i="5"/>
  <c r="N79" i="5"/>
  <c r="Q919" i="6"/>
  <c r="L919" i="6"/>
  <c r="M919" i="6"/>
  <c r="L799" i="6"/>
  <c r="M799" i="6"/>
  <c r="Q799" i="6"/>
  <c r="Q439" i="6"/>
  <c r="L439" i="6"/>
  <c r="M439" i="6"/>
  <c r="L559" i="5"/>
  <c r="N559" i="5"/>
  <c r="G560" i="5"/>
  <c r="H560" i="5"/>
  <c r="L679" i="5"/>
  <c r="N679" i="5"/>
  <c r="G680" i="5"/>
  <c r="H680" i="5"/>
  <c r="Q559" i="6"/>
  <c r="L559" i="6"/>
  <c r="M559" i="6"/>
  <c r="G320" i="5"/>
  <c r="H320" i="5"/>
  <c r="L319" i="5"/>
  <c r="N319" i="5"/>
  <c r="L799" i="5"/>
  <c r="N799" i="5"/>
  <c r="G800" i="5"/>
  <c r="H800" i="5"/>
  <c r="L1039" i="6"/>
  <c r="M1039" i="6"/>
  <c r="Q1039" i="6"/>
  <c r="Q1159" i="6"/>
  <c r="L1159" i="6"/>
  <c r="M1159" i="6"/>
  <c r="L679" i="6"/>
  <c r="M679" i="6"/>
  <c r="Q679" i="6"/>
  <c r="G1160" i="5"/>
  <c r="H1160" i="5"/>
  <c r="L1159" i="5"/>
  <c r="N1159" i="5"/>
  <c r="G1040" i="5"/>
  <c r="H1040" i="5"/>
  <c r="L1039" i="5"/>
  <c r="N1039" i="5"/>
  <c r="G440" i="5"/>
  <c r="H440" i="5"/>
  <c r="L439" i="5"/>
  <c r="N439" i="5"/>
  <c r="L919" i="5"/>
  <c r="N919" i="5"/>
  <c r="G920" i="5"/>
  <c r="H920" i="5"/>
  <c r="L319" i="6"/>
  <c r="M319" i="6"/>
  <c r="Q319" i="6"/>
  <c r="N919" i="6"/>
  <c r="R919" i="6"/>
  <c r="P199" i="5"/>
  <c r="T199" i="5"/>
  <c r="U199" i="5"/>
  <c r="N1039" i="6"/>
  <c r="R1039" i="6"/>
  <c r="S1039" i="6"/>
  <c r="T679" i="5"/>
  <c r="U679" i="5"/>
  <c r="P679" i="5"/>
  <c r="S919" i="6"/>
  <c r="R200" i="5"/>
  <c r="I200" i="5"/>
  <c r="J200" i="5"/>
  <c r="I1040" i="5"/>
  <c r="J1040" i="5"/>
  <c r="R1040" i="5"/>
  <c r="T1159" i="5"/>
  <c r="U1159" i="5"/>
  <c r="P1159" i="5"/>
  <c r="I800" i="5"/>
  <c r="J800" i="5"/>
  <c r="R800" i="5"/>
  <c r="I560" i="5"/>
  <c r="J560" i="5"/>
  <c r="R560" i="5"/>
  <c r="P79" i="5"/>
  <c r="T79" i="5"/>
  <c r="U79" i="5"/>
  <c r="R799" i="6"/>
  <c r="N799" i="6"/>
  <c r="R680" i="5"/>
  <c r="I680" i="5"/>
  <c r="J680" i="5"/>
  <c r="I1160" i="5"/>
  <c r="J1160" i="5"/>
  <c r="R1160" i="5"/>
  <c r="T799" i="5"/>
  <c r="U799" i="5"/>
  <c r="P799" i="5"/>
  <c r="P559" i="5"/>
  <c r="T559" i="5"/>
  <c r="U559" i="5"/>
  <c r="R80" i="5"/>
  <c r="I80" i="5"/>
  <c r="J80" i="5"/>
  <c r="I440" i="5"/>
  <c r="J440" i="5"/>
  <c r="R440" i="5"/>
  <c r="P1039" i="5"/>
  <c r="T1039" i="5"/>
  <c r="U1039" i="5"/>
  <c r="I920" i="5"/>
  <c r="J920" i="5"/>
  <c r="R920" i="5"/>
  <c r="T319" i="5"/>
  <c r="U319" i="5"/>
  <c r="P319" i="5"/>
  <c r="R439" i="6"/>
  <c r="N439" i="6"/>
  <c r="R79" i="6"/>
  <c r="S79" i="6"/>
  <c r="N79" i="6"/>
  <c r="R320" i="5"/>
  <c r="I320" i="5"/>
  <c r="J320" i="5"/>
  <c r="S439" i="6"/>
  <c r="S1159" i="6"/>
  <c r="R319" i="6"/>
  <c r="S319" i="6"/>
  <c r="N319" i="6"/>
  <c r="T919" i="5"/>
  <c r="U919" i="5"/>
  <c r="P919" i="5"/>
  <c r="N679" i="6"/>
  <c r="R679" i="6"/>
  <c r="S679" i="6"/>
  <c r="P439" i="5"/>
  <c r="T439" i="5"/>
  <c r="U439" i="5"/>
  <c r="N1159" i="6"/>
  <c r="R1159" i="6"/>
  <c r="R559" i="6"/>
  <c r="S559" i="6"/>
  <c r="N559" i="6"/>
  <c r="S799" i="6"/>
  <c r="R199" i="6"/>
  <c r="S199" i="6"/>
  <c r="N199" i="6"/>
  <c r="M800" i="5"/>
  <c r="Q799" i="5"/>
  <c r="W799" i="5"/>
  <c r="X799" i="5"/>
  <c r="J680" i="6"/>
  <c r="K680" i="6"/>
  <c r="O679" i="6"/>
  <c r="U679" i="6"/>
  <c r="V679" i="6"/>
  <c r="O1159" i="6"/>
  <c r="U1159" i="6"/>
  <c r="V1159" i="6"/>
  <c r="J1160" i="6"/>
  <c r="K1160" i="6"/>
  <c r="J80" i="6"/>
  <c r="K80" i="6"/>
  <c r="O79" i="6"/>
  <c r="U79" i="6"/>
  <c r="V79" i="6"/>
  <c r="S920" i="5"/>
  <c r="K920" i="5"/>
  <c r="M560" i="5"/>
  <c r="Q559" i="5"/>
  <c r="W559" i="5"/>
  <c r="X559" i="5"/>
  <c r="J200" i="6"/>
  <c r="K200" i="6"/>
  <c r="O199" i="6"/>
  <c r="U199" i="6"/>
  <c r="V199" i="6"/>
  <c r="M440" i="5"/>
  <c r="Q439" i="5"/>
  <c r="W439" i="5"/>
  <c r="X439" i="5"/>
  <c r="J440" i="6"/>
  <c r="K440" i="6"/>
  <c r="O439" i="6"/>
  <c r="U439" i="6"/>
  <c r="V439" i="6"/>
  <c r="Q1039" i="5"/>
  <c r="W1039" i="5"/>
  <c r="X1039" i="5"/>
  <c r="M1040" i="5"/>
  <c r="M80" i="5"/>
  <c r="Q79" i="5"/>
  <c r="W79" i="5"/>
  <c r="X79" i="5"/>
  <c r="K1040" i="5"/>
  <c r="S1040" i="5"/>
  <c r="J1040" i="6"/>
  <c r="K1040" i="6"/>
  <c r="O1039" i="6"/>
  <c r="U1039" i="6"/>
  <c r="V1039" i="6"/>
  <c r="K560" i="5"/>
  <c r="S560" i="5"/>
  <c r="S200" i="5"/>
  <c r="K200" i="5"/>
  <c r="S320" i="5"/>
  <c r="K320" i="5"/>
  <c r="Q319" i="5"/>
  <c r="W319" i="5"/>
  <c r="X319" i="5"/>
  <c r="M320" i="5"/>
  <c r="K680" i="5"/>
  <c r="S680" i="5"/>
  <c r="M200" i="5"/>
  <c r="Q199" i="5"/>
  <c r="W199" i="5"/>
  <c r="X199" i="5"/>
  <c r="S1160" i="5"/>
  <c r="K1160" i="5"/>
  <c r="M920" i="5"/>
  <c r="Q919" i="5"/>
  <c r="W919" i="5"/>
  <c r="X919" i="5"/>
  <c r="S800" i="5"/>
  <c r="K800" i="5"/>
  <c r="K440" i="5"/>
  <c r="S440" i="5"/>
  <c r="J560" i="6"/>
  <c r="K560" i="6"/>
  <c r="O559" i="6"/>
  <c r="U559" i="6"/>
  <c r="V559" i="6"/>
  <c r="S80" i="5"/>
  <c r="K80" i="5"/>
  <c r="O319" i="6"/>
  <c r="U319" i="6"/>
  <c r="V319" i="6"/>
  <c r="J320" i="6"/>
  <c r="K320" i="6"/>
  <c r="O799" i="6"/>
  <c r="U799" i="6"/>
  <c r="V799" i="6"/>
  <c r="J800" i="6"/>
  <c r="K800" i="6"/>
  <c r="Q1159" i="5"/>
  <c r="W1159" i="5"/>
  <c r="X1159" i="5"/>
  <c r="M1160" i="5"/>
  <c r="M680" i="5"/>
  <c r="Q679" i="5"/>
  <c r="W679" i="5"/>
  <c r="X679" i="5"/>
  <c r="O919" i="6"/>
  <c r="U919" i="6"/>
  <c r="V919" i="6"/>
  <c r="J920" i="6"/>
  <c r="K920" i="6"/>
  <c r="L680" i="5"/>
  <c r="N680" i="5"/>
  <c r="G681" i="5"/>
  <c r="H681" i="5"/>
  <c r="L560" i="5"/>
  <c r="N560" i="5"/>
  <c r="G561" i="5"/>
  <c r="H561" i="5"/>
  <c r="L80" i="6"/>
  <c r="M80" i="6"/>
  <c r="Q80" i="6"/>
  <c r="G1041" i="5"/>
  <c r="H1041" i="5"/>
  <c r="L1040" i="5"/>
  <c r="N1040" i="5"/>
  <c r="Q920" i="6"/>
  <c r="L920" i="6"/>
  <c r="M920" i="6"/>
  <c r="L200" i="6"/>
  <c r="M200" i="6"/>
  <c r="Q200" i="6"/>
  <c r="Q1160" i="6"/>
  <c r="L1160" i="6"/>
  <c r="M1160" i="6"/>
  <c r="L320" i="6"/>
  <c r="M320" i="6"/>
  <c r="Q320" i="6"/>
  <c r="L560" i="6"/>
  <c r="M560" i="6"/>
  <c r="Q560" i="6"/>
  <c r="L1160" i="5"/>
  <c r="N1160" i="5"/>
  <c r="G1161" i="5"/>
  <c r="H1161" i="5"/>
  <c r="G81" i="5"/>
  <c r="H81" i="5"/>
  <c r="L80" i="5"/>
  <c r="N80" i="5"/>
  <c r="Q680" i="6"/>
  <c r="L680" i="6"/>
  <c r="M680" i="6"/>
  <c r="L800" i="6"/>
  <c r="M800" i="6"/>
  <c r="Q800" i="6"/>
  <c r="L320" i="5"/>
  <c r="N320" i="5"/>
  <c r="G321" i="5"/>
  <c r="H321" i="5"/>
  <c r="G441" i="5"/>
  <c r="H441" i="5"/>
  <c r="L440" i="5"/>
  <c r="N440" i="5"/>
  <c r="L800" i="5"/>
  <c r="N800" i="5"/>
  <c r="G801" i="5"/>
  <c r="H801" i="5"/>
  <c r="G201" i="5"/>
  <c r="H201" i="5"/>
  <c r="L200" i="5"/>
  <c r="N200" i="5"/>
  <c r="L1040" i="6"/>
  <c r="M1040" i="6"/>
  <c r="Q1040" i="6"/>
  <c r="L440" i="6"/>
  <c r="M440" i="6"/>
  <c r="Q440" i="6"/>
  <c r="L920" i="5"/>
  <c r="N920" i="5"/>
  <c r="G921" i="5"/>
  <c r="H921" i="5"/>
  <c r="N920" i="6"/>
  <c r="R920" i="6"/>
  <c r="S920" i="6"/>
  <c r="N1040" i="6"/>
  <c r="R1040" i="6"/>
  <c r="P320" i="5"/>
  <c r="T320" i="5"/>
  <c r="U320" i="5"/>
  <c r="P1160" i="5"/>
  <c r="T1160" i="5"/>
  <c r="U1160" i="5"/>
  <c r="R200" i="6"/>
  <c r="N200" i="6"/>
  <c r="T560" i="5"/>
  <c r="U560" i="5"/>
  <c r="P560" i="5"/>
  <c r="N800" i="6"/>
  <c r="R800" i="6"/>
  <c r="R560" i="6"/>
  <c r="N560" i="6"/>
  <c r="T680" i="5"/>
  <c r="U680" i="5"/>
  <c r="P680" i="5"/>
  <c r="P200" i="5"/>
  <c r="T200" i="5"/>
  <c r="U200" i="5"/>
  <c r="R801" i="5"/>
  <c r="I801" i="5"/>
  <c r="J801" i="5"/>
  <c r="S320" i="6"/>
  <c r="P1040" i="5"/>
  <c r="T1040" i="5"/>
  <c r="U1040" i="5"/>
  <c r="N320" i="6"/>
  <c r="R320" i="6"/>
  <c r="I1041" i="5"/>
  <c r="J1041" i="5"/>
  <c r="R1041" i="5"/>
  <c r="S800" i="6"/>
  <c r="R201" i="5"/>
  <c r="I201" i="5"/>
  <c r="J201" i="5"/>
  <c r="T800" i="5"/>
  <c r="U800" i="5"/>
  <c r="P800" i="5"/>
  <c r="R1160" i="6"/>
  <c r="S1160" i="6"/>
  <c r="N1160" i="6"/>
  <c r="S80" i="6"/>
  <c r="R681" i="5"/>
  <c r="I681" i="5"/>
  <c r="J681" i="5"/>
  <c r="R921" i="5"/>
  <c r="I921" i="5"/>
  <c r="J921" i="5"/>
  <c r="T920" i="5"/>
  <c r="U920" i="5"/>
  <c r="P920" i="5"/>
  <c r="S440" i="6"/>
  <c r="P80" i="5"/>
  <c r="T80" i="5"/>
  <c r="U80" i="5"/>
  <c r="I441" i="5"/>
  <c r="J441" i="5"/>
  <c r="R441" i="5"/>
  <c r="R80" i="6"/>
  <c r="N80" i="6"/>
  <c r="S560" i="6"/>
  <c r="N680" i="6"/>
  <c r="R680" i="6"/>
  <c r="S680" i="6"/>
  <c r="P440" i="5"/>
  <c r="T440" i="5"/>
  <c r="U440" i="5"/>
  <c r="R440" i="6"/>
  <c r="N440" i="6"/>
  <c r="I81" i="5"/>
  <c r="J81" i="5"/>
  <c r="R81" i="5"/>
  <c r="S1040" i="6"/>
  <c r="I321" i="5"/>
  <c r="J321" i="5"/>
  <c r="R321" i="5"/>
  <c r="I1161" i="5"/>
  <c r="J1161" i="5"/>
  <c r="R1161" i="5"/>
  <c r="S200" i="6"/>
  <c r="I561" i="5"/>
  <c r="J561" i="5"/>
  <c r="R561" i="5"/>
  <c r="S801" i="5"/>
  <c r="K801" i="5"/>
  <c r="Q1160" i="5"/>
  <c r="W1160" i="5"/>
  <c r="X1160" i="5"/>
  <c r="M1161" i="5"/>
  <c r="S321" i="5"/>
  <c r="K321" i="5"/>
  <c r="K441" i="5"/>
  <c r="S441" i="5"/>
  <c r="K561" i="5"/>
  <c r="S561" i="5"/>
  <c r="J1161" i="6"/>
  <c r="K1161" i="6"/>
  <c r="O1160" i="6"/>
  <c r="U1160" i="6"/>
  <c r="V1160" i="6"/>
  <c r="S1041" i="5"/>
  <c r="K1041" i="5"/>
  <c r="J801" i="6"/>
  <c r="K801" i="6"/>
  <c r="O800" i="6"/>
  <c r="U800" i="6"/>
  <c r="V800" i="6"/>
  <c r="Q320" i="5"/>
  <c r="W320" i="5"/>
  <c r="X320" i="5"/>
  <c r="M321" i="5"/>
  <c r="O560" i="6"/>
  <c r="U560" i="6"/>
  <c r="V560" i="6"/>
  <c r="J561" i="6"/>
  <c r="K561" i="6"/>
  <c r="M81" i="5"/>
  <c r="Q80" i="5"/>
  <c r="W80" i="5"/>
  <c r="X80" i="5"/>
  <c r="M921" i="5"/>
  <c r="Q920" i="5"/>
  <c r="W920" i="5"/>
  <c r="X920" i="5"/>
  <c r="M201" i="5"/>
  <c r="Q200" i="5"/>
  <c r="W200" i="5"/>
  <c r="X200" i="5"/>
  <c r="M561" i="5"/>
  <c r="Q560" i="5"/>
  <c r="W560" i="5"/>
  <c r="X560" i="5"/>
  <c r="S681" i="5"/>
  <c r="K681" i="5"/>
  <c r="J681" i="6"/>
  <c r="K681" i="6"/>
  <c r="O680" i="6"/>
  <c r="U680" i="6"/>
  <c r="V680" i="6"/>
  <c r="O320" i="6"/>
  <c r="U320" i="6"/>
  <c r="V320" i="6"/>
  <c r="J321" i="6"/>
  <c r="K321" i="6"/>
  <c r="J1041" i="6"/>
  <c r="K1041" i="6"/>
  <c r="O1040" i="6"/>
  <c r="U1040" i="6"/>
  <c r="V1040" i="6"/>
  <c r="S81" i="5"/>
  <c r="K81" i="5"/>
  <c r="J441" i="6"/>
  <c r="K441" i="6"/>
  <c r="O440" i="6"/>
  <c r="U440" i="6"/>
  <c r="V440" i="6"/>
  <c r="O80" i="6"/>
  <c r="U80" i="6"/>
  <c r="V80" i="6"/>
  <c r="J81" i="6"/>
  <c r="K81" i="6"/>
  <c r="M801" i="5"/>
  <c r="Q800" i="5"/>
  <c r="W800" i="5"/>
  <c r="X800" i="5"/>
  <c r="M681" i="5"/>
  <c r="Q680" i="5"/>
  <c r="W680" i="5"/>
  <c r="X680" i="5"/>
  <c r="O200" i="6"/>
  <c r="U200" i="6"/>
  <c r="V200" i="6"/>
  <c r="J201" i="6"/>
  <c r="K201" i="6"/>
  <c r="K1161" i="5"/>
  <c r="S1161" i="5"/>
  <c r="S921" i="5"/>
  <c r="K921" i="5"/>
  <c r="Q440" i="5"/>
  <c r="W440" i="5"/>
  <c r="X440" i="5"/>
  <c r="M441" i="5"/>
  <c r="S201" i="5"/>
  <c r="K201" i="5"/>
  <c r="Q1040" i="5"/>
  <c r="W1040" i="5"/>
  <c r="X1040" i="5"/>
  <c r="M1041" i="5"/>
  <c r="J921" i="6"/>
  <c r="K921" i="6"/>
  <c r="O920" i="6"/>
  <c r="U920" i="6"/>
  <c r="V920" i="6"/>
  <c r="Q1041" i="6"/>
  <c r="L1041" i="6"/>
  <c r="M1041" i="6"/>
  <c r="L201" i="6"/>
  <c r="M201" i="6"/>
  <c r="Q201" i="6"/>
  <c r="L1161" i="5"/>
  <c r="N1161" i="5"/>
  <c r="G1162" i="5"/>
  <c r="H1162" i="5"/>
  <c r="G1042" i="5"/>
  <c r="H1042" i="5"/>
  <c r="L1041" i="5"/>
  <c r="N1041" i="5"/>
  <c r="Q321" i="6"/>
  <c r="L321" i="6"/>
  <c r="M321" i="6"/>
  <c r="L561" i="6"/>
  <c r="M561" i="6"/>
  <c r="Q561" i="6"/>
  <c r="L321" i="5"/>
  <c r="N321" i="5"/>
  <c r="G322" i="5"/>
  <c r="H322" i="5"/>
  <c r="Q1161" i="6"/>
  <c r="L1161" i="6"/>
  <c r="M1161" i="6"/>
  <c r="Q921" i="6"/>
  <c r="L921" i="6"/>
  <c r="M921" i="6"/>
  <c r="G82" i="5"/>
  <c r="H82" i="5"/>
  <c r="L81" i="5"/>
  <c r="N81" i="5"/>
  <c r="L561" i="5"/>
  <c r="N561" i="5"/>
  <c r="G562" i="5"/>
  <c r="H562" i="5"/>
  <c r="L81" i="6"/>
  <c r="M81" i="6"/>
  <c r="Q81" i="6"/>
  <c r="Q441" i="6"/>
  <c r="L441" i="6"/>
  <c r="M441" i="6"/>
  <c r="L921" i="5"/>
  <c r="N921" i="5"/>
  <c r="G922" i="5"/>
  <c r="H922" i="5"/>
  <c r="Q681" i="6"/>
  <c r="L681" i="6"/>
  <c r="M681" i="6"/>
  <c r="L801" i="5"/>
  <c r="N801" i="5"/>
  <c r="G802" i="5"/>
  <c r="H802" i="5"/>
  <c r="G202" i="5"/>
  <c r="H202" i="5"/>
  <c r="L201" i="5"/>
  <c r="N201" i="5"/>
  <c r="L681" i="5"/>
  <c r="N681" i="5"/>
  <c r="G682" i="5"/>
  <c r="H682" i="5"/>
  <c r="L801" i="6"/>
  <c r="M801" i="6"/>
  <c r="Q801" i="6"/>
  <c r="G442" i="5"/>
  <c r="H442" i="5"/>
  <c r="L441" i="5"/>
  <c r="N441" i="5"/>
  <c r="R681" i="6"/>
  <c r="N681" i="6"/>
  <c r="I562" i="5"/>
  <c r="J562" i="5"/>
  <c r="R562" i="5"/>
  <c r="I322" i="5"/>
  <c r="J322" i="5"/>
  <c r="R322" i="5"/>
  <c r="I1162" i="5"/>
  <c r="J1162" i="5"/>
  <c r="R1162" i="5"/>
  <c r="N801" i="6"/>
  <c r="R801" i="6"/>
  <c r="S801" i="6"/>
  <c r="T321" i="5"/>
  <c r="U321" i="5"/>
  <c r="P321" i="5"/>
  <c r="P1161" i="5"/>
  <c r="T1161" i="5"/>
  <c r="U1161" i="5"/>
  <c r="R682" i="5"/>
  <c r="I682" i="5"/>
  <c r="J682" i="5"/>
  <c r="R922" i="5"/>
  <c r="I922" i="5"/>
  <c r="J922" i="5"/>
  <c r="P81" i="5"/>
  <c r="T81" i="5"/>
  <c r="U81" i="5"/>
  <c r="S561" i="6"/>
  <c r="S201" i="6"/>
  <c r="N561" i="6"/>
  <c r="R561" i="6"/>
  <c r="N201" i="6"/>
  <c r="R201" i="6"/>
  <c r="T681" i="5"/>
  <c r="U681" i="5"/>
  <c r="P681" i="5"/>
  <c r="N321" i="6"/>
  <c r="R321" i="6"/>
  <c r="S321" i="6"/>
  <c r="R1041" i="6"/>
  <c r="N1041" i="6"/>
  <c r="T561" i="5"/>
  <c r="U561" i="5"/>
  <c r="P561" i="5"/>
  <c r="R921" i="6"/>
  <c r="N921" i="6"/>
  <c r="S921" i="6"/>
  <c r="S1041" i="6"/>
  <c r="T921" i="5"/>
  <c r="U921" i="5"/>
  <c r="P921" i="5"/>
  <c r="N441" i="6"/>
  <c r="R441" i="6"/>
  <c r="I202" i="5"/>
  <c r="J202" i="5"/>
  <c r="R202" i="5"/>
  <c r="S81" i="6"/>
  <c r="R1161" i="6"/>
  <c r="S1161" i="6"/>
  <c r="N1161" i="6"/>
  <c r="P1041" i="5"/>
  <c r="T1041" i="5"/>
  <c r="U1041" i="5"/>
  <c r="S681" i="6"/>
  <c r="I82" i="5"/>
  <c r="J82" i="5"/>
  <c r="R82" i="5"/>
  <c r="P201" i="5"/>
  <c r="T201" i="5"/>
  <c r="U201" i="5"/>
  <c r="S441" i="6"/>
  <c r="T441" i="5"/>
  <c r="U441" i="5"/>
  <c r="P441" i="5"/>
  <c r="I802" i="5"/>
  <c r="J802" i="5"/>
  <c r="R802" i="5"/>
  <c r="I442" i="5"/>
  <c r="J442" i="5"/>
  <c r="R442" i="5"/>
  <c r="T801" i="5"/>
  <c r="U801" i="5"/>
  <c r="P801" i="5"/>
  <c r="N81" i="6"/>
  <c r="R81" i="6"/>
  <c r="I1042" i="5"/>
  <c r="J1042" i="5"/>
  <c r="R1042" i="5"/>
  <c r="O561" i="6"/>
  <c r="U561" i="6"/>
  <c r="V561" i="6"/>
  <c r="J562" i="6"/>
  <c r="K562" i="6"/>
  <c r="K1162" i="5"/>
  <c r="S1162" i="5"/>
  <c r="S442" i="5"/>
  <c r="K442" i="5"/>
  <c r="S322" i="5"/>
  <c r="K322" i="5"/>
  <c r="S202" i="5"/>
  <c r="K202" i="5"/>
  <c r="J922" i="6"/>
  <c r="K922" i="6"/>
  <c r="O921" i="6"/>
  <c r="U921" i="6"/>
  <c r="V921" i="6"/>
  <c r="M682" i="5"/>
  <c r="Q681" i="5"/>
  <c r="W681" i="5"/>
  <c r="X681" i="5"/>
  <c r="M322" i="5"/>
  <c r="Q321" i="5"/>
  <c r="W321" i="5"/>
  <c r="X321" i="5"/>
  <c r="Q1161" i="5"/>
  <c r="W1161" i="5"/>
  <c r="X1161" i="5"/>
  <c r="M1162" i="5"/>
  <c r="S802" i="5"/>
  <c r="K802" i="5"/>
  <c r="M82" i="5"/>
  <c r="Q81" i="5"/>
  <c r="W81" i="5"/>
  <c r="X81" i="5"/>
  <c r="S562" i="5"/>
  <c r="K562" i="5"/>
  <c r="K1042" i="5"/>
  <c r="S1042" i="5"/>
  <c r="M442" i="5"/>
  <c r="Q441" i="5"/>
  <c r="W441" i="5"/>
  <c r="X441" i="5"/>
  <c r="S922" i="5"/>
  <c r="K922" i="5"/>
  <c r="J682" i="6"/>
  <c r="K682" i="6"/>
  <c r="O681" i="6"/>
  <c r="U681" i="6"/>
  <c r="V681" i="6"/>
  <c r="M202" i="5"/>
  <c r="Q201" i="5"/>
  <c r="W201" i="5"/>
  <c r="X201" i="5"/>
  <c r="S82" i="5"/>
  <c r="K82" i="5"/>
  <c r="O441" i="6"/>
  <c r="U441" i="6"/>
  <c r="V441" i="6"/>
  <c r="J442" i="6"/>
  <c r="K442" i="6"/>
  <c r="Q561" i="5"/>
  <c r="W561" i="5"/>
  <c r="X561" i="5"/>
  <c r="M562" i="5"/>
  <c r="O81" i="6"/>
  <c r="U81" i="6"/>
  <c r="V81" i="6"/>
  <c r="J82" i="6"/>
  <c r="K82" i="6"/>
  <c r="Q1041" i="5"/>
  <c r="W1041" i="5"/>
  <c r="X1041" i="5"/>
  <c r="M1042" i="5"/>
  <c r="M922" i="5"/>
  <c r="Q921" i="5"/>
  <c r="W921" i="5"/>
  <c r="X921" i="5"/>
  <c r="O201" i="6"/>
  <c r="U201" i="6"/>
  <c r="V201" i="6"/>
  <c r="J202" i="6"/>
  <c r="K202" i="6"/>
  <c r="J802" i="6"/>
  <c r="K802" i="6"/>
  <c r="O801" i="6"/>
  <c r="U801" i="6"/>
  <c r="V801" i="6"/>
  <c r="J322" i="6"/>
  <c r="K322" i="6"/>
  <c r="O321" i="6"/>
  <c r="U321" i="6"/>
  <c r="V321" i="6"/>
  <c r="M802" i="5"/>
  <c r="Q801" i="5"/>
  <c r="W801" i="5"/>
  <c r="X801" i="5"/>
  <c r="O1161" i="6"/>
  <c r="U1161" i="6"/>
  <c r="V1161" i="6"/>
  <c r="J1162" i="6"/>
  <c r="K1162" i="6"/>
  <c r="J1042" i="6"/>
  <c r="K1042" i="6"/>
  <c r="O1041" i="6"/>
  <c r="U1041" i="6"/>
  <c r="V1041" i="6"/>
  <c r="K682" i="5"/>
  <c r="S682" i="5"/>
  <c r="Q802" i="6"/>
  <c r="L802" i="6"/>
  <c r="M802" i="6"/>
  <c r="Q82" i="6"/>
  <c r="L82" i="6"/>
  <c r="M82" i="6"/>
  <c r="G443" i="5"/>
  <c r="H443" i="5"/>
  <c r="L442" i="5"/>
  <c r="N442" i="5"/>
  <c r="G1043" i="5"/>
  <c r="H1043" i="5"/>
  <c r="L1042" i="5"/>
  <c r="N1042" i="5"/>
  <c r="L922" i="6"/>
  <c r="M922" i="6"/>
  <c r="Q922" i="6"/>
  <c r="L202" i="6"/>
  <c r="M202" i="6"/>
  <c r="Q202" i="6"/>
  <c r="L682" i="6"/>
  <c r="M682" i="6"/>
  <c r="Q682" i="6"/>
  <c r="L562" i="5"/>
  <c r="N562" i="5"/>
  <c r="G563" i="5"/>
  <c r="H563" i="5"/>
  <c r="G203" i="5"/>
  <c r="H203" i="5"/>
  <c r="L202" i="5"/>
  <c r="N202" i="5"/>
  <c r="L1162" i="5"/>
  <c r="N1162" i="5"/>
  <c r="G1163" i="5"/>
  <c r="H1163" i="5"/>
  <c r="Q442" i="6"/>
  <c r="L442" i="6"/>
  <c r="M442" i="6"/>
  <c r="L922" i="5"/>
  <c r="N922" i="5"/>
  <c r="G923" i="5"/>
  <c r="H923" i="5"/>
  <c r="L802" i="5"/>
  <c r="N802" i="5"/>
  <c r="G803" i="5"/>
  <c r="H803" i="5"/>
  <c r="L682" i="5"/>
  <c r="N682" i="5"/>
  <c r="G683" i="5"/>
  <c r="H683" i="5"/>
  <c r="Q322" i="6"/>
  <c r="L322" i="6"/>
  <c r="M322" i="6"/>
  <c r="Q562" i="6"/>
  <c r="L562" i="6"/>
  <c r="M562" i="6"/>
  <c r="L1042" i="6"/>
  <c r="M1042" i="6"/>
  <c r="Q1042" i="6"/>
  <c r="L1162" i="6"/>
  <c r="M1162" i="6"/>
  <c r="Q1162" i="6"/>
  <c r="G83" i="5"/>
  <c r="H83" i="5"/>
  <c r="L82" i="5"/>
  <c r="N82" i="5"/>
  <c r="L322" i="5"/>
  <c r="N322" i="5"/>
  <c r="G323" i="5"/>
  <c r="H323" i="5"/>
  <c r="T1162" i="5"/>
  <c r="U1162" i="5"/>
  <c r="P1162" i="5"/>
  <c r="N202" i="6"/>
  <c r="R202" i="6"/>
  <c r="I803" i="5"/>
  <c r="J803" i="5"/>
  <c r="R803" i="5"/>
  <c r="R1042" i="6"/>
  <c r="S1042" i="6"/>
  <c r="N1042" i="6"/>
  <c r="T802" i="5"/>
  <c r="U802" i="5"/>
  <c r="P802" i="5"/>
  <c r="I203" i="5"/>
  <c r="J203" i="5"/>
  <c r="R203" i="5"/>
  <c r="R922" i="6"/>
  <c r="N922" i="6"/>
  <c r="S802" i="6"/>
  <c r="N562" i="6"/>
  <c r="R562" i="6"/>
  <c r="I923" i="5"/>
  <c r="J923" i="5"/>
  <c r="R923" i="5"/>
  <c r="R563" i="5"/>
  <c r="I563" i="5"/>
  <c r="J563" i="5"/>
  <c r="P1042" i="5"/>
  <c r="T1042" i="5"/>
  <c r="U1042" i="5"/>
  <c r="R802" i="6"/>
  <c r="N802" i="6"/>
  <c r="T922" i="5"/>
  <c r="U922" i="5"/>
  <c r="P922" i="5"/>
  <c r="T562" i="5"/>
  <c r="U562" i="5"/>
  <c r="P562" i="5"/>
  <c r="I1043" i="5"/>
  <c r="J1043" i="5"/>
  <c r="R1043" i="5"/>
  <c r="P202" i="5"/>
  <c r="T202" i="5"/>
  <c r="U202" i="5"/>
  <c r="R442" i="6"/>
  <c r="N442" i="6"/>
  <c r="S682" i="6"/>
  <c r="T442" i="5"/>
  <c r="U442" i="5"/>
  <c r="P442" i="5"/>
  <c r="T682" i="5"/>
  <c r="U682" i="5"/>
  <c r="P682" i="5"/>
  <c r="I323" i="5"/>
  <c r="J323" i="5"/>
  <c r="R323" i="5"/>
  <c r="S562" i="6"/>
  <c r="P82" i="5"/>
  <c r="T82" i="5"/>
  <c r="U82" i="5"/>
  <c r="S322" i="6"/>
  <c r="R682" i="6"/>
  <c r="N682" i="6"/>
  <c r="R443" i="5"/>
  <c r="I443" i="5"/>
  <c r="J443" i="5"/>
  <c r="R1162" i="6"/>
  <c r="N1162" i="6"/>
  <c r="S922" i="6"/>
  <c r="T322" i="5"/>
  <c r="U322" i="5"/>
  <c r="P322" i="5"/>
  <c r="R322" i="6"/>
  <c r="N322" i="6"/>
  <c r="R83" i="5"/>
  <c r="I83" i="5"/>
  <c r="J83" i="5"/>
  <c r="S442" i="6"/>
  <c r="S1162" i="6"/>
  <c r="R683" i="5"/>
  <c r="I683" i="5"/>
  <c r="J683" i="5"/>
  <c r="I1163" i="5"/>
  <c r="J1163" i="5"/>
  <c r="R1163" i="5"/>
  <c r="S202" i="6"/>
  <c r="N82" i="6"/>
  <c r="R82" i="6"/>
  <c r="S82" i="6"/>
  <c r="Q562" i="5"/>
  <c r="W562" i="5"/>
  <c r="X562" i="5"/>
  <c r="M563" i="5"/>
  <c r="K563" i="5"/>
  <c r="S563" i="5"/>
  <c r="O922" i="6"/>
  <c r="U922" i="6"/>
  <c r="V922" i="6"/>
  <c r="J923" i="6"/>
  <c r="K923" i="6"/>
  <c r="Q1042" i="5"/>
  <c r="W1042" i="5"/>
  <c r="X1042" i="5"/>
  <c r="M1043" i="5"/>
  <c r="M83" i="5"/>
  <c r="Q82" i="5"/>
  <c r="W82" i="5"/>
  <c r="X82" i="5"/>
  <c r="S803" i="5"/>
  <c r="K803" i="5"/>
  <c r="J83" i="6"/>
  <c r="K83" i="6"/>
  <c r="O82" i="6"/>
  <c r="U82" i="6"/>
  <c r="V82" i="6"/>
  <c r="S83" i="5"/>
  <c r="K83" i="5"/>
  <c r="J443" i="6"/>
  <c r="K443" i="6"/>
  <c r="O442" i="6"/>
  <c r="U442" i="6"/>
  <c r="V442" i="6"/>
  <c r="M923" i="5"/>
  <c r="Q922" i="5"/>
  <c r="W922" i="5"/>
  <c r="X922" i="5"/>
  <c r="K443" i="5"/>
  <c r="S443" i="5"/>
  <c r="S203" i="5"/>
  <c r="K203" i="5"/>
  <c r="M443" i="5"/>
  <c r="Q442" i="5"/>
  <c r="W442" i="5"/>
  <c r="X442" i="5"/>
  <c r="O1162" i="6"/>
  <c r="U1162" i="6"/>
  <c r="V1162" i="6"/>
  <c r="J1163" i="6"/>
  <c r="K1163" i="6"/>
  <c r="S323" i="5"/>
  <c r="K323" i="5"/>
  <c r="J803" i="6"/>
  <c r="K803" i="6"/>
  <c r="O802" i="6"/>
  <c r="U802" i="6"/>
  <c r="V802" i="6"/>
  <c r="M803" i="5"/>
  <c r="Q802" i="5"/>
  <c r="W802" i="5"/>
  <c r="X802" i="5"/>
  <c r="J203" i="6"/>
  <c r="K203" i="6"/>
  <c r="O202" i="6"/>
  <c r="U202" i="6"/>
  <c r="V202" i="6"/>
  <c r="S1043" i="5"/>
  <c r="K1043" i="5"/>
  <c r="M203" i="5"/>
  <c r="Q202" i="5"/>
  <c r="W202" i="5"/>
  <c r="X202" i="5"/>
  <c r="O562" i="6"/>
  <c r="U562" i="6"/>
  <c r="V562" i="6"/>
  <c r="J563" i="6"/>
  <c r="K563" i="6"/>
  <c r="Q1162" i="5"/>
  <c r="W1162" i="5"/>
  <c r="X1162" i="5"/>
  <c r="M1163" i="5"/>
  <c r="S923" i="5"/>
  <c r="K923" i="5"/>
  <c r="J323" i="6"/>
  <c r="K323" i="6"/>
  <c r="O322" i="6"/>
  <c r="U322" i="6"/>
  <c r="V322" i="6"/>
  <c r="K1163" i="5"/>
  <c r="S1163" i="5"/>
  <c r="O682" i="6"/>
  <c r="U682" i="6"/>
  <c r="V682" i="6"/>
  <c r="J683" i="6"/>
  <c r="K683" i="6"/>
  <c r="M683" i="5"/>
  <c r="Q682" i="5"/>
  <c r="W682" i="5"/>
  <c r="X682" i="5"/>
  <c r="S683" i="5"/>
  <c r="K683" i="5"/>
  <c r="Q322" i="5"/>
  <c r="W322" i="5"/>
  <c r="X322" i="5"/>
  <c r="M323" i="5"/>
  <c r="J1043" i="6"/>
  <c r="K1043" i="6"/>
  <c r="O1042" i="6"/>
  <c r="U1042" i="6"/>
  <c r="V1042" i="6"/>
  <c r="L323" i="6"/>
  <c r="M323" i="6"/>
  <c r="Q323" i="6"/>
  <c r="Q1163" i="6"/>
  <c r="L1163" i="6"/>
  <c r="M1163" i="6"/>
  <c r="L83" i="6"/>
  <c r="M83" i="6"/>
  <c r="Q83" i="6"/>
  <c r="L803" i="5"/>
  <c r="N803" i="5"/>
  <c r="G804" i="5"/>
  <c r="H804" i="5"/>
  <c r="Q923" i="6"/>
  <c r="L923" i="6"/>
  <c r="M923" i="6"/>
  <c r="Q203" i="6"/>
  <c r="L203" i="6"/>
  <c r="M203" i="6"/>
  <c r="L923" i="5"/>
  <c r="N923" i="5"/>
  <c r="G924" i="5"/>
  <c r="H924" i="5"/>
  <c r="L803" i="6"/>
  <c r="M803" i="6"/>
  <c r="Q803" i="6"/>
  <c r="G204" i="5"/>
  <c r="H204" i="5"/>
  <c r="L203" i="5"/>
  <c r="N203" i="5"/>
  <c r="L1043" i="6"/>
  <c r="M1043" i="6"/>
  <c r="Q1043" i="6"/>
  <c r="G1044" i="5"/>
  <c r="H1044" i="5"/>
  <c r="L1043" i="5"/>
  <c r="N1043" i="5"/>
  <c r="L323" i="5"/>
  <c r="N323" i="5"/>
  <c r="G324" i="5"/>
  <c r="H324" i="5"/>
  <c r="Q443" i="6"/>
  <c r="L443" i="6"/>
  <c r="M443" i="6"/>
  <c r="L563" i="5"/>
  <c r="N563" i="5"/>
  <c r="G564" i="5"/>
  <c r="H564" i="5"/>
  <c r="L683" i="6"/>
  <c r="M683" i="6"/>
  <c r="Q683" i="6"/>
  <c r="G1164" i="5"/>
  <c r="H1164" i="5"/>
  <c r="L1163" i="5"/>
  <c r="N1163" i="5"/>
  <c r="G84" i="5"/>
  <c r="H84" i="5"/>
  <c r="L83" i="5"/>
  <c r="N83" i="5"/>
  <c r="L683" i="5"/>
  <c r="N683" i="5"/>
  <c r="G684" i="5"/>
  <c r="H684" i="5"/>
  <c r="Q563" i="6"/>
  <c r="L563" i="6"/>
  <c r="M563" i="6"/>
  <c r="G444" i="5"/>
  <c r="H444" i="5"/>
  <c r="L443" i="5"/>
  <c r="N443" i="5"/>
  <c r="R83" i="6"/>
  <c r="N83" i="6"/>
  <c r="R684" i="5"/>
  <c r="I684" i="5"/>
  <c r="J684" i="5"/>
  <c r="I564" i="5"/>
  <c r="J564" i="5"/>
  <c r="R564" i="5"/>
  <c r="S1043" i="6"/>
  <c r="R203" i="6"/>
  <c r="S203" i="6"/>
  <c r="N203" i="6"/>
  <c r="N1163" i="6"/>
  <c r="R1163" i="6"/>
  <c r="I1044" i="5"/>
  <c r="J1044" i="5"/>
  <c r="R1044" i="5"/>
  <c r="T683" i="5"/>
  <c r="U683" i="5"/>
  <c r="P683" i="5"/>
  <c r="T563" i="5"/>
  <c r="U563" i="5"/>
  <c r="P563" i="5"/>
  <c r="N1043" i="6"/>
  <c r="R1043" i="6"/>
  <c r="S1163" i="6"/>
  <c r="P203" i="5"/>
  <c r="T203" i="5"/>
  <c r="U203" i="5"/>
  <c r="N923" i="6"/>
  <c r="R923" i="6"/>
  <c r="T923" i="5"/>
  <c r="U923" i="5"/>
  <c r="P923" i="5"/>
  <c r="S443" i="6"/>
  <c r="S923" i="6"/>
  <c r="S803" i="6"/>
  <c r="R804" i="5"/>
  <c r="I804" i="5"/>
  <c r="J804" i="5"/>
  <c r="R443" i="6"/>
  <c r="N443" i="6"/>
  <c r="R323" i="6"/>
  <c r="S323" i="6"/>
  <c r="N323" i="6"/>
  <c r="I444" i="5"/>
  <c r="J444" i="5"/>
  <c r="R444" i="5"/>
  <c r="R803" i="6"/>
  <c r="N803" i="6"/>
  <c r="T803" i="5"/>
  <c r="U803" i="5"/>
  <c r="P803" i="5"/>
  <c r="N683" i="6"/>
  <c r="R683" i="6"/>
  <c r="S683" i="6"/>
  <c r="P83" i="5"/>
  <c r="T83" i="5"/>
  <c r="U83" i="5"/>
  <c r="R84" i="5"/>
  <c r="I84" i="5"/>
  <c r="J84" i="5"/>
  <c r="R204" i="5"/>
  <c r="I204" i="5"/>
  <c r="J204" i="5"/>
  <c r="P443" i="5"/>
  <c r="T443" i="5"/>
  <c r="U443" i="5"/>
  <c r="T1163" i="5"/>
  <c r="U1163" i="5"/>
  <c r="P1163" i="5"/>
  <c r="I324" i="5"/>
  <c r="J324" i="5"/>
  <c r="R324" i="5"/>
  <c r="I1164" i="5"/>
  <c r="J1164" i="5"/>
  <c r="R1164" i="5"/>
  <c r="T323" i="5"/>
  <c r="U323" i="5"/>
  <c r="P323" i="5"/>
  <c r="N563" i="6"/>
  <c r="R563" i="6"/>
  <c r="S563" i="6"/>
  <c r="P1043" i="5"/>
  <c r="T1043" i="5"/>
  <c r="U1043" i="5"/>
  <c r="I924" i="5"/>
  <c r="J924" i="5"/>
  <c r="R924" i="5"/>
  <c r="S83" i="6"/>
  <c r="K444" i="5"/>
  <c r="S444" i="5"/>
  <c r="M204" i="5"/>
  <c r="Q203" i="5"/>
  <c r="W203" i="5"/>
  <c r="X203" i="5"/>
  <c r="M684" i="5"/>
  <c r="Q683" i="5"/>
  <c r="W683" i="5"/>
  <c r="X683" i="5"/>
  <c r="Q323" i="5"/>
  <c r="W323" i="5"/>
  <c r="X323" i="5"/>
  <c r="M324" i="5"/>
  <c r="O323" i="6"/>
  <c r="U323" i="6"/>
  <c r="V323" i="6"/>
  <c r="J324" i="6"/>
  <c r="K324" i="6"/>
  <c r="Q1163" i="5"/>
  <c r="W1163" i="5"/>
  <c r="X1163" i="5"/>
  <c r="M1164" i="5"/>
  <c r="M444" i="5"/>
  <c r="Q443" i="5"/>
  <c r="W443" i="5"/>
  <c r="X443" i="5"/>
  <c r="J684" i="6"/>
  <c r="K684" i="6"/>
  <c r="O683" i="6"/>
  <c r="U683" i="6"/>
  <c r="V683" i="6"/>
  <c r="M924" i="5"/>
  <c r="Q923" i="5"/>
  <c r="W923" i="5"/>
  <c r="X923" i="5"/>
  <c r="K564" i="5"/>
  <c r="S564" i="5"/>
  <c r="S1044" i="5"/>
  <c r="K1044" i="5"/>
  <c r="S924" i="5"/>
  <c r="K924" i="5"/>
  <c r="M804" i="5"/>
  <c r="Q803" i="5"/>
  <c r="W803" i="5"/>
  <c r="X803" i="5"/>
  <c r="J444" i="6"/>
  <c r="K444" i="6"/>
  <c r="O443" i="6"/>
  <c r="U443" i="6"/>
  <c r="V443" i="6"/>
  <c r="K684" i="5"/>
  <c r="S684" i="5"/>
  <c r="S1164" i="5"/>
  <c r="K1164" i="5"/>
  <c r="S204" i="5"/>
  <c r="K204" i="5"/>
  <c r="S804" i="5"/>
  <c r="K804" i="5"/>
  <c r="J1044" i="6"/>
  <c r="K1044" i="6"/>
  <c r="O1043" i="6"/>
  <c r="U1043" i="6"/>
  <c r="V1043" i="6"/>
  <c r="O1163" i="6"/>
  <c r="U1163" i="6"/>
  <c r="V1163" i="6"/>
  <c r="J1164" i="6"/>
  <c r="K1164" i="6"/>
  <c r="J84" i="6"/>
  <c r="K84" i="6"/>
  <c r="O83" i="6"/>
  <c r="U83" i="6"/>
  <c r="V83" i="6"/>
  <c r="J564" i="6"/>
  <c r="K564" i="6"/>
  <c r="O563" i="6"/>
  <c r="U563" i="6"/>
  <c r="V563" i="6"/>
  <c r="M84" i="5"/>
  <c r="Q83" i="5"/>
  <c r="W83" i="5"/>
  <c r="X83" i="5"/>
  <c r="Q1043" i="5"/>
  <c r="W1043" i="5"/>
  <c r="X1043" i="5"/>
  <c r="M1044" i="5"/>
  <c r="S84" i="5"/>
  <c r="K84" i="5"/>
  <c r="J804" i="6"/>
  <c r="K804" i="6"/>
  <c r="O803" i="6"/>
  <c r="U803" i="6"/>
  <c r="V803" i="6"/>
  <c r="S324" i="5"/>
  <c r="K324" i="5"/>
  <c r="O923" i="6"/>
  <c r="U923" i="6"/>
  <c r="V923" i="6"/>
  <c r="J924" i="6"/>
  <c r="K924" i="6"/>
  <c r="Q563" i="5"/>
  <c r="W563" i="5"/>
  <c r="X563" i="5"/>
  <c r="M564" i="5"/>
  <c r="J204" i="6"/>
  <c r="K204" i="6"/>
  <c r="O203" i="6"/>
  <c r="U203" i="6"/>
  <c r="V203" i="6"/>
  <c r="L204" i="6"/>
  <c r="M204" i="6"/>
  <c r="Q204" i="6"/>
  <c r="L84" i="6"/>
  <c r="M84" i="6"/>
  <c r="Q84" i="6"/>
  <c r="G205" i="5"/>
  <c r="H205" i="5"/>
  <c r="L204" i="5"/>
  <c r="N204" i="5"/>
  <c r="Q1164" i="6"/>
  <c r="L1164" i="6"/>
  <c r="M1164" i="6"/>
  <c r="L324" i="5"/>
  <c r="N324" i="5"/>
  <c r="G325" i="5"/>
  <c r="H325" i="5"/>
  <c r="L564" i="5"/>
  <c r="N564" i="5"/>
  <c r="G565" i="5"/>
  <c r="H565" i="5"/>
  <c r="L924" i="5"/>
  <c r="N924" i="5"/>
  <c r="G925" i="5"/>
  <c r="H925" i="5"/>
  <c r="L444" i="6"/>
  <c r="M444" i="6"/>
  <c r="Q444" i="6"/>
  <c r="G1165" i="5"/>
  <c r="H1165" i="5"/>
  <c r="L1164" i="5"/>
  <c r="N1164" i="5"/>
  <c r="L804" i="5"/>
  <c r="N804" i="5"/>
  <c r="G805" i="5"/>
  <c r="H805" i="5"/>
  <c r="L1044" i="6"/>
  <c r="M1044" i="6"/>
  <c r="Q1044" i="6"/>
  <c r="G85" i="5"/>
  <c r="H85" i="5"/>
  <c r="L84" i="5"/>
  <c r="N84" i="5"/>
  <c r="L564" i="6"/>
  <c r="M564" i="6"/>
  <c r="Q564" i="6"/>
  <c r="G1045" i="5"/>
  <c r="H1045" i="5"/>
  <c r="L1044" i="5"/>
  <c r="N1044" i="5"/>
  <c r="L324" i="6"/>
  <c r="M324" i="6"/>
  <c r="Q324" i="6"/>
  <c r="L804" i="6"/>
  <c r="M804" i="6"/>
  <c r="Q804" i="6"/>
  <c r="Q924" i="6"/>
  <c r="L924" i="6"/>
  <c r="M924" i="6"/>
  <c r="L684" i="5"/>
  <c r="N684" i="5"/>
  <c r="G685" i="5"/>
  <c r="H685" i="5"/>
  <c r="Q684" i="6"/>
  <c r="L684" i="6"/>
  <c r="M684" i="6"/>
  <c r="G445" i="5"/>
  <c r="H445" i="5"/>
  <c r="L444" i="5"/>
  <c r="N444" i="5"/>
  <c r="N1044" i="6"/>
  <c r="R1044" i="6"/>
  <c r="R685" i="5"/>
  <c r="I685" i="5"/>
  <c r="J685" i="5"/>
  <c r="P1044" i="5"/>
  <c r="T1044" i="5"/>
  <c r="U1044" i="5"/>
  <c r="R805" i="5"/>
  <c r="I805" i="5"/>
  <c r="J805" i="5"/>
  <c r="I565" i="5"/>
  <c r="J565" i="5"/>
  <c r="R565" i="5"/>
  <c r="S84" i="6"/>
  <c r="T684" i="5"/>
  <c r="U684" i="5"/>
  <c r="P684" i="5"/>
  <c r="T804" i="5"/>
  <c r="U804" i="5"/>
  <c r="P804" i="5"/>
  <c r="T564" i="5"/>
  <c r="U564" i="5"/>
  <c r="P564" i="5"/>
  <c r="R84" i="6"/>
  <c r="N84" i="6"/>
  <c r="T924" i="5"/>
  <c r="U924" i="5"/>
  <c r="P924" i="5"/>
  <c r="P1164" i="5"/>
  <c r="T1164" i="5"/>
  <c r="U1164" i="5"/>
  <c r="I325" i="5"/>
  <c r="J325" i="5"/>
  <c r="R325" i="5"/>
  <c r="R205" i="5"/>
  <c r="I205" i="5"/>
  <c r="J205" i="5"/>
  <c r="S924" i="6"/>
  <c r="R564" i="6"/>
  <c r="S564" i="6"/>
  <c r="N564" i="6"/>
  <c r="I1165" i="5"/>
  <c r="J1165" i="5"/>
  <c r="R1165" i="5"/>
  <c r="T324" i="5"/>
  <c r="U324" i="5"/>
  <c r="P324" i="5"/>
  <c r="R204" i="6"/>
  <c r="S204" i="6"/>
  <c r="N204" i="6"/>
  <c r="N924" i="6"/>
  <c r="R924" i="6"/>
  <c r="P84" i="5"/>
  <c r="T84" i="5"/>
  <c r="U84" i="5"/>
  <c r="R1164" i="6"/>
  <c r="N1164" i="6"/>
  <c r="I445" i="5"/>
  <c r="J445" i="5"/>
  <c r="R445" i="5"/>
  <c r="I85" i="5"/>
  <c r="J85" i="5"/>
  <c r="R85" i="5"/>
  <c r="N444" i="6"/>
  <c r="R444" i="6"/>
  <c r="S444" i="6"/>
  <c r="S1164" i="6"/>
  <c r="N324" i="6"/>
  <c r="R324" i="6"/>
  <c r="S324" i="6"/>
  <c r="I1045" i="5"/>
  <c r="J1045" i="5"/>
  <c r="R1045" i="5"/>
  <c r="P444" i="5"/>
  <c r="T444" i="5"/>
  <c r="U444" i="5"/>
  <c r="N804" i="6"/>
  <c r="R804" i="6"/>
  <c r="S804" i="6"/>
  <c r="N684" i="6"/>
  <c r="R684" i="6"/>
  <c r="S684" i="6"/>
  <c r="S1044" i="6"/>
  <c r="I925" i="5"/>
  <c r="J925" i="5"/>
  <c r="R925" i="5"/>
  <c r="P204" i="5"/>
  <c r="T204" i="5"/>
  <c r="U204" i="5"/>
  <c r="O564" i="6"/>
  <c r="U564" i="6"/>
  <c r="V564" i="6"/>
  <c r="J565" i="6"/>
  <c r="K565" i="6"/>
  <c r="S805" i="5"/>
  <c r="K805" i="5"/>
  <c r="K445" i="5"/>
  <c r="S445" i="5"/>
  <c r="J1165" i="6"/>
  <c r="K1165" i="6"/>
  <c r="O1164" i="6"/>
  <c r="U1164" i="6"/>
  <c r="V1164" i="6"/>
  <c r="O204" i="6"/>
  <c r="U204" i="6"/>
  <c r="V204" i="6"/>
  <c r="J205" i="6"/>
  <c r="K205" i="6"/>
  <c r="J925" i="6"/>
  <c r="K925" i="6"/>
  <c r="O924" i="6"/>
  <c r="U924" i="6"/>
  <c r="V924" i="6"/>
  <c r="M205" i="5"/>
  <c r="Q204" i="5"/>
  <c r="W204" i="5"/>
  <c r="X204" i="5"/>
  <c r="S205" i="5"/>
  <c r="K205" i="5"/>
  <c r="M925" i="5"/>
  <c r="Q924" i="5"/>
  <c r="W924" i="5"/>
  <c r="X924" i="5"/>
  <c r="M685" i="5"/>
  <c r="Q684" i="5"/>
  <c r="W684" i="5"/>
  <c r="X684" i="5"/>
  <c r="Q1044" i="5"/>
  <c r="W1044" i="5"/>
  <c r="X1044" i="5"/>
  <c r="M1045" i="5"/>
  <c r="J685" i="6"/>
  <c r="K685" i="6"/>
  <c r="O684" i="6"/>
  <c r="U684" i="6"/>
  <c r="V684" i="6"/>
  <c r="J445" i="6"/>
  <c r="K445" i="6"/>
  <c r="O444" i="6"/>
  <c r="U444" i="6"/>
  <c r="V444" i="6"/>
  <c r="Q324" i="5"/>
  <c r="W324" i="5"/>
  <c r="X324" i="5"/>
  <c r="M325" i="5"/>
  <c r="S685" i="5"/>
  <c r="K685" i="5"/>
  <c r="J805" i="6"/>
  <c r="K805" i="6"/>
  <c r="O804" i="6"/>
  <c r="U804" i="6"/>
  <c r="V804" i="6"/>
  <c r="S925" i="5"/>
  <c r="K925" i="5"/>
  <c r="M445" i="5"/>
  <c r="Q444" i="5"/>
  <c r="W444" i="5"/>
  <c r="X444" i="5"/>
  <c r="M85" i="5"/>
  <c r="Q84" i="5"/>
  <c r="W84" i="5"/>
  <c r="X84" i="5"/>
  <c r="O84" i="6"/>
  <c r="U84" i="6"/>
  <c r="V84" i="6"/>
  <c r="J85" i="6"/>
  <c r="K85" i="6"/>
  <c r="M805" i="5"/>
  <c r="Q804" i="5"/>
  <c r="W804" i="5"/>
  <c r="X804" i="5"/>
  <c r="S85" i="5"/>
  <c r="K85" i="5"/>
  <c r="O324" i="6"/>
  <c r="U324" i="6"/>
  <c r="V324" i="6"/>
  <c r="J325" i="6"/>
  <c r="K325" i="6"/>
  <c r="Q1164" i="5"/>
  <c r="W1164" i="5"/>
  <c r="X1164" i="5"/>
  <c r="M1165" i="5"/>
  <c r="S1045" i="5"/>
  <c r="K1045" i="5"/>
  <c r="K1165" i="5"/>
  <c r="S1165" i="5"/>
  <c r="S325" i="5"/>
  <c r="K325" i="5"/>
  <c r="Q564" i="5"/>
  <c r="W564" i="5"/>
  <c r="X564" i="5"/>
  <c r="M565" i="5"/>
  <c r="K565" i="5"/>
  <c r="S565" i="5"/>
  <c r="J1045" i="6"/>
  <c r="K1045" i="6"/>
  <c r="O1044" i="6"/>
  <c r="U1044" i="6"/>
  <c r="V1044" i="6"/>
  <c r="Q1165" i="6"/>
  <c r="L1165" i="6"/>
  <c r="M1165" i="6"/>
  <c r="G206" i="5"/>
  <c r="H206" i="5"/>
  <c r="L205" i="5"/>
  <c r="N205" i="5"/>
  <c r="Q1045" i="6"/>
  <c r="L1045" i="6"/>
  <c r="M1045" i="6"/>
  <c r="G446" i="5"/>
  <c r="H446" i="5"/>
  <c r="L445" i="5"/>
  <c r="N445" i="5"/>
  <c r="L325" i="6"/>
  <c r="M325" i="6"/>
  <c r="Q325" i="6"/>
  <c r="L1165" i="5"/>
  <c r="N1165" i="5"/>
  <c r="G1166" i="5"/>
  <c r="H1166" i="5"/>
  <c r="L925" i="5"/>
  <c r="N925" i="5"/>
  <c r="G926" i="5"/>
  <c r="H926" i="5"/>
  <c r="L805" i="5"/>
  <c r="N805" i="5"/>
  <c r="G806" i="5"/>
  <c r="H806" i="5"/>
  <c r="L325" i="5"/>
  <c r="N325" i="5"/>
  <c r="G326" i="5"/>
  <c r="H326" i="5"/>
  <c r="Q685" i="6"/>
  <c r="L685" i="6"/>
  <c r="M685" i="6"/>
  <c r="L565" i="5"/>
  <c r="N565" i="5"/>
  <c r="G566" i="5"/>
  <c r="H566" i="5"/>
  <c r="L925" i="6"/>
  <c r="M925" i="6"/>
  <c r="Q925" i="6"/>
  <c r="G1046" i="5"/>
  <c r="H1046" i="5"/>
  <c r="L1045" i="5"/>
  <c r="N1045" i="5"/>
  <c r="L85" i="6"/>
  <c r="M85" i="6"/>
  <c r="Q85" i="6"/>
  <c r="G86" i="5"/>
  <c r="H86" i="5"/>
  <c r="L85" i="5"/>
  <c r="N85" i="5"/>
  <c r="L205" i="6"/>
  <c r="M205" i="6"/>
  <c r="Q205" i="6"/>
  <c r="L565" i="6"/>
  <c r="M565" i="6"/>
  <c r="Q565" i="6"/>
  <c r="L685" i="5"/>
  <c r="N685" i="5"/>
  <c r="G686" i="5"/>
  <c r="H686" i="5"/>
  <c r="L805" i="6"/>
  <c r="M805" i="6"/>
  <c r="Q805" i="6"/>
  <c r="Q445" i="6"/>
  <c r="L445" i="6"/>
  <c r="M445" i="6"/>
  <c r="N85" i="6"/>
  <c r="R85" i="6"/>
  <c r="R686" i="5"/>
  <c r="I686" i="5"/>
  <c r="J686" i="5"/>
  <c r="S85" i="6"/>
  <c r="R685" i="6"/>
  <c r="S685" i="6"/>
  <c r="N685" i="6"/>
  <c r="I1166" i="5"/>
  <c r="J1166" i="5"/>
  <c r="R1166" i="5"/>
  <c r="P205" i="5"/>
  <c r="T205" i="5"/>
  <c r="U205" i="5"/>
  <c r="P1165" i="5"/>
  <c r="T1165" i="5"/>
  <c r="U1165" i="5"/>
  <c r="P1045" i="5"/>
  <c r="T1045" i="5"/>
  <c r="U1045" i="5"/>
  <c r="I326" i="5"/>
  <c r="J326" i="5"/>
  <c r="R326" i="5"/>
  <c r="R1165" i="6"/>
  <c r="S1165" i="6"/>
  <c r="N1165" i="6"/>
  <c r="T685" i="5"/>
  <c r="U685" i="5"/>
  <c r="P685" i="5"/>
  <c r="N325" i="6"/>
  <c r="R325" i="6"/>
  <c r="S325" i="6"/>
  <c r="S925" i="6"/>
  <c r="T445" i="5"/>
  <c r="U445" i="5"/>
  <c r="P445" i="5"/>
  <c r="I1046" i="5"/>
  <c r="J1046" i="5"/>
  <c r="R1046" i="5"/>
  <c r="R925" i="6"/>
  <c r="N925" i="6"/>
  <c r="T805" i="5"/>
  <c r="U805" i="5"/>
  <c r="P805" i="5"/>
  <c r="I446" i="5"/>
  <c r="J446" i="5"/>
  <c r="R446" i="5"/>
  <c r="N565" i="6"/>
  <c r="R565" i="6"/>
  <c r="S565" i="6"/>
  <c r="T325" i="5"/>
  <c r="U325" i="5"/>
  <c r="P325" i="5"/>
  <c r="N205" i="6"/>
  <c r="R205" i="6"/>
  <c r="S205" i="6"/>
  <c r="P85" i="5"/>
  <c r="T85" i="5"/>
  <c r="U85" i="5"/>
  <c r="R926" i="5"/>
  <c r="I926" i="5"/>
  <c r="J926" i="5"/>
  <c r="R1045" i="6"/>
  <c r="N1045" i="6"/>
  <c r="I206" i="5"/>
  <c r="J206" i="5"/>
  <c r="R206" i="5"/>
  <c r="N445" i="6"/>
  <c r="R445" i="6"/>
  <c r="S445" i="6"/>
  <c r="I806" i="5"/>
  <c r="J806" i="5"/>
  <c r="R806" i="5"/>
  <c r="I566" i="5"/>
  <c r="J566" i="5"/>
  <c r="R566" i="5"/>
  <c r="N805" i="6"/>
  <c r="R805" i="6"/>
  <c r="S805" i="6"/>
  <c r="I86" i="5"/>
  <c r="J86" i="5"/>
  <c r="R86" i="5"/>
  <c r="T565" i="5"/>
  <c r="U565" i="5"/>
  <c r="P565" i="5"/>
  <c r="T925" i="5"/>
  <c r="U925" i="5"/>
  <c r="P925" i="5"/>
  <c r="S1045" i="6"/>
  <c r="S86" i="5"/>
  <c r="K86" i="5"/>
  <c r="K1046" i="5"/>
  <c r="S1046" i="5"/>
  <c r="M686" i="5"/>
  <c r="Q685" i="5"/>
  <c r="W685" i="5"/>
  <c r="X685" i="5"/>
  <c r="Q1045" i="5"/>
  <c r="W1045" i="5"/>
  <c r="X1045" i="5"/>
  <c r="M1046" i="5"/>
  <c r="J686" i="6"/>
  <c r="K686" i="6"/>
  <c r="O685" i="6"/>
  <c r="U685" i="6"/>
  <c r="V685" i="6"/>
  <c r="O445" i="6"/>
  <c r="U445" i="6"/>
  <c r="V445" i="6"/>
  <c r="J446" i="6"/>
  <c r="K446" i="6"/>
  <c r="M86" i="5"/>
  <c r="Q85" i="5"/>
  <c r="W85" i="5"/>
  <c r="X85" i="5"/>
  <c r="M446" i="5"/>
  <c r="Q445" i="5"/>
  <c r="W445" i="5"/>
  <c r="X445" i="5"/>
  <c r="K1166" i="5"/>
  <c r="S1166" i="5"/>
  <c r="J806" i="6"/>
  <c r="K806" i="6"/>
  <c r="O805" i="6"/>
  <c r="U805" i="6"/>
  <c r="V805" i="6"/>
  <c r="O1165" i="6"/>
  <c r="U1165" i="6"/>
  <c r="V1165" i="6"/>
  <c r="J1166" i="6"/>
  <c r="K1166" i="6"/>
  <c r="J206" i="6"/>
  <c r="K206" i="6"/>
  <c r="O205" i="6"/>
  <c r="U205" i="6"/>
  <c r="V205" i="6"/>
  <c r="K686" i="5"/>
  <c r="S686" i="5"/>
  <c r="J326" i="6"/>
  <c r="K326" i="6"/>
  <c r="O325" i="6"/>
  <c r="U325" i="6"/>
  <c r="V325" i="6"/>
  <c r="O565" i="6"/>
  <c r="U565" i="6"/>
  <c r="V565" i="6"/>
  <c r="J566" i="6"/>
  <c r="K566" i="6"/>
  <c r="M926" i="5"/>
  <c r="Q925" i="5"/>
  <c r="W925" i="5"/>
  <c r="X925" i="5"/>
  <c r="S206" i="5"/>
  <c r="K206" i="5"/>
  <c r="Q565" i="5"/>
  <c r="W565" i="5"/>
  <c r="X565" i="5"/>
  <c r="M566" i="5"/>
  <c r="J1046" i="6"/>
  <c r="K1046" i="6"/>
  <c r="O1045" i="6"/>
  <c r="U1045" i="6"/>
  <c r="V1045" i="6"/>
  <c r="S566" i="5"/>
  <c r="K566" i="5"/>
  <c r="M806" i="5"/>
  <c r="Q805" i="5"/>
  <c r="W805" i="5"/>
  <c r="X805" i="5"/>
  <c r="Q1165" i="5"/>
  <c r="W1165" i="5"/>
  <c r="X1165" i="5"/>
  <c r="M1166" i="5"/>
  <c r="Q325" i="5"/>
  <c r="W325" i="5"/>
  <c r="X325" i="5"/>
  <c r="M326" i="5"/>
  <c r="J926" i="6"/>
  <c r="K926" i="6"/>
  <c r="O925" i="6"/>
  <c r="U925" i="6"/>
  <c r="V925" i="6"/>
  <c r="M206" i="5"/>
  <c r="Q205" i="5"/>
  <c r="W205" i="5"/>
  <c r="X205" i="5"/>
  <c r="S806" i="5"/>
  <c r="K806" i="5"/>
  <c r="S446" i="5"/>
  <c r="K446" i="5"/>
  <c r="S926" i="5"/>
  <c r="K926" i="5"/>
  <c r="S326" i="5"/>
  <c r="K326" i="5"/>
  <c r="J86" i="6"/>
  <c r="K86" i="6"/>
  <c r="O85" i="6"/>
  <c r="U85" i="6"/>
  <c r="V85" i="6"/>
  <c r="L1046" i="6"/>
  <c r="M1046" i="6"/>
  <c r="Q1046" i="6"/>
  <c r="Q326" i="6"/>
  <c r="L326" i="6"/>
  <c r="M326" i="6"/>
  <c r="G447" i="5"/>
  <c r="H447" i="5"/>
  <c r="L446" i="5"/>
  <c r="N446" i="5"/>
  <c r="Q806" i="6"/>
  <c r="L806" i="6"/>
  <c r="M806" i="6"/>
  <c r="Q446" i="6"/>
  <c r="L446" i="6"/>
  <c r="M446" i="6"/>
  <c r="L926" i="6"/>
  <c r="M926" i="6"/>
  <c r="Q926" i="6"/>
  <c r="L326" i="5"/>
  <c r="N326" i="5"/>
  <c r="G327" i="5"/>
  <c r="H327" i="5"/>
  <c r="L806" i="5"/>
  <c r="N806" i="5"/>
  <c r="G807" i="5"/>
  <c r="H807" i="5"/>
  <c r="L686" i="5"/>
  <c r="N686" i="5"/>
  <c r="G687" i="5"/>
  <c r="H687" i="5"/>
  <c r="G1047" i="5"/>
  <c r="H1047" i="5"/>
  <c r="L1046" i="5"/>
  <c r="N1046" i="5"/>
  <c r="Q86" i="6"/>
  <c r="L86" i="6"/>
  <c r="M86" i="6"/>
  <c r="G207" i="5"/>
  <c r="H207" i="5"/>
  <c r="L206" i="5"/>
  <c r="N206" i="5"/>
  <c r="L1166" i="5"/>
  <c r="N1166" i="5"/>
  <c r="G1167" i="5"/>
  <c r="H1167" i="5"/>
  <c r="G87" i="5"/>
  <c r="H87" i="5"/>
  <c r="L86" i="5"/>
  <c r="N86" i="5"/>
  <c r="L1166" i="6"/>
  <c r="M1166" i="6"/>
  <c r="Q1166" i="6"/>
  <c r="L566" i="5"/>
  <c r="N566" i="5"/>
  <c r="G567" i="5"/>
  <c r="H567" i="5"/>
  <c r="L926" i="5"/>
  <c r="N926" i="5"/>
  <c r="G927" i="5"/>
  <c r="H927" i="5"/>
  <c r="Q566" i="6"/>
  <c r="L566" i="6"/>
  <c r="M566" i="6"/>
  <c r="Q206" i="6"/>
  <c r="L206" i="6"/>
  <c r="M206" i="6"/>
  <c r="L686" i="6"/>
  <c r="M686" i="6"/>
  <c r="Q686" i="6"/>
  <c r="R926" i="6"/>
  <c r="N926" i="6"/>
  <c r="I1167" i="5"/>
  <c r="J1167" i="5"/>
  <c r="R1167" i="5"/>
  <c r="R687" i="5"/>
  <c r="I687" i="5"/>
  <c r="J687" i="5"/>
  <c r="R446" i="6"/>
  <c r="S446" i="6"/>
  <c r="N446" i="6"/>
  <c r="N566" i="6"/>
  <c r="R566" i="6"/>
  <c r="S926" i="6"/>
  <c r="R87" i="5"/>
  <c r="I87" i="5"/>
  <c r="J87" i="5"/>
  <c r="T926" i="5"/>
  <c r="U926" i="5"/>
  <c r="P926" i="5"/>
  <c r="T1166" i="5"/>
  <c r="U1166" i="5"/>
  <c r="P1166" i="5"/>
  <c r="T686" i="5"/>
  <c r="U686" i="5"/>
  <c r="P686" i="5"/>
  <c r="R1046" i="6"/>
  <c r="S1046" i="6"/>
  <c r="N1046" i="6"/>
  <c r="R806" i="6"/>
  <c r="N806" i="6"/>
  <c r="P86" i="5"/>
  <c r="T86" i="5"/>
  <c r="U86" i="5"/>
  <c r="R686" i="6"/>
  <c r="S686" i="6"/>
  <c r="N686" i="6"/>
  <c r="T806" i="5"/>
  <c r="U806" i="5"/>
  <c r="P806" i="5"/>
  <c r="S806" i="6"/>
  <c r="P1046" i="5"/>
  <c r="T1046" i="5"/>
  <c r="U1046" i="5"/>
  <c r="S566" i="6"/>
  <c r="I927" i="5"/>
  <c r="J927" i="5"/>
  <c r="R927" i="5"/>
  <c r="P206" i="5"/>
  <c r="T206" i="5"/>
  <c r="U206" i="5"/>
  <c r="T566" i="5"/>
  <c r="U566" i="5"/>
  <c r="P566" i="5"/>
  <c r="N86" i="6"/>
  <c r="R86" i="6"/>
  <c r="S86" i="6"/>
  <c r="I327" i="5"/>
  <c r="J327" i="5"/>
  <c r="R327" i="5"/>
  <c r="T446" i="5"/>
  <c r="U446" i="5"/>
  <c r="P446" i="5"/>
  <c r="R326" i="6"/>
  <c r="S326" i="6"/>
  <c r="N326" i="6"/>
  <c r="I1047" i="5"/>
  <c r="J1047" i="5"/>
  <c r="R1047" i="5"/>
  <c r="I567" i="5"/>
  <c r="J567" i="5"/>
  <c r="R567" i="5"/>
  <c r="I807" i="5"/>
  <c r="J807" i="5"/>
  <c r="R807" i="5"/>
  <c r="I207" i="5"/>
  <c r="J207" i="5"/>
  <c r="R207" i="5"/>
  <c r="N206" i="6"/>
  <c r="R206" i="6"/>
  <c r="S206" i="6"/>
  <c r="R1166" i="6"/>
  <c r="S1166" i="6"/>
  <c r="N1166" i="6"/>
  <c r="T326" i="5"/>
  <c r="U326" i="5"/>
  <c r="P326" i="5"/>
  <c r="R447" i="5"/>
  <c r="I447" i="5"/>
  <c r="J447" i="5"/>
  <c r="S87" i="5"/>
  <c r="K87" i="5"/>
  <c r="S687" i="5"/>
  <c r="K687" i="5"/>
  <c r="J1047" i="6"/>
  <c r="K1047" i="6"/>
  <c r="O1046" i="6"/>
  <c r="U1046" i="6"/>
  <c r="V1046" i="6"/>
  <c r="S927" i="5"/>
  <c r="K927" i="5"/>
  <c r="S327" i="5"/>
  <c r="K327" i="5"/>
  <c r="M687" i="5"/>
  <c r="Q686" i="5"/>
  <c r="W686" i="5"/>
  <c r="X686" i="5"/>
  <c r="K1167" i="5"/>
  <c r="S1167" i="5"/>
  <c r="S807" i="5"/>
  <c r="K807" i="5"/>
  <c r="M207" i="5"/>
  <c r="Q206" i="5"/>
  <c r="W206" i="5"/>
  <c r="X206" i="5"/>
  <c r="K447" i="5"/>
  <c r="S447" i="5"/>
  <c r="Q326" i="5"/>
  <c r="W326" i="5"/>
  <c r="X326" i="5"/>
  <c r="M327" i="5"/>
  <c r="J207" i="6"/>
  <c r="K207" i="6"/>
  <c r="O206" i="6"/>
  <c r="U206" i="6"/>
  <c r="V206" i="6"/>
  <c r="M87" i="5"/>
  <c r="Q86" i="5"/>
  <c r="W86" i="5"/>
  <c r="X86" i="5"/>
  <c r="J327" i="6"/>
  <c r="K327" i="6"/>
  <c r="O326" i="6"/>
  <c r="U326" i="6"/>
  <c r="V326" i="6"/>
  <c r="Q566" i="5"/>
  <c r="W566" i="5"/>
  <c r="X566" i="5"/>
  <c r="M567" i="5"/>
  <c r="Q1046" i="5"/>
  <c r="W1046" i="5"/>
  <c r="X1046" i="5"/>
  <c r="M1047" i="5"/>
  <c r="J807" i="6"/>
  <c r="K807" i="6"/>
  <c r="O806" i="6"/>
  <c r="U806" i="6"/>
  <c r="V806" i="6"/>
  <c r="Q1166" i="5"/>
  <c r="W1166" i="5"/>
  <c r="X1166" i="5"/>
  <c r="M1167" i="5"/>
  <c r="O566" i="6"/>
  <c r="U566" i="6"/>
  <c r="V566" i="6"/>
  <c r="J567" i="6"/>
  <c r="K567" i="6"/>
  <c r="O686" i="6"/>
  <c r="U686" i="6"/>
  <c r="V686" i="6"/>
  <c r="J687" i="6"/>
  <c r="K687" i="6"/>
  <c r="K1047" i="5"/>
  <c r="S1047" i="5"/>
  <c r="J87" i="6"/>
  <c r="K87" i="6"/>
  <c r="O86" i="6"/>
  <c r="U86" i="6"/>
  <c r="V86" i="6"/>
  <c r="O926" i="6"/>
  <c r="U926" i="6"/>
  <c r="V926" i="6"/>
  <c r="J927" i="6"/>
  <c r="K927" i="6"/>
  <c r="K567" i="5"/>
  <c r="S567" i="5"/>
  <c r="S207" i="5"/>
  <c r="K207" i="5"/>
  <c r="O1166" i="6"/>
  <c r="U1166" i="6"/>
  <c r="V1166" i="6"/>
  <c r="J1167" i="6"/>
  <c r="K1167" i="6"/>
  <c r="M447" i="5"/>
  <c r="Q446" i="5"/>
  <c r="W446" i="5"/>
  <c r="X446" i="5"/>
  <c r="M807" i="5"/>
  <c r="Q806" i="5"/>
  <c r="W806" i="5"/>
  <c r="X806" i="5"/>
  <c r="M927" i="5"/>
  <c r="Q926" i="5"/>
  <c r="W926" i="5"/>
  <c r="X926" i="5"/>
  <c r="J447" i="6"/>
  <c r="K447" i="6"/>
  <c r="O446" i="6"/>
  <c r="U446" i="6"/>
  <c r="V446" i="6"/>
  <c r="Q927" i="6"/>
  <c r="L927" i="6"/>
  <c r="M927" i="6"/>
  <c r="G448" i="5"/>
  <c r="H448" i="5"/>
  <c r="L447" i="5"/>
  <c r="N447" i="5"/>
  <c r="Q447" i="6"/>
  <c r="L447" i="6"/>
  <c r="M447" i="6"/>
  <c r="L567" i="5"/>
  <c r="N567" i="5"/>
  <c r="G568" i="5"/>
  <c r="H568" i="5"/>
  <c r="Q567" i="6"/>
  <c r="L567" i="6"/>
  <c r="M567" i="6"/>
  <c r="Q207" i="6"/>
  <c r="L207" i="6"/>
  <c r="M207" i="6"/>
  <c r="L327" i="5"/>
  <c r="N327" i="5"/>
  <c r="G328" i="5"/>
  <c r="H328" i="5"/>
  <c r="L1047" i="6"/>
  <c r="M1047" i="6"/>
  <c r="Q1047" i="6"/>
  <c r="Q1167" i="6"/>
  <c r="L1167" i="6"/>
  <c r="M1167" i="6"/>
  <c r="L687" i="5"/>
  <c r="N687" i="5"/>
  <c r="G688" i="5"/>
  <c r="H688" i="5"/>
  <c r="L807" i="5"/>
  <c r="N807" i="5"/>
  <c r="G808" i="5"/>
  <c r="H808" i="5"/>
  <c r="L87" i="6"/>
  <c r="M87" i="6"/>
  <c r="Q87" i="6"/>
  <c r="G208" i="5"/>
  <c r="H208" i="5"/>
  <c r="L207" i="5"/>
  <c r="N207" i="5"/>
  <c r="L327" i="6"/>
  <c r="M327" i="6"/>
  <c r="Q327" i="6"/>
  <c r="G88" i="5"/>
  <c r="H88" i="5"/>
  <c r="L87" i="5"/>
  <c r="N87" i="5"/>
  <c r="G1048" i="5"/>
  <c r="H1048" i="5"/>
  <c r="L1047" i="5"/>
  <c r="N1047" i="5"/>
  <c r="L927" i="5"/>
  <c r="N927" i="5"/>
  <c r="G928" i="5"/>
  <c r="H928" i="5"/>
  <c r="L687" i="6"/>
  <c r="M687" i="6"/>
  <c r="Q687" i="6"/>
  <c r="L807" i="6"/>
  <c r="M807" i="6"/>
  <c r="Q807" i="6"/>
  <c r="G1168" i="5"/>
  <c r="H1168" i="5"/>
  <c r="L1167" i="5"/>
  <c r="N1167" i="5"/>
  <c r="R327" i="6"/>
  <c r="N327" i="6"/>
  <c r="N927" i="6"/>
  <c r="R927" i="6"/>
  <c r="S927" i="6"/>
  <c r="N1167" i="6"/>
  <c r="R1167" i="6"/>
  <c r="R208" i="5"/>
  <c r="I208" i="5"/>
  <c r="J208" i="5"/>
  <c r="N567" i="6"/>
  <c r="R567" i="6"/>
  <c r="S567" i="6"/>
  <c r="T927" i="5"/>
  <c r="U927" i="5"/>
  <c r="P927" i="5"/>
  <c r="S1167" i="6"/>
  <c r="T1167" i="5"/>
  <c r="U1167" i="5"/>
  <c r="P1167" i="5"/>
  <c r="P1047" i="5"/>
  <c r="T1047" i="5"/>
  <c r="U1047" i="5"/>
  <c r="S1047" i="6"/>
  <c r="I568" i="5"/>
  <c r="J568" i="5"/>
  <c r="R568" i="5"/>
  <c r="T687" i="5"/>
  <c r="U687" i="5"/>
  <c r="P687" i="5"/>
  <c r="P207" i="5"/>
  <c r="T207" i="5"/>
  <c r="U207" i="5"/>
  <c r="R87" i="6"/>
  <c r="S87" i="6"/>
  <c r="N87" i="6"/>
  <c r="N1047" i="6"/>
  <c r="R1047" i="6"/>
  <c r="T567" i="5"/>
  <c r="U567" i="5"/>
  <c r="P567" i="5"/>
  <c r="I1168" i="5"/>
  <c r="J1168" i="5"/>
  <c r="R1168" i="5"/>
  <c r="I808" i="5"/>
  <c r="J808" i="5"/>
  <c r="R808" i="5"/>
  <c r="R447" i="6"/>
  <c r="N447" i="6"/>
  <c r="N687" i="6"/>
  <c r="R687" i="6"/>
  <c r="R928" i="5"/>
  <c r="I928" i="5"/>
  <c r="J928" i="5"/>
  <c r="P87" i="5"/>
  <c r="T87" i="5"/>
  <c r="U87" i="5"/>
  <c r="R807" i="6"/>
  <c r="S807" i="6"/>
  <c r="N807" i="6"/>
  <c r="R88" i="5"/>
  <c r="I88" i="5"/>
  <c r="J88" i="5"/>
  <c r="T807" i="5"/>
  <c r="U807" i="5"/>
  <c r="P807" i="5"/>
  <c r="T327" i="5"/>
  <c r="U327" i="5"/>
  <c r="P327" i="5"/>
  <c r="S447" i="6"/>
  <c r="I448" i="5"/>
  <c r="J448" i="5"/>
  <c r="R448" i="5"/>
  <c r="I1048" i="5"/>
  <c r="J1048" i="5"/>
  <c r="R1048" i="5"/>
  <c r="I328" i="5"/>
  <c r="J328" i="5"/>
  <c r="R328" i="5"/>
  <c r="S687" i="6"/>
  <c r="S327" i="6"/>
  <c r="R688" i="5"/>
  <c r="I688" i="5"/>
  <c r="J688" i="5"/>
  <c r="R207" i="6"/>
  <c r="S207" i="6"/>
  <c r="N207" i="6"/>
  <c r="P447" i="5"/>
  <c r="T447" i="5"/>
  <c r="U447" i="5"/>
  <c r="S208" i="5"/>
  <c r="K208" i="5"/>
  <c r="Q327" i="5"/>
  <c r="W327" i="5"/>
  <c r="X327" i="5"/>
  <c r="M328" i="5"/>
  <c r="M88" i="5"/>
  <c r="Q87" i="5"/>
  <c r="W87" i="5"/>
  <c r="X87" i="5"/>
  <c r="O1047" i="6"/>
  <c r="U1047" i="6"/>
  <c r="V1047" i="6"/>
  <c r="J1048" i="6"/>
  <c r="K1048" i="6"/>
  <c r="K568" i="5"/>
  <c r="S568" i="5"/>
  <c r="M928" i="5"/>
  <c r="Q927" i="5"/>
  <c r="W927" i="5"/>
  <c r="X927" i="5"/>
  <c r="S808" i="5"/>
  <c r="K808" i="5"/>
  <c r="J88" i="6"/>
  <c r="K88" i="6"/>
  <c r="O87" i="6"/>
  <c r="U87" i="6"/>
  <c r="V87" i="6"/>
  <c r="J1168" i="6"/>
  <c r="K1168" i="6"/>
  <c r="O1167" i="6"/>
  <c r="U1167" i="6"/>
  <c r="V1167" i="6"/>
  <c r="M448" i="5"/>
  <c r="Q447" i="5"/>
  <c r="W447" i="5"/>
  <c r="X447" i="5"/>
  <c r="S928" i="5"/>
  <c r="K928" i="5"/>
  <c r="O447" i="6"/>
  <c r="U447" i="6"/>
  <c r="V447" i="6"/>
  <c r="J448" i="6"/>
  <c r="K448" i="6"/>
  <c r="M808" i="5"/>
  <c r="Q807" i="5"/>
  <c r="W807" i="5"/>
  <c r="X807" i="5"/>
  <c r="S1168" i="5"/>
  <c r="K1168" i="5"/>
  <c r="J568" i="6"/>
  <c r="K568" i="6"/>
  <c r="O567" i="6"/>
  <c r="U567" i="6"/>
  <c r="V567" i="6"/>
  <c r="O927" i="6"/>
  <c r="U927" i="6"/>
  <c r="V927" i="6"/>
  <c r="J928" i="6"/>
  <c r="K928" i="6"/>
  <c r="S328" i="5"/>
  <c r="K328" i="5"/>
  <c r="J208" i="6"/>
  <c r="K208" i="6"/>
  <c r="O207" i="6"/>
  <c r="U207" i="6"/>
  <c r="V207" i="6"/>
  <c r="S88" i="5"/>
  <c r="K88" i="5"/>
  <c r="M208" i="5"/>
  <c r="Q207" i="5"/>
  <c r="W207" i="5"/>
  <c r="X207" i="5"/>
  <c r="Q1047" i="5"/>
  <c r="W1047" i="5"/>
  <c r="X1047" i="5"/>
  <c r="M1048" i="5"/>
  <c r="O327" i="6"/>
  <c r="U327" i="6"/>
  <c r="V327" i="6"/>
  <c r="J328" i="6"/>
  <c r="K328" i="6"/>
  <c r="K1048" i="5"/>
  <c r="S1048" i="5"/>
  <c r="K688" i="5"/>
  <c r="S688" i="5"/>
  <c r="K448" i="5"/>
  <c r="S448" i="5"/>
  <c r="O807" i="6"/>
  <c r="U807" i="6"/>
  <c r="V807" i="6"/>
  <c r="J808" i="6"/>
  <c r="K808" i="6"/>
  <c r="J688" i="6"/>
  <c r="K688" i="6"/>
  <c r="O687" i="6"/>
  <c r="U687" i="6"/>
  <c r="V687" i="6"/>
  <c r="Q567" i="5"/>
  <c r="W567" i="5"/>
  <c r="X567" i="5"/>
  <c r="M568" i="5"/>
  <c r="M688" i="5"/>
  <c r="Q687" i="5"/>
  <c r="W687" i="5"/>
  <c r="X687" i="5"/>
  <c r="Q1167" i="5"/>
  <c r="W1167" i="5"/>
  <c r="X1167" i="5"/>
  <c r="M1168" i="5"/>
  <c r="Q688" i="6"/>
  <c r="L688" i="6"/>
  <c r="M688" i="6"/>
  <c r="L328" i="5"/>
  <c r="N328" i="5"/>
  <c r="G329" i="5"/>
  <c r="H329" i="5"/>
  <c r="L688" i="5"/>
  <c r="N688" i="5"/>
  <c r="G689" i="5"/>
  <c r="H689" i="5"/>
  <c r="L808" i="6"/>
  <c r="M808" i="6"/>
  <c r="Q808" i="6"/>
  <c r="Q928" i="6"/>
  <c r="L928" i="6"/>
  <c r="M928" i="6"/>
  <c r="L448" i="6"/>
  <c r="M448" i="6"/>
  <c r="Q448" i="6"/>
  <c r="G1049" i="5"/>
  <c r="H1049" i="5"/>
  <c r="L1048" i="5"/>
  <c r="N1048" i="5"/>
  <c r="G89" i="5"/>
  <c r="H89" i="5"/>
  <c r="L88" i="5"/>
  <c r="N88" i="5"/>
  <c r="Q1168" i="6"/>
  <c r="L1168" i="6"/>
  <c r="M1168" i="6"/>
  <c r="L568" i="5"/>
  <c r="N568" i="5"/>
  <c r="G569" i="5"/>
  <c r="H569" i="5"/>
  <c r="G449" i="5"/>
  <c r="H449" i="5"/>
  <c r="L448" i="5"/>
  <c r="N448" i="5"/>
  <c r="L1048" i="6"/>
  <c r="M1048" i="6"/>
  <c r="Q1048" i="6"/>
  <c r="G209" i="5"/>
  <c r="H209" i="5"/>
  <c r="L208" i="5"/>
  <c r="N208" i="5"/>
  <c r="L328" i="6"/>
  <c r="M328" i="6"/>
  <c r="Q328" i="6"/>
  <c r="L568" i="6"/>
  <c r="M568" i="6"/>
  <c r="Q568" i="6"/>
  <c r="G1169" i="5"/>
  <c r="H1169" i="5"/>
  <c r="L1168" i="5"/>
  <c r="N1168" i="5"/>
  <c r="L928" i="5"/>
  <c r="N928" i="5"/>
  <c r="G929" i="5"/>
  <c r="H929" i="5"/>
  <c r="L88" i="6"/>
  <c r="M88" i="6"/>
  <c r="Q88" i="6"/>
  <c r="L208" i="6"/>
  <c r="M208" i="6"/>
  <c r="Q208" i="6"/>
  <c r="L808" i="5"/>
  <c r="N808" i="5"/>
  <c r="G809" i="5"/>
  <c r="H809" i="5"/>
  <c r="N688" i="6"/>
  <c r="R688" i="6"/>
  <c r="N928" i="6"/>
  <c r="R928" i="6"/>
  <c r="S928" i="6"/>
  <c r="T928" i="5"/>
  <c r="U928" i="5"/>
  <c r="P928" i="5"/>
  <c r="R209" i="5"/>
  <c r="I209" i="5"/>
  <c r="J209" i="5"/>
  <c r="S688" i="6"/>
  <c r="R809" i="5"/>
  <c r="I809" i="5"/>
  <c r="J809" i="5"/>
  <c r="P88" i="5"/>
  <c r="T88" i="5"/>
  <c r="U88" i="5"/>
  <c r="P208" i="5"/>
  <c r="T208" i="5"/>
  <c r="U208" i="5"/>
  <c r="N1048" i="6"/>
  <c r="R1048" i="6"/>
  <c r="S1048" i="6"/>
  <c r="I89" i="5"/>
  <c r="J89" i="5"/>
  <c r="R89" i="5"/>
  <c r="N808" i="6"/>
  <c r="R808" i="6"/>
  <c r="S808" i="6"/>
  <c r="P1048" i="5"/>
  <c r="T1048" i="5"/>
  <c r="U1048" i="5"/>
  <c r="R689" i="5"/>
  <c r="I689" i="5"/>
  <c r="J689" i="5"/>
  <c r="R1168" i="6"/>
  <c r="S1168" i="6"/>
  <c r="N1168" i="6"/>
  <c r="I1169" i="5"/>
  <c r="J1169" i="5"/>
  <c r="R1169" i="5"/>
  <c r="R568" i="6"/>
  <c r="S568" i="6"/>
  <c r="N568" i="6"/>
  <c r="I449" i="5"/>
  <c r="J449" i="5"/>
  <c r="R449" i="5"/>
  <c r="I1049" i="5"/>
  <c r="J1049" i="5"/>
  <c r="R1049" i="5"/>
  <c r="T688" i="5"/>
  <c r="U688" i="5"/>
  <c r="P688" i="5"/>
  <c r="S448" i="6"/>
  <c r="I329" i="5"/>
  <c r="J329" i="5"/>
  <c r="R329" i="5"/>
  <c r="I929" i="5"/>
  <c r="J929" i="5"/>
  <c r="R929" i="5"/>
  <c r="P1168" i="5"/>
  <c r="T1168" i="5"/>
  <c r="U1168" i="5"/>
  <c r="T808" i="5"/>
  <c r="U808" i="5"/>
  <c r="P808" i="5"/>
  <c r="P448" i="5"/>
  <c r="T448" i="5"/>
  <c r="U448" i="5"/>
  <c r="R208" i="6"/>
  <c r="S208" i="6"/>
  <c r="N208" i="6"/>
  <c r="I569" i="5"/>
  <c r="J569" i="5"/>
  <c r="R569" i="5"/>
  <c r="R88" i="6"/>
  <c r="S88" i="6"/>
  <c r="N88" i="6"/>
  <c r="N328" i="6"/>
  <c r="R328" i="6"/>
  <c r="S328" i="6"/>
  <c r="T568" i="5"/>
  <c r="U568" i="5"/>
  <c r="P568" i="5"/>
  <c r="R448" i="6"/>
  <c r="N448" i="6"/>
  <c r="T328" i="5"/>
  <c r="U328" i="5"/>
  <c r="P328" i="5"/>
  <c r="O208" i="6"/>
  <c r="U208" i="6"/>
  <c r="V208" i="6"/>
  <c r="J209" i="6"/>
  <c r="K209" i="6"/>
  <c r="S1049" i="5"/>
  <c r="K1049" i="5"/>
  <c r="J1169" i="6"/>
  <c r="K1169" i="6"/>
  <c r="O1168" i="6"/>
  <c r="U1168" i="6"/>
  <c r="V1168" i="6"/>
  <c r="J809" i="6"/>
  <c r="K809" i="6"/>
  <c r="O808" i="6"/>
  <c r="U808" i="6"/>
  <c r="V808" i="6"/>
  <c r="S209" i="5"/>
  <c r="K209" i="5"/>
  <c r="Q328" i="5"/>
  <c r="W328" i="5"/>
  <c r="X328" i="5"/>
  <c r="M329" i="5"/>
  <c r="S89" i="5"/>
  <c r="K89" i="5"/>
  <c r="M929" i="5"/>
  <c r="Q928" i="5"/>
  <c r="W928" i="5"/>
  <c r="X928" i="5"/>
  <c r="J329" i="6"/>
  <c r="K329" i="6"/>
  <c r="O328" i="6"/>
  <c r="U328" i="6"/>
  <c r="V328" i="6"/>
  <c r="K449" i="5"/>
  <c r="S449" i="5"/>
  <c r="O568" i="6"/>
  <c r="U568" i="6"/>
  <c r="V568" i="6"/>
  <c r="J569" i="6"/>
  <c r="K569" i="6"/>
  <c r="S809" i="5"/>
  <c r="K809" i="5"/>
  <c r="S689" i="5"/>
  <c r="K689" i="5"/>
  <c r="M449" i="5"/>
  <c r="Q448" i="5"/>
  <c r="W448" i="5"/>
  <c r="X448" i="5"/>
  <c r="S929" i="5"/>
  <c r="K929" i="5"/>
  <c r="M689" i="5"/>
  <c r="Q688" i="5"/>
  <c r="W688" i="5"/>
  <c r="X688" i="5"/>
  <c r="Q1048" i="5"/>
  <c r="W1048" i="5"/>
  <c r="X1048" i="5"/>
  <c r="M1049" i="5"/>
  <c r="J929" i="6"/>
  <c r="K929" i="6"/>
  <c r="O928" i="6"/>
  <c r="U928" i="6"/>
  <c r="V928" i="6"/>
  <c r="M89" i="5"/>
  <c r="Q88" i="5"/>
  <c r="W88" i="5"/>
  <c r="X88" i="5"/>
  <c r="O88" i="6"/>
  <c r="U88" i="6"/>
  <c r="V88" i="6"/>
  <c r="J89" i="6"/>
  <c r="K89" i="6"/>
  <c r="K569" i="5"/>
  <c r="S569" i="5"/>
  <c r="Q568" i="5"/>
  <c r="W568" i="5"/>
  <c r="X568" i="5"/>
  <c r="M569" i="5"/>
  <c r="M209" i="5"/>
  <c r="Q208" i="5"/>
  <c r="W208" i="5"/>
  <c r="X208" i="5"/>
  <c r="S329" i="5"/>
  <c r="K329" i="5"/>
  <c r="J449" i="6"/>
  <c r="K449" i="6"/>
  <c r="O448" i="6"/>
  <c r="U448" i="6"/>
  <c r="V448" i="6"/>
  <c r="M809" i="5"/>
  <c r="Q808" i="5"/>
  <c r="W808" i="5"/>
  <c r="X808" i="5"/>
  <c r="J1049" i="6"/>
  <c r="K1049" i="6"/>
  <c r="O1048" i="6"/>
  <c r="U1048" i="6"/>
  <c r="V1048" i="6"/>
  <c r="Q1168" i="5"/>
  <c r="W1168" i="5"/>
  <c r="X1168" i="5"/>
  <c r="M1169" i="5"/>
  <c r="S1169" i="5"/>
  <c r="K1169" i="5"/>
  <c r="J689" i="6"/>
  <c r="K689" i="6"/>
  <c r="O688" i="6"/>
  <c r="U688" i="6"/>
  <c r="V688" i="6"/>
  <c r="L569" i="6"/>
  <c r="M569" i="6"/>
  <c r="Q569" i="6"/>
  <c r="L569" i="5"/>
  <c r="N569" i="5"/>
  <c r="G570" i="5"/>
  <c r="H570" i="5"/>
  <c r="L929" i="5"/>
  <c r="N929" i="5"/>
  <c r="G930" i="5"/>
  <c r="H930" i="5"/>
  <c r="Q809" i="6"/>
  <c r="L809" i="6"/>
  <c r="M809" i="6"/>
  <c r="Q1049" i="6"/>
  <c r="L1049" i="6"/>
  <c r="M1049" i="6"/>
  <c r="Q689" i="6"/>
  <c r="L689" i="6"/>
  <c r="M689" i="6"/>
  <c r="G1050" i="5"/>
  <c r="H1050" i="5"/>
  <c r="L1049" i="5"/>
  <c r="N1049" i="5"/>
  <c r="L1169" i="5"/>
  <c r="N1169" i="5"/>
  <c r="G1170" i="5"/>
  <c r="H1170" i="5"/>
  <c r="G450" i="5"/>
  <c r="H450" i="5"/>
  <c r="L449" i="5"/>
  <c r="N449" i="5"/>
  <c r="L89" i="6"/>
  <c r="M89" i="6"/>
  <c r="Q89" i="6"/>
  <c r="G90" i="5"/>
  <c r="H90" i="5"/>
  <c r="L89" i="5"/>
  <c r="N89" i="5"/>
  <c r="L689" i="5"/>
  <c r="N689" i="5"/>
  <c r="G690" i="5"/>
  <c r="H690" i="5"/>
  <c r="G210" i="5"/>
  <c r="H210" i="5"/>
  <c r="L209" i="5"/>
  <c r="N209" i="5"/>
  <c r="L1169" i="6"/>
  <c r="M1169" i="6"/>
  <c r="Q1169" i="6"/>
  <c r="Q329" i="6"/>
  <c r="L329" i="6"/>
  <c r="M329" i="6"/>
  <c r="L209" i="6"/>
  <c r="M209" i="6"/>
  <c r="Q209" i="6"/>
  <c r="Q449" i="6"/>
  <c r="L449" i="6"/>
  <c r="M449" i="6"/>
  <c r="L329" i="5"/>
  <c r="N329" i="5"/>
  <c r="G330" i="5"/>
  <c r="H330" i="5"/>
  <c r="Q929" i="6"/>
  <c r="L929" i="6"/>
  <c r="M929" i="6"/>
  <c r="L809" i="5"/>
  <c r="N809" i="5"/>
  <c r="G810" i="5"/>
  <c r="H810" i="5"/>
  <c r="I330" i="5"/>
  <c r="J330" i="5"/>
  <c r="R330" i="5"/>
  <c r="R689" i="6"/>
  <c r="S689" i="6"/>
  <c r="N689" i="6"/>
  <c r="I570" i="5"/>
  <c r="J570" i="5"/>
  <c r="R570" i="5"/>
  <c r="T569" i="5"/>
  <c r="U569" i="5"/>
  <c r="P569" i="5"/>
  <c r="T329" i="5"/>
  <c r="U329" i="5"/>
  <c r="P329" i="5"/>
  <c r="P209" i="5"/>
  <c r="T209" i="5"/>
  <c r="U209" i="5"/>
  <c r="T449" i="5"/>
  <c r="U449" i="5"/>
  <c r="P449" i="5"/>
  <c r="R1049" i="6"/>
  <c r="N1049" i="6"/>
  <c r="I210" i="5"/>
  <c r="J210" i="5"/>
  <c r="R210" i="5"/>
  <c r="I450" i="5"/>
  <c r="J450" i="5"/>
  <c r="R450" i="5"/>
  <c r="S1049" i="6"/>
  <c r="R569" i="6"/>
  <c r="S569" i="6"/>
  <c r="N569" i="6"/>
  <c r="N809" i="6"/>
  <c r="R809" i="6"/>
  <c r="S809" i="6"/>
  <c r="N89" i="6"/>
  <c r="R89" i="6"/>
  <c r="S89" i="6"/>
  <c r="R690" i="5"/>
  <c r="I690" i="5"/>
  <c r="J690" i="5"/>
  <c r="I1170" i="5"/>
  <c r="J1170" i="5"/>
  <c r="R1170" i="5"/>
  <c r="T809" i="5"/>
  <c r="U809" i="5"/>
  <c r="P809" i="5"/>
  <c r="N209" i="6"/>
  <c r="R209" i="6"/>
  <c r="S209" i="6"/>
  <c r="T689" i="5"/>
  <c r="U689" i="5"/>
  <c r="P689" i="5"/>
  <c r="T1169" i="5"/>
  <c r="U1169" i="5"/>
  <c r="P1169" i="5"/>
  <c r="N449" i="6"/>
  <c r="R449" i="6"/>
  <c r="S449" i="6"/>
  <c r="N329" i="6"/>
  <c r="R329" i="6"/>
  <c r="P1049" i="5"/>
  <c r="T1049" i="5"/>
  <c r="U1049" i="5"/>
  <c r="R930" i="5"/>
  <c r="I930" i="5"/>
  <c r="J930" i="5"/>
  <c r="R1169" i="6"/>
  <c r="S1169" i="6"/>
  <c r="N1169" i="6"/>
  <c r="I810" i="5"/>
  <c r="J810" i="5"/>
  <c r="R810" i="5"/>
  <c r="R929" i="6"/>
  <c r="N929" i="6"/>
  <c r="P89" i="5"/>
  <c r="T89" i="5"/>
  <c r="U89" i="5"/>
  <c r="S929" i="6"/>
  <c r="S329" i="6"/>
  <c r="I90" i="5"/>
  <c r="J90" i="5"/>
  <c r="R90" i="5"/>
  <c r="I1050" i="5"/>
  <c r="J1050" i="5"/>
  <c r="R1050" i="5"/>
  <c r="T929" i="5"/>
  <c r="U929" i="5"/>
  <c r="P929" i="5"/>
  <c r="S1170" i="5"/>
  <c r="K1170" i="5"/>
  <c r="O1169" i="6"/>
  <c r="U1169" i="6"/>
  <c r="V1169" i="6"/>
  <c r="J1170" i="6"/>
  <c r="K1170" i="6"/>
  <c r="O209" i="6"/>
  <c r="U209" i="6"/>
  <c r="V209" i="6"/>
  <c r="J210" i="6"/>
  <c r="K210" i="6"/>
  <c r="J90" i="6"/>
  <c r="K90" i="6"/>
  <c r="O89" i="6"/>
  <c r="U89" i="6"/>
  <c r="V89" i="6"/>
  <c r="J690" i="6"/>
  <c r="K690" i="6"/>
  <c r="O689" i="6"/>
  <c r="U689" i="6"/>
  <c r="V689" i="6"/>
  <c r="S210" i="5"/>
  <c r="K210" i="5"/>
  <c r="S930" i="5"/>
  <c r="K930" i="5"/>
  <c r="J810" i="6"/>
  <c r="K810" i="6"/>
  <c r="O809" i="6"/>
  <c r="U809" i="6"/>
  <c r="V809" i="6"/>
  <c r="Q329" i="5"/>
  <c r="W329" i="5"/>
  <c r="X329" i="5"/>
  <c r="M330" i="5"/>
  <c r="M810" i="5"/>
  <c r="Q809" i="5"/>
  <c r="W809" i="5"/>
  <c r="X809" i="5"/>
  <c r="M210" i="5"/>
  <c r="Q209" i="5"/>
  <c r="W209" i="5"/>
  <c r="X209" i="5"/>
  <c r="M930" i="5"/>
  <c r="Q929" i="5"/>
  <c r="W929" i="5"/>
  <c r="X929" i="5"/>
  <c r="M90" i="5"/>
  <c r="Q89" i="5"/>
  <c r="W89" i="5"/>
  <c r="X89" i="5"/>
  <c r="Q1169" i="5"/>
  <c r="W1169" i="5"/>
  <c r="X1169" i="5"/>
  <c r="M1170" i="5"/>
  <c r="O569" i="6"/>
  <c r="U569" i="6"/>
  <c r="V569" i="6"/>
  <c r="J570" i="6"/>
  <c r="K570" i="6"/>
  <c r="K1050" i="5"/>
  <c r="S1050" i="5"/>
  <c r="M690" i="5"/>
  <c r="Q689" i="5"/>
  <c r="W689" i="5"/>
  <c r="X689" i="5"/>
  <c r="K690" i="5"/>
  <c r="S690" i="5"/>
  <c r="S330" i="5"/>
  <c r="K330" i="5"/>
  <c r="J1050" i="6"/>
  <c r="K1050" i="6"/>
  <c r="O1049" i="6"/>
  <c r="U1049" i="6"/>
  <c r="V1049" i="6"/>
  <c r="M450" i="5"/>
  <c r="Q449" i="5"/>
  <c r="W449" i="5"/>
  <c r="X449" i="5"/>
  <c r="O449" i="6"/>
  <c r="U449" i="6"/>
  <c r="V449" i="6"/>
  <c r="J450" i="6"/>
  <c r="K450" i="6"/>
  <c r="J930" i="6"/>
  <c r="K930" i="6"/>
  <c r="O929" i="6"/>
  <c r="U929" i="6"/>
  <c r="V929" i="6"/>
  <c r="Q569" i="5"/>
  <c r="W569" i="5"/>
  <c r="X569" i="5"/>
  <c r="M570" i="5"/>
  <c r="Q1049" i="5"/>
  <c r="W1049" i="5"/>
  <c r="X1049" i="5"/>
  <c r="M1050" i="5"/>
  <c r="S90" i="5"/>
  <c r="K90" i="5"/>
  <c r="S810" i="5"/>
  <c r="K810" i="5"/>
  <c r="J330" i="6"/>
  <c r="K330" i="6"/>
  <c r="O329" i="6"/>
  <c r="U329" i="6"/>
  <c r="V329" i="6"/>
  <c r="S450" i="5"/>
  <c r="K450" i="5"/>
  <c r="S570" i="5"/>
  <c r="K570" i="5"/>
  <c r="L810" i="5"/>
  <c r="N810" i="5"/>
  <c r="G811" i="5"/>
  <c r="H811" i="5"/>
  <c r="L690" i="5"/>
  <c r="N690" i="5"/>
  <c r="G691" i="5"/>
  <c r="H691" i="5"/>
  <c r="Q810" i="6"/>
  <c r="L810" i="6"/>
  <c r="M810" i="6"/>
  <c r="L930" i="5"/>
  <c r="N930" i="5"/>
  <c r="G931" i="5"/>
  <c r="H931" i="5"/>
  <c r="L90" i="6"/>
  <c r="M90" i="6"/>
  <c r="Q90" i="6"/>
  <c r="L570" i="5"/>
  <c r="N570" i="5"/>
  <c r="G571" i="5"/>
  <c r="H571" i="5"/>
  <c r="G91" i="5"/>
  <c r="H91" i="5"/>
  <c r="L90" i="5"/>
  <c r="N90" i="5"/>
  <c r="L930" i="6"/>
  <c r="M930" i="6"/>
  <c r="Q930" i="6"/>
  <c r="Q210" i="6"/>
  <c r="L210" i="6"/>
  <c r="M210" i="6"/>
  <c r="G211" i="5"/>
  <c r="H211" i="5"/>
  <c r="L210" i="5"/>
  <c r="N210" i="5"/>
  <c r="G451" i="5"/>
  <c r="H451" i="5"/>
  <c r="L450" i="5"/>
  <c r="N450" i="5"/>
  <c r="L1050" i="6"/>
  <c r="M1050" i="6"/>
  <c r="Q1050" i="6"/>
  <c r="G1051" i="5"/>
  <c r="H1051" i="5"/>
  <c r="L1050" i="5"/>
  <c r="N1050" i="5"/>
  <c r="L1170" i="6"/>
  <c r="M1170" i="6"/>
  <c r="Q1170" i="6"/>
  <c r="L330" i="5"/>
  <c r="N330" i="5"/>
  <c r="G331" i="5"/>
  <c r="H331" i="5"/>
  <c r="L690" i="6"/>
  <c r="M690" i="6"/>
  <c r="Q690" i="6"/>
  <c r="L1170" i="5"/>
  <c r="N1170" i="5"/>
  <c r="G1171" i="5"/>
  <c r="H1171" i="5"/>
  <c r="Q450" i="6"/>
  <c r="L450" i="6"/>
  <c r="M450" i="6"/>
  <c r="Q330" i="6"/>
  <c r="L330" i="6"/>
  <c r="M330" i="6"/>
  <c r="L570" i="6"/>
  <c r="M570" i="6"/>
  <c r="Q570" i="6"/>
  <c r="R690" i="6"/>
  <c r="N690" i="6"/>
  <c r="S570" i="6"/>
  <c r="S690" i="6"/>
  <c r="I931" i="5"/>
  <c r="J931" i="5"/>
  <c r="R931" i="5"/>
  <c r="N570" i="6"/>
  <c r="R570" i="6"/>
  <c r="R330" i="6"/>
  <c r="N330" i="6"/>
  <c r="P90" i="5"/>
  <c r="T90" i="5"/>
  <c r="U90" i="5"/>
  <c r="R810" i="6"/>
  <c r="N810" i="6"/>
  <c r="T330" i="5"/>
  <c r="U330" i="5"/>
  <c r="P330" i="5"/>
  <c r="R451" i="5"/>
  <c r="I451" i="5"/>
  <c r="J451" i="5"/>
  <c r="R91" i="5"/>
  <c r="I91" i="5"/>
  <c r="J91" i="5"/>
  <c r="S810" i="6"/>
  <c r="R450" i="6"/>
  <c r="S450" i="6"/>
  <c r="N450" i="6"/>
  <c r="P210" i="5"/>
  <c r="T210" i="5"/>
  <c r="U210" i="5"/>
  <c r="R571" i="5"/>
  <c r="I571" i="5"/>
  <c r="J571" i="5"/>
  <c r="R691" i="5"/>
  <c r="I691" i="5"/>
  <c r="J691" i="5"/>
  <c r="R930" i="6"/>
  <c r="S930" i="6"/>
  <c r="N930" i="6"/>
  <c r="T450" i="5"/>
  <c r="U450" i="5"/>
  <c r="P450" i="5"/>
  <c r="I211" i="5"/>
  <c r="J211" i="5"/>
  <c r="R211" i="5"/>
  <c r="T570" i="5"/>
  <c r="U570" i="5"/>
  <c r="P570" i="5"/>
  <c r="T690" i="5"/>
  <c r="U690" i="5"/>
  <c r="P690" i="5"/>
  <c r="T930" i="5"/>
  <c r="U930" i="5"/>
  <c r="P930" i="5"/>
  <c r="S330" i="6"/>
  <c r="N210" i="6"/>
  <c r="R210" i="6"/>
  <c r="S210" i="6"/>
  <c r="S90" i="6"/>
  <c r="I811" i="5"/>
  <c r="J811" i="5"/>
  <c r="R811" i="5"/>
  <c r="R1050" i="6"/>
  <c r="S1050" i="6"/>
  <c r="N1050" i="6"/>
  <c r="I331" i="5"/>
  <c r="J331" i="5"/>
  <c r="R331" i="5"/>
  <c r="S1170" i="6"/>
  <c r="N1170" i="6"/>
  <c r="R1170" i="6"/>
  <c r="I1171" i="5"/>
  <c r="J1171" i="5"/>
  <c r="R1171" i="5"/>
  <c r="P1050" i="5"/>
  <c r="T1050" i="5"/>
  <c r="U1050" i="5"/>
  <c r="T1170" i="5"/>
  <c r="U1170" i="5"/>
  <c r="P1170" i="5"/>
  <c r="I1051" i="5"/>
  <c r="J1051" i="5"/>
  <c r="R1051" i="5"/>
  <c r="N90" i="6"/>
  <c r="R90" i="6"/>
  <c r="T810" i="5"/>
  <c r="U810" i="5"/>
  <c r="P810" i="5"/>
  <c r="S1051" i="5"/>
  <c r="K1051" i="5"/>
  <c r="J1171" i="6"/>
  <c r="K1171" i="6"/>
  <c r="O1170" i="6"/>
  <c r="U1170" i="6"/>
  <c r="V1170" i="6"/>
  <c r="Q570" i="5"/>
  <c r="W570" i="5"/>
  <c r="X570" i="5"/>
  <c r="M571" i="5"/>
  <c r="J811" i="6"/>
  <c r="K811" i="6"/>
  <c r="O810" i="6"/>
  <c r="U810" i="6"/>
  <c r="V810" i="6"/>
  <c r="S931" i="5"/>
  <c r="K931" i="5"/>
  <c r="Q1170" i="5"/>
  <c r="W1170" i="5"/>
  <c r="X1170" i="5"/>
  <c r="M1171" i="5"/>
  <c r="M811" i="5"/>
  <c r="Q810" i="5"/>
  <c r="W810" i="5"/>
  <c r="X810" i="5"/>
  <c r="J211" i="6"/>
  <c r="K211" i="6"/>
  <c r="O210" i="6"/>
  <c r="U210" i="6"/>
  <c r="V210" i="6"/>
  <c r="S91" i="5"/>
  <c r="K91" i="5"/>
  <c r="M91" i="5"/>
  <c r="Q90" i="5"/>
  <c r="W90" i="5"/>
  <c r="X90" i="5"/>
  <c r="S331" i="5"/>
  <c r="K331" i="5"/>
  <c r="K451" i="5"/>
  <c r="S451" i="5"/>
  <c r="J331" i="6"/>
  <c r="K331" i="6"/>
  <c r="O330" i="6"/>
  <c r="U330" i="6"/>
  <c r="V330" i="6"/>
  <c r="S691" i="5"/>
  <c r="K691" i="5"/>
  <c r="S211" i="5"/>
  <c r="K211" i="5"/>
  <c r="Q1050" i="5"/>
  <c r="W1050" i="5"/>
  <c r="X1050" i="5"/>
  <c r="M1051" i="5"/>
  <c r="M931" i="5"/>
  <c r="Q930" i="5"/>
  <c r="W930" i="5"/>
  <c r="X930" i="5"/>
  <c r="J91" i="6"/>
  <c r="K91" i="6"/>
  <c r="O90" i="6"/>
  <c r="U90" i="6"/>
  <c r="V90" i="6"/>
  <c r="S1171" i="5"/>
  <c r="K1171" i="5"/>
  <c r="M691" i="5"/>
  <c r="Q690" i="5"/>
  <c r="W690" i="5"/>
  <c r="X690" i="5"/>
  <c r="M211" i="5"/>
  <c r="Q210" i="5"/>
  <c r="W210" i="5"/>
  <c r="X210" i="5"/>
  <c r="Q330" i="5"/>
  <c r="W330" i="5"/>
  <c r="X330" i="5"/>
  <c r="M331" i="5"/>
  <c r="O690" i="6"/>
  <c r="U690" i="6"/>
  <c r="V690" i="6"/>
  <c r="J691" i="6"/>
  <c r="K691" i="6"/>
  <c r="K571" i="5"/>
  <c r="S571" i="5"/>
  <c r="J1051" i="6"/>
  <c r="K1051" i="6"/>
  <c r="O1050" i="6"/>
  <c r="U1050" i="6"/>
  <c r="V1050" i="6"/>
  <c r="M451" i="5"/>
  <c r="Q450" i="5"/>
  <c r="W450" i="5"/>
  <c r="X450" i="5"/>
  <c r="S811" i="5"/>
  <c r="K811" i="5"/>
  <c r="O930" i="6"/>
  <c r="U930" i="6"/>
  <c r="V930" i="6"/>
  <c r="J931" i="6"/>
  <c r="K931" i="6"/>
  <c r="J451" i="6"/>
  <c r="K451" i="6"/>
  <c r="O450" i="6"/>
  <c r="U450" i="6"/>
  <c r="V450" i="6"/>
  <c r="O570" i="6"/>
  <c r="U570" i="6"/>
  <c r="V570" i="6"/>
  <c r="J571" i="6"/>
  <c r="K571" i="6"/>
  <c r="L91" i="6"/>
  <c r="M91" i="6"/>
  <c r="Q91" i="6"/>
  <c r="L811" i="6"/>
  <c r="M811" i="6"/>
  <c r="Q811" i="6"/>
  <c r="G92" i="5"/>
  <c r="H92" i="5"/>
  <c r="L91" i="5"/>
  <c r="N91" i="5"/>
  <c r="L1051" i="6"/>
  <c r="M1051" i="6"/>
  <c r="Q1051" i="6"/>
  <c r="L691" i="6"/>
  <c r="M691" i="6"/>
  <c r="Q691" i="6"/>
  <c r="L331" i="6"/>
  <c r="M331" i="6"/>
  <c r="Q331" i="6"/>
  <c r="Q571" i="6"/>
  <c r="L571" i="6"/>
  <c r="M571" i="6"/>
  <c r="L571" i="5"/>
  <c r="N571" i="5"/>
  <c r="G572" i="5"/>
  <c r="H572" i="5"/>
  <c r="L1171" i="5"/>
  <c r="N1171" i="5"/>
  <c r="G1172" i="5"/>
  <c r="H1172" i="5"/>
  <c r="L691" i="5"/>
  <c r="N691" i="5"/>
  <c r="G692" i="5"/>
  <c r="H692" i="5"/>
  <c r="G452" i="5"/>
  <c r="H452" i="5"/>
  <c r="L451" i="5"/>
  <c r="N451" i="5"/>
  <c r="L931" i="5"/>
  <c r="N931" i="5"/>
  <c r="G932" i="5"/>
  <c r="H932" i="5"/>
  <c r="Q1171" i="6"/>
  <c r="L1171" i="6"/>
  <c r="M1171" i="6"/>
  <c r="G1052" i="5"/>
  <c r="H1052" i="5"/>
  <c r="L1051" i="5"/>
  <c r="N1051" i="5"/>
  <c r="L811" i="5"/>
  <c r="N811" i="5"/>
  <c r="G812" i="5"/>
  <c r="H812" i="5"/>
  <c r="Q451" i="6"/>
  <c r="L451" i="6"/>
  <c r="M451" i="6"/>
  <c r="Q931" i="6"/>
  <c r="L931" i="6"/>
  <c r="M931" i="6"/>
  <c r="G212" i="5"/>
  <c r="H212" i="5"/>
  <c r="L211" i="5"/>
  <c r="N211" i="5"/>
  <c r="L331" i="5"/>
  <c r="N331" i="5"/>
  <c r="G332" i="5"/>
  <c r="H332" i="5"/>
  <c r="Q211" i="6"/>
  <c r="L211" i="6"/>
  <c r="M211" i="6"/>
  <c r="I1052" i="5"/>
  <c r="J1052" i="5"/>
  <c r="R1052" i="5"/>
  <c r="R811" i="6"/>
  <c r="N811" i="6"/>
  <c r="R331" i="6"/>
  <c r="N331" i="6"/>
  <c r="S691" i="6"/>
  <c r="S91" i="6"/>
  <c r="T1171" i="5"/>
  <c r="U1171" i="5"/>
  <c r="P1171" i="5"/>
  <c r="N691" i="6"/>
  <c r="R691" i="6"/>
  <c r="R91" i="6"/>
  <c r="N91" i="6"/>
  <c r="N1171" i="6"/>
  <c r="R1171" i="6"/>
  <c r="S1171" i="6"/>
  <c r="R211" i="6"/>
  <c r="N211" i="6"/>
  <c r="R451" i="6"/>
  <c r="S451" i="6"/>
  <c r="N451" i="6"/>
  <c r="R932" i="5"/>
  <c r="I932" i="5"/>
  <c r="J932" i="5"/>
  <c r="I572" i="5"/>
  <c r="J572" i="5"/>
  <c r="R572" i="5"/>
  <c r="T691" i="5"/>
  <c r="U691" i="5"/>
  <c r="P691" i="5"/>
  <c r="I1172" i="5"/>
  <c r="J1172" i="5"/>
  <c r="R1172" i="5"/>
  <c r="S211" i="6"/>
  <c r="T931" i="5"/>
  <c r="U931" i="5"/>
  <c r="P931" i="5"/>
  <c r="T571" i="5"/>
  <c r="U571" i="5"/>
  <c r="P571" i="5"/>
  <c r="N1051" i="6"/>
  <c r="R1051" i="6"/>
  <c r="S1051" i="6"/>
  <c r="R212" i="5"/>
  <c r="I212" i="5"/>
  <c r="J212" i="5"/>
  <c r="R812" i="5"/>
  <c r="I812" i="5"/>
  <c r="J812" i="5"/>
  <c r="N931" i="6"/>
  <c r="R931" i="6"/>
  <c r="S931" i="6"/>
  <c r="I332" i="5"/>
  <c r="J332" i="5"/>
  <c r="R332" i="5"/>
  <c r="P451" i="5"/>
  <c r="T451" i="5"/>
  <c r="U451" i="5"/>
  <c r="R571" i="6"/>
  <c r="N571" i="6"/>
  <c r="T811" i="5"/>
  <c r="U811" i="5"/>
  <c r="P811" i="5"/>
  <c r="I452" i="5"/>
  <c r="J452" i="5"/>
  <c r="R452" i="5"/>
  <c r="S571" i="6"/>
  <c r="R92" i="5"/>
  <c r="I92" i="5"/>
  <c r="J92" i="5"/>
  <c r="P91" i="5"/>
  <c r="T91" i="5"/>
  <c r="U91" i="5"/>
  <c r="T331" i="5"/>
  <c r="U331" i="5"/>
  <c r="P331" i="5"/>
  <c r="P211" i="5"/>
  <c r="T211" i="5"/>
  <c r="U211" i="5"/>
  <c r="P1051" i="5"/>
  <c r="T1051" i="5"/>
  <c r="U1051" i="5"/>
  <c r="R692" i="5"/>
  <c r="I692" i="5"/>
  <c r="J692" i="5"/>
  <c r="S331" i="6"/>
  <c r="S811" i="6"/>
  <c r="S932" i="5"/>
  <c r="K932" i="5"/>
  <c r="S332" i="5"/>
  <c r="K332" i="5"/>
  <c r="O1051" i="6"/>
  <c r="U1051" i="6"/>
  <c r="V1051" i="6"/>
  <c r="J1052" i="6"/>
  <c r="K1052" i="6"/>
  <c r="K1172" i="5"/>
  <c r="S1172" i="5"/>
  <c r="O451" i="6"/>
  <c r="U451" i="6"/>
  <c r="V451" i="6"/>
  <c r="J452" i="6"/>
  <c r="K452" i="6"/>
  <c r="O331" i="6"/>
  <c r="U331" i="6"/>
  <c r="V331" i="6"/>
  <c r="J332" i="6"/>
  <c r="K332" i="6"/>
  <c r="Q1051" i="5"/>
  <c r="W1051" i="5"/>
  <c r="X1051" i="5"/>
  <c r="M1052" i="5"/>
  <c r="M212" i="5"/>
  <c r="Q211" i="5"/>
  <c r="W211" i="5"/>
  <c r="X211" i="5"/>
  <c r="Q331" i="5"/>
  <c r="W331" i="5"/>
  <c r="X331" i="5"/>
  <c r="M332" i="5"/>
  <c r="M812" i="5"/>
  <c r="Q811" i="5"/>
  <c r="W811" i="5"/>
  <c r="X811" i="5"/>
  <c r="Q571" i="5"/>
  <c r="W571" i="5"/>
  <c r="X571" i="5"/>
  <c r="M572" i="5"/>
  <c r="M692" i="5"/>
  <c r="Q691" i="5"/>
  <c r="W691" i="5"/>
  <c r="X691" i="5"/>
  <c r="J692" i="6"/>
  <c r="K692" i="6"/>
  <c r="O691" i="6"/>
  <c r="U691" i="6"/>
  <c r="V691" i="6"/>
  <c r="K452" i="5"/>
  <c r="S452" i="5"/>
  <c r="K692" i="5"/>
  <c r="S692" i="5"/>
  <c r="O931" i="6"/>
  <c r="U931" i="6"/>
  <c r="V931" i="6"/>
  <c r="J932" i="6"/>
  <c r="K932" i="6"/>
  <c r="J212" i="6"/>
  <c r="K212" i="6"/>
  <c r="O211" i="6"/>
  <c r="U211" i="6"/>
  <c r="V211" i="6"/>
  <c r="Q1171" i="5"/>
  <c r="W1171" i="5"/>
  <c r="X1171" i="5"/>
  <c r="M1172" i="5"/>
  <c r="O811" i="6"/>
  <c r="U811" i="6"/>
  <c r="V811" i="6"/>
  <c r="J812" i="6"/>
  <c r="K812" i="6"/>
  <c r="M452" i="5"/>
  <c r="Q451" i="5"/>
  <c r="W451" i="5"/>
  <c r="X451" i="5"/>
  <c r="J92" i="6"/>
  <c r="K92" i="6"/>
  <c r="O91" i="6"/>
  <c r="U91" i="6"/>
  <c r="V91" i="6"/>
  <c r="M92" i="5"/>
  <c r="Q91" i="5"/>
  <c r="W91" i="5"/>
  <c r="X91" i="5"/>
  <c r="J572" i="6"/>
  <c r="K572" i="6"/>
  <c r="O571" i="6"/>
  <c r="U571" i="6"/>
  <c r="V571" i="6"/>
  <c r="S812" i="5"/>
  <c r="K812" i="5"/>
  <c r="M932" i="5"/>
  <c r="Q931" i="5"/>
  <c r="W931" i="5"/>
  <c r="X931" i="5"/>
  <c r="S92" i="5"/>
  <c r="K92" i="5"/>
  <c r="S212" i="5"/>
  <c r="K212" i="5"/>
  <c r="K572" i="5"/>
  <c r="S572" i="5"/>
  <c r="O1171" i="6"/>
  <c r="U1171" i="6"/>
  <c r="V1171" i="6"/>
  <c r="J1172" i="6"/>
  <c r="K1172" i="6"/>
  <c r="S1052" i="5"/>
  <c r="K1052" i="5"/>
  <c r="G213" i="5"/>
  <c r="H213" i="5"/>
  <c r="L212" i="5"/>
  <c r="N212" i="5"/>
  <c r="L92" i="6"/>
  <c r="M92" i="6"/>
  <c r="Q92" i="6"/>
  <c r="L212" i="6"/>
  <c r="M212" i="6"/>
  <c r="Q212" i="6"/>
  <c r="G453" i="5"/>
  <c r="H453" i="5"/>
  <c r="L452" i="5"/>
  <c r="N452" i="5"/>
  <c r="L1172" i="5"/>
  <c r="N1172" i="5"/>
  <c r="G1173" i="5"/>
  <c r="H1173" i="5"/>
  <c r="L812" i="5"/>
  <c r="N812" i="5"/>
  <c r="G813" i="5"/>
  <c r="H813" i="5"/>
  <c r="G1053" i="5"/>
  <c r="H1053" i="5"/>
  <c r="L1052" i="5"/>
  <c r="N1052" i="5"/>
  <c r="Q932" i="6"/>
  <c r="L932" i="6"/>
  <c r="M932" i="6"/>
  <c r="L332" i="6"/>
  <c r="M332" i="6"/>
  <c r="Q332" i="6"/>
  <c r="L332" i="5"/>
  <c r="N332" i="5"/>
  <c r="G333" i="5"/>
  <c r="H333" i="5"/>
  <c r="Q1172" i="6"/>
  <c r="L1172" i="6"/>
  <c r="M1172" i="6"/>
  <c r="L1052" i="6"/>
  <c r="M1052" i="6"/>
  <c r="Q1052" i="6"/>
  <c r="L452" i="6"/>
  <c r="M452" i="6"/>
  <c r="Q452" i="6"/>
  <c r="L572" i="6"/>
  <c r="M572" i="6"/>
  <c r="Q572" i="6"/>
  <c r="L812" i="6"/>
  <c r="M812" i="6"/>
  <c r="Q812" i="6"/>
  <c r="L692" i="5"/>
  <c r="N692" i="5"/>
  <c r="G693" i="5"/>
  <c r="H693" i="5"/>
  <c r="L932" i="5"/>
  <c r="N932" i="5"/>
  <c r="G933" i="5"/>
  <c r="H933" i="5"/>
  <c r="G93" i="5"/>
  <c r="H93" i="5"/>
  <c r="L92" i="5"/>
  <c r="N92" i="5"/>
  <c r="L692" i="6"/>
  <c r="M692" i="6"/>
  <c r="Q692" i="6"/>
  <c r="L572" i="5"/>
  <c r="N572" i="5"/>
  <c r="G573" i="5"/>
  <c r="H573" i="5"/>
  <c r="N812" i="6"/>
  <c r="R812" i="6"/>
  <c r="P92" i="5"/>
  <c r="T92" i="5"/>
  <c r="U92" i="5"/>
  <c r="S572" i="6"/>
  <c r="I333" i="5"/>
  <c r="J333" i="5"/>
  <c r="R333" i="5"/>
  <c r="R813" i="5"/>
  <c r="I813" i="5"/>
  <c r="J813" i="5"/>
  <c r="R92" i="6"/>
  <c r="S92" i="6"/>
  <c r="N92" i="6"/>
  <c r="I1173" i="5"/>
  <c r="J1173" i="5"/>
  <c r="R1173" i="5"/>
  <c r="P212" i="5"/>
  <c r="T212" i="5"/>
  <c r="U212" i="5"/>
  <c r="N692" i="6"/>
  <c r="R692" i="6"/>
  <c r="R572" i="6"/>
  <c r="N572" i="6"/>
  <c r="N332" i="6"/>
  <c r="R332" i="6"/>
  <c r="S332" i="6"/>
  <c r="T1172" i="5"/>
  <c r="U1172" i="5"/>
  <c r="P1172" i="5"/>
  <c r="R213" i="5"/>
  <c r="I213" i="5"/>
  <c r="J213" i="5"/>
  <c r="R212" i="6"/>
  <c r="N212" i="6"/>
  <c r="T332" i="5"/>
  <c r="U332" i="5"/>
  <c r="P332" i="5"/>
  <c r="R452" i="6"/>
  <c r="S452" i="6"/>
  <c r="N452" i="6"/>
  <c r="R693" i="5"/>
  <c r="I693" i="5"/>
  <c r="J693" i="5"/>
  <c r="N932" i="6"/>
  <c r="R932" i="6"/>
  <c r="P452" i="5"/>
  <c r="T452" i="5"/>
  <c r="U452" i="5"/>
  <c r="I93" i="5"/>
  <c r="J93" i="5"/>
  <c r="R93" i="5"/>
  <c r="I933" i="5"/>
  <c r="J933" i="5"/>
  <c r="R933" i="5"/>
  <c r="T932" i="5"/>
  <c r="U932" i="5"/>
  <c r="P932" i="5"/>
  <c r="T572" i="5"/>
  <c r="U572" i="5"/>
  <c r="P572" i="5"/>
  <c r="T692" i="5"/>
  <c r="U692" i="5"/>
  <c r="P692" i="5"/>
  <c r="N1052" i="6"/>
  <c r="R1052" i="6"/>
  <c r="S1052" i="6"/>
  <c r="S932" i="6"/>
  <c r="I453" i="5"/>
  <c r="J453" i="5"/>
  <c r="R453" i="5"/>
  <c r="I1053" i="5"/>
  <c r="J1053" i="5"/>
  <c r="R1053" i="5"/>
  <c r="T812" i="5"/>
  <c r="U812" i="5"/>
  <c r="P812" i="5"/>
  <c r="I573" i="5"/>
  <c r="J573" i="5"/>
  <c r="R573" i="5"/>
  <c r="S692" i="6"/>
  <c r="S812" i="6"/>
  <c r="N1172" i="6"/>
  <c r="R1172" i="6"/>
  <c r="S1172" i="6"/>
  <c r="P1052" i="5"/>
  <c r="T1052" i="5"/>
  <c r="U1052" i="5"/>
  <c r="S212" i="6"/>
  <c r="Q332" i="5"/>
  <c r="W332" i="5"/>
  <c r="X332" i="5"/>
  <c r="M333" i="5"/>
  <c r="K573" i="5"/>
  <c r="S573" i="5"/>
  <c r="J333" i="6"/>
  <c r="K333" i="6"/>
  <c r="O332" i="6"/>
  <c r="U332" i="6"/>
  <c r="V332" i="6"/>
  <c r="K1173" i="5"/>
  <c r="S1173" i="5"/>
  <c r="S333" i="5"/>
  <c r="K333" i="5"/>
  <c r="O572" i="6"/>
  <c r="U572" i="6"/>
  <c r="V572" i="6"/>
  <c r="J573" i="6"/>
  <c r="K573" i="6"/>
  <c r="J1053" i="6"/>
  <c r="K1053" i="6"/>
  <c r="O1052" i="6"/>
  <c r="U1052" i="6"/>
  <c r="V1052" i="6"/>
  <c r="O92" i="6"/>
  <c r="U92" i="6"/>
  <c r="V92" i="6"/>
  <c r="J93" i="6"/>
  <c r="K93" i="6"/>
  <c r="M213" i="5"/>
  <c r="Q212" i="5"/>
  <c r="W212" i="5"/>
  <c r="X212" i="5"/>
  <c r="M933" i="5"/>
  <c r="Q932" i="5"/>
  <c r="W932" i="5"/>
  <c r="X932" i="5"/>
  <c r="O212" i="6"/>
  <c r="U212" i="6"/>
  <c r="V212" i="6"/>
  <c r="J213" i="6"/>
  <c r="K213" i="6"/>
  <c r="M813" i="5"/>
  <c r="Q812" i="5"/>
  <c r="W812" i="5"/>
  <c r="X812" i="5"/>
  <c r="M693" i="5"/>
  <c r="Q692" i="5"/>
  <c r="W692" i="5"/>
  <c r="X692" i="5"/>
  <c r="S693" i="5"/>
  <c r="K693" i="5"/>
  <c r="S213" i="5"/>
  <c r="K213" i="5"/>
  <c r="M93" i="5"/>
  <c r="Q92" i="5"/>
  <c r="W92" i="5"/>
  <c r="X92" i="5"/>
  <c r="Q452" i="5"/>
  <c r="W452" i="5"/>
  <c r="X452" i="5"/>
  <c r="M453" i="5"/>
  <c r="Q1052" i="5"/>
  <c r="W1052" i="5"/>
  <c r="X1052" i="5"/>
  <c r="M1053" i="5"/>
  <c r="S93" i="5"/>
  <c r="K93" i="5"/>
  <c r="J693" i="6"/>
  <c r="K693" i="6"/>
  <c r="O692" i="6"/>
  <c r="U692" i="6"/>
  <c r="V692" i="6"/>
  <c r="K453" i="5"/>
  <c r="S453" i="5"/>
  <c r="J933" i="6"/>
  <c r="K933" i="6"/>
  <c r="O932" i="6"/>
  <c r="U932" i="6"/>
  <c r="V932" i="6"/>
  <c r="S933" i="5"/>
  <c r="K933" i="5"/>
  <c r="J1173" i="6"/>
  <c r="K1173" i="6"/>
  <c r="O1172" i="6"/>
  <c r="U1172" i="6"/>
  <c r="V1172" i="6"/>
  <c r="S1053" i="5"/>
  <c r="K1053" i="5"/>
  <c r="M573" i="5"/>
  <c r="Q572" i="5"/>
  <c r="W572" i="5"/>
  <c r="X572" i="5"/>
  <c r="J453" i="6"/>
  <c r="K453" i="6"/>
  <c r="O452" i="6"/>
  <c r="U452" i="6"/>
  <c r="V452" i="6"/>
  <c r="Q1172" i="5"/>
  <c r="W1172" i="5"/>
  <c r="X1172" i="5"/>
  <c r="M1173" i="5"/>
  <c r="S813" i="5"/>
  <c r="K813" i="5"/>
  <c r="J813" i="6"/>
  <c r="K813" i="6"/>
  <c r="O812" i="6"/>
  <c r="U812" i="6"/>
  <c r="V812" i="6"/>
  <c r="L933" i="5"/>
  <c r="N933" i="5"/>
  <c r="G934" i="5"/>
  <c r="H934" i="5"/>
  <c r="Q693" i="6"/>
  <c r="L693" i="6"/>
  <c r="M693" i="6"/>
  <c r="Q1053" i="6"/>
  <c r="L1053" i="6"/>
  <c r="M1053" i="6"/>
  <c r="Q933" i="6"/>
  <c r="L933" i="6"/>
  <c r="M933" i="6"/>
  <c r="G94" i="5"/>
  <c r="H94" i="5"/>
  <c r="L93" i="5"/>
  <c r="N93" i="5"/>
  <c r="L573" i="5"/>
  <c r="N573" i="5"/>
  <c r="G574" i="5"/>
  <c r="H574" i="5"/>
  <c r="G1054" i="5"/>
  <c r="H1054" i="5"/>
  <c r="L1053" i="5"/>
  <c r="N1053" i="5"/>
  <c r="L333" i="5"/>
  <c r="N333" i="5"/>
  <c r="G334" i="5"/>
  <c r="H334" i="5"/>
  <c r="Q333" i="6"/>
  <c r="L333" i="6"/>
  <c r="M333" i="6"/>
  <c r="Q813" i="6"/>
  <c r="L813" i="6"/>
  <c r="M813" i="6"/>
  <c r="L813" i="5"/>
  <c r="N813" i="5"/>
  <c r="G814" i="5"/>
  <c r="H814" i="5"/>
  <c r="G454" i="5"/>
  <c r="H454" i="5"/>
  <c r="L453" i="5"/>
  <c r="N453" i="5"/>
  <c r="G214" i="5"/>
  <c r="H214" i="5"/>
  <c r="L213" i="5"/>
  <c r="N213" i="5"/>
  <c r="L93" i="6"/>
  <c r="M93" i="6"/>
  <c r="Q93" i="6"/>
  <c r="L213" i="6"/>
  <c r="M213" i="6"/>
  <c r="Q213" i="6"/>
  <c r="Q453" i="6"/>
  <c r="L453" i="6"/>
  <c r="M453" i="6"/>
  <c r="L573" i="6"/>
  <c r="M573" i="6"/>
  <c r="Q573" i="6"/>
  <c r="Q1173" i="6"/>
  <c r="L1173" i="6"/>
  <c r="M1173" i="6"/>
  <c r="L693" i="5"/>
  <c r="N693" i="5"/>
  <c r="G694" i="5"/>
  <c r="H694" i="5"/>
  <c r="L1173" i="5"/>
  <c r="N1173" i="5"/>
  <c r="G1174" i="5"/>
  <c r="H1174" i="5"/>
  <c r="N213" i="6"/>
  <c r="R213" i="6"/>
  <c r="T813" i="5"/>
  <c r="U813" i="5"/>
  <c r="P813" i="5"/>
  <c r="I1054" i="5"/>
  <c r="J1054" i="5"/>
  <c r="R1054" i="5"/>
  <c r="S1053" i="6"/>
  <c r="I574" i="5"/>
  <c r="J574" i="5"/>
  <c r="R574" i="5"/>
  <c r="N93" i="6"/>
  <c r="R93" i="6"/>
  <c r="S813" i="6"/>
  <c r="T573" i="5"/>
  <c r="U573" i="5"/>
  <c r="P573" i="5"/>
  <c r="S693" i="6"/>
  <c r="N813" i="6"/>
  <c r="R813" i="6"/>
  <c r="P213" i="5"/>
  <c r="T213" i="5"/>
  <c r="U213" i="5"/>
  <c r="P93" i="5"/>
  <c r="T93" i="5"/>
  <c r="U93" i="5"/>
  <c r="R934" i="5"/>
  <c r="I934" i="5"/>
  <c r="J934" i="5"/>
  <c r="R693" i="6"/>
  <c r="N693" i="6"/>
  <c r="R214" i="5"/>
  <c r="I214" i="5"/>
  <c r="J214" i="5"/>
  <c r="T933" i="5"/>
  <c r="U933" i="5"/>
  <c r="P933" i="5"/>
  <c r="T693" i="5"/>
  <c r="U693" i="5"/>
  <c r="P693" i="5"/>
  <c r="N333" i="6"/>
  <c r="R333" i="6"/>
  <c r="S333" i="6"/>
  <c r="R933" i="6"/>
  <c r="N933" i="6"/>
  <c r="S93" i="6"/>
  <c r="S573" i="6"/>
  <c r="I94" i="5"/>
  <c r="J94" i="5"/>
  <c r="R94" i="5"/>
  <c r="I1174" i="5"/>
  <c r="J1174" i="5"/>
  <c r="R1174" i="5"/>
  <c r="T453" i="5"/>
  <c r="U453" i="5"/>
  <c r="P453" i="5"/>
  <c r="S453" i="6"/>
  <c r="I454" i="5"/>
  <c r="J454" i="5"/>
  <c r="R454" i="5"/>
  <c r="T333" i="5"/>
  <c r="U333" i="5"/>
  <c r="P333" i="5"/>
  <c r="S933" i="6"/>
  <c r="R1173" i="6"/>
  <c r="S1173" i="6"/>
  <c r="N1173" i="6"/>
  <c r="R573" i="6"/>
  <c r="N573" i="6"/>
  <c r="N453" i="6"/>
  <c r="R453" i="6"/>
  <c r="I334" i="5"/>
  <c r="J334" i="5"/>
  <c r="R334" i="5"/>
  <c r="T1173" i="5"/>
  <c r="U1173" i="5"/>
  <c r="P1173" i="5"/>
  <c r="R694" i="5"/>
  <c r="I694" i="5"/>
  <c r="J694" i="5"/>
  <c r="S213" i="6"/>
  <c r="I814" i="5"/>
  <c r="J814" i="5"/>
  <c r="R814" i="5"/>
  <c r="P1053" i="5"/>
  <c r="T1053" i="5"/>
  <c r="U1053" i="5"/>
  <c r="R1053" i="6"/>
  <c r="N1053" i="6"/>
  <c r="S94" i="5"/>
  <c r="K94" i="5"/>
  <c r="M694" i="5"/>
  <c r="Q693" i="5"/>
  <c r="W693" i="5"/>
  <c r="X693" i="5"/>
  <c r="S934" i="5"/>
  <c r="K934" i="5"/>
  <c r="S574" i="5"/>
  <c r="K574" i="5"/>
  <c r="J574" i="6"/>
  <c r="K574" i="6"/>
  <c r="O573" i="6"/>
  <c r="U573" i="6"/>
  <c r="V573" i="6"/>
  <c r="M934" i="5"/>
  <c r="Q933" i="5"/>
  <c r="W933" i="5"/>
  <c r="X933" i="5"/>
  <c r="S454" i="5"/>
  <c r="K454" i="5"/>
  <c r="J1174" i="6"/>
  <c r="K1174" i="6"/>
  <c r="O1173" i="6"/>
  <c r="U1173" i="6"/>
  <c r="V1173" i="6"/>
  <c r="M94" i="5"/>
  <c r="Q93" i="5"/>
  <c r="W93" i="5"/>
  <c r="X93" i="5"/>
  <c r="K1054" i="5"/>
  <c r="S1054" i="5"/>
  <c r="J1054" i="6"/>
  <c r="K1054" i="6"/>
  <c r="O1053" i="6"/>
  <c r="U1053" i="6"/>
  <c r="V1053" i="6"/>
  <c r="Q1173" i="5"/>
  <c r="W1173" i="5"/>
  <c r="X1173" i="5"/>
  <c r="M1174" i="5"/>
  <c r="S214" i="5"/>
  <c r="K214" i="5"/>
  <c r="M814" i="5"/>
  <c r="Q813" i="5"/>
  <c r="W813" i="5"/>
  <c r="X813" i="5"/>
  <c r="M454" i="5"/>
  <c r="Q453" i="5"/>
  <c r="W453" i="5"/>
  <c r="X453" i="5"/>
  <c r="M214" i="5"/>
  <c r="Q213" i="5"/>
  <c r="W213" i="5"/>
  <c r="X213" i="5"/>
  <c r="J94" i="6"/>
  <c r="K94" i="6"/>
  <c r="O93" i="6"/>
  <c r="U93" i="6"/>
  <c r="V93" i="6"/>
  <c r="O453" i="6"/>
  <c r="U453" i="6"/>
  <c r="V453" i="6"/>
  <c r="J454" i="6"/>
  <c r="K454" i="6"/>
  <c r="Q573" i="5"/>
  <c r="W573" i="5"/>
  <c r="X573" i="5"/>
  <c r="M574" i="5"/>
  <c r="J934" i="6"/>
  <c r="K934" i="6"/>
  <c r="O933" i="6"/>
  <c r="U933" i="6"/>
  <c r="V933" i="6"/>
  <c r="S334" i="5"/>
  <c r="K334" i="5"/>
  <c r="Q333" i="5"/>
  <c r="W333" i="5"/>
  <c r="X333" i="5"/>
  <c r="M334" i="5"/>
  <c r="K1174" i="5"/>
  <c r="S1174" i="5"/>
  <c r="J694" i="6"/>
  <c r="K694" i="6"/>
  <c r="O693" i="6"/>
  <c r="U693" i="6"/>
  <c r="V693" i="6"/>
  <c r="K694" i="5"/>
  <c r="S694" i="5"/>
  <c r="Q1053" i="5"/>
  <c r="W1053" i="5"/>
  <c r="X1053" i="5"/>
  <c r="M1054" i="5"/>
  <c r="S814" i="5"/>
  <c r="K814" i="5"/>
  <c r="J334" i="6"/>
  <c r="K334" i="6"/>
  <c r="O333" i="6"/>
  <c r="U333" i="6"/>
  <c r="V333" i="6"/>
  <c r="J814" i="6"/>
  <c r="K814" i="6"/>
  <c r="O813" i="6"/>
  <c r="U813" i="6"/>
  <c r="V813" i="6"/>
  <c r="O213" i="6"/>
  <c r="U213" i="6"/>
  <c r="V213" i="6"/>
  <c r="J214" i="6"/>
  <c r="K214" i="6"/>
  <c r="Q334" i="6"/>
  <c r="L334" i="6"/>
  <c r="M334" i="6"/>
  <c r="L334" i="5"/>
  <c r="N334" i="5"/>
  <c r="G335" i="5"/>
  <c r="H335" i="5"/>
  <c r="L694" i="5"/>
  <c r="N694" i="5"/>
  <c r="G695" i="5"/>
  <c r="H695" i="5"/>
  <c r="L934" i="5"/>
  <c r="N934" i="5"/>
  <c r="G935" i="5"/>
  <c r="H935" i="5"/>
  <c r="Q454" i="6"/>
  <c r="L454" i="6"/>
  <c r="M454" i="6"/>
  <c r="Q214" i="6"/>
  <c r="L214" i="6"/>
  <c r="M214" i="6"/>
  <c r="L814" i="5"/>
  <c r="N814" i="5"/>
  <c r="G815" i="5"/>
  <c r="H815" i="5"/>
  <c r="L94" i="6"/>
  <c r="M94" i="6"/>
  <c r="Q94" i="6"/>
  <c r="L694" i="6"/>
  <c r="M694" i="6"/>
  <c r="Q694" i="6"/>
  <c r="G215" i="5"/>
  <c r="H215" i="5"/>
  <c r="L214" i="5"/>
  <c r="N214" i="5"/>
  <c r="L1054" i="6"/>
  <c r="M1054" i="6"/>
  <c r="Q1054" i="6"/>
  <c r="L1174" i="5"/>
  <c r="N1174" i="5"/>
  <c r="G1175" i="5"/>
  <c r="H1175" i="5"/>
  <c r="L934" i="6"/>
  <c r="M934" i="6"/>
  <c r="Q934" i="6"/>
  <c r="G95" i="5"/>
  <c r="H95" i="5"/>
  <c r="L94" i="5"/>
  <c r="N94" i="5"/>
  <c r="G455" i="5"/>
  <c r="H455" i="5"/>
  <c r="L454" i="5"/>
  <c r="N454" i="5"/>
  <c r="G1055" i="5"/>
  <c r="H1055" i="5"/>
  <c r="L1054" i="5"/>
  <c r="N1054" i="5"/>
  <c r="Q574" i="6"/>
  <c r="L574" i="6"/>
  <c r="M574" i="6"/>
  <c r="Q814" i="6"/>
  <c r="L814" i="6"/>
  <c r="M814" i="6"/>
  <c r="Q1174" i="6"/>
  <c r="L1174" i="6"/>
  <c r="M1174" i="6"/>
  <c r="L574" i="5"/>
  <c r="N574" i="5"/>
  <c r="G575" i="5"/>
  <c r="H575" i="5"/>
  <c r="R575" i="5"/>
  <c r="I575" i="5"/>
  <c r="J575" i="5"/>
  <c r="P1054" i="5"/>
  <c r="T1054" i="5"/>
  <c r="U1054" i="5"/>
  <c r="I1175" i="5"/>
  <c r="J1175" i="5"/>
  <c r="R1175" i="5"/>
  <c r="I935" i="5"/>
  <c r="J935" i="5"/>
  <c r="R935" i="5"/>
  <c r="R334" i="6"/>
  <c r="N334" i="6"/>
  <c r="S454" i="6"/>
  <c r="T1174" i="5"/>
  <c r="U1174" i="5"/>
  <c r="P1174" i="5"/>
  <c r="N94" i="6"/>
  <c r="R94" i="6"/>
  <c r="S94" i="6"/>
  <c r="T934" i="5"/>
  <c r="U934" i="5"/>
  <c r="P934" i="5"/>
  <c r="R934" i="6"/>
  <c r="S934" i="6"/>
  <c r="N934" i="6"/>
  <c r="R1174" i="6"/>
  <c r="S1174" i="6"/>
  <c r="N1174" i="6"/>
  <c r="T454" i="5"/>
  <c r="U454" i="5"/>
  <c r="P454" i="5"/>
  <c r="I815" i="5"/>
  <c r="J815" i="5"/>
  <c r="R815" i="5"/>
  <c r="R695" i="5"/>
  <c r="I695" i="5"/>
  <c r="J695" i="5"/>
  <c r="R454" i="6"/>
  <c r="N454" i="6"/>
  <c r="S334" i="6"/>
  <c r="I1055" i="5"/>
  <c r="J1055" i="5"/>
  <c r="R1055" i="5"/>
  <c r="I455" i="5"/>
  <c r="J455" i="5"/>
  <c r="R455" i="5"/>
  <c r="R1054" i="6"/>
  <c r="S1054" i="6"/>
  <c r="N1054" i="6"/>
  <c r="T814" i="5"/>
  <c r="U814" i="5"/>
  <c r="P814" i="5"/>
  <c r="T694" i="5"/>
  <c r="U694" i="5"/>
  <c r="P694" i="5"/>
  <c r="R814" i="6"/>
  <c r="N814" i="6"/>
  <c r="P214" i="5"/>
  <c r="T214" i="5"/>
  <c r="U214" i="5"/>
  <c r="N214" i="6"/>
  <c r="R214" i="6"/>
  <c r="I335" i="5"/>
  <c r="J335" i="5"/>
  <c r="R335" i="5"/>
  <c r="N574" i="6"/>
  <c r="R574" i="6"/>
  <c r="S574" i="6"/>
  <c r="R694" i="6"/>
  <c r="S694" i="6"/>
  <c r="N694" i="6"/>
  <c r="T574" i="5"/>
  <c r="U574" i="5"/>
  <c r="P574" i="5"/>
  <c r="P94" i="5"/>
  <c r="T94" i="5"/>
  <c r="U94" i="5"/>
  <c r="S814" i="6"/>
  <c r="R95" i="5"/>
  <c r="I95" i="5"/>
  <c r="J95" i="5"/>
  <c r="R215" i="5"/>
  <c r="I215" i="5"/>
  <c r="J215" i="5"/>
  <c r="S214" i="6"/>
  <c r="T334" i="5"/>
  <c r="U334" i="5"/>
  <c r="P334" i="5"/>
  <c r="O934" i="6"/>
  <c r="U934" i="6"/>
  <c r="V934" i="6"/>
  <c r="J935" i="6"/>
  <c r="K935" i="6"/>
  <c r="K1175" i="5"/>
  <c r="S1175" i="5"/>
  <c r="Q334" i="5"/>
  <c r="W334" i="5"/>
  <c r="X334" i="5"/>
  <c r="M335" i="5"/>
  <c r="O574" i="6"/>
  <c r="U574" i="6"/>
  <c r="V574" i="6"/>
  <c r="J575" i="6"/>
  <c r="K575" i="6"/>
  <c r="S455" i="5"/>
  <c r="K455" i="5"/>
  <c r="M95" i="5"/>
  <c r="Q94" i="5"/>
  <c r="W94" i="5"/>
  <c r="X94" i="5"/>
  <c r="M695" i="5"/>
  <c r="Q694" i="5"/>
  <c r="W694" i="5"/>
  <c r="X694" i="5"/>
  <c r="S815" i="5"/>
  <c r="K815" i="5"/>
  <c r="J335" i="6"/>
  <c r="K335" i="6"/>
  <c r="O334" i="6"/>
  <c r="U334" i="6"/>
  <c r="V334" i="6"/>
  <c r="Q1054" i="5"/>
  <c r="W1054" i="5"/>
  <c r="X1054" i="5"/>
  <c r="M1055" i="5"/>
  <c r="Q1174" i="5"/>
  <c r="W1174" i="5"/>
  <c r="X1174" i="5"/>
  <c r="M1175" i="5"/>
  <c r="M935" i="5"/>
  <c r="Q934" i="5"/>
  <c r="W934" i="5"/>
  <c r="X934" i="5"/>
  <c r="K575" i="5"/>
  <c r="S575" i="5"/>
  <c r="M215" i="5"/>
  <c r="Q214" i="5"/>
  <c r="W214" i="5"/>
  <c r="X214" i="5"/>
  <c r="K215" i="5"/>
  <c r="S215" i="5"/>
  <c r="M815" i="5"/>
  <c r="Q814" i="5"/>
  <c r="W814" i="5"/>
  <c r="X814" i="5"/>
  <c r="Q454" i="5"/>
  <c r="W454" i="5"/>
  <c r="X454" i="5"/>
  <c r="M455" i="5"/>
  <c r="S695" i="5"/>
  <c r="K695" i="5"/>
  <c r="J815" i="6"/>
  <c r="K815" i="6"/>
  <c r="O814" i="6"/>
  <c r="U814" i="6"/>
  <c r="V814" i="6"/>
  <c r="K1055" i="5"/>
  <c r="S1055" i="5"/>
  <c r="Q574" i="5"/>
  <c r="W574" i="5"/>
  <c r="X574" i="5"/>
  <c r="M575" i="5"/>
  <c r="J215" i="6"/>
  <c r="K215" i="6"/>
  <c r="O214" i="6"/>
  <c r="U214" i="6"/>
  <c r="V214" i="6"/>
  <c r="J455" i="6"/>
  <c r="K455" i="6"/>
  <c r="O454" i="6"/>
  <c r="U454" i="6"/>
  <c r="V454" i="6"/>
  <c r="K935" i="5"/>
  <c r="S935" i="5"/>
  <c r="S335" i="5"/>
  <c r="K335" i="5"/>
  <c r="S95" i="5"/>
  <c r="K95" i="5"/>
  <c r="O694" i="6"/>
  <c r="U694" i="6"/>
  <c r="V694" i="6"/>
  <c r="J695" i="6"/>
  <c r="K695" i="6"/>
  <c r="J1055" i="6"/>
  <c r="K1055" i="6"/>
  <c r="O1054" i="6"/>
  <c r="U1054" i="6"/>
  <c r="V1054" i="6"/>
  <c r="O1174" i="6"/>
  <c r="U1174" i="6"/>
  <c r="V1174" i="6"/>
  <c r="J1175" i="6"/>
  <c r="K1175" i="6"/>
  <c r="J95" i="6"/>
  <c r="K95" i="6"/>
  <c r="O94" i="6"/>
  <c r="U94" i="6"/>
  <c r="V94" i="6"/>
  <c r="G1056" i="5"/>
  <c r="H1056" i="5"/>
  <c r="L1055" i="5"/>
  <c r="N1055" i="5"/>
  <c r="G936" i="5"/>
  <c r="H936" i="5"/>
  <c r="L935" i="5"/>
  <c r="N935" i="5"/>
  <c r="Q455" i="6"/>
  <c r="L455" i="6"/>
  <c r="M455" i="6"/>
  <c r="L575" i="5"/>
  <c r="N575" i="5"/>
  <c r="G576" i="5"/>
  <c r="H576" i="5"/>
  <c r="L695" i="6"/>
  <c r="M695" i="6"/>
  <c r="Q695" i="6"/>
  <c r="L1175" i="6"/>
  <c r="M1175" i="6"/>
  <c r="Q1175" i="6"/>
  <c r="L335" i="5"/>
  <c r="N335" i="5"/>
  <c r="G336" i="5"/>
  <c r="H336" i="5"/>
  <c r="Q215" i="6"/>
  <c r="L215" i="6"/>
  <c r="M215" i="6"/>
  <c r="L695" i="5"/>
  <c r="N695" i="5"/>
  <c r="G696" i="5"/>
  <c r="H696" i="5"/>
  <c r="L815" i="5"/>
  <c r="N815" i="5"/>
  <c r="G816" i="5"/>
  <c r="H816" i="5"/>
  <c r="L1175" i="5"/>
  <c r="N1175" i="5"/>
  <c r="G1176" i="5"/>
  <c r="H1176" i="5"/>
  <c r="G216" i="5"/>
  <c r="H216" i="5"/>
  <c r="L215" i="5"/>
  <c r="N215" i="5"/>
  <c r="G456" i="5"/>
  <c r="H456" i="5"/>
  <c r="L455" i="5"/>
  <c r="N455" i="5"/>
  <c r="Q935" i="6"/>
  <c r="L935" i="6"/>
  <c r="M935" i="6"/>
  <c r="G96" i="5"/>
  <c r="H96" i="5"/>
  <c r="L95" i="5"/>
  <c r="N95" i="5"/>
  <c r="Q95" i="6"/>
  <c r="L95" i="6"/>
  <c r="M95" i="6"/>
  <c r="L335" i="6"/>
  <c r="M335" i="6"/>
  <c r="Q335" i="6"/>
  <c r="L815" i="6"/>
  <c r="M815" i="6"/>
  <c r="Q815" i="6"/>
  <c r="L1055" i="6"/>
  <c r="M1055" i="6"/>
  <c r="Q1055" i="6"/>
  <c r="Q575" i="6"/>
  <c r="L575" i="6"/>
  <c r="M575" i="6"/>
  <c r="I456" i="5"/>
  <c r="J456" i="5"/>
  <c r="R456" i="5"/>
  <c r="N695" i="6"/>
  <c r="R695" i="6"/>
  <c r="I1056" i="5"/>
  <c r="J1056" i="5"/>
  <c r="R1056" i="5"/>
  <c r="R215" i="6"/>
  <c r="N215" i="6"/>
  <c r="I576" i="5"/>
  <c r="J576" i="5"/>
  <c r="R576" i="5"/>
  <c r="T695" i="5"/>
  <c r="U695" i="5"/>
  <c r="P695" i="5"/>
  <c r="S575" i="6"/>
  <c r="S215" i="6"/>
  <c r="T575" i="5"/>
  <c r="U575" i="5"/>
  <c r="P575" i="5"/>
  <c r="N575" i="6"/>
  <c r="R575" i="6"/>
  <c r="I1176" i="5"/>
  <c r="J1176" i="5"/>
  <c r="R1176" i="5"/>
  <c r="N1055" i="6"/>
  <c r="R1055" i="6"/>
  <c r="N935" i="6"/>
  <c r="R935" i="6"/>
  <c r="I816" i="5"/>
  <c r="J816" i="5"/>
  <c r="R816" i="5"/>
  <c r="P935" i="5"/>
  <c r="T935" i="5"/>
  <c r="U935" i="5"/>
  <c r="R335" i="6"/>
  <c r="N335" i="6"/>
  <c r="T215" i="5"/>
  <c r="U215" i="5"/>
  <c r="P215" i="5"/>
  <c r="S1055" i="6"/>
  <c r="R455" i="6"/>
  <c r="N455" i="6"/>
  <c r="T1175" i="5"/>
  <c r="U1175" i="5"/>
  <c r="P1175" i="5"/>
  <c r="S455" i="6"/>
  <c r="R1175" i="6"/>
  <c r="S1175" i="6"/>
  <c r="N1175" i="6"/>
  <c r="I936" i="5"/>
  <c r="J936" i="5"/>
  <c r="R936" i="5"/>
  <c r="R95" i="6"/>
  <c r="S95" i="6"/>
  <c r="N95" i="6"/>
  <c r="R216" i="5"/>
  <c r="I216" i="5"/>
  <c r="J216" i="5"/>
  <c r="P95" i="5"/>
  <c r="T95" i="5"/>
  <c r="U95" i="5"/>
  <c r="I336" i="5"/>
  <c r="J336" i="5"/>
  <c r="R336" i="5"/>
  <c r="R96" i="5"/>
  <c r="I96" i="5"/>
  <c r="J96" i="5"/>
  <c r="T335" i="5"/>
  <c r="U335" i="5"/>
  <c r="P335" i="5"/>
  <c r="R815" i="6"/>
  <c r="S815" i="6"/>
  <c r="N815" i="6"/>
  <c r="S935" i="6"/>
  <c r="T815" i="5"/>
  <c r="U815" i="5"/>
  <c r="P815" i="5"/>
  <c r="S335" i="6"/>
  <c r="P455" i="5"/>
  <c r="T455" i="5"/>
  <c r="U455" i="5"/>
  <c r="R696" i="5"/>
  <c r="I696" i="5"/>
  <c r="J696" i="5"/>
  <c r="S695" i="6"/>
  <c r="P1055" i="5"/>
  <c r="T1055" i="5"/>
  <c r="U1055" i="5"/>
  <c r="O335" i="6"/>
  <c r="U335" i="6"/>
  <c r="V335" i="6"/>
  <c r="J336" i="6"/>
  <c r="K336" i="6"/>
  <c r="Q575" i="5"/>
  <c r="W575" i="5"/>
  <c r="X575" i="5"/>
  <c r="M576" i="5"/>
  <c r="J216" i="6"/>
  <c r="K216" i="6"/>
  <c r="O215" i="6"/>
  <c r="U215" i="6"/>
  <c r="V215" i="6"/>
  <c r="S96" i="5"/>
  <c r="K96" i="5"/>
  <c r="J96" i="6"/>
  <c r="K96" i="6"/>
  <c r="O95" i="6"/>
  <c r="U95" i="6"/>
  <c r="V95" i="6"/>
  <c r="M1176" i="5"/>
  <c r="Q1175" i="5"/>
  <c r="W1175" i="5"/>
  <c r="X1175" i="5"/>
  <c r="M816" i="5"/>
  <c r="Q815" i="5"/>
  <c r="W815" i="5"/>
  <c r="X815" i="5"/>
  <c r="O1055" i="6"/>
  <c r="U1055" i="6"/>
  <c r="V1055" i="6"/>
  <c r="J1056" i="6"/>
  <c r="K1056" i="6"/>
  <c r="O455" i="6"/>
  <c r="U455" i="6"/>
  <c r="V455" i="6"/>
  <c r="J456" i="6"/>
  <c r="K456" i="6"/>
  <c r="M936" i="5"/>
  <c r="Q935" i="5"/>
  <c r="W935" i="5"/>
  <c r="X935" i="5"/>
  <c r="K1056" i="5"/>
  <c r="S1056" i="5"/>
  <c r="Q455" i="5"/>
  <c r="W455" i="5"/>
  <c r="X455" i="5"/>
  <c r="M456" i="5"/>
  <c r="O935" i="6"/>
  <c r="U935" i="6"/>
  <c r="V935" i="6"/>
  <c r="J936" i="6"/>
  <c r="K936" i="6"/>
  <c r="Q1055" i="5"/>
  <c r="W1055" i="5"/>
  <c r="X1055" i="5"/>
  <c r="M1056" i="5"/>
  <c r="S336" i="5"/>
  <c r="K336" i="5"/>
  <c r="S936" i="5"/>
  <c r="K936" i="5"/>
  <c r="S1176" i="5"/>
  <c r="K1176" i="5"/>
  <c r="M696" i="5"/>
  <c r="Q695" i="5"/>
  <c r="W695" i="5"/>
  <c r="X695" i="5"/>
  <c r="K696" i="5"/>
  <c r="S696" i="5"/>
  <c r="O815" i="6"/>
  <c r="U815" i="6"/>
  <c r="V815" i="6"/>
  <c r="J816" i="6"/>
  <c r="K816" i="6"/>
  <c r="O1175" i="6"/>
  <c r="U1175" i="6"/>
  <c r="V1175" i="6"/>
  <c r="J1176" i="6"/>
  <c r="K1176" i="6"/>
  <c r="J696" i="6"/>
  <c r="K696" i="6"/>
  <c r="O695" i="6"/>
  <c r="U695" i="6"/>
  <c r="V695" i="6"/>
  <c r="S816" i="5"/>
  <c r="K816" i="5"/>
  <c r="M96" i="5"/>
  <c r="Q95" i="5"/>
  <c r="W95" i="5"/>
  <c r="X95" i="5"/>
  <c r="M216" i="5"/>
  <c r="Q215" i="5"/>
  <c r="W215" i="5"/>
  <c r="X215" i="5"/>
  <c r="Q335" i="5"/>
  <c r="W335" i="5"/>
  <c r="X335" i="5"/>
  <c r="M336" i="5"/>
  <c r="K216" i="5"/>
  <c r="S216" i="5"/>
  <c r="J576" i="6"/>
  <c r="K576" i="6"/>
  <c r="O575" i="6"/>
  <c r="U575" i="6"/>
  <c r="V575" i="6"/>
  <c r="K576" i="5"/>
  <c r="S576" i="5"/>
  <c r="K456" i="5"/>
  <c r="S456" i="5"/>
  <c r="Q936" i="6"/>
  <c r="L936" i="6"/>
  <c r="M936" i="6"/>
  <c r="L456" i="6"/>
  <c r="M456" i="6"/>
  <c r="Q456" i="6"/>
  <c r="G217" i="5"/>
  <c r="H217" i="5"/>
  <c r="L216" i="5"/>
  <c r="N216" i="5"/>
  <c r="L816" i="6"/>
  <c r="M816" i="6"/>
  <c r="Q816" i="6"/>
  <c r="G457" i="5"/>
  <c r="H457" i="5"/>
  <c r="L456" i="5"/>
  <c r="N456" i="5"/>
  <c r="G937" i="5"/>
  <c r="H937" i="5"/>
  <c r="L936" i="5"/>
  <c r="N936" i="5"/>
  <c r="L216" i="6"/>
  <c r="M216" i="6"/>
  <c r="Q216" i="6"/>
  <c r="L816" i="5"/>
  <c r="N816" i="5"/>
  <c r="G817" i="5"/>
  <c r="H817" i="5"/>
  <c r="L1176" i="5"/>
  <c r="N1176" i="5"/>
  <c r="G1177" i="5"/>
  <c r="H1177" i="5"/>
  <c r="L696" i="5"/>
  <c r="N696" i="5"/>
  <c r="G697" i="5"/>
  <c r="H697" i="5"/>
  <c r="L336" i="5"/>
  <c r="N336" i="5"/>
  <c r="G337" i="5"/>
  <c r="H337" i="5"/>
  <c r="Q1176" i="6"/>
  <c r="L1176" i="6"/>
  <c r="M1176" i="6"/>
  <c r="G97" i="5"/>
  <c r="H97" i="5"/>
  <c r="L96" i="5"/>
  <c r="N96" i="5"/>
  <c r="L576" i="5"/>
  <c r="N576" i="5"/>
  <c r="G577" i="5"/>
  <c r="H577" i="5"/>
  <c r="Q696" i="6"/>
  <c r="L696" i="6"/>
  <c r="M696" i="6"/>
  <c r="G1057" i="5"/>
  <c r="H1057" i="5"/>
  <c r="L1056" i="5"/>
  <c r="N1056" i="5"/>
  <c r="L1056" i="6"/>
  <c r="M1056" i="6"/>
  <c r="Q1056" i="6"/>
  <c r="L336" i="6"/>
  <c r="M336" i="6"/>
  <c r="Q336" i="6"/>
  <c r="Q576" i="6"/>
  <c r="L576" i="6"/>
  <c r="M576" i="6"/>
  <c r="L96" i="6"/>
  <c r="M96" i="6"/>
  <c r="Q96" i="6"/>
  <c r="N456" i="6"/>
  <c r="R456" i="6"/>
  <c r="P96" i="5"/>
  <c r="T96" i="5"/>
  <c r="U96" i="5"/>
  <c r="I1177" i="5"/>
  <c r="J1177" i="5"/>
  <c r="R1177" i="5"/>
  <c r="P456" i="5"/>
  <c r="T456" i="5"/>
  <c r="U456" i="5"/>
  <c r="N936" i="6"/>
  <c r="R936" i="6"/>
  <c r="N336" i="6"/>
  <c r="R336" i="6"/>
  <c r="N1056" i="6"/>
  <c r="R1056" i="6"/>
  <c r="S1056" i="6"/>
  <c r="I97" i="5"/>
  <c r="J97" i="5"/>
  <c r="R97" i="5"/>
  <c r="T1176" i="5"/>
  <c r="U1176" i="5"/>
  <c r="P1176" i="5"/>
  <c r="I457" i="5"/>
  <c r="J457" i="5"/>
  <c r="R457" i="5"/>
  <c r="S936" i="6"/>
  <c r="I937" i="5"/>
  <c r="J937" i="5"/>
  <c r="R937" i="5"/>
  <c r="R817" i="5"/>
  <c r="I817" i="5"/>
  <c r="J817" i="5"/>
  <c r="R96" i="6"/>
  <c r="N96" i="6"/>
  <c r="T816" i="5"/>
  <c r="U816" i="5"/>
  <c r="P816" i="5"/>
  <c r="N816" i="6"/>
  <c r="R816" i="6"/>
  <c r="T696" i="5"/>
  <c r="U696" i="5"/>
  <c r="P696" i="5"/>
  <c r="S96" i="6"/>
  <c r="S816" i="6"/>
  <c r="R576" i="6"/>
  <c r="S576" i="6"/>
  <c r="N576" i="6"/>
  <c r="I337" i="5"/>
  <c r="J337" i="5"/>
  <c r="R337" i="5"/>
  <c r="P216" i="5"/>
  <c r="T216" i="5"/>
  <c r="U216" i="5"/>
  <c r="N1176" i="6"/>
  <c r="R1176" i="6"/>
  <c r="S1176" i="6"/>
  <c r="I1057" i="5"/>
  <c r="J1057" i="5"/>
  <c r="R1057" i="5"/>
  <c r="R216" i="6"/>
  <c r="S216" i="6"/>
  <c r="N216" i="6"/>
  <c r="R217" i="5"/>
  <c r="I217" i="5"/>
  <c r="J217" i="5"/>
  <c r="T576" i="5"/>
  <c r="U576" i="5"/>
  <c r="P576" i="5"/>
  <c r="P1056" i="5"/>
  <c r="T1056" i="5"/>
  <c r="U1056" i="5"/>
  <c r="N696" i="6"/>
  <c r="R696" i="6"/>
  <c r="S696" i="6"/>
  <c r="T336" i="5"/>
  <c r="U336" i="5"/>
  <c r="P336" i="5"/>
  <c r="S336" i="6"/>
  <c r="I577" i="5"/>
  <c r="J577" i="5"/>
  <c r="R577" i="5"/>
  <c r="R697" i="5"/>
  <c r="I697" i="5"/>
  <c r="J697" i="5"/>
  <c r="P936" i="5"/>
  <c r="T936" i="5"/>
  <c r="U936" i="5"/>
  <c r="S456" i="6"/>
  <c r="S1057" i="5"/>
  <c r="K1057" i="5"/>
  <c r="K577" i="5"/>
  <c r="S577" i="5"/>
  <c r="S97" i="5"/>
  <c r="K97" i="5"/>
  <c r="S937" i="5"/>
  <c r="K937" i="5"/>
  <c r="J1057" i="6"/>
  <c r="K1057" i="6"/>
  <c r="O1056" i="6"/>
  <c r="U1056" i="6"/>
  <c r="V1056" i="6"/>
  <c r="K1177" i="5"/>
  <c r="S1177" i="5"/>
  <c r="Q1056" i="5"/>
  <c r="W1056" i="5"/>
  <c r="X1056" i="5"/>
  <c r="M1057" i="5"/>
  <c r="Q576" i="5"/>
  <c r="W576" i="5"/>
  <c r="X576" i="5"/>
  <c r="M577" i="5"/>
  <c r="M817" i="5"/>
  <c r="Q816" i="5"/>
  <c r="W816" i="5"/>
  <c r="X816" i="5"/>
  <c r="K457" i="5"/>
  <c r="S457" i="5"/>
  <c r="O336" i="6"/>
  <c r="U336" i="6"/>
  <c r="V336" i="6"/>
  <c r="J337" i="6"/>
  <c r="K337" i="6"/>
  <c r="M97" i="5"/>
  <c r="Q96" i="5"/>
  <c r="W96" i="5"/>
  <c r="X96" i="5"/>
  <c r="S337" i="5"/>
  <c r="K337" i="5"/>
  <c r="Q456" i="5"/>
  <c r="W456" i="5"/>
  <c r="X456" i="5"/>
  <c r="M457" i="5"/>
  <c r="O576" i="6"/>
  <c r="U576" i="6"/>
  <c r="V576" i="6"/>
  <c r="J577" i="6"/>
  <c r="K577" i="6"/>
  <c r="Q336" i="5"/>
  <c r="W336" i="5"/>
  <c r="X336" i="5"/>
  <c r="M337" i="5"/>
  <c r="M697" i="5"/>
  <c r="Q696" i="5"/>
  <c r="W696" i="5"/>
  <c r="X696" i="5"/>
  <c r="M1177" i="5"/>
  <c r="Q1176" i="5"/>
  <c r="W1176" i="5"/>
  <c r="X1176" i="5"/>
  <c r="J1177" i="6"/>
  <c r="K1177" i="6"/>
  <c r="O1176" i="6"/>
  <c r="U1176" i="6"/>
  <c r="V1176" i="6"/>
  <c r="M937" i="5"/>
  <c r="Q936" i="5"/>
  <c r="W936" i="5"/>
  <c r="X936" i="5"/>
  <c r="S697" i="5"/>
  <c r="K697" i="5"/>
  <c r="Q216" i="5"/>
  <c r="W216" i="5"/>
  <c r="X216" i="5"/>
  <c r="M217" i="5"/>
  <c r="S817" i="5"/>
  <c r="K817" i="5"/>
  <c r="J937" i="6"/>
  <c r="K937" i="6"/>
  <c r="O936" i="6"/>
  <c r="U936" i="6"/>
  <c r="V936" i="6"/>
  <c r="J817" i="6"/>
  <c r="K817" i="6"/>
  <c r="O816" i="6"/>
  <c r="U816" i="6"/>
  <c r="V816" i="6"/>
  <c r="K217" i="5"/>
  <c r="S217" i="5"/>
  <c r="O96" i="6"/>
  <c r="U96" i="6"/>
  <c r="V96" i="6"/>
  <c r="J97" i="6"/>
  <c r="K97" i="6"/>
  <c r="O216" i="6"/>
  <c r="U216" i="6"/>
  <c r="V216" i="6"/>
  <c r="J217" i="6"/>
  <c r="K217" i="6"/>
  <c r="J697" i="6"/>
  <c r="K697" i="6"/>
  <c r="O696" i="6"/>
  <c r="U696" i="6"/>
  <c r="V696" i="6"/>
  <c r="J457" i="6"/>
  <c r="K457" i="6"/>
  <c r="O456" i="6"/>
  <c r="U456" i="6"/>
  <c r="V456" i="6"/>
  <c r="Q697" i="6"/>
  <c r="L697" i="6"/>
  <c r="M697" i="6"/>
  <c r="L217" i="5"/>
  <c r="N217" i="5"/>
  <c r="G218" i="5"/>
  <c r="H218" i="5"/>
  <c r="L697" i="5"/>
  <c r="N697" i="5"/>
  <c r="G698" i="5"/>
  <c r="H698" i="5"/>
  <c r="G458" i="5"/>
  <c r="H458" i="5"/>
  <c r="L457" i="5"/>
  <c r="N457" i="5"/>
  <c r="G98" i="5"/>
  <c r="H98" i="5"/>
  <c r="L97" i="5"/>
  <c r="N97" i="5"/>
  <c r="Q817" i="6"/>
  <c r="L817" i="6"/>
  <c r="M817" i="6"/>
  <c r="Q457" i="6"/>
  <c r="L457" i="6"/>
  <c r="M457" i="6"/>
  <c r="L217" i="6"/>
  <c r="M217" i="6"/>
  <c r="Q217" i="6"/>
  <c r="L337" i="5"/>
  <c r="N337" i="5"/>
  <c r="G338" i="5"/>
  <c r="H338" i="5"/>
  <c r="L1177" i="5"/>
  <c r="N1177" i="5"/>
  <c r="G1178" i="5"/>
  <c r="H1178" i="5"/>
  <c r="L577" i="5"/>
  <c r="N577" i="5"/>
  <c r="G578" i="5"/>
  <c r="H578" i="5"/>
  <c r="L97" i="6"/>
  <c r="M97" i="6"/>
  <c r="Q97" i="6"/>
  <c r="Q937" i="6"/>
  <c r="L937" i="6"/>
  <c r="M937" i="6"/>
  <c r="L817" i="5"/>
  <c r="N817" i="5"/>
  <c r="G818" i="5"/>
  <c r="H818" i="5"/>
  <c r="Q1057" i="6"/>
  <c r="L1057" i="6"/>
  <c r="M1057" i="6"/>
  <c r="G1058" i="5"/>
  <c r="H1058" i="5"/>
  <c r="L1057" i="5"/>
  <c r="N1057" i="5"/>
  <c r="Q1177" i="6"/>
  <c r="L1177" i="6"/>
  <c r="M1177" i="6"/>
  <c r="L577" i="6"/>
  <c r="M577" i="6"/>
  <c r="Q577" i="6"/>
  <c r="Q337" i="6"/>
  <c r="L337" i="6"/>
  <c r="M337" i="6"/>
  <c r="G938" i="5"/>
  <c r="H938" i="5"/>
  <c r="L937" i="5"/>
  <c r="N937" i="5"/>
  <c r="R698" i="5"/>
  <c r="I698" i="5"/>
  <c r="J698" i="5"/>
  <c r="S577" i="6"/>
  <c r="I818" i="5"/>
  <c r="J818" i="5"/>
  <c r="R818" i="5"/>
  <c r="I1178" i="5"/>
  <c r="J1178" i="5"/>
  <c r="R1178" i="5"/>
  <c r="N817" i="6"/>
  <c r="R817" i="6"/>
  <c r="R218" i="5"/>
  <c r="I218" i="5"/>
  <c r="J218" i="5"/>
  <c r="I578" i="5"/>
  <c r="J578" i="5"/>
  <c r="R578" i="5"/>
  <c r="R577" i="6"/>
  <c r="N577" i="6"/>
  <c r="T1177" i="5"/>
  <c r="U1177" i="5"/>
  <c r="P1177" i="5"/>
  <c r="S817" i="6"/>
  <c r="T217" i="5"/>
  <c r="U217" i="5"/>
  <c r="P217" i="5"/>
  <c r="R1057" i="6"/>
  <c r="N1057" i="6"/>
  <c r="S1057" i="6"/>
  <c r="N1177" i="6"/>
  <c r="R1177" i="6"/>
  <c r="I338" i="5"/>
  <c r="J338" i="5"/>
  <c r="R338" i="5"/>
  <c r="P97" i="5"/>
  <c r="T97" i="5"/>
  <c r="U97" i="5"/>
  <c r="R697" i="6"/>
  <c r="N697" i="6"/>
  <c r="T697" i="5"/>
  <c r="U697" i="5"/>
  <c r="P697" i="5"/>
  <c r="T817" i="5"/>
  <c r="U817" i="5"/>
  <c r="P817" i="5"/>
  <c r="I98" i="5"/>
  <c r="J98" i="5"/>
  <c r="R98" i="5"/>
  <c r="S697" i="6"/>
  <c r="N457" i="6"/>
  <c r="R457" i="6"/>
  <c r="S457" i="6"/>
  <c r="T577" i="5"/>
  <c r="U577" i="5"/>
  <c r="P577" i="5"/>
  <c r="R937" i="6"/>
  <c r="S937" i="6"/>
  <c r="N937" i="6"/>
  <c r="S1177" i="6"/>
  <c r="T337" i="5"/>
  <c r="U337" i="5"/>
  <c r="P337" i="5"/>
  <c r="P937" i="5"/>
  <c r="T937" i="5"/>
  <c r="U937" i="5"/>
  <c r="P1057" i="5"/>
  <c r="T1057" i="5"/>
  <c r="U1057" i="5"/>
  <c r="P457" i="5"/>
  <c r="T457" i="5"/>
  <c r="U457" i="5"/>
  <c r="N337" i="6"/>
  <c r="R337" i="6"/>
  <c r="S337" i="6"/>
  <c r="I938" i="5"/>
  <c r="J938" i="5"/>
  <c r="R938" i="5"/>
  <c r="I1058" i="5"/>
  <c r="J1058" i="5"/>
  <c r="R1058" i="5"/>
  <c r="N97" i="6"/>
  <c r="R97" i="6"/>
  <c r="S97" i="6"/>
  <c r="N217" i="6"/>
  <c r="R217" i="6"/>
  <c r="S217" i="6"/>
  <c r="I458" i="5"/>
  <c r="J458" i="5"/>
  <c r="R458" i="5"/>
  <c r="K938" i="5"/>
  <c r="S938" i="5"/>
  <c r="M98" i="5"/>
  <c r="Q97" i="5"/>
  <c r="W97" i="5"/>
  <c r="X97" i="5"/>
  <c r="O457" i="6"/>
  <c r="U457" i="6"/>
  <c r="V457" i="6"/>
  <c r="J458" i="6"/>
  <c r="K458" i="6"/>
  <c r="J698" i="6"/>
  <c r="K698" i="6"/>
  <c r="O697" i="6"/>
  <c r="U697" i="6"/>
  <c r="V697" i="6"/>
  <c r="J578" i="6"/>
  <c r="K578" i="6"/>
  <c r="O577" i="6"/>
  <c r="U577" i="6"/>
  <c r="V577" i="6"/>
  <c r="J1058" i="6"/>
  <c r="K1058" i="6"/>
  <c r="O1057" i="6"/>
  <c r="U1057" i="6"/>
  <c r="V1057" i="6"/>
  <c r="S1178" i="5"/>
  <c r="K1178" i="5"/>
  <c r="S98" i="5"/>
  <c r="K98" i="5"/>
  <c r="M458" i="5"/>
  <c r="Q457" i="5"/>
  <c r="W457" i="5"/>
  <c r="X457" i="5"/>
  <c r="K1058" i="5"/>
  <c r="S1058" i="5"/>
  <c r="S458" i="5"/>
  <c r="K458" i="5"/>
  <c r="S818" i="5"/>
  <c r="K818" i="5"/>
  <c r="S338" i="5"/>
  <c r="K338" i="5"/>
  <c r="S578" i="5"/>
  <c r="K578" i="5"/>
  <c r="Q1057" i="5"/>
  <c r="W1057" i="5"/>
  <c r="X1057" i="5"/>
  <c r="M1058" i="5"/>
  <c r="M818" i="5"/>
  <c r="Q817" i="5"/>
  <c r="W817" i="5"/>
  <c r="X817" i="5"/>
  <c r="O217" i="6"/>
  <c r="U217" i="6"/>
  <c r="V217" i="6"/>
  <c r="J218" i="6"/>
  <c r="K218" i="6"/>
  <c r="Q577" i="5"/>
  <c r="W577" i="5"/>
  <c r="X577" i="5"/>
  <c r="M578" i="5"/>
  <c r="J338" i="6"/>
  <c r="K338" i="6"/>
  <c r="O337" i="6"/>
  <c r="U337" i="6"/>
  <c r="V337" i="6"/>
  <c r="M938" i="5"/>
  <c r="Q937" i="5"/>
  <c r="W937" i="5"/>
  <c r="X937" i="5"/>
  <c r="M698" i="5"/>
  <c r="Q697" i="5"/>
  <c r="W697" i="5"/>
  <c r="X697" i="5"/>
  <c r="M1178" i="5"/>
  <c r="Q1177" i="5"/>
  <c r="W1177" i="5"/>
  <c r="X1177" i="5"/>
  <c r="K698" i="5"/>
  <c r="S698" i="5"/>
  <c r="J938" i="6"/>
  <c r="K938" i="6"/>
  <c r="O937" i="6"/>
  <c r="U937" i="6"/>
  <c r="V937" i="6"/>
  <c r="M218" i="5"/>
  <c r="Q217" i="5"/>
  <c r="W217" i="5"/>
  <c r="X217" i="5"/>
  <c r="K218" i="5"/>
  <c r="S218" i="5"/>
  <c r="O97" i="6"/>
  <c r="U97" i="6"/>
  <c r="V97" i="6"/>
  <c r="J98" i="6"/>
  <c r="K98" i="6"/>
  <c r="Q337" i="5"/>
  <c r="W337" i="5"/>
  <c r="X337" i="5"/>
  <c r="M338" i="5"/>
  <c r="J1178" i="6"/>
  <c r="K1178" i="6"/>
  <c r="O1177" i="6"/>
  <c r="U1177" i="6"/>
  <c r="V1177" i="6"/>
  <c r="J818" i="6"/>
  <c r="K818" i="6"/>
  <c r="O817" i="6"/>
  <c r="U817" i="6"/>
  <c r="V817" i="6"/>
  <c r="L818" i="5"/>
  <c r="N818" i="5"/>
  <c r="G819" i="5"/>
  <c r="H819" i="5"/>
  <c r="L1178" i="5"/>
  <c r="N1178" i="5"/>
  <c r="G1179" i="5"/>
  <c r="H1179" i="5"/>
  <c r="L698" i="6"/>
  <c r="M698" i="6"/>
  <c r="Q698" i="6"/>
  <c r="L938" i="6"/>
  <c r="M938" i="6"/>
  <c r="Q938" i="6"/>
  <c r="L98" i="6"/>
  <c r="M98" i="6"/>
  <c r="Q98" i="6"/>
  <c r="L698" i="5"/>
  <c r="N698" i="5"/>
  <c r="G699" i="5"/>
  <c r="H699" i="5"/>
  <c r="Q338" i="6"/>
  <c r="L338" i="6"/>
  <c r="M338" i="6"/>
  <c r="Q458" i="6"/>
  <c r="L458" i="6"/>
  <c r="M458" i="6"/>
  <c r="G459" i="5"/>
  <c r="H459" i="5"/>
  <c r="L458" i="5"/>
  <c r="N458" i="5"/>
  <c r="Q818" i="6"/>
  <c r="L818" i="6"/>
  <c r="M818" i="6"/>
  <c r="L1058" i="6"/>
  <c r="M1058" i="6"/>
  <c r="Q1058" i="6"/>
  <c r="G219" i="5"/>
  <c r="H219" i="5"/>
  <c r="L218" i="5"/>
  <c r="N218" i="5"/>
  <c r="Q218" i="6"/>
  <c r="L218" i="6"/>
  <c r="M218" i="6"/>
  <c r="L578" i="5"/>
  <c r="N578" i="5"/>
  <c r="G579" i="5"/>
  <c r="H579" i="5"/>
  <c r="Q1178" i="6"/>
  <c r="L1178" i="6"/>
  <c r="M1178" i="6"/>
  <c r="L338" i="5"/>
  <c r="N338" i="5"/>
  <c r="G339" i="5"/>
  <c r="H339" i="5"/>
  <c r="G1059" i="5"/>
  <c r="H1059" i="5"/>
  <c r="L1058" i="5"/>
  <c r="N1058" i="5"/>
  <c r="G99" i="5"/>
  <c r="H99" i="5"/>
  <c r="L98" i="5"/>
  <c r="N98" i="5"/>
  <c r="L578" i="6"/>
  <c r="M578" i="6"/>
  <c r="Q578" i="6"/>
  <c r="G939" i="5"/>
  <c r="H939" i="5"/>
  <c r="L938" i="5"/>
  <c r="N938" i="5"/>
  <c r="N458" i="6"/>
  <c r="R458" i="6"/>
  <c r="S458" i="6"/>
  <c r="R1178" i="6"/>
  <c r="N1178" i="6"/>
  <c r="R338" i="6"/>
  <c r="S338" i="6"/>
  <c r="N338" i="6"/>
  <c r="S698" i="6"/>
  <c r="I339" i="5"/>
  <c r="J339" i="5"/>
  <c r="R339" i="5"/>
  <c r="R219" i="5"/>
  <c r="I219" i="5"/>
  <c r="J219" i="5"/>
  <c r="R698" i="6"/>
  <c r="N698" i="6"/>
  <c r="S938" i="6"/>
  <c r="R818" i="6"/>
  <c r="N818" i="6"/>
  <c r="R699" i="5"/>
  <c r="I699" i="5"/>
  <c r="J699" i="5"/>
  <c r="I1179" i="5"/>
  <c r="J1179" i="5"/>
  <c r="R1179" i="5"/>
  <c r="R938" i="6"/>
  <c r="N938" i="6"/>
  <c r="S1058" i="6"/>
  <c r="S1178" i="6"/>
  <c r="I579" i="5"/>
  <c r="J579" i="5"/>
  <c r="R579" i="5"/>
  <c r="T578" i="5"/>
  <c r="U578" i="5"/>
  <c r="P578" i="5"/>
  <c r="S818" i="6"/>
  <c r="T698" i="5"/>
  <c r="U698" i="5"/>
  <c r="P698" i="5"/>
  <c r="T1178" i="5"/>
  <c r="U1178" i="5"/>
  <c r="P1178" i="5"/>
  <c r="P938" i="5"/>
  <c r="T938" i="5"/>
  <c r="U938" i="5"/>
  <c r="R939" i="5"/>
  <c r="I939" i="5"/>
  <c r="J939" i="5"/>
  <c r="R1058" i="6"/>
  <c r="N1058" i="6"/>
  <c r="N218" i="6"/>
  <c r="R218" i="6"/>
  <c r="P458" i="5"/>
  <c r="T458" i="5"/>
  <c r="U458" i="5"/>
  <c r="I819" i="5"/>
  <c r="J819" i="5"/>
  <c r="R819" i="5"/>
  <c r="T218" i="5"/>
  <c r="U218" i="5"/>
  <c r="P218" i="5"/>
  <c r="T338" i="5"/>
  <c r="U338" i="5"/>
  <c r="P338" i="5"/>
  <c r="N578" i="6"/>
  <c r="R578" i="6"/>
  <c r="S578" i="6"/>
  <c r="P98" i="5"/>
  <c r="T98" i="5"/>
  <c r="U98" i="5"/>
  <c r="R99" i="5"/>
  <c r="I99" i="5"/>
  <c r="J99" i="5"/>
  <c r="P1058" i="5"/>
  <c r="T1058" i="5"/>
  <c r="U1058" i="5"/>
  <c r="I1059" i="5"/>
  <c r="J1059" i="5"/>
  <c r="R1059" i="5"/>
  <c r="S218" i="6"/>
  <c r="R459" i="5"/>
  <c r="I459" i="5"/>
  <c r="J459" i="5"/>
  <c r="N98" i="6"/>
  <c r="R98" i="6"/>
  <c r="S98" i="6"/>
  <c r="T818" i="5"/>
  <c r="U818" i="5"/>
  <c r="P818" i="5"/>
  <c r="S819" i="5"/>
  <c r="K819" i="5"/>
  <c r="S339" i="5"/>
  <c r="K339" i="5"/>
  <c r="Q578" i="5"/>
  <c r="W578" i="5"/>
  <c r="X578" i="5"/>
  <c r="M579" i="5"/>
  <c r="O698" i="6"/>
  <c r="U698" i="6"/>
  <c r="V698" i="6"/>
  <c r="J699" i="6"/>
  <c r="K699" i="6"/>
  <c r="M99" i="5"/>
  <c r="Q98" i="5"/>
  <c r="W98" i="5"/>
  <c r="X98" i="5"/>
  <c r="S939" i="5"/>
  <c r="K939" i="5"/>
  <c r="M819" i="5"/>
  <c r="Q818" i="5"/>
  <c r="W818" i="5"/>
  <c r="X818" i="5"/>
  <c r="S1059" i="5"/>
  <c r="K1059" i="5"/>
  <c r="O578" i="6"/>
  <c r="U578" i="6"/>
  <c r="V578" i="6"/>
  <c r="J579" i="6"/>
  <c r="K579" i="6"/>
  <c r="K1179" i="5"/>
  <c r="S1179" i="5"/>
  <c r="J339" i="6"/>
  <c r="K339" i="6"/>
  <c r="O338" i="6"/>
  <c r="U338" i="6"/>
  <c r="V338" i="6"/>
  <c r="S699" i="5"/>
  <c r="K699" i="5"/>
  <c r="Q1058" i="5"/>
  <c r="W1058" i="5"/>
  <c r="X1058" i="5"/>
  <c r="M1059" i="5"/>
  <c r="M1179" i="5"/>
  <c r="Q1178" i="5"/>
  <c r="W1178" i="5"/>
  <c r="X1178" i="5"/>
  <c r="K579" i="5"/>
  <c r="S579" i="5"/>
  <c r="O1178" i="6"/>
  <c r="U1178" i="6"/>
  <c r="V1178" i="6"/>
  <c r="J1179" i="6"/>
  <c r="K1179" i="6"/>
  <c r="S219" i="5"/>
  <c r="K219" i="5"/>
  <c r="Q338" i="5"/>
  <c r="W338" i="5"/>
  <c r="X338" i="5"/>
  <c r="M339" i="5"/>
  <c r="M459" i="5"/>
  <c r="Q458" i="5"/>
  <c r="W458" i="5"/>
  <c r="X458" i="5"/>
  <c r="M939" i="5"/>
  <c r="Q938" i="5"/>
  <c r="W938" i="5"/>
  <c r="X938" i="5"/>
  <c r="S99" i="5"/>
  <c r="K99" i="5"/>
  <c r="M219" i="5"/>
  <c r="Q218" i="5"/>
  <c r="W218" i="5"/>
  <c r="X218" i="5"/>
  <c r="J819" i="6"/>
  <c r="K819" i="6"/>
  <c r="O818" i="6"/>
  <c r="U818" i="6"/>
  <c r="V818" i="6"/>
  <c r="J1059" i="6"/>
  <c r="K1059" i="6"/>
  <c r="O1058" i="6"/>
  <c r="U1058" i="6"/>
  <c r="V1058" i="6"/>
  <c r="M699" i="5"/>
  <c r="Q698" i="5"/>
  <c r="W698" i="5"/>
  <c r="X698" i="5"/>
  <c r="J99" i="6"/>
  <c r="K99" i="6"/>
  <c r="O98" i="6"/>
  <c r="U98" i="6"/>
  <c r="V98" i="6"/>
  <c r="J219" i="6"/>
  <c r="K219" i="6"/>
  <c r="O218" i="6"/>
  <c r="U218" i="6"/>
  <c r="V218" i="6"/>
  <c r="S459" i="5"/>
  <c r="K459" i="5"/>
  <c r="O938" i="6"/>
  <c r="U938" i="6"/>
  <c r="V938" i="6"/>
  <c r="J939" i="6"/>
  <c r="K939" i="6"/>
  <c r="J459" i="6"/>
  <c r="K459" i="6"/>
  <c r="O458" i="6"/>
  <c r="U458" i="6"/>
  <c r="V458" i="6"/>
  <c r="G940" i="5"/>
  <c r="H940" i="5"/>
  <c r="L939" i="5"/>
  <c r="N939" i="5"/>
  <c r="G100" i="5"/>
  <c r="H100" i="5"/>
  <c r="L99" i="5"/>
  <c r="N99" i="5"/>
  <c r="G220" i="5"/>
  <c r="H220" i="5"/>
  <c r="L219" i="5"/>
  <c r="N219" i="5"/>
  <c r="L1179" i="5"/>
  <c r="N1179" i="5"/>
  <c r="G1180" i="5"/>
  <c r="H1180" i="5"/>
  <c r="Q459" i="6"/>
  <c r="L459" i="6"/>
  <c r="M459" i="6"/>
  <c r="Q579" i="6"/>
  <c r="L579" i="6"/>
  <c r="M579" i="6"/>
  <c r="L579" i="5"/>
  <c r="N579" i="5"/>
  <c r="G580" i="5"/>
  <c r="H580" i="5"/>
  <c r="L1059" i="6"/>
  <c r="M1059" i="6"/>
  <c r="Q1059" i="6"/>
  <c r="L1179" i="6"/>
  <c r="M1179" i="6"/>
  <c r="Q1179" i="6"/>
  <c r="L339" i="5"/>
  <c r="N339" i="5"/>
  <c r="G340" i="5"/>
  <c r="H340" i="5"/>
  <c r="L339" i="6"/>
  <c r="M339" i="6"/>
  <c r="Q339" i="6"/>
  <c r="Q219" i="6"/>
  <c r="L219" i="6"/>
  <c r="M219" i="6"/>
  <c r="L699" i="5"/>
  <c r="N699" i="5"/>
  <c r="G700" i="5"/>
  <c r="H700" i="5"/>
  <c r="G1060" i="5"/>
  <c r="H1060" i="5"/>
  <c r="L1059" i="5"/>
  <c r="N1059" i="5"/>
  <c r="L699" i="6"/>
  <c r="M699" i="6"/>
  <c r="Q699" i="6"/>
  <c r="G460" i="5"/>
  <c r="H460" i="5"/>
  <c r="L459" i="5"/>
  <c r="N459" i="5"/>
  <c r="Q939" i="6"/>
  <c r="L939" i="6"/>
  <c r="M939" i="6"/>
  <c r="Q99" i="6"/>
  <c r="L99" i="6"/>
  <c r="M99" i="6"/>
  <c r="L819" i="5"/>
  <c r="N819" i="5"/>
  <c r="G820" i="5"/>
  <c r="H820" i="5"/>
  <c r="L819" i="6"/>
  <c r="M819" i="6"/>
  <c r="Q819" i="6"/>
  <c r="N579" i="6"/>
  <c r="R579" i="6"/>
  <c r="P99" i="5"/>
  <c r="T99" i="5"/>
  <c r="U99" i="5"/>
  <c r="T819" i="5"/>
  <c r="U819" i="5"/>
  <c r="P819" i="5"/>
  <c r="R220" i="5"/>
  <c r="I220" i="5"/>
  <c r="J220" i="5"/>
  <c r="I1060" i="5"/>
  <c r="J1060" i="5"/>
  <c r="R1060" i="5"/>
  <c r="T339" i="5"/>
  <c r="U339" i="5"/>
  <c r="P339" i="5"/>
  <c r="S579" i="6"/>
  <c r="R100" i="5"/>
  <c r="I100" i="5"/>
  <c r="J100" i="5"/>
  <c r="R339" i="6"/>
  <c r="S339" i="6"/>
  <c r="N339" i="6"/>
  <c r="P1059" i="5"/>
  <c r="T1059" i="5"/>
  <c r="U1059" i="5"/>
  <c r="R700" i="5"/>
  <c r="I700" i="5"/>
  <c r="J700" i="5"/>
  <c r="I940" i="5"/>
  <c r="J940" i="5"/>
  <c r="R940" i="5"/>
  <c r="R99" i="6"/>
  <c r="N99" i="6"/>
  <c r="N939" i="6"/>
  <c r="R939" i="6"/>
  <c r="S939" i="6"/>
  <c r="R219" i="6"/>
  <c r="S219" i="6"/>
  <c r="N219" i="6"/>
  <c r="I1180" i="5"/>
  <c r="J1180" i="5"/>
  <c r="R1180" i="5"/>
  <c r="N699" i="6"/>
  <c r="R699" i="6"/>
  <c r="S699" i="6"/>
  <c r="I340" i="5"/>
  <c r="J340" i="5"/>
  <c r="R340" i="5"/>
  <c r="S99" i="6"/>
  <c r="S1179" i="6"/>
  <c r="P939" i="5"/>
  <c r="T939" i="5"/>
  <c r="U939" i="5"/>
  <c r="R1179" i="6"/>
  <c r="N1179" i="6"/>
  <c r="P459" i="5"/>
  <c r="T459" i="5"/>
  <c r="U459" i="5"/>
  <c r="R819" i="6"/>
  <c r="N819" i="6"/>
  <c r="I460" i="5"/>
  <c r="J460" i="5"/>
  <c r="R460" i="5"/>
  <c r="N1059" i="6"/>
  <c r="R1059" i="6"/>
  <c r="S1059" i="6"/>
  <c r="T1179" i="5"/>
  <c r="U1179" i="5"/>
  <c r="P1179" i="5"/>
  <c r="T579" i="5"/>
  <c r="U579" i="5"/>
  <c r="P579" i="5"/>
  <c r="R459" i="6"/>
  <c r="S459" i="6"/>
  <c r="N459" i="6"/>
  <c r="T699" i="5"/>
  <c r="U699" i="5"/>
  <c r="P699" i="5"/>
  <c r="S819" i="6"/>
  <c r="R820" i="5"/>
  <c r="I820" i="5"/>
  <c r="J820" i="5"/>
  <c r="I580" i="5"/>
  <c r="J580" i="5"/>
  <c r="R580" i="5"/>
  <c r="P219" i="5"/>
  <c r="T219" i="5"/>
  <c r="U219" i="5"/>
  <c r="M460" i="5"/>
  <c r="Q459" i="5"/>
  <c r="W459" i="5"/>
  <c r="X459" i="5"/>
  <c r="S460" i="5"/>
  <c r="K460" i="5"/>
  <c r="K940" i="5"/>
  <c r="S940" i="5"/>
  <c r="K220" i="5"/>
  <c r="S220" i="5"/>
  <c r="Q219" i="5"/>
  <c r="W219" i="5"/>
  <c r="X219" i="5"/>
  <c r="M220" i="5"/>
  <c r="M700" i="5"/>
  <c r="Q699" i="5"/>
  <c r="W699" i="5"/>
  <c r="X699" i="5"/>
  <c r="S820" i="5"/>
  <c r="K820" i="5"/>
  <c r="Q579" i="5"/>
  <c r="W579" i="5"/>
  <c r="X579" i="5"/>
  <c r="M580" i="5"/>
  <c r="M940" i="5"/>
  <c r="Q939" i="5"/>
  <c r="W939" i="5"/>
  <c r="X939" i="5"/>
  <c r="O819" i="6"/>
  <c r="U819" i="6"/>
  <c r="V819" i="6"/>
  <c r="J820" i="6"/>
  <c r="K820" i="6"/>
  <c r="J220" i="6"/>
  <c r="K220" i="6"/>
  <c r="O219" i="6"/>
  <c r="U219" i="6"/>
  <c r="V219" i="6"/>
  <c r="S100" i="5"/>
  <c r="K100" i="5"/>
  <c r="K700" i="5"/>
  <c r="S700" i="5"/>
  <c r="S1180" i="5"/>
  <c r="K1180" i="5"/>
  <c r="M1180" i="5"/>
  <c r="Q1179" i="5"/>
  <c r="W1179" i="5"/>
  <c r="X1179" i="5"/>
  <c r="M820" i="5"/>
  <c r="Q819" i="5"/>
  <c r="W819" i="5"/>
  <c r="X819" i="5"/>
  <c r="M100" i="5"/>
  <c r="Q99" i="5"/>
  <c r="W99" i="5"/>
  <c r="X99" i="5"/>
  <c r="S340" i="5"/>
  <c r="K340" i="5"/>
  <c r="O939" i="6"/>
  <c r="U939" i="6"/>
  <c r="V939" i="6"/>
  <c r="J940" i="6"/>
  <c r="K940" i="6"/>
  <c r="Q339" i="5"/>
  <c r="W339" i="5"/>
  <c r="X339" i="5"/>
  <c r="M340" i="5"/>
  <c r="O1179" i="6"/>
  <c r="U1179" i="6"/>
  <c r="V1179" i="6"/>
  <c r="J1180" i="6"/>
  <c r="K1180" i="6"/>
  <c r="J100" i="6"/>
  <c r="K100" i="6"/>
  <c r="O99" i="6"/>
  <c r="U99" i="6"/>
  <c r="V99" i="6"/>
  <c r="O459" i="6"/>
  <c r="U459" i="6"/>
  <c r="V459" i="6"/>
  <c r="J460" i="6"/>
  <c r="K460" i="6"/>
  <c r="J700" i="6"/>
  <c r="K700" i="6"/>
  <c r="O699" i="6"/>
  <c r="U699" i="6"/>
  <c r="V699" i="6"/>
  <c r="Q1059" i="5"/>
  <c r="W1059" i="5"/>
  <c r="X1059" i="5"/>
  <c r="M1060" i="5"/>
  <c r="K580" i="5"/>
  <c r="S580" i="5"/>
  <c r="O1059" i="6"/>
  <c r="U1059" i="6"/>
  <c r="V1059" i="6"/>
  <c r="J1060" i="6"/>
  <c r="K1060" i="6"/>
  <c r="J340" i="6"/>
  <c r="K340" i="6"/>
  <c r="O339" i="6"/>
  <c r="U339" i="6"/>
  <c r="V339" i="6"/>
  <c r="S1060" i="5"/>
  <c r="K1060" i="5"/>
  <c r="J580" i="6"/>
  <c r="K580" i="6"/>
  <c r="O579" i="6"/>
  <c r="U579" i="6"/>
  <c r="V579" i="6"/>
  <c r="L340" i="5"/>
  <c r="N340" i="5"/>
  <c r="G341" i="5"/>
  <c r="H341" i="5"/>
  <c r="L100" i="6"/>
  <c r="M100" i="6"/>
  <c r="Q100" i="6"/>
  <c r="Q1180" i="6"/>
  <c r="L1180" i="6"/>
  <c r="M1180" i="6"/>
  <c r="L1180" i="5"/>
  <c r="N1180" i="5"/>
  <c r="G1181" i="5"/>
  <c r="H1181" i="5"/>
  <c r="L220" i="6"/>
  <c r="M220" i="6"/>
  <c r="Q220" i="6"/>
  <c r="G941" i="5"/>
  <c r="H941" i="5"/>
  <c r="L940" i="5"/>
  <c r="N940" i="5"/>
  <c r="L820" i="6"/>
  <c r="M820" i="6"/>
  <c r="Q820" i="6"/>
  <c r="G461" i="5"/>
  <c r="H461" i="5"/>
  <c r="L460" i="5"/>
  <c r="N460" i="5"/>
  <c r="G1061" i="5"/>
  <c r="H1061" i="5"/>
  <c r="L1060" i="5"/>
  <c r="N1060" i="5"/>
  <c r="G221" i="5"/>
  <c r="H221" i="5"/>
  <c r="L220" i="5"/>
  <c r="N220" i="5"/>
  <c r="L820" i="5"/>
  <c r="N820" i="5"/>
  <c r="G821" i="5"/>
  <c r="H821" i="5"/>
  <c r="Q580" i="6"/>
  <c r="L580" i="6"/>
  <c r="M580" i="6"/>
  <c r="L700" i="5"/>
  <c r="N700" i="5"/>
  <c r="G701" i="5"/>
  <c r="H701" i="5"/>
  <c r="L1060" i="6"/>
  <c r="M1060" i="6"/>
  <c r="Q1060" i="6"/>
  <c r="Q700" i="6"/>
  <c r="L700" i="6"/>
  <c r="M700" i="6"/>
  <c r="L460" i="6"/>
  <c r="M460" i="6"/>
  <c r="Q460" i="6"/>
  <c r="Q940" i="6"/>
  <c r="L940" i="6"/>
  <c r="M940" i="6"/>
  <c r="L580" i="5"/>
  <c r="N580" i="5"/>
  <c r="G581" i="5"/>
  <c r="H581" i="5"/>
  <c r="L340" i="6"/>
  <c r="M340" i="6"/>
  <c r="Q340" i="6"/>
  <c r="G101" i="5"/>
  <c r="H101" i="5"/>
  <c r="L100" i="5"/>
  <c r="N100" i="5"/>
  <c r="R340" i="6"/>
  <c r="N340" i="6"/>
  <c r="T820" i="5"/>
  <c r="U820" i="5"/>
  <c r="P820" i="5"/>
  <c r="N820" i="6"/>
  <c r="R820" i="6"/>
  <c r="S1180" i="6"/>
  <c r="I581" i="5"/>
  <c r="J581" i="5"/>
  <c r="R581" i="5"/>
  <c r="T220" i="5"/>
  <c r="U220" i="5"/>
  <c r="P220" i="5"/>
  <c r="P940" i="5"/>
  <c r="T940" i="5"/>
  <c r="U940" i="5"/>
  <c r="S100" i="6"/>
  <c r="T580" i="5"/>
  <c r="U580" i="5"/>
  <c r="P580" i="5"/>
  <c r="N1060" i="6"/>
  <c r="R1060" i="6"/>
  <c r="S1060" i="6"/>
  <c r="R221" i="5"/>
  <c r="I221" i="5"/>
  <c r="J221" i="5"/>
  <c r="I941" i="5"/>
  <c r="J941" i="5"/>
  <c r="R941" i="5"/>
  <c r="R100" i="6"/>
  <c r="N100" i="6"/>
  <c r="R701" i="5"/>
  <c r="I701" i="5"/>
  <c r="J701" i="5"/>
  <c r="I1061" i="5"/>
  <c r="J1061" i="5"/>
  <c r="R1061" i="5"/>
  <c r="R220" i="6"/>
  <c r="N220" i="6"/>
  <c r="T340" i="5"/>
  <c r="U340" i="5"/>
  <c r="P340" i="5"/>
  <c r="N940" i="6"/>
  <c r="R940" i="6"/>
  <c r="I341" i="5"/>
  <c r="J341" i="5"/>
  <c r="R341" i="5"/>
  <c r="P100" i="5"/>
  <c r="T100" i="5"/>
  <c r="U100" i="5"/>
  <c r="R580" i="6"/>
  <c r="N580" i="6"/>
  <c r="P460" i="5"/>
  <c r="T460" i="5"/>
  <c r="U460" i="5"/>
  <c r="I1181" i="5"/>
  <c r="J1181" i="5"/>
  <c r="R1181" i="5"/>
  <c r="S220" i="6"/>
  <c r="S940" i="6"/>
  <c r="I101" i="5"/>
  <c r="J101" i="5"/>
  <c r="R101" i="5"/>
  <c r="S580" i="6"/>
  <c r="R461" i="5"/>
  <c r="I461" i="5"/>
  <c r="J461" i="5"/>
  <c r="T1180" i="5"/>
  <c r="U1180" i="5"/>
  <c r="P1180" i="5"/>
  <c r="P1060" i="5"/>
  <c r="T1060" i="5"/>
  <c r="U1060" i="5"/>
  <c r="T700" i="5"/>
  <c r="U700" i="5"/>
  <c r="P700" i="5"/>
  <c r="S460" i="6"/>
  <c r="N460" i="6"/>
  <c r="R460" i="6"/>
  <c r="S340" i="6"/>
  <c r="N700" i="6"/>
  <c r="R700" i="6"/>
  <c r="S700" i="6"/>
  <c r="R821" i="5"/>
  <c r="I821" i="5"/>
  <c r="J821" i="5"/>
  <c r="S820" i="6"/>
  <c r="N1180" i="6"/>
  <c r="R1180" i="6"/>
  <c r="Q1060" i="5"/>
  <c r="W1060" i="5"/>
  <c r="X1060" i="5"/>
  <c r="M1061" i="5"/>
  <c r="M1181" i="5"/>
  <c r="Q1180" i="5"/>
  <c r="W1180" i="5"/>
  <c r="X1180" i="5"/>
  <c r="M101" i="5"/>
  <c r="Q100" i="5"/>
  <c r="W100" i="5"/>
  <c r="X100" i="5"/>
  <c r="K941" i="5"/>
  <c r="S941" i="5"/>
  <c r="J701" i="6"/>
  <c r="K701" i="6"/>
  <c r="O700" i="6"/>
  <c r="U700" i="6"/>
  <c r="V700" i="6"/>
  <c r="O220" i="6"/>
  <c r="U220" i="6"/>
  <c r="V220" i="6"/>
  <c r="J221" i="6"/>
  <c r="K221" i="6"/>
  <c r="K221" i="5"/>
  <c r="S221" i="5"/>
  <c r="Q940" i="5"/>
  <c r="W940" i="5"/>
  <c r="X940" i="5"/>
  <c r="M941" i="5"/>
  <c r="J821" i="6"/>
  <c r="K821" i="6"/>
  <c r="O820" i="6"/>
  <c r="U820" i="6"/>
  <c r="V820" i="6"/>
  <c r="O1180" i="6"/>
  <c r="U1180" i="6"/>
  <c r="V1180" i="6"/>
  <c r="J1181" i="6"/>
  <c r="K1181" i="6"/>
  <c r="S341" i="5"/>
  <c r="K341" i="5"/>
  <c r="S1061" i="5"/>
  <c r="K1061" i="5"/>
  <c r="M221" i="5"/>
  <c r="Q220" i="5"/>
  <c r="W220" i="5"/>
  <c r="X220" i="5"/>
  <c r="M821" i="5"/>
  <c r="Q820" i="5"/>
  <c r="W820" i="5"/>
  <c r="X820" i="5"/>
  <c r="K1181" i="5"/>
  <c r="S1181" i="5"/>
  <c r="S701" i="5"/>
  <c r="K701" i="5"/>
  <c r="M461" i="5"/>
  <c r="Q460" i="5"/>
  <c r="W460" i="5"/>
  <c r="X460" i="5"/>
  <c r="J941" i="6"/>
  <c r="K941" i="6"/>
  <c r="O940" i="6"/>
  <c r="U940" i="6"/>
  <c r="V940" i="6"/>
  <c r="J1061" i="6"/>
  <c r="K1061" i="6"/>
  <c r="O1060" i="6"/>
  <c r="U1060" i="6"/>
  <c r="V1060" i="6"/>
  <c r="S461" i="5"/>
  <c r="K461" i="5"/>
  <c r="S821" i="5"/>
  <c r="K821" i="5"/>
  <c r="M701" i="5"/>
  <c r="Q700" i="5"/>
  <c r="W700" i="5"/>
  <c r="X700" i="5"/>
  <c r="O580" i="6"/>
  <c r="U580" i="6"/>
  <c r="V580" i="6"/>
  <c r="J581" i="6"/>
  <c r="K581" i="6"/>
  <c r="Q340" i="5"/>
  <c r="W340" i="5"/>
  <c r="X340" i="5"/>
  <c r="M341" i="5"/>
  <c r="O100" i="6"/>
  <c r="U100" i="6"/>
  <c r="V100" i="6"/>
  <c r="J101" i="6"/>
  <c r="K101" i="6"/>
  <c r="M581" i="5"/>
  <c r="Q580" i="5"/>
  <c r="W580" i="5"/>
  <c r="X580" i="5"/>
  <c r="J341" i="6"/>
  <c r="K341" i="6"/>
  <c r="O340" i="6"/>
  <c r="U340" i="6"/>
  <c r="V340" i="6"/>
  <c r="J461" i="6"/>
  <c r="K461" i="6"/>
  <c r="O460" i="6"/>
  <c r="U460" i="6"/>
  <c r="V460" i="6"/>
  <c r="S101" i="5"/>
  <c r="K101" i="5"/>
  <c r="K581" i="5"/>
  <c r="S581" i="5"/>
  <c r="L341" i="6"/>
  <c r="M341" i="6"/>
  <c r="Q341" i="6"/>
  <c r="L821" i="6"/>
  <c r="M821" i="6"/>
  <c r="Q821" i="6"/>
  <c r="L221" i="6"/>
  <c r="M221" i="6"/>
  <c r="Q221" i="6"/>
  <c r="G102" i="5"/>
  <c r="H102" i="5"/>
  <c r="L101" i="5"/>
  <c r="N101" i="5"/>
  <c r="Q1061" i="6"/>
  <c r="L1061" i="6"/>
  <c r="M1061" i="6"/>
  <c r="G1062" i="5"/>
  <c r="H1062" i="5"/>
  <c r="L1061" i="5"/>
  <c r="N1061" i="5"/>
  <c r="G942" i="5"/>
  <c r="H942" i="5"/>
  <c r="L941" i="5"/>
  <c r="N941" i="5"/>
  <c r="G462" i="5"/>
  <c r="H462" i="5"/>
  <c r="L461" i="5"/>
  <c r="N461" i="5"/>
  <c r="L101" i="6"/>
  <c r="M101" i="6"/>
  <c r="Q101" i="6"/>
  <c r="L581" i="6"/>
  <c r="M581" i="6"/>
  <c r="Q581" i="6"/>
  <c r="L701" i="5"/>
  <c r="N701" i="5"/>
  <c r="G702" i="5"/>
  <c r="H702" i="5"/>
  <c r="L1181" i="5"/>
  <c r="N1181" i="5"/>
  <c r="G1182" i="5"/>
  <c r="H1182" i="5"/>
  <c r="L341" i="5"/>
  <c r="N341" i="5"/>
  <c r="G342" i="5"/>
  <c r="H342" i="5"/>
  <c r="Q701" i="6"/>
  <c r="L701" i="6"/>
  <c r="M701" i="6"/>
  <c r="Q1181" i="6"/>
  <c r="L1181" i="6"/>
  <c r="M1181" i="6"/>
  <c r="L581" i="5"/>
  <c r="N581" i="5"/>
  <c r="G582" i="5"/>
  <c r="H582" i="5"/>
  <c r="Q461" i="6"/>
  <c r="L461" i="6"/>
  <c r="M461" i="6"/>
  <c r="L821" i="5"/>
  <c r="N821" i="5"/>
  <c r="G822" i="5"/>
  <c r="H822" i="5"/>
  <c r="Q941" i="6"/>
  <c r="L941" i="6"/>
  <c r="M941" i="6"/>
  <c r="G222" i="5"/>
  <c r="H222" i="5"/>
  <c r="L221" i="5"/>
  <c r="N221" i="5"/>
  <c r="T341" i="5"/>
  <c r="U341" i="5"/>
  <c r="P341" i="5"/>
  <c r="I102" i="5"/>
  <c r="J102" i="5"/>
  <c r="R102" i="5"/>
  <c r="N101" i="6"/>
  <c r="R101" i="6"/>
  <c r="I1182" i="5"/>
  <c r="J1182" i="5"/>
  <c r="R1182" i="5"/>
  <c r="T581" i="5"/>
  <c r="U581" i="5"/>
  <c r="P581" i="5"/>
  <c r="P941" i="5"/>
  <c r="T941" i="5"/>
  <c r="U941" i="5"/>
  <c r="S221" i="6"/>
  <c r="R342" i="5"/>
  <c r="I342" i="5"/>
  <c r="J342" i="5"/>
  <c r="P221" i="5"/>
  <c r="T221" i="5"/>
  <c r="U221" i="5"/>
  <c r="P101" i="5"/>
  <c r="T101" i="5"/>
  <c r="U101" i="5"/>
  <c r="T1181" i="5"/>
  <c r="U1181" i="5"/>
  <c r="P1181" i="5"/>
  <c r="N1181" i="6"/>
  <c r="R1181" i="6"/>
  <c r="S1181" i="6"/>
  <c r="T701" i="5"/>
  <c r="U701" i="5"/>
  <c r="P701" i="5"/>
  <c r="I942" i="5"/>
  <c r="J942" i="5"/>
  <c r="R942" i="5"/>
  <c r="N221" i="6"/>
  <c r="R221" i="6"/>
  <c r="R1061" i="6"/>
  <c r="N1061" i="6"/>
  <c r="N341" i="6"/>
  <c r="R341" i="6"/>
  <c r="S341" i="6"/>
  <c r="P461" i="5"/>
  <c r="T461" i="5"/>
  <c r="U461" i="5"/>
  <c r="R941" i="6"/>
  <c r="S941" i="6"/>
  <c r="N941" i="6"/>
  <c r="I822" i="5"/>
  <c r="J822" i="5"/>
  <c r="R822" i="5"/>
  <c r="R701" i="6"/>
  <c r="N701" i="6"/>
  <c r="S581" i="6"/>
  <c r="P1061" i="5"/>
  <c r="T1061" i="5"/>
  <c r="U1061" i="5"/>
  <c r="N461" i="6"/>
  <c r="R461" i="6"/>
  <c r="S461" i="6"/>
  <c r="S101" i="6"/>
  <c r="S1061" i="6"/>
  <c r="I582" i="5"/>
  <c r="J582" i="5"/>
  <c r="R582" i="5"/>
  <c r="R222" i="5"/>
  <c r="I222" i="5"/>
  <c r="J222" i="5"/>
  <c r="I462" i="5"/>
  <c r="J462" i="5"/>
  <c r="R462" i="5"/>
  <c r="R702" i="5"/>
  <c r="I702" i="5"/>
  <c r="J702" i="5"/>
  <c r="T821" i="5"/>
  <c r="U821" i="5"/>
  <c r="P821" i="5"/>
  <c r="S701" i="6"/>
  <c r="N581" i="6"/>
  <c r="R581" i="6"/>
  <c r="I1062" i="5"/>
  <c r="J1062" i="5"/>
  <c r="R1062" i="5"/>
  <c r="N821" i="6"/>
  <c r="R821" i="6"/>
  <c r="S821" i="6"/>
  <c r="J1182" i="6"/>
  <c r="K1182" i="6"/>
  <c r="O1181" i="6"/>
  <c r="U1181" i="6"/>
  <c r="V1181" i="6"/>
  <c r="S1182" i="5"/>
  <c r="K1182" i="5"/>
  <c r="M822" i="5"/>
  <c r="Q821" i="5"/>
  <c r="W821" i="5"/>
  <c r="X821" i="5"/>
  <c r="Q1061" i="5"/>
  <c r="W1061" i="5"/>
  <c r="X1061" i="5"/>
  <c r="M1062" i="5"/>
  <c r="M1182" i="5"/>
  <c r="Q1181" i="5"/>
  <c r="W1181" i="5"/>
  <c r="X1181" i="5"/>
  <c r="S582" i="5"/>
  <c r="K582" i="5"/>
  <c r="M462" i="5"/>
  <c r="Q461" i="5"/>
  <c r="W461" i="5"/>
  <c r="X461" i="5"/>
  <c r="K942" i="5"/>
  <c r="S942" i="5"/>
  <c r="J102" i="6"/>
  <c r="K102" i="6"/>
  <c r="O101" i="6"/>
  <c r="U101" i="6"/>
  <c r="V101" i="6"/>
  <c r="J702" i="6"/>
  <c r="K702" i="6"/>
  <c r="O701" i="6"/>
  <c r="U701" i="6"/>
  <c r="V701" i="6"/>
  <c r="M702" i="5"/>
  <c r="Q701" i="5"/>
  <c r="W701" i="5"/>
  <c r="X701" i="5"/>
  <c r="J342" i="6"/>
  <c r="K342" i="6"/>
  <c r="O341" i="6"/>
  <c r="U341" i="6"/>
  <c r="V341" i="6"/>
  <c r="M102" i="5"/>
  <c r="Q101" i="5"/>
  <c r="W101" i="5"/>
  <c r="X101" i="5"/>
  <c r="Q941" i="5"/>
  <c r="W941" i="5"/>
  <c r="X941" i="5"/>
  <c r="M942" i="5"/>
  <c r="S102" i="5"/>
  <c r="K102" i="5"/>
  <c r="O221" i="6"/>
  <c r="U221" i="6"/>
  <c r="V221" i="6"/>
  <c r="J222" i="6"/>
  <c r="K222" i="6"/>
  <c r="K1062" i="5"/>
  <c r="S1062" i="5"/>
  <c r="J1062" i="6"/>
  <c r="K1062" i="6"/>
  <c r="O1061" i="6"/>
  <c r="U1061" i="6"/>
  <c r="V1061" i="6"/>
  <c r="Q581" i="5"/>
  <c r="W581" i="5"/>
  <c r="X581" i="5"/>
  <c r="M582" i="5"/>
  <c r="Q341" i="5"/>
  <c r="W341" i="5"/>
  <c r="X341" i="5"/>
  <c r="M342" i="5"/>
  <c r="S342" i="5"/>
  <c r="K342" i="5"/>
  <c r="J822" i="6"/>
  <c r="K822" i="6"/>
  <c r="O821" i="6"/>
  <c r="U821" i="6"/>
  <c r="V821" i="6"/>
  <c r="S822" i="5"/>
  <c r="K822" i="5"/>
  <c r="M222" i="5"/>
  <c r="Q221" i="5"/>
  <c r="W221" i="5"/>
  <c r="X221" i="5"/>
  <c r="K702" i="5"/>
  <c r="S702" i="5"/>
  <c r="S462" i="5"/>
  <c r="K462" i="5"/>
  <c r="O461" i="6"/>
  <c r="U461" i="6"/>
  <c r="V461" i="6"/>
  <c r="J462" i="6"/>
  <c r="K462" i="6"/>
  <c r="J582" i="6"/>
  <c r="K582" i="6"/>
  <c r="O581" i="6"/>
  <c r="U581" i="6"/>
  <c r="V581" i="6"/>
  <c r="S222" i="5"/>
  <c r="K222" i="5"/>
  <c r="J942" i="6"/>
  <c r="K942" i="6"/>
  <c r="O941" i="6"/>
  <c r="U941" i="6"/>
  <c r="V941" i="6"/>
  <c r="Q222" i="6"/>
  <c r="L222" i="6"/>
  <c r="M222" i="6"/>
  <c r="L702" i="5"/>
  <c r="N702" i="5"/>
  <c r="G703" i="5"/>
  <c r="H703" i="5"/>
  <c r="Q462" i="6"/>
  <c r="L462" i="6"/>
  <c r="M462" i="6"/>
  <c r="L702" i="6"/>
  <c r="M702" i="6"/>
  <c r="Q702" i="6"/>
  <c r="L582" i="6"/>
  <c r="M582" i="6"/>
  <c r="Q582" i="6"/>
  <c r="L582" i="5"/>
  <c r="N582" i="5"/>
  <c r="G583" i="5"/>
  <c r="H583" i="5"/>
  <c r="G1063" i="5"/>
  <c r="H1063" i="5"/>
  <c r="L1062" i="5"/>
  <c r="N1062" i="5"/>
  <c r="L942" i="6"/>
  <c r="M942" i="6"/>
  <c r="Q942" i="6"/>
  <c r="G103" i="5"/>
  <c r="H103" i="5"/>
  <c r="L102" i="5"/>
  <c r="N102" i="5"/>
  <c r="G943" i="5"/>
  <c r="H943" i="5"/>
  <c r="L942" i="5"/>
  <c r="N942" i="5"/>
  <c r="L822" i="5"/>
  <c r="N822" i="5"/>
  <c r="G823" i="5"/>
  <c r="H823" i="5"/>
  <c r="G223" i="5"/>
  <c r="H223" i="5"/>
  <c r="L222" i="5"/>
  <c r="N222" i="5"/>
  <c r="L1062" i="6"/>
  <c r="M1062" i="6"/>
  <c r="Q1062" i="6"/>
  <c r="L1182" i="6"/>
  <c r="M1182" i="6"/>
  <c r="Q1182" i="6"/>
  <c r="G463" i="5"/>
  <c r="H463" i="5"/>
  <c r="L462" i="5"/>
  <c r="N462" i="5"/>
  <c r="Q102" i="6"/>
  <c r="L102" i="6"/>
  <c r="M102" i="6"/>
  <c r="L1182" i="5"/>
  <c r="N1182" i="5"/>
  <c r="G1183" i="5"/>
  <c r="H1183" i="5"/>
  <c r="Q342" i="6"/>
  <c r="L342" i="6"/>
  <c r="M342" i="6"/>
  <c r="Q822" i="6"/>
  <c r="L822" i="6"/>
  <c r="M822" i="6"/>
  <c r="L342" i="5"/>
  <c r="N342" i="5"/>
  <c r="G343" i="5"/>
  <c r="H343" i="5"/>
  <c r="T582" i="5"/>
  <c r="U582" i="5"/>
  <c r="P582" i="5"/>
  <c r="T702" i="5"/>
  <c r="U702" i="5"/>
  <c r="P702" i="5"/>
  <c r="R343" i="5"/>
  <c r="I343" i="5"/>
  <c r="J343" i="5"/>
  <c r="R702" i="6"/>
  <c r="N702" i="6"/>
  <c r="P462" i="5"/>
  <c r="T462" i="5"/>
  <c r="U462" i="5"/>
  <c r="I943" i="5"/>
  <c r="J943" i="5"/>
  <c r="R943" i="5"/>
  <c r="I1183" i="5"/>
  <c r="J1183" i="5"/>
  <c r="R1183" i="5"/>
  <c r="S1062" i="6"/>
  <c r="P102" i="5"/>
  <c r="T102" i="5"/>
  <c r="U102" i="5"/>
  <c r="N222" i="6"/>
  <c r="R222" i="6"/>
  <c r="N102" i="6"/>
  <c r="R102" i="6"/>
  <c r="S702" i="6"/>
  <c r="T342" i="5"/>
  <c r="U342" i="5"/>
  <c r="P342" i="5"/>
  <c r="R822" i="6"/>
  <c r="N822" i="6"/>
  <c r="R1182" i="6"/>
  <c r="N1182" i="6"/>
  <c r="T1182" i="5"/>
  <c r="U1182" i="5"/>
  <c r="P1182" i="5"/>
  <c r="R1062" i="6"/>
  <c r="N1062" i="6"/>
  <c r="R103" i="5"/>
  <c r="I103" i="5"/>
  <c r="J103" i="5"/>
  <c r="N582" i="6"/>
  <c r="R582" i="6"/>
  <c r="S582" i="6"/>
  <c r="S222" i="6"/>
  <c r="S102" i="6"/>
  <c r="R223" i="5"/>
  <c r="I223" i="5"/>
  <c r="J223" i="5"/>
  <c r="R462" i="6"/>
  <c r="S462" i="6"/>
  <c r="N462" i="6"/>
  <c r="R463" i="5"/>
  <c r="I463" i="5"/>
  <c r="J463" i="5"/>
  <c r="T822" i="5"/>
  <c r="U822" i="5"/>
  <c r="P822" i="5"/>
  <c r="I1063" i="5"/>
  <c r="J1063" i="5"/>
  <c r="R1063" i="5"/>
  <c r="P222" i="5"/>
  <c r="T222" i="5"/>
  <c r="U222" i="5"/>
  <c r="R942" i="6"/>
  <c r="S942" i="6"/>
  <c r="N942" i="6"/>
  <c r="I823" i="5"/>
  <c r="J823" i="5"/>
  <c r="R823" i="5"/>
  <c r="P1062" i="5"/>
  <c r="T1062" i="5"/>
  <c r="U1062" i="5"/>
  <c r="S822" i="6"/>
  <c r="N342" i="6"/>
  <c r="R342" i="6"/>
  <c r="S342" i="6"/>
  <c r="S1182" i="6"/>
  <c r="P942" i="5"/>
  <c r="T942" i="5"/>
  <c r="U942" i="5"/>
  <c r="R583" i="5"/>
  <c r="I583" i="5"/>
  <c r="J583" i="5"/>
  <c r="R703" i="5"/>
  <c r="I703" i="5"/>
  <c r="J703" i="5"/>
  <c r="O942" i="6"/>
  <c r="U942" i="6"/>
  <c r="V942" i="6"/>
  <c r="J943" i="6"/>
  <c r="K943" i="6"/>
  <c r="M1183" i="5"/>
  <c r="Q1182" i="5"/>
  <c r="W1182" i="5"/>
  <c r="X1182" i="5"/>
  <c r="S703" i="5"/>
  <c r="K703" i="5"/>
  <c r="J343" i="6"/>
  <c r="K343" i="6"/>
  <c r="O342" i="6"/>
  <c r="U342" i="6"/>
  <c r="V342" i="6"/>
  <c r="O1182" i="6"/>
  <c r="U1182" i="6"/>
  <c r="V1182" i="6"/>
  <c r="J1183" i="6"/>
  <c r="K1183" i="6"/>
  <c r="J103" i="6"/>
  <c r="K103" i="6"/>
  <c r="O102" i="6"/>
  <c r="U102" i="6"/>
  <c r="V102" i="6"/>
  <c r="K1183" i="5"/>
  <c r="S1183" i="5"/>
  <c r="S343" i="5"/>
  <c r="K343" i="5"/>
  <c r="O702" i="6"/>
  <c r="U702" i="6"/>
  <c r="V702" i="6"/>
  <c r="J703" i="6"/>
  <c r="K703" i="6"/>
  <c r="O582" i="6"/>
  <c r="U582" i="6"/>
  <c r="V582" i="6"/>
  <c r="J583" i="6"/>
  <c r="K583" i="6"/>
  <c r="S103" i="5"/>
  <c r="K103" i="5"/>
  <c r="J823" i="6"/>
  <c r="K823" i="6"/>
  <c r="O822" i="6"/>
  <c r="U822" i="6"/>
  <c r="V822" i="6"/>
  <c r="J223" i="6"/>
  <c r="K223" i="6"/>
  <c r="O222" i="6"/>
  <c r="U222" i="6"/>
  <c r="V222" i="6"/>
  <c r="K943" i="5"/>
  <c r="S943" i="5"/>
  <c r="M703" i="5"/>
  <c r="Q702" i="5"/>
  <c r="W702" i="5"/>
  <c r="X702" i="5"/>
  <c r="S463" i="5"/>
  <c r="K463" i="5"/>
  <c r="J463" i="6"/>
  <c r="K463" i="6"/>
  <c r="O462" i="6"/>
  <c r="U462" i="6"/>
  <c r="V462" i="6"/>
  <c r="K583" i="5"/>
  <c r="S583" i="5"/>
  <c r="Q1062" i="5"/>
  <c r="W1062" i="5"/>
  <c r="X1062" i="5"/>
  <c r="M1063" i="5"/>
  <c r="K223" i="5"/>
  <c r="S223" i="5"/>
  <c r="Q582" i="5"/>
  <c r="W582" i="5"/>
  <c r="X582" i="5"/>
  <c r="M583" i="5"/>
  <c r="M223" i="5"/>
  <c r="Q222" i="5"/>
  <c r="W222" i="5"/>
  <c r="X222" i="5"/>
  <c r="K1063" i="5"/>
  <c r="S1063" i="5"/>
  <c r="J1063" i="6"/>
  <c r="K1063" i="6"/>
  <c r="O1062" i="6"/>
  <c r="U1062" i="6"/>
  <c r="V1062" i="6"/>
  <c r="M343" i="5"/>
  <c r="Q342" i="5"/>
  <c r="W342" i="5"/>
  <c r="X342" i="5"/>
  <c r="Q942" i="5"/>
  <c r="W942" i="5"/>
  <c r="X942" i="5"/>
  <c r="M943" i="5"/>
  <c r="S823" i="5"/>
  <c r="K823" i="5"/>
  <c r="M823" i="5"/>
  <c r="Q822" i="5"/>
  <c r="W822" i="5"/>
  <c r="X822" i="5"/>
  <c r="M103" i="5"/>
  <c r="Q102" i="5"/>
  <c r="W102" i="5"/>
  <c r="X102" i="5"/>
  <c r="M463" i="5"/>
  <c r="Q462" i="5"/>
  <c r="W462" i="5"/>
  <c r="X462" i="5"/>
  <c r="Q343" i="6"/>
  <c r="L343" i="6"/>
  <c r="M343" i="6"/>
  <c r="L1183" i="5"/>
  <c r="N1183" i="5"/>
  <c r="G1184" i="5"/>
  <c r="H1184" i="5"/>
  <c r="L703" i="5"/>
  <c r="N703" i="5"/>
  <c r="G704" i="5"/>
  <c r="H704" i="5"/>
  <c r="L823" i="5"/>
  <c r="N823" i="5"/>
  <c r="G824" i="5"/>
  <c r="H824" i="5"/>
  <c r="L583" i="5"/>
  <c r="N583" i="5"/>
  <c r="G584" i="5"/>
  <c r="H584" i="5"/>
  <c r="G944" i="5"/>
  <c r="H944" i="5"/>
  <c r="L943" i="5"/>
  <c r="N943" i="5"/>
  <c r="G1064" i="5"/>
  <c r="H1064" i="5"/>
  <c r="L1063" i="5"/>
  <c r="N1063" i="5"/>
  <c r="G224" i="5"/>
  <c r="H224" i="5"/>
  <c r="L223" i="5"/>
  <c r="N223" i="5"/>
  <c r="Q463" i="6"/>
  <c r="L463" i="6"/>
  <c r="M463" i="6"/>
  <c r="Q223" i="6"/>
  <c r="L223" i="6"/>
  <c r="M223" i="6"/>
  <c r="Q583" i="6"/>
  <c r="L583" i="6"/>
  <c r="M583" i="6"/>
  <c r="L823" i="6"/>
  <c r="M823" i="6"/>
  <c r="Q823" i="6"/>
  <c r="L703" i="6"/>
  <c r="M703" i="6"/>
  <c r="Q703" i="6"/>
  <c r="L1183" i="6"/>
  <c r="M1183" i="6"/>
  <c r="Q1183" i="6"/>
  <c r="G104" i="5"/>
  <c r="H104" i="5"/>
  <c r="L103" i="5"/>
  <c r="N103" i="5"/>
  <c r="L343" i="5"/>
  <c r="N343" i="5"/>
  <c r="G344" i="5"/>
  <c r="H344" i="5"/>
  <c r="Q943" i="6"/>
  <c r="L943" i="6"/>
  <c r="M943" i="6"/>
  <c r="G464" i="5"/>
  <c r="H464" i="5"/>
  <c r="L463" i="5"/>
  <c r="N463" i="5"/>
  <c r="Q103" i="6"/>
  <c r="L103" i="6"/>
  <c r="M103" i="6"/>
  <c r="L1063" i="6"/>
  <c r="M1063" i="6"/>
  <c r="Q1063" i="6"/>
  <c r="I1184" i="5"/>
  <c r="J1184" i="5"/>
  <c r="R1184" i="5"/>
  <c r="I464" i="5"/>
  <c r="J464" i="5"/>
  <c r="R464" i="5"/>
  <c r="R1183" i="6"/>
  <c r="S1183" i="6"/>
  <c r="N1183" i="6"/>
  <c r="S223" i="6"/>
  <c r="I944" i="5"/>
  <c r="J944" i="5"/>
  <c r="R944" i="5"/>
  <c r="T1183" i="5"/>
  <c r="U1183" i="5"/>
  <c r="P1183" i="5"/>
  <c r="R343" i="6"/>
  <c r="N343" i="6"/>
  <c r="N943" i="6"/>
  <c r="R943" i="6"/>
  <c r="S943" i="6"/>
  <c r="T583" i="5"/>
  <c r="U583" i="5"/>
  <c r="P583" i="5"/>
  <c r="S343" i="6"/>
  <c r="R344" i="5"/>
  <c r="I344" i="5"/>
  <c r="J344" i="5"/>
  <c r="T223" i="5"/>
  <c r="U223" i="5"/>
  <c r="P223" i="5"/>
  <c r="I824" i="5"/>
  <c r="J824" i="5"/>
  <c r="R824" i="5"/>
  <c r="P463" i="5"/>
  <c r="T463" i="5"/>
  <c r="U463" i="5"/>
  <c r="R463" i="6"/>
  <c r="S463" i="6"/>
  <c r="N463" i="6"/>
  <c r="T343" i="5"/>
  <c r="U343" i="5"/>
  <c r="P343" i="5"/>
  <c r="R823" i="6"/>
  <c r="S823" i="6"/>
  <c r="N823" i="6"/>
  <c r="R224" i="5"/>
  <c r="I224" i="5"/>
  <c r="J224" i="5"/>
  <c r="T823" i="5"/>
  <c r="U823" i="5"/>
  <c r="P823" i="5"/>
  <c r="P943" i="5"/>
  <c r="T943" i="5"/>
  <c r="U943" i="5"/>
  <c r="N703" i="6"/>
  <c r="R703" i="6"/>
  <c r="S703" i="6"/>
  <c r="N1063" i="6"/>
  <c r="R1063" i="6"/>
  <c r="S1063" i="6"/>
  <c r="R583" i="6"/>
  <c r="N583" i="6"/>
  <c r="P1063" i="5"/>
  <c r="T1063" i="5"/>
  <c r="U1063" i="5"/>
  <c r="R704" i="5"/>
  <c r="I704" i="5"/>
  <c r="J704" i="5"/>
  <c r="R223" i="6"/>
  <c r="N223" i="6"/>
  <c r="I584" i="5"/>
  <c r="J584" i="5"/>
  <c r="R584" i="5"/>
  <c r="R103" i="6"/>
  <c r="N103" i="6"/>
  <c r="P103" i="5"/>
  <c r="T103" i="5"/>
  <c r="U103" i="5"/>
  <c r="S103" i="6"/>
  <c r="R104" i="5"/>
  <c r="I104" i="5"/>
  <c r="J104" i="5"/>
  <c r="S583" i="6"/>
  <c r="I1064" i="5"/>
  <c r="J1064" i="5"/>
  <c r="R1064" i="5"/>
  <c r="T703" i="5"/>
  <c r="U703" i="5"/>
  <c r="P703" i="5"/>
  <c r="K224" i="5"/>
  <c r="S224" i="5"/>
  <c r="K704" i="5"/>
  <c r="S704" i="5"/>
  <c r="O823" i="6"/>
  <c r="U823" i="6"/>
  <c r="V823" i="6"/>
  <c r="J824" i="6"/>
  <c r="K824" i="6"/>
  <c r="M464" i="5"/>
  <c r="Q463" i="5"/>
  <c r="W463" i="5"/>
  <c r="X463" i="5"/>
  <c r="O1183" i="6"/>
  <c r="U1183" i="6"/>
  <c r="V1183" i="6"/>
  <c r="J1184" i="6"/>
  <c r="K1184" i="6"/>
  <c r="M104" i="5"/>
  <c r="Q103" i="5"/>
  <c r="W103" i="5"/>
  <c r="X103" i="5"/>
  <c r="J704" i="6"/>
  <c r="K704" i="6"/>
  <c r="O703" i="6"/>
  <c r="U703" i="6"/>
  <c r="V703" i="6"/>
  <c r="O943" i="6"/>
  <c r="U943" i="6"/>
  <c r="V943" i="6"/>
  <c r="J944" i="6"/>
  <c r="K944" i="6"/>
  <c r="O1063" i="6"/>
  <c r="U1063" i="6"/>
  <c r="V1063" i="6"/>
  <c r="J1064" i="6"/>
  <c r="K1064" i="6"/>
  <c r="M344" i="5"/>
  <c r="Q343" i="5"/>
  <c r="W343" i="5"/>
  <c r="X343" i="5"/>
  <c r="S824" i="5"/>
  <c r="K824" i="5"/>
  <c r="Q583" i="5"/>
  <c r="W583" i="5"/>
  <c r="X583" i="5"/>
  <c r="M584" i="5"/>
  <c r="M1184" i="5"/>
  <c r="Q1183" i="5"/>
  <c r="W1183" i="5"/>
  <c r="X1183" i="5"/>
  <c r="S464" i="5"/>
  <c r="K464" i="5"/>
  <c r="J224" i="6"/>
  <c r="K224" i="6"/>
  <c r="O223" i="6"/>
  <c r="U223" i="6"/>
  <c r="V223" i="6"/>
  <c r="K1064" i="5"/>
  <c r="S1064" i="5"/>
  <c r="Q1063" i="5"/>
  <c r="W1063" i="5"/>
  <c r="X1063" i="5"/>
  <c r="M1064" i="5"/>
  <c r="Q943" i="5"/>
  <c r="W943" i="5"/>
  <c r="X943" i="5"/>
  <c r="M944" i="5"/>
  <c r="M224" i="5"/>
  <c r="Q223" i="5"/>
  <c r="W223" i="5"/>
  <c r="X223" i="5"/>
  <c r="M704" i="5"/>
  <c r="Q703" i="5"/>
  <c r="W703" i="5"/>
  <c r="X703" i="5"/>
  <c r="J584" i="6"/>
  <c r="K584" i="6"/>
  <c r="O583" i="6"/>
  <c r="U583" i="6"/>
  <c r="V583" i="6"/>
  <c r="M824" i="5"/>
  <c r="Q823" i="5"/>
  <c r="W823" i="5"/>
  <c r="X823" i="5"/>
  <c r="S1184" i="5"/>
  <c r="K1184" i="5"/>
  <c r="S344" i="5"/>
  <c r="K344" i="5"/>
  <c r="J344" i="6"/>
  <c r="K344" i="6"/>
  <c r="O343" i="6"/>
  <c r="U343" i="6"/>
  <c r="V343" i="6"/>
  <c r="J104" i="6"/>
  <c r="K104" i="6"/>
  <c r="O103" i="6"/>
  <c r="U103" i="6"/>
  <c r="V103" i="6"/>
  <c r="S104" i="5"/>
  <c r="K104" i="5"/>
  <c r="K584" i="5"/>
  <c r="S584" i="5"/>
  <c r="J464" i="6"/>
  <c r="K464" i="6"/>
  <c r="O463" i="6"/>
  <c r="U463" i="6"/>
  <c r="V463" i="6"/>
  <c r="S944" i="5"/>
  <c r="K944" i="5"/>
  <c r="L1184" i="5"/>
  <c r="N1184" i="5"/>
  <c r="G1185" i="5"/>
  <c r="H1185" i="5"/>
  <c r="Q704" i="6"/>
  <c r="L704" i="6"/>
  <c r="M704" i="6"/>
  <c r="G945" i="5"/>
  <c r="H945" i="5"/>
  <c r="L944" i="5"/>
  <c r="N944" i="5"/>
  <c r="L104" i="6"/>
  <c r="M104" i="6"/>
  <c r="Q104" i="6"/>
  <c r="G1065" i="5"/>
  <c r="H1065" i="5"/>
  <c r="L1064" i="5"/>
  <c r="N1064" i="5"/>
  <c r="Q944" i="6"/>
  <c r="L944" i="6"/>
  <c r="M944" i="6"/>
  <c r="G105" i="5"/>
  <c r="H105" i="5"/>
  <c r="L104" i="5"/>
  <c r="N104" i="5"/>
  <c r="L824" i="5"/>
  <c r="N824" i="5"/>
  <c r="G825" i="5"/>
  <c r="H825" i="5"/>
  <c r="Q1184" i="6"/>
  <c r="L1184" i="6"/>
  <c r="M1184" i="6"/>
  <c r="L704" i="5"/>
  <c r="N704" i="5"/>
  <c r="G705" i="5"/>
  <c r="H705" i="5"/>
  <c r="L1064" i="6"/>
  <c r="M1064" i="6"/>
  <c r="Q1064" i="6"/>
  <c r="L224" i="6"/>
  <c r="M224" i="6"/>
  <c r="Q224" i="6"/>
  <c r="L344" i="6"/>
  <c r="M344" i="6"/>
  <c r="Q344" i="6"/>
  <c r="L344" i="5"/>
  <c r="N344" i="5"/>
  <c r="G345" i="5"/>
  <c r="H345" i="5"/>
  <c r="G465" i="5"/>
  <c r="H465" i="5"/>
  <c r="L464" i="5"/>
  <c r="N464" i="5"/>
  <c r="L824" i="6"/>
  <c r="M824" i="6"/>
  <c r="Q824" i="6"/>
  <c r="L464" i="6"/>
  <c r="M464" i="6"/>
  <c r="Q464" i="6"/>
  <c r="Q584" i="6"/>
  <c r="L584" i="6"/>
  <c r="M584" i="6"/>
  <c r="L584" i="5"/>
  <c r="N584" i="5"/>
  <c r="G585" i="5"/>
  <c r="H585" i="5"/>
  <c r="G225" i="5"/>
  <c r="H225" i="5"/>
  <c r="L224" i="5"/>
  <c r="N224" i="5"/>
  <c r="I1065" i="5"/>
  <c r="J1065" i="5"/>
  <c r="R1065" i="5"/>
  <c r="R225" i="5"/>
  <c r="I225" i="5"/>
  <c r="J225" i="5"/>
  <c r="R584" i="6"/>
  <c r="N584" i="6"/>
  <c r="S464" i="6"/>
  <c r="N1184" i="6"/>
  <c r="R1184" i="6"/>
  <c r="P1064" i="5"/>
  <c r="T1064" i="5"/>
  <c r="U1064" i="5"/>
  <c r="I1185" i="5"/>
  <c r="J1185" i="5"/>
  <c r="R1185" i="5"/>
  <c r="T1184" i="5"/>
  <c r="U1184" i="5"/>
  <c r="P1184" i="5"/>
  <c r="R104" i="6"/>
  <c r="N104" i="6"/>
  <c r="R464" i="6"/>
  <c r="N464" i="6"/>
  <c r="P224" i="5"/>
  <c r="T224" i="5"/>
  <c r="U224" i="5"/>
  <c r="N824" i="6"/>
  <c r="R824" i="6"/>
  <c r="R224" i="6"/>
  <c r="S224" i="6"/>
  <c r="N224" i="6"/>
  <c r="T824" i="5"/>
  <c r="U824" i="5"/>
  <c r="P824" i="5"/>
  <c r="I585" i="5"/>
  <c r="J585" i="5"/>
  <c r="R585" i="5"/>
  <c r="P464" i="5"/>
  <c r="T464" i="5"/>
  <c r="U464" i="5"/>
  <c r="P104" i="5"/>
  <c r="T104" i="5"/>
  <c r="U104" i="5"/>
  <c r="P944" i="5"/>
  <c r="T944" i="5"/>
  <c r="U944" i="5"/>
  <c r="R344" i="6"/>
  <c r="S344" i="6"/>
  <c r="N344" i="6"/>
  <c r="R825" i="5"/>
  <c r="I825" i="5"/>
  <c r="J825" i="5"/>
  <c r="N1064" i="6"/>
  <c r="R1064" i="6"/>
  <c r="S1064" i="6"/>
  <c r="I105" i="5"/>
  <c r="J105" i="5"/>
  <c r="R105" i="5"/>
  <c r="I945" i="5"/>
  <c r="J945" i="5"/>
  <c r="R945" i="5"/>
  <c r="S824" i="6"/>
  <c r="T584" i="5"/>
  <c r="U584" i="5"/>
  <c r="P584" i="5"/>
  <c r="R345" i="5"/>
  <c r="I345" i="5"/>
  <c r="J345" i="5"/>
  <c r="R705" i="5"/>
  <c r="I705" i="5"/>
  <c r="J705" i="5"/>
  <c r="N704" i="6"/>
  <c r="R704" i="6"/>
  <c r="S1184" i="6"/>
  <c r="S104" i="6"/>
  <c r="R465" i="5"/>
  <c r="I465" i="5"/>
  <c r="J465" i="5"/>
  <c r="N944" i="6"/>
  <c r="R944" i="6"/>
  <c r="S944" i="6"/>
  <c r="S584" i="6"/>
  <c r="T344" i="5"/>
  <c r="U344" i="5"/>
  <c r="P344" i="5"/>
  <c r="T704" i="5"/>
  <c r="U704" i="5"/>
  <c r="P704" i="5"/>
  <c r="S704" i="6"/>
  <c r="S945" i="5"/>
  <c r="K945" i="5"/>
  <c r="L945" i="5"/>
  <c r="O584" i="6"/>
  <c r="U584" i="6"/>
  <c r="V584" i="6"/>
  <c r="J585" i="6"/>
  <c r="K585" i="6"/>
  <c r="K585" i="5"/>
  <c r="L585" i="5"/>
  <c r="N585" i="5"/>
  <c r="S585" i="5"/>
  <c r="Q224" i="5"/>
  <c r="W224" i="5"/>
  <c r="X224" i="5"/>
  <c r="M225" i="5"/>
  <c r="K1185" i="5"/>
  <c r="L1185" i="5"/>
  <c r="S1185" i="5"/>
  <c r="M465" i="5"/>
  <c r="Q464" i="5"/>
  <c r="W464" i="5"/>
  <c r="X464" i="5"/>
  <c r="M825" i="5"/>
  <c r="Q824" i="5"/>
  <c r="W824" i="5"/>
  <c r="X824" i="5"/>
  <c r="J465" i="6"/>
  <c r="K465" i="6"/>
  <c r="O464" i="6"/>
  <c r="U464" i="6"/>
  <c r="V464" i="6"/>
  <c r="K225" i="5"/>
  <c r="L225" i="5"/>
  <c r="N225" i="5"/>
  <c r="S225" i="5"/>
  <c r="J705" i="6"/>
  <c r="K705" i="6"/>
  <c r="O704" i="6"/>
  <c r="U704" i="6"/>
  <c r="V704" i="6"/>
  <c r="J825" i="6"/>
  <c r="K825" i="6"/>
  <c r="O824" i="6"/>
  <c r="U824" i="6"/>
  <c r="V824" i="6"/>
  <c r="S105" i="5"/>
  <c r="K105" i="5"/>
  <c r="L105" i="5"/>
  <c r="N105" i="5"/>
  <c r="Q1064" i="5"/>
  <c r="W1064" i="5"/>
  <c r="X1064" i="5"/>
  <c r="M1065" i="5"/>
  <c r="J945" i="6"/>
  <c r="K945" i="6"/>
  <c r="O944" i="6"/>
  <c r="U944" i="6"/>
  <c r="V944" i="6"/>
  <c r="Q944" i="5"/>
  <c r="W944" i="5"/>
  <c r="X944" i="5"/>
  <c r="M945" i="5"/>
  <c r="Q584" i="5"/>
  <c r="W584" i="5"/>
  <c r="X584" i="5"/>
  <c r="M585" i="5"/>
  <c r="M105" i="5"/>
  <c r="Q104" i="5"/>
  <c r="W104" i="5"/>
  <c r="X104" i="5"/>
  <c r="O224" i="6"/>
  <c r="U224" i="6"/>
  <c r="V224" i="6"/>
  <c r="J225" i="6"/>
  <c r="K225" i="6"/>
  <c r="O104" i="6"/>
  <c r="U104" i="6"/>
  <c r="V104" i="6"/>
  <c r="J105" i="6"/>
  <c r="K105" i="6"/>
  <c r="S465" i="5"/>
  <c r="K465" i="5"/>
  <c r="L465" i="5"/>
  <c r="N465" i="5"/>
  <c r="M705" i="5"/>
  <c r="Q704" i="5"/>
  <c r="W704" i="5"/>
  <c r="X704" i="5"/>
  <c r="S825" i="5"/>
  <c r="K825" i="5"/>
  <c r="L825" i="5"/>
  <c r="O1184" i="6"/>
  <c r="U1184" i="6"/>
  <c r="V1184" i="6"/>
  <c r="J1185" i="6"/>
  <c r="K1185" i="6"/>
  <c r="O344" i="6"/>
  <c r="U344" i="6"/>
  <c r="V344" i="6"/>
  <c r="J345" i="6"/>
  <c r="K345" i="6"/>
  <c r="S705" i="5"/>
  <c r="K705" i="5"/>
  <c r="L705" i="5"/>
  <c r="N705" i="5"/>
  <c r="S345" i="5"/>
  <c r="K345" i="5"/>
  <c r="L345" i="5"/>
  <c r="J1065" i="6"/>
  <c r="K1065" i="6"/>
  <c r="O1064" i="6"/>
  <c r="U1064" i="6"/>
  <c r="V1064" i="6"/>
  <c r="M345" i="5"/>
  <c r="Q344" i="5"/>
  <c r="W344" i="5"/>
  <c r="X344" i="5"/>
  <c r="M1185" i="5"/>
  <c r="Q1184" i="5"/>
  <c r="W1184" i="5"/>
  <c r="X1184" i="5"/>
  <c r="S1065" i="5"/>
  <c r="K1065" i="5"/>
  <c r="L1065" i="5"/>
  <c r="N1065" i="5"/>
  <c r="L225" i="6"/>
  <c r="M225" i="6"/>
  <c r="Q225" i="6"/>
  <c r="G10" i="8"/>
  <c r="H10" i="8"/>
  <c r="H11" i="8"/>
  <c r="G11" i="8"/>
  <c r="L945" i="6"/>
  <c r="M945" i="6"/>
  <c r="Q945" i="6"/>
  <c r="L345" i="6"/>
  <c r="M345" i="6"/>
  <c r="Q345" i="6"/>
  <c r="Q825" i="6"/>
  <c r="L825" i="6"/>
  <c r="M825" i="6"/>
  <c r="Q1065" i="6"/>
  <c r="L1065" i="6"/>
  <c r="M1065" i="6"/>
  <c r="P465" i="5"/>
  <c r="T465" i="5"/>
  <c r="U465" i="5"/>
  <c r="F9" i="8"/>
  <c r="Q705" i="6"/>
  <c r="L705" i="6"/>
  <c r="M705" i="6"/>
  <c r="U705" i="5"/>
  <c r="F11" i="8"/>
  <c r="T705" i="5"/>
  <c r="P705" i="5"/>
  <c r="T585" i="5"/>
  <c r="U585" i="5"/>
  <c r="F10" i="8"/>
  <c r="P585" i="5"/>
  <c r="P1065" i="5"/>
  <c r="T1065" i="5"/>
  <c r="H14" i="8"/>
  <c r="G14" i="8"/>
  <c r="U1065" i="5"/>
  <c r="F14" i="8"/>
  <c r="H9" i="8"/>
  <c r="G9" i="8"/>
  <c r="G7" i="8"/>
  <c r="H7" i="8"/>
  <c r="G15" i="8"/>
  <c r="H15" i="8"/>
  <c r="L585" i="6"/>
  <c r="M585" i="6"/>
  <c r="Q585" i="6"/>
  <c r="N345" i="5"/>
  <c r="Q1185" i="6"/>
  <c r="L1185" i="6"/>
  <c r="M1185" i="6"/>
  <c r="T225" i="5"/>
  <c r="U225" i="5"/>
  <c r="F7" i="8"/>
  <c r="P225" i="5"/>
  <c r="N1185" i="5"/>
  <c r="L105" i="6"/>
  <c r="M105" i="6"/>
  <c r="Q105" i="6"/>
  <c r="P105" i="5"/>
  <c r="T105" i="5"/>
  <c r="U105" i="5"/>
  <c r="F6" i="8"/>
  <c r="N945" i="5"/>
  <c r="G12" i="8"/>
  <c r="H12" i="8"/>
  <c r="G8" i="8"/>
  <c r="H8" i="8"/>
  <c r="N825" i="5"/>
  <c r="G6" i="8"/>
  <c r="H6" i="8"/>
  <c r="Q465" i="6"/>
  <c r="L465" i="6"/>
  <c r="M465" i="6"/>
  <c r="H13" i="8"/>
  <c r="G13" i="8"/>
  <c r="R1065" i="6"/>
  <c r="N1065" i="6"/>
  <c r="S105" i="6"/>
  <c r="P6" i="8"/>
  <c r="T345" i="5"/>
  <c r="U345" i="5"/>
  <c r="F8" i="8"/>
  <c r="B56" i="1"/>
  <c r="P345" i="5"/>
  <c r="Q705" i="5"/>
  <c r="K11" i="8"/>
  <c r="N105" i="6"/>
  <c r="R105" i="6"/>
  <c r="S585" i="6"/>
  <c r="P10" i="8"/>
  <c r="N825" i="6"/>
  <c r="R825" i="6"/>
  <c r="T825" i="5"/>
  <c r="U825" i="5"/>
  <c r="F12" i="8"/>
  <c r="P825" i="5"/>
  <c r="N465" i="6"/>
  <c r="R465" i="6"/>
  <c r="Q225" i="5"/>
  <c r="K7" i="8"/>
  <c r="R705" i="6"/>
  <c r="N705" i="6"/>
  <c r="S345" i="6"/>
  <c r="P8" i="8"/>
  <c r="Q105" i="5"/>
  <c r="K6" i="8"/>
  <c r="S705" i="6"/>
  <c r="P11" i="8"/>
  <c r="N345" i="6"/>
  <c r="R345" i="6"/>
  <c r="N225" i="6"/>
  <c r="R225" i="6"/>
  <c r="T1185" i="5"/>
  <c r="U1185" i="5"/>
  <c r="F15" i="8"/>
  <c r="P1185" i="5"/>
  <c r="S825" i="6"/>
  <c r="P12" i="8"/>
  <c r="S465" i="6"/>
  <c r="P9" i="8"/>
  <c r="P945" i="5"/>
  <c r="T945" i="5"/>
  <c r="U945" i="5"/>
  <c r="F13" i="8"/>
  <c r="Q1065" i="5"/>
  <c r="K14" i="8"/>
  <c r="R585" i="6"/>
  <c r="N585" i="6"/>
  <c r="B39" i="7"/>
  <c r="B57" i="1"/>
  <c r="N1185" i="6"/>
  <c r="R1185" i="6"/>
  <c r="Q585" i="5"/>
  <c r="K10" i="8"/>
  <c r="Q465" i="5"/>
  <c r="K9" i="8"/>
  <c r="R945" i="6"/>
  <c r="N945" i="6"/>
  <c r="W585" i="5"/>
  <c r="D10" i="8"/>
  <c r="C10" i="8"/>
  <c r="B10" i="8"/>
  <c r="E10" i="8"/>
  <c r="W1065" i="5"/>
  <c r="C14" i="8"/>
  <c r="B14" i="8"/>
  <c r="E14" i="8"/>
  <c r="D14" i="8"/>
  <c r="O225" i="6"/>
  <c r="U7" i="8"/>
  <c r="O705" i="6"/>
  <c r="U11" i="8"/>
  <c r="W705" i="5"/>
  <c r="D11" i="8"/>
  <c r="E11" i="8"/>
  <c r="C11" i="8"/>
  <c r="B11" i="8"/>
  <c r="R7" i="8"/>
  <c r="Q7" i="8"/>
  <c r="R15" i="8"/>
  <c r="Q15" i="8"/>
  <c r="R8" i="8"/>
  <c r="Q8" i="8"/>
  <c r="R11" i="8"/>
  <c r="Q11" i="8"/>
  <c r="Q12" i="8"/>
  <c r="R12" i="8"/>
  <c r="Q345" i="5"/>
  <c r="K8" i="8"/>
  <c r="Q825" i="5"/>
  <c r="K12" i="8"/>
  <c r="O1185" i="6"/>
  <c r="U15" i="8"/>
  <c r="Q945" i="5"/>
  <c r="K13" i="8"/>
  <c r="O345" i="6"/>
  <c r="U8" i="8"/>
  <c r="O825" i="6"/>
  <c r="U12" i="8"/>
  <c r="Q9" i="8"/>
  <c r="R9" i="8"/>
  <c r="Q6" i="8"/>
  <c r="R6" i="8"/>
  <c r="O1065" i="6"/>
  <c r="U14" i="8"/>
  <c r="O945" i="6"/>
  <c r="U13" i="8"/>
  <c r="W225" i="5"/>
  <c r="C7" i="8"/>
  <c r="B7" i="8"/>
  <c r="E7" i="8"/>
  <c r="D7" i="8"/>
  <c r="R13" i="8"/>
  <c r="Q13" i="8"/>
  <c r="O585" i="6"/>
  <c r="U10" i="8"/>
  <c r="R10" i="8"/>
  <c r="Q10" i="8"/>
  <c r="Q1185" i="5"/>
  <c r="K15" i="8"/>
  <c r="W105" i="5"/>
  <c r="E6" i="8"/>
  <c r="D6" i="8"/>
  <c r="C6" i="8"/>
  <c r="O465" i="6"/>
  <c r="U9" i="8"/>
  <c r="O105" i="6"/>
  <c r="U6" i="8"/>
  <c r="R14" i="8"/>
  <c r="Q14" i="8"/>
  <c r="W465" i="5"/>
  <c r="E9" i="8"/>
  <c r="C9" i="8"/>
  <c r="B9" i="8"/>
  <c r="D9" i="8"/>
  <c r="S945" i="6"/>
  <c r="P13" i="8"/>
  <c r="S225" i="6"/>
  <c r="P7" i="8"/>
  <c r="C56" i="1"/>
  <c r="D56" i="1"/>
  <c r="S1185" i="6"/>
  <c r="P15" i="8"/>
  <c r="S1065" i="6"/>
  <c r="P14" i="8"/>
  <c r="U585" i="6"/>
  <c r="M10" i="8"/>
  <c r="L10" i="8"/>
  <c r="O10" i="8"/>
  <c r="N10" i="8"/>
  <c r="X105" i="5"/>
  <c r="J6" i="8"/>
  <c r="I6" i="8"/>
  <c r="U1065" i="6"/>
  <c r="N14" i="8"/>
  <c r="M14" i="8"/>
  <c r="L14" i="8"/>
  <c r="V14" i="8"/>
  <c r="O14" i="8"/>
  <c r="U825" i="6"/>
  <c r="M12" i="8"/>
  <c r="L12" i="8"/>
  <c r="N12" i="8"/>
  <c r="O12" i="8"/>
  <c r="W825" i="5"/>
  <c r="E12" i="8"/>
  <c r="C12" i="8"/>
  <c r="B12" i="8"/>
  <c r="V12" i="8"/>
  <c r="D12" i="8"/>
  <c r="X705" i="5"/>
  <c r="J11" i="8"/>
  <c r="I11" i="8"/>
  <c r="X1065" i="5"/>
  <c r="J14" i="8"/>
  <c r="I14" i="8"/>
  <c r="X465" i="5"/>
  <c r="J9" i="8"/>
  <c r="I9" i="8"/>
  <c r="U105" i="6"/>
  <c r="M6" i="8"/>
  <c r="N6" i="8"/>
  <c r="O6" i="8"/>
  <c r="W1185" i="5"/>
  <c r="E11" i="35"/>
  <c r="E7" i="35"/>
  <c r="E16" i="35"/>
  <c r="E15" i="35"/>
  <c r="E8" i="35"/>
  <c r="E9" i="35"/>
  <c r="E17" i="35"/>
  <c r="E10" i="35"/>
  <c r="E19" i="35"/>
  <c r="E12" i="35"/>
  <c r="E14" i="35"/>
  <c r="E18" i="35"/>
  <c r="E13" i="35"/>
  <c r="E15" i="8"/>
  <c r="D15" i="8"/>
  <c r="C15" i="8"/>
  <c r="B15" i="8"/>
  <c r="V15" i="8"/>
  <c r="B40" i="7"/>
  <c r="C57" i="1"/>
  <c r="D57" i="1"/>
  <c r="U345" i="6"/>
  <c r="O8" i="8"/>
  <c r="M8" i="8"/>
  <c r="L8" i="8"/>
  <c r="N8" i="8"/>
  <c r="W345" i="5"/>
  <c r="E8" i="8"/>
  <c r="B55" i="1"/>
  <c r="D8" i="8"/>
  <c r="B54" i="1"/>
  <c r="C8" i="8"/>
  <c r="B8" i="8"/>
  <c r="V8" i="8"/>
  <c r="U705" i="6"/>
  <c r="N11" i="8"/>
  <c r="M11" i="8"/>
  <c r="L11" i="8"/>
  <c r="O11" i="8"/>
  <c r="V10" i="8"/>
  <c r="U945" i="6"/>
  <c r="M13" i="8"/>
  <c r="L13" i="8"/>
  <c r="N13" i="8"/>
  <c r="O13" i="8"/>
  <c r="U1185" i="6"/>
  <c r="F10" i="35"/>
  <c r="F13" i="35"/>
  <c r="F17" i="35"/>
  <c r="F11" i="35"/>
  <c r="F18" i="35"/>
  <c r="F19" i="35"/>
  <c r="F9" i="35"/>
  <c r="F14" i="35"/>
  <c r="F16" i="35"/>
  <c r="F15" i="35"/>
  <c r="F8" i="35"/>
  <c r="F7" i="35"/>
  <c r="F12" i="35"/>
  <c r="N15" i="8"/>
  <c r="O15" i="8"/>
  <c r="M15" i="8"/>
  <c r="L15" i="8"/>
  <c r="U465" i="6"/>
  <c r="O9" i="8"/>
  <c r="M9" i="8"/>
  <c r="L9" i="8"/>
  <c r="V9" i="8"/>
  <c r="N9" i="8"/>
  <c r="X225" i="5"/>
  <c r="J7" i="8"/>
  <c r="I7" i="8"/>
  <c r="W945" i="5"/>
  <c r="D13" i="8"/>
  <c r="E13" i="8"/>
  <c r="C13" i="8"/>
  <c r="B13" i="8"/>
  <c r="U225" i="6"/>
  <c r="N7" i="8"/>
  <c r="M7" i="8"/>
  <c r="L7" i="8"/>
  <c r="V7" i="8"/>
  <c r="O7" i="8"/>
  <c r="X585" i="5"/>
  <c r="J10" i="8"/>
  <c r="I10" i="8"/>
  <c r="B6" i="8"/>
  <c r="V11" i="8"/>
  <c r="B83" i="1"/>
  <c r="X825" i="5"/>
  <c r="J12" i="8"/>
  <c r="I12" i="8"/>
  <c r="V1065" i="6"/>
  <c r="T14" i="8"/>
  <c r="W14" i="8"/>
  <c r="S14" i="8"/>
  <c r="C55" i="1"/>
  <c r="D55" i="1"/>
  <c r="B53" i="1"/>
  <c r="V225" i="6"/>
  <c r="T7" i="8"/>
  <c r="W7" i="8"/>
  <c r="S7" i="8"/>
  <c r="V465" i="6"/>
  <c r="T9" i="8"/>
  <c r="W9" i="8"/>
  <c r="S9" i="8"/>
  <c r="X345" i="5"/>
  <c r="J8" i="8"/>
  <c r="B58" i="1"/>
  <c r="I8" i="8"/>
  <c r="C54" i="1"/>
  <c r="C83" i="1"/>
  <c r="L6" i="8"/>
  <c r="V6" i="8"/>
  <c r="C53" i="1"/>
  <c r="C82" i="1"/>
  <c r="V825" i="6"/>
  <c r="T12" i="8"/>
  <c r="W12" i="8"/>
  <c r="S12" i="8"/>
  <c r="V105" i="6"/>
  <c r="T6" i="8"/>
  <c r="S6" i="8"/>
  <c r="X1185" i="5"/>
  <c r="J15" i="8"/>
  <c r="I15" i="8"/>
  <c r="V13" i="8"/>
  <c r="X945" i="5"/>
  <c r="J13" i="8"/>
  <c r="I13" i="8"/>
  <c r="B37" i="7"/>
  <c r="B59" i="1"/>
  <c r="F20" i="35"/>
  <c r="C81" i="1"/>
  <c r="V945" i="6"/>
  <c r="T13" i="8"/>
  <c r="S13" i="8"/>
  <c r="V1185" i="6"/>
  <c r="T15" i="8"/>
  <c r="W15" i="8"/>
  <c r="S15" i="8"/>
  <c r="V705" i="6"/>
  <c r="T11" i="8"/>
  <c r="W11" i="8"/>
  <c r="S11" i="8"/>
  <c r="V345" i="6"/>
  <c r="T8" i="8"/>
  <c r="W8" i="8"/>
  <c r="S8" i="8"/>
  <c r="E20" i="35"/>
  <c r="V585" i="6"/>
  <c r="T10" i="8"/>
  <c r="W10" i="8"/>
  <c r="S10" i="8"/>
  <c r="B11" i="7"/>
  <c r="B12" i="7"/>
  <c r="B10" i="7"/>
  <c r="B9" i="7"/>
  <c r="B13" i="7"/>
  <c r="B14" i="7"/>
  <c r="E22" i="35"/>
  <c r="B81" i="1"/>
  <c r="W13" i="8"/>
  <c r="B38" i="7"/>
  <c r="C59" i="1"/>
  <c r="D59" i="1"/>
  <c r="W6" i="8"/>
  <c r="C58" i="1"/>
  <c r="D58" i="1"/>
  <c r="B82" i="1"/>
  <c r="D53" i="1"/>
  <c r="D54" i="1"/>
  <c r="B25" i="7"/>
  <c r="B24" i="7"/>
  <c r="B23" i="7"/>
  <c r="B27" i="7"/>
  <c r="B16" i="7"/>
  <c r="B66" i="1"/>
  <c r="B15" i="7"/>
  <c r="B64" i="1"/>
  <c r="B18" i="7"/>
  <c r="B68" i="1"/>
  <c r="B65" i="1"/>
  <c r="C64" i="1"/>
  <c r="B28" i="7"/>
  <c r="B30" i="7"/>
  <c r="C66" i="1"/>
  <c r="B26" i="7"/>
  <c r="B29" i="7"/>
  <c r="B32" i="7"/>
  <c r="C68" i="1"/>
  <c r="C65" i="1"/>
</calcChain>
</file>

<file path=xl/sharedStrings.xml><?xml version="1.0" encoding="utf-8"?>
<sst xmlns="http://schemas.openxmlformats.org/spreadsheetml/2006/main" count="4475" uniqueCount="1728">
  <si>
    <t>OPS-SAT SIMULTANEOUS ACE  |  GROUND vs ORBITAL EDGE</t>
  </si>
  <si>
    <t>Carlo Antonio Nino  ·  GWU D.Eng. Praxis  ·  Simultaneous OPS-SAT ACE v02</t>
  </si>
  <si>
    <t>ACE DATA  &gt;  NORMALIZE / FUSE  &gt;  GROUND vs EDGE DES  &gt;  RESULTS</t>
  </si>
  <si>
    <t>A ·  ACE INPUTS</t>
  </si>
  <si>
    <t>Leg</t>
  </si>
  <si>
    <t>Source</t>
  </si>
  <si>
    <t>Contribution</t>
  </si>
  <si>
    <t>Records in window</t>
  </si>
  <si>
    <t>Data class</t>
  </si>
  <si>
    <t>AI / ML</t>
  </si>
  <si>
    <t>OPSSAT-AD v2 onboard telemetry</t>
  </si>
  <si>
    <t>Arrival chronology, segment and anomaly context</t>
  </si>
  <si>
    <t>OBSERVED</t>
  </si>
  <si>
    <t>COMM</t>
  </si>
  <si>
    <t>SatNOGS decoded OPS-SAT receptions</t>
  </si>
  <si>
    <t>Radio state, beacon activity, counter deltas</t>
  </si>
  <si>
    <t>OBSERVED state only</t>
  </si>
  <si>
    <t>ENV</t>
  </si>
  <si>
    <t>NASA OMNI near-Earth environment</t>
  </si>
  <si>
    <t>Space-environment context by UTC minute</t>
  </si>
  <si>
    <t>OBSERVED context only</t>
  </si>
  <si>
    <t>Spacecraft</t>
  </si>
  <si>
    <t>OPS-SAT, NORAD 44878</t>
  </si>
  <si>
    <t>Common UTC window</t>
  </si>
  <si>
    <t>Window length (s)</t>
  </si>
  <si>
    <t>Accepted / rejected observations</t>
  </si>
  <si>
    <t>Synchronization rule</t>
  </si>
  <si>
    <t>COMM tolerance (s)</t>
  </si>
  <si>
    <t>ENV join</t>
  </si>
  <si>
    <t>Fused cohort</t>
  </si>
  <si>
    <t>Replications</t>
  </si>
  <si>
    <t>Paired entities</t>
  </si>
  <si>
    <t>NOT ESTABLISHED by these sources: link capacity, packet loss, propagation delay, outage duration. Co-timing is association with a stated tolerance, not causation.</t>
  </si>
  <si>
    <t>Prior A, C and E data-fit runs are retained on their own sheets for lineage. They are from different periods and are not inputs to this synchronized run.</t>
  </si>
  <si>
    <t>B ·  ENV / COMM SNAPSHOT   ·   representative synchronized record (entity 1 of the cohort)</t>
  </si>
  <si>
    <t>UTC</t>
  </si>
  <si>
    <t>SOURCE</t>
  </si>
  <si>
    <t>VARIABLE</t>
  </si>
  <si>
    <t>VALUE</t>
  </si>
  <si>
    <t>UNIT</t>
  </si>
  <si>
    <t>DATA CLASS</t>
  </si>
  <si>
    <t>OPSSAT-AD</t>
  </si>
  <si>
    <t>source units</t>
  </si>
  <si>
    <t>Anomaly label</t>
  </si>
  <si>
    <t>flag</t>
  </si>
  <si>
    <t>Segment</t>
  </si>
  <si>
    <t>id</t>
  </si>
  <si>
    <t>SatNOGS</t>
  </si>
  <si>
    <t>Latest preceding validated beacon</t>
  </si>
  <si>
    <t>JSON row</t>
  </si>
  <si>
    <t>COMM association age</t>
  </si>
  <si>
    <t>s</t>
  </si>
  <si>
    <t>DERIVED / PROXY</t>
  </si>
  <si>
    <t>NASA OMNI</t>
  </si>
  <si>
    <t>Magnetic field average</t>
  </si>
  <si>
    <t>nT</t>
  </si>
  <si>
    <t>Bz GSM</t>
  </si>
  <si>
    <t>Solar wind speed</t>
  </si>
  <si>
    <t>km/s</t>
  </si>
  <si>
    <t>AE index</t>
  </si>
  <si>
    <t>SYM/H index</t>
  </si>
  <si>
    <t>model input</t>
  </si>
  <si>
    <t>DES assumption</t>
  </si>
  <si>
    <t>Link rate</t>
  </si>
  <si>
    <t>Mbps</t>
  </si>
  <si>
    <t>SYNTHETIC</t>
  </si>
  <si>
    <t>Raw observation volume</t>
  </si>
  <si>
    <t>MB</t>
  </si>
  <si>
    <t>Edge output fraction</t>
  </si>
  <si>
    <t>share</t>
  </si>
  <si>
    <t>No environmental value is converted into a communications outage or degradation anywhere in this model. Association is by UTC only.</t>
  </si>
  <si>
    <t>C ·  SCENARIO CONTROLS</t>
  </si>
  <si>
    <t>Control</t>
  </si>
  <si>
    <t>Value</t>
  </si>
  <si>
    <t>Architectures compared</t>
  </si>
  <si>
    <t>Ground-centric vs bounded orbital edge</t>
  </si>
  <si>
    <t>Entities per replication</t>
  </si>
  <si>
    <t>CONTROLLED</t>
  </si>
  <si>
    <t>Observation volume (MB)</t>
  </si>
  <si>
    <t>SYNTHETIC / CONTROLLED</t>
  </si>
  <si>
    <t>Ground processing mean (s)</t>
  </si>
  <si>
    <t>Link rate (Mbps)</t>
  </si>
  <si>
    <t>Onboard processing mean (s)</t>
  </si>
  <si>
    <t>Link up window (s)</t>
  </si>
  <si>
    <t>Propagation delay (s)</t>
  </si>
  <si>
    <t>Link down window (s)</t>
  </si>
  <si>
    <t>Link availability (share)</t>
  </si>
  <si>
    <t>Service deadline (s)</t>
  </si>
  <si>
    <t>Staleness threshold (s)</t>
  </si>
  <si>
    <t>Processing seed base</t>
  </si>
  <si>
    <t>Seed rule</t>
  </si>
  <si>
    <t>Latency statistic</t>
  </si>
  <si>
    <t>Alpha</t>
  </si>
  <si>
    <t>Arrivals replay the measured telemetry offsets. Service times, volume, link rate and the availability cycle are declared assumptions carried from the v9 baseline.</t>
  </si>
  <si>
    <t>D ·  GROUND vs EDGE   ·   presented neutrally, either architecture may win</t>
  </si>
  <si>
    <t>Measure</t>
  </si>
  <si>
    <t>Ground</t>
  </si>
  <si>
    <t>Edge</t>
  </si>
  <si>
    <t>Difference</t>
  </si>
  <si>
    <t>Note</t>
  </si>
  <si>
    <t>Mean end-to-end latency (s)</t>
  </si>
  <si>
    <t>Ground minus Edge</t>
  </si>
  <si>
    <t>Median latency (s)</t>
  </si>
  <si>
    <t>P90 latency (s)</t>
  </si>
  <si>
    <t>Mean queueing delay (s)</t>
  </si>
  <si>
    <t>Mean recovery wait (s)</t>
  </si>
  <si>
    <t>Affected observations only</t>
  </si>
  <si>
    <t>Within deadline (%)</t>
  </si>
  <si>
    <t>Edge minus Ground</t>
  </si>
  <si>
    <t>Stale or dropped (%)</t>
  </si>
  <si>
    <t>Downlinked volume per observation (MB)</t>
  </si>
  <si>
    <t>Bandwidth effect</t>
  </si>
  <si>
    <t>Downlinked volume per replication (MB)</t>
  </si>
  <si>
    <t>Paired difference across replications</t>
  </si>
  <si>
    <t>Latency (s)</t>
  </si>
  <si>
    <t>Availability (share)</t>
  </si>
  <si>
    <t>N</t>
  </si>
  <si>
    <t>Mean paired difference</t>
  </si>
  <si>
    <t>95% interval, lower</t>
  </si>
  <si>
    <t>95% interval, upper</t>
  </si>
  <si>
    <t>Zero-effect reference</t>
  </si>
  <si>
    <t>Reading</t>
  </si>
  <si>
    <t>Scenario</t>
  </si>
  <si>
    <t>Ground mean completion (s)</t>
  </si>
  <si>
    <t>Edge mean completion (s)</t>
  </si>
  <si>
    <t>Ground minus Edge (s)</t>
  </si>
  <si>
    <t>Purpose</t>
  </si>
  <si>
    <t>PRIMARY_300MB</t>
  </si>
  <si>
    <t>Inherited 300 MB assumption</t>
  </si>
  <si>
    <t>SMALL_1MB</t>
  </si>
  <si>
    <t>Small workload</t>
  </si>
  <si>
    <t>NO_REDUCTION</t>
  </si>
  <si>
    <t>No edge volume reduction</t>
  </si>
  <si>
    <t>SLOW_EDGE_60S</t>
  </si>
  <si>
    <t>Slow onboard processing</t>
  </si>
  <si>
    <t>IDENTICAL</t>
  </si>
  <si>
    <t>Identical paths, must return zero</t>
  </si>
  <si>
    <t>SIMULATION OUTPUT. Assumption-conditioned model results, not measurements and not a research finding. The edge path loses in three of the five cases above.</t>
  </si>
  <si>
    <t>E ·  DISTRIBUTIONS   ·   charts to the right</t>
  </si>
  <si>
    <t>Histogram key</t>
  </si>
  <si>
    <t>Entities charted (N)</t>
  </si>
  <si>
    <t>Mean latency (s)</t>
  </si>
  <si>
    <t>Bin width (s)</t>
  </si>
  <si>
    <t>common bins and axes</t>
  </si>
  <si>
    <t>Scenario / replications</t>
  </si>
  <si>
    <t>Common timeline shows AI/ML samples, accepted samples and COMM receptions per UTC minute across the bounded window.</t>
  </si>
  <si>
    <t>OPS-SAT | SIMULTANEOUS ACE v02</t>
  </si>
  <si>
    <t>Carlo Antonio Nino · GWU D.Eng. Praxis · 23 September 2026
Window: 28 January 2022, 17:42:49–17:54:19 UTC</t>
  </si>
  <si>
    <t>QUALIFIED PASS
Synchronized radio-state data fit</t>
  </si>
  <si>
    <t>NOT CALIBRATED
Rate, delay and outages remain synthetic</t>
  </si>
  <si>
    <t>RECEPTIONS REVIEWED</t>
  </si>
  <si>
    <t>DECODED ADMISSIONS</t>
  </si>
  <si>
    <t>DISTINCT BEACONS</t>
  </si>
  <si>
    <t>ACE OBSERVATIONS</t>
  </si>
  <si>
    <t>65/65 retained CRC32-C checks pass. One malformed AX.25 source header is rejected, not repaired. The 61-beacon series contains 54 CRC-verified and 7 preprocessed-only beacons; 10 of the 100 ACE observations use a no-CRC witness.</t>
  </si>
  <si>
    <t>WHAT CHANGED: 18 decoded radio fields and counter-activity attributes now accompany the same AI/ML–COMM–ENV timeline. TX counters advance by 69 packets and 6,486 bytes across 690 s; 9.4 B/s is radio activity, NOT available link capacity.</t>
  </si>
  <si>
    <t>GROUND / EDGE RESULTS | assumption-conditioned simulation</t>
  </si>
  <si>
    <t>Ground mean, s</t>
  </si>
  <si>
    <t>Edge mean, s</t>
  </si>
  <si>
    <t>Lower modeled time</t>
  </si>
  <si>
    <t>Inherited 300 MB</t>
  </si>
  <si>
    <t>1 MB workload</t>
  </si>
  <si>
    <t>No volume reduction</t>
  </si>
  <si>
    <t>60 s edge compute</t>
  </si>
  <si>
    <t>Identical paths</t>
  </si>
  <si>
    <t>Results are unchanged: the same 100 arrivals and performance assumptions are used. 100 Mbps, 300 MB, 4/12 s compute, 25% output and the 600/120 s link cycle remain synthetic. Stale jobs are flagged after modeled completion, not cancelled from queues.</t>
  </si>
  <si>
    <t>OBSERVED RADIO STATE | onboard background RSSI
Context only: no RSSI-to-throughput or RSSI-to-outage rule is imposed.</t>
  </si>
  <si>
    <t>QC SENSITIVITY: the qualified primary cohort remains 100 observations. Restricting all witnesses to CRC-verified beacons retains 90 at the same 10 s freshness rule. This is a distinct cohort option, not another independent dataset.</t>
  </si>
  <si>
    <t>METHOD: schema-driven Python adapter reads the uploaded opssat1.ksy and executes its unchanged SatNOGS descrambler. A second scalar reader cross-checks 1,800 values. Kaitai compiler and MATLAB were not executed. CRC checks do not establish spacecraft-to-ground timing calibration.</t>
  </si>
  <si>
    <t>Settings  -  every input lives here</t>
  </si>
  <si>
    <t>Excel DES Baseline v1.2  | 19 September 2026  |  Prepared by Carlo Antonio Nino, GWU D.Eng. Praxis</t>
  </si>
  <si>
    <t>PARTIAL-FIT DIAGNOSTIC. Real chronology + context; active performance assumptions remain synthetic. Not an empirical architecture finding.</t>
  </si>
  <si>
    <t>Blue cells on a yellow fill are inputs. Black cells are calculated. Change nothing else.</t>
  </si>
  <si>
    <t>SCENARIO</t>
  </si>
  <si>
    <t>DERIVED / CONTROLLED. 100 accepted source observations. Cohort changes require a new configuration.</t>
  </si>
  <si>
    <t>CONTROLLED. Ten conditional service replications of ONE observed trace, not ten independent passes.</t>
  </si>
  <si>
    <t>Scheduled assessment window (s)</t>
  </si>
  <si>
    <t>DERIVED. Bounded source window only; modeled completion may occur later under a synthetic schedule.</t>
  </si>
  <si>
    <t>Mean time between arrivals (s)</t>
  </si>
  <si>
    <t>INACTIVE. Arrivals now replay measured telemetry times; this synthetic exponential mean is not used.</t>
  </si>
  <si>
    <t>Observation size (MB)</t>
  </si>
  <si>
    <t>SYNTHETIC. Inherited 300 MB per modeled observation. Not measured OPS-SAT task bytes.</t>
  </si>
  <si>
    <t>RANDOM STREAMS</t>
  </si>
  <si>
    <t>Base seed, arrival stream</t>
  </si>
  <si>
    <t>INACTIVE arrival RNG retained for historical traceability.</t>
  </si>
  <si>
    <t>Base seed, processing stream</t>
  </si>
  <si>
    <t>ACTIVE synthetic service RNG. Same U for Ground and Edge, seed increment 1000 per rep.</t>
  </si>
  <si>
    <t>Generator multiplier a</t>
  </si>
  <si>
    <t>Park-Miller generator, as used in HW5.</t>
  </si>
  <si>
    <t>Generator modulus m</t>
  </si>
  <si>
    <t>2^31 - 1.</t>
  </si>
  <si>
    <t>GROUND-CENTRIC PATH</t>
  </si>
  <si>
    <t>Ground processing mean time (s)</t>
  </si>
  <si>
    <t>SYNTHETIC. Not OPSSAT-AD inference timing.</t>
  </si>
  <si>
    <t>ORBITAL EDGE PATH</t>
  </si>
  <si>
    <t>Onboard processing mean time (s)</t>
  </si>
  <si>
    <t>SYNTHETIC. Paired service draw, larger assumed mean.</t>
  </si>
  <si>
    <t>Output fraction after filtering</t>
  </si>
  <si>
    <t>SYNTHETIC. No measured before/after byte reduction is supplied.</t>
  </si>
  <si>
    <t>COMMUNICATIONS LINK (identical for both paths)</t>
  </si>
  <si>
    <t>SYNTHETIC. Not throughput measured by SatNOGS and not calibrated to the OPS-SAT UHF radio.</t>
  </si>
  <si>
    <t>One-way propagation delay (s)</t>
  </si>
  <si>
    <t>SYNTHETIC. Not a measured one-way delay.</t>
  </si>
  <si>
    <t>SYNTHETIC. Repeating availability scenario, not reception-derived uptime.</t>
  </si>
  <si>
    <t>SYNTHETIC. Not a historical outage; receptions may exist during this imposed scenario interval.</t>
  </si>
  <si>
    <t>Cycle offset (s)</t>
  </si>
  <si>
    <t>SYNTHETIC. Counterfactual schedule anchored to the replay origin.</t>
  </si>
  <si>
    <t>Cycle length (s)</t>
  </si>
  <si>
    <t>Up window plus down window.</t>
  </si>
  <si>
    <t>ANALYSIS</t>
  </si>
  <si>
    <t>Delivered later than this counts as outside the service deadline. Drives the availability measure.</t>
  </si>
  <si>
    <t>Staleness limit (s)</t>
  </si>
  <si>
    <t>Not delivered by this time counts as dropped, not delivered. Keep it above the deadline.</t>
  </si>
  <si>
    <t>Significance level alpha</t>
  </si>
  <si>
    <t>Two-sided. 0.05 with 9 degrees of freedom gives t = 2.2622, as in HW10.</t>
  </si>
  <si>
    <t>Acceptable-loss margin, availability</t>
  </si>
  <si>
    <t>Recorded before testing. For a preservation claim only, never for an improvement claim.</t>
  </si>
  <si>
    <t>Main latency statistic, selected before testing</t>
  </si>
  <si>
    <t>Mean</t>
  </si>
  <si>
    <t>Type Mean, Median or P90. This choice drives the comparison sheet.</t>
  </si>
  <si>
    <t>HYPOTHESIS TEXT (editable, nothing is locked into the sheet)</t>
  </si>
  <si>
    <t>H0 latency (NULL HYPOTHESIS)</t>
  </si>
  <si>
    <t>Edge processing does not reduce the selected latency measure.</t>
  </si>
  <si>
    <t>H1 latency</t>
  </si>
  <si>
    <t>Edge processing reduces the selected latency measure.</t>
  </si>
  <si>
    <t>H0 availability (NULL HYPOTHESIS)</t>
  </si>
  <si>
    <t>Edge availability is not higher than ground availability.</t>
  </si>
  <si>
    <t>H1 availability</t>
  </si>
  <si>
    <t>Edge availability is higher than ground availability.</t>
  </si>
  <si>
    <t>Cohort is fixed by ACE_Input (100). To change the tolerance, entity set or replication design, regenerate and version the experiment. Performance assumptions remain editable.</t>
  </si>
  <si>
    <t>Arrivals  -  shared random streams used by BOTH paths</t>
  </si>
  <si>
    <t>100 retained observation times replayed in each conditional replication. C:D are inactive historical arrival RNG diagnostics. G:J drive synthetic service demands.</t>
  </si>
  <si>
    <t>Rep</t>
  </si>
  <si>
    <t>Entity</t>
  </si>
  <si>
    <t>X arrival</t>
  </si>
  <si>
    <t>U arrival</t>
  </si>
  <si>
    <t>Interarrival (s)</t>
  </si>
  <si>
    <t>Arrival time (s)</t>
  </si>
  <si>
    <t>X service</t>
  </si>
  <si>
    <t>U service</t>
  </si>
  <si>
    <t>Ground proc time (s)</t>
  </si>
  <si>
    <t>Edge proc time (s)</t>
  </si>
  <si>
    <t>Ground volume (MB)</t>
  </si>
  <si>
    <t>Edge volume (MB)</t>
  </si>
  <si>
    <t>Ground_Run  -  arrive &gt; wait for link &gt; downlink full volume &gt; ground processing &gt; delivered</t>
  </si>
  <si>
    <t>CONDITIONAL SYNTHETIC PERFORMANCE. Stale flags do not cancel jobs; mean completion times include stale-flagged work. No historical OPS-SAT latency or outage is measured here.</t>
  </si>
  <si>
    <t>Arrival (s)</t>
  </si>
  <si>
    <t>Volume (MB)</t>
  </si>
  <si>
    <t>Transmit time (s)</t>
  </si>
  <si>
    <t>Link ready (s)</t>
  </si>
  <si>
    <t>Link free at (s)</t>
  </si>
  <si>
    <t>Earliest link start (s)</t>
  </si>
  <si>
    <t>Cycle phase (s)</t>
  </si>
  <si>
    <t>Link start (s)</t>
  </si>
  <si>
    <t>Link done (s)</t>
  </si>
  <si>
    <t>Processor ready (s)</t>
  </si>
  <si>
    <t>Processor free at (s)</t>
  </si>
  <si>
    <t>Processor start (s)</t>
  </si>
  <si>
    <t>Processing time (s)</t>
  </si>
  <si>
    <t>Delivered (s)</t>
  </si>
  <si>
    <t>End-to-end latency (s)</t>
  </si>
  <si>
    <t>Wait in link queue (s)</t>
  </si>
  <si>
    <t>Wait for link recovery (s)</t>
  </si>
  <si>
    <t>Wait for processor (s)</t>
  </si>
  <si>
    <t>Total queueing delay (s)</t>
  </si>
  <si>
    <t>Link state at arrival</t>
  </si>
  <si>
    <t>Delivered flag</t>
  </si>
  <si>
    <t>Within deadline</t>
  </si>
  <si>
    <t>Edge_Run  -  arrive &gt; onboard processing &gt; wait for link &gt; downlink reduced volume &gt; delivered</t>
  </si>
  <si>
    <t>Onboard proc time (s)</t>
  </si>
  <si>
    <t>Processor done (s)</t>
  </si>
  <si>
    <t>Volume after filtering (MB)</t>
  </si>
  <si>
    <t>CONDITIONAL COMPARISON — source fit incomplete; not an empirical architecture finding</t>
  </si>
  <si>
    <t>Latency statistic in use:</t>
  </si>
  <si>
    <t>OUTCOME 1: LATENCY  (ground minus edge, seconds)</t>
  </si>
  <si>
    <t>Null hypothesis</t>
  </si>
  <si>
    <t>Editable on Settings. Nothing is locked into the sheet.</t>
  </si>
  <si>
    <t>Replications used (n)</t>
  </si>
  <si>
    <t>Follows the Replications input.</t>
  </si>
  <si>
    <t>Positive favours the edge path.</t>
  </si>
  <si>
    <t>Standard deviation</t>
  </si>
  <si>
    <t>Standard error</t>
  </si>
  <si>
    <t>t critical (two-sided)</t>
  </si>
  <si>
    <t>0.05 with 9 degrees of freedom gives 2.2622.</t>
  </si>
  <si>
    <t>Half width</t>
  </si>
  <si>
    <t>Confidence interval, lower</t>
  </si>
  <si>
    <t>Confidence interval, upper</t>
  </si>
  <si>
    <t>No difference between the two architectures.</t>
  </si>
  <si>
    <t>Deliberately not worded as H1 proven.</t>
  </si>
  <si>
    <t>OUTCOME 2: AVAILABILITY  (edge minus ground, share within deadline)</t>
  </si>
  <si>
    <t>Acceptable-loss margin (preservation only)</t>
  </si>
  <si>
    <t>Recorded before testing. Shown separately, never merged with the improvement test.</t>
  </si>
  <si>
    <t>SUPPORTING FIGURES</t>
  </si>
  <si>
    <t>Mean delivered share, ground</t>
  </si>
  <si>
    <t>Observations delivered inside the staleness limit.</t>
  </si>
  <si>
    <t>Mean delivered share, edge</t>
  </si>
  <si>
    <t>Mean recovery wait, ground (s)</t>
  </si>
  <si>
    <t>Affected observations only.</t>
  </si>
  <si>
    <t>Mean recovery wait, edge (s)</t>
  </si>
  <si>
    <t>Link uptime share</t>
  </si>
  <si>
    <t>Identical for both paths by design.</t>
  </si>
  <si>
    <t>Link downtime in window (s)</t>
  </si>
  <si>
    <t>CIs quantify synthetic service-draw variation conditional on this ONE fixed trace and these assumptions. They do not include measurement, timing, parameter, event-selection or external-validity uncertainty. Mean completion time includes stale-flagged jobs.</t>
  </si>
  <si>
    <t>Replications  -  one row per replication, matched traffic in both paths</t>
  </si>
  <si>
    <t>One fixed, 100-observation empirical trace; ten paired synthetic service replications. These are not ten independent OPS-SAT passes.</t>
  </si>
  <si>
    <t>Ground selected latency (s)</t>
  </si>
  <si>
    <t>Ground mean (s)</t>
  </si>
  <si>
    <t>Ground median (s)</t>
  </si>
  <si>
    <t>Ground P90 (s)</t>
  </si>
  <si>
    <t>Ground mean queueing delay (s)</t>
  </si>
  <si>
    <t>Ground mean recovery wait (s)</t>
  </si>
  <si>
    <t>Ground affected by outage</t>
  </si>
  <si>
    <t>Ground delivered (share)</t>
  </si>
  <si>
    <t>Ground within deadline (share)</t>
  </si>
  <si>
    <t>Ground last delivery (s)</t>
  </si>
  <si>
    <t>Edge selected latency (s)</t>
  </si>
  <si>
    <t>Edge mean (s)</t>
  </si>
  <si>
    <t>Edge median (s)</t>
  </si>
  <si>
    <t>Edge P90 (s)</t>
  </si>
  <si>
    <t>Edge mean queueing delay (s)</t>
  </si>
  <si>
    <t>Edge mean recovery wait (s)</t>
  </si>
  <si>
    <t>Edge affected by outage</t>
  </si>
  <si>
    <t>Edge delivered (share)</t>
  </si>
  <si>
    <t>Edge within deadline (share)</t>
  </si>
  <si>
    <t>Edge last delivery (s)</t>
  </si>
  <si>
    <t>Latency benefit, ground minus edge (s)</t>
  </si>
  <si>
    <t>Availability benefit, edge minus ground</t>
  </si>
  <si>
    <t>Link uptime in window (s)</t>
  </si>
  <si>
    <t>Link uptime (share)</t>
  </si>
  <si>
    <t>Rows beyond the Replications input on Settings are still calculated but ignored by Comparison. Each row reads only the first N observations of its block, so the entities input works without macros.</t>
  </si>
  <si>
    <t>Recovery wait is the time an observation spent waiting for the link to come back, averaged over the observations that were actually affected. Link uptime is identical for both paths by design.</t>
  </si>
  <si>
    <t>Manual Test Check  -  five-entity deterministic queue against hand-calculated waits</t>
  </si>
  <si>
    <t>Service time (s)</t>
  </si>
  <si>
    <t>Service start (s)</t>
  </si>
  <si>
    <t>Departure (s)</t>
  </si>
  <si>
    <t>Wait, model (s)</t>
  </si>
  <si>
    <t>Wait, hand-calculated (s)</t>
  </si>
  <si>
    <t>Check</t>
  </si>
  <si>
    <t>Every check must read OK. The hand column is typed in, not calculated.</t>
  </si>
  <si>
    <t>Worked by hand: entity 1 starts at 0 and leaves at 3. Entity 2 arrives at 1, waits until 3, leaves at 5. Entity 3 arrives at 2, waits until 5, leaves at 9. Entity 4 arrives at 3, waits until 9, leaves at 10. Entity 5 arrives at 10 and starts at once.</t>
  </si>
  <si>
    <t>MATLAB_Map  -  which SimEvents block replaces which Excel calculation</t>
  </si>
  <si>
    <t>Excel calculation</t>
  </si>
  <si>
    <t>Sheet and columns</t>
  </si>
  <si>
    <t>SimEvents equivalent</t>
  </si>
  <si>
    <t>Interarrival times from the seeded generator</t>
  </si>
  <si>
    <t>Arrivals, C to F</t>
  </si>
  <si>
    <t>Entity Generator with a preset seed</t>
  </si>
  <si>
    <t>Same inverse-transform method as HW5.</t>
  </si>
  <si>
    <t>Processing time draw</t>
  </si>
  <si>
    <t>Arrivals, I and J</t>
  </si>
  <si>
    <t>Entity Server service time</t>
  </si>
  <si>
    <t>One draw shared by both paths keeps the comparison matched.</t>
  </si>
  <si>
    <t>Service start = MAX(arrival, previous departure)</t>
  </si>
  <si>
    <t>03 and 04, processor columns</t>
  </si>
  <si>
    <t>Entity Queue plus Entity Server</t>
  </si>
  <si>
    <t>Single server, first in first out, capacity 1.</t>
  </si>
  <si>
    <t>Transmission time from volume and link rate</t>
  </si>
  <si>
    <t>03 col E, 04 col I</t>
  </si>
  <si>
    <t>Entity Server representing the downlink</t>
  </si>
  <si>
    <t>Volume differs between the paths, the rate does not.</t>
  </si>
  <si>
    <t>Link up and down schedule</t>
  </si>
  <si>
    <t>03 col I and J, 04 col L and M</t>
  </si>
  <si>
    <t>Entity Gate driven by a schedule signal</t>
  </si>
  <si>
    <t>Identical schedule in both models.</t>
  </si>
  <si>
    <t>Delivered and dropped flags</t>
  </si>
  <si>
    <t>03 col W, 04 col U</t>
  </si>
  <si>
    <t>Entity Terminator plus an attribute test</t>
  </si>
  <si>
    <t>Staleness limit decides the drop.</t>
  </si>
  <si>
    <t>Per-replication statistics</t>
  </si>
  <si>
    <t>Simulation Data Inspector or logged signals</t>
  </si>
  <si>
    <t>Same statistics as the HW9 script.</t>
  </si>
  <si>
    <t>Confidence interval across replications</t>
  </si>
  <si>
    <t>Comparison</t>
  </si>
  <si>
    <t>HW9_Nino_RunReplications_CI.m pattern</t>
  </si>
  <si>
    <t>Mean, standard deviation, standard error, t critical, interval.</t>
  </si>
  <si>
    <t>Runtime compatibility</t>
  </si>
  <si>
    <t>Initial probe</t>
  </si>
  <si>
    <t>Resolution</t>
  </si>
  <si>
    <t>Final status</t>
  </si>
  <si>
    <t>OFFSET / INDIRECT</t>
  </si>
  <si>
    <t>Not supported by calculation runtime</t>
  </si>
  <si>
    <t>Use explicit ranges for the frozen cohort; Excel source itself is not defective</t>
  </si>
  <si>
    <t>RESOLVED</t>
  </si>
  <si>
    <t>TINV in runtime</t>
  </si>
  <si>
    <t>Wrong tail in runtime alias</t>
  </si>
  <si>
    <t>Use mathematically equivalent T.INV(1-alpha/2,df); cross-check numerical value</t>
  </si>
  <si>
    <t>Shared formula import</t>
  </si>
  <si>
    <t>Follower formulas can be opaque</t>
  </si>
  <si>
    <t>Write every core recurrence formula explicitly and compare all run cells</t>
  </si>
  <si>
    <t>Scope</t>
  </si>
  <si>
    <t>Workbook recalculated with artifact_tool</t>
  </si>
  <si>
    <t>Not an execution of Microsoft Excel or MATLAB; exported XLSX retains live formulas</t>
  </si>
  <si>
    <t>DISCLOSED</t>
  </si>
  <si>
    <t>Unmodified v9 INTRO text</t>
  </si>
  <si>
    <t>Historical baseline text. Current experiment status and deviations are on INTRO and Change_Log.</t>
  </si>
  <si>
    <t>Original row</t>
  </si>
  <si>
    <t>Text</t>
  </si>
  <si>
    <t>PURPOSE</t>
  </si>
  <si>
    <t>A small, inspectable discrete-event simulation of two architectures carrying the same traffic under the same link conditions, built in plain Excel formulas with no macros. Phase 1 of the Read Me handoff: agree the logic here, then translate it to MATLAB and SimEvents.</t>
  </si>
  <si>
    <t>THE TWO PATHS</t>
  </si>
  <si>
    <t>Ground-centric:  observation arrives  &gt;  wait for link  &gt;  downlink full volume  &gt;  ground processing  &gt;  delivered.</t>
  </si>
  <si>
    <t>Bounded orbital edge:  observation arrives  &gt;  onboard processing (slower, reduces volume)  &gt;  wait for link  &gt;  downlink reduced volume  &gt;  delivered to the same endpoint.</t>
  </si>
  <si>
    <t>Both paths use the identical arrival stream, the identical processing draws and the identical link schedule.</t>
  </si>
  <si>
    <t>SHEETS</t>
  </si>
  <si>
    <t>Settings      Every input. Blue on yellow is yours to change.</t>
  </si>
  <si>
    <t>Arrivals      Shared random streams: arrivals, processing demands, volumes.</t>
  </si>
  <si>
    <t>Ground_Run    Event calculation for the ground path, one row per observation.</t>
  </si>
  <si>
    <t>Edge_Run      Event calculation for the edge path, one row per observation.</t>
  </si>
  <si>
    <t>Replications  Per-replication results for both paths, the paired difference, uptime and downtime.</t>
  </si>
  <si>
    <t>Comparison    Mean difference, 95% interval, zero reference, supporting figures and the chart.</t>
  </si>
  <si>
    <t>Hand_Check    Five-entity deterministic queue against hand-calculated waits.</t>
  </si>
  <si>
    <t>MATLAB_Map    Which SimEvents block replaces which Excel calculation.</t>
  </si>
  <si>
    <t>Version_Log   Change history and authorship.</t>
  </si>
  <si>
    <t>GRID LIMITS, PLEASE READ</t>
  </si>
  <si>
    <t>Excel cannot add its own rows without macros, so the run sheets are built for 120 observations per replication and 10  replications. Entities per replication and Replications on Settings are real working inputs up to those limits: the results sheets read only the first N rows of each block and only the first R replications. To go beyond the limits the sheets must be rebuilt, which is a ten minute job.</t>
  </si>
  <si>
    <t>RANDOM NUMBERS</t>
  </si>
  <si>
    <t>The HW5 generator: X = MOD(16807 * X, 2147483647), then U = X / 2147483647, then time = -mean * LN(U). Seeds live in Settings and each replication uses its own seed, as in the HW9 script, so every run reproduces.</t>
  </si>
  <si>
    <t>QUEUE LOGIC</t>
  </si>
  <si>
    <t>Single server, first in first out, as in HW5: service start = MAX(arrival, previous departure). Waiting is reported in three separate parts: wait for the processor, wait in the link queue, and wait for the link to come back after an interruption.</t>
  </si>
  <si>
    <t>MEASURES</t>
  </si>
  <si>
    <t>End-to-end latency: arrival to delivery at the same endpoint. Mean, median and P90 are all calculated, and the one used for the test is chosen on Settings before running, not after.</t>
  </si>
  <si>
    <t>Queueing delay: waiting only, split three ways as above.</t>
  </si>
  <si>
    <t>Service availability: share of observations delivered inside the service deadline.</t>
  </si>
  <si>
    <t>Delivered and dropped: an observation not delivered by the staleness limit counts as dropped, not delivered.</t>
  </si>
  <si>
    <t>Recovery wait: how long an affected observation waited for the link to return, averaged over affected observations only, with the count shown beside it.</t>
  </si>
  <si>
    <t>Link uptime and downtime: measured across the scheduled assessment window, identical for both paths.</t>
  </si>
  <si>
    <t>ACCEPTANCE TESTS YOU CAN RUN</t>
  </si>
  <si>
    <t>Test 1  Hand calculation. Hand_Check compares model waits with waits worked out by hand. All must read OK.</t>
  </si>
  <si>
    <t>Test 2  Matched identical case. Set the output fraction (B25) to 1 and both processing means (B21 and B24) to 0. Both paths reduce to the same link queue and every latency difference on Replications must read exactly 0. This has been run and it does.</t>
  </si>
  <si>
    <t>Test 3  Unfavourable case. Raise the onboard processing mean (B24) well above the ground mean (B21), or set the output fraction (B25) near 1. The edge path then performs worse, as it must be able to.</t>
  </si>
  <si>
    <t>Test 4  Repeatability. Reopen without changing a seed. Every number must be identical.</t>
  </si>
  <si>
    <t>Test 5  Working inputs. Change Entities per replication (B8) or Replications (B9) within the grid limits and the results sheets change with them.</t>
  </si>
  <si>
    <t>ASSUMPTIONS TO AGREE</t>
  </si>
  <si>
    <t>One server at each stage. A transmission must fit inside a single link window and cannot resume after an interruption. Interruptions follow a fixed repeating cycle rather than a trace. No warm-up period. No priority classes and no packet loss model yet. Environmental values such as Kp would define a scenario, never a measured outage.</t>
  </si>
  <si>
    <t>NOT IN THIS STAGE</t>
  </si>
  <si>
    <t>No data import, no source register, no dashboard pages, no advisor deck export, no multi-node routing or retries, no buffer limits. Those belong to later stages once this logic is agreed.</t>
  </si>
  <si>
    <t>STATUS</t>
  </si>
  <si>
    <t>Demonstration only. Every number here is a simulated test value used to prove the logic. None of it is a measurement, a benchmark, or evidence for or against any hypothesis.</t>
  </si>
  <si>
    <t>SIMULTANEOUS ACE | experiment protocol</t>
  </si>
  <si>
    <t>Read these rules before interpreting any output. All source originals remain unchanged.</t>
  </si>
  <si>
    <t>Interpretation</t>
  </si>
  <si>
    <t>Experiment ID</t>
  </si>
  <si>
    <t>OPS-SAT-ACE-SIM-02</t>
  </si>
  <si>
    <t>QUALIFIED PASS — synchronized state-data and conditional DES; no empirical link-performance claim.</t>
  </si>
  <si>
    <t>Source epoch UTC</t>
  </si>
  <si>
    <t>2022-01-28 17:42:49 UTC; integer seconds since 1970</t>
  </si>
  <si>
    <t>Window end UTC</t>
  </si>
  <si>
    <t>2022-01-28 17:54:19 UTC; endpoints inclusive</t>
  </si>
  <si>
    <t>COMM association tolerance (s)</t>
  </si>
  <si>
    <t>Analyst as-of rule = median distinct reception cadence; not a clock-error bound</t>
  </si>
  <si>
    <t>Accepted telemetry observations</t>
  </si>
  <si>
    <t>Frozen cohort; no upsampling or repeated observed rows within a replication</t>
  </si>
  <si>
    <t>Candidate telemetry observations</t>
  </si>
  <si>
    <t>11 fail the 10-second as-of freshness criterion</t>
  </si>
  <si>
    <t>Same observed trace, different paired synthetic service draws</t>
  </si>
  <si>
    <t>Active empirical cohort</t>
  </si>
  <si>
    <t>100 observations × 10 conditional runs</t>
  </si>
  <si>
    <t>1,000 paired simulated entities; only 100 distinct retained measurements</t>
  </si>
  <si>
    <t>Join direction</t>
  </si>
  <si>
    <t>Latest preceding validated-header beacon</t>
  </si>
  <si>
    <t>Prefer CRC-verified witness at the same time; keep no-CRC flags; no continuous-availability inference.</t>
  </si>
  <si>
    <t>UTC minute bin [minute,minute+60 s)</t>
  </si>
  <si>
    <t>Retrospective context only. OMNI minute averages are not online forecasts</t>
  </si>
  <si>
    <t>Release gate</t>
  </si>
  <si>
    <t>QUALIFIED PASS — STATE-DATA FIT</t>
  </si>
  <si>
    <t>Payload decoding/admission completed; rate/delay/outage remain synthetic under the governing workflow.</t>
  </si>
  <si>
    <t>Performance scope</t>
  </si>
  <si>
    <t>Empirical-state / synthetic-performance DES</t>
  </si>
  <si>
    <t>Raw radio fields and derived counter activity are attributes, not hidden rate or outage substitutions.</t>
  </si>
  <si>
    <t>Selection timing</t>
  </si>
  <si>
    <t>Timestamp/QC rule before primary 100-row comparison</t>
  </si>
  <si>
    <t>No selection on Ground/Edge outcomes; report 5/10/20/30-second match counts</t>
  </si>
  <si>
    <t>Simultaneity meaning</t>
  </si>
  <si>
    <t>Co-temporal context with an explicit tolerance</t>
  </si>
  <si>
    <t>Not exact packet identity, not a same-instant match, and not an ENV causal test</t>
  </si>
  <si>
    <t>Processing timing</t>
  </si>
  <si>
    <t>Park–Miller draws shared by both paths</t>
  </si>
  <si>
    <t>Seed=54321+1000*rep; multiplier16807; modulus2147483647</t>
  </si>
  <si>
    <t>Staleness semantics</t>
  </si>
  <si>
    <t>Legacy post-hoc classification</t>
  </si>
  <si>
    <t>Stale jobs remain in modeled queues; completion-time means include stale-flagged jobs</t>
  </si>
  <si>
    <t>Post-window behavior</t>
  </si>
  <si>
    <t>Synthetic schedule extrapolation</t>
  </si>
  <si>
    <t>Source acquisition ends at t=690 s; simulated completions may occur later</t>
  </si>
  <si>
    <t>Entity semantics</t>
  </si>
  <si>
    <t>One retained telemetry sample replayed as an observation</t>
  </si>
  <si>
    <t>Not a measured inference task; task bytes and service demand remain assumptions</t>
  </si>
  <si>
    <t>Segmentation caution</t>
  </si>
  <si>
    <t>Full segment features and labels are offline context</t>
  </si>
  <si>
    <t>Two segments cross window edges; no claim that full features were available at sample time</t>
  </si>
  <si>
    <t>Configuration date</t>
  </si>
  <si>
    <t>2026-09-23 (America/Los_Angeles)</t>
  </si>
  <si>
    <t>Analysis uses the supplied data only; external docs clarify semantics</t>
  </si>
  <si>
    <t>Decoder execution</t>
  </si>
  <si>
    <t>Schema-driven adapter from uploaded opssat1.ksy + uploaded Scrambler</t>
  </si>
  <si>
    <t>Kaitai compiler was not executed. Independent field reader and CRC32-C checks verify bounded output.</t>
  </si>
  <si>
    <t>Decoder rejection</t>
  </si>
  <si>
    <t>JSON row 160; 17:47:29 UTC</t>
  </si>
  <si>
    <t>Malformed AX.25 source callsign. Valid-header duplicate retains beacon 24, marked no retained CRC.</t>
  </si>
  <si>
    <t>CRC sensitivity</t>
  </si>
  <si>
    <t>100 qualified / 90 CRC-only at 10 s</t>
  </si>
  <si>
    <t>Full cohort has 10 observations whose latest beacon lacks retained CRC; no cohort is called a new independent experiment.</t>
  </si>
  <si>
    <t>Performance calibration</t>
  </si>
  <si>
    <t>NOT ESTABLISHED</t>
  </si>
  <si>
    <t>An operational capacity/delay/outage trace would be a further input, not a prerequisite to this conditional state-data prototype.</t>
  </si>
  <si>
    <t>OPSSAT-AD | six intersecting segment records</t>
  </si>
  <si>
    <t>Full engineered features preserved as offline segment context. No feature or anomaly label is converted into seconds, throughput, confidence or processing load.</t>
  </si>
  <si>
    <t>segment</t>
  </si>
  <si>
    <t>anomaly</t>
  </si>
  <si>
    <t>train</t>
  </si>
  <si>
    <t>channel</t>
  </si>
  <si>
    <t>sampling</t>
  </si>
  <si>
    <t>duration</t>
  </si>
  <si>
    <t>len</t>
  </si>
  <si>
    <t>mean</t>
  </si>
  <si>
    <t>var</t>
  </si>
  <si>
    <t>std</t>
  </si>
  <si>
    <t>kurtosis</t>
  </si>
  <si>
    <t>skew</t>
  </si>
  <si>
    <t>n_peaks</t>
  </si>
  <si>
    <t>smooth10_n_peaks</t>
  </si>
  <si>
    <t>smooth20_n_peaks</t>
  </si>
  <si>
    <t>diff_peaks</t>
  </si>
  <si>
    <t>diff2_peaks</t>
  </si>
  <si>
    <t>diff_var</t>
  </si>
  <si>
    <t>diff2_var</t>
  </si>
  <si>
    <t>gaps_squared</t>
  </si>
  <si>
    <t>len_weighted</t>
  </si>
  <si>
    <t>var_div_duration</t>
  </si>
  <si>
    <t>var_div_len</t>
  </si>
  <si>
    <t>Start UTC</t>
  </si>
  <si>
    <t>End UTC</t>
  </si>
  <si>
    <t>Raw row count</t>
  </si>
  <si>
    <t>Candidate samples</t>
  </si>
  <si>
    <t>Retained samples</t>
  </si>
  <si>
    <t>Boundary</t>
  </si>
  <si>
    <t>CADC0873</t>
  </si>
  <si>
    <t>LEFT-CLIPPED</t>
  </si>
  <si>
    <t>INSIDE</t>
  </si>
  <si>
    <t>RIGHT-CLIPPED</t>
  </si>
  <si>
    <t>OPSSAT-AD | chronological bridge</t>
  </si>
  <si>
    <t>120 original telemetry rows from the six segments; 111 lie inside the bounded window. Source value units are not specified in these CSV columns.</t>
  </si>
  <si>
    <t>Source CSV row</t>
  </si>
  <si>
    <t>Channel</t>
  </si>
  <si>
    <t>Timestamp UTC</t>
  </si>
  <si>
    <t>Value (source units)</t>
  </si>
  <si>
    <t>Label</t>
  </si>
  <si>
    <t>Sampling (s)</t>
  </si>
  <si>
    <t>Anomaly</t>
  </si>
  <si>
    <t>Train</t>
  </si>
  <si>
    <t>Unix seconds</t>
  </si>
  <si>
    <t>SatNOGS | 101 bounded reception records</t>
  </si>
  <si>
    <t>All 101 source receptions preserved. Decode/QC accepts 100; JSON row 160 is excluded. Canonical packet deduplication, checksum status and units are separate from link-performance inference.</t>
  </si>
  <si>
    <t>JSON source row</t>
  </si>
  <si>
    <t>Reception UTC</t>
  </si>
  <si>
    <t>NORAD ID</t>
  </si>
  <si>
    <t>Observer</t>
  </si>
  <si>
    <t>Station ID</t>
  </si>
  <si>
    <t>Observation ID</t>
  </si>
  <si>
    <t>App source</t>
  </si>
  <si>
    <t>Decoded marker</t>
  </si>
  <si>
    <t>Logged frame bytes</t>
  </si>
  <si>
    <t>Exact hex SHA256</t>
  </si>
  <si>
    <t>Frame hex</t>
  </si>
  <si>
    <t>Scope / QC</t>
  </si>
  <si>
    <t>Decoder admission</t>
  </si>
  <si>
    <t>CRC32-C result</t>
  </si>
  <si>
    <t>Canonical beacon ID</t>
  </si>
  <si>
    <t>Beacon quality</t>
  </si>
  <si>
    <t>EU1XX-KO33ru</t>
  </si>
  <si>
    <t>sids</t>
  </si>
  <si>
    <t>influxdb</t>
  </si>
  <si>
    <t>4b69a60eeb91d358f24719a8844caf5216dbbdc4e062a7f270640391f480cd55</t>
  </si>
  <si>
    <t>88A0608AA6826088A0609EA0A66103F035EFCEC09B897138718192ACA7B7C4435A977DC732E052950A10F1E696C98CB1FE911DBC8CD2F0868E582651E7F78D9CE33D4E3731057E6CCB119316ACF943E4531C99D7F592551C5AD35B734CDFB325D4275F261D7886D90AA081140B4C</t>
  </si>
  <si>
    <t>CRC verified; not a capacity measurement</t>
  </si>
  <si>
    <t>ACCEPT</t>
  </si>
  <si>
    <t>PASS</t>
  </si>
  <si>
    <t>CRC32C_VERIFIED</t>
  </si>
  <si>
    <t>8eec732a5a861165cd2e42339b5fe744f4c4d805a5c94aee78d39d83d14ad359</t>
  </si>
  <si>
    <t>88A0608AA6826088A0609EA0A66103F035EFCEC09B8F713E718192ACA7B7C45E5A977DC732E051FB0A10F1E696C98CB1FE911DBC8CD2F08691582651E7F28D9CE33D4E37301F7E6CCB118F1D07A1124F61FE90BF58FF8F693DED15BC7D00853907B432B84C5B78B646ADB420B857</t>
  </si>
  <si>
    <t>e8e8b71b698eb46f93fb504d8691165360893fcd1ab498bf750aac1cbecb4750</t>
  </si>
  <si>
    <t>88A0608AA6826088A0609EA0A66103F035EFCEC09B8C713D718192ACA7B7C45F5A977DC732E0501D0A10F1E696C98CB1FE911DBC8CD2F08691582651E7F38D9CE33D4E3730FD7E6CCB11311D7C6782E253B99C396F2078B20170E3539FF680A07E731AE4C403522D4706EC707612</t>
  </si>
  <si>
    <t>705852bd70d780b05e1e1c731d154a0ec2c51ddddee7dcfd90aeee069cc50951</t>
  </si>
  <si>
    <t>88A0608AA6826088A0609EA0A66103F035EFCEC09B8C713F718192ACA7B7C45C5A977DC732E050BF0A10F1E696C98CB1FE911DBC8CD2F08680582651E7F08D9CE33D4E3733537E6CCB119D17E7C74FC2053CAF3AF9EDA4239851B98889FB50BDA66BF45F8ED77D863751852E8F25</t>
  </si>
  <si>
    <t>ESA Academy @ESTEC-JO22ff</t>
  </si>
  <si>
    <t>network</t>
  </si>
  <si>
    <t>944d0a262446c34d17e81da8276bd1bd757a56a2915462aedf202714ba0ae879</t>
  </si>
  <si>
    <t>88A0608AA6826088A0609EA0A66103F0CAA7C000017E017EFFAD0101000082960000000B0042F0F90000006E020466000001003DB8C811FF8E01010AA8A200005613B5AF578E0010DF30</t>
  </si>
  <si>
    <t>Schema valid; no retained CRC; keep QC flag; not a capacity measurement</t>
  </si>
  <si>
    <t>NOT_PRESENT</t>
  </si>
  <si>
    <t>PREPROCESSED_NO_CRC</t>
  </si>
  <si>
    <t>c6ce54bdf380a2e33453562ebe924e92d17d40f30394fac9f3b6c14addef0832</t>
  </si>
  <si>
    <t>88A0608AA6826088A0609EA0A66103F0CAA7C000017D017DFFAD0101000082970000000B0042F1570000006E020466000001003DB8C811FF9101010AA8A300005613B5AF57EC0010DF30</t>
  </si>
  <si>
    <t>Byte-identical to CRC-verified reception; not a capacity measurement</t>
  </si>
  <si>
    <t>b63cde0805c30580c4e2e32847e0108a4841a0df92b70860d7138a48f822c9d5</t>
  </si>
  <si>
    <t>88A0608AA6826088A0609EA0A66103F035EFCEC09B7071C1718192ACA7B7C4595A977DC732E04E690A10F1E696C98CB1FE911DBC8CD2F0868D582651E7CD8D9CE33D4E3732A97E6CCB11DC5E432254360B206337C0D81800C112361F6E2B291B38326EA269BD9CC8A393CFEACDCC</t>
  </si>
  <si>
    <t>ed2fa60796d7a107354fed0ea314fcb966aa8a6ab81a5ca9c8ca35919856e543</t>
  </si>
  <si>
    <t>88A0608AA6826088A0609EA0A66103F0CAA7C000017D017DFFAD0101000082980000000B0042F1B50000006E020466000001003DB8C811FF8F01010AA8A400005613B5AF584A0010DF30</t>
  </si>
  <si>
    <t>0a6c6811b6d4ecd4b29a3c8a6a8cd8d2bb29fca1d720e8e73e66e9337243e7ff</t>
  </si>
  <si>
    <t>88A0608AA6826088A0609EA0A66103F035EFCEC09B7171C0718192ACA7B7C4575A977DC732E04D2D0A10F1E696C98CB1FE911DBC8CD2F0868D582651E7CB8D9CE33D4E373DED7E6CCB11D4C365052698835E39B880F32EAD3BD343926EBC0EA301DA47A132AA06DCA8953F79EE38</t>
  </si>
  <si>
    <t>43209be2ce2bd406c1a2e60dfe09969f61399a940d14090e525966265fd0142c</t>
  </si>
  <si>
    <t>88A0608AA6826088A0609EA0A66103F0CAA7C000017B017BFFAD01010000829A0000000B0042F2710000006E020466000001003DB8C811FF9101010AA8A600005613B5AF59060010DF30</t>
  </si>
  <si>
    <t>21d3c94bb0015dd1da8907a27ef7c6b97477fa2d13ab5e1270f4815c695cc4a1</t>
  </si>
  <si>
    <t>88A0608AA6826088A0609EA0A66103F035EFCEC09B7671C7718192ACA7B7C4545A977DC732E04D4F0A10F1E696C98CB1FE911DBC8CD2F0868D582651E7C88D9CE33D4E373C437E6CCB111087DA4FE6B16239E6F341462AAEC36F258859B92D49E45216AB2938D95C12259052EB4A</t>
  </si>
  <si>
    <t>cfa00e99581fab6013968d7a0e762517d4a75a267b0481cb36233f8b5e6b51a6</t>
  </si>
  <si>
    <t>88A0608AA6826088A0609EA0A66103F0CAA7C000017B017BFFAD01010000829B0000000B0042F2CF0000006E020466000001003DB8C811FF9101010AA8A700005613B5AF59640010DF30</t>
  </si>
  <si>
    <t>0225271c191d13084ed915ef17ed2cdc441d00f4d92721ccc32ed519ea902410</t>
  </si>
  <si>
    <t>88A0608AA6826088A0609EA0A66103F035EFCEC09B7671C7718192ACA7B7C4555A977DC732E04DF10A10F1E696C98CB1FE911DBC8CD2F0868D582651E7C98D9CE33D4E373C217E6CCB11A4C494DFFDCD724D537951E2122EF0D7F28AA072331CC69A3BB3E0EBD299E51ABA88A6BB</t>
  </si>
  <si>
    <t>81be2fc89d38cdc92ab5e664b23041cad09f159a3856189649983f39b3ed3f21</t>
  </si>
  <si>
    <t>88A0608AA6826088A0609EA0A66103F0CAA7C000017A017AFFAD01010000829C0000000B0042F32D0000006E020466000001003DB8C811FF8C01010AA8A800005613B5AF59C20010DF30</t>
  </si>
  <si>
    <t>aef54d272b81153d1bdd2a8b6af375855b98438c589c553284e4583d38a654a3</t>
  </si>
  <si>
    <t>88A0608AA6826088A0609EA0A66103F035EFCEC09B7771C6718192ACA7B7C4525A977DC732E04C130A10F1E696C98CB1FE911DBC8CD2F08690582651E7C68D9CE33D4E373C877E6CCB115207F93F82C05CC533996966C60A031D545F2D3166A1AA0AB48BFF4CF72DD4ED8D444258</t>
  </si>
  <si>
    <t>7702df725e2f3cf783441f0f8bbd0688fdb5187758e87cea826d27cbac8661ec</t>
  </si>
  <si>
    <t>88A0608AA6826088A0609EA0A66103F0CAA7C000017A017AFFAD01010000829D0000000B0042F38B0000006E020466000001003DB8C811FF9101010AA8A900005613B5AF5A200010DF30</t>
  </si>
  <si>
    <t>60f159139729e0874ca7d8ad83f11ad3468e209b7fd3f2affd51ba3ebc06412e</t>
  </si>
  <si>
    <t>88A0608AA6826088A0609EA0A66103F035EFCEC09B7771C6718192ACA7B7C4535A977DC732E04CB50A10F1E696C98CB1FE911DBC8CD2F0868D582651E7C78D9CE33D4E373F657E6CCB111F26D87DB016B19CFF8DE138483E485022561684CD901B25616416ABDD7EA128DE71C11E</t>
  </si>
  <si>
    <t>5e23c7544f4f313a80ec057b22e21cfea0aea02786f3c620e3fbf4af98da238d</t>
  </si>
  <si>
    <t>88A0608AA6826088A0609EA0A66103F0CAA7C00001790179FFAD01010000829E0000000B0042F3E90000006E020466000001003DB8C811FF9101010AA8AA00005613B5AF5A7E0010DF30</t>
  </si>
  <si>
    <t>30cfe4fa777837d9f27520ec350efd44de2423227a75e0f8748087bc29aed28a</t>
  </si>
  <si>
    <t>88A0608AA6826088A0609EA0A66103F0CAA7C00001790179FFAD01010000829F0000000B0042F4470000006E020466000001003DB8C811FF8F01010AA8AB00005613B5AF5ADC0010DF30</t>
  </si>
  <si>
    <t>9211957a9afa6726dc067eb95c8ab98e176431d2edc7d04f277efef0f0402ec1</t>
  </si>
  <si>
    <t>88A0608AA6826088A0609EA0A66103F035EFCEC09B7471C5718192ACA7B7C4515A977DC732E04B790A10F1E696C98CB1FE911DBC8CD2F08693582651E7C58D9CE33D4E373F997E6CCB11F840B86DEABAFBE0555265AC533272EE29B2CBE3736AF705986FB14A96D3FF26398ABA25</t>
  </si>
  <si>
    <t>DL5FAB VHF/UHF-JN49hu</t>
  </si>
  <si>
    <t>27d56eef2350271ad2012de9a761ebde81f5e268653f0b78f8a1b3546c168d89</t>
  </si>
  <si>
    <t>88A0608AA6826088A0609EA0A66103F0CAA7C00001780178FFAD0101000082A00000000B0042F4A50000006E020466000001003DB8C811FF9101010AA8AC00005613B5AF5B3A0010DF30</t>
  </si>
  <si>
    <t>31d636a1bdae3973c11f0d74429ef77b01762c276c200897ad2ac5c4c76ec7a6</t>
  </si>
  <si>
    <t>88A0608AA6826088A0609EA0A66103F035EFCEC09B7571C4718192ACA7B7C46E5A977DC732E04B9B0A10F1E696C98CB1FE911DBC8CD2F0868D582651E7C28D9CE33D4E373E7F7E6CCB11E3C7D3D532EC255537556D64CA6BF35BA898AFE7F0F75E4B6ED8F0D8FE3BDE4CA4C9DCC4</t>
  </si>
  <si>
    <t>EA6TC-JM19jn</t>
  </si>
  <si>
    <t>28c01f24f26f901d3a5b2951e7d4227b3f64d6e56f85041ada0d27d6fcc5165e</t>
  </si>
  <si>
    <t>88A0608AA6826088A0609EA0A66103F0CAA7C00001780178FFAD0101000082A10000000B0042F5030000006E020466000001003DB8C811FF9401010AA8AD00005613B5AF5B980010DF30</t>
  </si>
  <si>
    <t>422f06923eeeaedecc2b6b5757657bc05f8f8353be0b7932a6dd42446dcfce78</t>
  </si>
  <si>
    <t>88A0608AA6826088A0609EA0A66103F035EFCEC09B7571C4718192ACA7B7C46F5A977DC732E04A3D0A10F1E696C98CB1FE911DBC8CD2F08688582651E7C38D9CE33D4E373EDD7E6CCB11131FDBB722C101CF72AAC43E4C4B3F815C162CDBEA2DFE1E655583BF110DE263DD1D5C11</t>
  </si>
  <si>
    <t>4dec829d2e9d4e45231dcabc59b0fa62b7559ec69809d81efb13c52491d9cacb</t>
  </si>
  <si>
    <t>88A0608AA6826088A0609EA0A66103F0CAA7C00001770177FFAD0101000082A20000000B0042F5610000006E020466000001003DB8C811FF9501010AA8AE00005613B5AF5BF60010DF30</t>
  </si>
  <si>
    <t>9dcc41887a133eef84dce3ce3e0ad22b92cec8c253b10b47d95811d4e89566ff</t>
  </si>
  <si>
    <t>88A0608AA6826088A0609EA0A66103F035EFCEC09B7A71CB718192ACA7B7C46C5A977DC732E04A5F0A10F1E696C98CB1FE911DBC8CD2F08689582651E7C08D9CE33D4E373EB37E6CCB11F65ABD8A40A1AF2C0AF2FBAC942ACEA1A2410D3A2CCB86A9D1D16AF1D410CEB36E1D4E13</t>
  </si>
  <si>
    <t>d6c5602b7e8e1b6350ede7e8a9718cf1008b518888be6b605bacb3c8adb497ff</t>
  </si>
  <si>
    <t>88A0608AA6826088A0609EA0A66103F0CAA7C00001770177FFAD0101000082A30000000B0042F5BF0000006E020466000001003DB8C811FF8B01010AA8AF00005613B5AF5C540010DF30</t>
  </si>
  <si>
    <t>168c6baa4f03d062dcf33747b08b565226726ee06813b90d247866825e194865</t>
  </si>
  <si>
    <t>88A0608AA6826088A0609EA0A66103F035EFCEC09B7A71CB718192ACA7B7C46D5A977DC732E04A810A10F1E696C98CB1FE911DBC8CD2F08697582651E7C18D9CE33D4E3739117E6CCB1142A8AFBB3CE2E2F543BBFE52898D64C352DD8DE27F5D71891D3029DCC8AF5AF4C9E17755</t>
  </si>
  <si>
    <t>ad3b9439ecd0de71f59c2e148ed4cfc9742919fa81a0a517664e34d3712ede1b</t>
  </si>
  <si>
    <t>88A0608AA6826088A0609EA0A66103F0CAA7C00001760176FFAD0101000082A40000000B0042F61D0000006E020466000001003DB8C811FF9801010AA8B000005613B5AF5CB20010DF30</t>
  </si>
  <si>
    <t>559080cd219e8681e9b2442ddd42c1d05c4c1845224d635c2f0e619e45900419</t>
  </si>
  <si>
    <t>88A0608AA6826088A0609EA0A66103F0CAA7C00001760176FFAD0101000082A50000000B0042F67B0000006E020466000001003DB8C811FF9501010AA8B100005613B5AF5D100010DF30</t>
  </si>
  <si>
    <t>0716bb3081581483ac14d1b01dcacb56b6e44e0f4d62ece7eb623159957369c0</t>
  </si>
  <si>
    <t>88A0608AA6826088A0609EA0A66103F035EFCEC09B7B71CA718192ACA7B7C46B5A977DC732E049450A10F1E696C98CB1FE911DBC8CD2F08689582651E7DF8D9CE33D4E3738557E6CCB11556A68633EF41210EF4A78D216DD8C31DC1EFE7AE88049D84E46B96E21CB128B20733978</t>
  </si>
  <si>
    <t>8ec963802c04bf5513562f20ee6c64380eb1e64f3229369358ab2abb7d7e370a</t>
  </si>
  <si>
    <t>88A0608AA6826088A0609EA0A66103F0CAA7C00001750175FFAD0101000082A60000000B0042F6D90000006E020466000001003DB8C811FF9801010AA8B200005613B5AF5D6E0010DF30</t>
  </si>
  <si>
    <t>70178ea4518dd7a43ba909424e8e281047e7abd0c271cab69c15d9e54fe336b3</t>
  </si>
  <si>
    <t>88A0608AA6826088A0609EA0A66103F035EFCEC09B7871C9718192ACA7B7C4685A977DC732E049E70A10F1E696C98CB1FE911DBC8CD2F08684582651E7DC8D9CE33D4E37382B7E6CCB11CCA384B5DF1EDEB43D3FD3BE05DE4677CB71B0784EAAC6CDFBFA6779E6DA1E1B3B070E41</t>
  </si>
  <si>
    <t>14dadb29542b92c3451dab25f1a4512851ed420047a537528385f0694b582ae3</t>
  </si>
  <si>
    <t>88A0608AA6826088A0609EA0A66103F0CAA7C00001750175FFAD0101000082A70000000B0042F7370000006E020466000001003DB8C811FF9D01010AA8B300005613B5AF5DCC0010DF30</t>
  </si>
  <si>
    <t>ba87749c45fc229d8952637319a49396010471085c373d6187ca3de15edcd097</t>
  </si>
  <si>
    <t>88A0608AA6826088A0609EA0A66103F035EFCEC09B7871C9718192ACA7B7C4695A977DC732E048090A10F1E696C98CB1FE911DBC8CD2F08681582651E7DD8D9CE33D4E3738897E6CCB11696574760A8BCC7B88E45E31435B8E6D352A78C13968E5346559E162BF416ABCEE23C088</t>
  </si>
  <si>
    <t>8a15e01fcb98fc0a3a0d9759dc845062e4ab23180a9765ba7cd17b1c40d25aae</t>
  </si>
  <si>
    <t>88A0608AA6826088A0609EA0A66103F0CAA7C00001750175FFAD0101000082A80000000B0042F7950000006E020466000001003DB8C811FFA001010AA8B400005613B5AF5E2A0010DF30</t>
  </si>
  <si>
    <t>3faef8a74808468e51ad6ded05fb8732ece483c8cbf5bbebbc241c4585c4e23f</t>
  </si>
  <si>
    <t>88A0608AA6826088A0609EA0A66103F035EFCEC09B7871C9718192ACA7B7C4665A977DC732E048AB0A10F1E696C98CB1FE911DBC8CD2F086BC582651E7DA8D9CE33D4E373B6F7E6CCB11EFBDF4FEA7CD000056D139B9BFB2B50CBB66B457A6B9FD0441C519F43CDD9F7FA9626D55</t>
  </si>
  <si>
    <t>0fd56a3c1cb41829827f43504825961f53de268ef72950a3476736dbbf3b8ade</t>
  </si>
  <si>
    <t>88A0608AA6826088A0609EA0A66103F0CAA7C00001740174FFAD0101000082A90000000B0042F7F30000006E020466000001003DB8C811FF9701010AA8B500005613B5AF5E880010DF30</t>
  </si>
  <si>
    <t>d56bc57116b03307db03ca3e64d805ce6147e085e0bc0259ce413adc21bffbf8</t>
  </si>
  <si>
    <t>8EC06C8AA6826088A06C5EB8A66103F0CAA7C00001740174FFAD0101000082A90000000B0042F7F30000006E020466000001003DB8C811FF9701010AA8B500005613B5AF5E880010DF30</t>
  </si>
  <si>
    <t>REJECT — malformed AX.25 source callsign; see COMM_Rejected</t>
  </si>
  <si>
    <t>REJECT</t>
  </si>
  <si>
    <t>MALFORMED_AX25_HEADER</t>
  </si>
  <si>
    <t>f9f9f10034f3823e0d47501bc6e02fbb670b63ea068411de3958a9cedc1ede11</t>
  </si>
  <si>
    <t>88A0608AA6826088A0609EA0A66103F0CAA7C00001740174FFAD0101000082AA0000000B0042F8510000006E020466000001003DB8C811FF9D01010AA8B600005613B5AF5EE60010DF30</t>
  </si>
  <si>
    <t>0be20a81f262f174465251a57fe890007b9476f4254220dfccb56bbebb9a2d73</t>
  </si>
  <si>
    <t>88A0608AA6826088A0609EA0A66103F035EFCEC09B7971C8718192ACA7B7C4645A977DC732E0476F0A10F1E696C98CB1FE911DBC8CD2F08681582651E7D88D9CE33D4E373BA37E6CCB1110D0FC5759FE5AB067562BD4D8C953442F513814688DD13EC6DF9D298BE2F2A28235C27D</t>
  </si>
  <si>
    <t>97e737bb4a338016eedd0ac430073d7419a7d3104210ff43987cd6ef671ec9af</t>
  </si>
  <si>
    <t>88A0608AA6826088A0609EA0A66103F0CAA7C00001740174FFAD0101000082AB0000000B0042F8AF0000006E020466000001003DB8C811FFA101010AA8B700005613B5AF5F440010DF30</t>
  </si>
  <si>
    <t>3e37bf9d689d044a5ef1bb9a35022c11dae01b5b3665dbb3134b2bfb0933b560</t>
  </si>
  <si>
    <t>88A0608AA6826088A0609EA0A66103F035EFCEC09B7971C8718192ACA7B7C4655A977DC732E047910A10F1E696C98CB1FE911DBC8CD2F086BD582651E7D98D9CE33D4E373A017E6CCB11142651B16F611C6F6A31285369203DA40337C247B141A1B634B55F000A7234F2A87FADBD</t>
  </si>
  <si>
    <t>7670c913f5c656296118db8595e7c282a115cd953340cfa57ecd1a82ef084a7f</t>
  </si>
  <si>
    <t>88A0608AA6826088A0609EA0A66103F0CAA7C00001730173FFAD0101000082AC0000000B0042F90D0000006E020466000001003DB8C811FF8F01010AA8B800005613B5AF5FA20010DF30</t>
  </si>
  <si>
    <t>cb32fa8490c59aa53d43ab5102cebcd43e2926392b1fd06ddd5eaf3e6a6f5619</t>
  </si>
  <si>
    <t>88A0608AA6826088A0609EA0A66103F035EFCEC09B7E71CF718192ACA7B7C4625A977DC732E046330A10F1E696C98CB1FE911DBC8CD2F08693582651E7D68D9CE33D4E373AE77E6CCB11AF9127615ABFD6C872C02180279A0039156AB994708E056AD339539E9FCA5FBAB73784EC</t>
  </si>
  <si>
    <t>43a20f1a771b622d854fc988d87b76592e6e927507f2ca5b4bea8a5b579e15df</t>
  </si>
  <si>
    <t>88A0608AA6826088A0609EA0A66103F0CAA7C00001730173FFAD0101000082AD0000000B0042F96B0000006E020466000001003DB8C811FF9001010AA8B900005613B5AF60000010DF30</t>
  </si>
  <si>
    <t>46ce60837370b62baff3861cddb2244537724fa79773bd40c3624087e13938b5</t>
  </si>
  <si>
    <t>88A0608AA6826088A0609EA0A66103F035EFCEC09B7E71CF718192ACA7B7C4635A977DC732E046550A10F1E696C98CB1FE911DBC8CD2F0868C582651E7D78D9CE33D4E3705457E6CCB11BF7220D8C10527D7844185CE7269763861628062CFD964C9B98421835C2B4969AB3E7278</t>
  </si>
  <si>
    <t>7fa5293f7cc491ff117f8f300becbd44a4cccf1dfe60633be9146dea2cc1842d</t>
  </si>
  <si>
    <t>88A0608AA6826088A0609EA0A66103F0CAA7C00001720173FFAD0101000082AE0000000B0042F9C90000006E020466000001003DB8C811FF8F01010AA8BA00005613B5AF605E0010DF30</t>
  </si>
  <si>
    <t>5135a4f5fc4ae728acc970c961623b497ed735a3b948b41ad73062c9a10965e8</t>
  </si>
  <si>
    <t>88A0608AA6826088A0609EA0A66103F0CAA7C00001720173FFAD0101000082AF0000000B0042FA270000006E020466000001003DB8C811FF9401010AA8BB00005613B5AF60BC0010DF30</t>
  </si>
  <si>
    <t>d25846cae6fc2e48afd9e1cefa08af923f65c9829a3958579166bfbac2ab66e0</t>
  </si>
  <si>
    <t>88A0608AA6826088A0609EA0A66103F035EFCEC09B7F71CF718192ACA7B7C4615A977DC732E045190A10F1E696C98CB1FE911DBC8CD2F08688582651E7D58D9CE33D4E3705F97E6CCB11527E521797D9BDECA19BEDC5203F145FE57F84913889A08D688CBAC75A070368A126FF74</t>
  </si>
  <si>
    <t>deee76c9273d38351d0b84424e8e003a6ff340bceff04705192a2f9e619ea394</t>
  </si>
  <si>
    <t>88A0608AA6826088A0609EA0A66103F0CAA7C00001720172FFAD0101000082B00000000B0042FA850000006E020466000001003DB8C811FFA301010AA8BC00005613B5AF611A0010DF30</t>
  </si>
  <si>
    <t>a2d01309fd3a9a6ab5758925c8ce478e639fe3e2557490f7dddcc81b12306af4</t>
  </si>
  <si>
    <t>88A0608AA6826088A0609EA0A66103F035EFCEC09B7F71CE718192ACA7B7C47E5A977DC732E045BB0A10F1E696C98CB1FE911DBC8CD2F086BF582651E7D28D9CE33D4E37045F7E6CCB116BF44F132A1DD603E7CB0976A3718296875E44A63F33FEAD95010869A076709E31E9A794</t>
  </si>
  <si>
    <t>e23948fbdbc1c2c49bbcaf4dfd24c303aa85208da999a923f71a8aaf27469a82</t>
  </si>
  <si>
    <t>88A0608AA6826088A0609EA0A66103F0CAA7C00001710172FFAD0101000082B10000000B0042FAE30000006E020466000001003DB8C811FF9301010AA8BD00005613B5AF61780010DF30</t>
  </si>
  <si>
    <t>902fe2f99b6d9c8006b26abecb7bee2d6ea96a5228b3ac93e74b13b1eeab027d</t>
  </si>
  <si>
    <t>88A0608AA6826088A0609EA0A66103F035EFCEC09B7C71CE718192ACA7B7C47F5A977DC732E045DD0A10F1E696C98CB1FE911DBC8CD2F0868F582651E7D38D9CE33D4E37043D7E6CCB1160327A0E0234F22A21A6FA8C555872C62BF6FE180CEBE14FAB5200E0213042DD9AAC26DB</t>
  </si>
  <si>
    <t>c1ff492af3ad09809391cba0c59ee93e3f43dfe1add3d2e3b8714b29f53da9c9</t>
  </si>
  <si>
    <t>88A0608AA6826088A0609EA0A66103F0CAA7C00001710172FFAD0101000082B20000000B0042FB410000006E020466000001003DB8C811FF9D01010AA8BE00005613B5AF61D60010DF30</t>
  </si>
  <si>
    <t>16fb385eab4aaa797a2c7eaba95f7015c241de7ba8f7f7f050633cb4090bd301</t>
  </si>
  <si>
    <t>88A0608AA6826088A0609EA0A66103F035EFCEC09B7C71CE718192ACA7B7C47C5A977DC732E0447F0A10F1E696C98CB1FE911DBC8CD2F08681582651E7D08D9CE33D4E3704937E6CCB1118DFD9FDF991EBE09916FC1344C14BA5EC6BD9556816BD92BCD48F5AF55B96556493DE0D</t>
  </si>
  <si>
    <t>6f7aff8c84613b5d21e7772ffc888ccc33c78406ae313e993f566e983c7db639</t>
  </si>
  <si>
    <t>88A0608AA6826088A0609EA0A66103F035EFCEC09B7C71CD718192ACA7B7C47D5A977DC732E044A10A10F1E696C98CB1FE911DBC8CD2F08682582651E7D18D9CE33D4E3707717E6CCB11DDE4E0F01E32B5EFD50005402A166D2C7912B3DC084E8CF80D6601A045F9901B9DD7C27F</t>
  </si>
  <si>
    <t>f1416933e981de0e6bf0410374c2d55a44757217526b055670977ec2ff271acc</t>
  </si>
  <si>
    <t>88A0608AA6826088A0609EA0A66103F035EFCEC09B7C71CD718192ACA7B7C47A5A977DC732E044C30A10F1E696C98CB1FE911DBC8CD2F08681582651E7AE8D9CE33D4E3707D77E6CCB11F289EC0B1CFF2834F75D12BE00DC920C1EE2DD8A51265E59F0BD11605F4B6E1A2842BEBA</t>
  </si>
  <si>
    <t>08d984df8f16f07a619fd936d181fea2bf918f4dc2fcbcc444e6e731c0380ec7</t>
  </si>
  <si>
    <t>88A0608AA6826088A0609EA0A66103F0CAA7C00001710171FFAD0101000082B50000000B0042FC5B0000006E020466000001003DB8C811FF9901010AA8C100005613B5AF62F00010DF30</t>
  </si>
  <si>
    <t>045039e77b80c252556a986bac4e03346a0ab54515380da65cf0cca8b5ee3290</t>
  </si>
  <si>
    <t>88A0608AA6826088A0609EA0A66103F035EFCEC09B7C71CD718192ACA7B7C47B5A977DC732E043650A10F1E696C98CB1FE911DBC8CD2F08685582651E7AF8D9CE33D4E3707B57E6CCB11FC60C0386A502DEE164B2304039129E4E5E317BA943ABB2B8B7266276F35EEFF0CB890D0</t>
  </si>
  <si>
    <t>0a5d2d31cae04cdb0edede1541fa79c6a97eaa04a790bd04c03c117879ab8f05</t>
  </si>
  <si>
    <t>88A0608AA6826088A0609EA0A66103F0CAA7C00001700171FFAD0101000082B60000000B0042FCB90000006E020466000001003DB8C811FF9901010AA8C200005613B5AF634E0010DF30</t>
  </si>
  <si>
    <t>767e74ffe8c85207e5d668ead010de1135563d3b7c3a51a56e1d1fa960c709bf</t>
  </si>
  <si>
    <t>88A0608AA6826088A0609EA0A66103F035EFCEC09B7D71CD718192ACA7B7C4785A977DC732E043870A10F1E696C98CB1FE911DBC8CD2F08685582651E7AC8D9CE33D4E37060B7E6CCB1118A6033DB2D072175005B389602B289A9220F7D3E733F3F12303883E7287CB17D1BD4F77</t>
  </si>
  <si>
    <t>fa6051ff4f52b21c740de2dc5355c81259c1ef9ea1af66bef94fc21cc5950709</t>
  </si>
  <si>
    <t>88A0608AA6826088A0609EA0A66103F0CAA7C00001700171FFAD0101000082B70000000B0042FD170000006E020466000001003DB8C811FF9401010AA8C300005613B5AF63AC0010DF30</t>
  </si>
  <si>
    <t>244d40b82f49e54e99cba3e7f856f195e7cf0db6bff6846f1bd413a8d4a9004c</t>
  </si>
  <si>
    <t>88A0608AA6826088A0609EA0A66103F035EFCEC09B7D71CD718192ACA7B7C4795A977DC732E042290A10F1E696C98CB1FE911DBC8CD2F08688582651E7AD8D9CE33D4E3706E97E6CCB11AFBFB740340F405D9DB55355A4B68913B7AA544E7FD7B690A4638C06B93A3EBB178E8E8C</t>
  </si>
  <si>
    <t>225a2e2c756d941c72a306b39ab4007dda6331a9c06c94ec6a549a61dc0e0be2</t>
  </si>
  <si>
    <t>88A0608AA6826088A0609EA0A66103F0CAA7C00001700171FFAD0101000082B80000000B0042FD750000006E020466000001003DB8C811FFA001010AA8C400005613B5AF640A0010DF30</t>
  </si>
  <si>
    <t>1a144bbcde08d01a074e6f8dc09dd812b2f6bb2f46f3fa76a87fbe716d741d85</t>
  </si>
  <si>
    <t>88A0608AA6826088A0609EA0A66103F035EFCEC09B7D71CD718192ACA7B7C4775A977DC732E042ED0A10F1E696C98CB1FE911DBC8CD2F08680582651E7AB8D9CE33D4E37012D7E6CCB11CB3236C4840E52F911ACC1215AC16BAAB0F759CB701D9FA0467CAA78DD99E109F559C37C</t>
  </si>
  <si>
    <t>c4a65227ce992f590469dccfd141c7c23f3d352aeef5f3eb25fd5bf17fca6b4f</t>
  </si>
  <si>
    <t>88A0608AA6826088A0609EA0A66103F035EFCEC09B7D71CC718192ACA7B7C4745A977DC732E0410F0A10F1E696C98CB1FE911DBC8CD2F08687582651E7A88D9CE33D4E3701837E6CCB11C789F4F2E6526AB6275D8F5338AB01394B2566C6E0ABB05176C684D3583BCBE79FA9F121</t>
  </si>
  <si>
    <t>adfb211b5006eeafb7ac98b9b3b2f6eca22d3d5ea27cbb8d25c448542a82ff66</t>
  </si>
  <si>
    <t>88A0608AA6826088A0609EA0A66103F035EFCEC09B7D71CC718192ACA7B7C4725A977DC732E041D30A10F1E696C98CB1FE911DBC8CD2F0868F582651E7A68D9CE33D4E3700C77E6CCB11BEA34D30D50D1C3231F45A40AC267DBA7FDC289583EF973B6D0373987C6A0348B3F257C2</t>
  </si>
  <si>
    <t>08604604efe4c7f7e1fc09f63e7962b9d7114934c2b1f4adb5b660a1fb36faee</t>
  </si>
  <si>
    <t>88A0608AA6826088A0609EA0A66103F035EFCEC09B7D71CC718192ACA7B7C4705A977DC732E040970A10F1E696C98CB1FE911DBC8CD2F0868D582651E7A48D9CE33D4E37037B7E6CCB11E129BB2460ABC6AE2077B00C48B47E9697F737A2E7744AA671429694AAA9440BC43B07B7</t>
  </si>
  <si>
    <t>a961b1867e7f10543d4209362e2e88fba835e062ced6f162386e0c8f02e8a54f</t>
  </si>
  <si>
    <t>88A0608AA6826088A0609EA0A66103F035EFCEC09B6271CC718192ACA7B7C4715A977DC732E1BF390A10F1E696C98CB1FE911DBC8CD2F0868B582651E7A58D9CE33D4E3703D97E6CCB1141CF61D7B446D5A2C67019141E23B9E3DC500413535F83D4EDB5F984BF69FAD8AD966456</t>
  </si>
  <si>
    <t>9896b3630c3a6f25c81866ba0d382ebe1dd255b753eb455530c20d68e33d209f</t>
  </si>
  <si>
    <t>88A0608AA6826088A0609EA0A66103F035EFCEC09B6271CC718192ACA7B7C40E5A977DC732E1BF5B0A10F1E696C98CB1FE911DBC8CD2F086BB582651E7A28D9CE33D4E3703BF7E6CCB111A74CCC12F4EEA6E011A1265006DE84CA7B1032FEE483D58E78B074C84D2836522C531EC</t>
  </si>
  <si>
    <t>769d444fca2f546fa4529b321811b6440f9b4c83658fb127bb32235f27f9d1a3</t>
  </si>
  <si>
    <t>88A0608AA6826088A0609EA0A66103F035EFCEC09B6271CC718192ACA7B7C40F5A977DC732E1BFFD0A10F1E696C98CB1FE911DBC8CD2F0868F582651E7A38D9CE33D4E37021D7E6CCB112765070C54DC636CC38DC2EB4763D894696E72FE801C8BF940F77533E094C2555FC88F0D</t>
  </si>
  <si>
    <t>0c237e75508a48ad717ba41ba12402b75b47311dec122317ea60903f7bd9188d</t>
  </si>
  <si>
    <t>88A0608AA6826088A0609EA0A66103F035EFCEC09B6271CC718192ACA7B7C40C5A977DC732E1BE1F0A10F1E696C98CB1FE911DBC8CD2F086B9582651E7A08D9CE33D4E3702F37E6CCB11530BF16089A646EF1EABF49E64A5DB67E8201C5E6657EAA7C2339EB3F66D03C1DE68437A</t>
  </si>
  <si>
    <t>d29e5b817465f9895a999bcb37c18e88a33d768bf1ac6d427092f8133b756a75</t>
  </si>
  <si>
    <t>88A0608AA6826088A0609EA0A66103F035EFCEC09B6271CC718192ACA7B7C40D5A977DC732E1BE410A10F1E696C98CB1FE911DBC8CD2F0868F582651E7A18D9CE33D4E370D517E6CCB11A9F7A717C0CDC0E2D0BB1D16B26220E610FC27A29DD2423D29373FE5B961339F5E9596BE</t>
  </si>
  <si>
    <t>bcdc45265a6cec44e5b8873c1bc80cf33c5bb17fd85185db0113c54fd843cf2a</t>
  </si>
  <si>
    <t>88A0608AA6826088A0609EA0A66103F035EFCEC09B6271CC718192ACA7B7C40A5A977DC732E1BEE30A10F1E696C98CB1FE911DBC8CD2F0868D582651E7BE8D9CE33D4E370D377E6CCB1139381867884216EE9FA24662D20B10A1BD07B013E6C5DC426DDC4ACDCB196B0C4CA70D9E</t>
  </si>
  <si>
    <t>49b68afce2f2f70803996aa636d14c2319ca24fa8b05ee8c6ac763999f7c6326</t>
  </si>
  <si>
    <t>88A0608AA6826088A0609EA0A66103F035EFCEC09B6271CC718192ACA7B7C40B5A977DC732E1BD050A10F1E696C98CB1FE911DBC8CD2F0868D582651E7BF8D9CE33D4E370D957E6CCB11C27252B2F0830214262663A821DD20A2FB5B6A7DEE3A5A1EE96413BE536252515BD3C870</t>
  </si>
  <si>
    <t>f437f658d85438daee0047c74279e99178018c80206be624a5044eda1dd31bb3</t>
  </si>
  <si>
    <t>88A0608AA6826088A0609EA0A66103F035EFCEC09B6271CC718192ACA7B7C4085A977DC732E1BDA70A10F1E696C98CB1FE911DBC8CD2F08686582651E7BC8D9CE33D4E370C6B7E6CCB11ECDD201E53D1CD67F5B5BEFDDE39AFD2934A7879E1E2AD50C583E18FE08765B10A900A7F</t>
  </si>
  <si>
    <t>2c8db0151c76a4ce98a3c6cc8f96af698e01cd819c0032c3c0b9d47687ce622d</t>
  </si>
  <si>
    <t>88A0608AA6826088A0609EA0A66103F035EFCEC09B6271CC718192ACA7B7C4095A977DC732E1BDC90A10F1E696C98CB1FE911DBC8CD2F0868C582651E7BD8D9CE33D4E370CC97E6CCB11900C0A784EC4E80EBEF969E88A60B5AD1CAAB313FF3408AA147BB95E3D01E32FC7723B2D</t>
  </si>
  <si>
    <t>1b7b238d107e08124e24d432c5f0edb50026877ce49c795a3c30f9799e2c53b1</t>
  </si>
  <si>
    <t>88A0608AA6826088A0609EA0A66103F035EFCEC09B6271CC718192ACA7B7C4065A977DC732E1BC6B0A10F1E696C98CB1FE911DBC8CD2F0868D582651E7BA8D9CE33D4E370CAF7E6CCB1127B6271F2BED28B1D754B753427E7253725F831609D463E8626F5E4F4B9D479F5D2C7DD0</t>
  </si>
  <si>
    <t>a44ec9fd1b4312fa5ea66c8eced3546314d0483774b32da4844fb6e24047b533</t>
  </si>
  <si>
    <t>88A0608AA6826088A0609EA0A66103F035EFCEC09B6371CC718192ACA7B7C4075A977DC732E1BC8D0A10F1E696C98CB1FE911DBC8CD2F0868D582651E7BB8D9CE33D4E370F0D7E6CCB11751899BE4906448A21444EF74BCCF8FCAF0E555881F7E8407EC9D0F9B86C9713582F939A</t>
  </si>
  <si>
    <t>a7fd197e321e52c0530780918d6ed813ebed1e7c33aa78d9cb829eeb42ef2779</t>
  </si>
  <si>
    <t>88A0608AA6826088A0609EA0A66103F035EFCEC09B6371CC718192ACA7B7C4045A977DC732E1BB2F0A10F1E696C98CB1FE911DBC8CD2F0868C582651E7B88D9CE33D4E370FE37E6CCB11C558D6E2C00ED43DE947F44B2B09F5CC6BF65D2C802B060878F9DD6B189AEB5AE10912B6</t>
  </si>
  <si>
    <t>d51b651d61a3d445147783a80fe990dff50786ff9dc7b2349f598146884d5ca6</t>
  </si>
  <si>
    <t>88A0608AA6826088A0609EA0A66103F035EFCEC09B6371CC718192ACA7B7C4055A977DC732E1BB510A10F1E696C98CB1FE911DBC8CD2F08692582651E7B98D9CE33D4E370E417E6CCB118A3C32536152DBEB3B27EFAA1DCDDE0E09AD6597E476FB150F2252210280251568140DA8</t>
  </si>
  <si>
    <t>41ff9b9a916f2498c6955f0bf2689be1196ba85ba893b0d2c5174ed4e592607e</t>
  </si>
  <si>
    <t>88A0608AA6826088A0609EA0A66103F035EFCEC09B6271CE718192ACA7B7C4025A977DC732E1BBF30A10F1E696C98CB1FE911DBC8CD2F08693582651E7B68D9CE33D4E370E277E6CCB11B302107B3646E8CFE3F429BF3A226F080CC7D19CEE14DD0A1D507699F534D6369D3F7CE9</t>
  </si>
  <si>
    <t>aa146223f7586c579f40b01f207f20751a069773c24b4f8e14770ac635f8ec31</t>
  </si>
  <si>
    <t>88A0608AA6826088A0609EA0A66103F035EFCEC09B6271CC718192ACA7B7C4035A977DC732E1BA150A10F1E696C98CB1FE911DBC8CD2F08691582651E7B78D9CE33D4E370E857E6CCB1143535C8C9DE1900FE1CDA6728D6C58BA501618602C96AF2205351C8B76C322D0A41D580C</t>
  </si>
  <si>
    <t>a3d3476697f46f34b4e50c25815dd3d14c9ca832a26ace60f489a4a6b0f60817</t>
  </si>
  <si>
    <t>88A0608AA6826088A0609EA0A66103F035EFCEC09B6271CE718192ACA7B7C41E5A977DC732E1B97B0A10F1E696C98CB1FE911DBC8CD2F08686582651E7B28D9CE33D4E37099F7E6CCB11143D5DBE5C7734ECA319F8D6EA460662670779857CC5B56F612FDC934452CD8376BC6294</t>
  </si>
  <si>
    <t>610bd927edc47c6914695cb94dc00a7cced77f23fed7489e1fec3bccdd2d7016</t>
  </si>
  <si>
    <t>88A0608AA6826088A0609EA0A66103F035EFCEC09B6271CD718192ACA7B7C41F5A977DC732E1B99D0A10F1E696C98CB1FE911DBC8CD2F08689582651E7B38D9CE33D4E37087D7E6CCB117F6C8A1B74CB1D7EF3D8D91D82E7DD0F635BA626324AEE1CC64467C307B626C439B26FF3</t>
  </si>
  <si>
    <t>1ccc940f92472136d2559fa25784261995ced55fac9194a4f291b6ca9ff21cfa</t>
  </si>
  <si>
    <t>88A0608AA6826088A0609EA0A66103F035EFCEC09B6271CD718192ACA7B7C41C5A977DC732E1B83F0A10F1E696C98CB1FE911DBC8CD2F08692582651E7B08D9CE33D4E3708D37E6CCB11C3DC01DFF22ADBCCEB64D6FFE75AD8DB3D2A1A7936DFE5636E538AD34E32C4F8A57592D1</t>
  </si>
  <si>
    <t>NASA OMNI | complete supplied subset</t>
  </si>
  <si>
    <t>All 120 rows, 17:00–18:59 UTC, retained with fill values unchanged. 'Percent interpolation' refers to phase-front-normal timing treatment, not fabricated magnetic measurements.</t>
  </si>
  <si>
    <t>Source row</t>
  </si>
  <si>
    <t>UTC minute</t>
  </si>
  <si>
    <t>Year</t>
  </si>
  <si>
    <t>DOY</t>
  </si>
  <si>
    <t>Hour</t>
  </si>
  <si>
    <t>Minute</t>
  </si>
  <si>
    <t>IMF ID</t>
  </si>
  <si>
    <t>Plasma ID</t>
  </si>
  <si>
    <t>PFN interpolation %</t>
  </si>
  <si>
    <t>DBOT (s)</t>
  </si>
  <si>
    <t>B avg (nT)</t>
  </si>
  <si>
    <t>Bz GSM (nT)</t>
  </si>
  <si>
    <t>Speed (km/s)</t>
  </si>
  <si>
    <t>Density (n/cc)</t>
  </si>
  <si>
    <t>Temp (K)</t>
  </si>
  <si>
    <t>Pressure (nPa)</t>
  </si>
  <si>
    <t>AE (nT)</t>
  </si>
  <si>
    <t>SYM/H (nT)</t>
  </si>
  <si>
    <t>NASA OMNI | thirteen intersecting minute bins</t>
  </si>
  <si>
    <t>Minute averages are bow-shock environmental context, not local OPS-SAT measurements or evidence of an outage. Interpolation metadata is preserved.</t>
  </si>
  <si>
    <t>OMNI index</t>
  </si>
  <si>
    <t>Start offset (s)</t>
  </si>
  <si>
    <t>PFN interp (%)</t>
  </si>
  <si>
    <t>Core field QC</t>
  </si>
  <si>
    <t>UTC association audit | all 111 candidate samples</t>
  </si>
  <si>
    <t>Primary rule: latest preceding SatNOGS reception, age ≤10 s; no future record. This is a context association, NOT identification of the same spacecraft packet or continued link uptime.</t>
  </si>
  <si>
    <t>Candidate ID</t>
  </si>
  <si>
    <t>CSV source row</t>
  </si>
  <si>
    <t>Telemetry UTC</t>
  </si>
  <si>
    <t>Telemetry Unix s</t>
  </si>
  <si>
    <t>Arrival offset s</t>
  </si>
  <si>
    <t>Train label</t>
  </si>
  <si>
    <t>Telemetry value</t>
  </si>
  <si>
    <t>Sampling s</t>
  </si>
  <si>
    <t>Prior COMM UTC</t>
  </si>
  <si>
    <t>Witness JSON row</t>
  </si>
  <si>
    <t>COMM Unix s</t>
  </si>
  <si>
    <t>Association age s</t>
  </si>
  <si>
    <t>Receptions at timestamp</t>
  </si>
  <si>
    <t>OMNI source row</t>
  </si>
  <si>
    <t>OMNI UTC minute</t>
  </si>
  <si>
    <t>Fit status</t>
  </si>
  <si>
    <t>Nearest exact match?</t>
  </si>
  <si>
    <t>Beacon ID</t>
  </si>
  <si>
    <t>Latest CRC-only age s</t>
  </si>
  <si>
    <t>CRC-only accepted at 10 s</t>
  </si>
  <si>
    <t>Decode/QC scope</t>
  </si>
  <si>
    <t>Received metadata + parsed radio state; no availability inference</t>
  </si>
  <si>
    <t>SIMULTANEOUS ACE INPUT | decoded COMM state, conditional DES</t>
  </si>
  <si>
    <t>100 retained observations; 10 s latest-prior association; 18 decoded radio attributes. Counter rates are activity proxies and do NOT replace the synthetic link capacity. Seven unique beacons lack retained CRC; their QC flags remain visible.</t>
  </si>
  <si>
    <t>COMM age s</t>
  </si>
  <si>
    <t>B avg nT</t>
  </si>
  <si>
    <t>Bz GSM nT</t>
  </si>
  <si>
    <t>Speed km/s</t>
  </si>
  <si>
    <t>Density n/cc</t>
  </si>
  <si>
    <t>AE nT</t>
  </si>
  <si>
    <t>SYM/H nT</t>
  </si>
  <si>
    <t>Rate Mbps SYNTH</t>
  </si>
  <si>
    <t>Propagation s SYNTH</t>
  </si>
  <si>
    <t>Raw MB SYNTH</t>
  </si>
  <si>
    <t>Output fraction SYNTH</t>
  </si>
  <si>
    <t>Ground mean s SYNTH</t>
  </si>
  <si>
    <t>Edge mean s SYNTH</t>
  </si>
  <si>
    <t>Association QC</t>
  </si>
  <si>
    <t>Evidence scope</t>
  </si>
  <si>
    <t>COMM beacon ID</t>
  </si>
  <si>
    <t>COMM beacon quality</t>
  </si>
  <si>
    <t>board_temperature</t>
  </si>
  <si>
    <t>pa_temperature</t>
  </si>
  <si>
    <t>last_received_rssi</t>
  </si>
  <si>
    <t>last_received_rf_error</t>
  </si>
  <si>
    <t>number_of_tx_packets_since_reboot</t>
  </si>
  <si>
    <t>number_of_rx_packets_since_reboot</t>
  </si>
  <si>
    <t>number_of_tx_bytes_since_reboot</t>
  </si>
  <si>
    <t>number_of_rx_bytes_since_reboot</t>
  </si>
  <si>
    <t>active_system_configuration</t>
  </si>
  <si>
    <t>reboot_number</t>
  </si>
  <si>
    <t>reboot_cause</t>
  </si>
  <si>
    <t>last_valid_packet_timestamp</t>
  </si>
  <si>
    <t>background_rssi_level</t>
  </si>
  <si>
    <t>tx_duty_time_since_reboot</t>
  </si>
  <si>
    <t>total_tx_packets</t>
  </si>
  <si>
    <t>total_rx_packets</t>
  </si>
  <si>
    <t>total_tx_bytes</t>
  </si>
  <si>
    <t>total_rx_bytes</t>
  </si>
  <si>
    <t>TX counter bytes/s PROXY</t>
  </si>
  <si>
    <t>Counter interval start UTC</t>
  </si>
  <si>
    <t>Counter interval end UTC</t>
  </si>
  <si>
    <t>CRC-only 10s association</t>
  </si>
  <si>
    <t>OMNI temperature K</t>
  </si>
  <si>
    <t>OMNI pressure nPa</t>
  </si>
  <si>
    <t>OMNI PFN interpolation %</t>
  </si>
  <si>
    <t>OMNI IMF source ID</t>
  </si>
  <si>
    <t>OMNI plasma source ID</t>
  </si>
  <si>
    <t>OBSERVED RADIO STATE / DERIVED TX ACTIVITY / SYNTHETIC PERFORMANCE</t>
  </si>
  <si>
    <t>Common UTC timeline | 28 January 2022</t>
  </si>
  <si>
    <t>Counts indicate observation coverage only. Reception counts and missing samples are NOT communication rate, availability, loss or outage measurements.</t>
  </si>
  <si>
    <t>UTC minute ISO</t>
  </si>
  <si>
    <t>AI candidate samples</t>
  </si>
  <si>
    <t>AI accepted samples</t>
  </si>
  <si>
    <t>COMM receptions</t>
  </si>
  <si>
    <t>Distinct reception times</t>
  </si>
  <si>
    <t>OMNI rows</t>
  </si>
  <si>
    <t>B nT</t>
  </si>
  <si>
    <t>Bz nT</t>
  </si>
  <si>
    <t>17:42</t>
  </si>
  <si>
    <t>17:43</t>
  </si>
  <si>
    <t>17:44</t>
  </si>
  <si>
    <t>17:45</t>
  </si>
  <si>
    <t>17:46</t>
  </si>
  <si>
    <t>17:47</t>
  </si>
  <si>
    <t>17:48</t>
  </si>
  <si>
    <t>17:49</t>
  </si>
  <si>
    <t>17:50</t>
  </si>
  <si>
    <t>17:51</t>
  </si>
  <si>
    <t>17:52</t>
  </si>
  <si>
    <t>17:53</t>
  </si>
  <si>
    <t>17:54</t>
  </si>
  <si>
    <t>SOURCE FIT | QUALIFIED PASS for synchronized state-data</t>
  </si>
  <si>
    <t>COMM decoding and field-admission are complete for the bounded window. Radio states and TX activity can be synchronized; they do not replace the earlier hybrid's measured throughput driver. Historical performance remains uncalibrated.</t>
  </si>
  <si>
    <t>Field / concept</t>
  </si>
  <si>
    <t>Evidence type</t>
  </si>
  <si>
    <t>Disposition</t>
  </si>
  <si>
    <t>Finding</t>
  </si>
  <si>
    <t>Research boundary</t>
  </si>
  <si>
    <t>AI/ML</t>
  </si>
  <si>
    <t>Segment ID; UTC; sampling; value</t>
  </si>
  <si>
    <t>DIRECT (source telemetry)</t>
  </si>
  <si>
    <t>Accepted chronology / source identity</t>
  </si>
  <si>
    <t>100 retained observations; 6 source segments</t>
  </si>
  <si>
    <t>Not measured inference-task arrivals or engineering-unit calibration</t>
  </si>
  <si>
    <t>Anomaly/train labels; engineered features</t>
  </si>
  <si>
    <t>CONTEXT / DERIVED</t>
  </si>
  <si>
    <t>Retained; not active service-time drivers</t>
  </si>
  <si>
    <t>19/100 retained samples have anomaly label</t>
  </si>
  <si>
    <t>Offline labels are not predicted confidence or runtime priority</t>
  </si>
  <si>
    <t>Reception timestamp; observer; frame metadata</t>
  </si>
  <si>
    <t>DIRECT (reception metadata)</t>
  </si>
  <si>
    <t>As-of association only</t>
  </si>
  <si>
    <t>101 receptions; 61 distinct reception timestamps</t>
  </si>
  <si>
    <t>Reception is not a transmission count or continuous link availability</t>
  </si>
  <si>
    <t>18 beacon scalar fields; canonical packet identity</t>
  </si>
  <si>
    <t>OBSERVED RADIO STATE</t>
  </si>
  <si>
    <t>Accepted with per-beacon checksum/QC flags</t>
  </si>
  <si>
    <t>100 accepted receptions; 61 beacons; 65 CRC checks pass; one bad header rejected</t>
  </si>
  <si>
    <t>See COMM_Field_Map: unit/code uncertainties remain explicit.</t>
  </si>
  <si>
    <t>Link throughput / capacity</t>
  </si>
  <si>
    <t>MISSING FOR ACTIVE v9 INPUT</t>
  </si>
  <si>
    <t>Keep 100 Mbps SYNTHETIC</t>
  </si>
  <si>
    <t>TX counters yield 9.4 B/s activity, not link capacity</t>
  </si>
  <si>
    <t>No active measured rate admitted; not a blocker to a conditional state-data prototype.</t>
  </si>
  <si>
    <t>One-way delay / RTT</t>
  </si>
  <si>
    <t>Keep 0.02 s SYNTHETIC</t>
  </si>
  <si>
    <t>No validated TX/RX timestamp pair</t>
  </si>
  <si>
    <t>Raw last-valid-packet field is not converted to UTC or delay.</t>
  </si>
  <si>
    <t>Outage, loss and recovery trace</t>
  </si>
  <si>
    <t>Keep 600 s up /120 s down SYNTHETIC</t>
  </si>
  <si>
    <t>No visibility-aware attempted/successful packet denominator</t>
  </si>
  <si>
    <t>Missing receptions or zero RX-counter growth do not prove outage.</t>
  </si>
  <si>
    <t>B, Bz, speed, density, T, pressure, AE, SYM/H</t>
  </si>
  <si>
    <t>CONTEXT</t>
  </si>
  <si>
    <t>Accepted minute-bin context</t>
  </si>
  <si>
    <t>13/13 target minute rows have all eight core values</t>
  </si>
  <si>
    <t>OMNI bow-shock timing is not local OPS-SAT field measurement</t>
  </si>
  <si>
    <t>PFN interpolation percentage; IDs; DBOT</t>
  </si>
  <si>
    <t>QC / TIMING CONTEXT</t>
  </si>
  <si>
    <t>Retained without inventing a fill rule</t>
  </si>
  <si>
    <t>100% denotes phase-front-normal interpolation metadata</t>
  </si>
  <si>
    <t>Not evidence that all magnetic measurements are missing</t>
  </si>
  <si>
    <t>ENV→COMM</t>
  </si>
  <si>
    <t>Environment-to-link response model</t>
  </si>
  <si>
    <t>MISSING / NOT ESTIMATED</t>
  </si>
  <si>
    <t>No effect imposed on rate, delay or outage</t>
  </si>
  <si>
    <t>No fitted or validated coupling supplied</t>
  </si>
  <si>
    <t>Temporal association is not environmental causation</t>
  </si>
  <si>
    <t>DES</t>
  </si>
  <si>
    <t>Ground / edge compute time</t>
  </si>
  <si>
    <t>Retain 4 s / 12 s means and matched random draws</t>
  </si>
  <si>
    <t>Original v9 assumptions</t>
  </si>
  <si>
    <t>Not inferred from AD feature magnitude or segment duration</t>
  </si>
  <si>
    <t>Raw volume / output fraction</t>
  </si>
  <si>
    <t>Retain 300 MB / 0.25 in primary diagnostic</t>
  </si>
  <si>
    <t>Original v9 assumptions; 1 MB and no-reduction sensitivities run</t>
  </si>
  <si>
    <t>Neither workload size nor compression performance is measured</t>
  </si>
  <si>
    <t>Source timestamp replay as entity arrival</t>
  </si>
  <si>
    <t>PROXY / REPLAY DESIGN</t>
  </si>
  <si>
    <t>Accepted for integration diagnostic</t>
  </si>
  <si>
    <t>One retained telemetry sample = one modeled observation</t>
  </si>
  <si>
    <t>Recorded sample cadence is not evidence of actual inference-task demand</t>
  </si>
  <si>
    <t>OUTPUT</t>
  </si>
  <si>
    <t>Ground/Edge completion, deadline and stale flags</t>
  </si>
  <si>
    <t>SIMULATION OUTPUT</t>
  </si>
  <si>
    <t>Mechanics verified; state-data fit QUALIFIED PASS</t>
  </si>
  <si>
    <t>Same cohort; five independent scenario reruns; primary workbook checked</t>
  </si>
  <si>
    <t>Results remain assumption-conditioned; no empirical architecture-effect claim.</t>
  </si>
  <si>
    <t>TX packet / byte counter increments</t>
  </si>
  <si>
    <t>Accepted as transmit-activity attributes</t>
  </si>
  <si>
    <t>69 packet increments; 6,486 bytes over 690 s</t>
  </si>
  <si>
    <t>Not capacity, ground goodput, application-task bytes, or packet loss.</t>
  </si>
  <si>
    <t>QUALITY</t>
  </si>
  <si>
    <t>No-CRC beacon sensitivity</t>
  </si>
  <si>
    <t>QC / CONTEXT</t>
  </si>
  <si>
    <t>Full 100-row cohort visibly qualified</t>
  </si>
  <si>
    <t>54 CRC-verified beacons; 7 preprocessed-only; CRC-only 10 s cohort = 90</t>
  </si>
  <si>
    <t>Do not silently equate every primary witness with checksum-verified evidence.</t>
  </si>
  <si>
    <t>RELEASE</t>
  </si>
  <si>
    <t>Synchronized ACE v9 / v02</t>
  </si>
  <si>
    <t>QUALIFIED STATE-DATA FIT</t>
  </si>
  <si>
    <t>Ready for shared prototype/reproducibility review</t>
  </si>
  <si>
    <t>Decoded attributes fused; synthetic assumptions explicitly retained</t>
  </si>
  <si>
    <t>Not a fully calibrated COMM-performance experiment or evidence for H1.</t>
  </si>
  <si>
    <t>VERIFICATION | mechanics + decoded state-data; performance not calibrated</t>
  </si>
  <si>
    <t>v01 numeric checks retained below as history. v02 adds validated-header decoding, CRC32-C, canonical deduplication, state joins and a fresh primary workbook regression; see COMM_Decode_QC.</t>
  </si>
  <si>
    <t>Test</t>
  </si>
  <si>
    <t>Observed / max error</t>
  </si>
  <si>
    <t>Tolerance / expected</t>
  </si>
  <si>
    <t>Status</t>
  </si>
  <si>
    <t>V01</t>
  </si>
  <si>
    <t>Original v9 recurrence regression</t>
  </si>
  <si>
    <t>Independent Python vs original cached Excel Ground+Edge values; original source unchanged</t>
  </si>
  <si>
    <t>V02</t>
  </si>
  <si>
    <t>Primary 300 MB / 1,000 pairs</t>
  </si>
  <si>
    <t>44,000 numeric run-sheet cells, plus categorical link states</t>
  </si>
  <si>
    <t>V03</t>
  </si>
  <si>
    <t>1 MB workload sensitivity</t>
  </si>
  <si>
    <t>Same formula engine; Ground performs better under this assumption</t>
  </si>
  <si>
    <t>V04</t>
  </si>
  <si>
    <t>Same formula engine; edge is not forced to win</t>
  </si>
  <si>
    <t>V05</t>
  </si>
  <si>
    <t>60 s assumed edge mean</t>
  </si>
  <si>
    <t>Same formula engine; unfavorable edge case</t>
  </si>
  <si>
    <t>V06</t>
  </si>
  <si>
    <t>Identical architectures</t>
  </si>
  <si>
    <t>Ground and Edge completion times identical for every one of 1,000 pairs</t>
  </si>
  <si>
    <t>V07</t>
  </si>
  <si>
    <t>Five-entity manual FCFS check</t>
  </si>
  <si>
    <t>All five Hand_Check rows read OK</t>
  </si>
  <si>
    <t>V08</t>
  </si>
  <si>
    <t>Restore / repeat primary</t>
  </si>
  <si>
    <t>Replications table returned bit-for-bit to primary values</t>
  </si>
  <si>
    <t>V09</t>
  </si>
  <si>
    <t>Two-sided t critical</t>
  </si>
  <si>
    <t>T.INV(1-alpha/2,df) checked against SciPy; original Excel TINV was correct</t>
  </si>
  <si>
    <t>V10</t>
  </si>
  <si>
    <t>Accepted age bound</t>
  </si>
  <si>
    <t>No future COMM record; 11 candidates explicitly rejected</t>
  </si>
  <si>
    <t>V11</t>
  </si>
  <si>
    <t>Exact simultaneous instants</t>
  </si>
  <si>
    <t>CONTEXT ONLY</t>
  </si>
  <si>
    <t>No equal-to-second AD/COMM timestamps. Success is bounded as-of association</t>
  </si>
  <si>
    <t>V12</t>
  </si>
  <si>
    <t>Window ENV fill count</t>
  </si>
  <si>
    <t>Eight core fields available in all 13 target bins</t>
  </si>
  <si>
    <t>V13</t>
  </si>
  <si>
    <t>Mapped measured COMM performance fields</t>
  </si>
  <si>
    <t>No active rate/delay/outage input admitted; allowed synthetic parameters do not invalidate state-data fit.</t>
  </si>
  <si>
    <t>V14</t>
  </si>
  <si>
    <t>Validated payload scalar fields</t>
  </si>
  <si>
    <t>PASS / QUALIFIED</t>
  </si>
  <si>
    <t>100 valid-header receptions; 65 CRC32-C passes; no-CRC records retain QC flags; adapter directly follows supplied schema.</t>
  </si>
  <si>
    <t>V15</t>
  </si>
  <si>
    <t>Empirical architecture conclusion</t>
  </si>
  <si>
    <t>NOT RELEASED</t>
  </si>
  <si>
    <t>No historical performance calibration or causal/architectural effectiveness claim.</t>
  </si>
  <si>
    <t>V16</t>
  </si>
  <si>
    <t>Frozen cohort consistency</t>
  </si>
  <si>
    <t>Changed tolerance/cohort requires rebuild; no silent resampling</t>
  </si>
  <si>
    <t>V17</t>
  </si>
  <si>
    <t>Controlled replication count</t>
  </si>
  <si>
    <t>Ten conditional runs are fixed for this configuration</t>
  </si>
  <si>
    <t>V02 CHECKS</t>
  </si>
  <si>
    <t>New execution / scope</t>
  </si>
  <si>
    <t>Result</t>
  </si>
  <si>
    <t>Reference</t>
  </si>
  <si>
    <t>N01</t>
  </si>
  <si>
    <t>All decoded-state QC checks</t>
  </si>
  <si>
    <t>COMM_Decode_QC workbook totals agree with independent decoding.</t>
  </si>
  <si>
    <t>N02</t>
  </si>
  <si>
    <t>Same original 100 source rows</t>
  </si>
  <si>
    <t>Original sequence and arrival offsets unchanged.</t>
  </si>
  <si>
    <t>N03</t>
  </si>
  <si>
    <t>Five independent scenario reruns</t>
  </si>
  <si>
    <t>Same timing results; not five new measured traces.</t>
  </si>
  <si>
    <t>N04</t>
  </si>
  <si>
    <t>Fresh primary v02 numeric regression</t>
  </si>
  <si>
    <t>To be set after comparing all 44,000 primary numeric run cells.</t>
  </si>
  <si>
    <t>N05</t>
  </si>
  <si>
    <t>Rejected malformed-header witness count</t>
  </si>
  <si>
    <t>JSON row 160 preserved in raw archive but not admitted as witness.</t>
  </si>
  <si>
    <t>ACTUAL FORMULA RUNS | per-replication snapshot summaries</t>
  </si>
  <si>
    <t>50 per-replication summaries of 5,000 checked entity outputs. Complete entity snapshots are supplied in scenario_entity_snapshots.csv. Main run sheets remain live; these archived summaries do not auto-refresh.</t>
  </si>
  <si>
    <t>Case</t>
  </si>
  <si>
    <t>Entities</t>
  </si>
  <si>
    <t>Mean arrival (s)</t>
  </si>
  <si>
    <t>Mean Ground completion (s)</t>
  </si>
  <si>
    <t>Mean Edge completion (s)</t>
  </si>
  <si>
    <t>Ground deadline fraction</t>
  </si>
  <si>
    <t>Edge deadline fraction</t>
  </si>
  <si>
    <t>Ground non-stale fraction</t>
  </si>
  <si>
    <t>Edge non-stale fraction</t>
  </si>
  <si>
    <t>Mean Ground wait (s)</t>
  </si>
  <si>
    <t>Mean Edge wait (s)</t>
  </si>
  <si>
    <t>Mean Ground link queue (s)</t>
  </si>
  <si>
    <t>Mean Ground outage wait (s)</t>
  </si>
  <si>
    <t>Mean Ground compute wait (s)</t>
  </si>
  <si>
    <t>Mean Edge compute wait (s)</t>
  </si>
  <si>
    <t>Mean Edge link queue (s)</t>
  </si>
  <si>
    <t>Mean Edge outage wait (s)</t>
  </si>
  <si>
    <t>Mean Ground finish (s)</t>
  </si>
  <si>
    <t>Mean Edge finish (s)</t>
  </si>
  <si>
    <t>ASSUMPTION SENSITIVITY | the architecture ranking changes</t>
  </si>
  <si>
    <t>Same retained chronology and same service draws. Only the stated assumed volume, compute mean or reduction changes. These are model diagnostics, not observed OPS-SAT performance comparisons.</t>
  </si>
  <si>
    <t>Raw MB assumed</t>
  </si>
  <si>
    <t>Ground mean s assumed</t>
  </si>
  <si>
    <t>Edge mean s assumed</t>
  </si>
  <si>
    <t>Output fraction assumed</t>
  </si>
  <si>
    <t>Ground completion mean s</t>
  </si>
  <si>
    <t>Edge completion mean s</t>
  </si>
  <si>
    <t>G minus E s</t>
  </si>
  <si>
    <t>Ground deadline share</t>
  </si>
  <si>
    <t>Edge deadline share</t>
  </si>
  <si>
    <t>Ground stale-flag share</t>
  </si>
  <si>
    <t>Edge stale-flag share</t>
  </si>
  <si>
    <t>Cell audit max error</t>
  </si>
  <si>
    <t>Inherited v9 assumption</t>
  </si>
  <si>
    <t>Synthetic workload sensitivity</t>
  </si>
  <si>
    <t>Synthetic reduction sensitivity</t>
  </si>
  <si>
    <t>Synthetic compute sensitivity</t>
  </si>
  <si>
    <t>Verification: equal paths</t>
  </si>
  <si>
    <t>SOURCE PROVENANCE | reproducible, read-only originals</t>
  </si>
  <si>
    <t>Drive sources were read through the connected repository and materialized for analysis. This output has not been uploaded as a passed configuration.</t>
  </si>
  <si>
    <t>Role</t>
  </si>
  <si>
    <t>Artifact</t>
  </si>
  <si>
    <t>SHA-256 / identity</t>
  </si>
  <si>
    <t>Owned Drive source</t>
  </si>
  <si>
    <t>Primary source / documentation</t>
  </si>
  <si>
    <t>Use in this experiment</t>
  </si>
  <si>
    <t>Integrity / limitation</t>
  </si>
  <si>
    <t>dataset.csv</t>
  </si>
  <si>
    <t>b524177da6f516d5c9f63c7acbc385341f0ad42046ef20c1bed2d25e51b98f02</t>
  </si>
  <si>
    <t>https://drive.google.com/file/d/1U0kTu5y5RHwJcn3jaU68f_NHaArL2Fz9/view</t>
  </si>
  <si>
    <t>https://doi.org/10.5281/zenodo.15108715</t>
  </si>
  <si>
    <t>2,123 segment records; all count/duration joins verified</t>
  </si>
  <si>
    <t>Original bytes unchanged</t>
  </si>
  <si>
    <t>segments.csv</t>
  </si>
  <si>
    <t>d5201e9e751eb2a53a0ff7c11567dc4239f594ea4b479b2aa66fe67ddcbcb9ba</t>
  </si>
  <si>
    <t>https://drive.google.com/file/d/1lu8sNyRVO4GP96sGgrQDz91zSI9x_k7m/view</t>
  </si>
  <si>
    <t>303,493 raw rows; 120 segment rows preserved, 111 in bounded window</t>
  </si>
  <si>
    <t>OPS-SAT_2022-01-26_to_2022-01-29_COMPLETE.json</t>
  </si>
  <si>
    <t>7451f659bb863938199724708670b44af95acbfded3eb393aa5073264f41cca0</t>
  </si>
  <si>
    <t>https://drive.google.com/file/d/1H2EZ-HktZn2zLKIqqmWKHFd6ORs0OiSy/view</t>
  </si>
  <si>
    <t>https://db.satnogs.org/api/telemetry/?satellite=44878</t>
  </si>
  <si>
    <t>560 archived; 101 bounded; 100 decoded admissions; 1 rejected header; 61 canonical beacons</t>
  </si>
  <si>
    <t>omni_min_hOnlv3ZjMa 2.txt</t>
  </si>
  <si>
    <t>d2e3a5be3876fbb94e8de0f15e5726f21de4b424f3249b10cc7a30e658a8aabd</t>
  </si>
  <si>
    <t>https://drive.google.com/file/d/1N-ogKIiKW2NBYmWtlDOxaYp3j4st_hzg/view</t>
  </si>
  <si>
    <t>https://omniweb.gsfc.nasa.gov/form/omni_min.html</t>
  </si>
  <si>
    <t>120 rows; 13 intersecting minute bins; 4 raw plasma-fill rows outside target</t>
  </si>
  <si>
    <t>ENV schema</t>
  </si>
  <si>
    <t>omni_min_hOnlv3ZjMa.fmt.txt</t>
  </si>
  <si>
    <t>ed6976f083a6d599c17fc6f4fc3474ffa8fc2a30d6344b096d81806bca3df2f3</t>
  </si>
  <si>
    <t>https://drive.google.com/file/d/1bzfAkCNiNM1HwnogFEFB72oxyw5HVmxA/view</t>
  </si>
  <si>
    <t>https://omniweb.gsfc.nasa.gov/html/omni_min_data.html</t>
  </si>
  <si>
    <t>16 raw columns, including four calendar fields</t>
  </si>
  <si>
    <t>MODEL</t>
  </si>
  <si>
    <t>Carlo Work v9(7).xlsx</t>
  </si>
  <si>
    <t>18678c1d2273341ee400cac28f192490170809d6660e9d39a78335eb24bf9392</t>
  </si>
  <si>
    <t>User attachment</t>
  </si>
  <si>
    <t>Governing formula engine</t>
  </si>
  <si>
    <t>PRIOR AI FIT</t>
  </si>
  <si>
    <t>Carlo Work v9 — OPS-SAT AI-ML Data Fit Experiment 01 — 2026-09-21 v01.xlsx</t>
  </si>
  <si>
    <t>15c18a2aa3f3d65476c2ded2d20bd08fd65136c65bdcd8bf904d52efd8ea84a6</t>
  </si>
  <si>
    <t>Reference only; not substituted for raw CSV</t>
  </si>
  <si>
    <t>PRIOR HYBRID</t>
  </si>
  <si>
    <t>Carlo Work v9 — ENV-COMM-AI-ML Hybrid Prototype — 2026-09-21 v01.xlsx</t>
  </si>
  <si>
    <t>0ac96bf11dfb4233eb93248e18689b7b9f3f3ff36467c49aec830a4b6bc7e9ba</t>
  </si>
  <si>
    <t>Reference only; non-simultaneous Rep+Entity join</t>
  </si>
  <si>
    <t>DOC</t>
  </si>
  <si>
    <t>NASA OMNI high-resolution data documentation</t>
  </si>
  <si>
    <t>Not a dataset checksum</t>
  </si>
  <si>
    <t>Bow-shock time tags, fill values, PFN interpolation semantics</t>
  </si>
  <si>
    <t>Consulted 2026-09-23; no environmental coupling imposed</t>
  </si>
  <si>
    <t>ESA OPS-SAT UHF telemetry analysis</t>
  </si>
  <si>
    <t>https://opssat.esa.int/ops-sat-1/docs/tm_analysis.html</t>
  </si>
  <si>
    <t>Background RSSI is measured by the onboard receiver; not downlink throughput</t>
  </si>
  <si>
    <t>2024 analysis used for semantic caution only, not substituted for 2022 data</t>
  </si>
  <si>
    <t>DECODER SOURCE</t>
  </si>
  <si>
    <t>Uploaded ksy/opssat1.ksy</t>
  </si>
  <si>
    <t>f31c5b9b813222376193e45a4a23c937683be3adeb5b7833ad84e623c0e2214b</t>
  </si>
  <si>
    <t>satnogs-decoders-master.zip (user upload)</t>
  </si>
  <si>
    <t>https://gitlab.com/librespacefoundation/satnogs/satnogs-decoders/-/blob/master/ksy/opssat1.ksy</t>
  </si>
  <si>
    <t>Field order/types, frame identification, preprocessing and CSP layout</t>
  </si>
  <si>
    <t>Executed via schema-driven adapter, not Kaitai compiler; uploaded source unchanged</t>
  </si>
  <si>
    <t>ESA gr-opssat README</t>
  </si>
  <si>
    <t>External documentation; not a source-data checksum</t>
  </si>
  <si>
    <t>https://github.com/esa/gr-opssat</t>
  </si>
  <si>
    <t>Identifies 4-byte CRC32-C after CSP packet</t>
  </si>
  <si>
    <t>Only 110-byte frames retain the checked trailer; no AX.25 FCS or RS parity test claimed</t>
  </si>
  <si>
    <t>PREPROCESSOR</t>
  </si>
  <si>
    <t>satnogsdecoders/process/scrambler.py</t>
  </si>
  <si>
    <t>7da9e44d5da299d6dc43b3c2b7e30e96874e2653418430944aa8fdf4bf3e3ee4</t>
  </si>
  <si>
    <t>User ZIP</t>
  </si>
  <si>
    <t>Unchanged uploaded Scrambler(0xa9,0xff,7)</t>
  </si>
  <si>
    <t>Directly executed for scrambled frames</t>
  </si>
  <si>
    <t>DECODER ARCHIVE</t>
  </si>
  <si>
    <t>satnogs-decoders-master.zip</t>
  </si>
  <si>
    <t>54f1470dff5a47f62e0133f2ca02ab683a9e5d69768490b5ee5ceb48901cc44b</t>
  </si>
  <si>
    <t>User upload</t>
  </si>
  <si>
    <t>Snapshot preserved; raw sources never replaced</t>
  </si>
  <si>
    <t>No repository revision inferred beyond this checksum</t>
  </si>
  <si>
    <t>EXECUTION</t>
  </si>
  <si>
    <t>decode_comm.py</t>
  </si>
  <si>
    <t>71ef1ac9f1244da6ec6becb6df55f912775787e5e2ca785d19e6703d79a52361</t>
  </si>
  <si>
    <t>Reproducibility package</t>
  </si>
  <si>
    <t>Schema-driven adapter + independent signed-byte reader + CRC32-C</t>
  </si>
  <si>
    <t>No pretense that the Kaitai compiler or MATLAB was executed</t>
  </si>
  <si>
    <t>PRIOR CONFIGURATION</t>
  </si>
  <si>
    <t>Simultaneous OPS-SAT ACE v01 HOLD</t>
  </si>
  <si>
    <t>277ec2185b59be1db5ba32d199e999c396513bb5e0a3171d1d5039e9bae11263</t>
  </si>
  <si>
    <t>Prior attached artifact</t>
  </si>
  <si>
    <t>Preserved unchanged; v02 replaces the open decoder decision only</t>
  </si>
  <si>
    <t>Original v9 and raw data hashes unchanged</t>
  </si>
  <si>
    <t>MATLAB / SIMEVENTS | synchronized state-data Baseline 2, v02</t>
  </si>
  <si>
    <t>Implementation and regression instructions. MATLAB was not executed here. Data ingestion and queue-regression work may proceed without treating the current performance outputs as empirical findings.</t>
  </si>
  <si>
    <t>Step</t>
  </si>
  <si>
    <t>Work package</t>
  </si>
  <si>
    <t>Implementation instruction</t>
  </si>
  <si>
    <t>Acceptance / research boundary</t>
  </si>
  <si>
    <t>1</t>
  </si>
  <si>
    <t>Configuration</t>
  </si>
  <si>
    <t>Use v02 as the QUALIFIED synchronized state-data / conditional-DES regression baseline.</t>
  </si>
  <si>
    <t>Do not rename it a measured COMM-performance model. Baseline 1 stays separate.</t>
  </si>
  <si>
    <t>2</t>
  </si>
  <si>
    <t>Raw import</t>
  </si>
  <si>
    <t>Read dataset.csv, segments.csv, bounded SatNOGS JSON and the OMNI data+format file. Verify source SHA-256.</t>
  </si>
  <si>
    <t>Keep originals immutable; preserve raw row IDs, UTC strings, raw frame hex, quality and field units.</t>
  </si>
  <si>
    <t>3</t>
  </si>
  <si>
    <t>Candidate cohort</t>
  </si>
  <si>
    <t>Use 2022-01-28 17:42:49–17:54:19 UTC inclusive. Recover six segments and 111 samples.</t>
  </si>
  <si>
    <t>Preserve full segment context and record two boundary-clipped segments; never relabel features as online measurements.</t>
  </si>
  <si>
    <t>4</t>
  </si>
  <si>
    <t>As-of rule</t>
  </si>
  <si>
    <t>For each telemetry timestamp, select the latest preceding reception timestamp. Accept age ≤10 seconds.</t>
  </si>
  <si>
    <t>100 accepted, 11 rejected. Median distinct COMM cadence is 10 s; this is an analyst freshness rule, not a clock-error guarantee.</t>
  </si>
  <si>
    <t>5</t>
  </si>
  <si>
    <t>ENV context</t>
  </si>
  <si>
    <t>Join to the UTC minute average. Preserve all eight variables, IDs and PFN timing metadata.</t>
  </si>
  <si>
    <t>Retrospective bow-shock context only. Never turn the 100% PFN interpolation flag into a blanket missing-value rule.</t>
  </si>
  <si>
    <t>6</t>
  </si>
  <si>
    <t>Entity generation</t>
  </si>
  <si>
    <t>One retained telemetry sample becomes one modeled observation; replay its exact offset from the origin.</t>
  </si>
  <si>
    <t>100 distinct observations; ten service-seed replications do not create 1,000 distinct measurements.</t>
  </si>
  <si>
    <t>7</t>
  </si>
  <si>
    <t>Matched random draws</t>
  </si>
  <si>
    <t>X0=54321+1000*rep; Xn=mod(16807*Xn-1,2147483647); U=Xn/2147483647.</t>
  </si>
  <si>
    <t>Ground service=-4*ln(U); Edge=-12*ln(U), except stated sensitivities. No anomaly-dependent service adjustment.</t>
  </si>
  <si>
    <t>8</t>
  </si>
  <si>
    <t>SimEvents topology</t>
  </si>
  <si>
    <t>Ground: link queue/server → ground compute queue/server → common endpoint. Edge: onboard queue/server → link queue/server → same endpoint.</t>
  </si>
  <si>
    <t>FCFS start=max(arrival, previous finish). Preserve the exact v9 non-resumable-window calculation during regression.</t>
  </si>
  <si>
    <t>9</t>
  </si>
  <si>
    <t>Assumption boundary</t>
  </si>
  <si>
    <t>Primary: 300 MB raw, 0.25 output fraction, 100 Mbps, 0.02 s propagation, 600 s up /120 s down.</t>
  </si>
  <si>
    <t>All synthetic. Source telemetry values and ENV state are attributes; they do not secretly alter these values.</t>
  </si>
  <si>
    <t>10</t>
  </si>
  <si>
    <t>Staleness compatibility</t>
  </si>
  <si>
    <t>Reproduce the v9 post-hoc 900 s stale flag and 120 s deadline before changing the engine.</t>
  </si>
  <si>
    <t>Jobs are not actually cancelled from queues in v9. A cancellation/buffer model is a new version, not an unannounced correction.</t>
  </si>
  <si>
    <t>11</t>
  </si>
  <si>
    <t>Horizon</t>
  </si>
  <si>
    <t>Input observation span is 690 s; simulated draining can continue after the observed interval.</t>
  </si>
  <si>
    <t>Any post-window schedule is synthetic. Future measured link traces must be sampled at service time, not blindly carried forward.</t>
  </si>
  <si>
    <t>12</t>
  </si>
  <si>
    <t>Regression tests</t>
  </si>
  <si>
    <t>Reproduce all primary run-sheet numeric cells to absolute tolerance 1e-6, flags exactly.</t>
  </si>
  <si>
    <t>Test 1 MB, no reduction, slow edge, and identical architecture. The identical case must be zero for all paired completions.</t>
  </si>
  <si>
    <t>13</t>
  </si>
  <si>
    <t>Statistical interpretation</t>
  </si>
  <si>
    <t>Ten paired runs quantify only synthetic service-draw variation conditional on the same source trace.</t>
  </si>
  <si>
    <t>No pass-level generalization, environmental causation, calibrated latency, or empirical architecture-effect claim.</t>
  </si>
  <si>
    <t>14</t>
  </si>
  <si>
    <t>COMM decoder completed</t>
  </si>
  <si>
    <t>Use COMM_Beacons and the accepted decoded CSV; preserve raw JSON row IDs, beacon IDs and CRC flags.</t>
  </si>
  <si>
    <t>100 accepted receptions; one invalid AX.25 header excluded; 61 canonical beacons; 18 fields.</t>
  </si>
  <si>
    <t>15</t>
  </si>
  <si>
    <t>Field-admission implemented</t>
  </si>
  <si>
    <t>Attach decoded fields to the existing 100 paired entities. Reproduce counter deltas with reboot/wrap screens.</t>
  </si>
  <si>
    <t>No activity-rate-to-capacity substitution. No RSSI threshold-to-outage mapping or raw timestamp-to-delay conversion.</t>
  </si>
  <si>
    <t>16</t>
  </si>
  <si>
    <t>Historical performance gate</t>
  </si>
  <si>
    <t>Validate rate/delay/availability inputs, workload bytes, and compute/reduction assumptions as needed for the intended claim.</t>
  </si>
  <si>
    <t>Synthetic values remain allowed for controlled scenario experiments, but the workbook must not be presented as a measured OPS-SAT performance result.</t>
  </si>
  <si>
    <t>17</t>
  </si>
  <si>
    <t>Release</t>
  </si>
  <si>
    <t>Qualified state-data prototype; suitable for shared review and MATLAB regression.</t>
  </si>
  <si>
    <t>No historical performance conclusion; no automatic advisor email; preserve v01 and original raw files.</t>
  </si>
  <si>
    <t>18</t>
  </si>
  <si>
    <t>Implementation provenance</t>
  </si>
  <si>
    <t>Adapter reads field definitions from the supplied KSY and executes the supplied Scrambler. Kaitai compiler not run.</t>
  </si>
  <si>
    <t>CRC32-C confirms 65 longer frames; independent numeric reader agrees on 1,800 field values.</t>
  </si>
  <si>
    <t>19</t>
  </si>
  <si>
    <t>QC sensitivity</t>
  </si>
  <si>
    <t>Retain full qualified 100-row cohort; provide optional 90-row CRC-only cohort as a distinct configuration.</t>
  </si>
  <si>
    <t>Do not mix 100-row and 90-row performance outputs or count either as additional independent evidence.</t>
  </si>
  <si>
    <t>20</t>
  </si>
  <si>
    <t>Active model behavior</t>
  </si>
  <si>
    <t>Keep inherited Settings values unchanged; new COMM fields are covariates/state attributes.</t>
  </si>
  <si>
    <t>Primary and sensitivity outputs are unchanged because no new performance mapping has been established.</t>
  </si>
  <si>
    <t>CONTROLLED CHANGES | v01 diagnostic</t>
  </si>
  <si>
    <t>Rows 6–15 document historical v01. New v02 actions start below; no original or prior configuration was overwritten.</t>
  </si>
  <si>
    <t>Change</t>
  </si>
  <si>
    <t>Area</t>
  </si>
  <si>
    <t>What changed</t>
  </si>
  <si>
    <t>Control / limitation</t>
  </si>
  <si>
    <t>01</t>
  </si>
  <si>
    <t>Original preservation</t>
  </si>
  <si>
    <t>v9(7), prior hybrid, prior AI fit and all five raw source files retained byte-for-byte.</t>
  </si>
  <si>
    <t>New workbook only; no Drive mutation.</t>
  </si>
  <si>
    <t>02</t>
  </si>
  <si>
    <t>Source join</t>
  </si>
  <si>
    <t>Replace arbitrary Rep+Entity cross-source pairing with a bounded UTC as-of association and minute-bin ENV context.</t>
  </si>
  <si>
    <t>10 s freshness rule; 100 accepted observations; 11 rejections retained.</t>
  </si>
  <si>
    <t>03</t>
  </si>
  <si>
    <t>Arrival mapping</t>
  </si>
  <si>
    <t>Replace synthetic exponential arrival times with accepted telemetry-time offsets.</t>
  </si>
  <si>
    <t>Replay design, not measured inference-task demand.</t>
  </si>
  <si>
    <t>04</t>
  </si>
  <si>
    <t>Active parameter honesty</t>
  </si>
  <si>
    <t>Retain legacy performance assumptions explicitly instead of pretending reception metadata supplies them.</t>
  </si>
  <si>
    <t>This is why release is HOLD, not a full empirical data-fit pass.</t>
  </si>
  <si>
    <t>05</t>
  </si>
  <si>
    <t>Formula portability</t>
  </si>
  <si>
    <t>Expand every shared recurrence; replace OFFSET aggregates with explicit ranges for the frozen cohort; use T.INV(1-alpha/2,df).</t>
  </si>
  <si>
    <t>Original Excel TINV formula was correct. Changes address calculation-runtime compatibility and are independently checked.</t>
  </si>
  <si>
    <t>06</t>
  </si>
  <si>
    <t>Controlled cohort</t>
  </si>
  <si>
    <t>Freeze 100-source-observation cohort and ten conditional replications for this version.</t>
  </si>
  <si>
    <t>Changing cohort/tolerance/replication count requires regeneration; validation flags inconsistent edits.</t>
  </si>
  <si>
    <t>07</t>
  </si>
  <si>
    <t>Staleness labeling</t>
  </si>
  <si>
    <t>Retain legacy post-hoc stale flags; label completion-time means as including stale-flagged jobs.</t>
  </si>
  <si>
    <t>No hidden correction to queue cancellation behavior.</t>
  </si>
  <si>
    <t>08</t>
  </si>
  <si>
    <t>Verification</t>
  </si>
  <si>
    <t>Run five spreadsheet scenarios and compare 220,000 numeric cells to an independently implemented recurrence.</t>
  </si>
  <si>
    <t>Maximum absolute difference 1.819e-12; identical-case difference 0.</t>
  </si>
  <si>
    <t>09</t>
  </si>
  <si>
    <t>Source-fit judgment</t>
  </si>
  <si>
    <t>Chronological association and model mechanics pass; validated decoded COMM field mapping remains open.</t>
  </si>
  <si>
    <t>No hypothesis conclusion; no upload as a passed configuration.</t>
  </si>
  <si>
    <t>Bounded workbook reconstruction</t>
  </si>
  <si>
    <t>Original nine worksheet interfaces rebuilt with bounded ranges for export; same validated v9 recurrence and source values. Original uploaded workbook unchanged.</t>
  </si>
  <si>
    <t>Detailed 5,000 entity snapshots supplied as CSV; 50 per-run archived summaries in workbook.</t>
  </si>
  <si>
    <t>v02-01</t>
  </si>
  <si>
    <t>Decoder closure</t>
  </si>
  <si>
    <t>Execute uploaded schema + descrambler; check retained CRC32-C; compare all fields with a second byte reader.</t>
  </si>
  <si>
    <t>100/101 records admitted. One malformed AX.25 header rejected; raw record preserved.</t>
  </si>
  <si>
    <t>v02-02</t>
  </si>
  <si>
    <t>Canonical deduplication</t>
  </si>
  <si>
    <t>Normalize short and scrambled frames to the same 58-byte header+beacon representation.</t>
  </si>
  <si>
    <t>61 distinct beacons; 25 cross-format matches; no same-time payload conflicts.</t>
  </si>
  <si>
    <t>v02-03</t>
  </si>
  <si>
    <t>Source-fit result</t>
  </si>
  <si>
    <t>Admit 18 radio attributes and counter-activity proxies; retain unknown code/time semantics.</t>
  </si>
  <si>
    <t>Qualified simultaneous state-data fit. No empirical capacity/delay/outage mapping has been manufactured.</t>
  </si>
  <si>
    <t>v02-04</t>
  </si>
  <si>
    <t>Synchronization / DES</t>
  </si>
  <si>
    <t>Keep the 100 original source samples and their arrival offsets; update witnesses and expose quality.</t>
  </si>
  <si>
    <t>Five independent scenario reruns unchanged. Primary v02 workbook numeric regression checked separately.</t>
  </si>
  <si>
    <t>v02-05</t>
  </si>
  <si>
    <t>Release qualification</t>
  </si>
  <si>
    <t>Publish as a clearly labeled synchronized state-data prototype for shared review.</t>
  </si>
  <si>
    <t>Conditional model, not full performance calibration or hypothesis evidence. Original files preserved.</t>
  </si>
  <si>
    <t>Front page</t>
  </si>
  <si>
    <t>Added DASHBOARD as the first sheet: sections A to E (ACE inputs, ENV/COMM snapshot, scenario controls, Ground vs Edge results, distributions) with the latency histogram and the common ACE timeline.</t>
  </si>
  <si>
    <t>Live references to Protocol, Settings, Replications, Comparison and Scenario_Snapshots. No existing sheet, formula or attribution changed.</t>
  </si>
  <si>
    <t>Distribution view</t>
  </si>
  <si>
    <t>Added Latency_Bins. Bin width is an input; counts gate on the entities input so unused grid rows are excluded.</t>
  </si>
  <si>
    <t>Histogram is simulation output, not measurement.</t>
  </si>
  <si>
    <t>Source lineage</t>
  </si>
  <si>
    <t>Added A_Run_Snapshot, C_Run_Snapshot and E_Run_Snapshot for the three 2026-09-21 data-fit runs, each with a ten-row unchanged sample.</t>
  </si>
  <si>
    <t>Retained for traceability only. Those runs are from different periods and are not inputs to the synchronized cohort.</t>
  </si>
  <si>
    <t>Compatibility fix</t>
  </si>
  <si>
    <t>Comparison B13 and B27 stored T.INV without the _xlfn prefix the file format requires, which breaks those cells once the workbook recalculates. Rewritten as _xlfn.T.INV.</t>
  </si>
  <si>
    <t>Same mathematics and the same value, 2.2621571582187. No other formula touched.</t>
  </si>
  <si>
    <t>Charts</t>
  </si>
  <si>
    <t>The two original line charts were recreated after the workbook was rewritten: onboard background RSSI on INTRO and the common ACE timeline on Common_Timeline.</t>
  </si>
  <si>
    <t>Same data ranges as before. Chart formatting may differ slightly from v02.</t>
  </si>
  <si>
    <t>COMM | accepted decoded reception records</t>
  </si>
  <si>
    <t>100 accepted receptions. One malformed AX.25 header is excluded in COMM_Rejected. 65 retained CRC32-C values pass; short frames retain their no-CRC quality flag.</t>
  </si>
  <si>
    <t>Frame bytes</t>
  </si>
  <si>
    <t>Representation</t>
  </si>
  <si>
    <t>CRC32-C</t>
  </si>
  <si>
    <t>Raw-frame SHA256</t>
  </si>
  <si>
    <t>Beacon SHA256</t>
  </si>
  <si>
    <t>Original frame hex</t>
  </si>
  <si>
    <t>CRC received hex</t>
  </si>
  <si>
    <t>CRC computed hex</t>
  </si>
  <si>
    <t>SCRAMBLED_110</t>
  </si>
  <si>
    <t>c8019ca0c10a54cb63e57546fc3c4b44bd7aff42d76985f4d3e993a59167741a</t>
  </si>
  <si>
    <t>70078562</t>
  </si>
  <si>
    <t>1b4d3c79de5baadb2e017d2062536e8b920bec6c950ba2a95769e255cc1dacdc</t>
  </si>
  <si>
    <t>6C0C2E3A</t>
  </si>
  <si>
    <t>291e25a4f4d9178fbe0778df424a264210baf4e368529f4d40e75f5891c430ee</t>
  </si>
  <si>
    <t>D20C55FC</t>
  </si>
  <si>
    <t>0c019a8148780265fa1533d13557969018dc5fdaba836a2c50136163e208f10f</t>
  </si>
  <si>
    <t>7E06CE5C</t>
  </si>
  <si>
    <t>PREPROCESSED_74</t>
  </si>
  <si>
    <t>4f6df9a7af9d4798dc766536a353d4bcbe74d1d13153843fbed1238cdfd1b89e</t>
  </si>
  <si>
    <t>18a36d14750ac750c857915b5313cb076d6f2940c410b38bdfdbc5813dfe7f7f</t>
  </si>
  <si>
    <t>3F4F6AB9</t>
  </si>
  <si>
    <t>eb2f1b56d0963cea3d679f47dfad4a7af6d1c901757aba4a76a95bd04fda6d4d</t>
  </si>
  <si>
    <t>46d1e249d52d8035219a06c6e7ab66719e532d356646c081e76bf95f15019d2c</t>
  </si>
  <si>
    <t>37D24C9E</t>
  </si>
  <si>
    <t>0400f7d2b6764bdd81eb984a9baef3a6ff67d5b71144bb4ccc1f4bd67ad75053</t>
  </si>
  <si>
    <t>F396F3D4</t>
  </si>
  <si>
    <t>2509dfd6ce8e8addda86e30890e4786c675dab626ce93bfbfab3ffff02804050</t>
  </si>
  <si>
    <t>47D5BD44</t>
  </si>
  <si>
    <t>cd95d83c6041d9d15ab34c045e9397e1ed532e19d0ca46f7c93fec7f3eb938a5</t>
  </si>
  <si>
    <t>B116D0A4</t>
  </si>
  <si>
    <t>91d6d026636e00b218aec44935a358cc59af205f8ecd34d2319d53016215058a</t>
  </si>
  <si>
    <t>FC37F1E6</t>
  </si>
  <si>
    <t>2ed31dbb088391d4831253663dafecc4e56701af46faadfc948d6e98ee349cb1</t>
  </si>
  <si>
    <t>9b64f63af05b30bb35e00bea8a2a63f74bbb7ea01d320ed84dcf3de8697fc2ed</t>
  </si>
  <si>
    <t>1B5191F6</t>
  </si>
  <si>
    <t>50f9ce58ff45534425089d23ac1967142b08c9bdbbae0d2f8c800bc9ac4a17e5</t>
  </si>
  <si>
    <t>00D6FA4E</t>
  </si>
  <si>
    <t>398a3482047407de324178ba7856bba9df76f7bb1c49e5c494ec653002e94ef9</t>
  </si>
  <si>
    <t>F00EF22C</t>
  </si>
  <si>
    <t>efc01b20f2637a5435319fd43671e37d7ee3434e7b2d919204f32d0b5be2f9f0</t>
  </si>
  <si>
    <t>154B9411</t>
  </si>
  <si>
    <t>10172d20c4723d0cd07ae1284148e4caafbd7385654c50e429cf41642174d83f</t>
  </si>
  <si>
    <t>A1B98620</t>
  </si>
  <si>
    <t>d3b968e77c5a7e473653415a8889ce07e492f2c17771a6f1bb52bc4469b55bfa</t>
  </si>
  <si>
    <t>005e50d7c5c839a9232570905baafaccf4910f33179b663da4a4d127f99acb5a</t>
  </si>
  <si>
    <t>B67B41F8</t>
  </si>
  <si>
    <t>2ea4a98772013c691ba287538a0b73b7eeac241191596a703492bd523910865c</t>
  </si>
  <si>
    <t>2FB2AD2E</t>
  </si>
  <si>
    <t>ef20732e898d1992857b1780568876eb607befa6aa52dded699c9d2934cf279a</t>
  </si>
  <si>
    <t>8A745DED</t>
  </si>
  <si>
    <t>b1a51b88aebacf863071b81f27fa1fd823ac38835cd27d3e8eb22203a1f7bec2</t>
  </si>
  <si>
    <t>0CACDD65</t>
  </si>
  <si>
    <t>ada6f9ccd7ef517fe6acebc54eecae31edbc09308d9c506704d8e26b0efab119</t>
  </si>
  <si>
    <t>22dee5f137edc006ae5e70518762af59507c292db486dc5cc989268e5a331718</t>
  </si>
  <si>
    <t>F3C1D5CC</t>
  </si>
  <si>
    <t>98545f636056703581a3f8823969531ab0a87283a4329927f873c5cbf1df655d</t>
  </si>
  <si>
    <t>F737782A</t>
  </si>
  <si>
    <t>2dd14d3ca257bf21f46a5b8de2065d7cd59e4869d9fc3c5d2011e623ca5d8bbc</t>
  </si>
  <si>
    <t>4C800EFA</t>
  </si>
  <si>
    <t>863c363560c30ae9efba5e7820c454a2b24e07bfea5c1ffddcae462e0ed4e614</t>
  </si>
  <si>
    <t>5C630943</t>
  </si>
  <si>
    <t>7d3d62dcfe09a977bdb925b7998ce80c8c2656729ca786b4795e1b70215d9475</t>
  </si>
  <si>
    <t>a8c391ea8eda2792ab9fbc5ea128384474d5d7b85233cb0634bac3f58c40a557</t>
  </si>
  <si>
    <t>B16F7B8C</t>
  </si>
  <si>
    <t>f2575d1f4e68da027632ff2d4cf5969eb1eb5f8870c552a7a117077896987442</t>
  </si>
  <si>
    <t>88E56688</t>
  </si>
  <si>
    <t>394dae6330472a9586cf0cba15d455ecf025be72b2acedce0208c9ee74679979</t>
  </si>
  <si>
    <t>83235395</t>
  </si>
  <si>
    <t>6dac5d8e7fe8862c7065c274e4de77265d0430e7cc9b2546fa55d8d6d79ba56e</t>
  </si>
  <si>
    <t>FBCEF066</t>
  </si>
  <si>
    <t>7fca90c259044777c258fed73149b8a09607047d7aaabaad29832c936ba49324</t>
  </si>
  <si>
    <t>3EF5C96B</t>
  </si>
  <si>
    <t>06ce46c6592e7fe663b1bde38a597646958dbd7d7c79755c0381fe72ffcf9e2f</t>
  </si>
  <si>
    <t>1198C590</t>
  </si>
  <si>
    <t>34dc2e56cc9a6b2eff525144d477d6be6fac7d767d74df7e0a9f9abff10bdd20</t>
  </si>
  <si>
    <t>1F71E9A3</t>
  </si>
  <si>
    <t>860252e67b9d3f2da27b9dfe35e32245fa33ff01e92c3f5eb2faae05a208df88</t>
  </si>
  <si>
    <t>FBB72AA6</t>
  </si>
  <si>
    <t>4ad1f19a2023058cbd08fd6cc4d2896a25231711d357fc5963df45e150b3aaf1</t>
  </si>
  <si>
    <t>4CAE9EDB</t>
  </si>
  <si>
    <t>1ea06b1101a4ff3a1881b9a50d9267d47e5f42f96f45575fd640b1ec55d4a389</t>
  </si>
  <si>
    <t>d7c1ba1b432fe6fb3af41de555a9eeb7013150ad5473a0a53804387a3768f77f</t>
  </si>
  <si>
    <t>28231F5F</t>
  </si>
  <si>
    <t>1224daeed3345b9852131a9c488affd66ae6755d005445800e5e59e99e0626ea</t>
  </si>
  <si>
    <t>2498DD69</t>
  </si>
  <si>
    <t>02cad7396142a8fd6bd03253d829b156afe9965b80bdb0c1efaf175d3296dba2</t>
  </si>
  <si>
    <t>5DB264AB</t>
  </si>
  <si>
    <t>2034a1cbbe5416b3f0d94fa63551a529607f15d3d948c9578f2dbd8a9dc21cbf</t>
  </si>
  <si>
    <t>023892BF</t>
  </si>
  <si>
    <t>46b350b7c56980914770985c93ca4783c25ed3c07b9ea9a944aa250529a69e9f</t>
  </si>
  <si>
    <t>A2DE484C</t>
  </si>
  <si>
    <t>c433598891c30315a21f6d9ee6e1dfcc0f1ee56f5aa75928d6df06d5f9940e7e</t>
  </si>
  <si>
    <t>F965E55A</t>
  </si>
  <si>
    <t>17590310677129d0434b95b6c96e8bcf41668486ded4fe75137e36669209b1fc</t>
  </si>
  <si>
    <t>C4742E97</t>
  </si>
  <si>
    <t>fb05dc4e4a4dbab70f339fb36a1c29f1b7d3af038494c138d8a7ea4516fa1075</t>
  </si>
  <si>
    <t>B01AD8FB</t>
  </si>
  <si>
    <t>5efbfd072c3e1969fdb661f76bf946922e51ac138f097a73be341da27966babc</t>
  </si>
  <si>
    <t>4AE68E8C</t>
  </si>
  <si>
    <t>3b68efcb5b7f1925b97f1382f043eaca62d93a048622f0a038547cd38719f50c</t>
  </si>
  <si>
    <t>DA2931FC</t>
  </si>
  <si>
    <t>8fed3a63f458853b5b1f4b948546c4351e57ff8ada45ed6d54012b6fc781e624</t>
  </si>
  <si>
    <t>21637B29</t>
  </si>
  <si>
    <t>db2e28df8a53c6b56664be8e9d168a12ad6327920efc5da011e3b428d494966e</t>
  </si>
  <si>
    <t>0FCC0985</t>
  </si>
  <si>
    <t>093fb6be8e587ddb864499c6e39dd64dbd8042929a1b2903ff7526b79216598d</t>
  </si>
  <si>
    <t>731D23E3</t>
  </si>
  <si>
    <t>05d3007813a071d70460a98958cdc791f0bb6826a925226260ea3f7083591f7d</t>
  </si>
  <si>
    <t>C4A70E84</t>
  </si>
  <si>
    <t>78017da9dbb7435ee28b2ff295798e2e081bd0163e0c1c6043317867371bbba2</t>
  </si>
  <si>
    <t>9609B025</t>
  </si>
  <si>
    <t>53bb832568efa806c7048a4e0ee569304cf253b8c0d2a61f970bb620c773b262</t>
  </si>
  <si>
    <t>2649FF79</t>
  </si>
  <si>
    <t>49405a7588d1f3ea6fd5eef2219045b66f9905c911b22c3b5097f890c27f7b59</t>
  </si>
  <si>
    <t>692D1BC8</t>
  </si>
  <si>
    <t>fa4369a99cc540d834cd21628a95cac49f6104b881030e6936c54d609f4a9f44</t>
  </si>
  <si>
    <t>501339E0</t>
  </si>
  <si>
    <t>a9ae6ac1f7bc702d5eca1f18e983cdc35ac7405357e20a3db23ba5484c9198e2</t>
  </si>
  <si>
    <t>A0427517</t>
  </si>
  <si>
    <t>313b125bc6e1d6861bdb6c8e11f7d165bba1b70ee0d0e7883aaf12fdcfeccb3b</t>
  </si>
  <si>
    <t>F72C7425</t>
  </si>
  <si>
    <t>b84db0c38de82d41042a79f0ca68f7d0adb61dc59e5df2bd3c996bbf3b4f2125</t>
  </si>
  <si>
    <t>9C7DA380</t>
  </si>
  <si>
    <t>e239640940967312302e733e249131a5539a2a1dc5fa254b33a87fadf9f404a2</t>
  </si>
  <si>
    <t>20CD2844</t>
  </si>
  <si>
    <t>COMM | 61 distinct beacon states</t>
  </si>
  <si>
    <t>Deduplicated by the 58-byte normalized CSP header + beacon content. 54 beacons have at least one CRC-verified reception; 7 have preprocessed-only evidence.</t>
  </si>
  <si>
    <t>Elapsed s</t>
  </si>
  <si>
    <t>Preferred JSON row</t>
  </si>
  <si>
    <t>Quality</t>
  </si>
  <si>
    <t>Reception count</t>
  </si>
  <si>
    <t>CRC-pass receptions</t>
  </si>
  <si>
    <t>Preprocessed receptions</t>
  </si>
  <si>
    <t>Canonical SHA256</t>
  </si>
  <si>
    <t>Observers</t>
  </si>
  <si>
    <t>ESA Academy @ESTEC-JO22ff | EU1XX-KO33ru</t>
  </si>
  <si>
    <t>DL5FAB VHF/UHF-JN49hu | EA6TC-JM19jn | ESA Academy @ESTEC-JO22ff | EU1XX-KO33ru</t>
  </si>
  <si>
    <t>EA6TC-JM19jn | ESA Academy @ESTEC-JO22ff | EU1XX-KO33ru</t>
  </si>
  <si>
    <t>EA6TC-JM19jn | ESA Academy @ESTEC-JO22ff</t>
  </si>
  <si>
    <t>DL5FAB VHF/UHF-JN49hu | EA6TC-JM19jn | EU1XX-KO33ru</t>
  </si>
  <si>
    <t>DL5FAB VHF/UHF-JN49hu | EU1XX-KO33ru</t>
  </si>
  <si>
    <t>DL5FAB VHF/UHF-JN49hu | EA6TC-JM19jn | ESA Academy @ESTEC-JO22ff</t>
  </si>
  <si>
    <t>DL5FAB VHF/UHF-JN49hu | EA6TC-JM19jn</t>
  </si>
  <si>
    <t>COMM | onboard counter activity — not link capacity</t>
  </si>
  <si>
    <t>Reception-time intervals; screen reboots, counter decreases and lifetime-counter consistency. *Unobserved increments are NOT a packet-loss estimate. No activity rate replaces Settings!B28.</t>
  </si>
  <si>
    <t>End beacon ID</t>
  </si>
  <si>
    <t>Interval s</t>
  </si>
  <si>
    <t>TX packet increment</t>
  </si>
  <si>
    <t>TX byte increment</t>
  </si>
  <si>
    <t>RX packet increment</t>
  </si>
  <si>
    <t>RX byte increment</t>
  </si>
  <si>
    <t>TX counter packets/s</t>
  </si>
  <si>
    <t>TX counter bytes/s</t>
  </si>
  <si>
    <t>TX counter bits/s</t>
  </si>
  <si>
    <t>Bytes / TX increment</t>
  </si>
  <si>
    <t>New observed beacon</t>
  </si>
  <si>
    <t>Unobserved increments*</t>
  </si>
  <si>
    <t>Reboot changed</t>
  </si>
  <si>
    <t>Counter decrease</t>
  </si>
  <si>
    <t>Lifetime deltas agree</t>
  </si>
  <si>
    <t>Interval eligible</t>
  </si>
  <si>
    <t>COMM | excluded original records</t>
  </si>
  <si>
    <t>No header repair or guessed spacecraft identity. JSON row 160 has a malformed AX.25 source callsign. Its payload repeats beacon 24 from a separate valid-header reception; that beacon still has no retained CRC.</t>
  </si>
  <si>
    <t>Reason for rejection</t>
  </si>
  <si>
    <t>Source callsign</t>
  </si>
  <si>
    <t>Payload duplicates an accepted beacon</t>
  </si>
  <si>
    <t>Matched beacon ID</t>
  </si>
  <si>
    <t>CRC corroboration</t>
  </si>
  <si>
    <t>Not an expected OPS-SAT UI data frame</t>
  </si>
  <si>
    <t>DP6/\S</t>
  </si>
  <si>
    <t>COMM | field-by-field admission</t>
  </si>
  <si>
    <t>PASS for synchronized radio state and counter-activity attributes. No active empirical capacity, propagation, outage or loss input is established. No arbitrary conversion of codes or timestamps.</t>
  </si>
  <si>
    <t>Field</t>
  </si>
  <si>
    <t>Unit / encoding</t>
  </si>
  <si>
    <t>Minimum</t>
  </si>
  <si>
    <t>Maximum</t>
  </si>
  <si>
    <t>v9 fit</t>
  </si>
  <si>
    <t>Permitted use</t>
  </si>
  <si>
    <t>Boundary / excluded inference</t>
  </si>
  <si>
    <t>Primary source</t>
  </si>
  <si>
    <t>raw integer / code</t>
  </si>
  <si>
    <t>Raw radio thermal state; no scale conversion admitted.</t>
  </si>
  <si>
    <t>No unit conversion or operational threshold imposed.</t>
  </si>
  <si>
    <t>raw RSSI value (retained)</t>
  </si>
  <si>
    <t>Last received-packet RSSI; all values -83 in this window.</t>
  </si>
  <si>
    <t>Potentially stale; not a current-signal measurement or downlink RSSI.</t>
  </si>
  <si>
    <t>Preserve raw value 257; interpretation/scaling not validated.</t>
  </si>
  <si>
    <t>Do not convert to packet-error rate or a Boolean failure.</t>
  </si>
  <si>
    <t>packets (onboard counter)</t>
  </si>
  <si>
    <t>PROXY FIT</t>
  </si>
  <si>
    <t>Counter deltas describe radio transmit activity.</t>
  </si>
  <si>
    <t>Not an end-to-end delivery or loss denominator.</t>
  </si>
  <si>
    <t>Onboard receive counter; not a downlink reception counter.</t>
  </si>
  <si>
    <t>bytes (onboard counter)</t>
  </si>
  <si>
    <t>Counter deltas describe transmitted volume/activity.</t>
  </si>
  <si>
    <t>Not link capacity, available bandwidth, ground goodput, or application-task size.</t>
  </si>
  <si>
    <t>Onboard received-byte counter.</t>
  </si>
  <si>
    <t>Observed configuration code 2.</t>
  </si>
  <si>
    <t>No unsupported mapping from code 2 to 'Up', 'Down', or rate.</t>
  </si>
  <si>
    <t>count/code</t>
  </si>
  <si>
    <t>Screen counter intervals for an observed reboot-number change.</t>
  </si>
  <si>
    <t>Unchanged value is a QC observation, not proof of uninterrupted link service.</t>
  </si>
  <si>
    <t>Retained entity attribute; no automatic effect on queues.</t>
  </si>
  <si>
    <t>Retain raw value 1035520017; epoch/unit not established.</t>
  </si>
  <si>
    <t>Do not convert to UTC, one-way latency, or a service/recovery interval.</t>
  </si>
  <si>
    <t>dBm</t>
  </si>
  <si>
    <t>Contemporaneous onboard receiver background-noise state.</t>
  </si>
  <si>
    <t>Not ground-received downlink signal or a validated throughput/outage function.</t>
  </si>
  <si>
    <t>Retain raw value 1; time scale/meaning not validated.</t>
  </si>
  <si>
    <t>Do not use as seconds, duty-cycle percent, airtime or availability.</t>
  </si>
  <si>
    <t>TX counter activity rate</t>
  </si>
  <si>
    <t>bytes/s</t>
  </si>
  <si>
    <t>Delta TX-byte counter / delta reception time; interval-weighted mean 9.4 B/s.</t>
  </si>
  <si>
    <t>Activity, not capacity. Reception-time jitter remains; no active v9 rate substitution.</t>
  </si>
  <si>
    <t>Link rate / capacity</t>
  </si>
  <si>
    <t>MISSING</t>
  </si>
  <si>
    <t>Keep Settings!B28 = 100 (SYNTHETIC).</t>
  </si>
  <si>
    <t>No measured throughput, bandwidth or goodput series supplied.</t>
  </si>
  <si>
    <t>Propagation / RTT</t>
  </si>
  <si>
    <t>Keep Settings!B29 = 0.02 (SYNTHETIC).</t>
  </si>
  <si>
    <t>No corresponding clock-aligned TX/RX event pair.</t>
  </si>
  <si>
    <t>Contact / outage schedule</t>
  </si>
  <si>
    <t>s / Boolean</t>
  </si>
  <si>
    <t>Keep 600 s up / 120 s down (SYNTHETIC).</t>
  </si>
  <si>
    <t>No visibility/receiver-operating log; missing reception is not an outage.</t>
  </si>
  <si>
    <t>Packet loss</t>
  </si>
  <si>
    <t>fraction</t>
  </si>
  <si>
    <t>No measured packet-loss driver admitted.</t>
  </si>
  <si>
    <t>Counter/reception discrepancies are not a defensible downlink-loss estimate.</t>
  </si>
  <si>
    <t>COMM | decoding and admission checks</t>
  </si>
  <si>
    <t>Each workbook calculation is checked against the independent decoder result. PASS means bounded state-data fit; it does NOT mean historical link-performance calibration.</t>
  </si>
  <si>
    <t>Workbook result</t>
  </si>
  <si>
    <t>Independent reference</t>
  </si>
  <si>
    <t>Agreement</t>
  </si>
  <si>
    <t>Scope / limitation</t>
  </si>
  <si>
    <t>Bounded original receptions</t>
  </si>
  <si>
    <t>Raw cohort; original records are never removed.</t>
  </si>
  <si>
    <t>Accepted decoded receptions</t>
  </si>
  <si>
    <t>Pass AX.25/CSP structure; CRC checked when retained.</t>
  </si>
  <si>
    <t>Rejected original receptions</t>
  </si>
  <si>
    <t>Malformed source callsign in JSON row 160; not repaired.</t>
  </si>
  <si>
    <t>Distinct canonical beacons</t>
  </si>
  <si>
    <t>Deduplicate normalized header + 18 fields.</t>
  </si>
  <si>
    <t>CRC32-C checks passed</t>
  </si>
  <si>
    <t>110-byte frames; checksum over retained CSP header + beacon.</t>
  </si>
  <si>
    <t>Accepted records without retained CRC</t>
  </si>
  <si>
    <t>No CRC is invented for the 74-byte representation.</t>
  </si>
  <si>
    <t>Distinct CRC-verified beacons</t>
  </si>
  <si>
    <t>At least one independently checked reception per canonical beacon.</t>
  </si>
  <si>
    <t>Distinct preprocessed-only beacons</t>
  </si>
  <si>
    <t>Use only with explicit no-CRC quality flag.</t>
  </si>
  <si>
    <t>Cross-format matching beacons</t>
  </si>
  <si>
    <t>All 18 fields and normalized header agree byte-for-byte.</t>
  </si>
  <si>
    <t>Duplicate accepted receptions</t>
  </si>
  <si>
    <t>Reception count is not a spacecraft transmission count.</t>
  </si>
  <si>
    <t>Conflicting payload timestamps</t>
  </si>
  <si>
    <t>Independent decoder audit; no conflicting canonical payload at the same timestamp.</t>
  </si>
  <si>
    <t>Independent scalar checks</t>
  </si>
  <si>
    <t>Schema/struct reader agrees with independent signed-byte reader: 100 × 18.</t>
  </si>
  <si>
    <t>Background RSSI minimum dBm</t>
  </si>
  <si>
    <t>Onboard receiver background noise; not ground downlink RSSI.</t>
  </si>
  <si>
    <t>Background RSSI maximum dBm</t>
  </si>
  <si>
    <t>No impairment threshold or rate mapping imposed.</t>
  </si>
  <si>
    <t>Onboard TX-packet counter increment</t>
  </si>
  <si>
    <t>Counter interval excludes an interpretation as received goodput.</t>
  </si>
  <si>
    <t>Onboard TX-byte counter increment</t>
  </si>
  <si>
    <t>Onboard transmitted-byte accounting; not application-task bytes.</t>
  </si>
  <si>
    <t>Counter observation span s</t>
  </si>
  <si>
    <t>Reception-time interval, not an aligned onboard clock measurement.</t>
  </si>
  <si>
    <t>Mean onboard TX activity B/s</t>
  </si>
  <si>
    <t>Interval-weighted; NOT link capacity and not used as Settings!B28.</t>
  </si>
  <si>
    <t>Onboard RX-packet counter increment</t>
  </si>
  <si>
    <t>No increase is not proof of an outage.</t>
  </si>
  <si>
    <t>Onboard RX-byte counter increment</t>
  </si>
  <si>
    <t>No downlink loss calculation admitted.</t>
  </si>
  <si>
    <t>Observed reboot-number changes</t>
  </si>
  <si>
    <t>Screening only; raw reboot code is 1126 throughout.</t>
  </si>
  <si>
    <t>Intervals with counter decreases</t>
  </si>
  <si>
    <t>No reset/wrap/decrease seen in the bounded counter stream.</t>
  </si>
  <si>
    <t>Both since-reboot and lifetime TX counters yield the same increments.</t>
  </si>
  <si>
    <t>Full retained ACE observations</t>
  </si>
  <si>
    <t>Same 100 source rows and arrivals as v01.</t>
  </si>
  <si>
    <t>Retained rows using a no-CRC beacon</t>
  </si>
  <si>
    <t>QC-visible, not silently treated as checksum verified.</t>
  </si>
  <si>
    <t>CRC-only 10 s cohort</t>
  </si>
  <si>
    <t>Conservative sensitivity cohort; primary remains the explicitly qualified 100.</t>
  </si>
  <si>
    <t>Rejected JSON row used as witness</t>
  </si>
  <si>
    <t>The malformed reception is never used as the empirical witness.</t>
  </si>
  <si>
    <t>New measured link-capacity inputs</t>
  </si>
  <si>
    <t>Rate, delay and outage parameters remain synthetic by design.</t>
  </si>
  <si>
    <t>Latency distribution bins  -  feeds the Ground vs Edge histogram on SNAPSHOT</t>
  </si>
  <si>
    <t>Counts every active entity in both run sheets: Entity number &lt;= the entities input on Settings, across all replications. Bin width is an input.</t>
  </si>
  <si>
    <t>Change this and the histogram rebins itself.</t>
  </si>
  <si>
    <t>Bin</t>
  </si>
  <si>
    <t>From (s)</t>
  </si>
  <si>
    <t>To (s)</t>
  </si>
  <si>
    <t>Latency range (s)</t>
  </si>
  <si>
    <t>Ground count</t>
  </si>
  <si>
    <t>Edge count</t>
  </si>
  <si>
    <t>Entities counted</t>
  </si>
  <si>
    <t>Expected (entities x replications)</t>
  </si>
  <si>
    <t>SIMULATION OUTPUT. Latency here is assumption-conditioned model output, not a measurement.</t>
  </si>
  <si>
    <t>A · AI/ML data-fit run  ·  OPS-SAT AI/ML Data Fit 2026-09-21 v01</t>
  </si>
  <si>
    <t>Source workbook: Copy of (AI-ML) OPS-SAT AI-ML Data Fit - 2026-09-21 v01.xlsx</t>
  </si>
  <si>
    <t>RETAINED FOR LINEAGE. This run is from a different period and is not an input to the synchronized v02 cohort.</t>
  </si>
  <si>
    <t>Dataset</t>
  </si>
  <si>
    <t>OPSSAT-AD v2, ESA OPS-SAT CubeSat telemetry</t>
  </si>
  <si>
    <t>Source files</t>
  </si>
  <si>
    <t>dataset.csv, 2,123 rows; segments.csv, 303,493 rows</t>
  </si>
  <si>
    <t>Supporting files</t>
  </si>
  <si>
    <t>modeling_examples.ipynb (seed 2137), dataset_generator.ipynb</t>
  </si>
  <si>
    <t>RUN</t>
  </si>
  <si>
    <t>Sample used in that DES</t>
  </si>
  <si>
    <t>1,000 records, stratified random by train and anomaly</t>
  </si>
  <si>
    <t>Composition</t>
  </si>
  <si>
    <t>796 normal, 204 anomalous</t>
  </si>
  <si>
    <t>Sheets in the source workbook</t>
  </si>
  <si>
    <t>INTRO, Settings, Arrivals, RGS_Ground_Run, Edge_Run, Comparison, Replications, Hand_Check, MATLAB_Map, AI_ML_Data_Fit, OPSSAT_AD_Source, OPSSAT_AD_DES_Map, OPSSAT_AD_Rep_Summary</t>
  </si>
  <si>
    <t>LINEAGE INTO v02</t>
  </si>
  <si>
    <t>What carried forward</t>
  </si>
  <si>
    <t>The AI/ML leg. In v02 the telemetry is re-cut to the bounded 28 Jan 2022 window and supplies arrival chronology, segment and anomaly context.</t>
  </si>
  <si>
    <t>What did not carry forward</t>
  </si>
  <si>
    <t>The 1,000-record stratified sample and the offline segment features. v02 uses 100 accepted in-window observations instead.</t>
  </si>
  <si>
    <t>Stated limitation</t>
  </si>
  <si>
    <t>The label field in segments.csv is constant and is not a usable per-row label. Segment features are offline calculations, not onboard inference timings.</t>
  </si>
  <si>
    <t>SAMPLE OF THE RETAINED SOURCE ROWS</t>
  </si>
  <si>
    <t>CADC0872</t>
  </si>
  <si>
    <t>Full source workbook is retained in the MATLAB Resources folder. Rows above are the first ten of OPSSAT_AD_Source, copied unchanged.</t>
  </si>
  <si>
    <t>C · COMM data-fit run  ·  WetLinks Data Fit 2026-09-21 v05</t>
  </si>
  <si>
    <t>Source workbook: Copy of (Comms) - WetLinks_Data_Fit_2026-09-21_v05.xlsx</t>
  </si>
  <si>
    <t>WetLinks, analysis_data_Osnabruck.csv</t>
  </si>
  <si>
    <t>Source rows</t>
  </si>
  <si>
    <t>68,597 total; 68,000 eligible for the fit; 384 zero-download rows in source</t>
  </si>
  <si>
    <t>Coverage</t>
  </si>
  <si>
    <t>2023-09-14 15:12:22 to 2024-03-12 08:43:09</t>
  </si>
  <si>
    <t>Mapped model rows</t>
  </si>
  <si>
    <t>1,200 (10 replications x 120 entities), systematic selection across eligible records</t>
  </si>
  <si>
    <t>Fields applied</t>
  </si>
  <si>
    <t>Measured download throughput and ping_avg, with RTT/2 used as a one-way delay proxy</t>
  </si>
  <si>
    <t>INTRO, Settings, Arrivals, RGS_Ground_Run, Edge_Run, Comparison, Replications, Hand_Check, MATLAB_Map, WetLinks_Fit_Input, WetLinks_Ground_Run, WetLinks_Edge_Run, WetLinks_Replications, WetLinks_Comparison, WetLinks_Fit_Assessment</t>
  </si>
  <si>
    <t>The method only. v02 takes its COMM leg from decoded SatNOGS OPS-SAT receptions inside the same UTC window as the AI/ML and ENV data.</t>
  </si>
  <si>
    <t>WetLinks throughput, ping and loss values. They are terrestrial, from a different period, and cannot be co-timed with the OPS-SAT window.</t>
  </si>
  <si>
    <t>A terrestrial fixed-line profile is not a satellite link. In v02 the link rate, propagation and availability cycle remain declared synthetic.</t>
  </si>
  <si>
    <t>Site</t>
  </si>
  <si>
    <t>uos-rz</t>
  </si>
  <si>
    <t>Full source workbook is retained in the MATLAB Resources folder. Rows above are the first ten of WetLinks_Fit_Input, copied unchanged.</t>
  </si>
  <si>
    <t>E · ENV data-fit run  ·  Antarctic King George Island 2026-09-21</t>
  </si>
  <si>
    <t>Source workbook: Copy of (Enviro) - Data Fit 2026-09-21 - AntarcticaKGI.xlsx</t>
  </si>
  <si>
    <t>King George Island ionosonde package, KGI.zip</t>
  </si>
  <si>
    <t>Source extent</t>
  </si>
  <si>
    <t>1,232 files, 33,960 parsed observations, 1986-03-01 to 1991-12-31</t>
  </si>
  <si>
    <t>Experiment trace</t>
  </si>
  <si>
    <t>1991-03-18 23:15 to 1991-03-31 11:00</t>
  </si>
  <si>
    <t>Records fitted</t>
  </si>
  <si>
    <t>1,200 (10 replications x 120 entities), observed cadence 900 s</t>
  </si>
  <si>
    <t>Observed timestamps, fmin, foE, h'E, foF1, h'F and h'F1, M(3000)F2 and related quality fields</t>
  </si>
  <si>
    <t>Model use in that run</t>
  </si>
  <si>
    <t>Observed timestamps replaced the synthetic exponential arrival stream</t>
  </si>
  <si>
    <t>INTRO, Settings, Arrivals, RGS_Ground_Run, Edge_Run, Comparison, Replications, Hand_Check, MATLAB_Map, Data_Fit_Experiment, KGI_Source</t>
  </si>
  <si>
    <t>The approach of replacing synthetic arrivals with observed timestamps, and the idea of an environmental context leg.</t>
  </si>
  <si>
    <t>The 1991 ionosonde values. v02 uses NASA OMNI minute records inside the 2022 OPS-SAT window instead.</t>
  </si>
  <si>
    <t>Ionospheric and space-weather values are context. No environmental value is converted into a communications outage or degradation in any run.</t>
  </si>
  <si>
    <t>Timestamp (source time)</t>
  </si>
  <si>
    <t>1991-03-18 23:15:00</t>
  </si>
  <si>
    <t>1991-03-18 23:30:00</t>
  </si>
  <si>
    <t>1991-03-18 23:45:00</t>
  </si>
  <si>
    <t>1991-03-19 00:00:00</t>
  </si>
  <si>
    <t>1991-03-19 00:15:00</t>
  </si>
  <si>
    <t>1991-03-19 00:30:00</t>
  </si>
  <si>
    <t>1991-03-19 00:45:00</t>
  </si>
  <si>
    <t>1991-03-19 01:00:00</t>
  </si>
  <si>
    <t>1991-03-19 01:15:00</t>
  </si>
  <si>
    <t>Full source workbook is retained in the MATLAB Resources folder. Rows above are the first ten of KGI_Source, copied unchanged.</t>
  </si>
  <si>
    <t>Current synchronized diagnostic instructions: Empirical COMM decoding/parameter fit is OPEN; not an approved production baseline.</t>
  </si>
  <si>
    <t>START HERE: COMM_Decode_QC → COMM_Field_Map → COMM_Beacons → Join_Audit → ACE_Input → Settings / run sheets → Validation → Handoff. Raw originals and v01 are preserved.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</si>
</sst>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0000000"/>
    <numFmt numFmtId="166" formatCode="0.000000000000E+00"/>
    <numFmt numFmtId="167" formatCode="0.0%"/>
    <numFmt numFmtId="168" formatCode="hh:mm"/>
    <numFmt numFmtId="169" formatCode="yyyy\-mm\-dd\ hh:mm:ss.000"/>
    <numFmt numFmtId="170" formatCode="yyyy\-mm\-dd\ hh:mm:ss"/>
    <numFmt numFmtId="171" formatCode="0.0"/>
  </numFmts>
  <fonts count="39" x14ac:knownFonts="1">
    <font>
      <sz val="11"/>
      <name val="Carlito"/>
    </font>
    <font>
      <sz val="11"/>
      <name val="Calibri"/>
    </font>
    <font>
      <b/>
      <sz val="15"/>
      <color rgb="FFFFFFFF"/>
      <name val="Calibri"/>
    </font>
    <font>
      <sz val="11"/>
      <color rgb="FF1F4E79"/>
      <name val="Calibri"/>
    </font>
    <font>
      <b/>
      <sz val="11"/>
      <name val="Calibri"/>
    </font>
    <font>
      <b/>
      <sz val="17"/>
      <color rgb="FFFFFFFF"/>
      <name val="Calibri"/>
    </font>
    <font>
      <sz val="11"/>
      <color rgb="FF475569"/>
      <name val="Calibri"/>
    </font>
    <font>
      <sz val="11"/>
      <color rgb="FF176447"/>
      <name val="Calibri"/>
    </font>
    <font>
      <sz val="11"/>
      <color rgb="FF000000"/>
      <name val="Calibri"/>
    </font>
    <font>
      <b/>
      <sz val="11"/>
      <color rgb="FFFFFFFF"/>
      <name val="Carlito"/>
    </font>
    <font>
      <b/>
      <sz val="22"/>
      <color rgb="FFFFFFFF"/>
      <name val="Calibri"/>
    </font>
    <font>
      <sz val="11"/>
      <color rgb="FF203246"/>
      <name val="Carlito"/>
    </font>
    <font>
      <sz val="11"/>
      <color rgb="FF176B68"/>
      <name val="Carlito"/>
    </font>
    <font>
      <sz val="11"/>
      <color rgb="FF203246"/>
      <name val="Calibri"/>
    </font>
    <font>
      <b/>
      <sz val="11"/>
      <color rgb="FF203246"/>
      <name val="Calibri"/>
    </font>
    <font>
      <b/>
      <sz val="13"/>
      <color rgb="FF203246"/>
      <name val="Calibri"/>
    </font>
    <font>
      <b/>
      <sz val="12"/>
      <color rgb="FF203246"/>
      <name val="Calibri"/>
    </font>
    <font>
      <b/>
      <sz val="16"/>
      <color rgb="FF0B634A"/>
      <name val="Calibri"/>
    </font>
    <font>
      <b/>
      <sz val="16"/>
      <color rgb="FF76520F"/>
      <name val="Calibri"/>
    </font>
    <font>
      <b/>
      <sz val="13"/>
      <color rgb="FF0B634A"/>
      <name val="Calibri"/>
    </font>
    <font>
      <b/>
      <sz val="11"/>
      <color rgb="FFFFFFFF"/>
      <name val="Calibri"/>
    </font>
    <font>
      <b/>
      <sz val="11"/>
      <color rgb="FF76520F"/>
      <name val="Calibri"/>
    </font>
    <font>
      <b/>
      <sz val="14"/>
      <name val="Arial"/>
    </font>
    <font>
      <i/>
      <sz val="9"/>
      <color rgb="FF555555"/>
      <name val="Arial"/>
    </font>
    <font>
      <b/>
      <sz val="10"/>
      <name val="Arial"/>
    </font>
    <font>
      <sz val="10"/>
      <color rgb="FF0000FF"/>
      <name val="Arial"/>
    </font>
    <font>
      <sz val="10"/>
      <name val="Arial"/>
    </font>
    <font>
      <b/>
      <i/>
      <sz val="9"/>
      <color rgb="FFC00000"/>
      <name val="Arial"/>
    </font>
    <font>
      <b/>
      <sz val="22"/>
      <color rgb="FFFFFFFF"/>
      <name val="Arial"/>
    </font>
    <font>
      <sz val="12"/>
      <color rgb="FFAFC0D3"/>
      <name val="Arial"/>
    </font>
    <font>
      <b/>
      <sz val="13"/>
      <color rgb="FF7FD1E8"/>
      <name val="Arial"/>
    </font>
    <font>
      <b/>
      <sz val="14"/>
      <color rgb="FFF2C14E"/>
      <name val="Arial"/>
    </font>
    <font>
      <b/>
      <sz val="12"/>
      <color rgb="FF7FD1E8"/>
      <name val="Arial"/>
    </font>
    <font>
      <b/>
      <sz val="12"/>
      <color rgb="FFFFFFFF"/>
      <name val="Arial"/>
    </font>
    <font>
      <sz val="12"/>
      <color rgb="FFFFFFFF"/>
      <name val="Arial"/>
    </font>
    <font>
      <b/>
      <i/>
      <sz val="11"/>
      <color rgb="FFFF9B9B"/>
      <name val="Arial"/>
    </font>
    <font>
      <i/>
      <sz val="11"/>
      <color rgb="FFAFC0D3"/>
      <name val="Arial"/>
    </font>
    <font>
      <b/>
      <sz val="10"/>
      <color rgb="FFFFFFFF"/>
      <name val="Arial"/>
    </font>
    <font>
      <b/>
      <sz val="11"/>
      <name val="Calibri"/>
      <family val="2"/>
    </font>
  </fonts>
  <fills count="23">
    <fill>
      <patternFill patternType="none"/>
    </fill>
    <fill>
      <patternFill patternType="gray125"/>
    </fill>
    <fill>
      <patternFill patternType="solid">
        <fgColor rgb="FF173A4A"/>
      </patternFill>
    </fill>
    <fill>
      <patternFill patternType="solid">
        <fgColor rgb="FFFFF2CC"/>
      </patternFill>
    </fill>
    <fill>
      <patternFill patternType="solid">
        <fgColor rgb="FFDCE8EA"/>
      </patternFill>
    </fill>
    <fill>
      <patternFill patternType="solid">
        <fgColor rgb="FFFFF0CC"/>
      </patternFill>
    </fill>
    <fill>
      <patternFill patternType="solid">
        <fgColor rgb="FFE5EEF3"/>
      </patternFill>
    </fill>
    <fill>
      <patternFill patternType="solid">
        <fgColor rgb="FFFFFFFF"/>
      </patternFill>
    </fill>
    <fill>
      <patternFill patternType="solid">
        <fgColor rgb="FF16324A"/>
      </patternFill>
    </fill>
    <fill>
      <patternFill patternType="solid">
        <fgColor rgb="FFE8F1F5"/>
      </patternFill>
    </fill>
    <fill>
      <patternFill patternType="solid">
        <fgColor rgb="FF176B68"/>
      </patternFill>
    </fill>
    <fill>
      <patternFill patternType="solid">
        <fgColor rgb="FFDCF2E7"/>
      </patternFill>
    </fill>
    <fill>
      <patternFill patternType="solid">
        <fgColor rgb="FFFFF0D0"/>
      </patternFill>
    </fill>
    <fill>
      <patternFill patternType="solid">
        <fgColor rgb="FFF4F8FA"/>
      </patternFill>
    </fill>
    <fill>
      <patternFill patternType="solid">
        <fgColor rgb="FFFFFF99"/>
      </patternFill>
    </fill>
    <fill>
      <patternFill patternType="solid">
        <fgColor rgb="FFD9D9D9"/>
      </patternFill>
    </fill>
    <fill>
      <patternFill patternType="solid">
        <fgColor rgb="FF0B1727"/>
      </patternFill>
    </fill>
    <fill>
      <patternFill patternType="solid">
        <fgColor rgb="FF13253C"/>
      </patternFill>
    </fill>
    <fill>
      <patternFill patternType="solid">
        <fgColor rgb="FF0F1E33"/>
      </patternFill>
    </fill>
    <fill>
      <patternFill patternType="solid">
        <fgColor rgb="FF16293F"/>
      </patternFill>
    </fill>
    <fill>
      <patternFill patternType="solid">
        <fgColor rgb="FF1F3864"/>
      </patternFill>
    </fill>
    <fill>
      <patternFill patternType="solid">
        <fgColor rgb="FFF2F2F2"/>
      </patternFill>
    </fill>
    <fill>
      <patternFill patternType="solid">
        <fgColor rgb="FF0B1727"/>
        <bgColor indexed="64"/>
      </patternFill>
    </fill>
  </fills>
  <borders count="3">
    <border>
      <left/>
      <right/>
      <top/>
      <bottom/>
      <diagonal/>
    </border>
    <border>
      <left/>
      <right/>
      <top/>
      <bottom/>
      <diagonal/>
    </border>
    <border>
      <left/>
      <right/>
      <top/>
      <bottom style="thin">
        <color rgb="FFAAAAAA"/>
      </bottom>
      <diagonal/>
    </border>
  </borders>
  <cellStyleXfs count="1">
    <xf numFmtId="0" fontId="0" fillId="0" borderId="1"/>
  </cellStyleXfs>
  <cellXfs count="106">
    <xf numFmtId="0" fontId="0" fillId="0" borderId="0" xfId="0" applyBorder="1"/>
    <xf numFmtId="0" fontId="1" fillId="0" borderId="0" xfId="0" applyFont="1" applyBorder="1"/>
    <xf numFmtId="0" fontId="1" fillId="0" borderId="0" xfId="0" applyFont="1" applyBorder="1" applyAlignment="1">
      <alignment wrapText="1"/>
    </xf>
    <xf numFmtId="0" fontId="2" fillId="2" borderId="0" xfId="0" applyFont="1" applyFill="1" applyBorder="1" applyAlignment="1">
      <alignment wrapText="1"/>
    </xf>
    <xf numFmtId="0" fontId="3" fillId="3" borderId="0" xfId="0" applyFont="1" applyFill="1" applyBorder="1" applyAlignment="1">
      <alignment wrapText="1"/>
    </xf>
    <xf numFmtId="0" fontId="4" fillId="4" borderId="0" xfId="0" applyFont="1" applyFill="1" applyBorder="1" applyAlignment="1">
      <alignment wrapText="1"/>
    </xf>
    <xf numFmtId="164" fontId="0" fillId="0" borderId="0" xfId="0" applyNumberFormat="1" applyBorder="1"/>
    <xf numFmtId="0" fontId="7" fillId="0" borderId="0" xfId="0" applyFont="1" applyBorder="1"/>
    <xf numFmtId="0" fontId="7" fillId="0" borderId="0" xfId="0" applyFont="1" applyBorder="1" applyAlignment="1">
      <alignment wrapText="1"/>
    </xf>
    <xf numFmtId="0" fontId="0" fillId="0" borderId="0" xfId="0" applyBorder="1" applyAlignment="1">
      <alignment wrapText="1"/>
    </xf>
    <xf numFmtId="165" fontId="7" fillId="0" borderId="0" xfId="0" applyNumberFormat="1" applyFont="1" applyBorder="1"/>
    <xf numFmtId="2" fontId="7" fillId="0" borderId="0" xfId="0" applyNumberFormat="1" applyFont="1" applyBorder="1"/>
    <xf numFmtId="0" fontId="8" fillId="0" borderId="0" xfId="0" applyFont="1" applyBorder="1"/>
    <xf numFmtId="2" fontId="8" fillId="0" borderId="0" xfId="0" applyNumberFormat="1" applyFont="1" applyBorder="1"/>
    <xf numFmtId="0" fontId="8" fillId="5" borderId="0" xfId="0" applyFont="1" applyFill="1" applyBorder="1"/>
    <xf numFmtId="0" fontId="8" fillId="6" borderId="0" xfId="0" applyFont="1" applyFill="1" applyBorder="1" applyAlignment="1">
      <alignment wrapText="1"/>
    </xf>
    <xf numFmtId="166" fontId="7" fillId="0" borderId="0" xfId="0" applyNumberFormat="1" applyFont="1" applyBorder="1" applyAlignment="1">
      <alignment wrapText="1"/>
    </xf>
    <xf numFmtId="164" fontId="7" fillId="0" borderId="0" xfId="0" applyNumberFormat="1" applyFont="1" applyBorder="1"/>
    <xf numFmtId="1" fontId="7" fillId="0" borderId="0" xfId="0" applyNumberFormat="1" applyFont="1" applyBorder="1"/>
    <xf numFmtId="1" fontId="0" fillId="0" borderId="0" xfId="0" applyNumberFormat="1" applyBorder="1"/>
    <xf numFmtId="167" fontId="7" fillId="0" borderId="0" xfId="0" applyNumberFormat="1" applyFont="1" applyBorder="1"/>
    <xf numFmtId="11" fontId="7" fillId="0" borderId="0" xfId="0" applyNumberFormat="1" applyFont="1" applyBorder="1"/>
    <xf numFmtId="0" fontId="9" fillId="2" borderId="0" xfId="0" applyFont="1" applyFill="1" applyBorder="1" applyAlignment="1">
      <alignment wrapText="1"/>
    </xf>
    <xf numFmtId="168" fontId="7" fillId="0" borderId="0" xfId="0" applyNumberFormat="1" applyFont="1" applyBorder="1"/>
    <xf numFmtId="169" fontId="7" fillId="0" borderId="0" xfId="0" applyNumberFormat="1" applyFont="1" applyBorder="1"/>
    <xf numFmtId="169" fontId="8" fillId="0" borderId="0" xfId="0" applyNumberFormat="1" applyFont="1" applyBorder="1"/>
    <xf numFmtId="0" fontId="11" fillId="7" borderId="0" xfId="0" applyFont="1" applyFill="1" applyBorder="1"/>
    <xf numFmtId="0" fontId="11" fillId="7" borderId="0" xfId="0" applyFont="1" applyFill="1" applyBorder="1" applyAlignment="1">
      <alignment vertical="center"/>
    </xf>
    <xf numFmtId="0" fontId="9" fillId="10" borderId="0" xfId="0" applyFont="1" applyFill="1" applyBorder="1" applyAlignment="1">
      <alignment vertical="center" wrapText="1"/>
    </xf>
    <xf numFmtId="170" fontId="11" fillId="7" borderId="0" xfId="0" applyNumberFormat="1" applyFont="1" applyFill="1" applyBorder="1" applyAlignment="1">
      <alignment vertical="center"/>
    </xf>
    <xf numFmtId="164" fontId="11" fillId="7" borderId="0" xfId="0" applyNumberFormat="1" applyFont="1" applyFill="1" applyBorder="1" applyAlignment="1">
      <alignment vertical="center"/>
    </xf>
    <xf numFmtId="0" fontId="11" fillId="7" borderId="0" xfId="0" applyFont="1" applyFill="1" applyBorder="1" applyAlignment="1">
      <alignment vertical="center" wrapText="1"/>
    </xf>
    <xf numFmtId="170" fontId="11" fillId="7" borderId="0" xfId="0" applyNumberFormat="1" applyFont="1" applyFill="1" applyBorder="1" applyAlignment="1">
      <alignment vertical="center" wrapText="1"/>
    </xf>
    <xf numFmtId="0" fontId="9" fillId="10" borderId="0" xfId="0" applyFont="1" applyFill="1" applyBorder="1" applyAlignment="1">
      <alignment wrapText="1"/>
    </xf>
    <xf numFmtId="0" fontId="12" fillId="7" borderId="0" xfId="0" applyFont="1" applyFill="1" applyBorder="1"/>
    <xf numFmtId="170" fontId="12" fillId="7" borderId="0" xfId="0" applyNumberFormat="1" applyFont="1" applyFill="1" applyBorder="1"/>
    <xf numFmtId="164" fontId="12" fillId="7" borderId="0" xfId="0" applyNumberFormat="1" applyFont="1" applyFill="1" applyBorder="1"/>
    <xf numFmtId="2" fontId="12" fillId="7" borderId="0" xfId="0" applyNumberFormat="1" applyFont="1" applyFill="1" applyBorder="1"/>
    <xf numFmtId="0" fontId="11" fillId="7" borderId="0" xfId="0" applyFont="1" applyFill="1" applyBorder="1" applyAlignment="1">
      <alignment wrapText="1"/>
    </xf>
    <xf numFmtId="0" fontId="14" fillId="7" borderId="0" xfId="0" applyFont="1" applyFill="1" applyBorder="1" applyAlignment="1">
      <alignment vertical="center" wrapText="1"/>
    </xf>
    <xf numFmtId="0" fontId="13" fillId="7" borderId="0" xfId="0" applyFont="1" applyFill="1" applyBorder="1" applyAlignment="1">
      <alignment vertical="center" wrapText="1"/>
    </xf>
    <xf numFmtId="2" fontId="15" fillId="7" borderId="0" xfId="0" applyNumberFormat="1" applyFont="1" applyFill="1" applyBorder="1" applyAlignment="1">
      <alignment vertical="center" wrapText="1"/>
    </xf>
    <xf numFmtId="1" fontId="11" fillId="7" borderId="0" xfId="0" applyNumberFormat="1" applyFont="1" applyFill="1" applyBorder="1" applyAlignment="1">
      <alignment vertical="center" wrapText="1"/>
    </xf>
    <xf numFmtId="171" fontId="11" fillId="7" borderId="0" xfId="0" applyNumberFormat="1" applyFont="1" applyFill="1" applyBorder="1" applyAlignment="1">
      <alignment vertical="center" wrapText="1"/>
    </xf>
    <xf numFmtId="0" fontId="28" fillId="16" borderId="0" xfId="0" applyFont="1" applyFill="1" applyBorder="1"/>
    <xf numFmtId="0" fontId="0" fillId="16" borderId="0" xfId="0" applyFill="1" applyBorder="1"/>
    <xf numFmtId="0" fontId="29" fillId="16" borderId="0" xfId="0" applyFont="1" applyFill="1" applyBorder="1"/>
    <xf numFmtId="0" fontId="30" fillId="16" borderId="0" xfId="0" applyFont="1" applyFill="1" applyBorder="1"/>
    <xf numFmtId="0" fontId="31" fillId="17" borderId="0" xfId="0" applyFont="1" applyFill="1" applyBorder="1"/>
    <xf numFmtId="0" fontId="0" fillId="17" borderId="0" xfId="0" applyFill="1" applyBorder="1"/>
    <xf numFmtId="0" fontId="32" fillId="17" borderId="0" xfId="0" applyFont="1" applyFill="1" applyBorder="1" applyAlignment="1">
      <alignment vertical="center" wrapText="1"/>
    </xf>
    <xf numFmtId="0" fontId="33" fillId="18" borderId="0" xfId="0" applyFont="1" applyFill="1" applyBorder="1" applyAlignment="1">
      <alignment vertical="center" wrapText="1"/>
    </xf>
    <xf numFmtId="0" fontId="34" fillId="18" borderId="0" xfId="0" applyFont="1" applyFill="1" applyBorder="1" applyAlignment="1">
      <alignment vertical="center" wrapText="1"/>
    </xf>
    <xf numFmtId="0" fontId="33" fillId="19" borderId="0" xfId="0" applyFont="1" applyFill="1" applyBorder="1" applyAlignment="1">
      <alignment vertical="center" wrapText="1"/>
    </xf>
    <xf numFmtId="0" fontId="34" fillId="19" borderId="0" xfId="0" applyFont="1" applyFill="1" applyBorder="1" applyAlignment="1">
      <alignment vertical="center" wrapText="1"/>
    </xf>
    <xf numFmtId="170" fontId="34" fillId="18" borderId="0" xfId="0" applyNumberFormat="1" applyFont="1" applyFill="1" applyBorder="1" applyAlignment="1">
      <alignment horizontal="left" vertical="center"/>
    </xf>
    <xf numFmtId="170" fontId="34" fillId="19" borderId="0" xfId="0" applyNumberFormat="1" applyFont="1" applyFill="1" applyBorder="1" applyAlignment="1">
      <alignment horizontal="left" vertical="center"/>
    </xf>
    <xf numFmtId="4" fontId="34" fillId="18" borderId="0" xfId="0" applyNumberFormat="1" applyFont="1" applyFill="1" applyBorder="1" applyAlignment="1">
      <alignment vertical="center" wrapText="1"/>
    </xf>
    <xf numFmtId="4" fontId="34" fillId="19" borderId="0" xfId="0" applyNumberFormat="1" applyFont="1" applyFill="1" applyBorder="1" applyAlignment="1">
      <alignment vertical="center" wrapText="1"/>
    </xf>
    <xf numFmtId="0" fontId="26" fillId="0" borderId="0" xfId="0" applyFont="1" applyBorder="1" applyAlignment="1">
      <alignment vertical="top" wrapText="1"/>
    </xf>
    <xf numFmtId="0" fontId="22" fillId="0" borderId="0" xfId="0" applyFont="1" applyBorder="1"/>
    <xf numFmtId="0" fontId="23" fillId="0" borderId="0" xfId="0" applyFont="1" applyBorder="1"/>
    <xf numFmtId="0" fontId="24" fillId="0" borderId="0" xfId="0" applyFont="1" applyBorder="1"/>
    <xf numFmtId="0" fontId="25" fillId="14" borderId="0" xfId="0" applyFont="1" applyFill="1" applyBorder="1"/>
    <xf numFmtId="0" fontId="24" fillId="15" borderId="2" xfId="0" applyFont="1" applyFill="1" applyBorder="1"/>
    <xf numFmtId="0" fontId="26" fillId="0" borderId="0" xfId="0" applyFont="1" applyBorder="1"/>
    <xf numFmtId="0" fontId="27" fillId="0" borderId="0" xfId="0" applyFont="1" applyBorder="1"/>
    <xf numFmtId="0" fontId="37" fillId="20" borderId="0" xfId="0" applyFont="1" applyFill="1" applyBorder="1"/>
    <xf numFmtId="0" fontId="0" fillId="20" borderId="0" xfId="0" applyFill="1" applyBorder="1"/>
    <xf numFmtId="0" fontId="24" fillId="15" borderId="0" xfId="0" applyFont="1" applyFill="1" applyBorder="1"/>
    <xf numFmtId="0" fontId="24" fillId="21" borderId="2" xfId="0" applyFont="1" applyFill="1" applyBorder="1"/>
    <xf numFmtId="0" fontId="23" fillId="0" borderId="0" xfId="0" applyFont="1" applyBorder="1" applyAlignment="1">
      <alignment vertical="top" wrapText="1"/>
    </xf>
    <xf numFmtId="0" fontId="0" fillId="22" borderId="0" xfId="0" applyFill="1" applyBorder="1"/>
    <xf numFmtId="0" fontId="34" fillId="19" borderId="0" xfId="0" applyFont="1" applyFill="1" applyBorder="1" applyAlignment="1">
      <alignment horizontal="right" vertical="center" wrapText="1"/>
    </xf>
    <xf numFmtId="0" fontId="34" fillId="18" borderId="0" xfId="0" applyFont="1" applyFill="1" applyBorder="1" applyAlignment="1">
      <alignment horizontal="right" vertical="center" wrapText="1"/>
    </xf>
    <xf numFmtId="4" fontId="34" fillId="18" borderId="0" xfId="0" applyNumberFormat="1" applyFont="1" applyFill="1" applyBorder="1" applyAlignment="1">
      <alignment horizontal="right" vertical="center" wrapText="1"/>
    </xf>
    <xf numFmtId="0" fontId="32" fillId="17" borderId="0" xfId="0" applyFont="1" applyFill="1" applyBorder="1" applyAlignment="1">
      <alignment horizontal="center" vertical="center" wrapText="1"/>
    </xf>
    <xf numFmtId="0" fontId="36" fillId="16" borderId="0" xfId="0" applyFont="1" applyFill="1" applyBorder="1" applyAlignment="1">
      <alignment horizontal="left" vertical="top" wrapText="1"/>
    </xf>
    <xf numFmtId="0" fontId="35" fillId="16" borderId="0" xfId="0" applyFont="1" applyFill="1" applyBorder="1" applyAlignment="1">
      <alignment horizontal="left" vertical="top" wrapText="1"/>
    </xf>
    <xf numFmtId="0" fontId="16" fillId="9" borderId="1" xfId="0" applyFont="1" applyFill="1" applyAlignment="1">
      <alignment vertical="center" wrapText="1"/>
    </xf>
    <xf numFmtId="0" fontId="0" fillId="0" borderId="1" xfId="0"/>
    <xf numFmtId="0" fontId="14" fillId="13" borderId="1" xfId="0" applyFont="1" applyFill="1" applyAlignment="1">
      <alignment vertical="center" wrapText="1"/>
    </xf>
    <xf numFmtId="0" fontId="0" fillId="0" borderId="0" xfId="0" applyBorder="1"/>
    <xf numFmtId="4" fontId="13" fillId="7" borderId="1" xfId="0" applyNumberFormat="1" applyFont="1" applyFill="1" applyAlignment="1">
      <alignment vertical="center" wrapText="1"/>
    </xf>
    <xf numFmtId="0" fontId="13" fillId="7" borderId="1" xfId="0" applyFont="1" applyFill="1" applyAlignment="1">
      <alignment vertical="center" wrapText="1"/>
    </xf>
    <xf numFmtId="4" fontId="14" fillId="7" borderId="1" xfId="0" applyNumberFormat="1" applyFont="1" applyFill="1" applyAlignment="1">
      <alignment vertical="center" wrapText="1"/>
    </xf>
    <xf numFmtId="0" fontId="14" fillId="7" borderId="1" xfId="0" applyFont="1" applyFill="1" applyAlignment="1">
      <alignment vertical="center" wrapText="1"/>
    </xf>
    <xf numFmtId="0" fontId="17" fillId="11" borderId="1" xfId="0" applyFont="1" applyFill="1" applyAlignment="1">
      <alignment vertical="center" wrapText="1"/>
    </xf>
    <xf numFmtId="0" fontId="14" fillId="9" borderId="1" xfId="0" applyFont="1" applyFill="1" applyAlignment="1">
      <alignment vertical="center" wrapText="1"/>
    </xf>
    <xf numFmtId="0" fontId="19" fillId="13" borderId="1" xfId="0" applyFont="1" applyFill="1" applyAlignment="1">
      <alignment horizontal="center" vertical="center" wrapText="1"/>
    </xf>
    <xf numFmtId="0" fontId="18" fillId="12" borderId="1" xfId="0" applyFont="1" applyFill="1" applyAlignment="1">
      <alignment vertical="center" wrapText="1"/>
    </xf>
    <xf numFmtId="0" fontId="20" fillId="10" borderId="1" xfId="0" applyFont="1" applyFill="1" applyAlignment="1">
      <alignment vertical="center" wrapText="1"/>
    </xf>
    <xf numFmtId="0" fontId="15" fillId="9" borderId="1" xfId="0" applyFont="1" applyFill="1" applyAlignment="1">
      <alignment vertical="center" wrapText="1"/>
    </xf>
    <xf numFmtId="0" fontId="20" fillId="8" borderId="1" xfId="0" applyFont="1" applyFill="1" applyAlignment="1">
      <alignment vertical="center" wrapText="1"/>
    </xf>
    <xf numFmtId="0" fontId="21" fillId="12" borderId="1" xfId="0" applyFont="1" applyFill="1" applyAlignment="1">
      <alignment vertical="center" wrapText="1"/>
    </xf>
    <xf numFmtId="0" fontId="10" fillId="8" borderId="1" xfId="0" applyFont="1" applyFill="1" applyAlignment="1">
      <alignment vertical="center" wrapText="1"/>
    </xf>
    <xf numFmtId="0" fontId="38" fillId="0" borderId="0" xfId="0" applyFont="1" applyBorder="1" applyAlignment="1">
      <alignment horizontal="left" wrapText="1"/>
    </xf>
    <xf numFmtId="0" fontId="1" fillId="0" borderId="0" xfId="0" applyFont="1" applyBorder="1" applyAlignment="1">
      <alignment horizontal="left" wrapText="1"/>
    </xf>
    <xf numFmtId="0" fontId="1" fillId="0" borderId="0" xfId="0" applyFont="1" applyBorder="1" applyAlignment="1">
      <alignment horizontal="left" vertical="top" wrapText="1"/>
    </xf>
    <xf numFmtId="0" fontId="2" fillId="2" borderId="1" xfId="0" applyFont="1" applyFill="1" applyAlignment="1">
      <alignment wrapText="1"/>
    </xf>
    <xf numFmtId="0" fontId="1" fillId="0" borderId="1" xfId="0" applyFont="1" applyAlignment="1">
      <alignment wrapText="1"/>
    </xf>
    <xf numFmtId="0" fontId="5" fillId="2" borderId="1" xfId="0" applyFont="1" applyFill="1"/>
    <xf numFmtId="0" fontId="6" fillId="0" borderId="1" xfId="0" applyFont="1" applyAlignment="1">
      <alignment wrapText="1"/>
    </xf>
    <xf numFmtId="0" fontId="11" fillId="9" borderId="1" xfId="0" applyFont="1" applyFill="1" applyAlignment="1">
      <alignment vertical="center" wrapText="1"/>
    </xf>
    <xf numFmtId="0" fontId="9" fillId="8" borderId="1" xfId="0" applyFont="1" applyFill="1" applyAlignment="1">
      <alignment vertical="center" wrapText="1"/>
    </xf>
    <xf numFmtId="0" fontId="26" fillId="0" borderId="1" xfId="0" applyFont="1" applyAlignment="1">
      <alignment vertical="top" wrapText="1"/>
    </xf>
  </cellXfs>
  <cellStyles count="1">
    <cellStyle name="Normal" xfId="0" builtinId="0"/>
  </cellStyles>
  <dxfs count="4">
    <dxf>
      <font>
        <b/>
        <color rgb="FFA52A2A"/>
      </font>
      <fill>
        <patternFill patternType="solid">
          <bgColor rgb="FFFBE2DC"/>
        </patternFill>
      </fill>
    </dxf>
    <dxf>
      <font>
        <b/>
        <color rgb="FF0B634A"/>
      </font>
      <fill>
        <patternFill patternType="solid">
          <bgColor rgb="FFDCF2E7"/>
        </patternFill>
      </fill>
    </dxf>
    <dxf>
      <font>
        <color rgb="FF9B1C1C"/>
      </font>
      <fill>
        <patternFill>
          <bgColor rgb="FFFDE7E7"/>
        </patternFill>
      </fill>
    </dxf>
    <dxf>
      <font>
        <color rgb="FF9B1C1C"/>
      </font>
      <fill>
        <patternFill>
          <bgColor rgb="FFFDE7E7"/>
        </patternFill>
      </fill>
    </dxf>
  </dxfs>
  <tableStyles count="0" defaultTableStyle="TableStyleMedium2" defaultPivotStyle="PivotStyleLight16"/>
  <colors>
    <mruColors>
      <color rgb="FF0B172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9" Type="http://schemas.openxmlformats.org/officeDocument/2006/relationships/theme" Target="theme/theme1.xml" /><Relationship Id="rId3" Type="http://schemas.openxmlformats.org/officeDocument/2006/relationships/worksheet" Target="worksheets/sheet3.xml" /><Relationship Id="rId21" Type="http://schemas.openxmlformats.org/officeDocument/2006/relationships/worksheet" Target="worksheets/sheet21.xml" /><Relationship Id="rId34" Type="http://schemas.openxmlformats.org/officeDocument/2006/relationships/worksheet" Target="worksheets/sheet34.xml" /><Relationship Id="rId42" Type="http://schemas.openxmlformats.org/officeDocument/2006/relationships/calcChain" Target="calcChain.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worksheet" Target="worksheets/sheet38.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41" Type="http://schemas.openxmlformats.org/officeDocument/2006/relationships/sharedStrings" Target="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worksheet" Target="worksheets/sheet37.xml" /><Relationship Id="rId40" Type="http://schemas.openxmlformats.org/officeDocument/2006/relationships/styles" Target="style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worksheet" Target="worksheets/sheet36.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worksheet" Target="worksheets/sheet3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worksheet" Target="worksheets/sheet3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50">
                <a:solidFill>
                  <a:schemeClr val="bg1"/>
                </a:solidFill>
              </a:defRPr>
            </a:pPr>
            <a:r>
              <a:rPr lang="en-US" sz="1050">
                <a:solidFill>
                  <a:schemeClr val="bg1"/>
                </a:solidFill>
              </a:rPr>
              <a:t>Ground vs Edge end-to-end latency distribution</a:t>
            </a:r>
          </a:p>
        </c:rich>
      </c:tx>
      <c:layout>
        <c:manualLayout>
          <c:xMode val="edge"/>
          <c:yMode val="edge"/>
          <c:x val="0.36615503755099915"/>
          <c:y val="4.4097222222222225E-2"/>
        </c:manualLayout>
      </c:layout>
      <c:overlay val="1"/>
    </c:title>
    <c:autoTitleDeleted val="0"/>
    <c:plotArea>
      <c:layout/>
      <c:barChart>
        <c:barDir val="col"/>
        <c:grouping val="clustered"/>
        <c:varyColors val="1"/>
        <c:ser>
          <c:idx val="0"/>
          <c:order val="0"/>
          <c:tx>
            <c:strRef>
              <c:f>Latency_Bins!$E$6</c:f>
              <c:strCache>
                <c:ptCount val="1"/>
                <c:pt idx="0">
                  <c:v>Ground count</c:v>
                </c:pt>
              </c:strCache>
            </c:strRef>
          </c:tx>
          <c:spPr>
            <a:solidFill>
              <a:srgbClr val="F2C14E"/>
            </a:solidFill>
            <a:ln>
              <a:prstDash val="solid"/>
            </a:ln>
          </c:spPr>
          <c:invertIfNegative val="1"/>
          <c:cat>
            <c:strRef>
              <c:f>Latency_Bins!$D$7:$D$19</c:f>
              <c:strCache>
                <c:ptCount val="13"/>
                <c:pt idx="0">
                  <c:v>0 to 200</c:v>
                </c:pt>
                <c:pt idx="1">
                  <c:v>200 to 400</c:v>
                </c:pt>
                <c:pt idx="2">
                  <c:v>400 to 600</c:v>
                </c:pt>
                <c:pt idx="3">
                  <c:v>600 to 800</c:v>
                </c:pt>
                <c:pt idx="4">
                  <c:v>800 to 1000</c:v>
                </c:pt>
                <c:pt idx="5">
                  <c:v>1000 to 1200</c:v>
                </c:pt>
                <c:pt idx="6">
                  <c:v>1200 to 1400</c:v>
                </c:pt>
                <c:pt idx="7">
                  <c:v>1400 to 1600</c:v>
                </c:pt>
                <c:pt idx="8">
                  <c:v>1600 to 1800</c:v>
                </c:pt>
                <c:pt idx="9">
                  <c:v>1800 to 2000</c:v>
                </c:pt>
                <c:pt idx="10">
                  <c:v>2000 to 2200</c:v>
                </c:pt>
                <c:pt idx="11">
                  <c:v>2200 to 2400</c:v>
                </c:pt>
                <c:pt idx="12">
                  <c:v>over 2400</c:v>
                </c:pt>
              </c:strCache>
            </c:strRef>
          </c:cat>
          <c:val>
            <c:numRef>
              <c:f>Latency_Bins!$E$7:$E$19</c:f>
              <c:numCache>
                <c:formatCode>General</c:formatCode>
                <c:ptCount val="13"/>
                <c:pt idx="0">
                  <c:v>165</c:v>
                </c:pt>
                <c:pt idx="1">
                  <c:v>75</c:v>
                </c:pt>
                <c:pt idx="2">
                  <c:v>60</c:v>
                </c:pt>
                <c:pt idx="3">
                  <c:v>110</c:v>
                </c:pt>
                <c:pt idx="4">
                  <c:v>70</c:v>
                </c:pt>
                <c:pt idx="5">
                  <c:v>60</c:v>
                </c:pt>
                <c:pt idx="6">
                  <c:v>107</c:v>
                </c:pt>
                <c:pt idx="7">
                  <c:v>73</c:v>
                </c:pt>
                <c:pt idx="8">
                  <c:v>70</c:v>
                </c:pt>
                <c:pt idx="9">
                  <c:v>109</c:v>
                </c:pt>
                <c:pt idx="10">
                  <c:v>61</c:v>
                </c:pt>
                <c:pt idx="11">
                  <c:v>40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2645-46AB-94A5-9D06F16715A2}"/>
            </c:ext>
          </c:extLst>
        </c:ser>
        <c:ser>
          <c:idx val="1"/>
          <c:order val="1"/>
          <c:tx>
            <c:strRef>
              <c:f>Latency_Bins!$F$6</c:f>
              <c:strCache>
                <c:ptCount val="1"/>
                <c:pt idx="0">
                  <c:v>Edge count</c:v>
                </c:pt>
              </c:strCache>
            </c:strRef>
          </c:tx>
          <c:spPr>
            <a:solidFill>
              <a:srgbClr val="7FD1E8"/>
            </a:solidFill>
            <a:ln>
              <a:prstDash val="solid"/>
            </a:ln>
          </c:spPr>
          <c:invertIfNegative val="1"/>
          <c:cat>
            <c:strRef>
              <c:f>Latency_Bins!$D$7:$D$19</c:f>
              <c:strCache>
                <c:ptCount val="13"/>
                <c:pt idx="0">
                  <c:v>0 to 200</c:v>
                </c:pt>
                <c:pt idx="1">
                  <c:v>200 to 400</c:v>
                </c:pt>
                <c:pt idx="2">
                  <c:v>400 to 600</c:v>
                </c:pt>
                <c:pt idx="3">
                  <c:v>600 to 800</c:v>
                </c:pt>
                <c:pt idx="4">
                  <c:v>800 to 1000</c:v>
                </c:pt>
                <c:pt idx="5">
                  <c:v>1000 to 1200</c:v>
                </c:pt>
                <c:pt idx="6">
                  <c:v>1200 to 1400</c:v>
                </c:pt>
                <c:pt idx="7">
                  <c:v>1400 to 1600</c:v>
                </c:pt>
                <c:pt idx="8">
                  <c:v>1600 to 1800</c:v>
                </c:pt>
                <c:pt idx="9">
                  <c:v>1800 to 2000</c:v>
                </c:pt>
                <c:pt idx="10">
                  <c:v>2000 to 2200</c:v>
                </c:pt>
                <c:pt idx="11">
                  <c:v>2200 to 2400</c:v>
                </c:pt>
                <c:pt idx="12">
                  <c:v>over 2400</c:v>
                </c:pt>
              </c:strCache>
            </c:strRef>
          </c:cat>
          <c:val>
            <c:numRef>
              <c:f>Latency_Bins!$F$7:$F$19</c:f>
              <c:numCache>
                <c:formatCode>General</c:formatCode>
                <c:ptCount val="13"/>
                <c:pt idx="0">
                  <c:v>419</c:v>
                </c:pt>
                <c:pt idx="1">
                  <c:v>303</c:v>
                </c:pt>
                <c:pt idx="2">
                  <c:v>236</c:v>
                </c:pt>
                <c:pt idx="3">
                  <c:v>37</c:v>
                </c:pt>
                <c:pt idx="4">
                  <c:v>5</c:v>
                </c:pt>
                <c:pt idx="5">
                  <c:v>0</c:v>
                </c:pt>
                <c:pt idx="6">
                  <c:v>0</c:v>
                </c:pt>
                <c:pt idx="7">
                  <c:v>0</c:v>
                </c:pt>
                <c:pt idx="8">
                  <c:v>0</c:v>
                </c:pt>
                <c:pt idx="9">
                  <c:v>0</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2645-46AB-94A5-9D06F16715A2}"/>
            </c:ext>
          </c:extLst>
        </c:ser>
        <c:dLbls>
          <c:showLegendKey val="0"/>
          <c:showVal val="0"/>
          <c:showCatName val="0"/>
          <c:showSerName val="0"/>
          <c:showPercent val="0"/>
          <c:showBubbleSize val="0"/>
        </c:dLbls>
        <c:gapWidth val="40"/>
        <c:axId val="10"/>
        <c:axId val="100"/>
      </c:barChart>
      <c:catAx>
        <c:axId val="10"/>
        <c:scaling>
          <c:orientation val="minMax"/>
        </c:scaling>
        <c:delete val="0"/>
        <c:axPos val="b"/>
        <c:title>
          <c:tx>
            <c:rich>
              <a:bodyPr/>
              <a:lstStyle/>
              <a:p>
                <a:pPr>
                  <a:defRPr/>
                </a:pPr>
                <a:r>
                  <a:rPr lang="en-US"/>
                  <a:t>Latency range (s)</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Entities</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
        <c:crosses val="autoZero"/>
        <c:crossBetween val="between"/>
      </c:valAx>
      <c:spPr>
        <a:solidFill>
          <a:srgbClr val="0B1727"/>
        </a:solidFill>
        <a:ln>
          <a:prstDash val="solid"/>
        </a:ln>
      </c:spPr>
    </c:plotArea>
    <c:legend>
      <c:legendPos val="r"/>
      <c:layout>
        <c:manualLayout>
          <c:xMode val="edge"/>
          <c:yMode val="edge"/>
          <c:x val="0.82634464913583927"/>
          <c:y val="0.10288125000000002"/>
          <c:w val="0.12805786658743129"/>
          <c:h val="0.10632083333333334"/>
        </c:manualLayout>
      </c:layout>
      <c:overlay val="1"/>
      <c:txPr>
        <a:bodyPr/>
        <a:lstStyle/>
        <a:p>
          <a:pPr>
            <a:defRPr>
              <a:solidFill>
                <a:schemeClr val="bg1"/>
              </a:solidFill>
            </a:defRPr>
          </a:pPr>
          <a:endParaRPr lang="en-US"/>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400">
                <a:solidFill>
                  <a:schemeClr val="tx1"/>
                </a:solidFill>
              </a:defRPr>
            </a:pPr>
            <a:r>
              <a:rPr lang="en-US" sz="1400">
                <a:solidFill>
                  <a:schemeClr val="tx1"/>
                </a:solidFill>
              </a:rPr>
              <a:t>Common ACE timeline, records per UTC minute</a:t>
            </a:r>
          </a:p>
        </c:rich>
      </c:tx>
      <c:overlay val="1"/>
    </c:title>
    <c:autoTitleDeleted val="0"/>
    <c:plotArea>
      <c:layout>
        <c:manualLayout>
          <c:layoutTarget val="inner"/>
          <c:xMode val="edge"/>
          <c:yMode val="edge"/>
          <c:x val="4.4534209008627285E-2"/>
          <c:y val="8.658112596739112E-2"/>
          <c:w val="0.93902333957134287"/>
          <c:h val="0.83128676367274235"/>
        </c:manualLayout>
      </c:layout>
      <c:lineChart>
        <c:grouping val="standard"/>
        <c:varyColors val="1"/>
        <c:ser>
          <c:idx val="0"/>
          <c:order val="0"/>
          <c:tx>
            <c:strRef>
              <c:f>Common_Timeline!$C$5</c:f>
              <c:strCache>
                <c:ptCount val="1"/>
                <c:pt idx="0">
                  <c:v>AI candidate samples</c:v>
                </c:pt>
              </c:strCache>
            </c:strRef>
          </c:tx>
          <c:spPr>
            <a:ln>
              <a:prstDash val="solid"/>
            </a:ln>
          </c:spPr>
          <c:marker>
            <c:symbol val="none"/>
          </c:marker>
          <c:cat>
            <c:strRef>
              <c:f>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Common_Timeline!$C$6:$C$18</c:f>
              <c:numCache>
                <c:formatCode>General</c:formatCode>
                <c:ptCount val="13"/>
                <c:pt idx="0">
                  <c:v>2</c:v>
                </c:pt>
                <c:pt idx="1">
                  <c:v>12</c:v>
                </c:pt>
                <c:pt idx="2">
                  <c:v>1</c:v>
                </c:pt>
                <c:pt idx="3">
                  <c:v>4</c:v>
                </c:pt>
                <c:pt idx="4">
                  <c:v>12</c:v>
                </c:pt>
                <c:pt idx="5">
                  <c:v>12</c:v>
                </c:pt>
                <c:pt idx="6">
                  <c:v>12</c:v>
                </c:pt>
                <c:pt idx="7">
                  <c:v>12</c:v>
                </c:pt>
                <c:pt idx="8">
                  <c:v>12</c:v>
                </c:pt>
                <c:pt idx="9">
                  <c:v>12</c:v>
                </c:pt>
                <c:pt idx="10">
                  <c:v>12</c:v>
                </c:pt>
                <c:pt idx="11">
                  <c:v>6</c:v>
                </c:pt>
                <c:pt idx="12">
                  <c:v>2</c:v>
                </c:pt>
              </c:numCache>
            </c:numRef>
          </c:val>
          <c:smooth val="1"/>
          <c:extLst>
            <c:ext xmlns:c16="http://schemas.microsoft.com/office/drawing/2014/chart" uri="{C3380CC4-5D6E-409C-BE32-E72D297353CC}">
              <c16:uniqueId val="{00000000-7E56-4AF6-BBDB-E160A0737D3D}"/>
            </c:ext>
          </c:extLst>
        </c:ser>
        <c:ser>
          <c:idx val="1"/>
          <c:order val="1"/>
          <c:tx>
            <c:strRef>
              <c:f>Common_Timeline!$D$5</c:f>
              <c:strCache>
                <c:ptCount val="1"/>
                <c:pt idx="0">
                  <c:v>AI accepted samples</c:v>
                </c:pt>
              </c:strCache>
            </c:strRef>
          </c:tx>
          <c:spPr>
            <a:ln>
              <a:prstDash val="solid"/>
            </a:ln>
          </c:spPr>
          <c:marker>
            <c:symbol val="none"/>
          </c:marker>
          <c:cat>
            <c:strRef>
              <c:f>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Common_Timeline!$D$6:$D$18</c:f>
              <c:numCache>
                <c:formatCode>General</c:formatCode>
                <c:ptCount val="13"/>
                <c:pt idx="0">
                  <c:v>2</c:v>
                </c:pt>
                <c:pt idx="1">
                  <c:v>6</c:v>
                </c:pt>
                <c:pt idx="2">
                  <c:v>0</c:v>
                </c:pt>
                <c:pt idx="3">
                  <c:v>4</c:v>
                </c:pt>
                <c:pt idx="4">
                  <c:v>12</c:v>
                </c:pt>
                <c:pt idx="5">
                  <c:v>12</c:v>
                </c:pt>
                <c:pt idx="6">
                  <c:v>12</c:v>
                </c:pt>
                <c:pt idx="7">
                  <c:v>12</c:v>
                </c:pt>
                <c:pt idx="8">
                  <c:v>8</c:v>
                </c:pt>
                <c:pt idx="9">
                  <c:v>12</c:v>
                </c:pt>
                <c:pt idx="10">
                  <c:v>12</c:v>
                </c:pt>
                <c:pt idx="11">
                  <c:v>6</c:v>
                </c:pt>
                <c:pt idx="12">
                  <c:v>2</c:v>
                </c:pt>
              </c:numCache>
            </c:numRef>
          </c:val>
          <c:smooth val="1"/>
          <c:extLst>
            <c:ext xmlns:c16="http://schemas.microsoft.com/office/drawing/2014/chart" uri="{C3380CC4-5D6E-409C-BE32-E72D297353CC}">
              <c16:uniqueId val="{00000001-7E56-4AF6-BBDB-E160A0737D3D}"/>
            </c:ext>
          </c:extLst>
        </c:ser>
        <c:ser>
          <c:idx val="2"/>
          <c:order val="2"/>
          <c:tx>
            <c:strRef>
              <c:f>Common_Timeline!$E$5</c:f>
              <c:strCache>
                <c:ptCount val="1"/>
                <c:pt idx="0">
                  <c:v>COMM receptions</c:v>
                </c:pt>
              </c:strCache>
            </c:strRef>
          </c:tx>
          <c:spPr>
            <a:ln>
              <a:prstDash val="solid"/>
            </a:ln>
          </c:spPr>
          <c:marker>
            <c:symbol val="none"/>
          </c:marker>
          <c:cat>
            <c:strRef>
              <c:f>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Common_Timeline!$E$6:$E$18</c:f>
              <c:numCache>
                <c:formatCode>General</c:formatCode>
                <c:ptCount val="13"/>
                <c:pt idx="0">
                  <c:v>1</c:v>
                </c:pt>
                <c:pt idx="1">
                  <c:v>3</c:v>
                </c:pt>
                <c:pt idx="2">
                  <c:v>7</c:v>
                </c:pt>
                <c:pt idx="3">
                  <c:v>13</c:v>
                </c:pt>
                <c:pt idx="4">
                  <c:v>14</c:v>
                </c:pt>
                <c:pt idx="5">
                  <c:v>17</c:v>
                </c:pt>
                <c:pt idx="6">
                  <c:v>13</c:v>
                </c:pt>
                <c:pt idx="7">
                  <c:v>11</c:v>
                </c:pt>
                <c:pt idx="8">
                  <c:v>4</c:v>
                </c:pt>
                <c:pt idx="9">
                  <c:v>6</c:v>
                </c:pt>
                <c:pt idx="10">
                  <c:v>6</c:v>
                </c:pt>
                <c:pt idx="11">
                  <c:v>4</c:v>
                </c:pt>
                <c:pt idx="12">
                  <c:v>2</c:v>
                </c:pt>
              </c:numCache>
            </c:numRef>
          </c:val>
          <c:smooth val="1"/>
          <c:extLst>
            <c:ext xmlns:c16="http://schemas.microsoft.com/office/drawing/2014/chart" uri="{C3380CC4-5D6E-409C-BE32-E72D297353CC}">
              <c16:uniqueId val="{00000002-7E56-4AF6-BBDB-E160A0737D3D}"/>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sz="1100"/>
                </a:pPr>
                <a:r>
                  <a:rPr lang="en-US" sz="1100"/>
                  <a:t>UTC minute</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0"/>
        <c:crosses val="autoZero"/>
        <c:auto val="1"/>
        <c:lblAlgn val="ctr"/>
        <c:lblOffset val="100"/>
        <c:noMultiLvlLbl val="1"/>
      </c:catAx>
      <c:valAx>
        <c:axId val="100"/>
        <c:scaling>
          <c:orientation val="minMax"/>
        </c:scaling>
        <c:delete val="0"/>
        <c:axPos val="l"/>
        <c:majorGridlines/>
        <c:title>
          <c:tx>
            <c:rich>
              <a:bodyPr/>
              <a:lstStyle/>
              <a:p>
                <a:pPr>
                  <a:defRPr/>
                </a:pPr>
                <a:r>
                  <a:rPr lang="en-US"/>
                  <a:t>Records</a:t>
                </a:r>
              </a:p>
            </c:rich>
          </c:tx>
          <c:overlay val="1"/>
        </c:title>
        <c:numFmt formatCode="General" sourceLinked="1"/>
        <c:majorTickMark val="none"/>
        <c:minorTickMark val="none"/>
        <c:tickLblPos val="nextTo"/>
        <c:txPr>
          <a:bodyPr/>
          <a:lstStyle/>
          <a:p>
            <a:pPr>
              <a:defRPr sz="1200">
                <a:solidFill>
                  <a:srgbClr val="FFFFFF"/>
                </a:solidFill>
              </a:defRPr>
            </a:pPr>
            <a:endParaRPr lang="en-US"/>
          </a:p>
        </c:txPr>
        <c:crossAx val="10"/>
        <c:crosses val="autoZero"/>
        <c:crossBetween val="between"/>
      </c:valAx>
      <c:spPr>
        <a:solidFill>
          <a:srgbClr val="0B1727"/>
        </a:solidFill>
        <a:ln>
          <a:prstDash val="solid"/>
        </a:ln>
      </c:spPr>
    </c:plotArea>
    <c:legend>
      <c:legendPos val="r"/>
      <c:layout>
        <c:manualLayout>
          <c:xMode val="edge"/>
          <c:yMode val="edge"/>
          <c:x val="0.7979890069795087"/>
          <c:y val="0.12277124888296886"/>
          <c:w val="0.17361039511316692"/>
          <c:h val="0.15488576775868756"/>
        </c:manualLayout>
      </c:layout>
      <c:overlay val="1"/>
      <c:txPr>
        <a:bodyPr/>
        <a:lstStyle/>
        <a:p>
          <a:pPr>
            <a:defRPr>
              <a:solidFill>
                <a:schemeClr val="bg1"/>
              </a:solidFill>
            </a:defRPr>
          </a:pPr>
          <a:endParaRPr lang="en-US"/>
        </a:p>
      </c:txPr>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600"/>
            </a:pPr>
            <a:r>
              <a:rPr lang="en-US" sz="1600"/>
              <a:t>Onboard receiver background RSSI (dBm)</a:t>
            </a:r>
          </a:p>
        </c:rich>
      </c:tx>
      <c:layout>
        <c:manualLayout>
          <c:xMode val="edge"/>
          <c:yMode val="edge"/>
          <c:x val="0.33781545406965352"/>
          <c:y val="3.437691835481891E-2"/>
        </c:manualLayout>
      </c:layout>
      <c:overlay val="1"/>
    </c:title>
    <c:autoTitleDeleted val="0"/>
    <c:plotArea>
      <c:layout/>
      <c:lineChart>
        <c:grouping val="standard"/>
        <c:varyColors val="1"/>
        <c:ser>
          <c:idx val="0"/>
          <c:order val="0"/>
          <c:tx>
            <c:strRef>
              <c:f>COMM_Beacons!$W$5</c:f>
              <c:strCache>
                <c:ptCount val="1"/>
                <c:pt idx="0">
                  <c:v>background_rssi_level</c:v>
                </c:pt>
              </c:strCache>
            </c:strRef>
          </c:tx>
          <c:spPr>
            <a:ln>
              <a:prstDash val="solid"/>
            </a:ln>
          </c:spPr>
          <c:marker>
            <c:symbol val="none"/>
          </c:marker>
          <c:cat>
            <c:numRef>
              <c:f>COMM_Beacons!$B$6:$B$66</c:f>
              <c:numCache>
                <c:formatCode>yyyy\-mm\-dd\ hh:mm:ss</c:formatCode>
                <c:ptCount val="61"/>
                <c:pt idx="0">
                  <c:v>44589.738067129627</c:v>
                </c:pt>
                <c:pt idx="1">
                  <c:v>44589.73841435185</c:v>
                </c:pt>
                <c:pt idx="2">
                  <c:v>44589.738541666673</c:v>
                </c:pt>
                <c:pt idx="3">
                  <c:v>44589.738645833328</c:v>
                </c:pt>
                <c:pt idx="4">
                  <c:v>44589.739108796297</c:v>
                </c:pt>
                <c:pt idx="5">
                  <c:v>44589.739224537043</c:v>
                </c:pt>
                <c:pt idx="6">
                  <c:v>44589.739340277767</c:v>
                </c:pt>
                <c:pt idx="7">
                  <c:v>44589.73945601852</c:v>
                </c:pt>
                <c:pt idx="8">
                  <c:v>44589.739571759259</c:v>
                </c:pt>
                <c:pt idx="9">
                  <c:v>44589.739687499998</c:v>
                </c:pt>
                <c:pt idx="10">
                  <c:v>44589.739803240736</c:v>
                </c:pt>
                <c:pt idx="11">
                  <c:v>44589.739918981482</c:v>
                </c:pt>
                <c:pt idx="12">
                  <c:v>44589.740034722221</c:v>
                </c:pt>
                <c:pt idx="13">
                  <c:v>44589.74015046296</c:v>
                </c:pt>
                <c:pt idx="14">
                  <c:v>44589.740266203713</c:v>
                </c:pt>
                <c:pt idx="15">
                  <c:v>44589.740381944437</c:v>
                </c:pt>
                <c:pt idx="16">
                  <c:v>44589.740497685183</c:v>
                </c:pt>
                <c:pt idx="17">
                  <c:v>44589.740613425929</c:v>
                </c:pt>
                <c:pt idx="18">
                  <c:v>44589.740729166668</c:v>
                </c:pt>
                <c:pt idx="19">
                  <c:v>44589.740844907406</c:v>
                </c:pt>
                <c:pt idx="20">
                  <c:v>44589.740960648152</c:v>
                </c:pt>
                <c:pt idx="21">
                  <c:v>44589.741076388891</c:v>
                </c:pt>
                <c:pt idx="22">
                  <c:v>44589.74119212963</c:v>
                </c:pt>
                <c:pt idx="23">
                  <c:v>44589.741307870368</c:v>
                </c:pt>
                <c:pt idx="24">
                  <c:v>44589.741423611107</c:v>
                </c:pt>
                <c:pt idx="25">
                  <c:v>44589.741539351853</c:v>
                </c:pt>
                <c:pt idx="26">
                  <c:v>44589.741655092592</c:v>
                </c:pt>
                <c:pt idx="27">
                  <c:v>44589.741770833331</c:v>
                </c:pt>
                <c:pt idx="28">
                  <c:v>44589.741886574076</c:v>
                </c:pt>
                <c:pt idx="29">
                  <c:v>44589.742002314822</c:v>
                </c:pt>
                <c:pt idx="30">
                  <c:v>44589.742118055547</c:v>
                </c:pt>
                <c:pt idx="31">
                  <c:v>44589.7422337963</c:v>
                </c:pt>
                <c:pt idx="32">
                  <c:v>44589.742349537039</c:v>
                </c:pt>
                <c:pt idx="33">
                  <c:v>44589.742465277777</c:v>
                </c:pt>
                <c:pt idx="34">
                  <c:v>44589.742581018523</c:v>
                </c:pt>
                <c:pt idx="35">
                  <c:v>44589.742696759262</c:v>
                </c:pt>
                <c:pt idx="36">
                  <c:v>44589.742812500001</c:v>
                </c:pt>
                <c:pt idx="37">
                  <c:v>44589.742928240739</c:v>
                </c:pt>
                <c:pt idx="38">
                  <c:v>44589.743043981478</c:v>
                </c:pt>
                <c:pt idx="39">
                  <c:v>44589.743159722217</c:v>
                </c:pt>
                <c:pt idx="40">
                  <c:v>44589.743275462963</c:v>
                </c:pt>
                <c:pt idx="41">
                  <c:v>44589.743506944447</c:v>
                </c:pt>
                <c:pt idx="42">
                  <c:v>44589.743738425917</c:v>
                </c:pt>
                <c:pt idx="43">
                  <c:v>44589.743854166663</c:v>
                </c:pt>
                <c:pt idx="44">
                  <c:v>44589.743969907409</c:v>
                </c:pt>
                <c:pt idx="45">
                  <c:v>44589.744085648148</c:v>
                </c:pt>
                <c:pt idx="46">
                  <c:v>44589.744201388887</c:v>
                </c:pt>
                <c:pt idx="47">
                  <c:v>44589.744317129633</c:v>
                </c:pt>
                <c:pt idx="48">
                  <c:v>44589.744432870371</c:v>
                </c:pt>
                <c:pt idx="49">
                  <c:v>44589.74454861111</c:v>
                </c:pt>
                <c:pt idx="50">
                  <c:v>44589.744664351849</c:v>
                </c:pt>
                <c:pt idx="51">
                  <c:v>44589.744780092587</c:v>
                </c:pt>
                <c:pt idx="52">
                  <c:v>44589.744895833333</c:v>
                </c:pt>
                <c:pt idx="53">
                  <c:v>44589.745011574072</c:v>
                </c:pt>
                <c:pt idx="54">
                  <c:v>44589.745127314818</c:v>
                </c:pt>
                <c:pt idx="55">
                  <c:v>44589.745254629634</c:v>
                </c:pt>
                <c:pt idx="56">
                  <c:v>44589.745358796303</c:v>
                </c:pt>
                <c:pt idx="57">
                  <c:v>44589.745474537027</c:v>
                </c:pt>
                <c:pt idx="58">
                  <c:v>44589.745821759258</c:v>
                </c:pt>
                <c:pt idx="59">
                  <c:v>44589.745937500003</c:v>
                </c:pt>
                <c:pt idx="60">
                  <c:v>44589.746053240742</c:v>
                </c:pt>
              </c:numCache>
            </c:numRef>
          </c:cat>
          <c:val>
            <c:numRef>
              <c:f>COMM_Beacons!$W$6:$W$66</c:f>
              <c:numCache>
                <c:formatCode>General</c:formatCode>
                <c:ptCount val="61"/>
                <c:pt idx="0">
                  <c:v>-110</c:v>
                </c:pt>
                <c:pt idx="1">
                  <c:v>-115</c:v>
                </c:pt>
                <c:pt idx="2">
                  <c:v>-115</c:v>
                </c:pt>
                <c:pt idx="3">
                  <c:v>-100</c:v>
                </c:pt>
                <c:pt idx="4">
                  <c:v>-114</c:v>
                </c:pt>
                <c:pt idx="5">
                  <c:v>-111</c:v>
                </c:pt>
                <c:pt idx="6">
                  <c:v>-113</c:v>
                </c:pt>
                <c:pt idx="7">
                  <c:v>-111</c:v>
                </c:pt>
                <c:pt idx="8">
                  <c:v>-111</c:v>
                </c:pt>
                <c:pt idx="9">
                  <c:v>-111</c:v>
                </c:pt>
                <c:pt idx="10">
                  <c:v>-116</c:v>
                </c:pt>
                <c:pt idx="11">
                  <c:v>-111</c:v>
                </c:pt>
                <c:pt idx="12">
                  <c:v>-111</c:v>
                </c:pt>
                <c:pt idx="13">
                  <c:v>-113</c:v>
                </c:pt>
                <c:pt idx="14">
                  <c:v>-111</c:v>
                </c:pt>
                <c:pt idx="15">
                  <c:v>-108</c:v>
                </c:pt>
                <c:pt idx="16">
                  <c:v>-107</c:v>
                </c:pt>
                <c:pt idx="17">
                  <c:v>-117</c:v>
                </c:pt>
                <c:pt idx="18">
                  <c:v>-104</c:v>
                </c:pt>
                <c:pt idx="19">
                  <c:v>-107</c:v>
                </c:pt>
                <c:pt idx="20">
                  <c:v>-104</c:v>
                </c:pt>
                <c:pt idx="21">
                  <c:v>-99</c:v>
                </c:pt>
                <c:pt idx="22">
                  <c:v>-96</c:v>
                </c:pt>
                <c:pt idx="23">
                  <c:v>-105</c:v>
                </c:pt>
                <c:pt idx="24">
                  <c:v>-99</c:v>
                </c:pt>
                <c:pt idx="25">
                  <c:v>-95</c:v>
                </c:pt>
                <c:pt idx="26">
                  <c:v>-113</c:v>
                </c:pt>
                <c:pt idx="27">
                  <c:v>-112</c:v>
                </c:pt>
                <c:pt idx="28">
                  <c:v>-113</c:v>
                </c:pt>
                <c:pt idx="29">
                  <c:v>-108</c:v>
                </c:pt>
                <c:pt idx="30">
                  <c:v>-93</c:v>
                </c:pt>
                <c:pt idx="31">
                  <c:v>-109</c:v>
                </c:pt>
                <c:pt idx="32">
                  <c:v>-99</c:v>
                </c:pt>
                <c:pt idx="33">
                  <c:v>-98</c:v>
                </c:pt>
                <c:pt idx="34">
                  <c:v>-99</c:v>
                </c:pt>
                <c:pt idx="35">
                  <c:v>-103</c:v>
                </c:pt>
                <c:pt idx="36">
                  <c:v>-103</c:v>
                </c:pt>
                <c:pt idx="37">
                  <c:v>-108</c:v>
                </c:pt>
                <c:pt idx="38">
                  <c:v>-96</c:v>
                </c:pt>
                <c:pt idx="39">
                  <c:v>-100</c:v>
                </c:pt>
                <c:pt idx="40">
                  <c:v>-101</c:v>
                </c:pt>
                <c:pt idx="41">
                  <c:v>-109</c:v>
                </c:pt>
                <c:pt idx="42">
                  <c:v>-111</c:v>
                </c:pt>
                <c:pt idx="43">
                  <c:v>-105</c:v>
                </c:pt>
                <c:pt idx="44">
                  <c:v>-89</c:v>
                </c:pt>
                <c:pt idx="45">
                  <c:v>-109</c:v>
                </c:pt>
                <c:pt idx="46">
                  <c:v>-91</c:v>
                </c:pt>
                <c:pt idx="47">
                  <c:v>-109</c:v>
                </c:pt>
                <c:pt idx="48">
                  <c:v>-111</c:v>
                </c:pt>
                <c:pt idx="49">
                  <c:v>-111</c:v>
                </c:pt>
                <c:pt idx="50">
                  <c:v>-102</c:v>
                </c:pt>
                <c:pt idx="51">
                  <c:v>-112</c:v>
                </c:pt>
                <c:pt idx="52">
                  <c:v>-111</c:v>
                </c:pt>
                <c:pt idx="53">
                  <c:v>-111</c:v>
                </c:pt>
                <c:pt idx="54">
                  <c:v>-112</c:v>
                </c:pt>
                <c:pt idx="55">
                  <c:v>-114</c:v>
                </c:pt>
                <c:pt idx="56">
                  <c:v>-113</c:v>
                </c:pt>
                <c:pt idx="57">
                  <c:v>-115</c:v>
                </c:pt>
                <c:pt idx="58">
                  <c:v>-102</c:v>
                </c:pt>
                <c:pt idx="59">
                  <c:v>-107</c:v>
                </c:pt>
                <c:pt idx="60">
                  <c:v>-114</c:v>
                </c:pt>
              </c:numCache>
            </c:numRef>
          </c:val>
          <c:smooth val="1"/>
          <c:extLst>
            <c:ext xmlns:c16="http://schemas.microsoft.com/office/drawing/2014/chart" uri="{C3380CC4-5D6E-409C-BE32-E72D297353CC}">
              <c16:uniqueId val="{00000000-EA51-4D3A-9112-4DD2E2136010}"/>
            </c:ext>
          </c:extLst>
        </c:ser>
        <c:dLbls>
          <c:showLegendKey val="0"/>
          <c:showVal val="0"/>
          <c:showCatName val="0"/>
          <c:showSerName val="0"/>
          <c:showPercent val="0"/>
          <c:showBubbleSize val="0"/>
        </c:dLbls>
        <c:smooth val="0"/>
        <c:axId val="10"/>
        <c:axId val="100"/>
      </c:lineChart>
      <c:dateAx>
        <c:axId val="10"/>
        <c:scaling>
          <c:orientation val="minMax"/>
        </c:scaling>
        <c:delete val="1"/>
        <c:axPos val="b"/>
        <c:numFmt formatCode="yyyy\-mm\-dd\ hh:mm:ss" sourceLinked="1"/>
        <c:majorTickMark val="none"/>
        <c:minorTickMark val="none"/>
        <c:tickLblPos val="nextTo"/>
        <c:crossAx val="100"/>
        <c:crosses val="autoZero"/>
        <c:auto val="1"/>
        <c:lblOffset val="100"/>
        <c:baseTimeUnit val="days"/>
      </c:date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plotVisOnly val="1"/>
    <c:dispBlanksAs val="gap"/>
    <c:showDLblsOverMax val="1"/>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tx>
            <c:v>AI candidates</c:v>
          </c:tx>
          <c:spPr>
            <a:ln>
              <a:prstDash val="solid"/>
            </a:ln>
          </c:spPr>
          <c:marker>
            <c:symbol val="none"/>
          </c:marker>
          <c:cat>
            <c:strRef>
              <c:f>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Common_Timeline!$C$6:$C$18</c:f>
              <c:numCache>
                <c:formatCode>General</c:formatCode>
                <c:ptCount val="13"/>
                <c:pt idx="0">
                  <c:v>2</c:v>
                </c:pt>
                <c:pt idx="1">
                  <c:v>12</c:v>
                </c:pt>
                <c:pt idx="2">
                  <c:v>1</c:v>
                </c:pt>
                <c:pt idx="3">
                  <c:v>4</c:v>
                </c:pt>
                <c:pt idx="4">
                  <c:v>12</c:v>
                </c:pt>
                <c:pt idx="5">
                  <c:v>12</c:v>
                </c:pt>
                <c:pt idx="6">
                  <c:v>12</c:v>
                </c:pt>
                <c:pt idx="7">
                  <c:v>12</c:v>
                </c:pt>
                <c:pt idx="8">
                  <c:v>12</c:v>
                </c:pt>
                <c:pt idx="9">
                  <c:v>12</c:v>
                </c:pt>
                <c:pt idx="10">
                  <c:v>12</c:v>
                </c:pt>
                <c:pt idx="11">
                  <c:v>6</c:v>
                </c:pt>
                <c:pt idx="12">
                  <c:v>2</c:v>
                </c:pt>
              </c:numCache>
            </c:numRef>
          </c:val>
          <c:smooth val="1"/>
          <c:extLst>
            <c:ext xmlns:c16="http://schemas.microsoft.com/office/drawing/2014/chart" uri="{C3380CC4-5D6E-409C-BE32-E72D297353CC}">
              <c16:uniqueId val="{00000000-EA47-41E2-A938-32950BAE7ED3}"/>
            </c:ext>
          </c:extLst>
        </c:ser>
        <c:ser>
          <c:idx val="1"/>
          <c:order val="1"/>
          <c:tx>
            <c:v>AI retained</c:v>
          </c:tx>
          <c:spPr>
            <a:ln>
              <a:prstDash val="solid"/>
            </a:ln>
          </c:spPr>
          <c:marker>
            <c:symbol val="none"/>
          </c:marker>
          <c:cat>
            <c:strRef>
              <c:f>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Common_Timeline!$D$6:$D$18</c:f>
              <c:numCache>
                <c:formatCode>General</c:formatCode>
                <c:ptCount val="13"/>
                <c:pt idx="0">
                  <c:v>2</c:v>
                </c:pt>
                <c:pt idx="1">
                  <c:v>6</c:v>
                </c:pt>
                <c:pt idx="2">
                  <c:v>0</c:v>
                </c:pt>
                <c:pt idx="3">
                  <c:v>4</c:v>
                </c:pt>
                <c:pt idx="4">
                  <c:v>12</c:v>
                </c:pt>
                <c:pt idx="5">
                  <c:v>12</c:v>
                </c:pt>
                <c:pt idx="6">
                  <c:v>12</c:v>
                </c:pt>
                <c:pt idx="7">
                  <c:v>12</c:v>
                </c:pt>
                <c:pt idx="8">
                  <c:v>8</c:v>
                </c:pt>
                <c:pt idx="9">
                  <c:v>12</c:v>
                </c:pt>
                <c:pt idx="10">
                  <c:v>12</c:v>
                </c:pt>
                <c:pt idx="11">
                  <c:v>6</c:v>
                </c:pt>
                <c:pt idx="12">
                  <c:v>2</c:v>
                </c:pt>
              </c:numCache>
            </c:numRef>
          </c:val>
          <c:smooth val="1"/>
          <c:extLst>
            <c:ext xmlns:c16="http://schemas.microsoft.com/office/drawing/2014/chart" uri="{C3380CC4-5D6E-409C-BE32-E72D297353CC}">
              <c16:uniqueId val="{00000001-EA47-41E2-A938-32950BAE7ED3}"/>
            </c:ext>
          </c:extLst>
        </c:ser>
        <c:ser>
          <c:idx val="2"/>
          <c:order val="2"/>
          <c:tx>
            <c:v>COMM reception records</c:v>
          </c:tx>
          <c:spPr>
            <a:ln>
              <a:prstDash val="solid"/>
            </a:ln>
          </c:spPr>
          <c:marker>
            <c:symbol val="none"/>
          </c:marker>
          <c:cat>
            <c:strRef>
              <c:f>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Common_Timeline!$E$6:$E$18</c:f>
              <c:numCache>
                <c:formatCode>General</c:formatCode>
                <c:ptCount val="13"/>
                <c:pt idx="0">
                  <c:v>1</c:v>
                </c:pt>
                <c:pt idx="1">
                  <c:v>3</c:v>
                </c:pt>
                <c:pt idx="2">
                  <c:v>7</c:v>
                </c:pt>
                <c:pt idx="3">
                  <c:v>13</c:v>
                </c:pt>
                <c:pt idx="4">
                  <c:v>14</c:v>
                </c:pt>
                <c:pt idx="5">
                  <c:v>17</c:v>
                </c:pt>
                <c:pt idx="6">
                  <c:v>13</c:v>
                </c:pt>
                <c:pt idx="7">
                  <c:v>11</c:v>
                </c:pt>
                <c:pt idx="8">
                  <c:v>4</c:v>
                </c:pt>
                <c:pt idx="9">
                  <c:v>6</c:v>
                </c:pt>
                <c:pt idx="10">
                  <c:v>6</c:v>
                </c:pt>
                <c:pt idx="11">
                  <c:v>4</c:v>
                </c:pt>
                <c:pt idx="12">
                  <c:v>2</c:v>
                </c:pt>
              </c:numCache>
            </c:numRef>
          </c:val>
          <c:smooth val="1"/>
          <c:extLst>
            <c:ext xmlns:c16="http://schemas.microsoft.com/office/drawing/2014/chart" uri="{C3380CC4-5D6E-409C-BE32-E72D297353CC}">
              <c16:uniqueId val="{00000002-EA47-41E2-A938-32950BAE7ED3}"/>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hh:mm" sourceLinked="0"/>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 sourceLinked="0"/>
        <c:majorTickMark val="none"/>
        <c:minorTickMark val="none"/>
        <c:tickLblPos val="nextTo"/>
        <c:crossAx val="48650112"/>
        <c:crosses val="autoZero"/>
        <c:crossBetween val="between"/>
      </c:valAx>
    </c:plotArea>
    <c:legend>
      <c:legendPos val="b"/>
      <c:overlay val="0"/>
    </c:legend>
    <c:plotVisOnly val="1"/>
    <c:dispBlanksAs val="gap"/>
    <c:showDLblsOverMax val="1"/>
  </c:chart>
  <c:spPr>
    <a:ln w="9525">
      <a:solidFill>
        <a:srgbClr val="D9D9D9"/>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200"/>
            </a:pPr>
            <a:r>
              <a:rPr lang="en-US" sz="1200"/>
              <a:t>Common ACE timeline</a:t>
            </a:r>
          </a:p>
        </c:rich>
      </c:tx>
      <c:overlay val="1"/>
    </c:title>
    <c:autoTitleDeleted val="0"/>
    <c:plotArea>
      <c:layout/>
      <c:lineChart>
        <c:grouping val="standard"/>
        <c:varyColors val="1"/>
        <c:ser>
          <c:idx val="0"/>
          <c:order val="0"/>
          <c:tx>
            <c:strRef>
              <c:f>Common_Timeline!$C$5</c:f>
              <c:strCache>
                <c:ptCount val="1"/>
                <c:pt idx="0">
                  <c:v>AI candidate samples</c:v>
                </c:pt>
              </c:strCache>
            </c:strRef>
          </c:tx>
          <c:spPr>
            <a:ln>
              <a:prstDash val="solid"/>
            </a:ln>
          </c:spPr>
          <c:marker>
            <c:symbol val="none"/>
          </c:marker>
          <c:cat>
            <c:strRef>
              <c:f>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Common_Timeline!$C$6:$C$18</c:f>
              <c:numCache>
                <c:formatCode>General</c:formatCode>
                <c:ptCount val="13"/>
                <c:pt idx="0">
                  <c:v>2</c:v>
                </c:pt>
                <c:pt idx="1">
                  <c:v>12</c:v>
                </c:pt>
                <c:pt idx="2">
                  <c:v>1</c:v>
                </c:pt>
                <c:pt idx="3">
                  <c:v>4</c:v>
                </c:pt>
                <c:pt idx="4">
                  <c:v>12</c:v>
                </c:pt>
                <c:pt idx="5">
                  <c:v>12</c:v>
                </c:pt>
                <c:pt idx="6">
                  <c:v>12</c:v>
                </c:pt>
                <c:pt idx="7">
                  <c:v>12</c:v>
                </c:pt>
                <c:pt idx="8">
                  <c:v>12</c:v>
                </c:pt>
                <c:pt idx="9">
                  <c:v>12</c:v>
                </c:pt>
                <c:pt idx="10">
                  <c:v>12</c:v>
                </c:pt>
                <c:pt idx="11">
                  <c:v>6</c:v>
                </c:pt>
                <c:pt idx="12">
                  <c:v>2</c:v>
                </c:pt>
              </c:numCache>
            </c:numRef>
          </c:val>
          <c:smooth val="1"/>
          <c:extLst>
            <c:ext xmlns:c16="http://schemas.microsoft.com/office/drawing/2014/chart" uri="{C3380CC4-5D6E-409C-BE32-E72D297353CC}">
              <c16:uniqueId val="{00000000-CBB1-4EB7-9F87-476522BA0C22}"/>
            </c:ext>
          </c:extLst>
        </c:ser>
        <c:ser>
          <c:idx val="1"/>
          <c:order val="1"/>
          <c:tx>
            <c:strRef>
              <c:f>Common_Timeline!$D$5</c:f>
              <c:strCache>
                <c:ptCount val="1"/>
                <c:pt idx="0">
                  <c:v>AI accepted samples</c:v>
                </c:pt>
              </c:strCache>
            </c:strRef>
          </c:tx>
          <c:spPr>
            <a:ln>
              <a:prstDash val="solid"/>
            </a:ln>
          </c:spPr>
          <c:marker>
            <c:symbol val="none"/>
          </c:marker>
          <c:cat>
            <c:strRef>
              <c:f>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Common_Timeline!$D$6:$D$18</c:f>
              <c:numCache>
                <c:formatCode>General</c:formatCode>
                <c:ptCount val="13"/>
                <c:pt idx="0">
                  <c:v>2</c:v>
                </c:pt>
                <c:pt idx="1">
                  <c:v>6</c:v>
                </c:pt>
                <c:pt idx="2">
                  <c:v>0</c:v>
                </c:pt>
                <c:pt idx="3">
                  <c:v>4</c:v>
                </c:pt>
                <c:pt idx="4">
                  <c:v>12</c:v>
                </c:pt>
                <c:pt idx="5">
                  <c:v>12</c:v>
                </c:pt>
                <c:pt idx="6">
                  <c:v>12</c:v>
                </c:pt>
                <c:pt idx="7">
                  <c:v>12</c:v>
                </c:pt>
                <c:pt idx="8">
                  <c:v>8</c:v>
                </c:pt>
                <c:pt idx="9">
                  <c:v>12</c:v>
                </c:pt>
                <c:pt idx="10">
                  <c:v>12</c:v>
                </c:pt>
                <c:pt idx="11">
                  <c:v>6</c:v>
                </c:pt>
                <c:pt idx="12">
                  <c:v>2</c:v>
                </c:pt>
              </c:numCache>
            </c:numRef>
          </c:val>
          <c:smooth val="1"/>
          <c:extLst>
            <c:ext xmlns:c16="http://schemas.microsoft.com/office/drawing/2014/chart" uri="{C3380CC4-5D6E-409C-BE32-E72D297353CC}">
              <c16:uniqueId val="{00000001-CBB1-4EB7-9F87-476522BA0C22}"/>
            </c:ext>
          </c:extLst>
        </c:ser>
        <c:ser>
          <c:idx val="2"/>
          <c:order val="2"/>
          <c:tx>
            <c:strRef>
              <c:f>Common_Timeline!$E$5</c:f>
              <c:strCache>
                <c:ptCount val="1"/>
                <c:pt idx="0">
                  <c:v>COMM receptions</c:v>
                </c:pt>
              </c:strCache>
            </c:strRef>
          </c:tx>
          <c:spPr>
            <a:ln>
              <a:prstDash val="solid"/>
            </a:ln>
          </c:spPr>
          <c:marker>
            <c:symbol val="none"/>
          </c:marker>
          <c:cat>
            <c:strRef>
              <c:f>Common_Timeline!$A$6:$A$18</c:f>
              <c:strCache>
                <c:ptCount val="13"/>
                <c:pt idx="0">
                  <c:v>17:42</c:v>
                </c:pt>
                <c:pt idx="1">
                  <c:v>17:43</c:v>
                </c:pt>
                <c:pt idx="2">
                  <c:v>17:44</c:v>
                </c:pt>
                <c:pt idx="3">
                  <c:v>17:45</c:v>
                </c:pt>
                <c:pt idx="4">
                  <c:v>17:46</c:v>
                </c:pt>
                <c:pt idx="5">
                  <c:v>17:47</c:v>
                </c:pt>
                <c:pt idx="6">
                  <c:v>17:48</c:v>
                </c:pt>
                <c:pt idx="7">
                  <c:v>17:49</c:v>
                </c:pt>
                <c:pt idx="8">
                  <c:v>17:50</c:v>
                </c:pt>
                <c:pt idx="9">
                  <c:v>17:51</c:v>
                </c:pt>
                <c:pt idx="10">
                  <c:v>17:52</c:v>
                </c:pt>
                <c:pt idx="11">
                  <c:v>17:53</c:v>
                </c:pt>
                <c:pt idx="12">
                  <c:v>17:54</c:v>
                </c:pt>
              </c:strCache>
            </c:strRef>
          </c:cat>
          <c:val>
            <c:numRef>
              <c:f>Common_Timeline!$E$6:$E$18</c:f>
              <c:numCache>
                <c:formatCode>General</c:formatCode>
                <c:ptCount val="13"/>
                <c:pt idx="0">
                  <c:v>1</c:v>
                </c:pt>
                <c:pt idx="1">
                  <c:v>3</c:v>
                </c:pt>
                <c:pt idx="2">
                  <c:v>7</c:v>
                </c:pt>
                <c:pt idx="3">
                  <c:v>13</c:v>
                </c:pt>
                <c:pt idx="4">
                  <c:v>14</c:v>
                </c:pt>
                <c:pt idx="5">
                  <c:v>17</c:v>
                </c:pt>
                <c:pt idx="6">
                  <c:v>13</c:v>
                </c:pt>
                <c:pt idx="7">
                  <c:v>11</c:v>
                </c:pt>
                <c:pt idx="8">
                  <c:v>4</c:v>
                </c:pt>
                <c:pt idx="9">
                  <c:v>6</c:v>
                </c:pt>
                <c:pt idx="10">
                  <c:v>6</c:v>
                </c:pt>
                <c:pt idx="11">
                  <c:v>4</c:v>
                </c:pt>
                <c:pt idx="12">
                  <c:v>2</c:v>
                </c:pt>
              </c:numCache>
            </c:numRef>
          </c:val>
          <c:smooth val="1"/>
          <c:extLst>
            <c:ext xmlns:c16="http://schemas.microsoft.com/office/drawing/2014/chart" uri="{C3380CC4-5D6E-409C-BE32-E72D297353CC}">
              <c16:uniqueId val="{00000002-CBB1-4EB7-9F87-476522BA0C22}"/>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spPr>
            <a:ln>
              <a:solidFill>
                <a:schemeClr val="bg1">
                  <a:lumMod val="85000"/>
                </a:schemeClr>
              </a:solidFill>
            </a:ln>
          </c:spPr>
        </c:majorGridlines>
        <c:numFmt formatCode="General" sourceLinked="1"/>
        <c:majorTickMark val="none"/>
        <c:minorTickMark val="none"/>
        <c:tickLblPos val="nextTo"/>
        <c:crossAx val="10"/>
        <c:crosses val="autoZero"/>
        <c:crossBetween val="between"/>
      </c:valAx>
    </c:plotArea>
    <c:legend>
      <c:legendPos val="r"/>
      <c:layout>
        <c:manualLayout>
          <c:xMode val="edge"/>
          <c:yMode val="edge"/>
          <c:x val="0.7650924500359243"/>
          <c:y val="4.4820987654321007E-2"/>
          <c:w val="0.21628557603483922"/>
          <c:h val="0.21264166666666667"/>
        </c:manualLayout>
      </c:layout>
      <c:overlay val="1"/>
    </c:legend>
    <c:plotVisOnly val="1"/>
    <c:dispBlanksAs val="gap"/>
    <c:showDLblsOverMax val="1"/>
  </c:chart>
  <c:spPr>
    <a:ln>
      <a:solidFill>
        <a:schemeClr val="bg1">
          <a:lumMod val="75000"/>
        </a:schemeClr>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 /><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 /></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 /><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oneCellAnchor>
    <xdr:from>
      <xdr:col>7</xdr:col>
      <xdr:colOff>0</xdr:colOff>
      <xdr:row>4</xdr:row>
      <xdr:rowOff>0</xdr:rowOff>
    </xdr:from>
    <xdr:ext cx="8077200" cy="432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6</xdr:col>
      <xdr:colOff>66675</xdr:colOff>
      <xdr:row>17</xdr:row>
      <xdr:rowOff>190499</xdr:rowOff>
    </xdr:from>
    <xdr:ext cx="8496300" cy="4448175"/>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33</xdr:row>
      <xdr:rowOff>314324</xdr:rowOff>
    </xdr:from>
    <xdr:ext cx="10944224" cy="5172075"/>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twoCellAnchor>
    <xdr:from>
      <xdr:col>12</xdr:col>
      <xdr:colOff>200025</xdr:colOff>
      <xdr:row>11</xdr:row>
      <xdr:rowOff>85725</xdr:rowOff>
    </xdr:from>
    <xdr:to>
      <xdr:col>22</xdr:col>
      <xdr:colOff>200025</xdr:colOff>
      <xdr:row>24</xdr:row>
      <xdr:rowOff>85725</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12</xdr:col>
      <xdr:colOff>228600</xdr:colOff>
      <xdr:row>0</xdr:row>
      <xdr:rowOff>57150</xdr:rowOff>
    </xdr:from>
    <xdr:ext cx="6819900" cy="3240000"/>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MDecodedTable" displayName="COMMDecodedTable" ref="A5:AG105" totalsRowShown="0">
  <tableColumns count="33">
    <tableColumn id="1" xr3:uid="{00000000-0010-0000-0000-000001000000}" name="JSON row"/>
    <tableColumn id="2" xr3:uid="{00000000-0010-0000-0000-000002000000}" name="Reception UTC"/>
    <tableColumn id="3" xr3:uid="{00000000-0010-0000-0000-000003000000}" name="Observer"/>
    <tableColumn id="4" xr3:uid="{00000000-0010-0000-0000-000004000000}" name="Station ID"/>
    <tableColumn id="5" xr3:uid="{00000000-0010-0000-0000-000005000000}" name="Observation ID"/>
    <tableColumn id="6" xr3:uid="{00000000-0010-0000-0000-000006000000}" name="Frame bytes"/>
    <tableColumn id="7" xr3:uid="{00000000-0010-0000-0000-000007000000}" name="Representation"/>
    <tableColumn id="8" xr3:uid="{00000000-0010-0000-0000-000008000000}" name="CRC32-C"/>
    <tableColumn id="9" xr3:uid="{00000000-0010-0000-0000-000009000000}" name="Beacon ID"/>
    <tableColumn id="10" xr3:uid="{00000000-0010-0000-0000-00000A000000}" name="Beacon quality"/>
    <tableColumn id="11" xr3:uid="{00000000-0010-0000-0000-00000B000000}" name="Raw-frame SHA256"/>
    <tableColumn id="12" xr3:uid="{00000000-0010-0000-0000-00000C000000}" name="Beacon SHA256"/>
    <tableColumn id="13" xr3:uid="{00000000-0010-0000-0000-00000D000000}" name="Original frame hex"/>
    <tableColumn id="14" xr3:uid="{00000000-0010-0000-0000-00000E000000}" name="board_temperature"/>
    <tableColumn id="15" xr3:uid="{00000000-0010-0000-0000-00000F000000}" name="pa_temperature"/>
    <tableColumn id="16" xr3:uid="{00000000-0010-0000-0000-000010000000}" name="last_received_rssi"/>
    <tableColumn id="17" xr3:uid="{00000000-0010-0000-0000-000011000000}" name="last_received_rf_error"/>
    <tableColumn id="18" xr3:uid="{00000000-0010-0000-0000-000012000000}" name="number_of_tx_packets_since_reboot"/>
    <tableColumn id="19" xr3:uid="{00000000-0010-0000-0000-000013000000}" name="number_of_rx_packets_since_reboot"/>
    <tableColumn id="20" xr3:uid="{00000000-0010-0000-0000-000014000000}" name="number_of_tx_bytes_since_reboot"/>
    <tableColumn id="21" xr3:uid="{00000000-0010-0000-0000-000015000000}" name="number_of_rx_bytes_since_reboot"/>
    <tableColumn id="22" xr3:uid="{00000000-0010-0000-0000-000016000000}" name="active_system_configuration"/>
    <tableColumn id="23" xr3:uid="{00000000-0010-0000-0000-000017000000}" name="reboot_number"/>
    <tableColumn id="24" xr3:uid="{00000000-0010-0000-0000-000018000000}" name="reboot_cause"/>
    <tableColumn id="25" xr3:uid="{00000000-0010-0000-0000-000019000000}" name="last_valid_packet_timestamp"/>
    <tableColumn id="26" xr3:uid="{00000000-0010-0000-0000-00001A000000}" name="background_rssi_level"/>
    <tableColumn id="27" xr3:uid="{00000000-0010-0000-0000-00001B000000}" name="tx_duty_time_since_reboot"/>
    <tableColumn id="28" xr3:uid="{00000000-0010-0000-0000-00001C000000}" name="total_tx_packets"/>
    <tableColumn id="29" xr3:uid="{00000000-0010-0000-0000-00001D000000}" name="total_rx_packets"/>
    <tableColumn id="30" xr3:uid="{00000000-0010-0000-0000-00001E000000}" name="total_tx_bytes"/>
    <tableColumn id="31" xr3:uid="{00000000-0010-0000-0000-00001F000000}" name="total_rx_bytes"/>
    <tableColumn id="32" xr3:uid="{00000000-0010-0000-0000-000020000000}" name="CRC received hex"/>
    <tableColumn id="33" xr3:uid="{00000000-0010-0000-0000-000021000000}" name="CRC computed hex"/>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MMBeaconsTable" displayName="COMMBeaconsTable" ref="A5:AB66" totalsRowShown="0">
  <tableColumns count="28">
    <tableColumn id="1" xr3:uid="{00000000-0010-0000-0100-000001000000}" name="Beacon ID"/>
    <tableColumn id="2" xr3:uid="{00000000-0010-0000-0100-000002000000}" name="Reception UTC"/>
    <tableColumn id="3" xr3:uid="{00000000-0010-0000-0100-000003000000}" name="Elapsed s"/>
    <tableColumn id="4" xr3:uid="{00000000-0010-0000-0100-000004000000}" name="Preferred JSON row"/>
    <tableColumn id="5" xr3:uid="{00000000-0010-0000-0100-000005000000}" name="Quality"/>
    <tableColumn id="6" xr3:uid="{00000000-0010-0000-0100-000006000000}" name="Reception count"/>
    <tableColumn id="7" xr3:uid="{00000000-0010-0000-0100-000007000000}" name="CRC-pass receptions"/>
    <tableColumn id="8" xr3:uid="{00000000-0010-0000-0100-000008000000}" name="Preprocessed receptions"/>
    <tableColumn id="9" xr3:uid="{00000000-0010-0000-0100-000009000000}" name="Canonical SHA256"/>
    <tableColumn id="10" xr3:uid="{00000000-0010-0000-0100-00000A000000}" name="Observers"/>
    <tableColumn id="11" xr3:uid="{00000000-0010-0000-0100-00000B000000}" name="board_temperature"/>
    <tableColumn id="12" xr3:uid="{00000000-0010-0000-0100-00000C000000}" name="pa_temperature"/>
    <tableColumn id="13" xr3:uid="{00000000-0010-0000-0100-00000D000000}" name="last_received_rssi"/>
    <tableColumn id="14" xr3:uid="{00000000-0010-0000-0100-00000E000000}" name="last_received_rf_error"/>
    <tableColumn id="15" xr3:uid="{00000000-0010-0000-0100-00000F000000}" name="number_of_tx_packets_since_reboot"/>
    <tableColumn id="16" xr3:uid="{00000000-0010-0000-0100-000010000000}" name="number_of_rx_packets_since_reboot"/>
    <tableColumn id="17" xr3:uid="{00000000-0010-0000-0100-000011000000}" name="number_of_tx_bytes_since_reboot"/>
    <tableColumn id="18" xr3:uid="{00000000-0010-0000-0100-000012000000}" name="number_of_rx_bytes_since_reboot"/>
    <tableColumn id="19" xr3:uid="{00000000-0010-0000-0100-000013000000}" name="active_system_configuration"/>
    <tableColumn id="20" xr3:uid="{00000000-0010-0000-0100-000014000000}" name="reboot_number"/>
    <tableColumn id="21" xr3:uid="{00000000-0010-0000-0100-000015000000}" name="reboot_cause"/>
    <tableColumn id="22" xr3:uid="{00000000-0010-0000-0100-000016000000}" name="last_valid_packet_timestamp"/>
    <tableColumn id="23" xr3:uid="{00000000-0010-0000-0100-000017000000}" name="background_rssi_level"/>
    <tableColumn id="24" xr3:uid="{00000000-0010-0000-0100-000018000000}" name="tx_duty_time_since_reboot"/>
    <tableColumn id="25" xr3:uid="{00000000-0010-0000-0100-000019000000}" name="total_tx_packets"/>
    <tableColumn id="26" xr3:uid="{00000000-0010-0000-0100-00001A000000}" name="total_rx_packets"/>
    <tableColumn id="27" xr3:uid="{00000000-0010-0000-0100-00001B000000}" name="total_tx_bytes"/>
    <tableColumn id="28" xr3:uid="{00000000-0010-0000-0100-00001C000000}" name="total_rx_by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OMMCounterDeltasTable" displayName="COMMCounterDeltasTable" ref="A5:R65" totalsRowShown="0">
  <tableColumns count="18">
    <tableColumn id="1" xr3:uid="{00000000-0010-0000-0200-000001000000}" name="End beacon ID"/>
    <tableColumn id="2" xr3:uid="{00000000-0010-0000-0200-000002000000}" name="Start UTC"/>
    <tableColumn id="3" xr3:uid="{00000000-0010-0000-0200-000003000000}" name="End UTC"/>
    <tableColumn id="4" xr3:uid="{00000000-0010-0000-0200-000004000000}" name="Interval s"/>
    <tableColumn id="5" xr3:uid="{00000000-0010-0000-0200-000005000000}" name="TX packet increment"/>
    <tableColumn id="6" xr3:uid="{00000000-0010-0000-0200-000006000000}" name="TX byte increment"/>
    <tableColumn id="7" xr3:uid="{00000000-0010-0000-0200-000007000000}" name="RX packet increment"/>
    <tableColumn id="8" xr3:uid="{00000000-0010-0000-0200-000008000000}" name="RX byte increment"/>
    <tableColumn id="9" xr3:uid="{00000000-0010-0000-0200-000009000000}" name="TX counter packets/s"/>
    <tableColumn id="10" xr3:uid="{00000000-0010-0000-0200-00000A000000}" name="TX counter bytes/s"/>
    <tableColumn id="11" xr3:uid="{00000000-0010-0000-0200-00000B000000}" name="TX counter bits/s"/>
    <tableColumn id="12" xr3:uid="{00000000-0010-0000-0200-00000C000000}" name="Bytes / TX increment"/>
    <tableColumn id="13" xr3:uid="{00000000-0010-0000-0200-00000D000000}" name="New observed beacon"/>
    <tableColumn id="14" xr3:uid="{00000000-0010-0000-0200-00000E000000}" name="Unobserved increments*"/>
    <tableColumn id="15" xr3:uid="{00000000-0010-0000-0200-00000F000000}" name="Reboot changed"/>
    <tableColumn id="16" xr3:uid="{00000000-0010-0000-0200-000010000000}" name="Counter decrease"/>
    <tableColumn id="17" xr3:uid="{00000000-0010-0000-0200-000011000000}" name="Lifetime deltas agree"/>
    <tableColumn id="18" xr3:uid="{00000000-0010-0000-0200-000012000000}" name="Interval eligibl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MRejectedTable" displayName="COMMRejectedTable" ref="A5:I6" totalsRowShown="0">
  <tableColumns count="9">
    <tableColumn id="1" xr3:uid="{00000000-0010-0000-0300-000001000000}" name="JSON row"/>
    <tableColumn id="2" xr3:uid="{00000000-0010-0000-0300-000002000000}" name="UTC"/>
    <tableColumn id="3" xr3:uid="{00000000-0010-0000-0300-000003000000}" name="Observer"/>
    <tableColumn id="4" xr3:uid="{00000000-0010-0000-0300-000004000000}" name="Reason for rejection"/>
    <tableColumn id="5" xr3:uid="{00000000-0010-0000-0300-000005000000}" name="Source callsign"/>
    <tableColumn id="6" xr3:uid="{00000000-0010-0000-0300-000006000000}" name="Original frame hex"/>
    <tableColumn id="7" xr3:uid="{00000000-0010-0000-0300-000007000000}" name="Payload duplicates an accepted beacon"/>
    <tableColumn id="8" xr3:uid="{00000000-0010-0000-0300-000008000000}" name="Matched beacon ID"/>
    <tableColumn id="9" xr3:uid="{00000000-0010-0000-0300-000009000000}" name="CRC corrobor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MFieldMapTable" displayName="COMMFieldMapTable" ref="A5:H28" totalsRowShown="0">
  <tableColumns count="8">
    <tableColumn id="1" xr3:uid="{00000000-0010-0000-0400-000001000000}" name="Field"/>
    <tableColumn id="2" xr3:uid="{00000000-0010-0000-0400-000002000000}" name="Unit / encoding"/>
    <tableColumn id="3" xr3:uid="{00000000-0010-0000-0400-000003000000}" name="Minimum"/>
    <tableColumn id="4" xr3:uid="{00000000-0010-0000-0400-000004000000}" name="Maximum"/>
    <tableColumn id="5" xr3:uid="{00000000-0010-0000-0400-000005000000}" name="v9 fit"/>
    <tableColumn id="6" xr3:uid="{00000000-0010-0000-0400-000006000000}" name="Permitted use"/>
    <tableColumn id="7" xr3:uid="{00000000-0010-0000-0400-000007000000}" name="Boundary / excluded inference"/>
    <tableColumn id="8" xr3:uid="{00000000-0010-0000-0400-000008000000}" name="Primary sourc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COMMDecodeQCTable" displayName="COMMDecodeQCTable" ref="A5:E33" totalsRowShown="0">
  <tableColumns count="5">
    <tableColumn id="1" xr3:uid="{00000000-0010-0000-0500-000001000000}" name="Check"/>
    <tableColumn id="2" xr3:uid="{00000000-0010-0000-0500-000002000000}" name="Workbook result"/>
    <tableColumn id="3" xr3:uid="{00000000-0010-0000-0500-000003000000}" name="Independent reference"/>
    <tableColumn id="4" xr3:uid="{00000000-0010-0000-0500-000004000000}" name="Agreement"/>
    <tableColumn id="5" xr3:uid="{00000000-0010-0000-0500-000005000000}" name="Scope / limit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29.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30.xml.rels><?xml version="1.0" encoding="UTF-8" standalone="yes"?>
<Relationships xmlns="http://schemas.openxmlformats.org/package/2006/relationships"><Relationship Id="rId1" Type="http://schemas.openxmlformats.org/officeDocument/2006/relationships/table" Target="../tables/table2.xml" /></Relationships>
</file>

<file path=xl/worksheets/_rels/sheet31.xml.rels><?xml version="1.0" encoding="UTF-8" standalone="yes"?>
<Relationships xmlns="http://schemas.openxmlformats.org/package/2006/relationships"><Relationship Id="rId1" Type="http://schemas.openxmlformats.org/officeDocument/2006/relationships/table" Target="../tables/table3.xml" /></Relationships>
</file>

<file path=xl/worksheets/_rels/sheet32.xml.rels><?xml version="1.0" encoding="UTF-8" standalone="yes"?>
<Relationships xmlns="http://schemas.openxmlformats.org/package/2006/relationships"><Relationship Id="rId1" Type="http://schemas.openxmlformats.org/officeDocument/2006/relationships/table" Target="../tables/table4.xml" /></Relationships>
</file>

<file path=xl/worksheets/_rels/sheet33.xml.rels><?xml version="1.0" encoding="UTF-8" standalone="yes"?>
<Relationships xmlns="http://schemas.openxmlformats.org/package/2006/relationships"><Relationship Id="rId1" Type="http://schemas.openxmlformats.org/officeDocument/2006/relationships/table" Target="../tables/table5.xml" /></Relationships>
</file>

<file path=xl/worksheets/_rels/sheet34.xml.rels><?xml version="1.0" encoding="UTF-8" standalone="yes"?>
<Relationships xmlns="http://schemas.openxmlformats.org/package/2006/relationships"><Relationship Id="rId1"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S95"/>
  <sheetViews>
    <sheetView showGridLines="0" tabSelected="1" zoomScale="85" zoomScaleNormal="85" workbookViewId="0">
      <selection activeCell="T11" sqref="T11"/>
    </sheetView>
  </sheetViews>
  <sheetFormatPr defaultRowHeight="15" x14ac:dyDescent="0.2"/>
  <cols>
    <col min="1" max="1" width="32.015625" customWidth="1"/>
    <col min="2" max="2" width="27.0390625" customWidth="1"/>
    <col min="3" max="3" width="30.9375" customWidth="1"/>
    <col min="4" max="4" width="23.67578125" customWidth="1"/>
    <col min="5" max="5" width="14.9296875" customWidth="1"/>
    <col min="6" max="6" width="23.9453125" customWidth="1"/>
    <col min="7" max="7" width="2.95703125" customWidth="1"/>
    <col min="8" max="17" width="11.02734375" customWidth="1"/>
    <col min="18" max="19" width="11.02734375" hidden="1" customWidth="1"/>
  </cols>
  <sheetData>
    <row r="1" spans="1:19" ht="32.1" customHeight="1" x14ac:dyDescent="0.3">
      <c r="A1" s="44" t="s">
        <v>0</v>
      </c>
      <c r="B1" s="45"/>
      <c r="C1" s="45"/>
      <c r="D1" s="45"/>
      <c r="E1" s="45"/>
      <c r="F1" s="45"/>
      <c r="G1" s="72"/>
      <c r="H1" s="72"/>
      <c r="I1" s="72"/>
      <c r="J1" s="72"/>
      <c r="K1" s="72"/>
      <c r="L1" s="72"/>
      <c r="M1" s="72"/>
      <c r="N1" s="72"/>
      <c r="O1" s="72"/>
      <c r="P1" s="72"/>
      <c r="Q1" s="72"/>
      <c r="R1" s="72"/>
      <c r="S1" s="72"/>
    </row>
    <row r="2" spans="1:19" ht="20.100000000000001" customHeight="1" x14ac:dyDescent="0.2">
      <c r="A2" s="46" t="s">
        <v>1</v>
      </c>
      <c r="B2" s="45"/>
      <c r="C2" s="45"/>
      <c r="D2" s="45"/>
      <c r="E2" s="45"/>
      <c r="F2" s="45"/>
      <c r="G2" s="72"/>
      <c r="H2" s="72"/>
      <c r="I2" s="72"/>
      <c r="J2" s="72"/>
      <c r="K2" s="72"/>
      <c r="L2" s="72"/>
      <c r="M2" s="72"/>
      <c r="N2" s="72"/>
      <c r="O2" s="72"/>
      <c r="P2" s="72"/>
      <c r="Q2" s="72"/>
      <c r="R2" s="72"/>
      <c r="S2" s="72"/>
    </row>
    <row r="3" spans="1:19" ht="20.100000000000001" customHeight="1" x14ac:dyDescent="0.2">
      <c r="A3" s="47" t="s">
        <v>2</v>
      </c>
      <c r="B3" s="45"/>
      <c r="C3" s="45"/>
      <c r="D3" s="45"/>
      <c r="E3" s="45"/>
      <c r="F3" s="45"/>
      <c r="G3" s="72"/>
      <c r="H3" s="72"/>
      <c r="I3" s="72"/>
      <c r="J3" s="72"/>
      <c r="K3" s="72"/>
      <c r="L3" s="72"/>
      <c r="M3" s="72"/>
      <c r="N3" s="72"/>
      <c r="O3" s="72"/>
      <c r="P3" s="72"/>
      <c r="Q3" s="72"/>
      <c r="R3" s="72"/>
      <c r="S3" s="72"/>
    </row>
    <row r="4" spans="1:19" ht="20.100000000000001" customHeight="1" x14ac:dyDescent="0.2">
      <c r="A4" s="45"/>
      <c r="B4" s="45"/>
      <c r="C4" s="45"/>
      <c r="D4" s="45"/>
      <c r="E4" s="45"/>
      <c r="F4" s="45"/>
      <c r="G4" s="72"/>
      <c r="H4" s="72"/>
      <c r="I4" s="72"/>
      <c r="J4" s="72"/>
      <c r="K4" s="72"/>
      <c r="L4" s="72"/>
      <c r="M4" s="72"/>
      <c r="N4" s="72"/>
      <c r="O4" s="72"/>
      <c r="P4" s="72"/>
      <c r="Q4" s="72"/>
      <c r="R4" s="72"/>
      <c r="S4" s="72"/>
    </row>
    <row r="5" spans="1:19" ht="26.1" customHeight="1" x14ac:dyDescent="0.2">
      <c r="A5" s="48" t="s">
        <v>3</v>
      </c>
      <c r="B5" s="49"/>
      <c r="C5" s="49"/>
      <c r="D5" s="49"/>
      <c r="E5" s="49"/>
      <c r="F5" s="49"/>
      <c r="G5" s="72"/>
      <c r="H5" s="72"/>
      <c r="I5" s="72"/>
      <c r="J5" s="72"/>
      <c r="K5" s="72"/>
      <c r="L5" s="72"/>
      <c r="M5" s="72"/>
      <c r="N5" s="72"/>
      <c r="O5" s="72"/>
      <c r="P5" s="72"/>
      <c r="Q5" s="72"/>
      <c r="R5" s="72"/>
      <c r="S5" s="72"/>
    </row>
    <row r="6" spans="1:19" ht="30" customHeight="1" x14ac:dyDescent="0.2">
      <c r="A6" s="50" t="s">
        <v>4</v>
      </c>
      <c r="B6" s="50" t="s">
        <v>5</v>
      </c>
      <c r="C6" s="50" t="s">
        <v>6</v>
      </c>
      <c r="D6" s="50" t="s">
        <v>7</v>
      </c>
      <c r="E6" s="50"/>
      <c r="F6" s="50" t="s">
        <v>8</v>
      </c>
      <c r="G6" s="72"/>
      <c r="H6" s="72"/>
      <c r="I6" s="72"/>
      <c r="J6" s="72"/>
      <c r="K6" s="72"/>
      <c r="L6" s="72"/>
      <c r="M6" s="72"/>
      <c r="N6" s="72"/>
      <c r="O6" s="72"/>
      <c r="P6" s="72"/>
      <c r="Q6" s="72"/>
      <c r="R6" s="72"/>
      <c r="S6" s="72"/>
    </row>
    <row r="7" spans="1:19" ht="33.950000000000003" customHeight="1" x14ac:dyDescent="0.2">
      <c r="A7" s="51" t="s">
        <v>9</v>
      </c>
      <c r="B7" s="52" t="s">
        <v>10</v>
      </c>
      <c r="C7" s="52" t="s">
        <v>11</v>
      </c>
      <c r="D7" s="52" t="str">
        <f>Protocol!B10&amp;" accepted"</f>
        <v>100 accepted</v>
      </c>
      <c r="E7" s="52" t="str">
        <f>"of "&amp;Protocol!B11</f>
        <v>of 111</v>
      </c>
      <c r="F7" s="52" t="s">
        <v>12</v>
      </c>
      <c r="G7" s="72"/>
      <c r="H7" s="72"/>
      <c r="I7" s="72"/>
      <c r="J7" s="72"/>
      <c r="K7" s="72"/>
      <c r="L7" s="72"/>
      <c r="M7" s="72"/>
      <c r="N7" s="72"/>
      <c r="O7" s="72"/>
      <c r="P7" s="72"/>
      <c r="Q7" s="72"/>
      <c r="R7" s="72"/>
      <c r="S7" s="72"/>
    </row>
    <row r="8" spans="1:19" ht="33.950000000000003" customHeight="1" x14ac:dyDescent="0.2">
      <c r="A8" s="53" t="s">
        <v>13</v>
      </c>
      <c r="B8" s="54" t="s">
        <v>14</v>
      </c>
      <c r="C8" s="54" t="s">
        <v>15</v>
      </c>
      <c r="D8" s="54" t="str">
        <f>COUNTA(COMM_Decoded!$B$6:$B$105)&amp;" admitted"</f>
        <v>100 admitted</v>
      </c>
      <c r="E8" s="54" t="str">
        <f>"of "&amp;COUNTA(COMM_Receptions!$B$6:$B$106)</f>
        <v>of 101</v>
      </c>
      <c r="F8" s="54" t="s">
        <v>16</v>
      </c>
      <c r="G8" s="72"/>
      <c r="H8" s="72"/>
      <c r="I8" s="72"/>
      <c r="J8" s="72"/>
      <c r="K8" s="72"/>
      <c r="L8" s="72"/>
      <c r="M8" s="72"/>
      <c r="N8" s="72"/>
      <c r="O8" s="72"/>
      <c r="P8" s="72"/>
      <c r="Q8" s="72"/>
      <c r="R8" s="72"/>
      <c r="S8" s="72"/>
    </row>
    <row r="9" spans="1:19" ht="33.950000000000003" customHeight="1" x14ac:dyDescent="0.2">
      <c r="A9" s="51" t="s">
        <v>17</v>
      </c>
      <c r="B9" s="52" t="s">
        <v>18</v>
      </c>
      <c r="C9" s="52" t="s">
        <v>19</v>
      </c>
      <c r="D9" s="52" t="str">
        <f>COUNTA(OMNI_Normalized!$A$6:$A$18)&amp;" in-window minutes"</f>
        <v>13 in-window minutes</v>
      </c>
      <c r="E9" s="52" t="str">
        <f>"of "&amp;COUNTA(OMNI_Raw!$A$6:$A$125)&amp;" rows"</f>
        <v>of 120 rows</v>
      </c>
      <c r="F9" s="52" t="s">
        <v>20</v>
      </c>
      <c r="G9" s="72"/>
      <c r="H9" s="72"/>
      <c r="I9" s="72"/>
      <c r="J9" s="72"/>
      <c r="K9" s="72"/>
      <c r="L9" s="72"/>
      <c r="M9" s="72"/>
      <c r="N9" s="72"/>
      <c r="O9" s="72"/>
      <c r="P9" s="72"/>
      <c r="Q9" s="72"/>
      <c r="R9" s="72"/>
      <c r="S9" s="72"/>
    </row>
    <row r="10" spans="1:19" ht="20.100000000000001" customHeight="1" x14ac:dyDescent="0.2">
      <c r="A10" s="45"/>
      <c r="B10" s="45"/>
      <c r="C10" s="45"/>
      <c r="D10" s="45"/>
      <c r="E10" s="45"/>
      <c r="F10" s="45"/>
      <c r="G10" s="72"/>
      <c r="H10" s="72"/>
      <c r="I10" s="72"/>
      <c r="J10" s="72"/>
      <c r="K10" s="72"/>
      <c r="L10" s="72"/>
      <c r="M10" s="72"/>
      <c r="N10" s="72"/>
      <c r="O10" s="72"/>
      <c r="P10" s="72"/>
      <c r="Q10" s="72"/>
      <c r="R10" s="72"/>
      <c r="S10" s="72"/>
    </row>
    <row r="11" spans="1:19" ht="45.75" customHeight="1" x14ac:dyDescent="0.2">
      <c r="A11" s="51" t="s">
        <v>21</v>
      </c>
      <c r="B11" s="52" t="s">
        <v>22</v>
      </c>
      <c r="C11" s="52" t="s">
        <v>23</v>
      </c>
      <c r="D11" s="52" t="str">
        <f>Protocol!C7</f>
        <v>2022-01-28 17:42:49 UTC; integer seconds since 1970</v>
      </c>
      <c r="E11" s="52"/>
      <c r="F11" s="52" t="str">
        <f>Protocol!C8</f>
        <v>2022-01-28 17:54:19 UTC; endpoints inclusive</v>
      </c>
      <c r="G11" s="72"/>
      <c r="H11" s="72"/>
      <c r="I11" s="72"/>
      <c r="J11" s="72"/>
      <c r="K11" s="72"/>
      <c r="L11" s="72"/>
      <c r="M11" s="72"/>
      <c r="N11" s="72"/>
      <c r="O11" s="72"/>
      <c r="P11" s="72"/>
      <c r="Q11" s="72"/>
      <c r="R11" s="72"/>
      <c r="S11" s="72"/>
    </row>
    <row r="12" spans="1:19" ht="33.950000000000003" customHeight="1" x14ac:dyDescent="0.2">
      <c r="A12" s="53" t="s">
        <v>24</v>
      </c>
      <c r="B12" s="54">
        <f>Settings!B10</f>
        <v>690</v>
      </c>
      <c r="C12" s="54" t="s">
        <v>25</v>
      </c>
      <c r="D12" s="54" t="str">
        <f>Protocol!B10&amp;" accepted"</f>
        <v>100 accepted</v>
      </c>
      <c r="E12" s="54" t="str">
        <f>(Protocol!B11-Protocol!B10)&amp;" rejected"</f>
        <v>11 rejected</v>
      </c>
      <c r="F12" s="54" t="str">
        <f>Protocol!B16</f>
        <v>QUALIFIED PASS — STATE-DATA FIT</v>
      </c>
      <c r="G12" s="72"/>
      <c r="H12" s="72"/>
      <c r="I12" s="72"/>
      <c r="J12" s="72"/>
      <c r="K12" s="72"/>
      <c r="L12" s="72"/>
      <c r="M12" s="72"/>
      <c r="N12" s="72"/>
      <c r="O12" s="72"/>
      <c r="P12" s="72"/>
      <c r="Q12" s="72"/>
      <c r="R12" s="72"/>
      <c r="S12" s="72"/>
    </row>
    <row r="13" spans="1:19" ht="33.950000000000003" customHeight="1" x14ac:dyDescent="0.2">
      <c r="A13" s="51" t="s">
        <v>26</v>
      </c>
      <c r="B13" s="52" t="str">
        <f>Protocol!B14</f>
        <v>Latest preceding validated-header beacon</v>
      </c>
      <c r="C13" s="52" t="s">
        <v>27</v>
      </c>
      <c r="D13" s="52">
        <f>Protocol!B9</f>
        <v>10</v>
      </c>
      <c r="E13" s="52" t="s">
        <v>28</v>
      </c>
      <c r="F13" s="52" t="str">
        <f>Protocol!B15</f>
        <v>UTC minute bin [minute,minute+60 s)</v>
      </c>
      <c r="G13" s="72"/>
      <c r="H13" s="72"/>
      <c r="I13" s="72"/>
      <c r="J13" s="72"/>
      <c r="K13" s="72"/>
      <c r="L13" s="72"/>
      <c r="M13" s="72"/>
      <c r="N13" s="72"/>
      <c r="O13" s="72"/>
      <c r="P13" s="72"/>
      <c r="Q13" s="72"/>
      <c r="R13" s="72"/>
      <c r="S13" s="72"/>
    </row>
    <row r="14" spans="1:19" ht="33.950000000000003" customHeight="1" x14ac:dyDescent="0.2">
      <c r="A14" s="53" t="s">
        <v>29</v>
      </c>
      <c r="B14" s="54" t="str">
        <f>COUNTA(ACE_Input!$A$6:$A$105)&amp;" observations"</f>
        <v>100 observations</v>
      </c>
      <c r="C14" s="54" t="s">
        <v>30</v>
      </c>
      <c r="D14" s="54">
        <f>Settings!B9</f>
        <v>10</v>
      </c>
      <c r="E14" s="54" t="s">
        <v>31</v>
      </c>
      <c r="F14" s="54">
        <f>COUNTA(ACE_Input!$A$6:$A$105)*Settings!B9</f>
        <v>1000</v>
      </c>
      <c r="G14" s="72"/>
      <c r="H14" s="72"/>
      <c r="I14" s="72"/>
      <c r="J14" s="72"/>
      <c r="K14" s="72"/>
      <c r="L14" s="72"/>
      <c r="M14" s="72"/>
      <c r="N14" s="72"/>
      <c r="O14" s="72"/>
      <c r="P14" s="72"/>
      <c r="Q14" s="72"/>
      <c r="R14" s="72"/>
      <c r="S14" s="72"/>
    </row>
    <row r="15" spans="1:19" ht="20.100000000000001" customHeight="1" x14ac:dyDescent="0.2">
      <c r="A15" s="45"/>
      <c r="B15" s="45"/>
      <c r="C15" s="45"/>
      <c r="D15" s="45"/>
      <c r="E15" s="45"/>
      <c r="F15" s="45"/>
      <c r="G15" s="72"/>
      <c r="H15" s="72"/>
      <c r="I15" s="72"/>
      <c r="J15" s="72"/>
      <c r="K15" s="72"/>
      <c r="L15" s="72"/>
      <c r="M15" s="72"/>
      <c r="N15" s="72"/>
      <c r="O15" s="72"/>
      <c r="P15" s="72"/>
      <c r="Q15" s="72"/>
      <c r="R15" s="72"/>
      <c r="S15" s="72"/>
    </row>
    <row r="16" spans="1:19" ht="33.950000000000003" customHeight="1" x14ac:dyDescent="0.2">
      <c r="A16" s="78" t="s">
        <v>32</v>
      </c>
      <c r="B16" s="78"/>
      <c r="C16" s="78"/>
      <c r="D16" s="45"/>
      <c r="E16" s="45"/>
      <c r="F16" s="45"/>
      <c r="G16" s="72"/>
      <c r="H16" s="72"/>
      <c r="I16" s="72"/>
      <c r="J16" s="72"/>
      <c r="K16" s="72"/>
      <c r="L16" s="72"/>
      <c r="M16" s="72"/>
      <c r="N16" s="72"/>
      <c r="O16" s="72"/>
      <c r="P16" s="72"/>
      <c r="Q16" s="72"/>
      <c r="R16" s="72"/>
      <c r="S16" s="72"/>
    </row>
    <row r="17" spans="1:19" ht="33.950000000000003" customHeight="1" x14ac:dyDescent="0.2">
      <c r="A17" s="77" t="s">
        <v>33</v>
      </c>
      <c r="B17" s="77"/>
      <c r="C17" s="77"/>
      <c r="D17" s="45"/>
      <c r="E17" s="45"/>
      <c r="F17" s="45"/>
      <c r="G17" s="72"/>
      <c r="H17" s="72"/>
      <c r="I17" s="72"/>
      <c r="J17" s="72"/>
      <c r="K17" s="72"/>
      <c r="L17" s="72"/>
      <c r="M17" s="72"/>
      <c r="N17" s="72"/>
      <c r="O17" s="72"/>
      <c r="P17" s="72"/>
      <c r="Q17" s="72"/>
      <c r="R17" s="72"/>
      <c r="S17" s="72"/>
    </row>
    <row r="18" spans="1:19" ht="20.100000000000001" customHeight="1" x14ac:dyDescent="0.2">
      <c r="A18" s="45"/>
      <c r="B18" s="45"/>
      <c r="C18" s="45"/>
      <c r="D18" s="45"/>
      <c r="E18" s="45"/>
      <c r="F18" s="45"/>
      <c r="G18" s="72"/>
      <c r="H18" s="72"/>
      <c r="I18" s="72"/>
      <c r="J18" s="72"/>
      <c r="K18" s="72"/>
      <c r="L18" s="72"/>
      <c r="M18" s="72"/>
      <c r="N18" s="72"/>
      <c r="O18" s="72"/>
      <c r="P18" s="72"/>
      <c r="Q18" s="72"/>
      <c r="R18" s="72"/>
      <c r="S18" s="72"/>
    </row>
    <row r="19" spans="1:19" ht="26.1" customHeight="1" x14ac:dyDescent="0.2">
      <c r="A19" s="48" t="s">
        <v>34</v>
      </c>
      <c r="B19" s="49"/>
      <c r="C19" s="49"/>
      <c r="D19" s="49"/>
      <c r="E19" s="49"/>
      <c r="F19" s="49"/>
      <c r="G19" s="72"/>
      <c r="H19" s="72"/>
      <c r="I19" s="72"/>
      <c r="J19" s="72"/>
      <c r="K19" s="72"/>
      <c r="L19" s="72"/>
      <c r="M19" s="72"/>
      <c r="N19" s="72"/>
      <c r="O19" s="72"/>
      <c r="P19" s="72"/>
      <c r="Q19" s="72"/>
      <c r="R19" s="72"/>
      <c r="S19" s="72"/>
    </row>
    <row r="20" spans="1:19" ht="30" customHeight="1" x14ac:dyDescent="0.2">
      <c r="A20" s="76" t="s">
        <v>35</v>
      </c>
      <c r="B20" s="76" t="s">
        <v>36</v>
      </c>
      <c r="C20" s="76" t="s">
        <v>37</v>
      </c>
      <c r="D20" s="76" t="s">
        <v>38</v>
      </c>
      <c r="E20" s="76" t="s">
        <v>39</v>
      </c>
      <c r="F20" s="76" t="s">
        <v>40</v>
      </c>
      <c r="G20" s="72"/>
      <c r="H20" s="72"/>
      <c r="I20" s="72"/>
      <c r="J20" s="72"/>
      <c r="K20" s="72"/>
      <c r="L20" s="72"/>
      <c r="M20" s="72"/>
      <c r="N20" s="72"/>
      <c r="O20" s="72"/>
      <c r="P20" s="72"/>
      <c r="Q20" s="72"/>
      <c r="R20" s="72"/>
      <c r="S20" s="72"/>
    </row>
    <row r="21" spans="1:19" ht="29.25" x14ac:dyDescent="0.2">
      <c r="A21" s="55">
        <f>ACE_Input!C6</f>
        <v>44589.73809027778</v>
      </c>
      <c r="B21" s="52" t="s">
        <v>41</v>
      </c>
      <c r="C21" s="52" t="str">
        <f>"Telemetry value, channel "&amp;ACE_Input!G6</f>
        <v>Telemetry value, channel CADC0873</v>
      </c>
      <c r="D21" s="52">
        <f>ACE_Input!H6</f>
        <v>0</v>
      </c>
      <c r="E21" s="74" t="s">
        <v>42</v>
      </c>
      <c r="F21" s="74" t="s">
        <v>12</v>
      </c>
      <c r="G21" s="72"/>
      <c r="H21" s="72"/>
      <c r="I21" s="72"/>
      <c r="J21" s="72"/>
      <c r="K21" s="72"/>
      <c r="L21" s="72"/>
      <c r="M21" s="72"/>
      <c r="N21" s="72"/>
      <c r="O21" s="72"/>
      <c r="P21" s="72"/>
      <c r="Q21" s="72"/>
      <c r="R21" s="72"/>
      <c r="S21" s="72"/>
    </row>
    <row r="22" spans="1:19" ht="20.100000000000001" customHeight="1" x14ac:dyDescent="0.2">
      <c r="A22" s="56">
        <f>ACE_Input!C6</f>
        <v>44589.73809027778</v>
      </c>
      <c r="B22" s="54" t="s">
        <v>41</v>
      </c>
      <c r="C22" s="54" t="s">
        <v>43</v>
      </c>
      <c r="D22" s="54">
        <f>ACE_Input!F6</f>
        <v>1</v>
      </c>
      <c r="E22" s="73" t="s">
        <v>44</v>
      </c>
      <c r="F22" s="73" t="s">
        <v>12</v>
      </c>
      <c r="G22" s="72"/>
      <c r="H22" s="72"/>
      <c r="I22" s="72"/>
      <c r="J22" s="72"/>
      <c r="K22" s="72"/>
      <c r="L22" s="72"/>
      <c r="M22" s="72"/>
      <c r="N22" s="72"/>
      <c r="O22" s="72"/>
      <c r="P22" s="72"/>
      <c r="Q22" s="72"/>
      <c r="R22" s="72"/>
      <c r="S22" s="72"/>
    </row>
    <row r="23" spans="1:19" ht="20.100000000000001" customHeight="1" x14ac:dyDescent="0.2">
      <c r="A23" s="55">
        <f>ACE_Input!C6</f>
        <v>44589.73809027778</v>
      </c>
      <c r="B23" s="52" t="s">
        <v>41</v>
      </c>
      <c r="C23" s="52" t="s">
        <v>45</v>
      </c>
      <c r="D23" s="52">
        <f>ACE_Input!E6</f>
        <v>1352</v>
      </c>
      <c r="E23" s="74" t="s">
        <v>46</v>
      </c>
      <c r="F23" s="74" t="s">
        <v>12</v>
      </c>
      <c r="G23" s="72"/>
      <c r="H23" s="72"/>
      <c r="I23" s="72"/>
      <c r="J23" s="72"/>
      <c r="K23" s="72"/>
      <c r="L23" s="72"/>
      <c r="M23" s="72"/>
      <c r="N23" s="72"/>
      <c r="O23" s="72"/>
      <c r="P23" s="72"/>
      <c r="Q23" s="72"/>
      <c r="R23" s="72"/>
      <c r="S23" s="72"/>
    </row>
    <row r="24" spans="1:19" ht="20.100000000000001" customHeight="1" x14ac:dyDescent="0.2">
      <c r="A24" s="56">
        <f>ACE_Input!I6</f>
        <v>44589.738067129627</v>
      </c>
      <c r="B24" s="54" t="s">
        <v>47</v>
      </c>
      <c r="C24" s="54" t="s">
        <v>48</v>
      </c>
      <c r="D24" s="54">
        <f>ACE_Input!K6</f>
        <v>203</v>
      </c>
      <c r="E24" s="73" t="s">
        <v>49</v>
      </c>
      <c r="F24" s="73" t="s">
        <v>12</v>
      </c>
      <c r="G24" s="72"/>
      <c r="H24" s="72"/>
      <c r="I24" s="72"/>
      <c r="J24" s="72"/>
      <c r="K24" s="72"/>
      <c r="L24" s="72"/>
      <c r="M24" s="72"/>
      <c r="N24" s="72"/>
      <c r="O24" s="72"/>
      <c r="P24" s="72"/>
      <c r="Q24" s="72"/>
      <c r="R24" s="72"/>
      <c r="S24" s="72"/>
    </row>
    <row r="25" spans="1:19" ht="20.100000000000001" customHeight="1" x14ac:dyDescent="0.2">
      <c r="A25" s="55">
        <f>ACE_Input!I6</f>
        <v>44589.738067129627</v>
      </c>
      <c r="B25" s="52" t="s">
        <v>47</v>
      </c>
      <c r="C25" s="52" t="s">
        <v>50</v>
      </c>
      <c r="D25" s="52">
        <f>ACE_Input!J6</f>
        <v>2</v>
      </c>
      <c r="E25" s="74" t="s">
        <v>51</v>
      </c>
      <c r="F25" s="74" t="s">
        <v>52</v>
      </c>
      <c r="G25" s="72"/>
      <c r="H25" s="72"/>
      <c r="I25" s="72"/>
      <c r="J25" s="72"/>
      <c r="K25" s="72"/>
      <c r="L25" s="72"/>
      <c r="M25" s="72"/>
      <c r="N25" s="72"/>
      <c r="O25" s="72"/>
      <c r="P25" s="72"/>
      <c r="Q25" s="72"/>
      <c r="R25" s="72"/>
      <c r="S25" s="72"/>
    </row>
    <row r="26" spans="1:19" ht="20.100000000000001" customHeight="1" x14ac:dyDescent="0.2">
      <c r="A26" s="56">
        <f>ACE_Input!L6</f>
        <v>44589.737500000003</v>
      </c>
      <c r="B26" s="54" t="s">
        <v>53</v>
      </c>
      <c r="C26" s="54" t="s">
        <v>54</v>
      </c>
      <c r="D26" s="54">
        <f>ACE_Input!M6</f>
        <v>6.41</v>
      </c>
      <c r="E26" s="73" t="s">
        <v>55</v>
      </c>
      <c r="F26" s="73" t="s">
        <v>12</v>
      </c>
      <c r="G26" s="72"/>
      <c r="H26" s="72"/>
      <c r="I26" s="72"/>
      <c r="J26" s="72"/>
      <c r="K26" s="72"/>
      <c r="L26" s="72"/>
      <c r="M26" s="72"/>
      <c r="N26" s="72"/>
      <c r="O26" s="72"/>
      <c r="P26" s="72"/>
      <c r="Q26" s="72"/>
      <c r="R26" s="72"/>
      <c r="S26" s="72"/>
    </row>
    <row r="27" spans="1:19" ht="20.100000000000001" customHeight="1" x14ac:dyDescent="0.2">
      <c r="A27" s="55">
        <f>ACE_Input!L6</f>
        <v>44589.737500000003</v>
      </c>
      <c r="B27" s="52" t="s">
        <v>53</v>
      </c>
      <c r="C27" s="52" t="s">
        <v>56</v>
      </c>
      <c r="D27" s="52">
        <f>ACE_Input!N6</f>
        <v>-1.1499999999999999</v>
      </c>
      <c r="E27" s="74" t="s">
        <v>55</v>
      </c>
      <c r="F27" s="74" t="s">
        <v>12</v>
      </c>
      <c r="G27" s="72"/>
      <c r="H27" s="72"/>
      <c r="I27" s="72"/>
      <c r="J27" s="72"/>
      <c r="K27" s="72"/>
      <c r="L27" s="72"/>
      <c r="M27" s="72"/>
      <c r="N27" s="72"/>
      <c r="O27" s="72"/>
      <c r="P27" s="72"/>
      <c r="Q27" s="72"/>
      <c r="R27" s="72"/>
      <c r="S27" s="72"/>
    </row>
    <row r="28" spans="1:19" ht="20.100000000000001" customHeight="1" x14ac:dyDescent="0.2">
      <c r="A28" s="56">
        <f>ACE_Input!L6</f>
        <v>44589.737500000003</v>
      </c>
      <c r="B28" s="54" t="s">
        <v>53</v>
      </c>
      <c r="C28" s="54" t="s">
        <v>57</v>
      </c>
      <c r="D28" s="54">
        <f>ACE_Input!O6</f>
        <v>419.9</v>
      </c>
      <c r="E28" s="73" t="s">
        <v>58</v>
      </c>
      <c r="F28" s="73" t="s">
        <v>12</v>
      </c>
      <c r="G28" s="72"/>
      <c r="H28" s="72"/>
      <c r="I28" s="72"/>
      <c r="J28" s="72"/>
      <c r="K28" s="72"/>
      <c r="L28" s="72"/>
      <c r="M28" s="72"/>
      <c r="N28" s="72"/>
      <c r="O28" s="72"/>
      <c r="P28" s="72"/>
      <c r="Q28" s="72"/>
      <c r="R28" s="72"/>
      <c r="S28" s="72"/>
    </row>
    <row r="29" spans="1:19" ht="20.100000000000001" customHeight="1" x14ac:dyDescent="0.2">
      <c r="A29" s="55">
        <f>ACE_Input!L6</f>
        <v>44589.737500000003</v>
      </c>
      <c r="B29" s="52" t="s">
        <v>53</v>
      </c>
      <c r="C29" s="52" t="s">
        <v>59</v>
      </c>
      <c r="D29" s="52">
        <f>ACE_Input!Q6</f>
        <v>96</v>
      </c>
      <c r="E29" s="74" t="s">
        <v>55</v>
      </c>
      <c r="F29" s="74" t="s">
        <v>12</v>
      </c>
      <c r="G29" s="72"/>
      <c r="H29" s="72"/>
      <c r="I29" s="72"/>
      <c r="J29" s="72"/>
      <c r="K29" s="72"/>
      <c r="L29" s="72"/>
      <c r="M29" s="72"/>
      <c r="N29" s="72"/>
      <c r="O29" s="72"/>
      <c r="P29" s="72"/>
      <c r="Q29" s="72"/>
      <c r="R29" s="72"/>
      <c r="S29" s="72"/>
    </row>
    <row r="30" spans="1:19" ht="20.100000000000001" customHeight="1" x14ac:dyDescent="0.2">
      <c r="A30" s="56">
        <f>ACE_Input!L6</f>
        <v>44589.737500000003</v>
      </c>
      <c r="B30" s="54" t="s">
        <v>53</v>
      </c>
      <c r="C30" s="54" t="s">
        <v>60</v>
      </c>
      <c r="D30" s="54">
        <f>ACE_Input!R6</f>
        <v>1</v>
      </c>
      <c r="E30" s="73" t="s">
        <v>55</v>
      </c>
      <c r="F30" s="73" t="s">
        <v>12</v>
      </c>
      <c r="G30" s="72"/>
      <c r="H30" s="72"/>
      <c r="I30" s="72"/>
      <c r="J30" s="72"/>
      <c r="K30" s="72"/>
      <c r="L30" s="72"/>
      <c r="M30" s="72"/>
      <c r="N30" s="72"/>
      <c r="O30" s="72"/>
      <c r="P30" s="72"/>
      <c r="Q30" s="72"/>
      <c r="R30" s="72"/>
      <c r="S30" s="72"/>
    </row>
    <row r="31" spans="1:19" ht="20.100000000000001" customHeight="1" x14ac:dyDescent="0.2">
      <c r="A31" s="55" t="s">
        <v>61</v>
      </c>
      <c r="B31" s="52" t="s">
        <v>62</v>
      </c>
      <c r="C31" s="52" t="s">
        <v>63</v>
      </c>
      <c r="D31" s="52">
        <f>ACE_Input!S6</f>
        <v>100</v>
      </c>
      <c r="E31" s="74" t="s">
        <v>64</v>
      </c>
      <c r="F31" s="74" t="s">
        <v>65</v>
      </c>
      <c r="G31" s="72"/>
      <c r="H31" s="72"/>
      <c r="I31" s="72"/>
      <c r="J31" s="72"/>
      <c r="K31" s="72"/>
      <c r="L31" s="72"/>
      <c r="M31" s="72"/>
      <c r="N31" s="72"/>
      <c r="O31" s="72"/>
      <c r="P31" s="72"/>
      <c r="Q31" s="72"/>
      <c r="R31" s="72"/>
      <c r="S31" s="72"/>
    </row>
    <row r="32" spans="1:19" ht="20.100000000000001" customHeight="1" x14ac:dyDescent="0.2">
      <c r="A32" s="56" t="s">
        <v>61</v>
      </c>
      <c r="B32" s="54" t="s">
        <v>62</v>
      </c>
      <c r="C32" s="54" t="s">
        <v>66</v>
      </c>
      <c r="D32" s="54">
        <f>ACE_Input!U6</f>
        <v>300</v>
      </c>
      <c r="E32" s="73" t="s">
        <v>67</v>
      </c>
      <c r="F32" s="73" t="s">
        <v>65</v>
      </c>
      <c r="G32" s="72"/>
      <c r="H32" s="72"/>
      <c r="I32" s="72"/>
      <c r="J32" s="72"/>
      <c r="K32" s="72"/>
      <c r="L32" s="72"/>
      <c r="M32" s="72"/>
      <c r="N32" s="72"/>
      <c r="O32" s="72"/>
      <c r="P32" s="72"/>
      <c r="Q32" s="72"/>
      <c r="R32" s="72"/>
      <c r="S32" s="72"/>
    </row>
    <row r="33" spans="1:19" ht="20.100000000000001" customHeight="1" x14ac:dyDescent="0.2">
      <c r="A33" s="55" t="s">
        <v>61</v>
      </c>
      <c r="B33" s="52" t="s">
        <v>62</v>
      </c>
      <c r="C33" s="52" t="s">
        <v>68</v>
      </c>
      <c r="D33" s="52">
        <f>ACE_Input!V6</f>
        <v>0.25</v>
      </c>
      <c r="E33" s="74" t="s">
        <v>69</v>
      </c>
      <c r="F33" s="74" t="s">
        <v>65</v>
      </c>
      <c r="G33" s="72"/>
      <c r="H33" s="72"/>
      <c r="I33" s="72"/>
      <c r="J33" s="72"/>
      <c r="K33" s="72"/>
      <c r="L33" s="72"/>
      <c r="M33" s="72"/>
      <c r="N33" s="72"/>
      <c r="O33" s="72"/>
      <c r="P33" s="72"/>
      <c r="Q33" s="72"/>
      <c r="R33" s="72"/>
      <c r="S33" s="72"/>
    </row>
    <row r="34" spans="1:19" ht="20.100000000000001" customHeight="1" x14ac:dyDescent="0.2">
      <c r="A34" s="45"/>
      <c r="B34" s="45"/>
      <c r="C34" s="45"/>
      <c r="D34" s="45"/>
      <c r="E34" s="45"/>
      <c r="F34" s="45"/>
      <c r="G34" s="72"/>
      <c r="H34" s="72"/>
      <c r="I34" s="72"/>
      <c r="J34" s="72"/>
      <c r="K34" s="72"/>
      <c r="L34" s="72"/>
      <c r="M34" s="72"/>
      <c r="N34" s="72"/>
      <c r="O34" s="72"/>
      <c r="P34" s="72"/>
      <c r="Q34" s="72"/>
      <c r="R34" s="72"/>
      <c r="S34" s="72"/>
    </row>
    <row r="35" spans="1:19" ht="33.950000000000003" customHeight="1" x14ac:dyDescent="0.2">
      <c r="A35" s="78" t="s">
        <v>70</v>
      </c>
      <c r="B35" s="78"/>
      <c r="C35" s="78"/>
      <c r="D35" s="45"/>
      <c r="E35" s="45"/>
      <c r="F35" s="45"/>
      <c r="G35" s="72"/>
      <c r="H35" s="72"/>
      <c r="I35" s="72"/>
      <c r="J35" s="72"/>
      <c r="K35" s="72"/>
      <c r="L35" s="72"/>
      <c r="M35" s="72"/>
      <c r="N35" s="72"/>
      <c r="O35" s="72"/>
      <c r="P35" s="72"/>
      <c r="Q35" s="72"/>
      <c r="R35" s="72"/>
      <c r="S35" s="72"/>
    </row>
    <row r="36" spans="1:19" ht="20.100000000000001" customHeight="1" x14ac:dyDescent="0.2">
      <c r="A36" s="45"/>
      <c r="B36" s="45"/>
      <c r="C36" s="45"/>
      <c r="D36" s="45"/>
      <c r="E36" s="45"/>
      <c r="F36" s="45"/>
      <c r="G36" s="72"/>
      <c r="H36" s="72"/>
      <c r="I36" s="72"/>
      <c r="J36" s="72"/>
      <c r="K36" s="72"/>
      <c r="L36" s="72"/>
      <c r="M36" s="72"/>
      <c r="N36" s="72"/>
      <c r="O36" s="72"/>
      <c r="P36" s="72"/>
      <c r="Q36" s="72"/>
      <c r="R36" s="72"/>
      <c r="S36" s="72"/>
    </row>
    <row r="37" spans="1:19" ht="26.1" customHeight="1" x14ac:dyDescent="0.2">
      <c r="A37" s="48" t="s">
        <v>71</v>
      </c>
      <c r="B37" s="49"/>
      <c r="C37" s="49"/>
      <c r="D37" s="49"/>
      <c r="E37" s="49"/>
      <c r="F37" s="49"/>
      <c r="G37" s="72"/>
      <c r="H37" s="72"/>
      <c r="I37" s="72"/>
      <c r="J37" s="72"/>
      <c r="K37" s="72"/>
      <c r="L37" s="72"/>
      <c r="M37" s="72"/>
      <c r="N37" s="72"/>
      <c r="O37" s="72"/>
      <c r="P37" s="72"/>
      <c r="Q37" s="72"/>
      <c r="R37" s="72"/>
      <c r="S37" s="72"/>
    </row>
    <row r="38" spans="1:19" ht="30" customHeight="1" x14ac:dyDescent="0.2">
      <c r="A38" s="50" t="s">
        <v>72</v>
      </c>
      <c r="B38" s="50" t="s">
        <v>73</v>
      </c>
      <c r="C38" s="50" t="s">
        <v>72</v>
      </c>
      <c r="D38" s="50" t="s">
        <v>73</v>
      </c>
      <c r="E38" s="50"/>
      <c r="F38" s="50" t="s">
        <v>8</v>
      </c>
      <c r="G38" s="72"/>
      <c r="H38" s="72"/>
      <c r="I38" s="72"/>
      <c r="J38" s="72"/>
      <c r="K38" s="72"/>
      <c r="L38" s="72"/>
      <c r="M38" s="72"/>
      <c r="N38" s="72"/>
      <c r="O38" s="72"/>
      <c r="P38" s="72"/>
      <c r="Q38" s="72"/>
      <c r="R38" s="72"/>
      <c r="S38" s="72"/>
    </row>
    <row r="39" spans="1:19" ht="33.950000000000003" customHeight="1" x14ac:dyDescent="0.2">
      <c r="A39" s="51" t="s">
        <v>74</v>
      </c>
      <c r="B39" s="52" t="s">
        <v>75</v>
      </c>
      <c r="C39" s="52" t="s">
        <v>76</v>
      </c>
      <c r="D39" s="52">
        <f>Settings!B8</f>
        <v>100</v>
      </c>
      <c r="E39" s="52"/>
      <c r="F39" s="52" t="s">
        <v>77</v>
      </c>
      <c r="G39" s="72"/>
      <c r="H39" s="72"/>
      <c r="I39" s="72"/>
      <c r="J39" s="72"/>
      <c r="K39" s="72"/>
      <c r="L39" s="72"/>
      <c r="M39" s="72"/>
      <c r="N39" s="72"/>
      <c r="O39" s="72"/>
      <c r="P39" s="72"/>
      <c r="Q39" s="72"/>
      <c r="R39" s="72"/>
      <c r="S39" s="72"/>
    </row>
    <row r="40" spans="1:19" ht="33.950000000000003" customHeight="1" x14ac:dyDescent="0.2">
      <c r="A40" s="53" t="s">
        <v>78</v>
      </c>
      <c r="B40" s="54">
        <f>Settings!B12</f>
        <v>300</v>
      </c>
      <c r="C40" s="54" t="s">
        <v>30</v>
      </c>
      <c r="D40" s="54">
        <f>Settings!B9</f>
        <v>10</v>
      </c>
      <c r="E40" s="54"/>
      <c r="F40" s="54" t="s">
        <v>79</v>
      </c>
      <c r="G40" s="72"/>
      <c r="H40" s="72"/>
      <c r="I40" s="72"/>
      <c r="J40" s="72"/>
      <c r="K40" s="72"/>
      <c r="L40" s="72"/>
      <c r="M40" s="72"/>
      <c r="N40" s="72"/>
      <c r="O40" s="72"/>
      <c r="P40" s="72"/>
      <c r="Q40" s="72"/>
      <c r="R40" s="72"/>
      <c r="S40" s="72"/>
    </row>
    <row r="41" spans="1:19" ht="33.950000000000003" customHeight="1" x14ac:dyDescent="0.2">
      <c r="A41" s="51" t="s">
        <v>68</v>
      </c>
      <c r="B41" s="52">
        <f>Settings!B25</f>
        <v>0.25</v>
      </c>
      <c r="C41" s="52" t="s">
        <v>80</v>
      </c>
      <c r="D41" s="52">
        <f>Settings!B21</f>
        <v>4</v>
      </c>
      <c r="E41" s="52"/>
      <c r="F41" s="52" t="s">
        <v>65</v>
      </c>
      <c r="G41" s="72"/>
      <c r="H41" s="72"/>
      <c r="I41" s="72"/>
      <c r="J41" s="72"/>
      <c r="K41" s="72"/>
      <c r="L41" s="72"/>
      <c r="M41" s="72"/>
      <c r="N41" s="72"/>
      <c r="O41" s="72"/>
      <c r="P41" s="72"/>
      <c r="Q41" s="72"/>
      <c r="R41" s="72"/>
      <c r="S41" s="72"/>
    </row>
    <row r="42" spans="1:19" ht="33.950000000000003" customHeight="1" x14ac:dyDescent="0.2">
      <c r="A42" s="53" t="s">
        <v>81</v>
      </c>
      <c r="B42" s="54">
        <f>Settings!B28</f>
        <v>100</v>
      </c>
      <c r="C42" s="54" t="s">
        <v>82</v>
      </c>
      <c r="D42" s="54">
        <f>Settings!B24</f>
        <v>12</v>
      </c>
      <c r="E42" s="54"/>
      <c r="F42" s="54" t="s">
        <v>65</v>
      </c>
      <c r="G42" s="72"/>
      <c r="H42" s="72"/>
      <c r="I42" s="72"/>
      <c r="J42" s="72"/>
      <c r="K42" s="72"/>
      <c r="L42" s="72"/>
      <c r="M42" s="72"/>
      <c r="N42" s="72"/>
      <c r="O42" s="72"/>
      <c r="P42" s="72"/>
      <c r="Q42" s="72"/>
      <c r="R42" s="72"/>
      <c r="S42" s="72"/>
    </row>
    <row r="43" spans="1:19" ht="33.950000000000003" customHeight="1" x14ac:dyDescent="0.2">
      <c r="A43" s="51" t="s">
        <v>83</v>
      </c>
      <c r="B43" s="52">
        <f>Settings!B30</f>
        <v>600</v>
      </c>
      <c r="C43" s="52" t="s">
        <v>84</v>
      </c>
      <c r="D43" s="52">
        <f>Settings!B29</f>
        <v>0.02</v>
      </c>
      <c r="E43" s="52"/>
      <c r="F43" s="52" t="s">
        <v>65</v>
      </c>
      <c r="G43" s="72"/>
      <c r="H43" s="72"/>
      <c r="I43" s="72"/>
      <c r="J43" s="72"/>
      <c r="K43" s="72"/>
      <c r="L43" s="72"/>
      <c r="M43" s="72"/>
      <c r="N43" s="72"/>
      <c r="O43" s="72"/>
      <c r="P43" s="72"/>
      <c r="Q43" s="72"/>
      <c r="R43" s="72"/>
      <c r="S43" s="72"/>
    </row>
    <row r="44" spans="1:19" ht="33.950000000000003" customHeight="1" x14ac:dyDescent="0.2">
      <c r="A44" s="53" t="s">
        <v>85</v>
      </c>
      <c r="B44" s="54">
        <f>Settings!B31</f>
        <v>120</v>
      </c>
      <c r="C44" s="54" t="s">
        <v>86</v>
      </c>
      <c r="D44" s="54">
        <f>Comparison!B41</f>
        <v>0.86956521739130443</v>
      </c>
      <c r="E44" s="54"/>
      <c r="F44" s="54" t="s">
        <v>65</v>
      </c>
      <c r="G44" s="72"/>
      <c r="H44" s="72"/>
      <c r="I44" s="72"/>
      <c r="J44" s="72"/>
      <c r="K44" s="72"/>
      <c r="L44" s="72"/>
      <c r="M44" s="72"/>
      <c r="N44" s="72"/>
      <c r="O44" s="72"/>
      <c r="P44" s="72"/>
      <c r="Q44" s="72"/>
      <c r="R44" s="72"/>
      <c r="S44" s="72"/>
    </row>
    <row r="45" spans="1:19" ht="33.950000000000003" customHeight="1" x14ac:dyDescent="0.2">
      <c r="A45" s="51" t="s">
        <v>87</v>
      </c>
      <c r="B45" s="52">
        <f>Settings!B36</f>
        <v>120</v>
      </c>
      <c r="C45" s="52" t="s">
        <v>88</v>
      </c>
      <c r="D45" s="52">
        <f>Settings!B37</f>
        <v>900</v>
      </c>
      <c r="E45" s="52"/>
      <c r="F45" s="52" t="s">
        <v>77</v>
      </c>
      <c r="G45" s="72"/>
      <c r="H45" s="72"/>
      <c r="I45" s="72"/>
      <c r="J45" s="72"/>
      <c r="K45" s="72"/>
      <c r="L45" s="72"/>
      <c r="M45" s="72"/>
      <c r="N45" s="72"/>
      <c r="O45" s="72"/>
      <c r="P45" s="72"/>
      <c r="Q45" s="72"/>
      <c r="R45" s="72"/>
      <c r="S45" s="72"/>
    </row>
    <row r="46" spans="1:19" ht="33.950000000000003" customHeight="1" x14ac:dyDescent="0.2">
      <c r="A46" s="53" t="s">
        <v>89</v>
      </c>
      <c r="B46" s="54">
        <f>Settings!B16</f>
        <v>54321</v>
      </c>
      <c r="C46" s="54" t="s">
        <v>90</v>
      </c>
      <c r="D46" s="54" t="str">
        <f>"seed + 1000 x replication"</f>
        <v>seed + 1000 x replication</v>
      </c>
      <c r="E46" s="54"/>
      <c r="F46" s="54" t="s">
        <v>77</v>
      </c>
      <c r="G46" s="72"/>
      <c r="H46" s="72"/>
      <c r="I46" s="72"/>
      <c r="J46" s="72"/>
      <c r="K46" s="72"/>
      <c r="L46" s="72"/>
      <c r="M46" s="72"/>
      <c r="N46" s="72"/>
      <c r="O46" s="72"/>
      <c r="P46" s="72"/>
      <c r="Q46" s="72"/>
      <c r="R46" s="72"/>
      <c r="S46" s="72"/>
    </row>
    <row r="47" spans="1:19" ht="33.950000000000003" customHeight="1" x14ac:dyDescent="0.2">
      <c r="A47" s="51" t="s">
        <v>91</v>
      </c>
      <c r="B47" s="52" t="str">
        <f>Settings!B40</f>
        <v>Mean</v>
      </c>
      <c r="C47" s="52" t="s">
        <v>92</v>
      </c>
      <c r="D47" s="52">
        <f>Settings!B38</f>
        <v>0.05</v>
      </c>
      <c r="E47" s="52"/>
      <c r="F47" s="52" t="s">
        <v>77</v>
      </c>
      <c r="G47" s="72"/>
      <c r="H47" s="72"/>
      <c r="I47" s="72"/>
      <c r="J47" s="72"/>
      <c r="K47" s="72"/>
      <c r="L47" s="72"/>
      <c r="M47" s="72"/>
      <c r="N47" s="72"/>
      <c r="O47" s="72"/>
      <c r="P47" s="72"/>
      <c r="Q47" s="72"/>
      <c r="R47" s="72"/>
      <c r="S47" s="72"/>
    </row>
    <row r="48" spans="1:19" ht="20.100000000000001" customHeight="1" x14ac:dyDescent="0.2">
      <c r="A48" s="45"/>
      <c r="B48" s="45"/>
      <c r="C48" s="45"/>
      <c r="D48" s="45"/>
      <c r="E48" s="45"/>
      <c r="F48" s="45"/>
      <c r="G48" s="72"/>
      <c r="H48" s="72"/>
      <c r="I48" s="72"/>
      <c r="J48" s="72"/>
      <c r="K48" s="72"/>
      <c r="L48" s="72"/>
      <c r="M48" s="72"/>
      <c r="N48" s="72"/>
      <c r="O48" s="72"/>
      <c r="P48" s="72"/>
      <c r="Q48" s="72"/>
      <c r="R48" s="72"/>
      <c r="S48" s="72"/>
    </row>
    <row r="49" spans="1:19" ht="33.950000000000003" customHeight="1" x14ac:dyDescent="0.2">
      <c r="A49" s="77" t="s">
        <v>93</v>
      </c>
      <c r="B49" s="77"/>
      <c r="C49" s="77"/>
      <c r="D49" s="45"/>
      <c r="E49" s="45"/>
      <c r="F49" s="45"/>
      <c r="G49" s="72"/>
      <c r="H49" s="72"/>
      <c r="I49" s="72"/>
      <c r="J49" s="72"/>
      <c r="K49" s="72"/>
      <c r="L49" s="72"/>
      <c r="M49" s="72"/>
      <c r="N49" s="72"/>
      <c r="O49" s="72"/>
      <c r="P49" s="72"/>
      <c r="Q49" s="72"/>
      <c r="R49" s="72"/>
      <c r="S49" s="72"/>
    </row>
    <row r="50" spans="1:19" ht="20.100000000000001" customHeight="1" x14ac:dyDescent="0.2">
      <c r="A50" s="45"/>
      <c r="B50" s="45"/>
      <c r="C50" s="45"/>
      <c r="D50" s="45"/>
      <c r="E50" s="45"/>
      <c r="F50" s="45"/>
      <c r="G50" s="72"/>
      <c r="H50" s="72"/>
      <c r="I50" s="72"/>
      <c r="J50" s="72"/>
      <c r="K50" s="72"/>
      <c r="L50" s="72"/>
      <c r="M50" s="72"/>
      <c r="N50" s="72"/>
      <c r="O50" s="72"/>
      <c r="P50" s="72"/>
      <c r="Q50" s="72"/>
      <c r="R50" s="72"/>
      <c r="S50" s="72"/>
    </row>
    <row r="51" spans="1:19" ht="26.1" customHeight="1" x14ac:dyDescent="0.2">
      <c r="A51" s="48" t="s">
        <v>94</v>
      </c>
      <c r="B51" s="49"/>
      <c r="C51" s="49"/>
      <c r="D51" s="49"/>
      <c r="E51" s="49"/>
      <c r="F51" s="49"/>
      <c r="G51" s="72"/>
      <c r="H51" s="72"/>
      <c r="I51" s="72"/>
      <c r="J51" s="72"/>
      <c r="K51" s="72"/>
      <c r="L51" s="72"/>
      <c r="M51" s="72"/>
      <c r="N51" s="72"/>
      <c r="O51" s="72"/>
      <c r="P51" s="72"/>
      <c r="Q51" s="72"/>
      <c r="R51" s="72"/>
      <c r="S51" s="72"/>
    </row>
    <row r="52" spans="1:19" ht="30" customHeight="1" x14ac:dyDescent="0.2">
      <c r="A52" s="50" t="s">
        <v>95</v>
      </c>
      <c r="B52" s="50" t="s">
        <v>96</v>
      </c>
      <c r="C52" s="50" t="s">
        <v>97</v>
      </c>
      <c r="D52" s="50" t="s">
        <v>98</v>
      </c>
      <c r="E52" s="50"/>
      <c r="F52" s="50" t="s">
        <v>99</v>
      </c>
      <c r="G52" s="72"/>
      <c r="H52" s="72"/>
      <c r="I52" s="72"/>
      <c r="J52" s="72"/>
      <c r="K52" s="72"/>
      <c r="L52" s="72"/>
      <c r="M52" s="72"/>
      <c r="N52" s="72"/>
      <c r="O52" s="72"/>
      <c r="P52" s="72"/>
      <c r="Q52" s="72"/>
      <c r="R52" s="72"/>
      <c r="S52" s="72"/>
    </row>
    <row r="53" spans="1:19" ht="33.950000000000003" customHeight="1" x14ac:dyDescent="0.2">
      <c r="A53" s="51" t="s">
        <v>100</v>
      </c>
      <c r="B53" s="57">
        <f>AVERAGE(Replications!C6:C15)</f>
        <v>1067.8566572620805</v>
      </c>
      <c r="C53" s="57">
        <f>AVERAGE(Replications!M6:M15)</f>
        <v>280.18075382694917</v>
      </c>
      <c r="D53" s="57">
        <f>B53-C53</f>
        <v>787.67590343513132</v>
      </c>
      <c r="E53" s="52"/>
      <c r="F53" s="52" t="s">
        <v>101</v>
      </c>
      <c r="G53" s="72"/>
      <c r="H53" s="72"/>
      <c r="I53" s="72"/>
      <c r="J53" s="72"/>
      <c r="K53" s="72"/>
      <c r="L53" s="72"/>
      <c r="M53" s="72"/>
      <c r="N53" s="72"/>
      <c r="O53" s="72"/>
      <c r="P53" s="72"/>
      <c r="Q53" s="72"/>
      <c r="R53" s="72"/>
      <c r="S53" s="72"/>
    </row>
    <row r="54" spans="1:19" ht="33.950000000000003" customHeight="1" x14ac:dyDescent="0.2">
      <c r="A54" s="53" t="s">
        <v>102</v>
      </c>
      <c r="B54" s="58">
        <f>AVERAGE(Replications!D6:D15)</f>
        <v>1122.7960462368751</v>
      </c>
      <c r="C54" s="58">
        <f>AVERAGE(Replications!N6:N15)</f>
        <v>320.2307990447004</v>
      </c>
      <c r="D54" s="58">
        <f>B54-C54</f>
        <v>802.56524719217464</v>
      </c>
      <c r="E54" s="54"/>
      <c r="F54" s="54"/>
      <c r="G54" s="72"/>
      <c r="H54" s="72"/>
      <c r="I54" s="72"/>
      <c r="J54" s="72"/>
      <c r="K54" s="72"/>
      <c r="L54" s="72"/>
      <c r="M54" s="72"/>
      <c r="N54" s="72"/>
      <c r="O54" s="72"/>
      <c r="P54" s="72"/>
      <c r="Q54" s="72"/>
      <c r="R54" s="72"/>
      <c r="S54" s="72"/>
    </row>
    <row r="55" spans="1:19" ht="33.950000000000003" customHeight="1" x14ac:dyDescent="0.2">
      <c r="A55" s="51" t="s">
        <v>103</v>
      </c>
      <c r="B55" s="57">
        <f>AVERAGE(Replications!E6:E15)</f>
        <v>1998.1002546378975</v>
      </c>
      <c r="C55" s="57">
        <f>AVERAGE(Replications!O6:O15)</f>
        <v>498.30641402268759</v>
      </c>
      <c r="D55" s="57">
        <f>B55-C55</f>
        <v>1499.7938406152098</v>
      </c>
      <c r="E55" s="52"/>
      <c r="F55" s="52"/>
      <c r="G55" s="72"/>
      <c r="H55" s="72"/>
      <c r="I55" s="72"/>
      <c r="J55" s="72"/>
      <c r="K55" s="72"/>
      <c r="L55" s="72"/>
      <c r="M55" s="72"/>
      <c r="N55" s="72"/>
      <c r="O55" s="72"/>
      <c r="P55" s="72"/>
      <c r="Q55" s="72"/>
      <c r="R55" s="72"/>
      <c r="S55" s="72"/>
    </row>
    <row r="56" spans="1:19" ht="33.950000000000003" customHeight="1" x14ac:dyDescent="0.2">
      <c r="A56" s="53" t="s">
        <v>104</v>
      </c>
      <c r="B56" s="58">
        <f>AVERAGE(Replications!F6:F15)</f>
        <v>1040.1200072581514</v>
      </c>
      <c r="C56" s="58">
        <f>AVERAGE(Replications!P6:P15)</f>
        <v>263.01080381516329</v>
      </c>
      <c r="D56" s="58">
        <f>B56-C56</f>
        <v>777.10920344298813</v>
      </c>
      <c r="E56" s="54"/>
      <c r="F56" s="54"/>
      <c r="G56" s="72"/>
      <c r="H56" s="72"/>
      <c r="I56" s="72"/>
      <c r="J56" s="72"/>
      <c r="K56" s="72"/>
      <c r="L56" s="72"/>
      <c r="M56" s="72"/>
      <c r="N56" s="72"/>
      <c r="O56" s="72"/>
      <c r="P56" s="72"/>
      <c r="Q56" s="72"/>
      <c r="R56" s="72"/>
      <c r="S56" s="72"/>
    </row>
    <row r="57" spans="1:19" ht="33.950000000000003" customHeight="1" x14ac:dyDescent="0.2">
      <c r="A57" s="51" t="s">
        <v>105</v>
      </c>
      <c r="B57" s="57">
        <f>Comparison!B39</f>
        <v>143.02000000000041</v>
      </c>
      <c r="C57" s="57">
        <f>Comparison!B40</f>
        <v>120.0255351423793</v>
      </c>
      <c r="D57" s="57">
        <f>B57-C57</f>
        <v>22.994464857621111</v>
      </c>
      <c r="E57" s="52"/>
      <c r="F57" s="52" t="s">
        <v>106</v>
      </c>
      <c r="G57" s="72"/>
      <c r="H57" s="72"/>
      <c r="I57" s="72"/>
      <c r="J57" s="72"/>
      <c r="K57" s="72"/>
      <c r="L57" s="72"/>
      <c r="M57" s="72"/>
      <c r="N57" s="72"/>
      <c r="O57" s="72"/>
      <c r="P57" s="72"/>
      <c r="Q57" s="72"/>
      <c r="R57" s="72"/>
      <c r="S57" s="72"/>
    </row>
    <row r="58" spans="1:19" ht="33.950000000000003" customHeight="1" x14ac:dyDescent="0.2">
      <c r="A58" s="53" t="s">
        <v>107</v>
      </c>
      <c r="B58" s="58">
        <f>AVERAGE(Replications!J6:J15)*100</f>
        <v>10.700000000000001</v>
      </c>
      <c r="C58" s="58">
        <f>AVERAGE(Replications!T6:T15)*100</f>
        <v>29.000000000000004</v>
      </c>
      <c r="D58" s="58">
        <f>C58-B58</f>
        <v>18.300000000000004</v>
      </c>
      <c r="E58" s="54"/>
      <c r="F58" s="54" t="s">
        <v>108</v>
      </c>
      <c r="G58" s="72"/>
      <c r="H58" s="72"/>
      <c r="I58" s="72"/>
      <c r="J58" s="72"/>
      <c r="K58" s="72"/>
      <c r="L58" s="72"/>
      <c r="M58" s="72"/>
      <c r="N58" s="72"/>
      <c r="O58" s="72"/>
      <c r="P58" s="72"/>
      <c r="Q58" s="72"/>
      <c r="R58" s="72"/>
      <c r="S58" s="72"/>
    </row>
    <row r="59" spans="1:19" ht="33.950000000000003" customHeight="1" x14ac:dyDescent="0.2">
      <c r="A59" s="51" t="s">
        <v>109</v>
      </c>
      <c r="B59" s="57">
        <f>(1-Comparison!B37)*100</f>
        <v>54.1</v>
      </c>
      <c r="C59" s="57">
        <f>(1-Comparison!B38)*100</f>
        <v>0</v>
      </c>
      <c r="D59" s="57">
        <f>B59-C59</f>
        <v>54.1</v>
      </c>
      <c r="E59" s="52"/>
      <c r="F59" s="52" t="s">
        <v>101</v>
      </c>
      <c r="G59" s="72"/>
      <c r="H59" s="72"/>
      <c r="I59" s="72"/>
      <c r="J59" s="72"/>
      <c r="K59" s="72"/>
      <c r="L59" s="72"/>
      <c r="M59" s="72"/>
      <c r="N59" s="72"/>
      <c r="O59" s="72"/>
      <c r="P59" s="72"/>
      <c r="Q59" s="72"/>
      <c r="R59" s="72"/>
      <c r="S59" s="72"/>
    </row>
    <row r="60" spans="1:19" ht="33.950000000000003" customHeight="1" x14ac:dyDescent="0.2">
      <c r="A60" s="53" t="s">
        <v>110</v>
      </c>
      <c r="B60" s="58">
        <f>Settings!B12</f>
        <v>300</v>
      </c>
      <c r="C60" s="58">
        <f>Settings!B12*Settings!B25</f>
        <v>75</v>
      </c>
      <c r="D60" s="58">
        <f>B60-C60</f>
        <v>225</v>
      </c>
      <c r="E60" s="54"/>
      <c r="F60" s="54" t="s">
        <v>111</v>
      </c>
      <c r="G60" s="72"/>
      <c r="H60" s="72"/>
      <c r="I60" s="72"/>
      <c r="J60" s="72"/>
      <c r="K60" s="72"/>
      <c r="L60" s="72"/>
      <c r="M60" s="72"/>
      <c r="N60" s="72"/>
      <c r="O60" s="72"/>
      <c r="P60" s="72"/>
      <c r="Q60" s="72"/>
      <c r="R60" s="72"/>
      <c r="S60" s="72"/>
    </row>
    <row r="61" spans="1:19" ht="33.950000000000003" customHeight="1" x14ac:dyDescent="0.2">
      <c r="A61" s="51" t="s">
        <v>112</v>
      </c>
      <c r="B61" s="57">
        <f>B60*Settings!B8</f>
        <v>30000</v>
      </c>
      <c r="C61" s="57">
        <f>C60*Settings!B8</f>
        <v>7500</v>
      </c>
      <c r="D61" s="57">
        <f>B61-C61</f>
        <v>22500</v>
      </c>
      <c r="E61" s="52"/>
      <c r="F61" s="52"/>
      <c r="G61" s="72"/>
      <c r="H61" s="72"/>
      <c r="I61" s="72"/>
      <c r="J61" s="72"/>
      <c r="K61" s="72"/>
      <c r="L61" s="72"/>
      <c r="M61" s="72"/>
      <c r="N61" s="72"/>
      <c r="O61" s="72"/>
      <c r="P61" s="72"/>
      <c r="Q61" s="72"/>
      <c r="R61" s="72"/>
      <c r="S61" s="72"/>
    </row>
    <row r="62" spans="1:19" ht="20.100000000000001" customHeight="1" x14ac:dyDescent="0.2">
      <c r="A62" s="45"/>
      <c r="B62" s="45"/>
      <c r="C62" s="45"/>
      <c r="D62" s="45"/>
      <c r="E62" s="45"/>
      <c r="F62" s="45"/>
      <c r="G62" s="72"/>
      <c r="H62" s="72"/>
      <c r="I62" s="72"/>
      <c r="J62" s="72"/>
      <c r="K62" s="72"/>
      <c r="L62" s="72"/>
      <c r="M62" s="72"/>
      <c r="N62" s="72"/>
      <c r="O62" s="72"/>
      <c r="P62" s="72"/>
      <c r="Q62" s="72"/>
      <c r="R62" s="72"/>
      <c r="S62" s="72"/>
    </row>
    <row r="63" spans="1:19" ht="30" customHeight="1" x14ac:dyDescent="0.2">
      <c r="A63" s="50" t="s">
        <v>113</v>
      </c>
      <c r="B63" s="50" t="s">
        <v>114</v>
      </c>
      <c r="C63" s="50" t="s">
        <v>115</v>
      </c>
      <c r="D63" s="50" t="s">
        <v>116</v>
      </c>
      <c r="E63" s="50"/>
      <c r="F63" s="50" t="s">
        <v>30</v>
      </c>
      <c r="G63" s="72"/>
      <c r="H63" s="72"/>
      <c r="I63" s="72"/>
      <c r="J63" s="72"/>
      <c r="K63" s="72"/>
      <c r="L63" s="72"/>
      <c r="M63" s="72"/>
      <c r="N63" s="72"/>
      <c r="O63" s="72"/>
      <c r="P63" s="72"/>
      <c r="Q63" s="72"/>
      <c r="R63" s="72"/>
      <c r="S63" s="72"/>
    </row>
    <row r="64" spans="1:19" ht="20.100000000000001" customHeight="1" x14ac:dyDescent="0.2">
      <c r="A64" s="51" t="s">
        <v>117</v>
      </c>
      <c r="B64" s="57">
        <f>Comparison!B10</f>
        <v>787.67590343513132</v>
      </c>
      <c r="C64" s="57">
        <f>Comparison!B24</f>
        <v>0.183</v>
      </c>
      <c r="D64" s="57">
        <f>Settings!B8*Settings!B9</f>
        <v>1000</v>
      </c>
      <c r="E64" s="52"/>
      <c r="F64" s="52">
        <f>Settings!B9</f>
        <v>10</v>
      </c>
      <c r="G64" s="72"/>
      <c r="H64" s="72"/>
      <c r="I64" s="72"/>
      <c r="J64" s="72"/>
      <c r="K64" s="72"/>
      <c r="L64" s="72"/>
      <c r="M64" s="72"/>
      <c r="N64" s="72"/>
      <c r="O64" s="72"/>
      <c r="P64" s="72"/>
      <c r="Q64" s="72"/>
      <c r="R64" s="72"/>
      <c r="S64" s="72"/>
    </row>
    <row r="65" spans="1:19" ht="20.100000000000001" customHeight="1" x14ac:dyDescent="0.2">
      <c r="A65" s="53" t="s">
        <v>118</v>
      </c>
      <c r="B65" s="58">
        <f>Comparison!B15</f>
        <v>741.95260346199029</v>
      </c>
      <c r="C65" s="58">
        <f>Comparison!B29</f>
        <v>0.11614399562863555</v>
      </c>
      <c r="D65" s="58"/>
      <c r="E65" s="54"/>
      <c r="F65" s="54"/>
      <c r="G65" s="72"/>
      <c r="H65" s="72"/>
      <c r="I65" s="72"/>
      <c r="J65" s="72"/>
      <c r="K65" s="72"/>
      <c r="L65" s="72"/>
      <c r="M65" s="72"/>
      <c r="N65" s="72"/>
      <c r="O65" s="72"/>
      <c r="P65" s="72"/>
      <c r="Q65" s="72"/>
      <c r="R65" s="72"/>
      <c r="S65" s="72"/>
    </row>
    <row r="66" spans="1:19" ht="20.100000000000001" customHeight="1" x14ac:dyDescent="0.2">
      <c r="A66" s="51" t="s">
        <v>119</v>
      </c>
      <c r="B66" s="57">
        <f>Comparison!B16</f>
        <v>833.39920340827234</v>
      </c>
      <c r="C66" s="57">
        <f>Comparison!B30</f>
        <v>0.24985600437136446</v>
      </c>
      <c r="D66" s="57"/>
      <c r="E66" s="52"/>
      <c r="F66" s="52"/>
      <c r="G66" s="72"/>
      <c r="H66" s="72"/>
      <c r="I66" s="72"/>
      <c r="J66" s="72"/>
      <c r="K66" s="72"/>
      <c r="L66" s="72"/>
      <c r="M66" s="72"/>
      <c r="N66" s="72"/>
      <c r="O66" s="72"/>
      <c r="P66" s="72"/>
      <c r="Q66" s="72"/>
      <c r="R66" s="72"/>
      <c r="S66" s="72"/>
    </row>
    <row r="67" spans="1:19" ht="20.100000000000001" customHeight="1" x14ac:dyDescent="0.2">
      <c r="A67" s="53" t="s">
        <v>120</v>
      </c>
      <c r="B67" s="58">
        <v>0</v>
      </c>
      <c r="C67" s="58">
        <v>0</v>
      </c>
      <c r="D67" s="58"/>
      <c r="E67" s="54"/>
      <c r="F67" s="54"/>
      <c r="G67" s="72"/>
      <c r="H67" s="72"/>
      <c r="I67" s="72"/>
      <c r="J67" s="72"/>
      <c r="K67" s="72"/>
      <c r="L67" s="72"/>
      <c r="M67" s="72"/>
      <c r="N67" s="72"/>
      <c r="O67" s="72"/>
      <c r="P67" s="72"/>
      <c r="Q67" s="72"/>
      <c r="R67" s="72"/>
      <c r="S67" s="72"/>
    </row>
    <row r="68" spans="1:19" ht="29.25" x14ac:dyDescent="0.2">
      <c r="A68" s="51" t="s">
        <v>121</v>
      </c>
      <c r="B68" s="75" t="str">
        <f>Comparison!B18</f>
        <v>Model interval above zero — assumptions only</v>
      </c>
      <c r="C68" s="75" t="str">
        <f>Comparison!B32</f>
        <v>Model interval above zero — assumptions only</v>
      </c>
      <c r="D68" s="57"/>
      <c r="E68" s="52"/>
      <c r="F68" s="52"/>
      <c r="G68" s="72"/>
      <c r="H68" s="72"/>
      <c r="I68" s="72"/>
      <c r="J68" s="72"/>
      <c r="K68" s="72"/>
      <c r="L68" s="72"/>
      <c r="M68" s="72"/>
      <c r="N68" s="72"/>
      <c r="O68" s="72"/>
      <c r="P68" s="72"/>
      <c r="Q68" s="72"/>
      <c r="R68" s="72"/>
      <c r="S68" s="72"/>
    </row>
    <row r="69" spans="1:19" ht="20.100000000000001" customHeight="1" x14ac:dyDescent="0.2">
      <c r="A69" s="45"/>
      <c r="B69" s="45"/>
      <c r="C69" s="45"/>
      <c r="D69" s="45"/>
      <c r="E69" s="45"/>
      <c r="F69" s="45"/>
      <c r="G69" s="72"/>
      <c r="H69" s="72"/>
      <c r="I69" s="72"/>
      <c r="J69" s="72"/>
      <c r="K69" s="72"/>
      <c r="L69" s="72"/>
      <c r="M69" s="72"/>
      <c r="N69" s="72"/>
      <c r="O69" s="72"/>
      <c r="P69" s="72"/>
      <c r="Q69" s="72"/>
      <c r="R69" s="72"/>
      <c r="S69" s="72"/>
    </row>
    <row r="70" spans="1:19" ht="30" customHeight="1" x14ac:dyDescent="0.2">
      <c r="A70" s="50" t="s">
        <v>122</v>
      </c>
      <c r="B70" s="50" t="s">
        <v>123</v>
      </c>
      <c r="C70" s="50" t="s">
        <v>124</v>
      </c>
      <c r="D70" s="50" t="s">
        <v>125</v>
      </c>
      <c r="E70" s="50"/>
      <c r="F70" s="50" t="s">
        <v>126</v>
      </c>
      <c r="G70" s="72"/>
      <c r="H70" s="72"/>
      <c r="I70" s="72"/>
      <c r="J70" s="72"/>
      <c r="K70" s="72"/>
      <c r="L70" s="72"/>
      <c r="M70" s="72"/>
      <c r="N70" s="72"/>
      <c r="O70" s="72"/>
      <c r="P70" s="72"/>
      <c r="Q70" s="72"/>
      <c r="R70" s="72"/>
      <c r="S70" s="72"/>
    </row>
    <row r="71" spans="1:19" ht="33.950000000000003" customHeight="1" x14ac:dyDescent="0.2">
      <c r="A71" s="51" t="s">
        <v>127</v>
      </c>
      <c r="B71" s="57">
        <f>AVERAGEIF(Scenario_Snapshots!$A$6:$A$5005,A71,Scenario_Snapshots!$E$6:$E$5005)</f>
        <v>1067.8566572620803</v>
      </c>
      <c r="C71" s="57">
        <f>AVERAGEIF(Scenario_Snapshots!$A$6:$A$5005,A71,Scenario_Snapshots!$F$6:$F$5005)</f>
        <v>280.18075382694911</v>
      </c>
      <c r="D71" s="57">
        <f>B71-C71</f>
        <v>787.6759034351312</v>
      </c>
      <c r="E71" s="52"/>
      <c r="F71" s="52" t="s">
        <v>128</v>
      </c>
      <c r="G71" s="72"/>
      <c r="H71" s="72"/>
      <c r="I71" s="72"/>
      <c r="J71" s="72"/>
      <c r="K71" s="72"/>
      <c r="L71" s="72"/>
      <c r="M71" s="72"/>
      <c r="N71" s="72"/>
      <c r="O71" s="72"/>
      <c r="P71" s="72"/>
      <c r="Q71" s="72"/>
      <c r="R71" s="72"/>
      <c r="S71" s="72"/>
    </row>
    <row r="72" spans="1:19" ht="33.950000000000003" customHeight="1" x14ac:dyDescent="0.2">
      <c r="A72" s="53" t="s">
        <v>129</v>
      </c>
      <c r="B72" s="58">
        <f>AVERAGEIF(Scenario_Snapshots!$A$6:$A$5005,A72,Scenario_Snapshots!$E$6:$E$5005)</f>
        <v>16.175253873657272</v>
      </c>
      <c r="C72" s="58">
        <f>AVERAGEIF(Scenario_Snapshots!$A$6:$A$5005,A72,Scenario_Snapshots!$F$6:$F$5005)</f>
        <v>262.43537715223857</v>
      </c>
      <c r="D72" s="58">
        <f>B72-C72</f>
        <v>-246.26012327858129</v>
      </c>
      <c r="E72" s="54"/>
      <c r="F72" s="54" t="s">
        <v>130</v>
      </c>
      <c r="G72" s="72"/>
      <c r="H72" s="72"/>
      <c r="I72" s="72"/>
      <c r="J72" s="72"/>
      <c r="K72" s="72"/>
      <c r="L72" s="72"/>
      <c r="M72" s="72"/>
      <c r="N72" s="72"/>
      <c r="O72" s="72"/>
      <c r="P72" s="72"/>
      <c r="Q72" s="72"/>
      <c r="R72" s="72"/>
      <c r="S72" s="72"/>
    </row>
    <row r="73" spans="1:19" ht="33.950000000000003" customHeight="1" x14ac:dyDescent="0.2">
      <c r="A73" s="51" t="s">
        <v>131</v>
      </c>
      <c r="B73" s="57">
        <f>AVERAGEIF(Scenario_Snapshots!$A$6:$A$5005,A73,Scenario_Snapshots!$E$6:$E$5005)</f>
        <v>1067.8566572620803</v>
      </c>
      <c r="C73" s="57">
        <f>AVERAGEIF(Scenario_Snapshots!$A$6:$A$5005,A73,Scenario_Snapshots!$F$6:$F$5005)</f>
        <v>1072.3113551443928</v>
      </c>
      <c r="D73" s="57">
        <f>B73-C73</f>
        <v>-4.4546978823125301</v>
      </c>
      <c r="E73" s="52"/>
      <c r="F73" s="52" t="s">
        <v>132</v>
      </c>
      <c r="G73" s="72"/>
      <c r="H73" s="72"/>
      <c r="I73" s="72"/>
      <c r="J73" s="72"/>
      <c r="K73" s="72"/>
      <c r="L73" s="72"/>
      <c r="M73" s="72"/>
      <c r="N73" s="72"/>
      <c r="O73" s="72"/>
      <c r="P73" s="72"/>
      <c r="Q73" s="72"/>
      <c r="R73" s="72"/>
      <c r="S73" s="72"/>
    </row>
    <row r="74" spans="1:19" ht="33.950000000000003" customHeight="1" x14ac:dyDescent="0.2">
      <c r="A74" s="53" t="s">
        <v>133</v>
      </c>
      <c r="B74" s="58">
        <f>AVERAGEIF(Scenario_Snapshots!$A$6:$A$5005,A74,Scenario_Snapshots!$E$6:$E$5005)</f>
        <v>1067.8566572620803</v>
      </c>
      <c r="C74" s="58">
        <f>AVERAGEIF(Scenario_Snapshots!$A$6:$A$5005,A74,Scenario_Snapshots!$F$6:$F$5005)</f>
        <v>2396.3430472716195</v>
      </c>
      <c r="D74" s="58">
        <f>B74-C74</f>
        <v>-1328.4863900095393</v>
      </c>
      <c r="E74" s="54"/>
      <c r="F74" s="54" t="s">
        <v>134</v>
      </c>
      <c r="G74" s="72"/>
      <c r="H74" s="72"/>
      <c r="I74" s="72"/>
      <c r="J74" s="72"/>
      <c r="K74" s="72"/>
      <c r="L74" s="72"/>
      <c r="M74" s="72"/>
      <c r="N74" s="72"/>
      <c r="O74" s="72"/>
      <c r="P74" s="72"/>
      <c r="Q74" s="72"/>
      <c r="R74" s="72"/>
      <c r="S74" s="72"/>
    </row>
    <row r="75" spans="1:19" ht="33.950000000000003" customHeight="1" x14ac:dyDescent="0.2">
      <c r="A75" s="51" t="s">
        <v>135</v>
      </c>
      <c r="B75" s="57">
        <f>AVERAGEIF(Scenario_Snapshots!$A$6:$A$5005,A75,Scenario_Snapshots!$E$6:$E$5005)</f>
        <v>1064.1319999999998</v>
      </c>
      <c r="C75" s="57">
        <f>AVERAGEIF(Scenario_Snapshots!$A$6:$A$5005,A75,Scenario_Snapshots!$F$6:$F$5005)</f>
        <v>1064.1319999999998</v>
      </c>
      <c r="D75" s="57">
        <f>B75-C75</f>
        <v>0</v>
      </c>
      <c r="E75" s="52"/>
      <c r="F75" s="52" t="s">
        <v>136</v>
      </c>
      <c r="G75" s="72"/>
      <c r="H75" s="72"/>
      <c r="I75" s="72"/>
      <c r="J75" s="72"/>
      <c r="K75" s="72"/>
      <c r="L75" s="72"/>
      <c r="M75" s="72"/>
      <c r="N75" s="72"/>
      <c r="O75" s="72"/>
      <c r="P75" s="72"/>
      <c r="Q75" s="72"/>
      <c r="R75" s="72"/>
      <c r="S75" s="72"/>
    </row>
    <row r="76" spans="1:19" ht="20.100000000000001" customHeight="1" x14ac:dyDescent="0.2">
      <c r="A76" s="45"/>
      <c r="B76" s="45"/>
      <c r="C76" s="45"/>
      <c r="D76" s="45"/>
      <c r="E76" s="45"/>
      <c r="F76" s="45"/>
      <c r="G76" s="72"/>
      <c r="H76" s="72"/>
      <c r="I76" s="72"/>
      <c r="J76" s="72"/>
      <c r="K76" s="72"/>
      <c r="L76" s="72"/>
      <c r="M76" s="72"/>
      <c r="N76" s="72"/>
      <c r="O76" s="72"/>
      <c r="P76" s="72"/>
      <c r="Q76" s="72"/>
      <c r="R76" s="72"/>
      <c r="S76" s="72"/>
    </row>
    <row r="77" spans="1:19" ht="33.950000000000003" customHeight="1" x14ac:dyDescent="0.2">
      <c r="A77" s="78" t="s">
        <v>137</v>
      </c>
      <c r="B77" s="78"/>
      <c r="C77" s="78"/>
      <c r="D77" s="45"/>
      <c r="E77" s="45"/>
      <c r="F77" s="45"/>
      <c r="G77" s="72"/>
      <c r="H77" s="72"/>
      <c r="I77" s="72"/>
      <c r="J77" s="72"/>
      <c r="K77" s="72"/>
      <c r="L77" s="72"/>
      <c r="M77" s="72"/>
      <c r="N77" s="72"/>
      <c r="O77" s="72"/>
      <c r="P77" s="72"/>
      <c r="Q77" s="72"/>
      <c r="R77" s="72"/>
      <c r="S77" s="72"/>
    </row>
    <row r="78" spans="1:19" ht="20.100000000000001" customHeight="1" x14ac:dyDescent="0.2">
      <c r="A78" s="45"/>
      <c r="B78" s="45"/>
      <c r="C78" s="45"/>
      <c r="D78" s="45"/>
      <c r="E78" s="45"/>
      <c r="F78" s="45"/>
      <c r="G78" s="72"/>
      <c r="H78" s="72"/>
      <c r="I78" s="72"/>
      <c r="J78" s="72"/>
      <c r="K78" s="72"/>
      <c r="L78" s="72"/>
      <c r="M78" s="72"/>
      <c r="N78" s="72"/>
      <c r="O78" s="72"/>
      <c r="P78" s="72"/>
      <c r="Q78" s="72"/>
      <c r="R78" s="72"/>
      <c r="S78" s="72"/>
    </row>
    <row r="79" spans="1:19" ht="26.1" customHeight="1" x14ac:dyDescent="0.2">
      <c r="A79" s="48" t="s">
        <v>138</v>
      </c>
      <c r="B79" s="49"/>
      <c r="C79" s="49"/>
      <c r="D79" s="49"/>
      <c r="E79" s="49"/>
      <c r="F79" s="49"/>
      <c r="G79" s="72"/>
      <c r="H79" s="72"/>
      <c r="I79" s="72"/>
      <c r="J79" s="72"/>
      <c r="K79" s="72"/>
      <c r="L79" s="72"/>
      <c r="M79" s="72"/>
      <c r="N79" s="72"/>
      <c r="O79" s="72"/>
      <c r="P79" s="72"/>
      <c r="Q79" s="72"/>
      <c r="R79" s="72"/>
      <c r="S79" s="72"/>
    </row>
    <row r="80" spans="1:19" ht="30" customHeight="1" x14ac:dyDescent="0.2">
      <c r="A80" s="50" t="s">
        <v>139</v>
      </c>
      <c r="B80" s="50" t="s">
        <v>96</v>
      </c>
      <c r="C80" s="50" t="s">
        <v>97</v>
      </c>
      <c r="D80" s="50"/>
      <c r="E80" s="50"/>
      <c r="F80" s="50"/>
      <c r="G80" s="72"/>
      <c r="H80" s="72"/>
      <c r="I80" s="72"/>
      <c r="J80" s="72"/>
      <c r="K80" s="72"/>
      <c r="L80" s="72"/>
      <c r="M80" s="72"/>
      <c r="N80" s="72"/>
      <c r="O80" s="72"/>
      <c r="P80" s="72"/>
      <c r="Q80" s="72"/>
      <c r="R80" s="72"/>
      <c r="S80" s="72"/>
    </row>
    <row r="81" spans="1:19" ht="20.100000000000001" customHeight="1" x14ac:dyDescent="0.2">
      <c r="A81" s="51" t="s">
        <v>140</v>
      </c>
      <c r="B81" s="57">
        <f>Latency_Bins!E20</f>
        <v>1000</v>
      </c>
      <c r="C81" s="57">
        <f>Latency_Bins!F20</f>
        <v>1000</v>
      </c>
      <c r="D81" s="57"/>
      <c r="E81" s="52"/>
      <c r="F81" s="52"/>
      <c r="G81" s="72"/>
      <c r="H81" s="72"/>
      <c r="I81" s="72"/>
      <c r="J81" s="72"/>
      <c r="K81" s="72"/>
      <c r="L81" s="72"/>
      <c r="M81" s="72"/>
      <c r="N81" s="72"/>
      <c r="O81" s="72"/>
      <c r="P81" s="72"/>
      <c r="Q81" s="72"/>
      <c r="R81" s="72"/>
      <c r="S81" s="72"/>
    </row>
    <row r="82" spans="1:19" ht="20.100000000000001" customHeight="1" x14ac:dyDescent="0.2">
      <c r="A82" s="53" t="s">
        <v>141</v>
      </c>
      <c r="B82" s="58">
        <f>B53</f>
        <v>1067.8566572620805</v>
      </c>
      <c r="C82" s="58">
        <f>C53</f>
        <v>280.18075382694917</v>
      </c>
      <c r="D82" s="58"/>
      <c r="E82" s="54"/>
      <c r="F82" s="54"/>
      <c r="G82" s="72"/>
      <c r="H82" s="72"/>
      <c r="I82" s="72"/>
      <c r="J82" s="72"/>
      <c r="K82" s="72"/>
      <c r="L82" s="72"/>
      <c r="M82" s="72"/>
      <c r="N82" s="72"/>
      <c r="O82" s="72"/>
      <c r="P82" s="72"/>
      <c r="Q82" s="72"/>
      <c r="R82" s="72"/>
      <c r="S82" s="72"/>
    </row>
    <row r="83" spans="1:19" ht="20.100000000000001" customHeight="1" x14ac:dyDescent="0.2">
      <c r="A83" s="51" t="s">
        <v>102</v>
      </c>
      <c r="B83" s="57">
        <f>B54</f>
        <v>1122.7960462368751</v>
      </c>
      <c r="C83" s="57">
        <f>C54</f>
        <v>320.2307990447004</v>
      </c>
      <c r="D83" s="57"/>
      <c r="E83" s="52"/>
      <c r="F83" s="52"/>
      <c r="G83" s="72"/>
      <c r="H83" s="72"/>
      <c r="I83" s="72"/>
      <c r="J83" s="72"/>
      <c r="K83" s="72"/>
      <c r="L83" s="72"/>
      <c r="M83" s="72"/>
      <c r="N83" s="72"/>
      <c r="O83" s="72"/>
      <c r="P83" s="72"/>
      <c r="Q83" s="72"/>
      <c r="R83" s="72"/>
      <c r="S83" s="72"/>
    </row>
    <row r="84" spans="1:19" ht="20.100000000000001" customHeight="1" x14ac:dyDescent="0.2">
      <c r="A84" s="53" t="s">
        <v>142</v>
      </c>
      <c r="B84" s="54">
        <f>Latency_Bins!B4</f>
        <v>200</v>
      </c>
      <c r="C84" s="73" t="s">
        <v>143</v>
      </c>
      <c r="D84" s="54"/>
      <c r="E84" s="54"/>
      <c r="F84" s="54"/>
      <c r="G84" s="72"/>
      <c r="H84" s="72"/>
      <c r="I84" s="72"/>
      <c r="J84" s="72"/>
      <c r="K84" s="72"/>
      <c r="L84" s="72"/>
      <c r="M84" s="72"/>
      <c r="N84" s="72"/>
      <c r="O84" s="72"/>
      <c r="P84" s="72"/>
      <c r="Q84" s="72"/>
      <c r="R84" s="72"/>
      <c r="S84" s="72"/>
    </row>
    <row r="85" spans="1:19" ht="20.100000000000001" customHeight="1" x14ac:dyDescent="0.2">
      <c r="A85" s="51" t="s">
        <v>144</v>
      </c>
      <c r="B85" s="74" t="str">
        <f>Settings!B12&amp;" MB, "&amp;Settings!B25&amp;" edge fraction"</f>
        <v>300 MB, 0.25 edge fraction</v>
      </c>
      <c r="C85" s="74" t="str">
        <f>Settings!B9&amp;" replications x "&amp;Settings!B8&amp;" entities"</f>
        <v>10 replications x 100 entities</v>
      </c>
      <c r="D85" s="52"/>
      <c r="E85" s="52"/>
      <c r="F85" s="52"/>
      <c r="G85" s="72"/>
      <c r="H85" s="72"/>
      <c r="I85" s="72"/>
      <c r="J85" s="72"/>
      <c r="K85" s="72"/>
      <c r="L85" s="72"/>
      <c r="M85" s="72"/>
      <c r="N85" s="72"/>
      <c r="O85" s="72"/>
      <c r="P85" s="72"/>
      <c r="Q85" s="72"/>
      <c r="R85" s="72"/>
      <c r="S85" s="72"/>
    </row>
    <row r="86" spans="1:19" ht="20.100000000000001" customHeight="1" x14ac:dyDescent="0.2">
      <c r="A86" s="45"/>
      <c r="B86" s="45"/>
      <c r="C86" s="45"/>
      <c r="D86" s="45"/>
      <c r="E86" s="45"/>
      <c r="F86" s="45"/>
      <c r="G86" s="72"/>
      <c r="H86" s="72"/>
      <c r="I86" s="72"/>
      <c r="J86" s="72"/>
      <c r="K86" s="72"/>
      <c r="L86" s="72"/>
      <c r="M86" s="72"/>
      <c r="N86" s="72"/>
      <c r="O86" s="72"/>
      <c r="P86" s="72"/>
      <c r="Q86" s="72"/>
      <c r="R86" s="72"/>
      <c r="S86" s="72"/>
    </row>
    <row r="87" spans="1:19" ht="33.950000000000003" customHeight="1" x14ac:dyDescent="0.2">
      <c r="A87" s="77" t="s">
        <v>145</v>
      </c>
      <c r="B87" s="77"/>
      <c r="C87" s="77"/>
      <c r="D87" s="45"/>
      <c r="E87" s="45"/>
      <c r="F87" s="45"/>
      <c r="G87" s="72"/>
      <c r="H87" s="72"/>
      <c r="I87" s="72"/>
      <c r="J87" s="72"/>
      <c r="K87" s="72"/>
      <c r="L87" s="72"/>
      <c r="M87" s="72"/>
      <c r="N87" s="72"/>
      <c r="O87" s="72"/>
      <c r="P87" s="72"/>
      <c r="Q87" s="72"/>
      <c r="R87" s="72"/>
      <c r="S87" s="72"/>
    </row>
    <row r="88" spans="1:19" ht="20.100000000000001" customHeight="1" x14ac:dyDescent="0.2">
      <c r="A88" s="45"/>
      <c r="B88" s="45"/>
      <c r="C88" s="45"/>
      <c r="D88" s="45"/>
      <c r="E88" s="45"/>
      <c r="F88" s="45"/>
      <c r="G88" s="72"/>
      <c r="H88" s="72"/>
      <c r="I88" s="72"/>
      <c r="J88" s="72"/>
      <c r="K88" s="72"/>
      <c r="L88" s="72"/>
      <c r="M88" s="72"/>
      <c r="N88" s="72"/>
      <c r="O88" s="72"/>
      <c r="P88" s="72"/>
      <c r="Q88" s="72"/>
      <c r="R88" s="72"/>
      <c r="S88" s="72"/>
    </row>
    <row r="89" spans="1:19" ht="20.100000000000001" customHeight="1" x14ac:dyDescent="0.2">
      <c r="A89" s="45"/>
      <c r="B89" s="45"/>
      <c r="C89" s="45"/>
      <c r="D89" s="45"/>
      <c r="E89" s="45"/>
      <c r="F89" s="45"/>
      <c r="G89" s="72"/>
      <c r="H89" s="72"/>
      <c r="I89" s="72"/>
      <c r="J89" s="72"/>
      <c r="K89" s="72"/>
      <c r="L89" s="72"/>
      <c r="M89" s="72"/>
      <c r="N89" s="72"/>
      <c r="O89" s="72"/>
      <c r="P89" s="72"/>
      <c r="Q89" s="72"/>
      <c r="R89" s="72"/>
      <c r="S89" s="72"/>
    </row>
    <row r="90" spans="1:19" ht="20.100000000000001" customHeight="1" x14ac:dyDescent="0.2">
      <c r="A90" s="45"/>
      <c r="B90" s="45"/>
      <c r="C90" s="45"/>
      <c r="D90" s="45"/>
      <c r="E90" s="45"/>
      <c r="F90" s="45"/>
      <c r="G90" s="72"/>
      <c r="H90" s="72"/>
      <c r="I90" s="72"/>
      <c r="J90" s="72"/>
      <c r="K90" s="72"/>
      <c r="L90" s="72"/>
      <c r="M90" s="72"/>
      <c r="N90" s="72"/>
      <c r="O90" s="72"/>
      <c r="P90" s="72"/>
      <c r="Q90" s="72"/>
      <c r="R90" s="72"/>
      <c r="S90" s="72"/>
    </row>
    <row r="91" spans="1:19" ht="20.100000000000001" customHeight="1" x14ac:dyDescent="0.2">
      <c r="A91" s="45"/>
      <c r="B91" s="45"/>
      <c r="C91" s="45"/>
      <c r="D91" s="45"/>
      <c r="E91" s="45"/>
      <c r="F91" s="45"/>
      <c r="G91" s="72"/>
      <c r="H91" s="72"/>
      <c r="I91" s="72"/>
      <c r="J91" s="72"/>
      <c r="K91" s="72"/>
      <c r="L91" s="72"/>
      <c r="M91" s="72"/>
      <c r="N91" s="72"/>
      <c r="O91" s="72"/>
      <c r="P91" s="72"/>
      <c r="Q91" s="72"/>
      <c r="R91" s="72"/>
      <c r="S91" s="72"/>
    </row>
    <row r="92" spans="1:19" ht="20.100000000000001" customHeight="1" x14ac:dyDescent="0.2">
      <c r="A92" s="45"/>
      <c r="B92" s="45"/>
      <c r="C92" s="45"/>
      <c r="D92" s="45"/>
      <c r="E92" s="45"/>
      <c r="F92" s="45"/>
      <c r="G92" s="72"/>
      <c r="H92" s="72"/>
      <c r="I92" s="72"/>
      <c r="J92" s="72"/>
      <c r="K92" s="72"/>
      <c r="L92" s="72"/>
      <c r="M92" s="72"/>
      <c r="N92" s="72"/>
      <c r="O92" s="72"/>
      <c r="P92" s="72"/>
      <c r="Q92" s="72"/>
      <c r="R92" s="72"/>
      <c r="S92" s="72"/>
    </row>
    <row r="93" spans="1:19" ht="20.100000000000001" customHeight="1" x14ac:dyDescent="0.2">
      <c r="A93" s="45"/>
      <c r="B93" s="45"/>
      <c r="C93" s="45"/>
      <c r="D93" s="45"/>
      <c r="E93" s="45"/>
      <c r="F93" s="45"/>
      <c r="G93" s="72"/>
      <c r="H93" s="72"/>
      <c r="I93" s="72"/>
      <c r="J93" s="72"/>
      <c r="K93" s="72"/>
      <c r="L93" s="72"/>
      <c r="M93" s="72"/>
      <c r="N93" s="72"/>
      <c r="O93" s="72"/>
      <c r="P93" s="72"/>
      <c r="Q93" s="72"/>
      <c r="R93" s="72"/>
      <c r="S93" s="72"/>
    </row>
    <row r="94" spans="1:19" ht="20.100000000000001" customHeight="1" x14ac:dyDescent="0.2">
      <c r="A94" s="45"/>
      <c r="B94" s="45"/>
      <c r="C94" s="45"/>
      <c r="D94" s="45"/>
      <c r="E94" s="45"/>
      <c r="F94" s="45"/>
      <c r="G94" s="72"/>
      <c r="H94" s="72"/>
      <c r="I94" s="72"/>
      <c r="J94" s="72"/>
      <c r="K94" s="72"/>
      <c r="L94" s="72"/>
      <c r="M94" s="72"/>
      <c r="N94" s="72"/>
      <c r="O94" s="72"/>
      <c r="P94" s="72"/>
      <c r="Q94" s="72"/>
      <c r="R94" s="72"/>
      <c r="S94" s="72"/>
    </row>
    <row r="95" spans="1:19" ht="20.100000000000001" customHeight="1" x14ac:dyDescent="0.2">
      <c r="A95" s="45"/>
      <c r="B95" s="45"/>
      <c r="C95" s="45"/>
      <c r="D95" s="45"/>
      <c r="E95" s="45"/>
      <c r="F95" s="45"/>
      <c r="G95" s="72"/>
      <c r="H95" s="72"/>
      <c r="I95" s="72"/>
      <c r="J95" s="72"/>
      <c r="K95" s="72"/>
      <c r="L95" s="72"/>
      <c r="M95" s="72"/>
      <c r="N95" s="72"/>
      <c r="O95" s="72"/>
      <c r="P95" s="72"/>
      <c r="Q95" s="72"/>
      <c r="R95" s="72"/>
      <c r="S95" s="72"/>
    </row>
  </sheetData>
  <mergeCells count="6">
    <mergeCell ref="A87:C87"/>
    <mergeCell ref="A17:C17"/>
    <mergeCell ref="A16:C16"/>
    <mergeCell ref="A35:C35"/>
    <mergeCell ref="A49:C49"/>
    <mergeCell ref="A77:C77"/>
  </mergeCells>
  <pageMargins left="0.75" right="0.75" top="1" bottom="1" header="0.5" footer="0.5"/>
  <pageSetup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H82"/>
  <sheetViews>
    <sheetView showGridLines="0" workbookViewId="0">
      <selection activeCell="A56" sqref="A56:H59"/>
    </sheetView>
  </sheetViews>
  <sheetFormatPr defaultRowHeight="15" x14ac:dyDescent="0.2"/>
  <cols>
    <col min="1" max="8" width="18.0234375" customWidth="1"/>
  </cols>
  <sheetData>
    <row r="1" spans="1:8" ht="24.95" customHeight="1" x14ac:dyDescent="0.2">
      <c r="A1" s="95" t="s">
        <v>146</v>
      </c>
      <c r="B1" s="80"/>
      <c r="C1" s="80"/>
      <c r="D1" s="80"/>
      <c r="E1" s="80"/>
      <c r="F1" s="80"/>
      <c r="G1" s="80"/>
      <c r="H1" s="80"/>
    </row>
    <row r="2" spans="1:8" ht="24.95" customHeight="1" x14ac:dyDescent="0.2">
      <c r="A2" s="80"/>
      <c r="B2" s="80"/>
      <c r="C2" s="80"/>
      <c r="D2" s="80"/>
      <c r="E2" s="80"/>
      <c r="F2" s="80"/>
      <c r="G2" s="80"/>
      <c r="H2" s="80"/>
    </row>
    <row r="3" spans="1:8" ht="24.95" customHeight="1" x14ac:dyDescent="0.2">
      <c r="A3" s="79" t="s">
        <v>147</v>
      </c>
      <c r="B3" s="80"/>
      <c r="C3" s="80"/>
      <c r="D3" s="80"/>
      <c r="E3" s="80"/>
      <c r="F3" s="80"/>
      <c r="G3" s="80"/>
      <c r="H3" s="80"/>
    </row>
    <row r="4" spans="1:8" ht="24.95" customHeight="1" x14ac:dyDescent="0.2">
      <c r="A4" s="80"/>
      <c r="B4" s="80"/>
      <c r="C4" s="80"/>
      <c r="D4" s="80"/>
      <c r="E4" s="80"/>
      <c r="F4" s="80"/>
      <c r="G4" s="80"/>
      <c r="H4" s="80"/>
    </row>
    <row r="5" spans="1:8" ht="24" customHeight="1" x14ac:dyDescent="0.2">
      <c r="A5" s="39"/>
      <c r="B5" s="39"/>
      <c r="C5" s="39"/>
      <c r="D5" s="39"/>
      <c r="E5" s="39"/>
      <c r="F5" s="39"/>
      <c r="G5" s="39"/>
      <c r="H5" s="39"/>
    </row>
    <row r="6" spans="1:8" ht="24.95" customHeight="1" x14ac:dyDescent="0.2">
      <c r="A6" s="87" t="s">
        <v>148</v>
      </c>
      <c r="B6" s="80"/>
      <c r="C6" s="80"/>
      <c r="D6" s="80"/>
      <c r="E6" s="90" t="s">
        <v>149</v>
      </c>
      <c r="F6" s="80"/>
      <c r="G6" s="80"/>
      <c r="H6" s="80"/>
    </row>
    <row r="7" spans="1:8" ht="24.95" customHeight="1" x14ac:dyDescent="0.2">
      <c r="A7" s="80"/>
      <c r="B7" s="80"/>
      <c r="C7" s="80"/>
      <c r="D7" s="80"/>
      <c r="E7" s="80"/>
      <c r="F7" s="80"/>
      <c r="G7" s="80"/>
      <c r="H7" s="80"/>
    </row>
    <row r="8" spans="1:8" ht="24" customHeight="1" x14ac:dyDescent="0.2">
      <c r="A8" s="40"/>
      <c r="B8" s="40"/>
      <c r="C8" s="40"/>
      <c r="D8" s="40"/>
      <c r="E8" s="40"/>
      <c r="F8" s="40"/>
      <c r="G8" s="40"/>
      <c r="H8" s="40"/>
    </row>
    <row r="9" spans="1:8" ht="24.95" customHeight="1" x14ac:dyDescent="0.2">
      <c r="A9" s="92" t="s">
        <v>150</v>
      </c>
      <c r="B9" s="80"/>
      <c r="C9" s="92" t="s">
        <v>151</v>
      </c>
      <c r="D9" s="80"/>
      <c r="E9" s="92" t="s">
        <v>152</v>
      </c>
      <c r="F9" s="80"/>
      <c r="G9" s="92" t="s">
        <v>153</v>
      </c>
      <c r="H9" s="80"/>
    </row>
    <row r="10" spans="1:8" ht="24" customHeight="1" x14ac:dyDescent="0.2">
      <c r="A10" s="89">
        <f>COMM_Decode_QC!B6</f>
        <v>101</v>
      </c>
      <c r="B10" s="80"/>
      <c r="C10" s="89">
        <f>COMM_Decode_QC!B7</f>
        <v>100</v>
      </c>
      <c r="D10" s="80"/>
      <c r="E10" s="89">
        <f>COMM_Decode_QC!B9</f>
        <v>61</v>
      </c>
      <c r="F10" s="80"/>
      <c r="G10" s="89">
        <f>COMM_Decode_QC!B29</f>
        <v>100</v>
      </c>
      <c r="H10" s="80"/>
    </row>
    <row r="11" spans="1:8" ht="24" customHeight="1" x14ac:dyDescent="0.2">
      <c r="A11" s="80"/>
      <c r="B11" s="80"/>
      <c r="C11" s="80"/>
      <c r="D11" s="80"/>
      <c r="E11" s="80"/>
      <c r="F11" s="80"/>
      <c r="G11" s="80"/>
      <c r="H11" s="80"/>
    </row>
    <row r="12" spans="1:8" ht="24" customHeight="1" x14ac:dyDescent="0.2">
      <c r="A12" s="39"/>
      <c r="B12" s="39"/>
      <c r="C12" s="39"/>
      <c r="D12" s="39"/>
      <c r="E12" s="39"/>
      <c r="F12" s="39"/>
      <c r="G12" s="39"/>
      <c r="H12" s="39"/>
    </row>
    <row r="13" spans="1:8" ht="24.95" customHeight="1" x14ac:dyDescent="0.2">
      <c r="A13" s="88" t="s">
        <v>154</v>
      </c>
      <c r="B13" s="80"/>
      <c r="C13" s="80"/>
      <c r="D13" s="80"/>
      <c r="E13" s="80"/>
      <c r="F13" s="80"/>
      <c r="G13" s="80"/>
      <c r="H13" s="80"/>
    </row>
    <row r="14" spans="1:8" ht="24.95" customHeight="1" x14ac:dyDescent="0.2">
      <c r="A14" s="80"/>
      <c r="B14" s="82"/>
      <c r="C14" s="82"/>
      <c r="D14" s="82"/>
      <c r="E14" s="82"/>
      <c r="F14" s="82"/>
      <c r="G14" s="82"/>
      <c r="H14" s="80"/>
    </row>
    <row r="15" spans="1:8" ht="24.95" customHeight="1" x14ac:dyDescent="0.2">
      <c r="A15" s="80"/>
      <c r="B15" s="80"/>
      <c r="C15" s="80"/>
      <c r="D15" s="80"/>
      <c r="E15" s="80"/>
      <c r="F15" s="80"/>
      <c r="G15" s="80"/>
      <c r="H15" s="80"/>
    </row>
    <row r="16" spans="1:8" ht="24" customHeight="1" x14ac:dyDescent="0.2">
      <c r="A16" s="40"/>
      <c r="B16" s="40"/>
      <c r="C16" s="40"/>
      <c r="D16" s="40"/>
      <c r="E16" s="41"/>
      <c r="F16" s="41"/>
      <c r="G16" s="41"/>
      <c r="H16" s="41"/>
    </row>
    <row r="17" spans="1:8" ht="24.95" customHeight="1" x14ac:dyDescent="0.2">
      <c r="A17" s="81" t="s">
        <v>155</v>
      </c>
      <c r="B17" s="80"/>
      <c r="C17" s="80"/>
      <c r="D17" s="80"/>
      <c r="E17" s="80"/>
      <c r="F17" s="80"/>
      <c r="G17" s="80"/>
      <c r="H17" s="80"/>
    </row>
    <row r="18" spans="1:8" ht="24.95" customHeight="1" x14ac:dyDescent="0.2">
      <c r="A18" s="80"/>
      <c r="B18" s="82"/>
      <c r="C18" s="82"/>
      <c r="D18" s="82"/>
      <c r="E18" s="82"/>
      <c r="F18" s="82"/>
      <c r="G18" s="82"/>
      <c r="H18" s="80"/>
    </row>
    <row r="19" spans="1:8" ht="24.95" customHeight="1" x14ac:dyDescent="0.2">
      <c r="A19" s="80"/>
      <c r="B19" s="80"/>
      <c r="C19" s="80"/>
      <c r="D19" s="80"/>
      <c r="E19" s="80"/>
      <c r="F19" s="80"/>
      <c r="G19" s="80"/>
      <c r="H19" s="80"/>
    </row>
    <row r="20" spans="1:8" ht="24" customHeight="1" x14ac:dyDescent="0.2">
      <c r="A20" s="40"/>
      <c r="B20" s="40"/>
      <c r="C20" s="40"/>
      <c r="D20" s="40"/>
      <c r="E20" s="40"/>
      <c r="F20" s="40"/>
      <c r="G20" s="40"/>
      <c r="H20" s="40"/>
    </row>
    <row r="21" spans="1:8" ht="24.95" customHeight="1" x14ac:dyDescent="0.2">
      <c r="A21" s="93" t="s">
        <v>156</v>
      </c>
      <c r="B21" s="80"/>
      <c r="C21" s="80"/>
      <c r="D21" s="80"/>
      <c r="E21" s="80"/>
      <c r="F21" s="80"/>
      <c r="G21" s="80"/>
      <c r="H21" s="80"/>
    </row>
    <row r="22" spans="1:8" ht="24.95" customHeight="1" x14ac:dyDescent="0.2">
      <c r="A22" s="91" t="s">
        <v>122</v>
      </c>
      <c r="B22" s="80"/>
      <c r="C22" s="91" t="s">
        <v>157</v>
      </c>
      <c r="D22" s="80"/>
      <c r="E22" s="91" t="s">
        <v>158</v>
      </c>
      <c r="F22" s="80"/>
      <c r="G22" s="91" t="s">
        <v>159</v>
      </c>
      <c r="H22" s="80"/>
    </row>
    <row r="23" spans="1:8" ht="35.1" customHeight="1" x14ac:dyDescent="0.2">
      <c r="A23" s="86" t="s">
        <v>160</v>
      </c>
      <c r="B23" s="80"/>
      <c r="C23" s="85">
        <f>Sensitivity!G6</f>
        <v>1067.8566572620803</v>
      </c>
      <c r="D23" s="80"/>
      <c r="E23" s="85">
        <f>Sensitivity!H6</f>
        <v>280.18075382694911</v>
      </c>
      <c r="F23" s="80"/>
      <c r="G23" s="86" t="str">
        <f>IF(ABS(C23-E23)&lt;0.000001,"TIE",IF(C23&lt;E23,"GROUND","EDGE"))</f>
        <v>EDGE</v>
      </c>
      <c r="H23" s="80"/>
    </row>
    <row r="24" spans="1:8" ht="35.1" customHeight="1" x14ac:dyDescent="0.2">
      <c r="A24" s="86" t="s">
        <v>161</v>
      </c>
      <c r="B24" s="80"/>
      <c r="C24" s="85">
        <f>Sensitivity!G7</f>
        <v>16.175253873657272</v>
      </c>
      <c r="D24" s="80"/>
      <c r="E24" s="83">
        <f>Sensitivity!H7</f>
        <v>262.43537715223857</v>
      </c>
      <c r="F24" s="80"/>
      <c r="G24" s="84" t="str">
        <f>IF(ABS(C24-E24)&lt;0.000001,"TIE",IF(C24&lt;E24,"GROUND","EDGE"))</f>
        <v>GROUND</v>
      </c>
      <c r="H24" s="80"/>
    </row>
    <row r="25" spans="1:8" ht="35.1" customHeight="1" x14ac:dyDescent="0.2">
      <c r="A25" s="86" t="s">
        <v>162</v>
      </c>
      <c r="B25" s="80"/>
      <c r="C25" s="85">
        <f>Sensitivity!G8</f>
        <v>1067.8566572620803</v>
      </c>
      <c r="D25" s="80"/>
      <c r="E25" s="83">
        <f>Sensitivity!H8</f>
        <v>1072.3113551443928</v>
      </c>
      <c r="F25" s="80"/>
      <c r="G25" s="84" t="str">
        <f>IF(ABS(C25-E25)&lt;0.000001,"TIE",IF(C25&lt;E25,"GROUND","EDGE"))</f>
        <v>GROUND</v>
      </c>
      <c r="H25" s="80"/>
    </row>
    <row r="26" spans="1:8" ht="35.1" customHeight="1" x14ac:dyDescent="0.2">
      <c r="A26" s="86" t="s">
        <v>163</v>
      </c>
      <c r="B26" s="80"/>
      <c r="C26" s="85">
        <f>Sensitivity!G9</f>
        <v>1067.8566572620803</v>
      </c>
      <c r="D26" s="80"/>
      <c r="E26" s="83">
        <f>Sensitivity!H9</f>
        <v>2396.3430472716195</v>
      </c>
      <c r="F26" s="80"/>
      <c r="G26" s="84" t="str">
        <f>IF(ABS(C26-E26)&lt;0.000001,"TIE",IF(C26&lt;E26,"GROUND","EDGE"))</f>
        <v>GROUND</v>
      </c>
      <c r="H26" s="80"/>
    </row>
    <row r="27" spans="1:8" ht="35.1" customHeight="1" x14ac:dyDescent="0.2">
      <c r="A27" s="84" t="s">
        <v>164</v>
      </c>
      <c r="B27" s="80"/>
      <c r="C27" s="83">
        <f>Sensitivity!G10</f>
        <v>1064.1319999999998</v>
      </c>
      <c r="D27" s="80"/>
      <c r="E27" s="83">
        <f>Sensitivity!H10</f>
        <v>1064.1319999999998</v>
      </c>
      <c r="F27" s="80"/>
      <c r="G27" s="84" t="str">
        <f>IF(ABS(C27-E27)&lt;0.000001,"TIE",IF(C27&lt;E27,"GROUND","EDGE"))</f>
        <v>TIE</v>
      </c>
      <c r="H27" s="80"/>
    </row>
    <row r="28" spans="1:8" ht="24" customHeight="1" x14ac:dyDescent="0.2">
      <c r="A28" s="40"/>
      <c r="B28" s="40"/>
      <c r="C28" s="40"/>
      <c r="D28" s="40"/>
      <c r="E28" s="40"/>
      <c r="F28" s="40"/>
      <c r="G28" s="40"/>
      <c r="H28" s="40"/>
    </row>
    <row r="29" spans="1:8" ht="24.95" customHeight="1" x14ac:dyDescent="0.2">
      <c r="A29" s="94" t="s">
        <v>165</v>
      </c>
      <c r="B29" s="80"/>
      <c r="C29" s="80"/>
      <c r="D29" s="80"/>
      <c r="E29" s="80"/>
      <c r="F29" s="80"/>
      <c r="G29" s="80"/>
      <c r="H29" s="80"/>
    </row>
    <row r="30" spans="1:8" ht="24.95" customHeight="1" x14ac:dyDescent="0.2">
      <c r="A30" s="80"/>
      <c r="B30" s="82"/>
      <c r="C30" s="82"/>
      <c r="D30" s="82"/>
      <c r="E30" s="82"/>
      <c r="F30" s="82"/>
      <c r="G30" s="82"/>
      <c r="H30" s="80"/>
    </row>
    <row r="31" spans="1:8" ht="24.95" customHeight="1" x14ac:dyDescent="0.2">
      <c r="A31" s="80"/>
      <c r="B31" s="80"/>
      <c r="C31" s="80"/>
      <c r="D31" s="80"/>
      <c r="E31" s="80"/>
      <c r="F31" s="80"/>
      <c r="G31" s="80"/>
      <c r="H31" s="80"/>
    </row>
    <row r="32" spans="1:8" ht="24" customHeight="1" x14ac:dyDescent="0.2">
      <c r="A32" s="39"/>
      <c r="B32" s="39"/>
      <c r="C32" s="39"/>
      <c r="D32" s="39"/>
      <c r="E32" s="39"/>
      <c r="F32" s="39"/>
      <c r="G32" s="39"/>
      <c r="H32" s="39"/>
    </row>
    <row r="33" spans="1:8" ht="24.95" customHeight="1" x14ac:dyDescent="0.2">
      <c r="A33" s="88" t="s">
        <v>166</v>
      </c>
      <c r="B33" s="80"/>
      <c r="C33" s="80"/>
      <c r="D33" s="80"/>
      <c r="E33" s="80"/>
      <c r="F33" s="80"/>
      <c r="G33" s="80"/>
      <c r="H33" s="80"/>
    </row>
    <row r="34" spans="1:8" ht="24.95" customHeight="1" x14ac:dyDescent="0.2">
      <c r="A34" s="80"/>
      <c r="B34" s="80"/>
      <c r="C34" s="80"/>
      <c r="D34" s="80"/>
      <c r="E34" s="80"/>
      <c r="F34" s="80"/>
      <c r="G34" s="80"/>
      <c r="H34" s="80"/>
    </row>
    <row r="35" spans="1:8" ht="24" customHeight="1" x14ac:dyDescent="0.2">
      <c r="A35" s="40"/>
      <c r="B35" s="40"/>
      <c r="C35" s="40"/>
      <c r="D35" s="40"/>
      <c r="E35" s="40"/>
      <c r="F35" s="40"/>
      <c r="G35" s="40"/>
      <c r="H35" s="40"/>
    </row>
    <row r="36" spans="1:8" ht="24" customHeight="1" x14ac:dyDescent="0.2">
      <c r="A36" s="40"/>
      <c r="B36" s="40"/>
      <c r="C36" s="40"/>
      <c r="D36" s="40"/>
      <c r="E36" s="40"/>
      <c r="F36" s="40"/>
      <c r="G36" s="40"/>
      <c r="H36" s="40"/>
    </row>
    <row r="37" spans="1:8" ht="24" customHeight="1" x14ac:dyDescent="0.2">
      <c r="A37" s="40"/>
      <c r="B37" s="40"/>
      <c r="C37" s="40"/>
      <c r="D37" s="40"/>
      <c r="E37" s="40"/>
      <c r="F37" s="40"/>
      <c r="G37" s="40"/>
      <c r="H37" s="40"/>
    </row>
    <row r="38" spans="1:8" ht="24" customHeight="1" x14ac:dyDescent="0.2">
      <c r="A38" s="40"/>
      <c r="B38" s="40"/>
      <c r="C38" s="40"/>
      <c r="D38" s="40"/>
      <c r="E38" s="40"/>
      <c r="F38" s="40"/>
      <c r="G38" s="40"/>
      <c r="H38" s="40"/>
    </row>
    <row r="39" spans="1:8" ht="24" customHeight="1" x14ac:dyDescent="0.2">
      <c r="A39" s="40"/>
      <c r="B39" s="40"/>
      <c r="C39" s="40"/>
      <c r="D39" s="40"/>
      <c r="E39" s="40"/>
      <c r="F39" s="40"/>
      <c r="G39" s="40"/>
      <c r="H39" s="40"/>
    </row>
    <row r="40" spans="1:8" ht="24" customHeight="1" x14ac:dyDescent="0.2">
      <c r="A40" s="40"/>
      <c r="B40" s="40"/>
      <c r="C40" s="40"/>
      <c r="D40" s="40"/>
      <c r="E40" s="40"/>
      <c r="F40" s="40"/>
      <c r="G40" s="40"/>
      <c r="H40" s="40"/>
    </row>
    <row r="41" spans="1:8" ht="24" customHeight="1" x14ac:dyDescent="0.2">
      <c r="A41" s="40"/>
      <c r="B41" s="40"/>
      <c r="C41" s="40"/>
      <c r="D41" s="40"/>
      <c r="E41" s="40"/>
      <c r="F41" s="40"/>
      <c r="G41" s="40"/>
      <c r="H41" s="40"/>
    </row>
    <row r="42" spans="1:8" ht="24" customHeight="1" x14ac:dyDescent="0.2">
      <c r="A42" s="40"/>
      <c r="B42" s="40"/>
      <c r="C42" s="40"/>
      <c r="D42" s="40"/>
      <c r="E42" s="40"/>
      <c r="F42" s="40"/>
      <c r="G42" s="40"/>
      <c r="H42" s="40"/>
    </row>
    <row r="43" spans="1:8" ht="24" customHeight="1" x14ac:dyDescent="0.2">
      <c r="A43" s="40"/>
      <c r="B43" s="40"/>
      <c r="C43" s="40"/>
      <c r="D43" s="40"/>
      <c r="E43" s="40"/>
      <c r="F43" s="40"/>
      <c r="G43" s="40"/>
      <c r="H43" s="40"/>
    </row>
    <row r="44" spans="1:8" ht="24" customHeight="1" x14ac:dyDescent="0.2">
      <c r="A44" s="40"/>
      <c r="B44" s="40"/>
      <c r="C44" s="40"/>
      <c r="D44" s="40"/>
      <c r="E44" s="40"/>
      <c r="F44" s="40"/>
      <c r="G44" s="40"/>
      <c r="H44" s="40"/>
    </row>
    <row r="45" spans="1:8" ht="24" customHeight="1" x14ac:dyDescent="0.2">
      <c r="A45" s="40"/>
      <c r="B45" s="40"/>
      <c r="C45" s="40"/>
      <c r="D45" s="40"/>
      <c r="E45" s="40"/>
      <c r="F45" s="40"/>
      <c r="G45" s="40"/>
      <c r="H45" s="40"/>
    </row>
    <row r="46" spans="1:8" ht="24" customHeight="1" x14ac:dyDescent="0.2">
      <c r="A46" s="40"/>
      <c r="B46" s="40"/>
      <c r="C46" s="40"/>
      <c r="D46" s="40"/>
      <c r="E46" s="40"/>
      <c r="F46" s="40"/>
      <c r="G46" s="40"/>
      <c r="H46" s="40"/>
    </row>
    <row r="47" spans="1:8" ht="24" customHeight="1" x14ac:dyDescent="0.2">
      <c r="A47" s="40"/>
      <c r="B47" s="40"/>
      <c r="C47" s="40"/>
      <c r="D47" s="40"/>
      <c r="E47" s="40"/>
      <c r="F47" s="40"/>
      <c r="G47" s="40"/>
      <c r="H47" s="40"/>
    </row>
    <row r="48" spans="1:8" ht="24" customHeight="1" x14ac:dyDescent="0.2">
      <c r="A48" s="40"/>
      <c r="B48" s="40"/>
      <c r="C48" s="40"/>
      <c r="D48" s="40"/>
      <c r="E48" s="40"/>
      <c r="F48" s="40"/>
      <c r="G48" s="40"/>
      <c r="H48" s="40"/>
    </row>
    <row r="49" spans="1:8" ht="24" customHeight="1" x14ac:dyDescent="0.2">
      <c r="A49" s="40"/>
      <c r="B49" s="40"/>
      <c r="C49" s="40"/>
      <c r="D49" s="40"/>
      <c r="E49" s="40"/>
      <c r="F49" s="40"/>
      <c r="G49" s="40"/>
      <c r="H49" s="40"/>
    </row>
    <row r="50" spans="1:8" ht="24" customHeight="1" x14ac:dyDescent="0.2">
      <c r="A50" s="40"/>
      <c r="B50" s="40"/>
      <c r="C50" s="40"/>
      <c r="D50" s="40"/>
      <c r="E50" s="40"/>
      <c r="F50" s="40"/>
      <c r="G50" s="40"/>
      <c r="H50" s="40"/>
    </row>
    <row r="51" spans="1:8" ht="24" customHeight="1" x14ac:dyDescent="0.2">
      <c r="A51" s="40"/>
      <c r="B51" s="40"/>
      <c r="C51" s="40"/>
      <c r="D51" s="40"/>
      <c r="E51" s="40"/>
      <c r="F51" s="40"/>
      <c r="G51" s="40"/>
      <c r="H51" s="40"/>
    </row>
    <row r="52" spans="1:8" ht="24.95" customHeight="1" x14ac:dyDescent="0.2">
      <c r="A52" s="81" t="s">
        <v>167</v>
      </c>
      <c r="B52" s="80"/>
      <c r="C52" s="80"/>
      <c r="D52" s="80"/>
      <c r="E52" s="80"/>
      <c r="F52" s="80"/>
      <c r="G52" s="80"/>
      <c r="H52" s="80"/>
    </row>
    <row r="53" spans="1:8" ht="24.95" customHeight="1" x14ac:dyDescent="0.2">
      <c r="A53" s="80"/>
      <c r="B53" s="82"/>
      <c r="C53" s="82"/>
      <c r="D53" s="82"/>
      <c r="E53" s="82"/>
      <c r="F53" s="82"/>
      <c r="G53" s="82"/>
      <c r="H53" s="80"/>
    </row>
    <row r="54" spans="1:8" ht="24.95" customHeight="1" x14ac:dyDescent="0.2">
      <c r="A54" s="80"/>
      <c r="B54" s="80"/>
      <c r="C54" s="80"/>
      <c r="D54" s="80"/>
      <c r="E54" s="80"/>
      <c r="F54" s="80"/>
      <c r="G54" s="80"/>
      <c r="H54" s="80"/>
    </row>
    <row r="55" spans="1:8" ht="24" customHeight="1" x14ac:dyDescent="0.2">
      <c r="A55" s="40"/>
      <c r="B55" s="40"/>
      <c r="C55" s="40"/>
      <c r="D55" s="40"/>
      <c r="E55" s="40"/>
      <c r="F55" s="40"/>
      <c r="G55" s="40"/>
      <c r="H55" s="40"/>
    </row>
    <row r="56" spans="1:8" ht="24.95" customHeight="1" x14ac:dyDescent="0.2">
      <c r="A56" s="81" t="s">
        <v>168</v>
      </c>
      <c r="B56" s="80"/>
      <c r="C56" s="80"/>
      <c r="D56" s="80"/>
      <c r="E56" s="80"/>
      <c r="F56" s="80"/>
      <c r="G56" s="80"/>
      <c r="H56" s="80"/>
    </row>
    <row r="57" spans="1:8" ht="24.95" customHeight="1" x14ac:dyDescent="0.2">
      <c r="A57" s="80"/>
      <c r="B57" s="82"/>
      <c r="C57" s="82"/>
      <c r="D57" s="82"/>
      <c r="E57" s="82"/>
      <c r="F57" s="82"/>
      <c r="G57" s="82"/>
      <c r="H57" s="80"/>
    </row>
    <row r="58" spans="1:8" ht="24.95" customHeight="1" x14ac:dyDescent="0.2">
      <c r="A58" s="80"/>
      <c r="B58" s="82"/>
      <c r="C58" s="82"/>
      <c r="D58" s="82"/>
      <c r="E58" s="82"/>
      <c r="F58" s="82"/>
      <c r="G58" s="82"/>
      <c r="H58" s="80"/>
    </row>
    <row r="59" spans="1:8" ht="24.95" customHeight="1" x14ac:dyDescent="0.2">
      <c r="A59" s="80"/>
      <c r="B59" s="80"/>
      <c r="C59" s="80"/>
      <c r="D59" s="80"/>
      <c r="E59" s="80"/>
      <c r="F59" s="80"/>
      <c r="G59" s="80"/>
      <c r="H59" s="80"/>
    </row>
    <row r="60" spans="1:8" ht="24" customHeight="1" x14ac:dyDescent="0.2">
      <c r="A60" s="40"/>
      <c r="B60" s="40"/>
      <c r="C60" s="40"/>
      <c r="D60" s="40"/>
      <c r="E60" s="40"/>
      <c r="F60" s="40"/>
      <c r="G60" s="40"/>
      <c r="H60" s="40"/>
    </row>
    <row r="61" spans="1:8" ht="24.95" customHeight="1" x14ac:dyDescent="0.2">
      <c r="A61" s="88" t="s">
        <v>1727</v>
      </c>
      <c r="B61" s="80"/>
      <c r="C61" s="80"/>
      <c r="D61" s="80"/>
      <c r="E61" s="80"/>
      <c r="F61" s="80"/>
      <c r="G61" s="80"/>
      <c r="H61" s="80"/>
    </row>
    <row r="62" spans="1:8" ht="24.95" customHeight="1" x14ac:dyDescent="0.2">
      <c r="A62" s="80"/>
      <c r="B62" s="82"/>
      <c r="C62" s="82"/>
      <c r="D62" s="82"/>
      <c r="E62" s="82"/>
      <c r="F62" s="82"/>
      <c r="G62" s="82"/>
      <c r="H62" s="80"/>
    </row>
    <row r="63" spans="1:8" ht="24.95" customHeight="1" x14ac:dyDescent="0.2">
      <c r="A63" s="80"/>
      <c r="B63" s="80"/>
      <c r="C63" s="80"/>
      <c r="D63" s="80"/>
      <c r="E63" s="80"/>
      <c r="F63" s="80"/>
      <c r="G63" s="80"/>
      <c r="H63" s="80"/>
    </row>
    <row r="64" spans="1:8" ht="24" customHeight="1" x14ac:dyDescent="0.2">
      <c r="A64" s="40"/>
      <c r="B64" s="40"/>
      <c r="C64" s="40"/>
      <c r="D64" s="40"/>
      <c r="E64" s="40"/>
      <c r="F64" s="40"/>
      <c r="G64" s="40"/>
      <c r="H64" s="40"/>
    </row>
    <row r="65" spans="1:8" ht="24" customHeight="1" x14ac:dyDescent="0.2">
      <c r="A65" s="40"/>
      <c r="B65" s="40"/>
      <c r="C65" s="40"/>
      <c r="D65" s="40"/>
      <c r="E65" s="40"/>
      <c r="F65" s="40"/>
      <c r="G65" s="40"/>
      <c r="H65" s="40"/>
    </row>
    <row r="66" spans="1:8" ht="24" customHeight="1" x14ac:dyDescent="0.2">
      <c r="A66" s="31"/>
      <c r="B66" s="31"/>
      <c r="C66" s="31"/>
      <c r="D66" s="31"/>
      <c r="E66" s="31"/>
      <c r="F66" s="31"/>
      <c r="G66" s="31"/>
      <c r="H66" s="31"/>
    </row>
    <row r="67" spans="1:8" ht="24" customHeight="1" x14ac:dyDescent="0.2">
      <c r="A67" s="31"/>
      <c r="B67" s="31"/>
      <c r="C67" s="31"/>
      <c r="D67" s="31"/>
      <c r="E67" s="31"/>
      <c r="F67" s="31"/>
      <c r="G67" s="31"/>
      <c r="H67" s="31"/>
    </row>
    <row r="68" spans="1:8" ht="24" customHeight="1" x14ac:dyDescent="0.2">
      <c r="A68" s="31"/>
      <c r="B68" s="31"/>
      <c r="C68" s="31"/>
      <c r="D68" s="31"/>
      <c r="E68" s="31"/>
      <c r="F68" s="31"/>
      <c r="G68" s="31"/>
      <c r="H68" s="31"/>
    </row>
    <row r="69" spans="1:8" ht="24" customHeight="1" x14ac:dyDescent="0.2">
      <c r="A69" s="31"/>
      <c r="B69" s="31"/>
      <c r="C69" s="31"/>
      <c r="D69" s="31"/>
      <c r="E69" s="31"/>
      <c r="F69" s="31"/>
      <c r="G69" s="31"/>
      <c r="H69" s="31"/>
    </row>
    <row r="70" spans="1:8" ht="24" customHeight="1" x14ac:dyDescent="0.2">
      <c r="A70" s="31"/>
      <c r="B70" s="31"/>
      <c r="C70" s="31"/>
      <c r="D70" s="31"/>
      <c r="E70" s="31"/>
      <c r="F70" s="31"/>
      <c r="G70" s="31"/>
      <c r="H70" s="31"/>
    </row>
    <row r="71" spans="1:8" ht="24" customHeight="1" x14ac:dyDescent="0.2">
      <c r="A71" s="31"/>
      <c r="B71" s="31"/>
      <c r="C71" s="31"/>
      <c r="D71" s="31"/>
      <c r="E71" s="31"/>
      <c r="F71" s="31"/>
      <c r="G71" s="31"/>
      <c r="H71" s="31"/>
    </row>
    <row r="72" spans="1:8" ht="24" customHeight="1" x14ac:dyDescent="0.2">
      <c r="A72" s="31"/>
      <c r="B72" s="31"/>
      <c r="C72" s="31"/>
      <c r="D72" s="31"/>
      <c r="E72" s="31"/>
      <c r="F72" s="31"/>
      <c r="G72" s="31"/>
      <c r="H72" s="31"/>
    </row>
    <row r="73" spans="1:8" ht="24" customHeight="1" x14ac:dyDescent="0.2">
      <c r="A73" s="31"/>
      <c r="B73" s="31"/>
      <c r="C73" s="31"/>
      <c r="D73" s="31"/>
      <c r="E73" s="31"/>
      <c r="F73" s="31"/>
      <c r="G73" s="31"/>
      <c r="H73" s="31"/>
    </row>
    <row r="74" spans="1:8" ht="24" customHeight="1" x14ac:dyDescent="0.2">
      <c r="A74" s="31"/>
      <c r="B74" s="31"/>
      <c r="C74" s="31"/>
      <c r="D74" s="31"/>
      <c r="E74" s="31"/>
      <c r="F74" s="31"/>
      <c r="G74" s="31"/>
      <c r="H74" s="31"/>
    </row>
    <row r="75" spans="1:8" ht="24" customHeight="1" x14ac:dyDescent="0.2">
      <c r="A75" s="31"/>
      <c r="B75" s="31"/>
      <c r="C75" s="31"/>
      <c r="D75" s="31"/>
      <c r="E75" s="31"/>
      <c r="F75" s="31"/>
      <c r="G75" s="31"/>
      <c r="H75" s="31"/>
    </row>
    <row r="76" spans="1:8" ht="24" customHeight="1" x14ac:dyDescent="0.2">
      <c r="A76" s="31"/>
      <c r="B76" s="31"/>
      <c r="C76" s="31"/>
      <c r="D76" s="31"/>
      <c r="E76" s="31"/>
      <c r="F76" s="31"/>
      <c r="G76" s="31"/>
      <c r="H76" s="31"/>
    </row>
    <row r="77" spans="1:8" ht="24" customHeight="1" x14ac:dyDescent="0.2">
      <c r="A77" s="31"/>
      <c r="B77" s="31"/>
      <c r="C77" s="31"/>
      <c r="D77" s="31"/>
      <c r="E77" s="31"/>
      <c r="F77" s="31"/>
      <c r="G77" s="31"/>
      <c r="H77" s="31"/>
    </row>
    <row r="78" spans="1:8" ht="24" customHeight="1" x14ac:dyDescent="0.2">
      <c r="A78" s="31"/>
      <c r="B78" s="31"/>
      <c r="C78" s="31"/>
      <c r="D78" s="31"/>
      <c r="E78" s="31"/>
      <c r="F78" s="31"/>
      <c r="G78" s="31"/>
      <c r="H78" s="31"/>
    </row>
    <row r="79" spans="1:8" ht="24" customHeight="1" x14ac:dyDescent="0.2">
      <c r="A79" s="31"/>
      <c r="B79" s="31"/>
      <c r="C79" s="31"/>
      <c r="D79" s="31"/>
      <c r="E79" s="31"/>
      <c r="F79" s="31"/>
      <c r="G79" s="31"/>
      <c r="H79" s="31"/>
    </row>
    <row r="80" spans="1:8" ht="24" customHeight="1" x14ac:dyDescent="0.2">
      <c r="A80" s="31"/>
      <c r="B80" s="31"/>
      <c r="C80" s="31"/>
      <c r="D80" s="31"/>
      <c r="E80" s="31"/>
      <c r="F80" s="31"/>
      <c r="G80" s="31"/>
      <c r="H80" s="31"/>
    </row>
    <row r="81" spans="1:8" ht="24" customHeight="1" x14ac:dyDescent="0.2">
      <c r="A81" s="31"/>
      <c r="B81" s="31"/>
      <c r="C81" s="31"/>
      <c r="D81" s="31"/>
      <c r="E81" s="31"/>
      <c r="F81" s="31"/>
      <c r="G81" s="31"/>
      <c r="H81" s="31"/>
    </row>
    <row r="82" spans="1:8" ht="24" customHeight="1" x14ac:dyDescent="0.2">
      <c r="A82" s="31"/>
      <c r="B82" s="31"/>
      <c r="C82" s="31"/>
      <c r="D82" s="31"/>
      <c r="E82" s="31"/>
      <c r="F82" s="31"/>
      <c r="G82" s="31"/>
      <c r="H82" s="31"/>
    </row>
  </sheetData>
  <mergeCells count="44">
    <mergeCell ref="A1:H2"/>
    <mergeCell ref="C23:D23"/>
    <mergeCell ref="E26:F26"/>
    <mergeCell ref="G26:H26"/>
    <mergeCell ref="A22:B22"/>
    <mergeCell ref="A17:H19"/>
    <mergeCell ref="A13:H15"/>
    <mergeCell ref="C10:D11"/>
    <mergeCell ref="E25:F25"/>
    <mergeCell ref="E10:F11"/>
    <mergeCell ref="G25:H25"/>
    <mergeCell ref="G10:H11"/>
    <mergeCell ref="E22:F22"/>
    <mergeCell ref="G22:H22"/>
    <mergeCell ref="A9:B9"/>
    <mergeCell ref="G9:H9"/>
    <mergeCell ref="A61:H63"/>
    <mergeCell ref="C22:D22"/>
    <mergeCell ref="C9:D9"/>
    <mergeCell ref="A27:B27"/>
    <mergeCell ref="E9:F9"/>
    <mergeCell ref="A26:B26"/>
    <mergeCell ref="A21:H21"/>
    <mergeCell ref="G24:H24"/>
    <mergeCell ref="C27:D27"/>
    <mergeCell ref="E27:F27"/>
    <mergeCell ref="A23:B23"/>
    <mergeCell ref="A29:H31"/>
    <mergeCell ref="A24:B24"/>
    <mergeCell ref="A52:H54"/>
    <mergeCell ref="C24:D24"/>
    <mergeCell ref="A3:H4"/>
    <mergeCell ref="A56:H59"/>
    <mergeCell ref="E24:F24"/>
    <mergeCell ref="G27:H27"/>
    <mergeCell ref="E23:F23"/>
    <mergeCell ref="G23:H23"/>
    <mergeCell ref="C26:D26"/>
    <mergeCell ref="A6:D7"/>
    <mergeCell ref="A33:H34"/>
    <mergeCell ref="A25:B25"/>
    <mergeCell ref="C25:D25"/>
    <mergeCell ref="A10:B11"/>
    <mergeCell ref="E6:H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C50"/>
  <sheetViews>
    <sheetView showGridLines="0" workbookViewId="0">
      <selection activeCell="C56" sqref="C56"/>
    </sheetView>
  </sheetViews>
  <sheetFormatPr defaultRowHeight="15" x14ac:dyDescent="0.2"/>
  <cols>
    <col min="1" max="1" width="48.0234375" customWidth="1"/>
    <col min="2" max="2" width="22.05859375" customWidth="1"/>
    <col min="3" max="3" width="94.97265625" customWidth="1"/>
  </cols>
  <sheetData>
    <row r="1" spans="1:3" ht="33.950000000000003" customHeight="1" x14ac:dyDescent="0.25">
      <c r="A1" s="3" t="s">
        <v>169</v>
      </c>
      <c r="B1" s="3"/>
      <c r="C1" s="3"/>
    </row>
    <row r="2" spans="1:3" ht="30" customHeight="1" x14ac:dyDescent="0.2">
      <c r="A2" s="97" t="s">
        <v>170</v>
      </c>
      <c r="B2" s="97"/>
      <c r="C2" s="2"/>
    </row>
    <row r="3" spans="1:3" ht="30" customHeight="1" x14ac:dyDescent="0.2">
      <c r="A3" s="98" t="s">
        <v>171</v>
      </c>
      <c r="B3" s="98"/>
      <c r="C3" s="2"/>
    </row>
    <row r="4" spans="1:3" ht="10.5" customHeight="1" x14ac:dyDescent="0.2">
      <c r="A4" s="2"/>
      <c r="B4" s="2"/>
      <c r="C4" s="2"/>
    </row>
    <row r="5" spans="1:3" ht="30.75" customHeight="1" x14ac:dyDescent="0.2">
      <c r="A5" s="2" t="s">
        <v>172</v>
      </c>
      <c r="B5" s="2"/>
      <c r="C5" s="2"/>
    </row>
    <row r="6" spans="1:3" ht="21.95" customHeight="1" x14ac:dyDescent="0.2">
      <c r="A6" s="2"/>
      <c r="B6" s="2"/>
      <c r="C6" s="2"/>
    </row>
    <row r="7" spans="1:3" ht="21.95" customHeight="1" x14ac:dyDescent="0.2">
      <c r="A7" s="2" t="s">
        <v>173</v>
      </c>
      <c r="B7" s="2"/>
      <c r="C7" s="2"/>
    </row>
    <row r="8" spans="1:3" ht="21.95" customHeight="1" x14ac:dyDescent="0.2">
      <c r="A8" s="2" t="s">
        <v>76</v>
      </c>
      <c r="B8" s="15">
        <f>COUNTA(ACE_Input!A6:A105)</f>
        <v>100</v>
      </c>
      <c r="C8" s="2" t="s">
        <v>174</v>
      </c>
    </row>
    <row r="9" spans="1:3" ht="21.95" customHeight="1" x14ac:dyDescent="0.2">
      <c r="A9" s="2" t="s">
        <v>30</v>
      </c>
      <c r="B9" s="15">
        <f>Protocol!B12</f>
        <v>10</v>
      </c>
      <c r="C9" s="2" t="s">
        <v>175</v>
      </c>
    </row>
    <row r="10" spans="1:3" ht="21.95" customHeight="1" x14ac:dyDescent="0.2">
      <c r="A10" s="2" t="s">
        <v>176</v>
      </c>
      <c r="B10" s="15">
        <f>Protocol!B8-Protocol!B7</f>
        <v>690</v>
      </c>
      <c r="C10" s="2" t="s">
        <v>177</v>
      </c>
    </row>
    <row r="11" spans="1:3" ht="21.95" customHeight="1" x14ac:dyDescent="0.2">
      <c r="A11" s="2" t="s">
        <v>178</v>
      </c>
      <c r="B11" s="4">
        <v>60</v>
      </c>
      <c r="C11" s="2" t="s">
        <v>179</v>
      </c>
    </row>
    <row r="12" spans="1:3" ht="21.95" customHeight="1" x14ac:dyDescent="0.2">
      <c r="A12" s="2" t="s">
        <v>180</v>
      </c>
      <c r="B12" s="4">
        <v>300</v>
      </c>
      <c r="C12" s="2" t="s">
        <v>181</v>
      </c>
    </row>
    <row r="13" spans="1:3" ht="21.95" customHeight="1" x14ac:dyDescent="0.2">
      <c r="A13" s="2"/>
      <c r="B13" s="2"/>
      <c r="C13" s="2"/>
    </row>
    <row r="14" spans="1:3" ht="21.95" customHeight="1" x14ac:dyDescent="0.2">
      <c r="A14" s="2" t="s">
        <v>182</v>
      </c>
      <c r="B14" s="2"/>
      <c r="C14" s="2"/>
    </row>
    <row r="15" spans="1:3" ht="21.95" customHeight="1" x14ac:dyDescent="0.2">
      <c r="A15" s="2" t="s">
        <v>183</v>
      </c>
      <c r="B15" s="4">
        <v>12345</v>
      </c>
      <c r="C15" s="2" t="s">
        <v>184</v>
      </c>
    </row>
    <row r="16" spans="1:3" ht="21.95" customHeight="1" x14ac:dyDescent="0.2">
      <c r="A16" s="2" t="s">
        <v>185</v>
      </c>
      <c r="B16" s="4">
        <v>54321</v>
      </c>
      <c r="C16" s="2" t="s">
        <v>186</v>
      </c>
    </row>
    <row r="17" spans="1:3" ht="21.95" customHeight="1" x14ac:dyDescent="0.2">
      <c r="A17" s="2" t="s">
        <v>187</v>
      </c>
      <c r="B17" s="4">
        <v>16807</v>
      </c>
      <c r="C17" s="2" t="s">
        <v>188</v>
      </c>
    </row>
    <row r="18" spans="1:3" ht="21.95" customHeight="1" x14ac:dyDescent="0.2">
      <c r="A18" s="2" t="s">
        <v>189</v>
      </c>
      <c r="B18" s="4">
        <v>2147483647</v>
      </c>
      <c r="C18" s="2" t="s">
        <v>190</v>
      </c>
    </row>
    <row r="19" spans="1:3" ht="21.95" customHeight="1" x14ac:dyDescent="0.2">
      <c r="A19" s="2"/>
      <c r="B19" s="2"/>
      <c r="C19" s="2"/>
    </row>
    <row r="20" spans="1:3" ht="21.95" customHeight="1" x14ac:dyDescent="0.2">
      <c r="A20" s="2" t="s">
        <v>191</v>
      </c>
      <c r="B20" s="2"/>
      <c r="C20" s="2"/>
    </row>
    <row r="21" spans="1:3" ht="21.95" customHeight="1" x14ac:dyDescent="0.2">
      <c r="A21" s="2" t="s">
        <v>192</v>
      </c>
      <c r="B21" s="4">
        <v>4</v>
      </c>
      <c r="C21" s="2" t="s">
        <v>193</v>
      </c>
    </row>
    <row r="22" spans="1:3" ht="21.95" customHeight="1" x14ac:dyDescent="0.2">
      <c r="A22" s="2"/>
      <c r="B22" s="2"/>
      <c r="C22" s="2"/>
    </row>
    <row r="23" spans="1:3" ht="21.95" customHeight="1" x14ac:dyDescent="0.2">
      <c r="A23" s="2" t="s">
        <v>194</v>
      </c>
      <c r="B23" s="2"/>
      <c r="C23" s="2"/>
    </row>
    <row r="24" spans="1:3" ht="21.95" customHeight="1" x14ac:dyDescent="0.2">
      <c r="A24" s="2" t="s">
        <v>195</v>
      </c>
      <c r="B24" s="4">
        <v>12</v>
      </c>
      <c r="C24" s="2" t="s">
        <v>196</v>
      </c>
    </row>
    <row r="25" spans="1:3" ht="21.95" customHeight="1" x14ac:dyDescent="0.2">
      <c r="A25" s="2" t="s">
        <v>197</v>
      </c>
      <c r="B25" s="4">
        <v>0.25</v>
      </c>
      <c r="C25" s="2" t="s">
        <v>198</v>
      </c>
    </row>
    <row r="26" spans="1:3" ht="21.95" customHeight="1" x14ac:dyDescent="0.2">
      <c r="A26" s="2"/>
      <c r="B26" s="2"/>
      <c r="C26" s="2"/>
    </row>
    <row r="27" spans="1:3" ht="21.95" customHeight="1" x14ac:dyDescent="0.2">
      <c r="A27" s="2" t="s">
        <v>199</v>
      </c>
      <c r="B27" s="2"/>
      <c r="C27" s="2"/>
    </row>
    <row r="28" spans="1:3" ht="21.95" customHeight="1" x14ac:dyDescent="0.2">
      <c r="A28" s="2" t="s">
        <v>81</v>
      </c>
      <c r="B28" s="4">
        <v>100</v>
      </c>
      <c r="C28" s="2" t="s">
        <v>200</v>
      </c>
    </row>
    <row r="29" spans="1:3" ht="21.95" customHeight="1" x14ac:dyDescent="0.2">
      <c r="A29" s="2" t="s">
        <v>201</v>
      </c>
      <c r="B29" s="4">
        <v>0.02</v>
      </c>
      <c r="C29" s="2" t="s">
        <v>202</v>
      </c>
    </row>
    <row r="30" spans="1:3" ht="21.95" customHeight="1" x14ac:dyDescent="0.2">
      <c r="A30" s="2" t="s">
        <v>83</v>
      </c>
      <c r="B30" s="4">
        <v>600</v>
      </c>
      <c r="C30" s="2" t="s">
        <v>203</v>
      </c>
    </row>
    <row r="31" spans="1:3" ht="21.95" customHeight="1" x14ac:dyDescent="0.2">
      <c r="A31" s="2" t="s">
        <v>85</v>
      </c>
      <c r="B31" s="4">
        <v>120</v>
      </c>
      <c r="C31" s="2" t="s">
        <v>204</v>
      </c>
    </row>
    <row r="32" spans="1:3" ht="21.95" customHeight="1" x14ac:dyDescent="0.2">
      <c r="A32" s="2" t="s">
        <v>205</v>
      </c>
      <c r="B32" s="4">
        <v>0</v>
      </c>
      <c r="C32" s="2" t="s">
        <v>206</v>
      </c>
    </row>
    <row r="33" spans="1:3" ht="21.95" customHeight="1" x14ac:dyDescent="0.2">
      <c r="A33" s="2" t="s">
        <v>207</v>
      </c>
      <c r="B33" s="2">
        <f>B30+B31</f>
        <v>720</v>
      </c>
      <c r="C33" s="2" t="s">
        <v>208</v>
      </c>
    </row>
    <row r="34" spans="1:3" ht="21.95" customHeight="1" x14ac:dyDescent="0.2">
      <c r="A34" s="2"/>
      <c r="B34" s="2"/>
      <c r="C34" s="2"/>
    </row>
    <row r="35" spans="1:3" ht="21.95" customHeight="1" x14ac:dyDescent="0.2">
      <c r="A35" s="2" t="s">
        <v>209</v>
      </c>
      <c r="B35" s="2"/>
      <c r="C35" s="2"/>
    </row>
    <row r="36" spans="1:3" ht="21.95" customHeight="1" x14ac:dyDescent="0.2">
      <c r="A36" s="2" t="s">
        <v>87</v>
      </c>
      <c r="B36" s="4">
        <v>120</v>
      </c>
      <c r="C36" s="2" t="s">
        <v>210</v>
      </c>
    </row>
    <row r="37" spans="1:3" ht="21.95" customHeight="1" x14ac:dyDescent="0.2">
      <c r="A37" s="2" t="s">
        <v>211</v>
      </c>
      <c r="B37" s="4">
        <v>900</v>
      </c>
      <c r="C37" s="2" t="s">
        <v>212</v>
      </c>
    </row>
    <row r="38" spans="1:3" ht="21.95" customHeight="1" x14ac:dyDescent="0.2">
      <c r="A38" s="2" t="s">
        <v>213</v>
      </c>
      <c r="B38" s="4">
        <v>0.05</v>
      </c>
      <c r="C38" s="2" t="s">
        <v>214</v>
      </c>
    </row>
    <row r="39" spans="1:3" ht="21.95" customHeight="1" x14ac:dyDescent="0.2">
      <c r="A39" s="2" t="s">
        <v>215</v>
      </c>
      <c r="B39" s="4">
        <v>0.02</v>
      </c>
      <c r="C39" s="2" t="s">
        <v>216</v>
      </c>
    </row>
    <row r="40" spans="1:3" ht="21.95" customHeight="1" x14ac:dyDescent="0.2">
      <c r="A40" s="2" t="s">
        <v>217</v>
      </c>
      <c r="B40" s="4" t="s">
        <v>218</v>
      </c>
      <c r="C40" s="2" t="s">
        <v>219</v>
      </c>
    </row>
    <row r="41" spans="1:3" ht="21.95" customHeight="1" x14ac:dyDescent="0.2">
      <c r="A41" s="2"/>
      <c r="B41" s="2"/>
      <c r="C41" s="2"/>
    </row>
    <row r="42" spans="1:3" ht="21.95" customHeight="1" x14ac:dyDescent="0.2">
      <c r="A42" s="2" t="s">
        <v>220</v>
      </c>
      <c r="B42" s="2"/>
      <c r="C42" s="2"/>
    </row>
    <row r="43" spans="1:3" ht="21.95" customHeight="1" x14ac:dyDescent="0.2">
      <c r="A43" s="2" t="s">
        <v>221</v>
      </c>
      <c r="B43" s="97" t="s">
        <v>222</v>
      </c>
      <c r="C43" s="97"/>
    </row>
    <row r="44" spans="1:3" ht="21.95" customHeight="1" x14ac:dyDescent="0.2">
      <c r="A44" s="2" t="s">
        <v>223</v>
      </c>
      <c r="B44" s="97" t="s">
        <v>224</v>
      </c>
      <c r="C44" s="97"/>
    </row>
    <row r="45" spans="1:3" ht="21.95" customHeight="1" x14ac:dyDescent="0.2">
      <c r="A45" s="2" t="s">
        <v>225</v>
      </c>
      <c r="B45" s="97" t="s">
        <v>226</v>
      </c>
      <c r="C45" s="97"/>
    </row>
    <row r="46" spans="1:3" ht="21.95" customHeight="1" x14ac:dyDescent="0.2">
      <c r="A46" s="2" t="s">
        <v>227</v>
      </c>
      <c r="B46" s="97" t="s">
        <v>228</v>
      </c>
      <c r="C46" s="97"/>
    </row>
    <row r="47" spans="1:3" ht="21.95" customHeight="1" x14ac:dyDescent="0.2">
      <c r="A47" s="2"/>
      <c r="B47" s="2"/>
      <c r="C47" s="2"/>
    </row>
    <row r="48" spans="1:3" ht="21.95" customHeight="1" x14ac:dyDescent="0.2">
      <c r="A48" s="96" t="s">
        <v>229</v>
      </c>
      <c r="B48" s="96"/>
      <c r="C48" s="96"/>
    </row>
    <row r="49" spans="1:3" x14ac:dyDescent="0.2">
      <c r="A49" s="9"/>
      <c r="B49" s="9"/>
      <c r="C49" s="9"/>
    </row>
    <row r="50" spans="1:3" x14ac:dyDescent="0.2">
      <c r="A50" s="9"/>
      <c r="B50" s="9"/>
      <c r="C50" s="9"/>
    </row>
  </sheetData>
  <mergeCells count="7">
    <mergeCell ref="A48:C48"/>
    <mergeCell ref="A2:B2"/>
    <mergeCell ref="A3:B3"/>
    <mergeCell ref="B43:C43"/>
    <mergeCell ref="B44:C44"/>
    <mergeCell ref="B45:C45"/>
    <mergeCell ref="B46:C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L1205"/>
  <sheetViews>
    <sheetView workbookViewId="0">
      <selection sqref="A1:L1"/>
    </sheetView>
  </sheetViews>
  <sheetFormatPr defaultRowHeight="15" x14ac:dyDescent="0.2"/>
  <cols>
    <col min="1" max="12" width="18.0234375" customWidth="1"/>
  </cols>
  <sheetData>
    <row r="1" spans="1:12" ht="33.950000000000003" customHeight="1" x14ac:dyDescent="0.2">
      <c r="A1" s="99" t="s">
        <v>230</v>
      </c>
      <c r="B1" s="80"/>
      <c r="C1" s="80"/>
      <c r="D1" s="80"/>
      <c r="E1" s="80"/>
      <c r="F1" s="80"/>
      <c r="G1" s="80"/>
      <c r="H1" s="80"/>
      <c r="I1" s="80"/>
      <c r="J1" s="80"/>
      <c r="K1" s="80"/>
      <c r="L1" s="80"/>
    </row>
    <row r="2" spans="1:12" ht="21.95" customHeight="1" x14ac:dyDescent="0.2">
      <c r="A2" s="100" t="s">
        <v>231</v>
      </c>
      <c r="B2" s="80"/>
      <c r="C2" s="80"/>
      <c r="D2" s="80"/>
      <c r="E2" s="80"/>
      <c r="F2" s="80"/>
      <c r="G2" s="80"/>
      <c r="H2" s="80"/>
      <c r="I2" s="80"/>
      <c r="J2" s="80"/>
      <c r="K2" s="80"/>
      <c r="L2" s="80"/>
    </row>
    <row r="3" spans="1:12" ht="21.95" customHeight="1" x14ac:dyDescent="0.2">
      <c r="A3" s="80"/>
      <c r="B3" s="80"/>
      <c r="C3" s="80"/>
      <c r="D3" s="80"/>
      <c r="E3" s="80"/>
      <c r="F3" s="80"/>
      <c r="G3" s="80"/>
      <c r="H3" s="80"/>
      <c r="I3" s="80"/>
      <c r="J3" s="80"/>
      <c r="K3" s="80"/>
      <c r="L3" s="80"/>
    </row>
    <row r="4" spans="1:12" ht="21.95" customHeight="1" x14ac:dyDescent="0.2">
      <c r="A4" s="2"/>
      <c r="B4" s="2"/>
      <c r="C4" s="2"/>
      <c r="D4" s="2"/>
      <c r="E4" s="2"/>
      <c r="F4" s="2"/>
      <c r="G4" s="2"/>
      <c r="H4" s="2"/>
      <c r="I4" s="2"/>
      <c r="J4" s="2"/>
      <c r="K4" s="2"/>
      <c r="L4" s="2"/>
    </row>
    <row r="5" spans="1:12" ht="63.95" customHeight="1" x14ac:dyDescent="0.2">
      <c r="A5" s="5" t="s">
        <v>232</v>
      </c>
      <c r="B5" s="5" t="s">
        <v>233</v>
      </c>
      <c r="C5" s="5" t="s">
        <v>234</v>
      </c>
      <c r="D5" s="5" t="s">
        <v>235</v>
      </c>
      <c r="E5" s="5" t="s">
        <v>236</v>
      </c>
      <c r="F5" s="5" t="s">
        <v>237</v>
      </c>
      <c r="G5" s="5" t="s">
        <v>238</v>
      </c>
      <c r="H5" s="5" t="s">
        <v>239</v>
      </c>
      <c r="I5" s="5" t="s">
        <v>240</v>
      </c>
      <c r="J5" s="5" t="s">
        <v>241</v>
      </c>
      <c r="K5" s="5" t="s">
        <v>242</v>
      </c>
      <c r="L5" s="5" t="s">
        <v>243</v>
      </c>
    </row>
    <row r="6" spans="1:12" x14ac:dyDescent="0.2">
      <c r="A6">
        <f>1</f>
        <v>1</v>
      </c>
      <c r="B6">
        <f>ACE_Input!A6</f>
        <v>1</v>
      </c>
      <c r="C6" s="6">
        <f>MOD(Settings!$B$17*(Settings!$B$15+1000*A6),Settings!$B$18)</f>
        <v>224289415</v>
      </c>
      <c r="D6" s="6">
        <f>MAX(C6,1)/Settings!$B$18</f>
        <v>0.10444289776703478</v>
      </c>
      <c r="E6" s="6">
        <f>F6</f>
        <v>2</v>
      </c>
      <c r="F6" s="6">
        <f>ACE_Input!D6</f>
        <v>2</v>
      </c>
      <c r="G6" s="6">
        <f>MOD(Settings!$B$17*(Settings!$B$16+1000*A6),Settings!$B$18)</f>
        <v>929780047</v>
      </c>
      <c r="H6" s="6">
        <f>MAX(G6,1)/Settings!$B$18</f>
        <v>0.4329625738006842</v>
      </c>
      <c r="I6" s="6">
        <f>-ACE_Input!W6*LN(H6)</f>
        <v>3.3484159574231529</v>
      </c>
      <c r="J6" s="6">
        <f>-ACE_Input!X6*LN(H6)</f>
        <v>10.045247872269458</v>
      </c>
      <c r="K6" s="6">
        <f>ACE_Input!U6</f>
        <v>300</v>
      </c>
      <c r="L6" s="6">
        <f>K6*ACE_Input!V6</f>
        <v>75</v>
      </c>
    </row>
    <row r="7" spans="1:12" x14ac:dyDescent="0.2">
      <c r="A7">
        <f>1</f>
        <v>1</v>
      </c>
      <c r="B7">
        <f>ACE_Input!A7</f>
        <v>2</v>
      </c>
      <c r="C7" s="6">
        <f>MOD(Settings!$B$17*(C6),Settings!$B$18)</f>
        <v>798397420</v>
      </c>
      <c r="D7" s="6">
        <f>MAX(C7,1)/Settings!$B$18</f>
        <v>0.37178277055350262</v>
      </c>
      <c r="E7" s="6">
        <f t="shared" ref="E7:E38" si="0">F7-F6</f>
        <v>5</v>
      </c>
      <c r="F7" s="6">
        <f>ACE_Input!D7</f>
        <v>7</v>
      </c>
      <c r="G7" s="6">
        <f>MOD(Settings!$B$17*(G6),Settings!$B$18)</f>
        <v>1722234357</v>
      </c>
      <c r="H7" s="6">
        <f>MAX(G7,1)/Settings!$B$18</f>
        <v>0.80197786809968663</v>
      </c>
      <c r="I7" s="6">
        <f>-ACE_Input!W7*LN(H7)</f>
        <v>0.88269706952829419</v>
      </c>
      <c r="J7" s="6">
        <f>-ACE_Input!X7*LN(H7)</f>
        <v>2.6480912085848827</v>
      </c>
      <c r="K7" s="6">
        <f>ACE_Input!U7</f>
        <v>300</v>
      </c>
      <c r="L7" s="6">
        <f>K7*ACE_Input!V7</f>
        <v>75</v>
      </c>
    </row>
    <row r="8" spans="1:12" x14ac:dyDescent="0.2">
      <c r="A8">
        <f>1</f>
        <v>1</v>
      </c>
      <c r="B8">
        <f>ACE_Input!A8</f>
        <v>3</v>
      </c>
      <c r="C8" s="6">
        <f>MOD(Settings!$B$17*(C7),Settings!$B$18)</f>
        <v>1187611484</v>
      </c>
      <c r="D8" s="6">
        <f>MAX(C8,1)/Settings!$B$18</f>
        <v>0.55302469271841681</v>
      </c>
      <c r="E8" s="6">
        <f t="shared" si="0"/>
        <v>25</v>
      </c>
      <c r="F8" s="6">
        <f>ACE_Input!D8</f>
        <v>32</v>
      </c>
      <c r="G8" s="6">
        <f>MOD(Settings!$B$17*(G7),Settings!$B$18)</f>
        <v>1808243833</v>
      </c>
      <c r="H8" s="6">
        <f>MAX(G8,1)/Settings!$B$18</f>
        <v>0.84202915143316104</v>
      </c>
      <c r="I8" s="6">
        <f>-ACE_Input!W8*LN(H8)</f>
        <v>0.68776257473816171</v>
      </c>
      <c r="J8" s="6">
        <f>-ACE_Input!X8*LN(H8)</f>
        <v>2.0632877242144851</v>
      </c>
      <c r="K8" s="6">
        <f>ACE_Input!U8</f>
        <v>300</v>
      </c>
      <c r="L8" s="6">
        <f>K8*ACE_Input!V8</f>
        <v>75</v>
      </c>
    </row>
    <row r="9" spans="1:12" x14ac:dyDescent="0.2">
      <c r="A9">
        <f>1</f>
        <v>1</v>
      </c>
      <c r="B9">
        <f>ACE_Input!A9</f>
        <v>4</v>
      </c>
      <c r="C9" s="6">
        <f>MOD(Settings!$B$17*(C8),Settings!$B$18)</f>
        <v>1473196370</v>
      </c>
      <c r="D9" s="6">
        <f>MAX(C9,1)/Settings!$B$18</f>
        <v>0.68601051843073713</v>
      </c>
      <c r="E9" s="6">
        <f t="shared" si="0"/>
        <v>5</v>
      </c>
      <c r="F9" s="6">
        <f>ACE_Input!D9</f>
        <v>37</v>
      </c>
      <c r="G9" s="6">
        <f>MOD(Settings!$B$17*(G8),Settings!$B$18)</f>
        <v>2113012534</v>
      </c>
      <c r="H9" s="6">
        <f>MAX(G9,1)/Settings!$B$18</f>
        <v>0.98394813713801477</v>
      </c>
      <c r="I9" s="6">
        <f>-ACE_Input!W9*LN(H9)</f>
        <v>6.4728357917824858E-2</v>
      </c>
      <c r="J9" s="6">
        <f>-ACE_Input!X9*LN(H9)</f>
        <v>0.19418507375347457</v>
      </c>
      <c r="K9" s="6">
        <f>ACE_Input!U9</f>
        <v>300</v>
      </c>
      <c r="L9" s="6">
        <f>K9*ACE_Input!V9</f>
        <v>75</v>
      </c>
    </row>
    <row r="10" spans="1:12" x14ac:dyDescent="0.2">
      <c r="A10">
        <f>1</f>
        <v>1</v>
      </c>
      <c r="B10">
        <f>ACE_Input!A10</f>
        <v>5</v>
      </c>
      <c r="C10" s="6">
        <f>MOD(Settings!$B$17*(C9),Settings!$B$18)</f>
        <v>1672424327</v>
      </c>
      <c r="D10" s="6">
        <f>MAX(C10,1)/Settings!$B$18</f>
        <v>0.77878326539824871</v>
      </c>
      <c r="E10" s="6">
        <f t="shared" si="0"/>
        <v>5</v>
      </c>
      <c r="F10" s="6">
        <f>ACE_Input!D10</f>
        <v>42</v>
      </c>
      <c r="G10" s="6">
        <f>MOD(Settings!$B$17*(G9),Settings!$B$18)</f>
        <v>464588499</v>
      </c>
      <c r="H10" s="6">
        <f>MAX(G10,1)/Settings!$B$18</f>
        <v>0.21634087861345191</v>
      </c>
      <c r="I10" s="6">
        <f>-ACE_Input!W10*LN(H10)</f>
        <v>6.1235998941043919</v>
      </c>
      <c r="J10" s="6">
        <f>-ACE_Input!X10*LN(H10)</f>
        <v>18.370799682313177</v>
      </c>
      <c r="K10" s="6">
        <f>ACE_Input!U10</f>
        <v>300</v>
      </c>
      <c r="L10" s="6">
        <f>K10*ACE_Input!V10</f>
        <v>75</v>
      </c>
    </row>
    <row r="11" spans="1:12" x14ac:dyDescent="0.2">
      <c r="A11">
        <f>1</f>
        <v>1</v>
      </c>
      <c r="B11">
        <f>ACE_Input!A11</f>
        <v>6</v>
      </c>
      <c r="C11" s="6">
        <f>MOD(Settings!$B$17*(C10),Settings!$B$18)</f>
        <v>22208306</v>
      </c>
      <c r="D11" s="6">
        <f>MAX(C11,1)/Settings!$B$18</f>
        <v>1.0341548365699848E-2</v>
      </c>
      <c r="E11" s="6">
        <f t="shared" si="0"/>
        <v>5</v>
      </c>
      <c r="F11" s="6">
        <f>ACE_Input!D11</f>
        <v>47</v>
      </c>
      <c r="G11" s="6">
        <f>MOD(Settings!$B$17*(G10),Settings!$B$18)</f>
        <v>88362201</v>
      </c>
      <c r="H11" s="6">
        <f>MAX(G11,1)/Settings!$B$18</f>
        <v>4.1146856286165705E-2</v>
      </c>
      <c r="I11" s="6">
        <f>-ACE_Input!W11*LN(H11)</f>
        <v>12.762431004901574</v>
      </c>
      <c r="J11" s="6">
        <f>-ACE_Input!X11*LN(H11)</f>
        <v>38.287293014704723</v>
      </c>
      <c r="K11" s="6">
        <f>ACE_Input!U11</f>
        <v>300</v>
      </c>
      <c r="L11" s="6">
        <f>K11*ACE_Input!V11</f>
        <v>75</v>
      </c>
    </row>
    <row r="12" spans="1:12" x14ac:dyDescent="0.2">
      <c r="A12">
        <f>1</f>
        <v>1</v>
      </c>
      <c r="B12">
        <f>ACE_Input!A12</f>
        <v>7</v>
      </c>
      <c r="C12" s="6">
        <f>MOD(Settings!$B$17*(C11),Settings!$B$18)</f>
        <v>1740328011</v>
      </c>
      <c r="D12" s="6">
        <f>MAX(C12,1)/Settings!$B$18</f>
        <v>0.81040338231735087</v>
      </c>
      <c r="E12" s="6">
        <f t="shared" si="0"/>
        <v>5</v>
      </c>
      <c r="F12" s="6">
        <f>ACE_Input!D12</f>
        <v>52</v>
      </c>
      <c r="G12" s="6">
        <f>MOD(Settings!$B$17*(G11),Settings!$B$18)</f>
        <v>1192312130</v>
      </c>
      <c r="H12" s="6">
        <f>MAX(G12,1)/Settings!$B$18</f>
        <v>0.55521360158697408</v>
      </c>
      <c r="I12" s="6">
        <f>-ACE_Input!W12*LN(H12)</f>
        <v>2.3536094862160417</v>
      </c>
      <c r="J12" s="6">
        <f>-ACE_Input!X12*LN(H12)</f>
        <v>7.0608284586481247</v>
      </c>
      <c r="K12" s="6">
        <f>ACE_Input!U12</f>
        <v>300</v>
      </c>
      <c r="L12" s="6">
        <f>K12*ACE_Input!V12</f>
        <v>75</v>
      </c>
    </row>
    <row r="13" spans="1:12" x14ac:dyDescent="0.2">
      <c r="A13">
        <f>1</f>
        <v>1</v>
      </c>
      <c r="B13">
        <f>ACE_Input!A13</f>
        <v>8</v>
      </c>
      <c r="C13" s="6">
        <f>MOD(Settings!$B$17*(C12),Settings!$B$18)</f>
        <v>965608737</v>
      </c>
      <c r="D13" s="6">
        <f>MAX(C13,1)/Settings!$B$18</f>
        <v>0.44964660771640325</v>
      </c>
      <c r="E13" s="6">
        <f t="shared" si="0"/>
        <v>5</v>
      </c>
      <c r="F13" s="6">
        <f>ACE_Input!D13</f>
        <v>57</v>
      </c>
      <c r="G13" s="6">
        <f>MOD(Settings!$B$17*(G12),Settings!$B$18)</f>
        <v>1020058753</v>
      </c>
      <c r="H13" s="6">
        <f>MAX(G13,1)/Settings!$B$18</f>
        <v>0.47500187227269725</v>
      </c>
      <c r="I13" s="6">
        <f>-ACE_Input!W13*LN(H13)</f>
        <v>2.977746133314132</v>
      </c>
      <c r="J13" s="6">
        <f>-ACE_Input!X13*LN(H13)</f>
        <v>8.9332383999423968</v>
      </c>
      <c r="K13" s="6">
        <f>ACE_Input!U13</f>
        <v>300</v>
      </c>
      <c r="L13" s="6">
        <f>K13*ACE_Input!V13</f>
        <v>75</v>
      </c>
    </row>
    <row r="14" spans="1:12" x14ac:dyDescent="0.2">
      <c r="A14">
        <f>1</f>
        <v>1</v>
      </c>
      <c r="B14">
        <f>ACE_Input!A14</f>
        <v>9</v>
      </c>
      <c r="C14" s="6">
        <f>MOD(Settings!$B$17*(C13),Settings!$B$18)</f>
        <v>452122380</v>
      </c>
      <c r="D14" s="6">
        <f>MAX(C14,1)/Settings!$B$18</f>
        <v>0.21053588958947728</v>
      </c>
      <c r="E14" s="6">
        <f t="shared" si="0"/>
        <v>115</v>
      </c>
      <c r="F14" s="6">
        <f>ACE_Input!D14</f>
        <v>172</v>
      </c>
      <c r="G14" s="6">
        <f>MOD(Settings!$B$17*(G13),Settings!$B$18)</f>
        <v>765507670</v>
      </c>
      <c r="H14" s="6">
        <f>MAX(G14,1)/Settings!$B$18</f>
        <v>0.35646728722214105</v>
      </c>
      <c r="I14" s="6">
        <f>-ACE_Input!W14*LN(H14)</f>
        <v>4.1260512171431625</v>
      </c>
      <c r="J14" s="6">
        <f>-ACE_Input!X14*LN(H14)</f>
        <v>12.378153651429487</v>
      </c>
      <c r="K14" s="6">
        <f>ACE_Input!U14</f>
        <v>300</v>
      </c>
      <c r="L14" s="6">
        <f>K14*ACE_Input!V14</f>
        <v>75</v>
      </c>
    </row>
    <row r="15" spans="1:12" x14ac:dyDescent="0.2">
      <c r="A15">
        <f>1</f>
        <v>1</v>
      </c>
      <c r="B15">
        <f>ACE_Input!A15</f>
        <v>10</v>
      </c>
      <c r="C15" s="6">
        <f>MOD(Settings!$B$17*(C14),Settings!$B$18)</f>
        <v>1023697574</v>
      </c>
      <c r="D15" s="6">
        <f>MAX(C15,1)/Settings!$B$18</f>
        <v>0.47669633034462872</v>
      </c>
      <c r="E15" s="6">
        <f t="shared" si="0"/>
        <v>5</v>
      </c>
      <c r="F15" s="6">
        <f>ACE_Input!D15</f>
        <v>177</v>
      </c>
      <c r="G15" s="6">
        <f>MOD(Settings!$B$17*(G14),Settings!$B$18)</f>
        <v>312880513</v>
      </c>
      <c r="H15" s="6">
        <f>MAX(G15,1)/Settings!$B$18</f>
        <v>0.14569634252493099</v>
      </c>
      <c r="I15" s="6">
        <f>-ACE_Input!W15*LN(H15)</f>
        <v>7.7049226755048634</v>
      </c>
      <c r="J15" s="6">
        <f>-ACE_Input!X15*LN(H15)</f>
        <v>23.114768026514589</v>
      </c>
      <c r="K15" s="6">
        <f>ACE_Input!U15</f>
        <v>300</v>
      </c>
      <c r="L15" s="6">
        <f>K15*ACE_Input!V15</f>
        <v>75</v>
      </c>
    </row>
    <row r="16" spans="1:12" x14ac:dyDescent="0.2">
      <c r="A16">
        <f>1</f>
        <v>1</v>
      </c>
      <c r="B16">
        <f>ACE_Input!A16</f>
        <v>11</v>
      </c>
      <c r="C16" s="6">
        <f>MOD(Settings!$B$17*(C15),Settings!$B$18)</f>
        <v>1793630101</v>
      </c>
      <c r="D16" s="6">
        <f>MAX(C16,1)/Settings!$B$18</f>
        <v>0.83522410217450194</v>
      </c>
      <c r="E16" s="6">
        <f t="shared" si="0"/>
        <v>5</v>
      </c>
      <c r="F16" s="6">
        <f>ACE_Input!D16</f>
        <v>182</v>
      </c>
      <c r="G16" s="6">
        <f>MOD(Settings!$B$17*(G15),Settings!$B$18)</f>
        <v>1542814135</v>
      </c>
      <c r="H16" s="6">
        <f>MAX(G16,1)/Settings!$B$18</f>
        <v>0.71842881651522073</v>
      </c>
      <c r="I16" s="6">
        <f>-ACE_Input!W16*LN(H16)</f>
        <v>1.3227546028914492</v>
      </c>
      <c r="J16" s="6">
        <f>-ACE_Input!X16*LN(H16)</f>
        <v>3.9682638086743474</v>
      </c>
      <c r="K16" s="6">
        <f>ACE_Input!U16</f>
        <v>300</v>
      </c>
      <c r="L16" s="6">
        <f>K16*ACE_Input!V16</f>
        <v>75</v>
      </c>
    </row>
    <row r="17" spans="1:12" x14ac:dyDescent="0.2">
      <c r="A17">
        <f>1</f>
        <v>1</v>
      </c>
      <c r="B17">
        <f>ACE_Input!A17</f>
        <v>12</v>
      </c>
      <c r="C17" s="6">
        <f>MOD(Settings!$B$17*(C16),Settings!$B$18)</f>
        <v>1313154568</v>
      </c>
      <c r="D17" s="6">
        <f>MAX(C17,1)/Settings!$B$18</f>
        <v>0.61148524685366323</v>
      </c>
      <c r="E17" s="6">
        <f t="shared" si="0"/>
        <v>5</v>
      </c>
      <c r="F17" s="6">
        <f>ACE_Input!D17</f>
        <v>187</v>
      </c>
      <c r="G17" s="6">
        <f>MOD(Settings!$B$17*(G16),Settings!$B$18)</f>
        <v>1359613067</v>
      </c>
      <c r="H17" s="6">
        <f>MAX(G17,1)/Settings!$B$18</f>
        <v>0.6331191713144626</v>
      </c>
      <c r="I17" s="6">
        <f>-ACE_Input!W17*LN(H17)</f>
        <v>1.8283864409504715</v>
      </c>
      <c r="J17" s="6">
        <f>-ACE_Input!X17*LN(H17)</f>
        <v>5.4851593228514144</v>
      </c>
      <c r="K17" s="6">
        <f>ACE_Input!U17</f>
        <v>300</v>
      </c>
      <c r="L17" s="6">
        <f>K17*ACE_Input!V17</f>
        <v>75</v>
      </c>
    </row>
    <row r="18" spans="1:12" x14ac:dyDescent="0.2">
      <c r="A18">
        <f>1</f>
        <v>1</v>
      </c>
      <c r="B18">
        <f>ACE_Input!A18</f>
        <v>13</v>
      </c>
      <c r="C18" s="6">
        <f>MOD(Settings!$B$17*(C17),Settings!$B$18)</f>
        <v>499384157</v>
      </c>
      <c r="D18" s="6">
        <f>MAX(C18,1)/Settings!$B$18</f>
        <v>0.23254386951799685</v>
      </c>
      <c r="E18" s="6">
        <f t="shared" si="0"/>
        <v>5</v>
      </c>
      <c r="F18" s="6">
        <f>ACE_Input!D18</f>
        <v>192</v>
      </c>
      <c r="G18" s="6">
        <f>MOD(Settings!$B$17*(G17),Settings!$B$18)</f>
        <v>1790812989</v>
      </c>
      <c r="H18" s="6">
        <f>MAX(G18,1)/Settings!$B$18</f>
        <v>0.83391228217348101</v>
      </c>
      <c r="I18" s="6">
        <f>-ACE_Input!W18*LN(H18)</f>
        <v>0.72650823761971151</v>
      </c>
      <c r="J18" s="6">
        <f>-ACE_Input!X18*LN(H18)</f>
        <v>2.1795247128591346</v>
      </c>
      <c r="K18" s="6">
        <f>ACE_Input!U18</f>
        <v>300</v>
      </c>
      <c r="L18" s="6">
        <f>K18*ACE_Input!V18</f>
        <v>75</v>
      </c>
    </row>
    <row r="19" spans="1:12" x14ac:dyDescent="0.2">
      <c r="A19">
        <f>1</f>
        <v>1</v>
      </c>
      <c r="B19">
        <f>ACE_Input!A19</f>
        <v>14</v>
      </c>
      <c r="C19" s="6">
        <f>MOD(Settings!$B$17*(C18),Settings!$B$18)</f>
        <v>783434223</v>
      </c>
      <c r="D19" s="6">
        <f>MAX(C19,1)/Settings!$B$18</f>
        <v>0.36481498897299869</v>
      </c>
      <c r="E19" s="6">
        <f t="shared" si="0"/>
        <v>5</v>
      </c>
      <c r="F19" s="6">
        <f>ACE_Input!D19</f>
        <v>197</v>
      </c>
      <c r="G19" s="6">
        <f>MOD(Settings!$B$17*(G18),Settings!$B$18)</f>
        <v>1210593418</v>
      </c>
      <c r="H19" s="6">
        <f>MAX(G19,1)/Settings!$B$18</f>
        <v>0.56372648969466166</v>
      </c>
      <c r="I19" s="6">
        <f>-ACE_Input!W19*LN(H19)</f>
        <v>2.2927443698358578</v>
      </c>
      <c r="J19" s="6">
        <f>-ACE_Input!X19*LN(H19)</f>
        <v>6.8782331095075735</v>
      </c>
      <c r="K19" s="6">
        <f>ACE_Input!U19</f>
        <v>300</v>
      </c>
      <c r="L19" s="6">
        <f>K19*ACE_Input!V19</f>
        <v>75</v>
      </c>
    </row>
    <row r="20" spans="1:12" x14ac:dyDescent="0.2">
      <c r="A20">
        <f>1</f>
        <v>1</v>
      </c>
      <c r="B20">
        <f>ACE_Input!A20</f>
        <v>15</v>
      </c>
      <c r="C20" s="6">
        <f>MOD(Settings!$B$17*(C19),Settings!$B$18)</f>
        <v>956746204</v>
      </c>
      <c r="D20" s="6">
        <f>MAX(C20,1)/Settings!$B$18</f>
        <v>0.44551966918889419</v>
      </c>
      <c r="E20" s="6">
        <f t="shared" si="0"/>
        <v>5</v>
      </c>
      <c r="F20" s="6">
        <f>ACE_Input!D20</f>
        <v>202</v>
      </c>
      <c r="G20" s="6">
        <f>MOD(Settings!$B$17*(G19),Settings!$B$18)</f>
        <v>1183504648</v>
      </c>
      <c r="H20" s="6">
        <f>MAX(G20,1)/Settings!$B$18</f>
        <v>0.55111229817900453</v>
      </c>
      <c r="I20" s="6">
        <f>-ACE_Input!W20*LN(H20)</f>
        <v>2.3832667305914566</v>
      </c>
      <c r="J20" s="6">
        <f>-ACE_Input!X20*LN(H20)</f>
        <v>7.1498001917743697</v>
      </c>
      <c r="K20" s="6">
        <f>ACE_Input!U20</f>
        <v>300</v>
      </c>
      <c r="L20" s="6">
        <f>K20*ACE_Input!V20</f>
        <v>75</v>
      </c>
    </row>
    <row r="21" spans="1:12" x14ac:dyDescent="0.2">
      <c r="A21">
        <f>1</f>
        <v>1</v>
      </c>
      <c r="B21">
        <f>ACE_Input!A21</f>
        <v>16</v>
      </c>
      <c r="C21" s="6">
        <f>MOD(Settings!$B$17*(C20),Settings!$B$18)</f>
        <v>1823385539</v>
      </c>
      <c r="D21" s="6">
        <f>MAX(C21,1)/Settings!$B$18</f>
        <v>0.84908005774443973</v>
      </c>
      <c r="E21" s="6">
        <f t="shared" si="0"/>
        <v>5</v>
      </c>
      <c r="F21" s="6">
        <f>ACE_Input!D21</f>
        <v>207</v>
      </c>
      <c r="G21" s="6">
        <f>MOD(Settings!$B$17*(G20),Settings!$B$18)</f>
        <v>1169080422</v>
      </c>
      <c r="H21" s="6">
        <f>MAX(G21,1)/Settings!$B$18</f>
        <v>0.54439549452829894</v>
      </c>
      <c r="I21" s="6">
        <f>-ACE_Input!W21*LN(H21)</f>
        <v>2.4323171370834107</v>
      </c>
      <c r="J21" s="6">
        <f>-ACE_Input!X21*LN(H21)</f>
        <v>7.2969514112502321</v>
      </c>
      <c r="K21" s="6">
        <f>ACE_Input!U21</f>
        <v>300</v>
      </c>
      <c r="L21" s="6">
        <f>K21*ACE_Input!V21</f>
        <v>75</v>
      </c>
    </row>
    <row r="22" spans="1:12" x14ac:dyDescent="0.2">
      <c r="A22">
        <f>1</f>
        <v>1</v>
      </c>
      <c r="B22">
        <f>ACE_Input!A22</f>
        <v>17</v>
      </c>
      <c r="C22" s="6">
        <f>MOD(Settings!$B$17*(C21),Settings!$B$18)</f>
        <v>1049111283</v>
      </c>
      <c r="D22" s="6">
        <f>MAX(C22,1)/Settings!$B$18</f>
        <v>0.4885305107983437</v>
      </c>
      <c r="E22" s="6">
        <f t="shared" si="0"/>
        <v>5</v>
      </c>
      <c r="F22" s="6">
        <f>ACE_Input!D22</f>
        <v>212</v>
      </c>
      <c r="G22" s="6">
        <f>MOD(Settings!$B$17*(G21),Settings!$B$18)</f>
        <v>1406766151</v>
      </c>
      <c r="H22" s="6">
        <f>MAX(G22,1)/Settings!$B$18</f>
        <v>0.65507653712065728</v>
      </c>
      <c r="I22" s="6">
        <f>-ACE_Input!W22*LN(H22)</f>
        <v>1.6920127984299671</v>
      </c>
      <c r="J22" s="6">
        <f>-ACE_Input!X22*LN(H22)</f>
        <v>5.0760383952899009</v>
      </c>
      <c r="K22" s="6">
        <f>ACE_Input!U22</f>
        <v>300</v>
      </c>
      <c r="L22" s="6">
        <f>K22*ACE_Input!V22</f>
        <v>75</v>
      </c>
    </row>
    <row r="23" spans="1:12" x14ac:dyDescent="0.2">
      <c r="A23">
        <f>1</f>
        <v>1</v>
      </c>
      <c r="B23">
        <f>ACE_Input!A23</f>
        <v>18</v>
      </c>
      <c r="C23" s="6">
        <f>MOD(Settings!$B$17*(C22),Settings!$B$18)</f>
        <v>1572591511</v>
      </c>
      <c r="D23" s="6">
        <f>MAX(C23,1)/Settings!$B$18</f>
        <v>0.73229498776248425</v>
      </c>
      <c r="E23" s="6">
        <f t="shared" si="0"/>
        <v>5</v>
      </c>
      <c r="F23" s="6">
        <f>ACE_Input!D23</f>
        <v>217</v>
      </c>
      <c r="G23" s="6">
        <f>MOD(Settings!$B$17*(G22),Settings!$B$18)</f>
        <v>1871230034</v>
      </c>
      <c r="H23" s="6">
        <f>MAX(G23,1)/Settings!$B$18</f>
        <v>0.87135938688710302</v>
      </c>
      <c r="I23" s="6">
        <f>-ACE_Input!W23*LN(H23)</f>
        <v>0.55080309249813642</v>
      </c>
      <c r="J23" s="6">
        <f>-ACE_Input!X23*LN(H23)</f>
        <v>1.6524092774944092</v>
      </c>
      <c r="K23" s="6">
        <f>ACE_Input!U23</f>
        <v>300</v>
      </c>
      <c r="L23" s="6">
        <f>K23*ACE_Input!V23</f>
        <v>75</v>
      </c>
    </row>
    <row r="24" spans="1:12" x14ac:dyDescent="0.2">
      <c r="A24">
        <f>1</f>
        <v>1</v>
      </c>
      <c r="B24">
        <f>ACE_Input!A24</f>
        <v>19</v>
      </c>
      <c r="C24" s="6">
        <f>MOD(Settings!$B$17*(C23),Settings!$B$18)</f>
        <v>1464281748</v>
      </c>
      <c r="D24" s="6">
        <f>MAX(C24,1)/Settings!$B$18</f>
        <v>0.68185932407242211</v>
      </c>
      <c r="E24" s="6">
        <f t="shared" si="0"/>
        <v>5</v>
      </c>
      <c r="F24" s="6">
        <f>ACE_Input!D24</f>
        <v>222</v>
      </c>
      <c r="G24" s="6">
        <f>MOD(Settings!$B$17*(G23),Settings!$B$18)</f>
        <v>2012654770</v>
      </c>
      <c r="H24" s="6">
        <f>MAX(G24,1)/Settings!$B$18</f>
        <v>0.93721541154068677</v>
      </c>
      <c r="I24" s="6">
        <f>-ACE_Input!W24*LN(H24)</f>
        <v>0.2593685129792499</v>
      </c>
      <c r="J24" s="6">
        <f>-ACE_Input!X24*LN(H24)</f>
        <v>0.7781055389377497</v>
      </c>
      <c r="K24" s="6">
        <f>ACE_Input!U24</f>
        <v>300</v>
      </c>
      <c r="L24" s="6">
        <f>K24*ACE_Input!V24</f>
        <v>75</v>
      </c>
    </row>
    <row r="25" spans="1:12" x14ac:dyDescent="0.2">
      <c r="A25">
        <f>1</f>
        <v>1</v>
      </c>
      <c r="B25">
        <f>ACE_Input!A25</f>
        <v>20</v>
      </c>
      <c r="C25" s="6">
        <f>MOD(Settings!$B$17*(C24),Settings!$B$18)</f>
        <v>20744016</v>
      </c>
      <c r="D25" s="6">
        <f>MAX(C25,1)/Settings!$B$18</f>
        <v>9.6596851989904815E-3</v>
      </c>
      <c r="E25" s="6">
        <f t="shared" si="0"/>
        <v>5</v>
      </c>
      <c r="F25" s="6">
        <f>ACE_Input!D25</f>
        <v>227</v>
      </c>
      <c r="G25" s="6">
        <f>MOD(Settings!$B$17*(G24),Settings!$B$18)</f>
        <v>1673795493</v>
      </c>
      <c r="H25" s="6">
        <f>MAX(G25,1)/Settings!$B$18</f>
        <v>0.77942176432321864</v>
      </c>
      <c r="I25" s="6">
        <f>-ACE_Input!W25*LN(H25)</f>
        <v>0.99681184803428102</v>
      </c>
      <c r="J25" s="6">
        <f>-ACE_Input!X25*LN(H25)</f>
        <v>2.990435544102843</v>
      </c>
      <c r="K25" s="6">
        <f>ACE_Input!U25</f>
        <v>300</v>
      </c>
      <c r="L25" s="6">
        <f>K25*ACE_Input!V25</f>
        <v>75</v>
      </c>
    </row>
    <row r="26" spans="1:12" x14ac:dyDescent="0.2">
      <c r="A26">
        <f>1</f>
        <v>1</v>
      </c>
      <c r="B26">
        <f>ACE_Input!A26</f>
        <v>21</v>
      </c>
      <c r="C26" s="6">
        <f>MOD(Settings!$B$17*(C25),Settings!$B$18)</f>
        <v>752326098</v>
      </c>
      <c r="D26" s="6">
        <f>MAX(C26,1)/Settings!$B$18</f>
        <v>0.35032913943302313</v>
      </c>
      <c r="E26" s="6">
        <f t="shared" si="0"/>
        <v>5</v>
      </c>
      <c r="F26" s="6">
        <f>ACE_Input!D26</f>
        <v>232</v>
      </c>
      <c r="G26" s="6">
        <f>MOD(Settings!$B$17*(G25),Settings!$B$18)</f>
        <v>1592558798</v>
      </c>
      <c r="H26" s="6">
        <f>MAX(G26,1)/Settings!$B$18</f>
        <v>0.74159298033527699</v>
      </c>
      <c r="I26" s="6">
        <f>-ACE_Input!W26*LN(H26)</f>
        <v>1.1958189213704336</v>
      </c>
      <c r="J26" s="6">
        <f>-ACE_Input!X26*LN(H26)</f>
        <v>3.5874567641113009</v>
      </c>
      <c r="K26" s="6">
        <f>ACE_Input!U26</f>
        <v>300</v>
      </c>
      <c r="L26" s="6">
        <f>K26*ACE_Input!V26</f>
        <v>75</v>
      </c>
    </row>
    <row r="27" spans="1:12" x14ac:dyDescent="0.2">
      <c r="A27">
        <f>1</f>
        <v>1</v>
      </c>
      <c r="B27">
        <f>ACE_Input!A27</f>
        <v>22</v>
      </c>
      <c r="C27" s="6">
        <f>MOD(Settings!$B$17*(C26),Settings!$B$18)</f>
        <v>2108499197</v>
      </c>
      <c r="D27" s="6">
        <f>MAX(C27,1)/Settings!$B$18</f>
        <v>0.98184645081956234</v>
      </c>
      <c r="E27" s="6">
        <f t="shared" si="0"/>
        <v>5</v>
      </c>
      <c r="F27" s="6">
        <f>ACE_Input!D27</f>
        <v>237</v>
      </c>
      <c r="G27" s="6">
        <f>MOD(Settings!$B$17*(G26),Settings!$B$18)</f>
        <v>2047025425</v>
      </c>
      <c r="H27" s="6">
        <f>MAX(G27,1)/Settings!$B$18</f>
        <v>0.95322049500104999</v>
      </c>
      <c r="I27" s="6">
        <f>-ACE_Input!W27*LN(H27)</f>
        <v>0.19163613091471957</v>
      </c>
      <c r="J27" s="6">
        <f>-ACE_Input!X27*LN(H27)</f>
        <v>0.57490839274415872</v>
      </c>
      <c r="K27" s="6">
        <f>ACE_Input!U27</f>
        <v>300</v>
      </c>
      <c r="L27" s="6">
        <f>K27*ACE_Input!V27</f>
        <v>75</v>
      </c>
    </row>
    <row r="28" spans="1:12" x14ac:dyDescent="0.2">
      <c r="A28">
        <f>1</f>
        <v>1</v>
      </c>
      <c r="B28">
        <f>ACE_Input!A28</f>
        <v>23</v>
      </c>
      <c r="C28" s="6">
        <f>MOD(Settings!$B$17*(C27),Settings!$B$18)</f>
        <v>1918344832</v>
      </c>
      <c r="D28" s="6">
        <f>MAX(C28,1)/Settings!$B$18</f>
        <v>0.8932989243852435</v>
      </c>
      <c r="E28" s="6">
        <f t="shared" si="0"/>
        <v>5</v>
      </c>
      <c r="F28" s="6">
        <f>ACE_Input!D28</f>
        <v>242</v>
      </c>
      <c r="G28" s="6">
        <f>MOD(Settings!$B$17*(G27),Settings!$B$18)</f>
        <v>1668293035</v>
      </c>
      <c r="H28" s="6">
        <f>MAX(G28,1)/Settings!$B$18</f>
        <v>0.77685948264638871</v>
      </c>
      <c r="I28" s="6">
        <f>-ACE_Input!W28*LN(H28)</f>
        <v>1.0099831639361829</v>
      </c>
      <c r="J28" s="6">
        <f>-ACE_Input!X28*LN(H28)</f>
        <v>3.0299494918085488</v>
      </c>
      <c r="K28" s="6">
        <f>ACE_Input!U28</f>
        <v>300</v>
      </c>
      <c r="L28" s="6">
        <f>K28*ACE_Input!V28</f>
        <v>75</v>
      </c>
    </row>
    <row r="29" spans="1:12" x14ac:dyDescent="0.2">
      <c r="A29">
        <f>1</f>
        <v>1</v>
      </c>
      <c r="B29">
        <f>ACE_Input!A29</f>
        <v>24</v>
      </c>
      <c r="C29" s="6">
        <f>MOD(Settings!$B$17*(C28),Settings!$B$18)</f>
        <v>1449599013</v>
      </c>
      <c r="D29" s="6">
        <f>MAX(C29,1)/Settings!$B$18</f>
        <v>0.67502214278793993</v>
      </c>
      <c r="E29" s="6">
        <f t="shared" si="0"/>
        <v>5</v>
      </c>
      <c r="F29" s="6">
        <f>ACE_Input!D29</f>
        <v>247</v>
      </c>
      <c r="G29" s="6">
        <f>MOD(Settings!$B$17*(G28),Settings!$B$18)</f>
        <v>1454544013</v>
      </c>
      <c r="H29" s="6">
        <f>MAX(G29,1)/Settings!$B$18</f>
        <v>0.67732483785474895</v>
      </c>
      <c r="I29" s="6">
        <f>-ACE_Input!W29*LN(H29)</f>
        <v>1.5584172062712505</v>
      </c>
      <c r="J29" s="6">
        <f>-ACE_Input!X29*LN(H29)</f>
        <v>4.6752516188137516</v>
      </c>
      <c r="K29" s="6">
        <f>ACE_Input!U29</f>
        <v>300</v>
      </c>
      <c r="L29" s="6">
        <f>K29*ACE_Input!V29</f>
        <v>75</v>
      </c>
    </row>
    <row r="30" spans="1:12" x14ac:dyDescent="0.2">
      <c r="A30">
        <f>1</f>
        <v>1</v>
      </c>
      <c r="B30">
        <f>ACE_Input!A30</f>
        <v>25</v>
      </c>
      <c r="C30" s="6">
        <f>MOD(Settings!$B$17*(C29),Settings!$B$18)</f>
        <v>208636276</v>
      </c>
      <c r="D30" s="6">
        <f>MAX(C30,1)/Settings!$B$18</f>
        <v>9.7153836906493568E-2</v>
      </c>
      <c r="E30" s="6">
        <f t="shared" si="0"/>
        <v>5</v>
      </c>
      <c r="F30" s="6">
        <f>ACE_Input!D30</f>
        <v>252</v>
      </c>
      <c r="G30" s="6">
        <f>MOD(Settings!$B$17*(G29),Settings!$B$18)</f>
        <v>1714872690</v>
      </c>
      <c r="H30" s="6">
        <f>MAX(G30,1)/Settings!$B$18</f>
        <v>0.79854982476613945</v>
      </c>
      <c r="I30" s="6">
        <f>-ACE_Input!W30*LN(H30)</f>
        <v>0.899831661279614</v>
      </c>
      <c r="J30" s="6">
        <f>-ACE_Input!X30*LN(H30)</f>
        <v>2.699494983838842</v>
      </c>
      <c r="K30" s="6">
        <f>ACE_Input!U30</f>
        <v>300</v>
      </c>
      <c r="L30" s="6">
        <f>K30*ACE_Input!V30</f>
        <v>75</v>
      </c>
    </row>
    <row r="31" spans="1:12" x14ac:dyDescent="0.2">
      <c r="A31">
        <f>1</f>
        <v>1</v>
      </c>
      <c r="B31">
        <f>ACE_Input!A31</f>
        <v>26</v>
      </c>
      <c r="C31" s="6">
        <f>MOD(Settings!$B$17*(C30),Settings!$B$18)</f>
        <v>1856578828</v>
      </c>
      <c r="D31" s="6">
        <f>MAX(C31,1)/Settings!$B$18</f>
        <v>0.86453688743735524</v>
      </c>
      <c r="E31" s="6">
        <f t="shared" si="0"/>
        <v>5</v>
      </c>
      <c r="F31" s="6">
        <f>ACE_Input!D31</f>
        <v>257</v>
      </c>
      <c r="G31" s="6">
        <f>MOD(Settings!$B$17*(G30),Settings!$B$18)</f>
        <v>487274443</v>
      </c>
      <c r="H31" s="6">
        <f>MAX(G31,1)/Settings!$B$18</f>
        <v>0.22690484450520243</v>
      </c>
      <c r="I31" s="6">
        <f>-ACE_Input!W31*LN(H31)</f>
        <v>5.932898146344006</v>
      </c>
      <c r="J31" s="6">
        <f>-ACE_Input!X31*LN(H31)</f>
        <v>17.798694439032019</v>
      </c>
      <c r="K31" s="6">
        <f>ACE_Input!U31</f>
        <v>300</v>
      </c>
      <c r="L31" s="6">
        <f>K31*ACE_Input!V31</f>
        <v>75</v>
      </c>
    </row>
    <row r="32" spans="1:12" x14ac:dyDescent="0.2">
      <c r="A32">
        <f>1</f>
        <v>1</v>
      </c>
      <c r="B32">
        <f>ACE_Input!A32</f>
        <v>27</v>
      </c>
      <c r="C32" s="6">
        <f>MOD(Settings!$B$17*(C31),Settings!$B$18)</f>
        <v>582971286</v>
      </c>
      <c r="D32" s="6">
        <f>MAX(C32,1)/Settings!$B$18</f>
        <v>0.27146715962862</v>
      </c>
      <c r="E32" s="6">
        <f t="shared" si="0"/>
        <v>5</v>
      </c>
      <c r="F32" s="6">
        <f>ACE_Input!D32</f>
        <v>262</v>
      </c>
      <c r="G32" s="6">
        <f>MOD(Settings!$B$17*(G31),Settings!$B$18)</f>
        <v>1266417490</v>
      </c>
      <c r="H32" s="6">
        <f>MAX(G32,1)/Settings!$B$18</f>
        <v>0.58972159893704656</v>
      </c>
      <c r="I32" s="6">
        <f>-ACE_Input!W32*LN(H32)</f>
        <v>2.1124188786186435</v>
      </c>
      <c r="J32" s="6">
        <f>-ACE_Input!X32*LN(H32)</f>
        <v>6.3372566358559306</v>
      </c>
      <c r="K32" s="6">
        <f>ACE_Input!U32</f>
        <v>300</v>
      </c>
      <c r="L32" s="6">
        <f>K32*ACE_Input!V32</f>
        <v>75</v>
      </c>
    </row>
    <row r="33" spans="1:12" x14ac:dyDescent="0.2">
      <c r="A33">
        <f>1</f>
        <v>1</v>
      </c>
      <c r="B33">
        <f>ACE_Input!A33</f>
        <v>28</v>
      </c>
      <c r="C33" s="6">
        <f>MOD(Settings!$B$17*(C32),Settings!$B$18)</f>
        <v>1178006188</v>
      </c>
      <c r="D33" s="6">
        <f>MAX(C33,1)/Settings!$B$18</f>
        <v>0.54855187821600204</v>
      </c>
      <c r="E33" s="6">
        <f t="shared" si="0"/>
        <v>6</v>
      </c>
      <c r="F33" s="6">
        <f>ACE_Input!D33</f>
        <v>268</v>
      </c>
      <c r="G33" s="6">
        <f>MOD(Settings!$B$17*(G32),Settings!$B$18)</f>
        <v>968329013</v>
      </c>
      <c r="H33" s="6">
        <f>MAX(G33,1)/Settings!$B$18</f>
        <v>0.45091333494098546</v>
      </c>
      <c r="I33" s="6">
        <f>-ACE_Input!W33*LN(H33)</f>
        <v>3.1859204797532823</v>
      </c>
      <c r="J33" s="6">
        <f>-ACE_Input!X33*LN(H33)</f>
        <v>9.5577614392598473</v>
      </c>
      <c r="K33" s="6">
        <f>ACE_Input!U33</f>
        <v>300</v>
      </c>
      <c r="L33" s="6">
        <f>K33*ACE_Input!V33</f>
        <v>75</v>
      </c>
    </row>
    <row r="34" spans="1:12" x14ac:dyDescent="0.2">
      <c r="A34">
        <f>1</f>
        <v>1</v>
      </c>
      <c r="B34">
        <f>ACE_Input!A34</f>
        <v>29</v>
      </c>
      <c r="C34" s="6">
        <f>MOD(Settings!$B$17*(C33),Settings!$B$18)</f>
        <v>1098260023</v>
      </c>
      <c r="D34" s="6">
        <f>MAX(C34,1)/Settings!$B$18</f>
        <v>0.51141717634695449</v>
      </c>
      <c r="E34" s="6">
        <f t="shared" si="0"/>
        <v>5</v>
      </c>
      <c r="F34" s="6">
        <f>ACE_Input!D34</f>
        <v>273</v>
      </c>
      <c r="G34" s="6">
        <f>MOD(Settings!$B$17*(G33),Settings!$B$18)</f>
        <v>1074644525</v>
      </c>
      <c r="H34" s="6">
        <f>MAX(G34,1)/Settings!$B$18</f>
        <v>0.50042035314274036</v>
      </c>
      <c r="I34" s="6">
        <f>-ACE_Input!W34*LN(H34)</f>
        <v>2.7692273098802072</v>
      </c>
      <c r="J34" s="6">
        <f>-ACE_Input!X34*LN(H34)</f>
        <v>8.307681929640621</v>
      </c>
      <c r="K34" s="6">
        <f>ACE_Input!U34</f>
        <v>300</v>
      </c>
      <c r="L34" s="6">
        <f>K34*ACE_Input!V34</f>
        <v>75</v>
      </c>
    </row>
    <row r="35" spans="1:12" x14ac:dyDescent="0.2">
      <c r="A35">
        <f>1</f>
        <v>1</v>
      </c>
      <c r="B35">
        <f>ACE_Input!A35</f>
        <v>30</v>
      </c>
      <c r="C35" s="6">
        <f>MOD(Settings!$B$17*(C34),Settings!$B$18)</f>
        <v>834260596</v>
      </c>
      <c r="D35" s="6">
        <f>MAX(C35,1)/Settings!$B$18</f>
        <v>0.38848286326438319</v>
      </c>
      <c r="E35" s="6">
        <f t="shared" si="0"/>
        <v>5</v>
      </c>
      <c r="F35" s="6">
        <f>ACE_Input!D35</f>
        <v>278</v>
      </c>
      <c r="G35" s="6">
        <f>MOD(Settings!$B$17*(G34),Settings!$B$18)</f>
        <v>1213060405</v>
      </c>
      <c r="H35" s="6">
        <f>MAX(G35,1)/Settings!$B$18</f>
        <v>0.56487527003738813</v>
      </c>
      <c r="I35" s="6">
        <f>-ACE_Input!W35*LN(H35)</f>
        <v>2.2846013328110595</v>
      </c>
      <c r="J35" s="6">
        <f>-ACE_Input!X35*LN(H35)</f>
        <v>6.8538039984331789</v>
      </c>
      <c r="K35" s="6">
        <f>ACE_Input!U35</f>
        <v>300</v>
      </c>
      <c r="L35" s="6">
        <f>K35*ACE_Input!V35</f>
        <v>75</v>
      </c>
    </row>
    <row r="36" spans="1:12" x14ac:dyDescent="0.2">
      <c r="A36">
        <f>1</f>
        <v>1</v>
      </c>
      <c r="B36">
        <f>ACE_Input!A36</f>
        <v>31</v>
      </c>
      <c r="C36" s="6">
        <f>MOD(Settings!$B$17*(C35),Settings!$B$18)</f>
        <v>497105709</v>
      </c>
      <c r="D36" s="6">
        <f>MAX(C36,1)/Settings!$B$18</f>
        <v>0.23148288448875903</v>
      </c>
      <c r="E36" s="6">
        <f t="shared" si="0"/>
        <v>5</v>
      </c>
      <c r="F36" s="6">
        <f>ACE_Input!D36</f>
        <v>283</v>
      </c>
      <c r="G36" s="6">
        <f>MOD(Settings!$B$17*(G35),Settings!$B$18)</f>
        <v>1843965864</v>
      </c>
      <c r="H36" s="6">
        <f>MAX(G36,1)/Settings!$B$18</f>
        <v>0.85866351838161403</v>
      </c>
      <c r="I36" s="6">
        <f>-ACE_Input!W36*LN(H36)</f>
        <v>0.60951258765505445</v>
      </c>
      <c r="J36" s="6">
        <f>-ACE_Input!X36*LN(H36)</f>
        <v>1.8285377629651633</v>
      </c>
      <c r="K36" s="6">
        <f>ACE_Input!U36</f>
        <v>300</v>
      </c>
      <c r="L36" s="6">
        <f>K36*ACE_Input!V36</f>
        <v>75</v>
      </c>
    </row>
    <row r="37" spans="1:12" x14ac:dyDescent="0.2">
      <c r="A37">
        <f>1</f>
        <v>1</v>
      </c>
      <c r="B37">
        <f>ACE_Input!A37</f>
        <v>32</v>
      </c>
      <c r="C37" s="6">
        <f>MOD(Settings!$B$17*(C36),Settings!$B$18)</f>
        <v>1144264333</v>
      </c>
      <c r="D37" s="6">
        <f>MAX(C37,1)/Settings!$B$18</f>
        <v>0.53283960257323437</v>
      </c>
      <c r="E37" s="6">
        <f t="shared" si="0"/>
        <v>5</v>
      </c>
      <c r="F37" s="6">
        <f>ACE_Input!D37</f>
        <v>288</v>
      </c>
      <c r="G37" s="6">
        <f>MOD(Settings!$B$17*(G36),Settings!$B$18)</f>
        <v>1197766391</v>
      </c>
      <c r="H37" s="6">
        <f>MAX(G37,1)/Settings!$B$18</f>
        <v>0.55775343978672909</v>
      </c>
      <c r="I37" s="6">
        <f>-ACE_Input!W37*LN(H37)</f>
        <v>2.335353113732237</v>
      </c>
      <c r="J37" s="6">
        <f>-ACE_Input!X37*LN(H37)</f>
        <v>7.0060593411967105</v>
      </c>
      <c r="K37" s="6">
        <f>ACE_Input!U37</f>
        <v>300</v>
      </c>
      <c r="L37" s="6">
        <f>K37*ACE_Input!V37</f>
        <v>75</v>
      </c>
    </row>
    <row r="38" spans="1:12" x14ac:dyDescent="0.2">
      <c r="A38">
        <f>1</f>
        <v>1</v>
      </c>
      <c r="B38">
        <f>ACE_Input!A38</f>
        <v>33</v>
      </c>
      <c r="C38" s="6">
        <f>MOD(Settings!$B$17*(C37),Settings!$B$18)</f>
        <v>934585846</v>
      </c>
      <c r="D38" s="6">
        <f>MAX(C38,1)/Settings!$B$18</f>
        <v>0.43520044835060856</v>
      </c>
      <c r="E38" s="6">
        <f t="shared" si="0"/>
        <v>5</v>
      </c>
      <c r="F38" s="6">
        <f>ACE_Input!D38</f>
        <v>293</v>
      </c>
      <c r="G38" s="6">
        <f>MOD(Settings!$B$17*(G37),Settings!$B$18)</f>
        <v>348026559</v>
      </c>
      <c r="H38" s="6">
        <f>MAX(G38,1)/Settings!$B$18</f>
        <v>0.16206249555668908</v>
      </c>
      <c r="I38" s="6">
        <f>-ACE_Input!W38*LN(H38)</f>
        <v>7.2790929724020872</v>
      </c>
      <c r="J38" s="6">
        <f>-ACE_Input!X38*LN(H38)</f>
        <v>21.837278917206262</v>
      </c>
      <c r="K38" s="6">
        <f>ACE_Input!U38</f>
        <v>300</v>
      </c>
      <c r="L38" s="6">
        <f>K38*ACE_Input!V38</f>
        <v>75</v>
      </c>
    </row>
    <row r="39" spans="1:12" x14ac:dyDescent="0.2">
      <c r="A39">
        <f>1</f>
        <v>1</v>
      </c>
      <c r="B39">
        <f>ACE_Input!A39</f>
        <v>34</v>
      </c>
      <c r="C39" s="6">
        <f>MOD(Settings!$B$17*(C38),Settings!$B$18)</f>
        <v>888919564</v>
      </c>
      <c r="D39" s="6">
        <f>MAX(C39,1)/Settings!$B$18</f>
        <v>0.41393542867802802</v>
      </c>
      <c r="E39" s="6">
        <f t="shared" ref="E39:E70" si="1">F39-F38</f>
        <v>5</v>
      </c>
      <c r="F39" s="6">
        <f>ACE_Input!D39</f>
        <v>298</v>
      </c>
      <c r="G39" s="6">
        <f>MOD(Settings!$B$17*(G38),Settings!$B$18)</f>
        <v>1684406332</v>
      </c>
      <c r="H39" s="6">
        <f>MAX(G39,1)/Settings!$B$18</f>
        <v>0.78436282127367463</v>
      </c>
      <c r="I39" s="6">
        <f>-ACE_Input!W39*LN(H39)</f>
        <v>0.97153433378229015</v>
      </c>
      <c r="J39" s="6">
        <f>-ACE_Input!X39*LN(H39)</f>
        <v>2.9146030013468707</v>
      </c>
      <c r="K39" s="6">
        <f>ACE_Input!U39</f>
        <v>300</v>
      </c>
      <c r="L39" s="6">
        <f>K39*ACE_Input!V39</f>
        <v>75</v>
      </c>
    </row>
    <row r="40" spans="1:12" x14ac:dyDescent="0.2">
      <c r="A40">
        <f>1</f>
        <v>1</v>
      </c>
      <c r="B40">
        <f>ACE_Input!A40</f>
        <v>35</v>
      </c>
      <c r="C40" s="6">
        <f>MOD(Settings!$B$17*(C39),Settings!$B$18)</f>
        <v>27379969</v>
      </c>
      <c r="D40" s="6">
        <f>MAX(C40,1)/Settings!$B$18</f>
        <v>1.2749791616923078E-2</v>
      </c>
      <c r="E40" s="6">
        <f t="shared" si="1"/>
        <v>5</v>
      </c>
      <c r="F40" s="6">
        <f>ACE_Input!D40</f>
        <v>303</v>
      </c>
      <c r="G40" s="6">
        <f>MOD(Settings!$B$17*(G39),Settings!$B$18)</f>
        <v>1687787170</v>
      </c>
      <c r="H40" s="6">
        <f>MAX(G40,1)/Settings!$B$18</f>
        <v>0.78593714664966663</v>
      </c>
      <c r="I40" s="6">
        <f>-ACE_Input!W40*LN(H40)</f>
        <v>0.96351382337984326</v>
      </c>
      <c r="J40" s="6">
        <f>-ACE_Input!X40*LN(H40)</f>
        <v>2.8905414701395298</v>
      </c>
      <c r="K40" s="6">
        <f>ACE_Input!U40</f>
        <v>300</v>
      </c>
      <c r="L40" s="6">
        <f>K40*ACE_Input!V40</f>
        <v>75</v>
      </c>
    </row>
    <row r="41" spans="1:12" x14ac:dyDescent="0.2">
      <c r="A41">
        <f>1</f>
        <v>1</v>
      </c>
      <c r="B41">
        <f>ACE_Input!A41</f>
        <v>36</v>
      </c>
      <c r="C41" s="6">
        <f>MOD(Settings!$B$17*(C40),Settings!$B$18)</f>
        <v>613638525</v>
      </c>
      <c r="D41" s="6">
        <f>MAX(C41,1)/Settings!$B$18</f>
        <v>0.28574770562618396</v>
      </c>
      <c r="E41" s="6">
        <f t="shared" si="1"/>
        <v>5</v>
      </c>
      <c r="F41" s="6">
        <f>ACE_Input!D41</f>
        <v>308</v>
      </c>
      <c r="G41" s="6">
        <f>MOD(Settings!$B$17*(G40),Settings!$B$18)</f>
        <v>527472967</v>
      </c>
      <c r="H41" s="6">
        <f>MAX(G41,1)/Settings!$B$18</f>
        <v>0.24562374094763015</v>
      </c>
      <c r="I41" s="6">
        <f>-ACE_Input!W41*LN(H41)</f>
        <v>5.6158176891388205</v>
      </c>
      <c r="J41" s="6">
        <f>-ACE_Input!X41*LN(H41)</f>
        <v>16.84745306741646</v>
      </c>
      <c r="K41" s="6">
        <f>ACE_Input!U41</f>
        <v>300</v>
      </c>
      <c r="L41" s="6">
        <f>K41*ACE_Input!V41</f>
        <v>75</v>
      </c>
    </row>
    <row r="42" spans="1:12" x14ac:dyDescent="0.2">
      <c r="A42">
        <f>1</f>
        <v>1</v>
      </c>
      <c r="B42">
        <f>ACE_Input!A42</f>
        <v>37</v>
      </c>
      <c r="C42" s="6">
        <f>MOD(Settings!$B$17*(C41),Settings!$B$18)</f>
        <v>1206216781</v>
      </c>
      <c r="D42" s="6">
        <f>MAX(C42,1)/Settings!$B$18</f>
        <v>0.56168845927421396</v>
      </c>
      <c r="E42" s="6">
        <f t="shared" si="1"/>
        <v>5</v>
      </c>
      <c r="F42" s="6">
        <f>ACE_Input!D42</f>
        <v>313</v>
      </c>
      <c r="G42" s="6">
        <f>MOD(Settings!$B$17*(G41),Settings!$B$18)</f>
        <v>425661553</v>
      </c>
      <c r="H42" s="6">
        <f>MAX(G42,1)/Settings!$B$18</f>
        <v>0.19821410681969212</v>
      </c>
      <c r="I42" s="6">
        <f>-ACE_Input!W42*LN(H42)</f>
        <v>6.4736299397942041</v>
      </c>
      <c r="J42" s="6">
        <f>-ACE_Input!X42*LN(H42)</f>
        <v>19.420889819382612</v>
      </c>
      <c r="K42" s="6">
        <f>ACE_Input!U42</f>
        <v>300</v>
      </c>
      <c r="L42" s="6">
        <f>K42*ACE_Input!V42</f>
        <v>75</v>
      </c>
    </row>
    <row r="43" spans="1:12" x14ac:dyDescent="0.2">
      <c r="A43">
        <f>1</f>
        <v>1</v>
      </c>
      <c r="B43">
        <f>ACE_Input!A43</f>
        <v>38</v>
      </c>
      <c r="C43" s="6">
        <f>MOD(Settings!$B$17*(C42),Settings!$B$18)</f>
        <v>639810587</v>
      </c>
      <c r="D43" s="6">
        <f>MAX(C43,1)/Settings!$B$18</f>
        <v>0.2979350217142771</v>
      </c>
      <c r="E43" s="6">
        <f t="shared" si="1"/>
        <v>5</v>
      </c>
      <c r="F43" s="6">
        <f>ACE_Input!D43</f>
        <v>318</v>
      </c>
      <c r="G43" s="6">
        <f>MOD(Settings!$B$17*(G42),Settings!$B$18)</f>
        <v>825693114</v>
      </c>
      <c r="H43" s="6">
        <f>MAX(G43,1)/Settings!$B$18</f>
        <v>0.38449331856541957</v>
      </c>
      <c r="I43" s="6">
        <f>-ACE_Input!W43*LN(H43)</f>
        <v>3.8233154685216451</v>
      </c>
      <c r="J43" s="6">
        <f>-ACE_Input!X43*LN(H43)</f>
        <v>11.469946405564935</v>
      </c>
      <c r="K43" s="6">
        <f>ACE_Input!U43</f>
        <v>300</v>
      </c>
      <c r="L43" s="6">
        <f>K43*ACE_Input!V43</f>
        <v>75</v>
      </c>
    </row>
    <row r="44" spans="1:12" x14ac:dyDescent="0.2">
      <c r="A44">
        <f>1</f>
        <v>1</v>
      </c>
      <c r="B44">
        <f>ACE_Input!A44</f>
        <v>39</v>
      </c>
      <c r="C44" s="6">
        <f>MOD(Settings!$B$17*(C43),Settings!$B$18)</f>
        <v>845915180</v>
      </c>
      <c r="D44" s="6">
        <f>MAX(C44,1)/Settings!$B$18</f>
        <v>0.39390995185538658</v>
      </c>
      <c r="E44" s="6">
        <f t="shared" si="1"/>
        <v>5</v>
      </c>
      <c r="F44" s="6">
        <f>ACE_Input!D44</f>
        <v>323</v>
      </c>
      <c r="G44" s="6">
        <f>MOD(Settings!$B$17*(G43),Settings!$B$18)</f>
        <v>384840084</v>
      </c>
      <c r="H44" s="6">
        <f>MAX(G44,1)/Settings!$B$18</f>
        <v>0.1792051290065074</v>
      </c>
      <c r="I44" s="6">
        <f>-ACE_Input!W44*LN(H44)</f>
        <v>6.8768966286512017</v>
      </c>
      <c r="J44" s="6">
        <f>-ACE_Input!X44*LN(H44)</f>
        <v>20.630689885953604</v>
      </c>
      <c r="K44" s="6">
        <f>ACE_Input!U44</f>
        <v>300</v>
      </c>
      <c r="L44" s="6">
        <f>K44*ACE_Input!V44</f>
        <v>75</v>
      </c>
    </row>
    <row r="45" spans="1:12" x14ac:dyDescent="0.2">
      <c r="A45">
        <f>1</f>
        <v>1</v>
      </c>
      <c r="B45">
        <f>ACE_Input!A45</f>
        <v>40</v>
      </c>
      <c r="C45" s="6">
        <f>MOD(Settings!$B$17*(C44),Settings!$B$18)</f>
        <v>954687120</v>
      </c>
      <c r="D45" s="6">
        <f>MAX(C45,1)/Settings!$B$18</f>
        <v>0.44456083348233294</v>
      </c>
      <c r="E45" s="6">
        <f t="shared" si="1"/>
        <v>5</v>
      </c>
      <c r="F45" s="6">
        <f>ACE_Input!D45</f>
        <v>328</v>
      </c>
      <c r="G45" s="6">
        <f>MOD(Settings!$B$17*(G44),Settings!$B$18)</f>
        <v>1934030671</v>
      </c>
      <c r="H45" s="6">
        <f>MAX(G45,1)/Settings!$B$18</f>
        <v>0.90060321236988683</v>
      </c>
      <c r="I45" s="6">
        <f>-ACE_Input!W45*LN(H45)</f>
        <v>0.41876201679640374</v>
      </c>
      <c r="J45" s="6">
        <f>-ACE_Input!X45*LN(H45)</f>
        <v>1.2562860503892113</v>
      </c>
      <c r="K45" s="6">
        <f>ACE_Input!U45</f>
        <v>300</v>
      </c>
      <c r="L45" s="6">
        <f>K45*ACE_Input!V45</f>
        <v>75</v>
      </c>
    </row>
    <row r="46" spans="1:12" x14ac:dyDescent="0.2">
      <c r="A46">
        <f>1</f>
        <v>1</v>
      </c>
      <c r="B46">
        <f>ACE_Input!A46</f>
        <v>41</v>
      </c>
      <c r="C46" s="6">
        <f>MOD(Settings!$B$17*(C45),Settings!$B$18)</f>
        <v>1576099103</v>
      </c>
      <c r="D46" s="6">
        <f>MAX(C46,1)/Settings!$B$18</f>
        <v>0.73392833756931519</v>
      </c>
      <c r="E46" s="6">
        <f t="shared" si="1"/>
        <v>5</v>
      </c>
      <c r="F46" s="6">
        <f>ACE_Input!D46</f>
        <v>333</v>
      </c>
      <c r="G46" s="6">
        <f>MOD(Settings!$B$17*(G45),Settings!$B$18)</f>
        <v>941006505</v>
      </c>
      <c r="H46" s="6">
        <f>MAX(G46,1)/Settings!$B$18</f>
        <v>0.43819030068730486</v>
      </c>
      <c r="I46" s="6">
        <f>-ACE_Input!W46*LN(H46)</f>
        <v>3.3004079460328888</v>
      </c>
      <c r="J46" s="6">
        <f>-ACE_Input!X46*LN(H46)</f>
        <v>9.9012238380986659</v>
      </c>
      <c r="K46" s="6">
        <f>ACE_Input!U46</f>
        <v>300</v>
      </c>
      <c r="L46" s="6">
        <f>K46*ACE_Input!V46</f>
        <v>75</v>
      </c>
    </row>
    <row r="47" spans="1:12" x14ac:dyDescent="0.2">
      <c r="A47">
        <f>1</f>
        <v>1</v>
      </c>
      <c r="B47">
        <f>ACE_Input!A47</f>
        <v>42</v>
      </c>
      <c r="C47" s="6">
        <f>MOD(Settings!$B$17*(C46),Settings!$B$18)</f>
        <v>286838376</v>
      </c>
      <c r="D47" s="6">
        <f>MAX(C47,1)/Settings!$B$18</f>
        <v>0.1335695274796195</v>
      </c>
      <c r="E47" s="6">
        <f t="shared" si="1"/>
        <v>5</v>
      </c>
      <c r="F47" s="6">
        <f>ACE_Input!D47</f>
        <v>338</v>
      </c>
      <c r="G47" s="6">
        <f>MOD(Settings!$B$17*(G46),Settings!$B$18)</f>
        <v>1426753027</v>
      </c>
      <c r="H47" s="6">
        <f>MAX(G47,1)/Settings!$B$18</f>
        <v>0.66438365153241141</v>
      </c>
      <c r="I47" s="6">
        <f>-ACE_Input!W47*LN(H47)</f>
        <v>1.6355820316350236</v>
      </c>
      <c r="J47" s="6">
        <f>-ACE_Input!X47*LN(H47)</f>
        <v>4.9067460949050705</v>
      </c>
      <c r="K47" s="6">
        <f>ACE_Input!U47</f>
        <v>300</v>
      </c>
      <c r="L47" s="6">
        <f>K47*ACE_Input!V47</f>
        <v>75</v>
      </c>
    </row>
    <row r="48" spans="1:12" x14ac:dyDescent="0.2">
      <c r="A48">
        <f>1</f>
        <v>1</v>
      </c>
      <c r="B48">
        <f>ACE_Input!A48</f>
        <v>43</v>
      </c>
      <c r="C48" s="6">
        <f>MOD(Settings!$B$17*(C47),Settings!$B$18)</f>
        <v>1939281564</v>
      </c>
      <c r="D48" s="6">
        <f>MAX(C48,1)/Settings!$B$18</f>
        <v>0.90304834996492056</v>
      </c>
      <c r="E48" s="6">
        <f t="shared" si="1"/>
        <v>5</v>
      </c>
      <c r="F48" s="6">
        <f>ACE_Input!D48</f>
        <v>343</v>
      </c>
      <c r="G48" s="6">
        <f>MOD(Settings!$B$17*(G47),Settings!$B$18)</f>
        <v>635722387</v>
      </c>
      <c r="H48" s="6">
        <f>MAX(G48,1)/Settings!$B$18</f>
        <v>0.29603130523861915</v>
      </c>
      <c r="I48" s="6">
        <f>-ACE_Input!W48*LN(H48)</f>
        <v>4.8691602772363591</v>
      </c>
      <c r="J48" s="6">
        <f>-ACE_Input!X48*LN(H48)</f>
        <v>14.607480831709077</v>
      </c>
      <c r="K48" s="6">
        <f>ACE_Input!U48</f>
        <v>300</v>
      </c>
      <c r="L48" s="6">
        <f>K48*ACE_Input!V48</f>
        <v>75</v>
      </c>
    </row>
    <row r="49" spans="1:12" x14ac:dyDescent="0.2">
      <c r="A49">
        <f>1</f>
        <v>1</v>
      </c>
      <c r="B49">
        <f>ACE_Input!A49</f>
        <v>44</v>
      </c>
      <c r="C49" s="6">
        <f>MOD(Settings!$B$17*(C48),Settings!$B$18)</f>
        <v>1145935629</v>
      </c>
      <c r="D49" s="6">
        <f>MAX(C49,1)/Settings!$B$18</f>
        <v>0.53361786042042914</v>
      </c>
      <c r="E49" s="6">
        <f t="shared" si="1"/>
        <v>5</v>
      </c>
      <c r="F49" s="6">
        <f>ACE_Input!D49</f>
        <v>348</v>
      </c>
      <c r="G49" s="6">
        <f>MOD(Settings!$B$17*(G48),Settings!$B$18)</f>
        <v>855014484</v>
      </c>
      <c r="H49" s="6">
        <f>MAX(G49,1)/Settings!$B$18</f>
        <v>0.39814714547160412</v>
      </c>
      <c r="I49" s="6">
        <f>-ACE_Input!W49*LN(H49)</f>
        <v>3.683734519136872</v>
      </c>
      <c r="J49" s="6">
        <f>-ACE_Input!X49*LN(H49)</f>
        <v>11.051203557410616</v>
      </c>
      <c r="K49" s="6">
        <f>ACE_Input!U49</f>
        <v>300</v>
      </c>
      <c r="L49" s="6">
        <f>K49*ACE_Input!V49</f>
        <v>75</v>
      </c>
    </row>
    <row r="50" spans="1:12" x14ac:dyDescent="0.2">
      <c r="A50">
        <f>1</f>
        <v>1</v>
      </c>
      <c r="B50">
        <f>ACE_Input!A50</f>
        <v>45</v>
      </c>
      <c r="C50" s="6">
        <f>MOD(Settings!$B$17*(C49),Settings!$B$18)</f>
        <v>1106770307</v>
      </c>
      <c r="D50" s="6">
        <f>MAX(C50,1)/Settings!$B$18</f>
        <v>0.51538008615159436</v>
      </c>
      <c r="E50" s="6">
        <f t="shared" si="1"/>
        <v>6</v>
      </c>
      <c r="F50" s="6">
        <f>ACE_Input!D50</f>
        <v>354</v>
      </c>
      <c r="G50" s="6">
        <f>MOD(Settings!$B$17*(G49),Settings!$B$18)</f>
        <v>1415350511</v>
      </c>
      <c r="H50" s="6">
        <f>MAX(G50,1)/Settings!$B$18</f>
        <v>0.65907394125083174</v>
      </c>
      <c r="I50" s="6">
        <f>-ACE_Input!W50*LN(H50)</f>
        <v>1.6676781942890417</v>
      </c>
      <c r="J50" s="6">
        <f>-ACE_Input!X50*LN(H50)</f>
        <v>5.0030345828671248</v>
      </c>
      <c r="K50" s="6">
        <f>ACE_Input!U50</f>
        <v>300</v>
      </c>
      <c r="L50" s="6">
        <f>K50*ACE_Input!V50</f>
        <v>75</v>
      </c>
    </row>
    <row r="51" spans="1:12" x14ac:dyDescent="0.2">
      <c r="A51">
        <f>1</f>
        <v>1</v>
      </c>
      <c r="B51">
        <f>ACE_Input!A51</f>
        <v>46</v>
      </c>
      <c r="C51" s="6">
        <f>MOD(Settings!$B$17*(C50),Settings!$B$18)</f>
        <v>2132683082</v>
      </c>
      <c r="D51" s="6">
        <f>MAX(C51,1)/Settings!$B$18</f>
        <v>0.99310794984600881</v>
      </c>
      <c r="E51" s="6">
        <f t="shared" si="1"/>
        <v>5</v>
      </c>
      <c r="F51" s="6">
        <f>ACE_Input!D51</f>
        <v>359</v>
      </c>
      <c r="G51" s="6">
        <f>MOD(Settings!$B$17*(G50),Settings!$B$18)</f>
        <v>119680558</v>
      </c>
      <c r="H51" s="6">
        <f>MAX(G51,1)/Settings!$B$18</f>
        <v>5.5730602729940133E-2</v>
      </c>
      <c r="I51" s="6">
        <f>-ACE_Input!W51*LN(H51)</f>
        <v>11.548903449119665</v>
      </c>
      <c r="J51" s="6">
        <f>-ACE_Input!X51*LN(H51)</f>
        <v>34.646710347358997</v>
      </c>
      <c r="K51" s="6">
        <f>ACE_Input!U51</f>
        <v>300</v>
      </c>
      <c r="L51" s="6">
        <f>K51*ACE_Input!V51</f>
        <v>75</v>
      </c>
    </row>
    <row r="52" spans="1:12" x14ac:dyDescent="0.2">
      <c r="A52">
        <f>1</f>
        <v>1</v>
      </c>
      <c r="B52">
        <f>ACE_Input!A52</f>
        <v>47</v>
      </c>
      <c r="C52" s="6">
        <f>MOD(Settings!$B$17*(C51),Settings!$B$18)</f>
        <v>355007097</v>
      </c>
      <c r="D52" s="6">
        <f>MAX(C52,1)/Settings!$B$18</f>
        <v>0.16531306186938335</v>
      </c>
      <c r="E52" s="6">
        <f t="shared" si="1"/>
        <v>5</v>
      </c>
      <c r="F52" s="6">
        <f>ACE_Input!D52</f>
        <v>364</v>
      </c>
      <c r="G52" s="6">
        <f>MOD(Settings!$B$17*(G51),Settings!$B$18)</f>
        <v>1426444714</v>
      </c>
      <c r="H52" s="6">
        <f>MAX(G52,1)/Settings!$B$18</f>
        <v>0.66424008210387087</v>
      </c>
      <c r="I52" s="6">
        <f>-ACE_Input!W52*LN(H52)</f>
        <v>1.6364465016905534</v>
      </c>
      <c r="J52" s="6">
        <f>-ACE_Input!X52*LN(H52)</f>
        <v>4.9093395050716602</v>
      </c>
      <c r="K52" s="6">
        <f>ACE_Input!U52</f>
        <v>300</v>
      </c>
      <c r="L52" s="6">
        <f>K52*ACE_Input!V52</f>
        <v>75</v>
      </c>
    </row>
    <row r="53" spans="1:12" x14ac:dyDescent="0.2">
      <c r="A53">
        <f>1</f>
        <v>1</v>
      </c>
      <c r="B53">
        <f>ACE_Input!A53</f>
        <v>48</v>
      </c>
      <c r="C53" s="6">
        <f>MOD(Settings!$B$17*(C52),Settings!$B$18)</f>
        <v>894707913</v>
      </c>
      <c r="D53" s="6">
        <f>MAX(C53,1)/Settings!$B$18</f>
        <v>0.41663083872600964</v>
      </c>
      <c r="E53" s="6">
        <f t="shared" si="1"/>
        <v>5</v>
      </c>
      <c r="F53" s="6">
        <f>ACE_Input!D53</f>
        <v>369</v>
      </c>
      <c r="G53" s="6">
        <f>MOD(Settings!$B$17*(G52),Settings!$B$18)</f>
        <v>1896356737</v>
      </c>
      <c r="H53" s="6">
        <f>MAX(G53,1)/Settings!$B$18</f>
        <v>0.88305991975733078</v>
      </c>
      <c r="I53" s="6">
        <f>-ACE_Input!W53*LN(H53)</f>
        <v>0.49744888554275796</v>
      </c>
      <c r="J53" s="6">
        <f>-ACE_Input!X53*LN(H53)</f>
        <v>1.4923466566282739</v>
      </c>
      <c r="K53" s="6">
        <f>ACE_Input!U53</f>
        <v>300</v>
      </c>
      <c r="L53" s="6">
        <f>K53*ACE_Input!V53</f>
        <v>75</v>
      </c>
    </row>
    <row r="54" spans="1:12" x14ac:dyDescent="0.2">
      <c r="A54">
        <f>1</f>
        <v>1</v>
      </c>
      <c r="B54">
        <f>ACE_Input!A54</f>
        <v>49</v>
      </c>
      <c r="C54" s="6">
        <f>MOD(Settings!$B$17*(C53),Settings!$B$18)</f>
        <v>675397497</v>
      </c>
      <c r="D54" s="6">
        <f>MAX(C54,1)/Settings!$B$18</f>
        <v>0.31450646804389842</v>
      </c>
      <c r="E54" s="6">
        <f t="shared" si="1"/>
        <v>5</v>
      </c>
      <c r="F54" s="6">
        <f>ACE_Input!D54</f>
        <v>374</v>
      </c>
      <c r="G54" s="6">
        <f>MOD(Settings!$B$17*(G53),Settings!$B$18)</f>
        <v>1262873632</v>
      </c>
      <c r="H54" s="6">
        <f>MAX(G54,1)/Settings!$B$18</f>
        <v>0.58807136145796224</v>
      </c>
      <c r="I54" s="6">
        <f>-ACE_Input!W54*LN(H54)</f>
        <v>2.1236279016946433</v>
      </c>
      <c r="J54" s="6">
        <f>-ACE_Input!X54*LN(H54)</f>
        <v>6.37088370508393</v>
      </c>
      <c r="K54" s="6">
        <f>ACE_Input!U54</f>
        <v>300</v>
      </c>
      <c r="L54" s="6">
        <f>K54*ACE_Input!V54</f>
        <v>75</v>
      </c>
    </row>
    <row r="55" spans="1:12" x14ac:dyDescent="0.2">
      <c r="A55">
        <f>1</f>
        <v>1</v>
      </c>
      <c r="B55">
        <f>ACE_Input!A55</f>
        <v>50</v>
      </c>
      <c r="C55" s="6">
        <f>MOD(Settings!$B$17*(C54),Settings!$B$18)</f>
        <v>1954657684</v>
      </c>
      <c r="D55" s="6">
        <f>MAX(C55,1)/Settings!$B$18</f>
        <v>0.91020841380125306</v>
      </c>
      <c r="E55" s="6">
        <f t="shared" si="1"/>
        <v>5</v>
      </c>
      <c r="F55" s="6">
        <f>ACE_Input!D55</f>
        <v>379</v>
      </c>
      <c r="G55" s="6">
        <f>MOD(Settings!$B$17*(G54),Settings!$B$18)</f>
        <v>1536249723</v>
      </c>
      <c r="H55" s="6">
        <f>MAX(G55,1)/Settings!$B$18</f>
        <v>0.71537202397145894</v>
      </c>
      <c r="I55" s="6">
        <f>-ACE_Input!W55*LN(H55)</f>
        <v>1.3398102334293411</v>
      </c>
      <c r="J55" s="6">
        <f>-ACE_Input!X55*LN(H55)</f>
        <v>4.019430700288023</v>
      </c>
      <c r="K55" s="6">
        <f>ACE_Input!U55</f>
        <v>300</v>
      </c>
      <c r="L55" s="6">
        <f>K55*ACE_Input!V55</f>
        <v>75</v>
      </c>
    </row>
    <row r="56" spans="1:12" x14ac:dyDescent="0.2">
      <c r="A56">
        <f>1</f>
        <v>1</v>
      </c>
      <c r="B56">
        <f>ACE_Input!A56</f>
        <v>51</v>
      </c>
      <c r="C56" s="6">
        <f>MOD(Settings!$B$17*(C55),Settings!$B$18)</f>
        <v>1874346829</v>
      </c>
      <c r="D56" s="6">
        <f>MAX(C56,1)/Settings!$B$18</f>
        <v>0.87281075765975324</v>
      </c>
      <c r="E56" s="6">
        <f t="shared" si="1"/>
        <v>5</v>
      </c>
      <c r="F56" s="6">
        <f>ACE_Input!D56</f>
        <v>384</v>
      </c>
      <c r="G56" s="6">
        <f>MOD(Settings!$B$17*(G55),Settings!$B$18)</f>
        <v>553206580</v>
      </c>
      <c r="H56" s="6">
        <f>MAX(G56,1)/Settings!$B$18</f>
        <v>0.25760688830986939</v>
      </c>
      <c r="I56" s="6">
        <f>-ACE_Input!W56*LN(H56)</f>
        <v>5.4252821791044434</v>
      </c>
      <c r="J56" s="6">
        <f>-ACE_Input!X56*LN(H56)</f>
        <v>16.275846537313331</v>
      </c>
      <c r="K56" s="6">
        <f>ACE_Input!U56</f>
        <v>300</v>
      </c>
      <c r="L56" s="6">
        <f>K56*ACE_Input!V56</f>
        <v>75</v>
      </c>
    </row>
    <row r="57" spans="1:12" x14ac:dyDescent="0.2">
      <c r="A57">
        <f>1</f>
        <v>1</v>
      </c>
      <c r="B57">
        <f>ACE_Input!A57</f>
        <v>52</v>
      </c>
      <c r="C57" s="6">
        <f>MOD(Settings!$B$17*(C56),Settings!$B$18)</f>
        <v>709537160</v>
      </c>
      <c r="D57" s="6">
        <f>MAX(C57,1)/Settings!$B$18</f>
        <v>0.33040398747213373</v>
      </c>
      <c r="E57" s="6">
        <f t="shared" si="1"/>
        <v>5</v>
      </c>
      <c r="F57" s="6">
        <f>ACE_Input!D57</f>
        <v>389</v>
      </c>
      <c r="G57" s="6">
        <f>MOD(Settings!$B$17*(G56),Settings!$B$18)</f>
        <v>1286282197</v>
      </c>
      <c r="H57" s="6">
        <f>MAX(G57,1)/Settings!$B$18</f>
        <v>0.59897182397496507</v>
      </c>
      <c r="I57" s="6">
        <f>-ACE_Input!W57*LN(H57)</f>
        <v>2.0501628816486126</v>
      </c>
      <c r="J57" s="6">
        <f>-ACE_Input!X57*LN(H57)</f>
        <v>6.1504886449458382</v>
      </c>
      <c r="K57" s="6">
        <f>ACE_Input!U57</f>
        <v>300</v>
      </c>
      <c r="L57" s="6">
        <f>K57*ACE_Input!V57</f>
        <v>75</v>
      </c>
    </row>
    <row r="58" spans="1:12" x14ac:dyDescent="0.2">
      <c r="A58">
        <f>1</f>
        <v>1</v>
      </c>
      <c r="B58">
        <f>ACE_Input!A58</f>
        <v>53</v>
      </c>
      <c r="C58" s="6">
        <f>MOD(Settings!$B$17*(C57),Settings!$B$18)</f>
        <v>214356329</v>
      </c>
      <c r="D58" s="6">
        <f>MAX(C58,1)/Settings!$B$18</f>
        <v>9.9817444151182405E-2</v>
      </c>
      <c r="E58" s="6">
        <f t="shared" si="1"/>
        <v>5</v>
      </c>
      <c r="F58" s="6">
        <f>ACE_Input!D58</f>
        <v>394</v>
      </c>
      <c r="G58" s="6">
        <f>MOD(Settings!$B$17*(G57),Settings!$B$18)</f>
        <v>1974494277</v>
      </c>
      <c r="H58" s="6">
        <f>MAX(G58,1)/Settings!$B$18</f>
        <v>0.91944554723773408</v>
      </c>
      <c r="I58" s="6">
        <f>-ACE_Input!W58*LN(H58)</f>
        <v>0.33593782664468314</v>
      </c>
      <c r="J58" s="6">
        <f>-ACE_Input!X58*LN(H58)</f>
        <v>1.0078134799340495</v>
      </c>
      <c r="K58" s="6">
        <f>ACE_Input!U58</f>
        <v>300</v>
      </c>
      <c r="L58" s="6">
        <f>K58*ACE_Input!V58</f>
        <v>75</v>
      </c>
    </row>
    <row r="59" spans="1:12" x14ac:dyDescent="0.2">
      <c r="A59">
        <f>1</f>
        <v>1</v>
      </c>
      <c r="B59">
        <f>ACE_Input!A59</f>
        <v>54</v>
      </c>
      <c r="C59" s="6">
        <f>MOD(Settings!$B$17*(C58),Settings!$B$18)</f>
        <v>1356745484</v>
      </c>
      <c r="D59" s="6">
        <f>MAX(C59,1)/Settings!$B$18</f>
        <v>0.63178384892259909</v>
      </c>
      <c r="E59" s="6">
        <f t="shared" si="1"/>
        <v>5</v>
      </c>
      <c r="F59" s="6">
        <f>ACE_Input!D59</f>
        <v>399</v>
      </c>
      <c r="G59" s="6">
        <f>MOD(Settings!$B$17*(G58),Settings!$B$18)</f>
        <v>260516448</v>
      </c>
      <c r="H59" s="6">
        <f>MAX(G59,1)/Settings!$B$18</f>
        <v>0.12131242459701022</v>
      </c>
      <c r="I59" s="6">
        <f>-ACE_Input!W59*LN(H59)</f>
        <v>8.43754415845215</v>
      </c>
      <c r="J59" s="6">
        <f>-ACE_Input!X59*LN(H59)</f>
        <v>25.312632475356452</v>
      </c>
      <c r="K59" s="6">
        <f>ACE_Input!U59</f>
        <v>300</v>
      </c>
      <c r="L59" s="6">
        <f>K59*ACE_Input!V59</f>
        <v>75</v>
      </c>
    </row>
    <row r="60" spans="1:12" x14ac:dyDescent="0.2">
      <c r="A60">
        <f>1</f>
        <v>1</v>
      </c>
      <c r="B60">
        <f>ACE_Input!A60</f>
        <v>55</v>
      </c>
      <c r="C60" s="6">
        <f>MOD(Settings!$B$17*(C59),Settings!$B$18)</f>
        <v>839985742</v>
      </c>
      <c r="D60" s="6">
        <f>MAX(C60,1)/Settings!$B$18</f>
        <v>0.3911488421220094</v>
      </c>
      <c r="E60" s="6">
        <f t="shared" si="1"/>
        <v>5</v>
      </c>
      <c r="F60" s="6">
        <f>ACE_Input!D60</f>
        <v>404</v>
      </c>
      <c r="G60" s="6">
        <f>MOD(Settings!$B$17*(G59),Settings!$B$18)</f>
        <v>1928268950</v>
      </c>
      <c r="H60" s="6">
        <f>MAX(G60,1)/Settings!$B$18</f>
        <v>0.89792020195066935</v>
      </c>
      <c r="I60" s="6">
        <f>-ACE_Input!W60*LN(H60)</f>
        <v>0.43069630639479056</v>
      </c>
      <c r="J60" s="6">
        <f>-ACE_Input!X60*LN(H60)</f>
        <v>1.2920889191843716</v>
      </c>
      <c r="K60" s="6">
        <f>ACE_Input!U60</f>
        <v>300</v>
      </c>
      <c r="L60" s="6">
        <f>K60*ACE_Input!V60</f>
        <v>75</v>
      </c>
    </row>
    <row r="61" spans="1:12" x14ac:dyDescent="0.2">
      <c r="A61">
        <f>1</f>
        <v>1</v>
      </c>
      <c r="B61">
        <f>ACE_Input!A61</f>
        <v>56</v>
      </c>
      <c r="C61" s="6">
        <f>MOD(Settings!$B$17*(C60),Settings!$B$18)</f>
        <v>82870416</v>
      </c>
      <c r="D61" s="6">
        <f>MAX(C61,1)/Settings!$B$18</f>
        <v>3.8589544612257533E-2</v>
      </c>
      <c r="E61" s="6">
        <f t="shared" si="1"/>
        <v>5</v>
      </c>
      <c r="F61" s="6">
        <f>ACE_Input!D61</f>
        <v>409</v>
      </c>
      <c r="G61" s="6">
        <f>MOD(Settings!$B$17*(G60),Settings!$B$18)</f>
        <v>740525773</v>
      </c>
      <c r="H61" s="6">
        <f>MAX(G61,1)/Settings!$B$18</f>
        <v>0.34483418490031464</v>
      </c>
      <c r="I61" s="6">
        <f>-ACE_Input!W61*LN(H61)</f>
        <v>4.2587664038584432</v>
      </c>
      <c r="J61" s="6">
        <f>-ACE_Input!X61*LN(H61)</f>
        <v>12.77629921157533</v>
      </c>
      <c r="K61" s="6">
        <f>ACE_Input!U61</f>
        <v>300</v>
      </c>
      <c r="L61" s="6">
        <f>K61*ACE_Input!V61</f>
        <v>75</v>
      </c>
    </row>
    <row r="62" spans="1:12" x14ac:dyDescent="0.2">
      <c r="A62">
        <f>1</f>
        <v>1</v>
      </c>
      <c r="B62">
        <f>ACE_Input!A62</f>
        <v>57</v>
      </c>
      <c r="C62" s="6">
        <f>MOD(Settings!$B$17*(C61),Settings!$B$18)</f>
        <v>1233678456</v>
      </c>
      <c r="D62" s="6">
        <f>MAX(C62,1)/Settings!$B$18</f>
        <v>0.57447629821229551</v>
      </c>
      <c r="E62" s="6">
        <f t="shared" si="1"/>
        <v>5</v>
      </c>
      <c r="F62" s="6">
        <f>ACE_Input!D62</f>
        <v>414</v>
      </c>
      <c r="G62" s="6">
        <f>MOD(Settings!$B$17*(G61),Settings!$B$18)</f>
        <v>1348932446</v>
      </c>
      <c r="H62" s="6">
        <f>MAX(G62,1)/Settings!$B$18</f>
        <v>0.6281456195880406</v>
      </c>
      <c r="I62" s="6">
        <f>-ACE_Input!W62*LN(H62)</f>
        <v>1.8599330442746265</v>
      </c>
      <c r="J62" s="6">
        <f>-ACE_Input!X62*LN(H62)</f>
        <v>5.5797991328238794</v>
      </c>
      <c r="K62" s="6">
        <f>ACE_Input!U62</f>
        <v>300</v>
      </c>
      <c r="L62" s="6">
        <f>K62*ACE_Input!V62</f>
        <v>75</v>
      </c>
    </row>
    <row r="63" spans="1:12" x14ac:dyDescent="0.2">
      <c r="A63">
        <f>1</f>
        <v>1</v>
      </c>
      <c r="B63">
        <f>ACE_Input!A63</f>
        <v>58</v>
      </c>
      <c r="C63" s="6">
        <f>MOD(Settings!$B$17*(C62),Settings!$B$18)</f>
        <v>479198207</v>
      </c>
      <c r="D63" s="6">
        <f>MAX(C63,1)/Settings!$B$18</f>
        <v>0.22314405405109006</v>
      </c>
      <c r="E63" s="6">
        <f t="shared" si="1"/>
        <v>5</v>
      </c>
      <c r="F63" s="6">
        <f>ACE_Input!D63</f>
        <v>419</v>
      </c>
      <c r="G63" s="6">
        <f>MOD(Settings!$B$17*(G62),Settings!$B$18)</f>
        <v>522758543</v>
      </c>
      <c r="H63" s="6">
        <f>MAX(G63,1)/Settings!$B$18</f>
        <v>0.24342841619785335</v>
      </c>
      <c r="I63" s="6">
        <f>-ACE_Input!W63*LN(H63)</f>
        <v>5.6517294333330694</v>
      </c>
      <c r="J63" s="6">
        <f>-ACE_Input!X63*LN(H63)</f>
        <v>16.955188299999207</v>
      </c>
      <c r="K63" s="6">
        <f>ACE_Input!U63</f>
        <v>300</v>
      </c>
      <c r="L63" s="6">
        <f>K63*ACE_Input!V63</f>
        <v>75</v>
      </c>
    </row>
    <row r="64" spans="1:12" x14ac:dyDescent="0.2">
      <c r="A64">
        <f>1</f>
        <v>1</v>
      </c>
      <c r="B64">
        <f>ACE_Input!A64</f>
        <v>59</v>
      </c>
      <c r="C64" s="6">
        <f>MOD(Settings!$B$17*(C63),Settings!$B$18)</f>
        <v>820588799</v>
      </c>
      <c r="D64" s="6">
        <f>MAX(C64,1)/Settings!$B$18</f>
        <v>0.38211643667058853</v>
      </c>
      <c r="E64" s="6">
        <f t="shared" si="1"/>
        <v>5</v>
      </c>
      <c r="F64" s="6">
        <f>ACE_Input!D64</f>
        <v>424</v>
      </c>
      <c r="G64" s="6">
        <f>MOD(Settings!$B$17*(G63),Settings!$B$18)</f>
        <v>647232324</v>
      </c>
      <c r="H64" s="6">
        <f>MAX(G64,1)/Settings!$B$18</f>
        <v>0.30139103732136591</v>
      </c>
      <c r="I64" s="6">
        <f>-ACE_Input!W64*LN(H64)</f>
        <v>4.7973869202219745</v>
      </c>
      <c r="J64" s="6">
        <f>-ACE_Input!X64*LN(H64)</f>
        <v>14.392160760665924</v>
      </c>
      <c r="K64" s="6">
        <f>ACE_Input!U64</f>
        <v>300</v>
      </c>
      <c r="L64" s="6">
        <f>K64*ACE_Input!V64</f>
        <v>75</v>
      </c>
    </row>
    <row r="65" spans="1:12" x14ac:dyDescent="0.2">
      <c r="A65">
        <f>1</f>
        <v>1</v>
      </c>
      <c r="B65">
        <f>ACE_Input!A65</f>
        <v>60</v>
      </c>
      <c r="C65" s="6">
        <f>MOD(Settings!$B$17*(C64),Settings!$B$18)</f>
        <v>495963759</v>
      </c>
      <c r="D65" s="6">
        <f>MAX(C65,1)/Settings!$B$18</f>
        <v>0.23095112258147035</v>
      </c>
      <c r="E65" s="6">
        <f t="shared" si="1"/>
        <v>5</v>
      </c>
      <c r="F65" s="6">
        <f>ACE_Input!D65</f>
        <v>429</v>
      </c>
      <c r="G65" s="6">
        <f>MOD(Settings!$B$17*(G64),Settings!$B$18)</f>
        <v>1028997413</v>
      </c>
      <c r="H65" s="6">
        <f>MAX(G65,1)/Settings!$B$18</f>
        <v>0.47916426019704167</v>
      </c>
      <c r="I65" s="6">
        <f>-ACE_Input!W65*LN(H65)</f>
        <v>2.9428472687553229</v>
      </c>
      <c r="J65" s="6">
        <f>-ACE_Input!X65*LN(H65)</f>
        <v>8.8285418062659691</v>
      </c>
      <c r="K65" s="6">
        <f>ACE_Input!U65</f>
        <v>300</v>
      </c>
      <c r="L65" s="6">
        <f>K65*ACE_Input!V65</f>
        <v>75</v>
      </c>
    </row>
    <row r="66" spans="1:12" x14ac:dyDescent="0.2">
      <c r="A66">
        <f>1</f>
        <v>1</v>
      </c>
      <c r="B66">
        <f>ACE_Input!A66</f>
        <v>61</v>
      </c>
      <c r="C66" s="6">
        <f>MOD(Settings!$B$17*(C65),Settings!$B$18)</f>
        <v>1278863506</v>
      </c>
      <c r="D66" s="6">
        <f>MAX(C66,1)/Settings!$B$18</f>
        <v>0.59551722677215801</v>
      </c>
      <c r="E66" s="6">
        <f t="shared" si="1"/>
        <v>5</v>
      </c>
      <c r="F66" s="6">
        <f>ACE_Input!D66</f>
        <v>434</v>
      </c>
      <c r="G66" s="6">
        <f>MOD(Settings!$B$17*(G65),Settings!$B$18)</f>
        <v>673711000</v>
      </c>
      <c r="H66" s="6">
        <f>MAX(G66,1)/Settings!$B$18</f>
        <v>0.31372113167947213</v>
      </c>
      <c r="I66" s="6">
        <f>-ACE_Input!W66*LN(H66)</f>
        <v>4.6370032134109298</v>
      </c>
      <c r="J66" s="6">
        <f>-ACE_Input!X66*LN(H66)</f>
        <v>13.911009640232789</v>
      </c>
      <c r="K66" s="6">
        <f>ACE_Input!U66</f>
        <v>300</v>
      </c>
      <c r="L66" s="6">
        <f>K66*ACE_Input!V66</f>
        <v>75</v>
      </c>
    </row>
    <row r="67" spans="1:12" x14ac:dyDescent="0.2">
      <c r="A67">
        <f>1</f>
        <v>1</v>
      </c>
      <c r="B67">
        <f>ACE_Input!A67</f>
        <v>62</v>
      </c>
      <c r="C67" s="6">
        <f>MOD(Settings!$B$17*(C66),Settings!$B$18)</f>
        <v>1842606166</v>
      </c>
      <c r="D67" s="6">
        <f>MAX(C67,1)/Settings!$B$18</f>
        <v>0.8580303596602894</v>
      </c>
      <c r="E67" s="6">
        <f t="shared" si="1"/>
        <v>5</v>
      </c>
      <c r="F67" s="6">
        <f>ACE_Input!D67</f>
        <v>439</v>
      </c>
      <c r="G67" s="6">
        <f>MOD(Settings!$B$17*(G66),Settings!$B$18)</f>
        <v>1526990016</v>
      </c>
      <c r="H67" s="6">
        <f>MAX(G67,1)/Settings!$B$18</f>
        <v>0.7110601368877385</v>
      </c>
      <c r="I67" s="6">
        <f>-ACE_Input!W67*LN(H67)</f>
        <v>1.3639930881660969</v>
      </c>
      <c r="J67" s="6">
        <f>-ACE_Input!X67*LN(H67)</f>
        <v>4.0919792644982902</v>
      </c>
      <c r="K67" s="6">
        <f>ACE_Input!U67</f>
        <v>300</v>
      </c>
      <c r="L67" s="6">
        <f>K67*ACE_Input!V67</f>
        <v>75</v>
      </c>
    </row>
    <row r="68" spans="1:12" x14ac:dyDescent="0.2">
      <c r="A68">
        <f>1</f>
        <v>1</v>
      </c>
      <c r="B68">
        <f>ACE_Input!A68</f>
        <v>63</v>
      </c>
      <c r="C68" s="6">
        <f>MOD(Settings!$B$17*(C67),Settings!$B$18)</f>
        <v>1967642222</v>
      </c>
      <c r="D68" s="6">
        <f>MAX(C68,1)/Settings!$B$18</f>
        <v>0.91625481048424484</v>
      </c>
      <c r="E68" s="6">
        <f t="shared" si="1"/>
        <v>5</v>
      </c>
      <c r="F68" s="6">
        <f>ACE_Input!D68</f>
        <v>444</v>
      </c>
      <c r="G68" s="6">
        <f>MOD(Settings!$B$17*(G67),Settings!$B$18)</f>
        <v>1691617262</v>
      </c>
      <c r="H68" s="6">
        <f>MAX(G68,1)/Settings!$B$18</f>
        <v>0.78772067222172426</v>
      </c>
      <c r="I68" s="6">
        <f>-ACE_Input!W68*LN(H68)</f>
        <v>0.95444691536808501</v>
      </c>
      <c r="J68" s="6">
        <f>-ACE_Input!X68*LN(H68)</f>
        <v>2.8633407461042548</v>
      </c>
      <c r="K68" s="6">
        <f>ACE_Input!U68</f>
        <v>300</v>
      </c>
      <c r="L68" s="6">
        <f>K68*ACE_Input!V68</f>
        <v>75</v>
      </c>
    </row>
    <row r="69" spans="1:12" x14ac:dyDescent="0.2">
      <c r="A69">
        <f>1</f>
        <v>1</v>
      </c>
      <c r="B69">
        <f>ACE_Input!A69</f>
        <v>64</v>
      </c>
      <c r="C69" s="6">
        <f>MOD(Settings!$B$17*(C68),Settings!$B$18)</f>
        <v>1062145001</v>
      </c>
      <c r="D69" s="6">
        <f>MAX(C69,1)/Settings!$B$18</f>
        <v>0.49459980870345599</v>
      </c>
      <c r="E69" s="6">
        <f t="shared" si="1"/>
        <v>5</v>
      </c>
      <c r="F69" s="6">
        <f>ACE_Input!D69</f>
        <v>449</v>
      </c>
      <c r="G69" s="6">
        <f>MOD(Settings!$B$17*(G68),Settings!$B$18)</f>
        <v>475319801</v>
      </c>
      <c r="H69" s="6">
        <f>MAX(G69,1)/Settings!$B$18</f>
        <v>0.221338030519587</v>
      </c>
      <c r="I69" s="6">
        <f>-ACE_Input!W69*LN(H69)</f>
        <v>6.0322567846878057</v>
      </c>
      <c r="J69" s="6">
        <f>-ACE_Input!X69*LN(H69)</f>
        <v>18.096770354063416</v>
      </c>
      <c r="K69" s="6">
        <f>ACE_Input!U69</f>
        <v>300</v>
      </c>
      <c r="L69" s="6">
        <f>K69*ACE_Input!V69</f>
        <v>75</v>
      </c>
    </row>
    <row r="70" spans="1:12" x14ac:dyDescent="0.2">
      <c r="A70">
        <f>1</f>
        <v>1</v>
      </c>
      <c r="B70">
        <f>ACE_Input!A70</f>
        <v>65</v>
      </c>
      <c r="C70" s="6">
        <f>MOD(Settings!$B$17*(C69),Settings!$B$18)</f>
        <v>1586957943</v>
      </c>
      <c r="D70" s="6">
        <f>MAX(C70,1)/Settings!$B$18</f>
        <v>0.73898487898473852</v>
      </c>
      <c r="E70" s="6">
        <f t="shared" si="1"/>
        <v>5</v>
      </c>
      <c r="F70" s="6">
        <f>ACE_Input!D70</f>
        <v>454</v>
      </c>
      <c r="G70" s="6">
        <f>MOD(Settings!$B$17*(G69),Settings!$B$18)</f>
        <v>60728567</v>
      </c>
      <c r="H70" s="6">
        <f>MAX(G70,1)/Settings!$B$18</f>
        <v>2.82789426987427E-2</v>
      </c>
      <c r="I70" s="6">
        <f>-ACE_Input!W70*LN(H70)</f>
        <v>14.262551302171834</v>
      </c>
      <c r="J70" s="6">
        <f>-ACE_Input!X70*LN(H70)</f>
        <v>42.787653906515501</v>
      </c>
      <c r="K70" s="6">
        <f>ACE_Input!U70</f>
        <v>300</v>
      </c>
      <c r="L70" s="6">
        <f>K70*ACE_Input!V70</f>
        <v>75</v>
      </c>
    </row>
    <row r="71" spans="1:12" x14ac:dyDescent="0.2">
      <c r="A71">
        <f>1</f>
        <v>1</v>
      </c>
      <c r="B71">
        <f>ACE_Input!A71</f>
        <v>66</v>
      </c>
      <c r="C71" s="6">
        <f>MOD(Settings!$B$17*(C70),Settings!$B$18)</f>
        <v>255252261</v>
      </c>
      <c r="D71" s="6">
        <f>MAX(C71,1)/Settings!$B$18</f>
        <v>0.11886109650082007</v>
      </c>
      <c r="E71" s="6">
        <f t="shared" ref="E71:E102" si="2">F71-F70</f>
        <v>5</v>
      </c>
      <c r="F71" s="6">
        <f>ACE_Input!D71</f>
        <v>459</v>
      </c>
      <c r="G71" s="6">
        <f>MOD(Settings!$B$17*(G70),Settings!$B$18)</f>
        <v>610293244</v>
      </c>
      <c r="H71" s="6">
        <f>MAX(G71,1)/Settings!$B$18</f>
        <v>0.28418993776859247</v>
      </c>
      <c r="I71" s="6">
        <f>-ACE_Input!W71*LN(H71)</f>
        <v>5.0324498776191326</v>
      </c>
      <c r="J71" s="6">
        <f>-ACE_Input!X71*LN(H71)</f>
        <v>15.097349632857398</v>
      </c>
      <c r="K71" s="6">
        <f>ACE_Input!U71</f>
        <v>300</v>
      </c>
      <c r="L71" s="6">
        <f>K71*ACE_Input!V71</f>
        <v>75</v>
      </c>
    </row>
    <row r="72" spans="1:12" x14ac:dyDescent="0.2">
      <c r="A72">
        <f>1</f>
        <v>1</v>
      </c>
      <c r="B72">
        <f>ACE_Input!A72</f>
        <v>67</v>
      </c>
      <c r="C72" s="6">
        <f>MOD(Settings!$B$17*(C71),Settings!$B$18)</f>
        <v>1499907568</v>
      </c>
      <c r="D72" s="6">
        <f>MAX(C72,1)/Settings!$B$18</f>
        <v>0.69844888928274107</v>
      </c>
      <c r="E72" s="6">
        <f t="shared" si="2"/>
        <v>15</v>
      </c>
      <c r="F72" s="6">
        <f>ACE_Input!D72</f>
        <v>474</v>
      </c>
      <c r="G72" s="6">
        <f>MOD(Settings!$B$17*(G71),Settings!$B$18)</f>
        <v>816653836</v>
      </c>
      <c r="H72" s="6">
        <f>MAX(G72,1)/Settings!$B$18</f>
        <v>0.38028407673364695</v>
      </c>
      <c r="I72" s="6">
        <f>-ACE_Input!W72*LN(H72)</f>
        <v>3.8673469408061352</v>
      </c>
      <c r="J72" s="6">
        <f>-ACE_Input!X72*LN(H72)</f>
        <v>11.602040822418406</v>
      </c>
      <c r="K72" s="6">
        <f>ACE_Input!U72</f>
        <v>300</v>
      </c>
      <c r="L72" s="6">
        <f>K72*ACE_Input!V72</f>
        <v>75</v>
      </c>
    </row>
    <row r="73" spans="1:12" x14ac:dyDescent="0.2">
      <c r="A73">
        <f>1</f>
        <v>1</v>
      </c>
      <c r="B73">
        <f>ACE_Input!A73</f>
        <v>68</v>
      </c>
      <c r="C73" s="6">
        <f>MOD(Settings!$B$17*(C72),Settings!$B$18)</f>
        <v>1783446890</v>
      </c>
      <c r="D73" s="6">
        <f>MAX(C73,1)/Settings!$B$18</f>
        <v>0.83048217502910748</v>
      </c>
      <c r="E73" s="6">
        <f t="shared" si="2"/>
        <v>5</v>
      </c>
      <c r="F73" s="6">
        <f>ACE_Input!D73</f>
        <v>479</v>
      </c>
      <c r="G73" s="6">
        <f>MOD(Settings!$B$17*(G72),Settings!$B$18)</f>
        <v>933033675</v>
      </c>
      <c r="H73" s="6">
        <f>MAX(G73,1)/Settings!$B$18</f>
        <v>0.43447766240429025</v>
      </c>
      <c r="I73" s="6">
        <f>-ACE_Input!W73*LN(H73)</f>
        <v>3.3344429819391301</v>
      </c>
      <c r="J73" s="6">
        <f>-ACE_Input!X73*LN(H73)</f>
        <v>10.00332894581739</v>
      </c>
      <c r="K73" s="6">
        <f>ACE_Input!U73</f>
        <v>300</v>
      </c>
      <c r="L73" s="6">
        <f>K73*ACE_Input!V73</f>
        <v>75</v>
      </c>
    </row>
    <row r="74" spans="1:12" x14ac:dyDescent="0.2">
      <c r="A74">
        <f>1</f>
        <v>1</v>
      </c>
      <c r="B74">
        <f>ACE_Input!A74</f>
        <v>69</v>
      </c>
      <c r="C74" s="6">
        <f>MOD(Settings!$B$17*(C73),Settings!$B$18)</f>
        <v>1962619051</v>
      </c>
      <c r="D74" s="6">
        <f>MAX(C74,1)/Settings!$B$18</f>
        <v>0.9139157142089287</v>
      </c>
      <c r="E74" s="6">
        <f t="shared" si="2"/>
        <v>15</v>
      </c>
      <c r="F74" s="6">
        <f>ACE_Input!D74</f>
        <v>494</v>
      </c>
      <c r="G74" s="6">
        <f>MOD(Settings!$B$17*(G73),Settings!$B$18)</f>
        <v>571385331</v>
      </c>
      <c r="H74" s="6">
        <f>MAX(G74,1)/Settings!$B$18</f>
        <v>0.26607202890611814</v>
      </c>
      <c r="I74" s="6">
        <f>-ACE_Input!W74*LN(H74)</f>
        <v>5.2959528859793217</v>
      </c>
      <c r="J74" s="6">
        <f>-ACE_Input!X74*LN(H74)</f>
        <v>15.887858657937965</v>
      </c>
      <c r="K74" s="6">
        <f>ACE_Input!U74</f>
        <v>300</v>
      </c>
      <c r="L74" s="6">
        <f>K74*ACE_Input!V74</f>
        <v>75</v>
      </c>
    </row>
    <row r="75" spans="1:12" x14ac:dyDescent="0.2">
      <c r="A75">
        <f>1</f>
        <v>1</v>
      </c>
      <c r="B75">
        <f>ACE_Input!A75</f>
        <v>70</v>
      </c>
      <c r="C75" s="6">
        <f>MOD(Settings!$B$17*(C74),Settings!$B$18)</f>
        <v>389572237</v>
      </c>
      <c r="D75" s="6">
        <f>MAX(C75,1)/Settings!$B$18</f>
        <v>0.1814087094652507</v>
      </c>
      <c r="E75" s="6">
        <f t="shared" si="2"/>
        <v>5</v>
      </c>
      <c r="F75" s="6">
        <f>ACE_Input!D75</f>
        <v>499</v>
      </c>
      <c r="G75" s="6">
        <f>MOD(Settings!$B$17*(G74),Settings!$B$18)</f>
        <v>1873872380</v>
      </c>
      <c r="H75" s="6">
        <f>MAX(G75,1)/Settings!$B$18</f>
        <v>0.87258982512754846</v>
      </c>
      <c r="I75" s="6">
        <f>-ACE_Input!W75*LN(H75)</f>
        <v>0.54515871507641822</v>
      </c>
      <c r="J75" s="6">
        <f>-ACE_Input!X75*LN(H75)</f>
        <v>1.6354761452292546</v>
      </c>
      <c r="K75" s="6">
        <f>ACE_Input!U75</f>
        <v>300</v>
      </c>
      <c r="L75" s="6">
        <f>K75*ACE_Input!V75</f>
        <v>75</v>
      </c>
    </row>
    <row r="76" spans="1:12" x14ac:dyDescent="0.2">
      <c r="A76">
        <f>1</f>
        <v>1</v>
      </c>
      <c r="B76">
        <f>ACE_Input!A76</f>
        <v>71</v>
      </c>
      <c r="C76" s="6">
        <f>MOD(Settings!$B$17*(C75),Settings!$B$18)</f>
        <v>2010431203</v>
      </c>
      <c r="D76" s="6">
        <f>MAX(C76,1)/Settings!$B$18</f>
        <v>0.93617998246856959</v>
      </c>
      <c r="E76" s="6">
        <f t="shared" si="2"/>
        <v>5</v>
      </c>
      <c r="F76" s="6">
        <f>ACE_Input!D76</f>
        <v>504</v>
      </c>
      <c r="G76" s="6">
        <f>MOD(Settings!$B$17*(G75),Settings!$B$18)</f>
        <v>1325407405</v>
      </c>
      <c r="H76" s="6">
        <f>MAX(G76,1)/Settings!$B$18</f>
        <v>0.61719091870691201</v>
      </c>
      <c r="I76" s="6">
        <f>-ACE_Input!W76*LN(H76)</f>
        <v>1.9303074891889758</v>
      </c>
      <c r="J76" s="6">
        <f>-ACE_Input!X76*LN(H76)</f>
        <v>5.7909224675669275</v>
      </c>
      <c r="K76" s="6">
        <f>ACE_Input!U76</f>
        <v>300</v>
      </c>
      <c r="L76" s="6">
        <f>K76*ACE_Input!V76</f>
        <v>75</v>
      </c>
    </row>
    <row r="77" spans="1:12" x14ac:dyDescent="0.2">
      <c r="A77">
        <f>1</f>
        <v>1</v>
      </c>
      <c r="B77">
        <f>ACE_Input!A77</f>
        <v>72</v>
      </c>
      <c r="C77" s="6">
        <f>MOD(Settings!$B$17*(C76),Settings!$B$18)</f>
        <v>809526923</v>
      </c>
      <c r="D77" s="6">
        <f>MAX(C77,1)/Settings!$B$18</f>
        <v>0.37696534924999131</v>
      </c>
      <c r="E77" s="6">
        <f t="shared" si="2"/>
        <v>5</v>
      </c>
      <c r="F77" s="6">
        <f>ACE_Input!D77</f>
        <v>509</v>
      </c>
      <c r="G77" s="6">
        <f>MOD(Settings!$B$17*(G76),Settings!$B$18)</f>
        <v>274385504</v>
      </c>
      <c r="H77" s="6">
        <f>MAX(G77,1)/Settings!$B$18</f>
        <v>0.12777070707072072</v>
      </c>
      <c r="I77" s="6">
        <f>-ACE_Input!W77*LN(H77)</f>
        <v>8.2300718898416978</v>
      </c>
      <c r="J77" s="6">
        <f>-ACE_Input!X77*LN(H77)</f>
        <v>24.690215669525095</v>
      </c>
      <c r="K77" s="6">
        <f>ACE_Input!U77</f>
        <v>300</v>
      </c>
      <c r="L77" s="6">
        <f>K77*ACE_Input!V77</f>
        <v>75</v>
      </c>
    </row>
    <row r="78" spans="1:12" x14ac:dyDescent="0.2">
      <c r="A78">
        <f>1</f>
        <v>1</v>
      </c>
      <c r="B78">
        <f>ACE_Input!A78</f>
        <v>73</v>
      </c>
      <c r="C78" s="6">
        <f>MOD(Settings!$B$17*(C77),Settings!$B$18)</f>
        <v>1410091116</v>
      </c>
      <c r="D78" s="6">
        <f>MAX(C78,1)/Settings!$B$18</f>
        <v>0.65662484460353143</v>
      </c>
      <c r="E78" s="6">
        <f t="shared" si="2"/>
        <v>5</v>
      </c>
      <c r="F78" s="6">
        <f>ACE_Input!D78</f>
        <v>514</v>
      </c>
      <c r="G78" s="6">
        <f>MOD(Settings!$B$17*(G77),Settings!$B$18)</f>
        <v>949775619</v>
      </c>
      <c r="H78" s="6">
        <f>MAX(G78,1)/Settings!$B$18</f>
        <v>0.44227373760299465</v>
      </c>
      <c r="I78" s="6">
        <f>-ACE_Input!W78*LN(H78)</f>
        <v>3.2633050910298946</v>
      </c>
      <c r="J78" s="6">
        <f>-ACE_Input!X78*LN(H78)</f>
        <v>9.789915273089683</v>
      </c>
      <c r="K78" s="6">
        <f>ACE_Input!U78</f>
        <v>300</v>
      </c>
      <c r="L78" s="6">
        <f>K78*ACE_Input!V78</f>
        <v>75</v>
      </c>
    </row>
    <row r="79" spans="1:12" x14ac:dyDescent="0.2">
      <c r="A79">
        <f>1</f>
        <v>1</v>
      </c>
      <c r="B79">
        <f>ACE_Input!A79</f>
        <v>74</v>
      </c>
      <c r="C79" s="6">
        <f>MOD(Settings!$B$17*(C78),Settings!$B$18)</f>
        <v>1919341967</v>
      </c>
      <c r="D79" s="6">
        <f>MAX(C79,1)/Settings!$B$18</f>
        <v>0.89376325155317937</v>
      </c>
      <c r="E79" s="6">
        <f t="shared" si="2"/>
        <v>5</v>
      </c>
      <c r="F79" s="6">
        <f>ACE_Input!D79</f>
        <v>519</v>
      </c>
      <c r="G79" s="6">
        <f>MOD(Settings!$B$17*(G78),Settings!$B$18)</f>
        <v>632880382</v>
      </c>
      <c r="H79" s="6">
        <f>MAX(G79,1)/Settings!$B$18</f>
        <v>0.29470789353116783</v>
      </c>
      <c r="I79" s="6">
        <f>-ACE_Input!W79*LN(H79)</f>
        <v>4.8870824185018895</v>
      </c>
      <c r="J79" s="6">
        <f>-ACE_Input!X79*LN(H79)</f>
        <v>14.661247255505668</v>
      </c>
      <c r="K79" s="6">
        <f>ACE_Input!U79</f>
        <v>300</v>
      </c>
      <c r="L79" s="6">
        <f>K79*ACE_Input!V79</f>
        <v>75</v>
      </c>
    </row>
    <row r="80" spans="1:12" x14ac:dyDescent="0.2">
      <c r="A80">
        <f>1</f>
        <v>1</v>
      </c>
      <c r="B80">
        <f>ACE_Input!A80</f>
        <v>75</v>
      </c>
      <c r="C80" s="6">
        <f>MOD(Settings!$B$17*(C79),Settings!$B$18)</f>
        <v>1028577782</v>
      </c>
      <c r="D80" s="6">
        <f>MAX(C80,1)/Settings!$B$18</f>
        <v>0.47896885428529645</v>
      </c>
      <c r="E80" s="6">
        <f t="shared" si="2"/>
        <v>5</v>
      </c>
      <c r="F80" s="6">
        <f>ACE_Input!D80</f>
        <v>524</v>
      </c>
      <c r="G80" s="6">
        <f>MOD(Settings!$B$17*(G79),Settings!$B$18)</f>
        <v>334076683</v>
      </c>
      <c r="H80" s="6">
        <f>MAX(G80,1)/Settings!$B$18</f>
        <v>0.15556657833772086</v>
      </c>
      <c r="I80" s="6">
        <f>-ACE_Input!W80*LN(H80)</f>
        <v>7.4427259299320765</v>
      </c>
      <c r="J80" s="6">
        <f>-ACE_Input!X80*LN(H80)</f>
        <v>22.328177789796229</v>
      </c>
      <c r="K80" s="6">
        <f>ACE_Input!U80</f>
        <v>300</v>
      </c>
      <c r="L80" s="6">
        <f>K80*ACE_Input!V80</f>
        <v>75</v>
      </c>
    </row>
    <row r="81" spans="1:12" x14ac:dyDescent="0.2">
      <c r="A81">
        <f>1</f>
        <v>1</v>
      </c>
      <c r="B81">
        <f>ACE_Input!A81</f>
        <v>76</v>
      </c>
      <c r="C81" s="6">
        <f>MOD(Settings!$B$17*(C80),Settings!$B$18)</f>
        <v>63423724</v>
      </c>
      <c r="D81" s="6">
        <f>MAX(C81,1)/Settings!$B$18</f>
        <v>2.9533972977443586E-2</v>
      </c>
      <c r="E81" s="6">
        <f t="shared" si="2"/>
        <v>5</v>
      </c>
      <c r="F81" s="6">
        <f>ACE_Input!D81</f>
        <v>529</v>
      </c>
      <c r="G81" s="6">
        <f>MOD(Settings!$B$17*(G80),Settings!$B$18)</f>
        <v>1304557923</v>
      </c>
      <c r="H81" s="6">
        <f>MAX(G81,1)/Settings!$B$18</f>
        <v>0.60748212207457153</v>
      </c>
      <c r="I81" s="6">
        <f>-ACE_Input!W81*LN(H81)</f>
        <v>1.9937301315371945</v>
      </c>
      <c r="J81" s="6">
        <f>-ACE_Input!X81*LN(H81)</f>
        <v>5.9811903946115832</v>
      </c>
      <c r="K81" s="6">
        <f>ACE_Input!U81</f>
        <v>300</v>
      </c>
      <c r="L81" s="6">
        <f>K81*ACE_Input!V81</f>
        <v>75</v>
      </c>
    </row>
    <row r="82" spans="1:12" x14ac:dyDescent="0.2">
      <c r="A82">
        <f>1</f>
        <v>1</v>
      </c>
      <c r="B82">
        <f>ACE_Input!A82</f>
        <v>77</v>
      </c>
      <c r="C82" s="6">
        <f>MOD(Settings!$B$17*(C81),Settings!$B$18)</f>
        <v>810640356</v>
      </c>
      <c r="D82" s="6">
        <f>MAX(C82,1)/Settings!$B$18</f>
        <v>0.37748383189434365</v>
      </c>
      <c r="E82" s="6">
        <f t="shared" si="2"/>
        <v>5</v>
      </c>
      <c r="F82" s="6">
        <f>ACE_Input!D82</f>
        <v>534</v>
      </c>
      <c r="G82" s="6">
        <f>MOD(Settings!$B$17*(G81),Settings!$B$18)</f>
        <v>2044459638</v>
      </c>
      <c r="H82" s="6">
        <f>MAX(G82,1)/Settings!$B$18</f>
        <v>0.95202570732311609</v>
      </c>
      <c r="I82" s="6">
        <f>-ACE_Input!W82*LN(H82)</f>
        <v>0.19665296425876508</v>
      </c>
      <c r="J82" s="6">
        <f>-ACE_Input!X82*LN(H82)</f>
        <v>0.58995889277629521</v>
      </c>
      <c r="K82" s="6">
        <f>ACE_Input!U82</f>
        <v>300</v>
      </c>
      <c r="L82" s="6">
        <f>K82*ACE_Input!V82</f>
        <v>75</v>
      </c>
    </row>
    <row r="83" spans="1:12" x14ac:dyDescent="0.2">
      <c r="A83">
        <f>1</f>
        <v>1</v>
      </c>
      <c r="B83">
        <f>ACE_Input!A83</f>
        <v>78</v>
      </c>
      <c r="C83" s="6">
        <f>MOD(Settings!$B$17*(C82),Settings!$B$18)</f>
        <v>796206724</v>
      </c>
      <c r="D83" s="6">
        <f>MAX(C83,1)/Settings!$B$18</f>
        <v>0.37076264823356769</v>
      </c>
      <c r="E83" s="6">
        <f t="shared" si="2"/>
        <v>5</v>
      </c>
      <c r="F83" s="6">
        <f>ACE_Input!D83</f>
        <v>539</v>
      </c>
      <c r="G83" s="6">
        <f>MOD(Settings!$B$17*(G82),Settings!$B$18)</f>
        <v>1494783866</v>
      </c>
      <c r="H83" s="6">
        <f>MAX(G83,1)/Settings!$B$18</f>
        <v>0.69606297961252883</v>
      </c>
      <c r="I83" s="6">
        <f>-ACE_Input!W83*LN(H83)</f>
        <v>1.449260539169877</v>
      </c>
      <c r="J83" s="6">
        <f>-ACE_Input!X83*LN(H83)</f>
        <v>4.3477816175096304</v>
      </c>
      <c r="K83" s="6">
        <f>ACE_Input!U83</f>
        <v>300</v>
      </c>
      <c r="L83" s="6">
        <f>K83*ACE_Input!V83</f>
        <v>75</v>
      </c>
    </row>
    <row r="84" spans="1:12" x14ac:dyDescent="0.2">
      <c r="A84">
        <f>1</f>
        <v>1</v>
      </c>
      <c r="B84">
        <f>ACE_Input!A84</f>
        <v>79</v>
      </c>
      <c r="C84" s="6">
        <f>MOD(Settings!$B$17*(C83),Settings!$B$18)</f>
        <v>875805811</v>
      </c>
      <c r="D84" s="6">
        <f>MAX(C84,1)/Settings!$B$18</f>
        <v>0.40782886157176867</v>
      </c>
      <c r="E84" s="6">
        <f t="shared" si="2"/>
        <v>5</v>
      </c>
      <c r="F84" s="6">
        <f>ACE_Input!D84</f>
        <v>544</v>
      </c>
      <c r="G84" s="6">
        <f>MOD(Settings!$B$17*(G83),Settings!$B$18)</f>
        <v>1568733256</v>
      </c>
      <c r="H84" s="6">
        <f>MAX(G84,1)/Settings!$B$18</f>
        <v>0.73049834777158607</v>
      </c>
      <c r="I84" s="6">
        <f>-ACE_Input!W84*LN(H84)</f>
        <v>1.25611323828549</v>
      </c>
      <c r="J84" s="6">
        <f>-ACE_Input!X84*LN(H84)</f>
        <v>3.7683397148564701</v>
      </c>
      <c r="K84" s="6">
        <f>ACE_Input!U84</f>
        <v>300</v>
      </c>
      <c r="L84" s="6">
        <f>K84*ACE_Input!V84</f>
        <v>75</v>
      </c>
    </row>
    <row r="85" spans="1:12" x14ac:dyDescent="0.2">
      <c r="A85">
        <f>1</f>
        <v>1</v>
      </c>
      <c r="B85">
        <f>ACE_Input!A85</f>
        <v>80</v>
      </c>
      <c r="C85" s="6">
        <f>MOD(Settings!$B$17*(C84),Settings!$B$18)</f>
        <v>815348939</v>
      </c>
      <c r="D85" s="6">
        <f>MAX(C85,1)/Settings!$B$18</f>
        <v>0.37967643671654</v>
      </c>
      <c r="E85" s="6">
        <f t="shared" si="2"/>
        <v>5</v>
      </c>
      <c r="F85" s="6">
        <f>ACE_Input!D85</f>
        <v>549</v>
      </c>
      <c r="G85" s="6">
        <f>MOD(Settings!$B$17*(G84),Settings!$B$18)</f>
        <v>1043099373</v>
      </c>
      <c r="H85" s="6">
        <f>MAX(G85,1)/Settings!$B$18</f>
        <v>0.4857309970472618</v>
      </c>
      <c r="I85" s="6">
        <f>-ACE_Input!W85*LN(H85)</f>
        <v>2.8884012493580826</v>
      </c>
      <c r="J85" s="6">
        <f>-ACE_Input!X85*LN(H85)</f>
        <v>8.6652037480742479</v>
      </c>
      <c r="K85" s="6">
        <f>ACE_Input!U85</f>
        <v>300</v>
      </c>
      <c r="L85" s="6">
        <f>K85*ACE_Input!V85</f>
        <v>75</v>
      </c>
    </row>
    <row r="86" spans="1:12" x14ac:dyDescent="0.2">
      <c r="A86">
        <f>1</f>
        <v>1</v>
      </c>
      <c r="B86">
        <f>ACE_Input!A86</f>
        <v>81</v>
      </c>
      <c r="C86" s="6">
        <f>MOD(Settings!$B$17*(C85),Settings!$B$18)</f>
        <v>476466266</v>
      </c>
      <c r="D86" s="6">
        <f>MAX(C86,1)/Settings!$B$18</f>
        <v>0.22187189488758888</v>
      </c>
      <c r="E86" s="6">
        <f t="shared" si="2"/>
        <v>5</v>
      </c>
      <c r="F86" s="6">
        <f>ACE_Input!D86</f>
        <v>554</v>
      </c>
      <c r="G86" s="6">
        <f>MOD(Settings!$B$17*(G85),Settings!$B$18)</f>
        <v>1462151550</v>
      </c>
      <c r="H86" s="6">
        <f>MAX(G86,1)/Settings!$B$18</f>
        <v>0.68086737332905989</v>
      </c>
      <c r="I86" s="6">
        <f>-ACE_Input!W86*LN(H86)</f>
        <v>1.5375509784807264</v>
      </c>
      <c r="J86" s="6">
        <f>-ACE_Input!X86*LN(H86)</f>
        <v>4.6126529354421795</v>
      </c>
      <c r="K86" s="6">
        <f>ACE_Input!U86</f>
        <v>300</v>
      </c>
      <c r="L86" s="6">
        <f>K86*ACE_Input!V86</f>
        <v>75</v>
      </c>
    </row>
    <row r="87" spans="1:12" x14ac:dyDescent="0.2">
      <c r="A87">
        <f>1</f>
        <v>1</v>
      </c>
      <c r="B87">
        <f>ACE_Input!A87</f>
        <v>82</v>
      </c>
      <c r="C87" s="6">
        <f>MOD(Settings!$B$17*(C86),Settings!$B$18)</f>
        <v>2012999</v>
      </c>
      <c r="D87" s="6">
        <f>MAX(C87,1)/Settings!$B$18</f>
        <v>9.373757061256914E-4</v>
      </c>
      <c r="E87" s="6">
        <f t="shared" si="2"/>
        <v>5</v>
      </c>
      <c r="F87" s="6">
        <f>ACE_Input!D87</f>
        <v>559</v>
      </c>
      <c r="G87" s="6">
        <f>MOD(Settings!$B$17*(G86),Settings!$B$18)</f>
        <v>725728229</v>
      </c>
      <c r="H87" s="6">
        <f>MAX(G87,1)/Settings!$B$18</f>
        <v>0.33794354150907302</v>
      </c>
      <c r="I87" s="6">
        <f>-ACE_Input!W87*LN(H87)</f>
        <v>4.3395057376269977</v>
      </c>
      <c r="J87" s="6">
        <f>-ACE_Input!X87*LN(H87)</f>
        <v>13.018517212880994</v>
      </c>
      <c r="K87" s="6">
        <f>ACE_Input!U87</f>
        <v>300</v>
      </c>
      <c r="L87" s="6">
        <f>K87*ACE_Input!V87</f>
        <v>75</v>
      </c>
    </row>
    <row r="88" spans="1:12" x14ac:dyDescent="0.2">
      <c r="A88">
        <f>1</f>
        <v>1</v>
      </c>
      <c r="B88">
        <f>ACE_Input!A88</f>
        <v>83</v>
      </c>
      <c r="C88" s="6">
        <f>MOD(Settings!$B$17*(C87),Settings!$B$18)</f>
        <v>1620219488</v>
      </c>
      <c r="D88" s="6">
        <f>MAX(C88,1)/Settings!$B$18</f>
        <v>0.75447349285449528</v>
      </c>
      <c r="E88" s="6">
        <f t="shared" si="2"/>
        <v>5</v>
      </c>
      <c r="F88" s="6">
        <f>ACE_Input!D88</f>
        <v>564</v>
      </c>
      <c r="G88" s="6">
        <f>MOD(Settings!$B$17*(G87),Settings!$B$18)</f>
        <v>1754713490</v>
      </c>
      <c r="H88" s="6">
        <f>MAX(G88,1)/Settings!$B$18</f>
        <v>0.81710214299014872</v>
      </c>
      <c r="I88" s="6">
        <f>-ACE_Input!W88*LN(H88)</f>
        <v>0.80796467966787877</v>
      </c>
      <c r="J88" s="6">
        <f>-ACE_Input!X88*LN(H88)</f>
        <v>2.4238940390036365</v>
      </c>
      <c r="K88" s="6">
        <f>ACE_Input!U88</f>
        <v>300</v>
      </c>
      <c r="L88" s="6">
        <f>K88*ACE_Input!V88</f>
        <v>75</v>
      </c>
    </row>
    <row r="89" spans="1:12" x14ac:dyDescent="0.2">
      <c r="A89">
        <f>1</f>
        <v>1</v>
      </c>
      <c r="B89">
        <f>ACE_Input!A89</f>
        <v>84</v>
      </c>
      <c r="C89" s="6">
        <f>MOD(Settings!$B$17*(C88),Settings!$B$18)</f>
        <v>936290856</v>
      </c>
      <c r="D89" s="6">
        <f>MAX(C89,1)/Settings!$B$18</f>
        <v>0.43599440550245083</v>
      </c>
      <c r="E89" s="6">
        <f t="shared" si="2"/>
        <v>5</v>
      </c>
      <c r="F89" s="6">
        <f>ACE_Input!D89</f>
        <v>569</v>
      </c>
      <c r="G89" s="6">
        <f>MOD(Settings!$B$17*(G88),Settings!$B$18)</f>
        <v>76702179</v>
      </c>
      <c r="H89" s="6">
        <f>MAX(G89,1)/Settings!$B$18</f>
        <v>3.5717235429080778E-2</v>
      </c>
      <c r="I89" s="6">
        <f>-ACE_Input!W89*LN(H89)</f>
        <v>13.328487686285898</v>
      </c>
      <c r="J89" s="6">
        <f>-ACE_Input!X89*LN(H89)</f>
        <v>39.985463058857697</v>
      </c>
      <c r="K89" s="6">
        <f>ACE_Input!U89</f>
        <v>300</v>
      </c>
      <c r="L89" s="6">
        <f>K89*ACE_Input!V89</f>
        <v>75</v>
      </c>
    </row>
    <row r="90" spans="1:12" x14ac:dyDescent="0.2">
      <c r="A90">
        <f>1</f>
        <v>1</v>
      </c>
      <c r="B90">
        <f>ACE_Input!A90</f>
        <v>85</v>
      </c>
      <c r="C90" s="6">
        <f>MOD(Settings!$B$17*(C89),Settings!$B$18)</f>
        <v>1627735223</v>
      </c>
      <c r="D90" s="6">
        <f>MAX(C90,1)/Settings!$B$18</f>
        <v>0.7579732796912888</v>
      </c>
      <c r="E90" s="6">
        <f t="shared" si="2"/>
        <v>5</v>
      </c>
      <c r="F90" s="6">
        <f>ACE_Input!D90</f>
        <v>574</v>
      </c>
      <c r="G90" s="6">
        <f>MOD(Settings!$B$17*(G89),Settings!$B$18)</f>
        <v>643334253</v>
      </c>
      <c r="H90" s="6">
        <f>MAX(G90,1)/Settings!$B$18</f>
        <v>0.29957585656064367</v>
      </c>
      <c r="I90" s="6">
        <f>-ACE_Input!W90*LN(H90)</f>
        <v>4.8215504646595626</v>
      </c>
      <c r="J90" s="6">
        <f>-ACE_Input!X90*LN(H90)</f>
        <v>14.464651393978688</v>
      </c>
      <c r="K90" s="6">
        <f>ACE_Input!U90</f>
        <v>300</v>
      </c>
      <c r="L90" s="6">
        <f>K90*ACE_Input!V90</f>
        <v>75</v>
      </c>
    </row>
    <row r="91" spans="1:12" x14ac:dyDescent="0.2">
      <c r="A91">
        <f>1</f>
        <v>1</v>
      </c>
      <c r="B91">
        <f>ACE_Input!A91</f>
        <v>86</v>
      </c>
      <c r="C91" s="6">
        <f>MOD(Settings!$B$17*(C90),Settings!$B$18)</f>
        <v>551713828</v>
      </c>
      <c r="D91" s="6">
        <f>MAX(C91,1)/Settings!$B$18</f>
        <v>0.2569117714915945</v>
      </c>
      <c r="E91" s="6">
        <f t="shared" si="2"/>
        <v>5</v>
      </c>
      <c r="F91" s="6">
        <f>ACE_Input!D91</f>
        <v>579</v>
      </c>
      <c r="G91" s="6">
        <f>MOD(Settings!$B$17*(G90),Settings!$B$18)</f>
        <v>2086111173</v>
      </c>
      <c r="H91" s="6">
        <f>MAX(G91,1)/Settings!$B$18</f>
        <v>0.97142121473859122</v>
      </c>
      <c r="I91" s="6">
        <f>-ACE_Input!W91*LN(H91)</f>
        <v>0.11598043986057199</v>
      </c>
      <c r="J91" s="6">
        <f>-ACE_Input!X91*LN(H91)</f>
        <v>0.34794131958171598</v>
      </c>
      <c r="K91" s="6">
        <f>ACE_Input!U91</f>
        <v>300</v>
      </c>
      <c r="L91" s="6">
        <f>K91*ACE_Input!V91</f>
        <v>75</v>
      </c>
    </row>
    <row r="92" spans="1:12" x14ac:dyDescent="0.2">
      <c r="A92">
        <f>1</f>
        <v>1</v>
      </c>
      <c r="B92">
        <f>ACE_Input!A92</f>
        <v>87</v>
      </c>
      <c r="C92" s="6">
        <f>MOD(Settings!$B$17*(C91),Settings!$B$18)</f>
        <v>1967403097</v>
      </c>
      <c r="D92" s="6">
        <f>MAX(C92,1)/Settings!$B$18</f>
        <v>0.91614345922886553</v>
      </c>
      <c r="E92" s="6">
        <f t="shared" si="2"/>
        <v>5</v>
      </c>
      <c r="F92" s="6">
        <f>ACE_Input!D92</f>
        <v>584</v>
      </c>
      <c r="G92" s="6">
        <f>MOD(Settings!$B$17*(G91),Settings!$B$18)</f>
        <v>1452463689</v>
      </c>
      <c r="H92" s="6">
        <f>MAX(G92,1)/Settings!$B$18</f>
        <v>0.67635611150244068</v>
      </c>
      <c r="I92" s="6">
        <f>-ACE_Input!W92*LN(H92)</f>
        <v>1.5641421979283203</v>
      </c>
      <c r="J92" s="6">
        <f>-ACE_Input!X92*LN(H92)</f>
        <v>4.692426593784961</v>
      </c>
      <c r="K92" s="6">
        <f>ACE_Input!U92</f>
        <v>300</v>
      </c>
      <c r="L92" s="6">
        <f>K92*ACE_Input!V92</f>
        <v>75</v>
      </c>
    </row>
    <row r="93" spans="1:12" x14ac:dyDescent="0.2">
      <c r="A93">
        <f>1</f>
        <v>1</v>
      </c>
      <c r="B93">
        <f>ACE_Input!A93</f>
        <v>88</v>
      </c>
      <c r="C93" s="6">
        <f>MOD(Settings!$B$17*(C92),Settings!$B$18)</f>
        <v>1338138420</v>
      </c>
      <c r="D93" s="6">
        <f>MAX(C93,1)/Settings!$B$18</f>
        <v>0.62311925954330682</v>
      </c>
      <c r="E93" s="6">
        <f t="shared" si="2"/>
        <v>5</v>
      </c>
      <c r="F93" s="6">
        <f>ACE_Input!D93</f>
        <v>589</v>
      </c>
      <c r="G93" s="6">
        <f>MOD(Settings!$B$17*(G92),Settings!$B$18)</f>
        <v>1110605574</v>
      </c>
      <c r="H93" s="6">
        <f>MAX(G93,1)/Settings!$B$18</f>
        <v>0.51716602152081492</v>
      </c>
      <c r="I93" s="6">
        <f>-ACE_Input!W93*LN(H93)</f>
        <v>2.6375653248990356</v>
      </c>
      <c r="J93" s="6">
        <f>-ACE_Input!X93*LN(H93)</f>
        <v>7.9126959746971064</v>
      </c>
      <c r="K93" s="6">
        <f>ACE_Input!U93</f>
        <v>300</v>
      </c>
      <c r="L93" s="6">
        <f>K93*ACE_Input!V93</f>
        <v>75</v>
      </c>
    </row>
    <row r="94" spans="1:12" x14ac:dyDescent="0.2">
      <c r="A94">
        <f>1</f>
        <v>1</v>
      </c>
      <c r="B94">
        <f>ACE_Input!A94</f>
        <v>89</v>
      </c>
      <c r="C94" s="6">
        <f>MOD(Settings!$B$17*(C93),Settings!$B$18)</f>
        <v>1643673556</v>
      </c>
      <c r="D94" s="6">
        <f>MAX(C94,1)/Settings!$B$18</f>
        <v>0.76539514435706435</v>
      </c>
      <c r="E94" s="6">
        <f t="shared" si="2"/>
        <v>5</v>
      </c>
      <c r="F94" s="6">
        <f>ACE_Input!D94</f>
        <v>594</v>
      </c>
      <c r="G94" s="6">
        <f>MOD(Settings!$B$17*(G93),Settings!$B$18)</f>
        <v>20022494</v>
      </c>
      <c r="H94" s="6">
        <f>MAX(G94,1)/Settings!$B$18</f>
        <v>9.3237003354931722E-3</v>
      </c>
      <c r="I94" s="6">
        <f>-ACE_Input!W94*LN(H94)</f>
        <v>18.700782789502373</v>
      </c>
      <c r="J94" s="6">
        <f>-ACE_Input!X94*LN(H94)</f>
        <v>56.102348368507123</v>
      </c>
      <c r="K94" s="6">
        <f>ACE_Input!U94</f>
        <v>300</v>
      </c>
      <c r="L94" s="6">
        <f>K94*ACE_Input!V94</f>
        <v>75</v>
      </c>
    </row>
    <row r="95" spans="1:12" x14ac:dyDescent="0.2">
      <c r="A95">
        <f>1</f>
        <v>1</v>
      </c>
      <c r="B95">
        <f>ACE_Input!A95</f>
        <v>90</v>
      </c>
      <c r="C95" s="6">
        <f>MOD(Settings!$B$17*(C94),Settings!$B$18)</f>
        <v>2139304331</v>
      </c>
      <c r="D95" s="6">
        <f>MAX(C95,1)/Settings!$B$18</f>
        <v>0.99619120918036963</v>
      </c>
      <c r="E95" s="6">
        <f t="shared" si="2"/>
        <v>5</v>
      </c>
      <c r="F95" s="6">
        <f>ACE_Input!D95</f>
        <v>599</v>
      </c>
      <c r="G95" s="6">
        <f>MOD(Settings!$B$17*(G94),Settings!$B$18)</f>
        <v>1510607726</v>
      </c>
      <c r="H95" s="6">
        <f>MAX(G95,1)/Settings!$B$18</f>
        <v>0.70343153863373753</v>
      </c>
      <c r="I95" s="6">
        <f>-ACE_Input!W95*LN(H95)</f>
        <v>1.4071388901522821</v>
      </c>
      <c r="J95" s="6">
        <f>-ACE_Input!X95*LN(H95)</f>
        <v>4.2214166704568461</v>
      </c>
      <c r="K95" s="6">
        <f>ACE_Input!U95</f>
        <v>300</v>
      </c>
      <c r="L95" s="6">
        <f>K95*ACE_Input!V95</f>
        <v>75</v>
      </c>
    </row>
    <row r="96" spans="1:12" x14ac:dyDescent="0.2">
      <c r="A96">
        <f>1</f>
        <v>1</v>
      </c>
      <c r="B96">
        <f>ACE_Input!A96</f>
        <v>91</v>
      </c>
      <c r="C96" s="6">
        <f>MOD(Settings!$B$17*(C95),Settings!$B$18)</f>
        <v>2116673043</v>
      </c>
      <c r="D96" s="6">
        <f>MAX(C96,1)/Settings!$B$18</f>
        <v>0.98565269447195003</v>
      </c>
      <c r="E96" s="6">
        <f t="shared" si="2"/>
        <v>5</v>
      </c>
      <c r="F96" s="6">
        <f>ACE_Input!D96</f>
        <v>604</v>
      </c>
      <c r="G96" s="6">
        <f>MOD(Settings!$B$17*(G95),Settings!$B$18)</f>
        <v>1232376048</v>
      </c>
      <c r="H96" s="6">
        <f>MAX(G96,1)/Settings!$B$18</f>
        <v>0.57386981722613317</v>
      </c>
      <c r="I96" s="6">
        <f>-ACE_Input!W96*LN(H96)</f>
        <v>2.2214108305720774</v>
      </c>
      <c r="J96" s="6">
        <f>-ACE_Input!X96*LN(H96)</f>
        <v>6.6642324917162323</v>
      </c>
      <c r="K96" s="6">
        <f>ACE_Input!U96</f>
        <v>300</v>
      </c>
      <c r="L96" s="6">
        <f>K96*ACE_Input!V96</f>
        <v>75</v>
      </c>
    </row>
    <row r="97" spans="1:12" x14ac:dyDescent="0.2">
      <c r="A97">
        <f>1</f>
        <v>1</v>
      </c>
      <c r="B97">
        <f>ACE_Input!A97</f>
        <v>92</v>
      </c>
      <c r="C97" s="6">
        <f>MOD(Settings!$B$17*(C96),Settings!$B$18)</f>
        <v>1857221146</v>
      </c>
      <c r="D97" s="6">
        <f>MAX(C97,1)/Settings!$B$18</f>
        <v>0.86483599006423539</v>
      </c>
      <c r="E97" s="6">
        <f t="shared" si="2"/>
        <v>5</v>
      </c>
      <c r="F97" s="6">
        <f>ACE_Input!D97</f>
        <v>609</v>
      </c>
      <c r="G97" s="6">
        <f>MOD(Settings!$B$17*(G96),Settings!$B$18)</f>
        <v>64463421</v>
      </c>
      <c r="H97" s="6">
        <f>MAX(G97,1)/Settings!$B$18</f>
        <v>3.0018119621099029E-2</v>
      </c>
      <c r="I97" s="6">
        <f>-ACE_Input!W97*LN(H97)</f>
        <v>14.023816369107895</v>
      </c>
      <c r="J97" s="6">
        <f>-ACE_Input!X97*LN(H97)</f>
        <v>42.071449107323687</v>
      </c>
      <c r="K97" s="6">
        <f>ACE_Input!U97</f>
        <v>300</v>
      </c>
      <c r="L97" s="6">
        <f>K97*ACE_Input!V97</f>
        <v>75</v>
      </c>
    </row>
    <row r="98" spans="1:12" x14ac:dyDescent="0.2">
      <c r="A98">
        <f>1</f>
        <v>1</v>
      </c>
      <c r="B98">
        <f>ACE_Input!A98</f>
        <v>93</v>
      </c>
      <c r="C98" s="6">
        <f>MOD(Settings!$B$17*(C97),Settings!$B$18)</f>
        <v>640991677</v>
      </c>
      <c r="D98" s="6">
        <f>MAX(C98,1)/Settings!$B$18</f>
        <v>0.29848500960435953</v>
      </c>
      <c r="E98" s="6">
        <f t="shared" si="2"/>
        <v>5</v>
      </c>
      <c r="F98" s="6">
        <f>ACE_Input!D98</f>
        <v>614</v>
      </c>
      <c r="G98" s="6">
        <f>MOD(Settings!$B$17*(G97),Settings!$B$18)</f>
        <v>1104958659</v>
      </c>
      <c r="H98" s="6">
        <f>MAX(G98,1)/Settings!$B$18</f>
        <v>0.51453647181137296</v>
      </c>
      <c r="I98" s="6">
        <f>-ACE_Input!W98*LN(H98)</f>
        <v>2.657955353384283</v>
      </c>
      <c r="J98" s="6">
        <f>-ACE_Input!X98*LN(H98)</f>
        <v>7.973866060152849</v>
      </c>
      <c r="K98" s="6">
        <f>ACE_Input!U98</f>
        <v>300</v>
      </c>
      <c r="L98" s="6">
        <f>K98*ACE_Input!V98</f>
        <v>75</v>
      </c>
    </row>
    <row r="99" spans="1:12" x14ac:dyDescent="0.2">
      <c r="A99">
        <f>1</f>
        <v>1</v>
      </c>
      <c r="B99">
        <f>ACE_Input!A99</f>
        <v>94</v>
      </c>
      <c r="C99" s="6">
        <f>MOD(Settings!$B$17*(C98),Settings!$B$18)</f>
        <v>1369141987</v>
      </c>
      <c r="D99" s="6">
        <f>MAX(C99,1)/Settings!$B$18</f>
        <v>0.6375564204703813</v>
      </c>
      <c r="E99" s="6">
        <f t="shared" si="2"/>
        <v>5</v>
      </c>
      <c r="F99" s="6">
        <f>ACE_Input!D99</f>
        <v>619</v>
      </c>
      <c r="G99" s="6">
        <f>MOD(Settings!$B$17*(G98),Settings!$B$18)</f>
        <v>1749086204</v>
      </c>
      <c r="H99" s="6">
        <f>MAX(G99,1)/Settings!$B$18</f>
        <v>0.81448173374611965</v>
      </c>
      <c r="I99" s="6">
        <f>-ACE_Input!W99*LN(H99)</f>
        <v>0.8208131101258016</v>
      </c>
      <c r="J99" s="6">
        <f>-ACE_Input!X99*LN(H99)</f>
        <v>2.4624393303774048</v>
      </c>
      <c r="K99" s="6">
        <f>ACE_Input!U99</f>
        <v>300</v>
      </c>
      <c r="L99" s="6">
        <f>K99*ACE_Input!V99</f>
        <v>75</v>
      </c>
    </row>
    <row r="100" spans="1:12" x14ac:dyDescent="0.2">
      <c r="A100">
        <f>1</f>
        <v>1</v>
      </c>
      <c r="B100">
        <f>ACE_Input!A100</f>
        <v>95</v>
      </c>
      <c r="C100" s="6">
        <f>MOD(Settings!$B$17*(C99),Settings!$B$18)</f>
        <v>882097904</v>
      </c>
      <c r="D100" s="6">
        <f>MAX(C100,1)/Settings!$B$18</f>
        <v>0.4107588456993731</v>
      </c>
      <c r="E100" s="6">
        <f t="shared" si="2"/>
        <v>5</v>
      </c>
      <c r="F100" s="6">
        <f>ACE_Input!D100</f>
        <v>624</v>
      </c>
      <c r="G100" s="6">
        <f>MOD(Settings!$B$17*(G99),Settings!$B$18)</f>
        <v>2135670492</v>
      </c>
      <c r="H100" s="6">
        <f>MAX(G100,1)/Settings!$B$18</f>
        <v>0.99449907103297253</v>
      </c>
      <c r="I100" s="6">
        <f>-ACE_Input!W100*LN(H100)</f>
        <v>2.2064459172596911E-2</v>
      </c>
      <c r="J100" s="6">
        <f>-ACE_Input!X100*LN(H100)</f>
        <v>6.6193377517790725E-2</v>
      </c>
      <c r="K100" s="6">
        <f>ACE_Input!U100</f>
        <v>300</v>
      </c>
      <c r="L100" s="6">
        <f>K100*ACE_Input!V100</f>
        <v>75</v>
      </c>
    </row>
    <row r="101" spans="1:12" x14ac:dyDescent="0.2">
      <c r="A101">
        <f>1</f>
        <v>1</v>
      </c>
      <c r="B101">
        <f>ACE_Input!A101</f>
        <v>96</v>
      </c>
      <c r="C101" s="6">
        <f>MOD(Settings!$B$17*(C100),Settings!$B$18)</f>
        <v>1339857287</v>
      </c>
      <c r="D101" s="6">
        <f>MAX(C101,1)/Settings!$B$18</f>
        <v>0.62391966936361032</v>
      </c>
      <c r="E101" s="6">
        <f t="shared" si="2"/>
        <v>5</v>
      </c>
      <c r="F101" s="6">
        <f>ACE_Input!D101</f>
        <v>629</v>
      </c>
      <c r="G101" s="6">
        <f>MOD(Settings!$B$17*(G100),Settings!$B$18)</f>
        <v>1172283086</v>
      </c>
      <c r="H101" s="6">
        <f>MAX(G101,1)/Settings!$B$18</f>
        <v>0.54588685117004754</v>
      </c>
      <c r="I101" s="6">
        <f>-ACE_Input!W101*LN(H101)</f>
        <v>2.4213742280084003</v>
      </c>
      <c r="J101" s="6">
        <f>-ACE_Input!X101*LN(H101)</f>
        <v>7.2641226840252013</v>
      </c>
      <c r="K101" s="6">
        <f>ACE_Input!U101</f>
        <v>300</v>
      </c>
      <c r="L101" s="6">
        <f>K101*ACE_Input!V101</f>
        <v>75</v>
      </c>
    </row>
    <row r="102" spans="1:12" x14ac:dyDescent="0.2">
      <c r="A102">
        <f>1</f>
        <v>1</v>
      </c>
      <c r="B102">
        <f>ACE_Input!A102</f>
        <v>97</v>
      </c>
      <c r="C102" s="6">
        <f>MOD(Settings!$B$17*(C101),Settings!$B$18)</f>
        <v>467900167</v>
      </c>
      <c r="D102" s="6">
        <f>MAX(C102,1)/Settings!$B$18</f>
        <v>0.21788299419818585</v>
      </c>
      <c r="E102" s="6">
        <f t="shared" si="2"/>
        <v>5</v>
      </c>
      <c r="F102" s="6">
        <f>ACE_Input!D102</f>
        <v>634</v>
      </c>
      <c r="G102" s="6">
        <f>MOD(Settings!$B$17*(G101),Settings!$B$18)</f>
        <v>1546848824</v>
      </c>
      <c r="H102" s="6">
        <f>MAX(G102,1)/Settings!$B$18</f>
        <v>0.72030761498972196</v>
      </c>
      <c r="I102" s="6">
        <f>-ACE_Input!W102*LN(H102)</f>
        <v>1.312307660692305</v>
      </c>
      <c r="J102" s="6">
        <f>-ACE_Input!X102*LN(H102)</f>
        <v>3.9369229820769149</v>
      </c>
      <c r="K102" s="6">
        <f>ACE_Input!U102</f>
        <v>300</v>
      </c>
      <c r="L102" s="6">
        <f>K102*ACE_Input!V102</f>
        <v>75</v>
      </c>
    </row>
    <row r="103" spans="1:12" x14ac:dyDescent="0.2">
      <c r="A103">
        <f>1</f>
        <v>1</v>
      </c>
      <c r="B103">
        <f>ACE_Input!A103</f>
        <v>98</v>
      </c>
      <c r="C103" s="6">
        <f>MOD(Settings!$B$17*(C102),Settings!$B$18)</f>
        <v>2060475102</v>
      </c>
      <c r="D103" s="6">
        <f>MAX(C103,1)/Settings!$B$18</f>
        <v>0.95948348890965962</v>
      </c>
      <c r="E103" s="6">
        <f t="shared" ref="E103:E105" si="3">F103-F102</f>
        <v>5</v>
      </c>
      <c r="F103" s="6">
        <f>ACE_Input!D103</f>
        <v>639</v>
      </c>
      <c r="G103" s="6">
        <f>MOD(Settings!$B$17*(G102),Settings!$B$18)</f>
        <v>451154386</v>
      </c>
      <c r="H103" s="6">
        <f>MAX(G103,1)/Settings!$B$18</f>
        <v>0.21008513225712122</v>
      </c>
      <c r="I103" s="6">
        <f>-ACE_Input!W103*LN(H103)</f>
        <v>6.240969754852423</v>
      </c>
      <c r="J103" s="6">
        <f>-ACE_Input!X103*LN(H103)</f>
        <v>18.72290926455727</v>
      </c>
      <c r="K103" s="6">
        <f>ACE_Input!U103</f>
        <v>300</v>
      </c>
      <c r="L103" s="6">
        <f>K103*ACE_Input!V103</f>
        <v>75</v>
      </c>
    </row>
    <row r="104" spans="1:12" x14ac:dyDescent="0.2">
      <c r="A104">
        <f>1</f>
        <v>1</v>
      </c>
      <c r="B104">
        <f>ACE_Input!A104</f>
        <v>99</v>
      </c>
      <c r="C104" s="6">
        <f>MOD(Settings!$B$17*(C103),Settings!$B$18)</f>
        <v>83747792</v>
      </c>
      <c r="D104" s="6">
        <f>MAX(C104,1)/Settings!$B$18</f>
        <v>3.8998104650060698E-2</v>
      </c>
      <c r="E104" s="6">
        <f t="shared" si="3"/>
        <v>45</v>
      </c>
      <c r="F104" s="6">
        <f>ACE_Input!D104</f>
        <v>684</v>
      </c>
      <c r="G104" s="6">
        <f>MOD(Settings!$B$17*(G103),Settings!$B$18)</f>
        <v>1934491592</v>
      </c>
      <c r="H104" s="6">
        <f>MAX(G104,1)/Settings!$B$18</f>
        <v>0.90081784543619392</v>
      </c>
      <c r="I104" s="6">
        <f>-ACE_Input!W104*LN(H104)</f>
        <v>0.41780884455988448</v>
      </c>
      <c r="J104" s="6">
        <f>-ACE_Input!X104*LN(H104)</f>
        <v>1.2534265336796535</v>
      </c>
      <c r="K104" s="6">
        <f>ACE_Input!U104</f>
        <v>300</v>
      </c>
      <c r="L104" s="6">
        <f>K104*ACE_Input!V104</f>
        <v>75</v>
      </c>
    </row>
    <row r="105" spans="1:12" x14ac:dyDescent="0.2">
      <c r="A105">
        <f>1</f>
        <v>1</v>
      </c>
      <c r="B105">
        <f>ACE_Input!A105</f>
        <v>100</v>
      </c>
      <c r="C105" s="6">
        <f>MOD(Settings!$B$17*(C104),Settings!$B$18)</f>
        <v>947351359</v>
      </c>
      <c r="D105" s="6">
        <f>MAX(C105,1)/Settings!$B$18</f>
        <v>0.4411448535701003</v>
      </c>
      <c r="E105" s="6">
        <f t="shared" si="3"/>
        <v>5</v>
      </c>
      <c r="F105" s="6">
        <f>ACE_Input!D105</f>
        <v>689</v>
      </c>
      <c r="G105" s="6">
        <f>MOD(Settings!$B$17*(G104),Settings!$B$18)</f>
        <v>97771164</v>
      </c>
      <c r="H105" s="6">
        <f>MAX(G105,1)/Settings!$B$18</f>
        <v>4.5528246111016836E-2</v>
      </c>
      <c r="I105" s="6">
        <f>-ACE_Input!W105*LN(H105)</f>
        <v>12.357689407956707</v>
      </c>
      <c r="J105" s="6">
        <f>-ACE_Input!X105*LN(H105)</f>
        <v>37.073068223870123</v>
      </c>
      <c r="K105" s="6">
        <f>ACE_Input!U105</f>
        <v>300</v>
      </c>
      <c r="L105" s="6">
        <f>K105*ACE_Input!V105</f>
        <v>75</v>
      </c>
    </row>
    <row r="106" spans="1:12" x14ac:dyDescent="0.2">
      <c r="C106" s="6"/>
      <c r="D106" s="6"/>
      <c r="E106" s="6"/>
      <c r="F106" s="6"/>
      <c r="G106" s="6"/>
      <c r="H106" s="6"/>
      <c r="I106" s="6"/>
      <c r="J106" s="6"/>
      <c r="K106" s="6"/>
      <c r="L106" s="6"/>
    </row>
    <row r="107" spans="1:12" x14ac:dyDescent="0.2">
      <c r="C107" s="6"/>
      <c r="D107" s="6"/>
      <c r="E107" s="6"/>
      <c r="F107" s="6"/>
      <c r="G107" s="6"/>
      <c r="H107" s="6"/>
      <c r="I107" s="6"/>
      <c r="J107" s="6"/>
      <c r="K107" s="6"/>
      <c r="L107" s="6"/>
    </row>
    <row r="108" spans="1:12" x14ac:dyDescent="0.2">
      <c r="C108" s="6"/>
      <c r="D108" s="6"/>
      <c r="E108" s="6"/>
      <c r="F108" s="6"/>
      <c r="G108" s="6"/>
      <c r="H108" s="6"/>
      <c r="I108" s="6"/>
      <c r="J108" s="6"/>
      <c r="K108" s="6"/>
      <c r="L108" s="6"/>
    </row>
    <row r="109" spans="1:12" x14ac:dyDescent="0.2">
      <c r="C109" s="6"/>
      <c r="D109" s="6"/>
      <c r="E109" s="6"/>
      <c r="F109" s="6"/>
      <c r="G109" s="6"/>
      <c r="H109" s="6"/>
      <c r="I109" s="6"/>
      <c r="J109" s="6"/>
      <c r="K109" s="6"/>
      <c r="L109" s="6"/>
    </row>
    <row r="110" spans="1:12" x14ac:dyDescent="0.2">
      <c r="C110" s="6"/>
      <c r="D110" s="6"/>
      <c r="E110" s="6"/>
      <c r="F110" s="6"/>
      <c r="G110" s="6"/>
      <c r="H110" s="6"/>
      <c r="I110" s="6"/>
      <c r="J110" s="6"/>
      <c r="K110" s="6"/>
      <c r="L110" s="6"/>
    </row>
    <row r="111" spans="1:12" x14ac:dyDescent="0.2">
      <c r="C111" s="6"/>
      <c r="D111" s="6"/>
      <c r="E111" s="6"/>
      <c r="F111" s="6"/>
      <c r="G111" s="6"/>
      <c r="H111" s="6"/>
      <c r="I111" s="6"/>
      <c r="J111" s="6"/>
      <c r="K111" s="6"/>
      <c r="L111" s="6"/>
    </row>
    <row r="112" spans="1:12" x14ac:dyDescent="0.2">
      <c r="C112" s="6"/>
      <c r="D112" s="6"/>
      <c r="E112" s="6"/>
      <c r="F112" s="6"/>
      <c r="G112" s="6"/>
      <c r="H112" s="6"/>
      <c r="I112" s="6"/>
      <c r="J112" s="6"/>
      <c r="K112" s="6"/>
      <c r="L112" s="6"/>
    </row>
    <row r="113" spans="1:12" x14ac:dyDescent="0.2">
      <c r="C113" s="6"/>
      <c r="D113" s="6"/>
      <c r="E113" s="6"/>
      <c r="F113" s="6"/>
      <c r="G113" s="6"/>
      <c r="H113" s="6"/>
      <c r="I113" s="6"/>
      <c r="J113" s="6"/>
      <c r="K113" s="6"/>
      <c r="L113" s="6"/>
    </row>
    <row r="114" spans="1:12" x14ac:dyDescent="0.2">
      <c r="C114" s="6"/>
      <c r="D114" s="6"/>
      <c r="E114" s="6"/>
      <c r="F114" s="6"/>
      <c r="G114" s="6"/>
      <c r="H114" s="6"/>
      <c r="I114" s="6"/>
      <c r="J114" s="6"/>
      <c r="K114" s="6"/>
      <c r="L114" s="6"/>
    </row>
    <row r="115" spans="1:12" x14ac:dyDescent="0.2">
      <c r="C115" s="6"/>
      <c r="D115" s="6"/>
      <c r="E115" s="6"/>
      <c r="F115" s="6"/>
      <c r="G115" s="6"/>
      <c r="H115" s="6"/>
      <c r="I115" s="6"/>
      <c r="J115" s="6"/>
      <c r="K115" s="6"/>
      <c r="L115" s="6"/>
    </row>
    <row r="116" spans="1:12" x14ac:dyDescent="0.2">
      <c r="C116" s="6"/>
      <c r="D116" s="6"/>
      <c r="E116" s="6"/>
      <c r="F116" s="6"/>
      <c r="G116" s="6"/>
      <c r="H116" s="6"/>
      <c r="I116" s="6"/>
      <c r="J116" s="6"/>
      <c r="K116" s="6"/>
      <c r="L116" s="6"/>
    </row>
    <row r="117" spans="1:12" x14ac:dyDescent="0.2">
      <c r="C117" s="6"/>
      <c r="D117" s="6"/>
      <c r="E117" s="6"/>
      <c r="F117" s="6"/>
      <c r="G117" s="6"/>
      <c r="H117" s="6"/>
      <c r="I117" s="6"/>
      <c r="J117" s="6"/>
      <c r="K117" s="6"/>
      <c r="L117" s="6"/>
    </row>
    <row r="118" spans="1:12" x14ac:dyDescent="0.2">
      <c r="C118" s="6"/>
      <c r="D118" s="6"/>
      <c r="E118" s="6"/>
      <c r="F118" s="6"/>
      <c r="G118" s="6"/>
      <c r="H118" s="6"/>
      <c r="I118" s="6"/>
      <c r="J118" s="6"/>
      <c r="K118" s="6"/>
      <c r="L118" s="6"/>
    </row>
    <row r="119" spans="1:12" x14ac:dyDescent="0.2">
      <c r="C119" s="6"/>
      <c r="D119" s="6"/>
      <c r="E119" s="6"/>
      <c r="F119" s="6"/>
      <c r="G119" s="6"/>
      <c r="H119" s="6"/>
      <c r="I119" s="6"/>
      <c r="J119" s="6"/>
      <c r="K119" s="6"/>
      <c r="L119" s="6"/>
    </row>
    <row r="120" spans="1:12" x14ac:dyDescent="0.2">
      <c r="C120" s="6"/>
      <c r="D120" s="6"/>
      <c r="E120" s="6"/>
      <c r="F120" s="6"/>
      <c r="G120" s="6"/>
      <c r="H120" s="6"/>
      <c r="I120" s="6"/>
      <c r="J120" s="6"/>
      <c r="K120" s="6"/>
      <c r="L120" s="6"/>
    </row>
    <row r="121" spans="1:12" x14ac:dyDescent="0.2">
      <c r="C121" s="6"/>
      <c r="D121" s="6"/>
      <c r="E121" s="6"/>
      <c r="F121" s="6"/>
      <c r="G121" s="6"/>
      <c r="H121" s="6"/>
      <c r="I121" s="6"/>
      <c r="J121" s="6"/>
      <c r="K121" s="6"/>
      <c r="L121" s="6"/>
    </row>
    <row r="122" spans="1:12" x14ac:dyDescent="0.2">
      <c r="C122" s="6"/>
      <c r="D122" s="6"/>
      <c r="E122" s="6"/>
      <c r="F122" s="6"/>
      <c r="G122" s="6"/>
      <c r="H122" s="6"/>
      <c r="I122" s="6"/>
      <c r="J122" s="6"/>
      <c r="K122" s="6"/>
      <c r="L122" s="6"/>
    </row>
    <row r="123" spans="1:12" x14ac:dyDescent="0.2">
      <c r="C123" s="6"/>
      <c r="D123" s="6"/>
      <c r="E123" s="6"/>
      <c r="F123" s="6"/>
      <c r="G123" s="6"/>
      <c r="H123" s="6"/>
      <c r="I123" s="6"/>
      <c r="J123" s="6"/>
      <c r="K123" s="6"/>
      <c r="L123" s="6"/>
    </row>
    <row r="124" spans="1:12" x14ac:dyDescent="0.2">
      <c r="C124" s="6"/>
      <c r="D124" s="6"/>
      <c r="E124" s="6"/>
      <c r="F124" s="6"/>
      <c r="G124" s="6"/>
      <c r="H124" s="6"/>
      <c r="I124" s="6"/>
      <c r="J124" s="6"/>
      <c r="K124" s="6"/>
      <c r="L124" s="6"/>
    </row>
    <row r="125" spans="1:12" x14ac:dyDescent="0.2">
      <c r="C125" s="6"/>
      <c r="D125" s="6"/>
      <c r="E125" s="6"/>
      <c r="F125" s="6"/>
      <c r="G125" s="6"/>
      <c r="H125" s="6"/>
      <c r="I125" s="6"/>
      <c r="J125" s="6"/>
      <c r="K125" s="6"/>
      <c r="L125" s="6"/>
    </row>
    <row r="126" spans="1:12" x14ac:dyDescent="0.2">
      <c r="A126">
        <f>2</f>
        <v>2</v>
      </c>
      <c r="B126">
        <f>ACE_Input!A6</f>
        <v>1</v>
      </c>
      <c r="C126" s="6">
        <f>MOD(Settings!$B$17*(Settings!$B$15+1000*A126),Settings!$B$18)</f>
        <v>241096415</v>
      </c>
      <c r="D126" s="6">
        <f>MAX(C126,1)/Settings!$B$18</f>
        <v>0.11226926702646038</v>
      </c>
      <c r="E126" s="6">
        <f>F126</f>
        <v>2</v>
      </c>
      <c r="F126" s="6">
        <f>ACE_Input!D6</f>
        <v>2</v>
      </c>
      <c r="G126" s="6">
        <f>MOD(Settings!$B$17*(Settings!$B$16+1000*A126),Settings!$B$18)</f>
        <v>946587047</v>
      </c>
      <c r="H126" s="6">
        <f>MAX(G126,1)/Settings!$B$18</f>
        <v>0.44078894306010985</v>
      </c>
      <c r="I126" s="6">
        <f>-ACE_Input!W6*LN(H126)</f>
        <v>3.2767564210398592</v>
      </c>
      <c r="J126" s="6">
        <f>-ACE_Input!X6*LN(H126)</f>
        <v>9.8302692631195772</v>
      </c>
      <c r="K126" s="6">
        <f>ACE_Input!U6</f>
        <v>300</v>
      </c>
      <c r="L126" s="6">
        <f>K126*ACE_Input!V6</f>
        <v>75</v>
      </c>
    </row>
    <row r="127" spans="1:12" x14ac:dyDescent="0.2">
      <c r="A127">
        <f>2</f>
        <v>2</v>
      </c>
      <c r="B127">
        <f>ACE_Input!A7</f>
        <v>2</v>
      </c>
      <c r="C127" s="6">
        <f>MOD(Settings!$B$17*(C126),Settings!$B$18)</f>
        <v>1953288663</v>
      </c>
      <c r="D127" s="6">
        <f>MAX(C127,1)/Settings!$B$18</f>
        <v>0.90957091371974486</v>
      </c>
      <c r="E127" s="6">
        <f t="shared" ref="E127:E158" si="4">F127-F126</f>
        <v>5</v>
      </c>
      <c r="F127" s="6">
        <f>ACE_Input!D7</f>
        <v>7</v>
      </c>
      <c r="G127" s="6">
        <f>MOD(Settings!$B$17*(G126),Settings!$B$18)</f>
        <v>729641953</v>
      </c>
      <c r="H127" s="6">
        <f>MAX(G127,1)/Settings!$B$18</f>
        <v>0.33976601126592887</v>
      </c>
      <c r="I127" s="6">
        <f>-ACE_Input!W7*LN(H127)</f>
        <v>4.317992401803096</v>
      </c>
      <c r="J127" s="6">
        <f>-ACE_Input!X7*LN(H127)</f>
        <v>12.953977205409288</v>
      </c>
      <c r="K127" s="6">
        <f>ACE_Input!U7</f>
        <v>300</v>
      </c>
      <c r="L127" s="6">
        <f>K127*ACE_Input!V7</f>
        <v>75</v>
      </c>
    </row>
    <row r="128" spans="1:12" x14ac:dyDescent="0.2">
      <c r="A128">
        <f>2</f>
        <v>2</v>
      </c>
      <c r="B128">
        <f>ACE_Input!A8</f>
        <v>3</v>
      </c>
      <c r="C128" s="6">
        <f>MOD(Settings!$B$17*(C127),Settings!$B$18)</f>
        <v>340047352</v>
      </c>
      <c r="D128" s="6">
        <f>MAX(C128,1)/Settings!$B$18</f>
        <v>0.15834688775164396</v>
      </c>
      <c r="E128" s="6">
        <f t="shared" si="4"/>
        <v>25</v>
      </c>
      <c r="F128" s="6">
        <f>ACE_Input!D8</f>
        <v>32</v>
      </c>
      <c r="G128" s="6">
        <f>MOD(Settings!$B$17*(G127),Settings!$B$18)</f>
        <v>960679701</v>
      </c>
      <c r="H128" s="6">
        <f>MAX(G128,1)/Settings!$B$18</f>
        <v>0.44735134646638824</v>
      </c>
      <c r="I128" s="6">
        <f>-ACE_Input!W8*LN(H128)</f>
        <v>3.2176439324829142</v>
      </c>
      <c r="J128" s="6">
        <f>-ACE_Input!X8*LN(H128)</f>
        <v>9.6529317974487423</v>
      </c>
      <c r="K128" s="6">
        <f>ACE_Input!U8</f>
        <v>300</v>
      </c>
      <c r="L128" s="6">
        <f>K128*ACE_Input!V8</f>
        <v>75</v>
      </c>
    </row>
    <row r="129" spans="1:12" x14ac:dyDescent="0.2">
      <c r="A129">
        <f>2</f>
        <v>2</v>
      </c>
      <c r="B129">
        <f>ACE_Input!A9</f>
        <v>4</v>
      </c>
      <c r="C129" s="6">
        <f>MOD(Settings!$B$17*(C128),Settings!$B$18)</f>
        <v>721860397</v>
      </c>
      <c r="D129" s="6">
        <f>MAX(C129,1)/Settings!$B$18</f>
        <v>0.33614244188002423</v>
      </c>
      <c r="E129" s="6">
        <f t="shared" si="4"/>
        <v>5</v>
      </c>
      <c r="F129" s="6">
        <f>ACE_Input!D9</f>
        <v>37</v>
      </c>
      <c r="G129" s="6">
        <f>MOD(Settings!$B$17*(G128),Settings!$B$18)</f>
        <v>1361676561</v>
      </c>
      <c r="H129" s="6">
        <f>MAX(G129,1)/Settings!$B$18</f>
        <v>0.63408006058730193</v>
      </c>
      <c r="I129" s="6">
        <f>-ACE_Input!W9*LN(H129)</f>
        <v>1.8223202159540239</v>
      </c>
      <c r="J129" s="6">
        <f>-ACE_Input!X9*LN(H129)</f>
        <v>5.4669606478620718</v>
      </c>
      <c r="K129" s="6">
        <f>ACE_Input!U9</f>
        <v>300</v>
      </c>
      <c r="L129" s="6">
        <f>K129*ACE_Input!V9</f>
        <v>75</v>
      </c>
    </row>
    <row r="130" spans="1:12" x14ac:dyDescent="0.2">
      <c r="A130">
        <f>2</f>
        <v>2</v>
      </c>
      <c r="B130">
        <f>ACE_Input!A10</f>
        <v>5</v>
      </c>
      <c r="C130" s="6">
        <f>MOD(Settings!$B$17*(C129),Settings!$B$18)</f>
        <v>1172570476</v>
      </c>
      <c r="D130" s="6">
        <f>MAX(C130,1)/Settings!$B$18</f>
        <v>0.5460206775674693</v>
      </c>
      <c r="E130" s="6">
        <f t="shared" si="4"/>
        <v>5</v>
      </c>
      <c r="F130" s="6">
        <f>ACE_Input!D10</f>
        <v>42</v>
      </c>
      <c r="G130" s="6">
        <f>MOD(Settings!$B$17*(G129),Settings!$B$18)</f>
        <v>2112218295</v>
      </c>
      <c r="H130" s="6">
        <f>MAX(G130,1)/Settings!$B$18</f>
        <v>0.98357829078267245</v>
      </c>
      <c r="I130" s="6">
        <f>-ACE_Input!W10*LN(H130)</f>
        <v>6.6232160273717242E-2</v>
      </c>
      <c r="J130" s="6">
        <f>-ACE_Input!X10*LN(H130)</f>
        <v>0.19869648082115171</v>
      </c>
      <c r="K130" s="6">
        <f>ACE_Input!U10</f>
        <v>300</v>
      </c>
      <c r="L130" s="6">
        <f>K130*ACE_Input!V10</f>
        <v>75</v>
      </c>
    </row>
    <row r="131" spans="1:12" x14ac:dyDescent="0.2">
      <c r="A131">
        <f>2</f>
        <v>2</v>
      </c>
      <c r="B131">
        <f>ACE_Input!A11</f>
        <v>6</v>
      </c>
      <c r="C131" s="6">
        <f>MOD(Settings!$B$17*(C130),Settings!$B$18)</f>
        <v>2082045260</v>
      </c>
      <c r="D131" s="6">
        <f>MAX(C131,1)/Settings!$B$18</f>
        <v>0.96952787645604832</v>
      </c>
      <c r="E131" s="6">
        <f t="shared" si="4"/>
        <v>5</v>
      </c>
      <c r="F131" s="6">
        <f>ACE_Input!D11</f>
        <v>47</v>
      </c>
      <c r="G131" s="6">
        <f>MOD(Settings!$B$17*(G130),Settings!$B$18)</f>
        <v>715508</v>
      </c>
      <c r="H131" s="6">
        <f>MAX(G131,1)/Settings!$B$18</f>
        <v>3.3318437651413697E-4</v>
      </c>
      <c r="I131" s="6">
        <f>-ACE_Input!W11*LN(H131)</f>
        <v>32.027258151936778</v>
      </c>
      <c r="J131" s="6">
        <f>-ACE_Input!X11*LN(H131)</f>
        <v>96.081774455810333</v>
      </c>
      <c r="K131" s="6">
        <f>ACE_Input!U11</f>
        <v>300</v>
      </c>
      <c r="L131" s="6">
        <f>K131*ACE_Input!V11</f>
        <v>75</v>
      </c>
    </row>
    <row r="132" spans="1:12" x14ac:dyDescent="0.2">
      <c r="A132">
        <f>2</f>
        <v>2</v>
      </c>
      <c r="B132">
        <f>ACE_Input!A12</f>
        <v>7</v>
      </c>
      <c r="C132" s="6">
        <f>MOD(Settings!$B$17*(C131),Settings!$B$18)</f>
        <v>1836140602</v>
      </c>
      <c r="D132" s="6">
        <f>MAX(C132,1)/Settings!$B$18</f>
        <v>0.85501959680347683</v>
      </c>
      <c r="E132" s="6">
        <f t="shared" si="4"/>
        <v>5</v>
      </c>
      <c r="F132" s="6">
        <f>ACE_Input!D12</f>
        <v>52</v>
      </c>
      <c r="G132" s="6">
        <f>MOD(Settings!$B$17*(G131),Settings!$B$18)</f>
        <v>1288124721</v>
      </c>
      <c r="H132" s="6">
        <f>MAX(G132,1)/Settings!$B$18</f>
        <v>0.59982981607310004</v>
      </c>
      <c r="I132" s="6">
        <f>-ACE_Input!W12*LN(H132)</f>
        <v>2.0444372155102224</v>
      </c>
      <c r="J132" s="6">
        <f>-ACE_Input!X12*LN(H132)</f>
        <v>6.1333116465306672</v>
      </c>
      <c r="K132" s="6">
        <f>ACE_Input!U12</f>
        <v>300</v>
      </c>
      <c r="L132" s="6">
        <f>K132*ACE_Input!V12</f>
        <v>75</v>
      </c>
    </row>
    <row r="133" spans="1:12" x14ac:dyDescent="0.2">
      <c r="A133">
        <f>2</f>
        <v>2</v>
      </c>
      <c r="B133">
        <f>ACE_Input!A13</f>
        <v>8</v>
      </c>
      <c r="C133" s="6">
        <f>MOD(Settings!$B$17*(C132),Settings!$B$18)</f>
        <v>675090424</v>
      </c>
      <c r="D133" s="6">
        <f>MAX(C133,1)/Settings!$B$18</f>
        <v>0.31436347603535442</v>
      </c>
      <c r="E133" s="6">
        <f t="shared" si="4"/>
        <v>5</v>
      </c>
      <c r="F133" s="6">
        <f>ACE_Input!D13</f>
        <v>57</v>
      </c>
      <c r="G133" s="6">
        <f>MOD(Settings!$B$17*(G132),Settings!$B$18)</f>
        <v>729540440</v>
      </c>
      <c r="H133" s="6">
        <f>MAX(G133,1)/Settings!$B$18</f>
        <v>0.33971874059164836</v>
      </c>
      <c r="I133" s="6">
        <f>-ACE_Input!W13*LN(H133)</f>
        <v>4.318548949089581</v>
      </c>
      <c r="J133" s="6">
        <f>-ACE_Input!X13*LN(H133)</f>
        <v>12.955646847268742</v>
      </c>
      <c r="K133" s="6">
        <f>ACE_Input!U13</f>
        <v>300</v>
      </c>
      <c r="L133" s="6">
        <f>K133*ACE_Input!V13</f>
        <v>75</v>
      </c>
    </row>
    <row r="134" spans="1:12" x14ac:dyDescent="0.2">
      <c r="A134">
        <f>2</f>
        <v>2</v>
      </c>
      <c r="B134">
        <f>ACE_Input!A14</f>
        <v>9</v>
      </c>
      <c r="C134" s="6">
        <f>MOD(Settings!$B$17*(C133),Settings!$B$18)</f>
        <v>1088649067</v>
      </c>
      <c r="D134" s="6">
        <f>MAX(C134,1)/Settings!$B$18</f>
        <v>0.50694172620165245</v>
      </c>
      <c r="E134" s="6">
        <f t="shared" si="4"/>
        <v>115</v>
      </c>
      <c r="F134" s="6">
        <f>ACE_Input!D14</f>
        <v>172</v>
      </c>
      <c r="G134" s="6">
        <f>MOD(Settings!$B$17*(G133),Settings!$B$18)</f>
        <v>1402034357</v>
      </c>
      <c r="H134" s="6">
        <f>MAX(G134,1)/Settings!$B$18</f>
        <v>0.65287312383431617</v>
      </c>
      <c r="I134" s="6">
        <f>-ACE_Input!W14*LN(H134)</f>
        <v>1.7054898637118387</v>
      </c>
      <c r="J134" s="6">
        <f>-ACE_Input!X14*LN(H134)</f>
        <v>5.116469591135516</v>
      </c>
      <c r="K134" s="6">
        <f>ACE_Input!U14</f>
        <v>300</v>
      </c>
      <c r="L134" s="6">
        <f>K134*ACE_Input!V14</f>
        <v>75</v>
      </c>
    </row>
    <row r="135" spans="1:12" x14ac:dyDescent="0.2">
      <c r="A135">
        <f>2</f>
        <v>2</v>
      </c>
      <c r="B135">
        <f>ACE_Input!A15</f>
        <v>10</v>
      </c>
      <c r="C135" s="6">
        <f>MOD(Settings!$B$17*(C134),Settings!$B$18)</f>
        <v>364196629</v>
      </c>
      <c r="D135" s="6">
        <f>MAX(C135,1)/Settings!$B$18</f>
        <v>0.16959227117225167</v>
      </c>
      <c r="E135" s="6">
        <f t="shared" si="4"/>
        <v>5</v>
      </c>
      <c r="F135" s="6">
        <f>ACE_Input!D15</f>
        <v>177</v>
      </c>
      <c r="G135" s="6">
        <f>MOD(Settings!$B$17*(G134),Settings!$B$18)</f>
        <v>1800863215</v>
      </c>
      <c r="H135" s="6">
        <f>MAX(G135,1)/Settings!$B$18</f>
        <v>0.83859228335255398</v>
      </c>
      <c r="I135" s="6">
        <f>-ACE_Input!W15*LN(H135)</f>
        <v>0.70412258443694242</v>
      </c>
      <c r="J135" s="6">
        <f>-ACE_Input!X15*LN(H135)</f>
        <v>2.1123677533108274</v>
      </c>
      <c r="K135" s="6">
        <f>ACE_Input!U15</f>
        <v>300</v>
      </c>
      <c r="L135" s="6">
        <f>K135*ACE_Input!V15</f>
        <v>75</v>
      </c>
    </row>
    <row r="136" spans="1:12" x14ac:dyDescent="0.2">
      <c r="A136">
        <f>2</f>
        <v>2</v>
      </c>
      <c r="B136">
        <f>ACE_Input!A16</f>
        <v>11</v>
      </c>
      <c r="C136" s="6">
        <f>MOD(Settings!$B$17*(C135),Settings!$B$18)</f>
        <v>724349653</v>
      </c>
      <c r="D136" s="6">
        <f>MAX(C136,1)/Settings!$B$18</f>
        <v>0.33730159203396254</v>
      </c>
      <c r="E136" s="6">
        <f t="shared" si="4"/>
        <v>5</v>
      </c>
      <c r="F136" s="6">
        <f>ACE_Input!D16</f>
        <v>182</v>
      </c>
      <c r="G136" s="6">
        <f>MOD(Settings!$B$17*(G135),Settings!$B$18)</f>
        <v>473533687</v>
      </c>
      <c r="H136" s="6">
        <f>MAX(G136,1)/Settings!$B$18</f>
        <v>0.22050630637468133</v>
      </c>
      <c r="I136" s="6">
        <f>-ACE_Input!W16*LN(H136)</f>
        <v>6.0473159366621099</v>
      </c>
      <c r="J136" s="6">
        <f>-ACE_Input!X16*LN(H136)</f>
        <v>18.14194780998633</v>
      </c>
      <c r="K136" s="6">
        <f>ACE_Input!U16</f>
        <v>300</v>
      </c>
      <c r="L136" s="6">
        <f>K136*ACE_Input!V16</f>
        <v>75</v>
      </c>
    </row>
    <row r="137" spans="1:12" x14ac:dyDescent="0.2">
      <c r="A137">
        <f>2</f>
        <v>2</v>
      </c>
      <c r="B137">
        <f>ACE_Input!A17</f>
        <v>12</v>
      </c>
      <c r="C137" s="6">
        <f>MOD(Settings!$B$17*(C136),Settings!$B$18)</f>
        <v>59823128</v>
      </c>
      <c r="D137" s="6">
        <f>MAX(C137,1)/Settings!$B$18</f>
        <v>2.7857314808227736E-2</v>
      </c>
      <c r="E137" s="6">
        <f t="shared" si="4"/>
        <v>5</v>
      </c>
      <c r="F137" s="6">
        <f>ACE_Input!D17</f>
        <v>187</v>
      </c>
      <c r="G137" s="6">
        <f>MOD(Settings!$B$17*(G136),Settings!$B$18)</f>
        <v>106281627</v>
      </c>
      <c r="H137" s="6">
        <f>MAX(G137,1)/Settings!$B$18</f>
        <v>4.9491239269027133E-2</v>
      </c>
      <c r="I137" s="6">
        <f>-ACE_Input!W17*LN(H137)</f>
        <v>12.023838438140757</v>
      </c>
      <c r="J137" s="6">
        <f>-ACE_Input!X17*LN(H137)</f>
        <v>36.071515314422271</v>
      </c>
      <c r="K137" s="6">
        <f>ACE_Input!U17</f>
        <v>300</v>
      </c>
      <c r="L137" s="6">
        <f>K137*ACE_Input!V17</f>
        <v>75</v>
      </c>
    </row>
    <row r="138" spans="1:12" x14ac:dyDescent="0.2">
      <c r="A138">
        <f>2</f>
        <v>2</v>
      </c>
      <c r="B138">
        <f>ACE_Input!A18</f>
        <v>13</v>
      </c>
      <c r="C138" s="6">
        <f>MOD(Settings!$B$17*(C137),Settings!$B$18)</f>
        <v>424965500</v>
      </c>
      <c r="D138" s="6">
        <f>MAX(C138,1)/Settings!$B$18</f>
        <v>0.19788998188352677</v>
      </c>
      <c r="E138" s="6">
        <f t="shared" si="4"/>
        <v>5</v>
      </c>
      <c r="F138" s="6">
        <f>ACE_Input!D18</f>
        <v>192</v>
      </c>
      <c r="G138" s="6">
        <f>MOD(Settings!$B$17*(G137),Settings!$B$18)</f>
        <v>1716394332</v>
      </c>
      <c r="H138" s="6">
        <f>MAX(G138,1)/Settings!$B$18</f>
        <v>0.79925839453901093</v>
      </c>
      <c r="I138" s="6">
        <f>-ACE_Input!W18*LN(H138)</f>
        <v>0.8962839523079893</v>
      </c>
      <c r="J138" s="6">
        <f>-ACE_Input!X18*LN(H138)</f>
        <v>2.6888518569239679</v>
      </c>
      <c r="K138" s="6">
        <f>ACE_Input!U18</f>
        <v>300</v>
      </c>
      <c r="L138" s="6">
        <f>K138*ACE_Input!V18</f>
        <v>75</v>
      </c>
    </row>
    <row r="139" spans="1:12" x14ac:dyDescent="0.2">
      <c r="A139">
        <f>2</f>
        <v>2</v>
      </c>
      <c r="B139">
        <f>ACE_Input!A19</f>
        <v>14</v>
      </c>
      <c r="C139" s="6">
        <f>MOD(Settings!$B$17*(C138),Settings!$B$18)</f>
        <v>2012032225</v>
      </c>
      <c r="D139" s="6">
        <f>MAX(C139,1)/Settings!$B$18</f>
        <v>0.93692551643444477</v>
      </c>
      <c r="E139" s="6">
        <f t="shared" si="4"/>
        <v>5</v>
      </c>
      <c r="F139" s="6">
        <f>ACE_Input!D19</f>
        <v>197</v>
      </c>
      <c r="G139" s="6">
        <f>MOD(Settings!$B$17*(G138),Settings!$B$18)</f>
        <v>291707773</v>
      </c>
      <c r="H139" s="6">
        <f>MAX(G139,1)/Settings!$B$18</f>
        <v>0.13583701715610783</v>
      </c>
      <c r="I139" s="6">
        <f>-ACE_Input!W19*LN(H139)</f>
        <v>7.9851980606776376</v>
      </c>
      <c r="J139" s="6">
        <f>-ACE_Input!X19*LN(H139)</f>
        <v>23.955594182032911</v>
      </c>
      <c r="K139" s="6">
        <f>ACE_Input!U19</f>
        <v>300</v>
      </c>
      <c r="L139" s="6">
        <f>K139*ACE_Input!V19</f>
        <v>75</v>
      </c>
    </row>
    <row r="140" spans="1:12" x14ac:dyDescent="0.2">
      <c r="A140">
        <f>2</f>
        <v>2</v>
      </c>
      <c r="B140">
        <f>ACE_Input!A20</f>
        <v>15</v>
      </c>
      <c r="C140" s="6">
        <f>MOD(Settings!$B$17*(C139),Settings!$B$18)</f>
        <v>1948099913</v>
      </c>
      <c r="D140" s="6">
        <f>MAX(C140,1)/Settings!$B$18</f>
        <v>0.90715471371410172</v>
      </c>
      <c r="E140" s="6">
        <f t="shared" si="4"/>
        <v>5</v>
      </c>
      <c r="F140" s="6">
        <f>ACE_Input!D20</f>
        <v>202</v>
      </c>
      <c r="G140" s="6">
        <f>MOD(Settings!$B$17*(G139),Settings!$B$18)</f>
        <v>27374710</v>
      </c>
      <c r="H140" s="6">
        <f>MAX(G140,1)/Settings!$B$18</f>
        <v>1.2747342704211987E-2</v>
      </c>
      <c r="I140" s="6">
        <f>-ACE_Input!W20*LN(H140)</f>
        <v>17.44972977782049</v>
      </c>
      <c r="J140" s="6">
        <f>-ACE_Input!X20*LN(H140)</f>
        <v>52.349189333461467</v>
      </c>
      <c r="K140" s="6">
        <f>ACE_Input!U20</f>
        <v>300</v>
      </c>
      <c r="L140" s="6">
        <f>K140*ACE_Input!V20</f>
        <v>75</v>
      </c>
    </row>
    <row r="141" spans="1:12" x14ac:dyDescent="0.2">
      <c r="A141">
        <f>2</f>
        <v>2</v>
      </c>
      <c r="B141">
        <f>ACE_Input!A21</f>
        <v>16</v>
      </c>
      <c r="C141" s="6">
        <f>MOD(Settings!$B$17*(C140),Settings!$B$18)</f>
        <v>1179555629</v>
      </c>
      <c r="D141" s="6">
        <f>MAX(C141,1)/Settings!$B$18</f>
        <v>0.5492733929070055</v>
      </c>
      <c r="E141" s="6">
        <f t="shared" si="4"/>
        <v>5</v>
      </c>
      <c r="F141" s="6">
        <f>ACE_Input!D21</f>
        <v>207</v>
      </c>
      <c r="G141" s="6">
        <f>MOD(Settings!$B$17*(G140),Settings!$B$18)</f>
        <v>525250512</v>
      </c>
      <c r="H141" s="6">
        <f>MAX(G141,1)/Settings!$B$18</f>
        <v>0.24458882969086471</v>
      </c>
      <c r="I141" s="6">
        <f>-ACE_Input!W21*LN(H141)</f>
        <v>5.6327068977192694</v>
      </c>
      <c r="J141" s="6">
        <f>-ACE_Input!X21*LN(H141)</f>
        <v>16.898120693157807</v>
      </c>
      <c r="K141" s="6">
        <f>ACE_Input!U21</f>
        <v>300</v>
      </c>
      <c r="L141" s="6">
        <f>K141*ACE_Input!V21</f>
        <v>75</v>
      </c>
    </row>
    <row r="142" spans="1:12" x14ac:dyDescent="0.2">
      <c r="A142">
        <f>2</f>
        <v>2</v>
      </c>
      <c r="B142">
        <f>ACE_Input!A22</f>
        <v>17</v>
      </c>
      <c r="C142" s="6">
        <f>MOD(Settings!$B$17*(C141),Settings!$B$18)</f>
        <v>1369911146</v>
      </c>
      <c r="D142" s="6">
        <f>MAX(C142,1)/Settings!$B$18</f>
        <v>0.6379145880406325</v>
      </c>
      <c r="E142" s="6">
        <f t="shared" si="4"/>
        <v>5</v>
      </c>
      <c r="F142" s="6">
        <f>ACE_Input!D22</f>
        <v>212</v>
      </c>
      <c r="G142" s="6">
        <f>MOD(Settings!$B$17*(G141),Settings!$B$18)</f>
        <v>1727566014</v>
      </c>
      <c r="H142" s="6">
        <f>MAX(G142,1)/Settings!$B$18</f>
        <v>0.80446061436294602</v>
      </c>
      <c r="I142" s="6">
        <f>-ACE_Input!W22*LN(H142)</f>
        <v>0.87033308165276879</v>
      </c>
      <c r="J142" s="6">
        <f>-ACE_Input!X22*LN(H142)</f>
        <v>2.6109992449583066</v>
      </c>
      <c r="K142" s="6">
        <f>ACE_Input!U22</f>
        <v>300</v>
      </c>
      <c r="L142" s="6">
        <f>K142*ACE_Input!V22</f>
        <v>75</v>
      </c>
    </row>
    <row r="143" spans="1:12" x14ac:dyDescent="0.2">
      <c r="A143">
        <f>2</f>
        <v>2</v>
      </c>
      <c r="B143">
        <f>ACE_Input!A23</f>
        <v>18</v>
      </c>
      <c r="C143" s="6">
        <f>MOD(Settings!$B$17*(C142),Settings!$B$18)</f>
        <v>924451335</v>
      </c>
      <c r="D143" s="6">
        <f>MAX(C143,1)/Settings!$B$18</f>
        <v>0.43048119890991654</v>
      </c>
      <c r="E143" s="6">
        <f t="shared" si="4"/>
        <v>5</v>
      </c>
      <c r="F143" s="6">
        <f>ACE_Input!D23</f>
        <v>217</v>
      </c>
      <c r="G143" s="6">
        <f>MOD(Settings!$B$17*(G142),Settings!$B$18)</f>
        <v>1223089858</v>
      </c>
      <c r="H143" s="6">
        <f>MAX(G143,1)/Settings!$B$18</f>
        <v>0.56954559803453531</v>
      </c>
      <c r="I143" s="6">
        <f>-ACE_Input!W23*LN(H143)</f>
        <v>2.2516657300569412</v>
      </c>
      <c r="J143" s="6">
        <f>-ACE_Input!X23*LN(H143)</f>
        <v>6.7549971901708235</v>
      </c>
      <c r="K143" s="6">
        <f>ACE_Input!U23</f>
        <v>300</v>
      </c>
      <c r="L143" s="6">
        <f>K143*ACE_Input!V23</f>
        <v>75</v>
      </c>
    </row>
    <row r="144" spans="1:12" x14ac:dyDescent="0.2">
      <c r="A144">
        <f>2</f>
        <v>2</v>
      </c>
      <c r="B144">
        <f>ACE_Input!A24</f>
        <v>19</v>
      </c>
      <c r="C144" s="6">
        <f>MOD(Settings!$B$17*(C143),Settings!$B$18)</f>
        <v>209401300</v>
      </c>
      <c r="D144" s="6">
        <f>MAX(C144,1)/Settings!$B$18</f>
        <v>9.7510078967320765E-2</v>
      </c>
      <c r="E144" s="6">
        <f t="shared" si="4"/>
        <v>5</v>
      </c>
      <c r="F144" s="6">
        <f>ACE_Input!D24</f>
        <v>222</v>
      </c>
      <c r="G144" s="6">
        <f>MOD(Settings!$B$17*(G143),Settings!$B$18)</f>
        <v>757774322</v>
      </c>
      <c r="H144" s="6">
        <f>MAX(G144,1)/Settings!$B$18</f>
        <v>0.35286616643558544</v>
      </c>
      <c r="I144" s="6">
        <f>-ACE_Input!W24*LN(H144)</f>
        <v>4.1666657033921464</v>
      </c>
      <c r="J144" s="6">
        <f>-ACE_Input!X24*LN(H144)</f>
        <v>12.499997110176439</v>
      </c>
      <c r="K144" s="6">
        <f>ACE_Input!U24</f>
        <v>300</v>
      </c>
      <c r="L144" s="6">
        <f>K144*ACE_Input!V24</f>
        <v>75</v>
      </c>
    </row>
    <row r="145" spans="1:12" x14ac:dyDescent="0.2">
      <c r="A145">
        <f>2</f>
        <v>2</v>
      </c>
      <c r="B145">
        <f>ACE_Input!A25</f>
        <v>20</v>
      </c>
      <c r="C145" s="6">
        <f>MOD(Settings!$B$17*(C144),Settings!$B$18)</f>
        <v>1829435314</v>
      </c>
      <c r="D145" s="6">
        <f>MAX(C145,1)/Settings!$B$18</f>
        <v>0.85189720376017375</v>
      </c>
      <c r="E145" s="6">
        <f t="shared" si="4"/>
        <v>5</v>
      </c>
      <c r="F145" s="6">
        <f>ACE_Input!D25</f>
        <v>227</v>
      </c>
      <c r="G145" s="6">
        <f>MOD(Settings!$B$17*(G144),Settings!$B$18)</f>
        <v>1335003144</v>
      </c>
      <c r="H145" s="6">
        <f>MAX(G145,1)/Settings!$B$18</f>
        <v>0.62165928288440186</v>
      </c>
      <c r="I145" s="6">
        <f>-ACE_Input!W25*LN(H145)</f>
        <v>1.9014524521624507</v>
      </c>
      <c r="J145" s="6">
        <f>-ACE_Input!X25*LN(H145)</f>
        <v>5.7043573564873524</v>
      </c>
      <c r="K145" s="6">
        <f>ACE_Input!U25</f>
        <v>300</v>
      </c>
      <c r="L145" s="6">
        <f>K145*ACE_Input!V25</f>
        <v>75</v>
      </c>
    </row>
    <row r="146" spans="1:12" x14ac:dyDescent="0.2">
      <c r="A146">
        <f>2</f>
        <v>2</v>
      </c>
      <c r="B146">
        <f>ACE_Input!A26</f>
        <v>21</v>
      </c>
      <c r="C146" s="6">
        <f>MOD(Settings!$B$17*(C145),Settings!$B$18)</f>
        <v>1795948299</v>
      </c>
      <c r="D146" s="6">
        <f>MAX(C146,1)/Settings!$B$18</f>
        <v>0.83630359723991887</v>
      </c>
      <c r="E146" s="6">
        <f t="shared" si="4"/>
        <v>5</v>
      </c>
      <c r="F146" s="6">
        <f>ACE_Input!D26</f>
        <v>232</v>
      </c>
      <c r="G146" s="6">
        <f>MOD(Settings!$B$17*(G145),Settings!$B$18)</f>
        <v>488697352</v>
      </c>
      <c r="H146" s="6">
        <f>MAX(G146,1)/Settings!$B$18</f>
        <v>0.22756743814217273</v>
      </c>
      <c r="I146" s="6">
        <f>-ACE_Input!W26*LN(H146)</f>
        <v>5.9212346124962849</v>
      </c>
      <c r="J146" s="6">
        <f>-ACE_Input!X26*LN(H146)</f>
        <v>17.763703837488855</v>
      </c>
      <c r="K146" s="6">
        <f>ACE_Input!U26</f>
        <v>300</v>
      </c>
      <c r="L146" s="6">
        <f>K146*ACE_Input!V26</f>
        <v>75</v>
      </c>
    </row>
    <row r="147" spans="1:12" x14ac:dyDescent="0.2">
      <c r="A147">
        <f>2</f>
        <v>2</v>
      </c>
      <c r="B147">
        <f>ACE_Input!A27</f>
        <v>22</v>
      </c>
      <c r="C147" s="6">
        <f>MOD(Settings!$B$17*(C146),Settings!$B$18)</f>
        <v>1620402708</v>
      </c>
      <c r="D147" s="6">
        <f>MAX(C147,1)/Settings!$B$18</f>
        <v>0.75455881131559555</v>
      </c>
      <c r="E147" s="6">
        <f t="shared" si="4"/>
        <v>5</v>
      </c>
      <c r="F147" s="6">
        <f>ACE_Input!D27</f>
        <v>237</v>
      </c>
      <c r="G147" s="6">
        <f>MOD(Settings!$B$17*(G146),Settings!$B$18)</f>
        <v>1558928936</v>
      </c>
      <c r="H147" s="6">
        <f>MAX(G147,1)/Settings!$B$18</f>
        <v>0.72593285549708308</v>
      </c>
      <c r="I147" s="6">
        <f>-ACE_Input!W27*LN(H147)</f>
        <v>1.2811910159024009</v>
      </c>
      <c r="J147" s="6">
        <f>-ACE_Input!X27*LN(H147)</f>
        <v>3.8435730477072028</v>
      </c>
      <c r="K147" s="6">
        <f>ACE_Input!U27</f>
        <v>300</v>
      </c>
      <c r="L147" s="6">
        <f>K147*ACE_Input!V27</f>
        <v>75</v>
      </c>
    </row>
    <row r="148" spans="1:12" x14ac:dyDescent="0.2">
      <c r="A148">
        <f>2</f>
        <v>2</v>
      </c>
      <c r="B148">
        <f>ACE_Input!A28</f>
        <v>23</v>
      </c>
      <c r="C148" s="6">
        <f>MOD(Settings!$B$17*(C147),Settings!$B$18)</f>
        <v>1868185749</v>
      </c>
      <c r="D148" s="6">
        <f>MAX(C148,1)/Settings!$B$18</f>
        <v>0.86994178121441124</v>
      </c>
      <c r="E148" s="6">
        <f t="shared" si="4"/>
        <v>5</v>
      </c>
      <c r="F148" s="6">
        <f>ACE_Input!D28</f>
        <v>242</v>
      </c>
      <c r="G148" s="6">
        <f>MOD(Settings!$B$17*(G147),Settings!$B$18)</f>
        <v>1618133952</v>
      </c>
      <c r="H148" s="6">
        <f>MAX(G148,1)/Settings!$B$18</f>
        <v>0.75350233947555645</v>
      </c>
      <c r="I148" s="6">
        <f>-ACE_Input!W28*LN(H148)</f>
        <v>1.1320926244351432</v>
      </c>
      <c r="J148" s="6">
        <f>-ACE_Input!X28*LN(H148)</f>
        <v>3.3962778733054297</v>
      </c>
      <c r="K148" s="6">
        <f>ACE_Input!U28</f>
        <v>300</v>
      </c>
      <c r="L148" s="6">
        <f>K148*ACE_Input!V28</f>
        <v>75</v>
      </c>
    </row>
    <row r="149" spans="1:12" x14ac:dyDescent="0.2">
      <c r="A149">
        <f>2</f>
        <v>2</v>
      </c>
      <c r="B149">
        <f>ACE_Input!A29</f>
        <v>24</v>
      </c>
      <c r="C149" s="6">
        <f>MOD(Settings!$B$17*(C148),Settings!$B$18)</f>
        <v>239480656</v>
      </c>
      <c r="D149" s="6">
        <f>MAX(C149,1)/Settings!$B$18</f>
        <v>0.11151687061019096</v>
      </c>
      <c r="E149" s="6">
        <f t="shared" si="4"/>
        <v>5</v>
      </c>
      <c r="F149" s="6">
        <f>ACE_Input!D29</f>
        <v>247</v>
      </c>
      <c r="G149" s="6">
        <f>MOD(Settings!$B$17*(G148),Settings!$B$18)</f>
        <v>244425656</v>
      </c>
      <c r="H149" s="6">
        <f>MAX(G149,1)/Settings!$B$18</f>
        <v>0.11381956567700001</v>
      </c>
      <c r="I149" s="6">
        <f>-ACE_Input!W29*LN(H149)</f>
        <v>8.6925633667615365</v>
      </c>
      <c r="J149" s="6">
        <f>-ACE_Input!X29*LN(H149)</f>
        <v>26.07769010028461</v>
      </c>
      <c r="K149" s="6">
        <f>ACE_Input!U29</f>
        <v>300</v>
      </c>
      <c r="L149" s="6">
        <f>K149*ACE_Input!V29</f>
        <v>75</v>
      </c>
    </row>
    <row r="150" spans="1:12" x14ac:dyDescent="0.2">
      <c r="A150">
        <f>2</f>
        <v>2</v>
      </c>
      <c r="B150">
        <f>ACE_Input!A30</f>
        <v>25</v>
      </c>
      <c r="C150" s="6">
        <f>MOD(Settings!$B$17*(C149),Settings!$B$18)</f>
        <v>567030914</v>
      </c>
      <c r="D150" s="6">
        <f>MAX(C150,1)/Settings!$B$18</f>
        <v>0.26404434547947925</v>
      </c>
      <c r="E150" s="6">
        <f t="shared" si="4"/>
        <v>5</v>
      </c>
      <c r="F150" s="6">
        <f>ACE_Input!D30</f>
        <v>252</v>
      </c>
      <c r="G150" s="6">
        <f>MOD(Settings!$B$17*(G149),Settings!$B$18)</f>
        <v>2073267328</v>
      </c>
      <c r="H150" s="6">
        <f>MAX(G150,1)/Settings!$B$18</f>
        <v>0.96544033333912505</v>
      </c>
      <c r="I150" s="6">
        <f>-ACE_Input!W30*LN(H150)</f>
        <v>0.1406839109591394</v>
      </c>
      <c r="J150" s="6">
        <f>-ACE_Input!X30*LN(H150)</f>
        <v>0.42205173287741821</v>
      </c>
      <c r="K150" s="6">
        <f>ACE_Input!U30</f>
        <v>300</v>
      </c>
      <c r="L150" s="6">
        <f>K150*ACE_Input!V30</f>
        <v>75</v>
      </c>
    </row>
    <row r="151" spans="1:12" x14ac:dyDescent="0.2">
      <c r="A151">
        <f>2</f>
        <v>2</v>
      </c>
      <c r="B151">
        <f>ACE_Input!A31</f>
        <v>26</v>
      </c>
      <c r="C151" s="6">
        <f>MOD(Settings!$B$17*(C150),Settings!$B$18)</f>
        <v>1703629859</v>
      </c>
      <c r="D151" s="6">
        <f>MAX(C151,1)/Settings!$B$18</f>
        <v>0.79331447360725815</v>
      </c>
      <c r="E151" s="6">
        <f t="shared" si="4"/>
        <v>5</v>
      </c>
      <c r="F151" s="6">
        <f>ACE_Input!D31</f>
        <v>257</v>
      </c>
      <c r="G151" s="6">
        <f>MOD(Settings!$B$17*(G150),Settings!$B$18)</f>
        <v>334325474</v>
      </c>
      <c r="H151" s="6">
        <f>MAX(G151,1)/Settings!$B$18</f>
        <v>0.1556824306751054</v>
      </c>
      <c r="I151" s="6">
        <f>-ACE_Input!W31*LN(H151)</f>
        <v>7.4397481895536632</v>
      </c>
      <c r="J151" s="6">
        <f>-ACE_Input!X31*LN(H151)</f>
        <v>22.319244568660991</v>
      </c>
      <c r="K151" s="6">
        <f>ACE_Input!U31</f>
        <v>300</v>
      </c>
      <c r="L151" s="6">
        <f>K151*ACE_Input!V31</f>
        <v>75</v>
      </c>
    </row>
    <row r="152" spans="1:12" x14ac:dyDescent="0.2">
      <c r="A152">
        <f>2</f>
        <v>2</v>
      </c>
      <c r="B152">
        <f>ACE_Input!A32</f>
        <v>27</v>
      </c>
      <c r="C152" s="6">
        <f>MOD(Settings!$B$17*(C151),Settings!$B$18)</f>
        <v>507574762</v>
      </c>
      <c r="D152" s="6">
        <f>MAX(C152,1)/Settings!$B$18</f>
        <v>0.23635791718790211</v>
      </c>
      <c r="E152" s="6">
        <f t="shared" si="4"/>
        <v>5</v>
      </c>
      <c r="F152" s="6">
        <f>ACE_Input!D32</f>
        <v>262</v>
      </c>
      <c r="G152" s="6">
        <f>MOD(Settings!$B$17*(G151),Settings!$B$18)</f>
        <v>1191020966</v>
      </c>
      <c r="H152" s="6">
        <f>MAX(G152,1)/Settings!$B$18</f>
        <v>0.55461235649632867</v>
      </c>
      <c r="I152" s="6">
        <f>-ACE_Input!W32*LN(H152)</f>
        <v>2.3579434641345514</v>
      </c>
      <c r="J152" s="6">
        <f>-ACE_Input!X32*LN(H152)</f>
        <v>7.0738303924036536</v>
      </c>
      <c r="K152" s="6">
        <f>ACE_Input!U32</f>
        <v>300</v>
      </c>
      <c r="L152" s="6">
        <f>K152*ACE_Input!V32</f>
        <v>75</v>
      </c>
    </row>
    <row r="153" spans="1:12" x14ac:dyDescent="0.2">
      <c r="A153">
        <f>2</f>
        <v>2</v>
      </c>
      <c r="B153">
        <f>ACE_Input!A33</f>
        <v>28</v>
      </c>
      <c r="C153" s="6">
        <f>MOD(Settings!$B$17*(C152),Settings!$B$18)</f>
        <v>1003979050</v>
      </c>
      <c r="D153" s="6">
        <f>MAX(C153,1)/Settings!$B$18</f>
        <v>0.46751417707070436</v>
      </c>
      <c r="E153" s="6">
        <f t="shared" si="4"/>
        <v>6</v>
      </c>
      <c r="F153" s="6">
        <f>ACE_Input!D33</f>
        <v>268</v>
      </c>
      <c r="G153" s="6">
        <f>MOD(Settings!$B$17*(G152),Settings!$B$18)</f>
        <v>794301875</v>
      </c>
      <c r="H153" s="6">
        <f>MAX(G153,1)/Settings!$B$18</f>
        <v>0.36987563379568777</v>
      </c>
      <c r="I153" s="6">
        <f>-ACE_Input!W33*LN(H153)</f>
        <v>3.9783538188920575</v>
      </c>
      <c r="J153" s="6">
        <f>-ACE_Input!X33*LN(H153)</f>
        <v>11.935061456676173</v>
      </c>
      <c r="K153" s="6">
        <f>ACE_Input!U33</f>
        <v>300</v>
      </c>
      <c r="L153" s="6">
        <f>K153*ACE_Input!V33</f>
        <v>75</v>
      </c>
    </row>
    <row r="154" spans="1:12" x14ac:dyDescent="0.2">
      <c r="A154">
        <f>2</f>
        <v>2</v>
      </c>
      <c r="B154">
        <f>ACE_Input!A34</f>
        <v>29</v>
      </c>
      <c r="C154" s="6">
        <f>MOD(Settings!$B$17*(C153),Settings!$B$18)</f>
        <v>1096878871</v>
      </c>
      <c r="D154" s="6">
        <f>MAX(C154,1)/Settings!$B$18</f>
        <v>0.51077402732836741</v>
      </c>
      <c r="E154" s="6">
        <f t="shared" si="4"/>
        <v>5</v>
      </c>
      <c r="F154" s="6">
        <f>ACE_Input!D34</f>
        <v>273</v>
      </c>
      <c r="G154" s="6">
        <f>MOD(Settings!$B$17*(G153),Settings!$B$18)</f>
        <v>1073263373</v>
      </c>
      <c r="H154" s="6">
        <f>MAX(G154,1)/Settings!$B$18</f>
        <v>0.49977720412415322</v>
      </c>
      <c r="I154" s="6">
        <f>-ACE_Input!W34*LN(H154)</f>
        <v>2.7743714864685773</v>
      </c>
      <c r="J154" s="6">
        <f>-ACE_Input!X34*LN(H154)</f>
        <v>8.3231144594057316</v>
      </c>
      <c r="K154" s="6">
        <f>ACE_Input!U34</f>
        <v>300</v>
      </c>
      <c r="L154" s="6">
        <f>K154*ACE_Input!V34</f>
        <v>75</v>
      </c>
    </row>
    <row r="155" spans="1:12" x14ac:dyDescent="0.2">
      <c r="A155">
        <f>2</f>
        <v>2</v>
      </c>
      <c r="B155">
        <f>ACE_Input!A35</f>
        <v>30</v>
      </c>
      <c r="C155" s="6">
        <f>MOD(Settings!$B$17*(C154),Settings!$B$18)</f>
        <v>1243559049</v>
      </c>
      <c r="D155" s="6">
        <f>MAX(C155,1)/Settings!$B$18</f>
        <v>0.57907730787018186</v>
      </c>
      <c r="E155" s="6">
        <f t="shared" si="4"/>
        <v>5</v>
      </c>
      <c r="F155" s="6">
        <f>ACE_Input!D35</f>
        <v>278</v>
      </c>
      <c r="G155" s="6">
        <f>MOD(Settings!$B$17*(G154),Settings!$B$18)</f>
        <v>1622358858</v>
      </c>
      <c r="H155" s="6">
        <f>MAX(G155,1)/Settings!$B$18</f>
        <v>0.7554697146431868</v>
      </c>
      <c r="I155" s="6">
        <f>-ACE_Input!W35*LN(H155)</f>
        <v>1.121662338323415</v>
      </c>
      <c r="J155" s="6">
        <f>-ACE_Input!X35*LN(H155)</f>
        <v>3.3649870149702448</v>
      </c>
      <c r="K155" s="6">
        <f>ACE_Input!U35</f>
        <v>300</v>
      </c>
      <c r="L155" s="6">
        <f>K155*ACE_Input!V35</f>
        <v>75</v>
      </c>
    </row>
    <row r="156" spans="1:12" x14ac:dyDescent="0.2">
      <c r="A156">
        <f>2</f>
        <v>2</v>
      </c>
      <c r="B156">
        <f>ACE_Input!A36</f>
        <v>31</v>
      </c>
      <c r="C156" s="6">
        <f>MOD(Settings!$B$17*(C155),Settings!$B$18)</f>
        <v>1186083939</v>
      </c>
      <c r="D156" s="6">
        <f>MAX(C156,1)/Settings!$B$18</f>
        <v>0.55231337414696502</v>
      </c>
      <c r="E156" s="6">
        <f t="shared" si="4"/>
        <v>5</v>
      </c>
      <c r="F156" s="6">
        <f>ACE_Input!D36</f>
        <v>283</v>
      </c>
      <c r="G156" s="6">
        <f>MOD(Settings!$B$17*(G155),Settings!$B$18)</f>
        <v>385460447</v>
      </c>
      <c r="H156" s="6">
        <f>MAX(G156,1)/Settings!$B$18</f>
        <v>0.17949400803982002</v>
      </c>
      <c r="I156" s="6">
        <f>-ACE_Input!W36*LN(H156)</f>
        <v>6.8704538120189396</v>
      </c>
      <c r="J156" s="6">
        <f>-ACE_Input!X36*LN(H156)</f>
        <v>20.611361436056818</v>
      </c>
      <c r="K156" s="6">
        <f>ACE_Input!U36</f>
        <v>300</v>
      </c>
      <c r="L156" s="6">
        <f>K156*ACE_Input!V36</f>
        <v>75</v>
      </c>
    </row>
    <row r="157" spans="1:12" x14ac:dyDescent="0.2">
      <c r="A157">
        <f>2</f>
        <v>2</v>
      </c>
      <c r="B157">
        <f>ACE_Input!A37</f>
        <v>32</v>
      </c>
      <c r="C157" s="6">
        <f>MOD(Settings!$B$17*(C156),Settings!$B$18)</f>
        <v>1569551319</v>
      </c>
      <c r="D157" s="6">
        <f>MAX(C157,1)/Settings!$B$18</f>
        <v>0.73087928804144231</v>
      </c>
      <c r="E157" s="6">
        <f t="shared" si="4"/>
        <v>5</v>
      </c>
      <c r="F157" s="6">
        <f>ACE_Input!D37</f>
        <v>288</v>
      </c>
      <c r="G157" s="6">
        <f>MOD(Settings!$B$17*(G156),Settings!$B$18)</f>
        <v>1623053377</v>
      </c>
      <c r="H157" s="6">
        <f>MAX(G157,1)/Settings!$B$18</f>
        <v>0.75579312525493703</v>
      </c>
      <c r="I157" s="6">
        <f>-ACE_Input!W37*LN(H157)</f>
        <v>1.1199503363703516</v>
      </c>
      <c r="J157" s="6">
        <f>-ACE_Input!X37*LN(H157)</f>
        <v>3.3598510091110549</v>
      </c>
      <c r="K157" s="6">
        <f>ACE_Input!U37</f>
        <v>300</v>
      </c>
      <c r="L157" s="6">
        <f>K157*ACE_Input!V37</f>
        <v>75</v>
      </c>
    </row>
    <row r="158" spans="1:12" x14ac:dyDescent="0.2">
      <c r="A158">
        <f>2</f>
        <v>2</v>
      </c>
      <c r="B158">
        <f>ACE_Input!A38</f>
        <v>33</v>
      </c>
      <c r="C158" s="6">
        <f>MOD(Settings!$B$17*(C157),Settings!$B$18)</f>
        <v>1907382332</v>
      </c>
      <c r="D158" s="6">
        <f>MAX(C158,1)/Settings!$B$18</f>
        <v>0.88819411252075531</v>
      </c>
      <c r="E158" s="6">
        <f t="shared" si="4"/>
        <v>5</v>
      </c>
      <c r="F158" s="6">
        <f>ACE_Input!D38</f>
        <v>293</v>
      </c>
      <c r="G158" s="6">
        <f>MOD(Settings!$B$17*(G157),Settings!$B$18)</f>
        <v>1320823045</v>
      </c>
      <c r="H158" s="6">
        <f>MAX(G158,1)/Settings!$B$18</f>
        <v>0.61505615972683592</v>
      </c>
      <c r="I158" s="6">
        <f>-ACE_Input!W38*LN(H158)</f>
        <v>1.9441667948629091</v>
      </c>
      <c r="J158" s="6">
        <f>-ACE_Input!X38*LN(H158)</f>
        <v>5.8325003845887275</v>
      </c>
      <c r="K158" s="6">
        <f>ACE_Input!U38</f>
        <v>300</v>
      </c>
      <c r="L158" s="6">
        <f>K158*ACE_Input!V38</f>
        <v>75</v>
      </c>
    </row>
    <row r="159" spans="1:12" x14ac:dyDescent="0.2">
      <c r="A159">
        <f>2</f>
        <v>2</v>
      </c>
      <c r="B159">
        <f>ACE_Input!A39</f>
        <v>34</v>
      </c>
      <c r="C159" s="6">
        <f>MOD(Settings!$B$17*(C158),Settings!$B$18)</f>
        <v>1886455155</v>
      </c>
      <c r="D159" s="6">
        <f>MAX(C159,1)/Settings!$B$18</f>
        <v>0.87844913633468058</v>
      </c>
      <c r="E159" s="6">
        <f t="shared" ref="E159:E190" si="5">F159-F158</f>
        <v>5</v>
      </c>
      <c r="F159" s="6">
        <f>ACE_Input!D39</f>
        <v>298</v>
      </c>
      <c r="G159" s="6">
        <f>MOD(Settings!$B$17*(G158),Settings!$B$18)</f>
        <v>534458276</v>
      </c>
      <c r="H159" s="6">
        <f>MAX(G159,1)/Settings!$B$18</f>
        <v>0.24887652893032716</v>
      </c>
      <c r="I159" s="6">
        <f>-ACE_Input!W39*LN(H159)</f>
        <v>5.5631934930007576</v>
      </c>
      <c r="J159" s="6">
        <f>-ACE_Input!X39*LN(H159)</f>
        <v>16.689580479002274</v>
      </c>
      <c r="K159" s="6">
        <f>ACE_Input!U39</f>
        <v>300</v>
      </c>
      <c r="L159" s="6">
        <f>K159*ACE_Input!V39</f>
        <v>75</v>
      </c>
    </row>
    <row r="160" spans="1:12" x14ac:dyDescent="0.2">
      <c r="A160">
        <f>2</f>
        <v>2</v>
      </c>
      <c r="B160">
        <f>ACE_Input!A40</f>
        <v>35</v>
      </c>
      <c r="C160" s="6">
        <f>MOD(Settings!$B$17*(C159),Settings!$B$18)</f>
        <v>203225777</v>
      </c>
      <c r="D160" s="6">
        <f>MAX(C160,1)/Settings!$B$18</f>
        <v>9.4634376976003118E-2</v>
      </c>
      <c r="E160" s="6">
        <f t="shared" si="5"/>
        <v>5</v>
      </c>
      <c r="F160" s="6">
        <f>ACE_Input!D40</f>
        <v>303</v>
      </c>
      <c r="G160" s="6">
        <f>MOD(Settings!$B$17*(G159),Settings!$B$18)</f>
        <v>1863632978</v>
      </c>
      <c r="H160" s="6">
        <f>MAX(G160,1)/Settings!$B$18</f>
        <v>0.86782173200874668</v>
      </c>
      <c r="I160" s="6">
        <f>-ACE_Input!W40*LN(H160)</f>
        <v>0.56707585313926889</v>
      </c>
      <c r="J160" s="6">
        <f>-ACE_Input!X40*LN(H160)</f>
        <v>1.7012275594178066</v>
      </c>
      <c r="K160" s="6">
        <f>ACE_Input!U40</f>
        <v>300</v>
      </c>
      <c r="L160" s="6">
        <f>K160*ACE_Input!V40</f>
        <v>75</v>
      </c>
    </row>
    <row r="161" spans="1:12" x14ac:dyDescent="0.2">
      <c r="A161">
        <f>2</f>
        <v>2</v>
      </c>
      <c r="B161">
        <f>ACE_Input!A41</f>
        <v>36</v>
      </c>
      <c r="C161" s="6">
        <f>MOD(Settings!$B$17*(C160),Settings!$B$18)</f>
        <v>1116635309</v>
      </c>
      <c r="D161" s="6">
        <f>MAX(C161,1)/Settings!$B$18</f>
        <v>0.51997383568434685</v>
      </c>
      <c r="E161" s="6">
        <f t="shared" si="5"/>
        <v>5</v>
      </c>
      <c r="F161" s="6">
        <f>ACE_Input!D41</f>
        <v>308</v>
      </c>
      <c r="G161" s="6">
        <f>MOD(Settings!$B$17*(G160),Settings!$B$18)</f>
        <v>1030469751</v>
      </c>
      <c r="H161" s="6">
        <f>MAX(G161,1)/Settings!$B$18</f>
        <v>0.47984987100579302</v>
      </c>
      <c r="I161" s="6">
        <f>-ACE_Input!W41*LN(H161)</f>
        <v>2.9371279709618983</v>
      </c>
      <c r="J161" s="6">
        <f>-ACE_Input!X41*LN(H161)</f>
        <v>8.8113839128856952</v>
      </c>
      <c r="K161" s="6">
        <f>ACE_Input!U41</f>
        <v>300</v>
      </c>
      <c r="L161" s="6">
        <f>K161*ACE_Input!V41</f>
        <v>75</v>
      </c>
    </row>
    <row r="162" spans="1:12" x14ac:dyDescent="0.2">
      <c r="A162">
        <f>2</f>
        <v>2</v>
      </c>
      <c r="B162">
        <f>ACE_Input!A42</f>
        <v>37</v>
      </c>
      <c r="C162" s="6">
        <f>MOD(Settings!$B$17*(C161),Settings!$B$18)</f>
        <v>430047230</v>
      </c>
      <c r="D162" s="6">
        <f>MAX(C162,1)/Settings!$B$18</f>
        <v>0.20025634681817905</v>
      </c>
      <c r="E162" s="6">
        <f t="shared" si="5"/>
        <v>5</v>
      </c>
      <c r="F162" s="6">
        <f>ACE_Input!D42</f>
        <v>313</v>
      </c>
      <c r="G162" s="6">
        <f>MOD(Settings!$B$17*(G161),Settings!$B$18)</f>
        <v>1796975649</v>
      </c>
      <c r="H162" s="6">
        <f>MAX(G162,1)/Settings!$B$18</f>
        <v>0.83678199436365719</v>
      </c>
      <c r="I162" s="6">
        <f>-ACE_Input!W42*LN(H162)</f>
        <v>0.71276681261928676</v>
      </c>
      <c r="J162" s="6">
        <f>-ACE_Input!X42*LN(H162)</f>
        <v>2.1383004378578603</v>
      </c>
      <c r="K162" s="6">
        <f>ACE_Input!U42</f>
        <v>300</v>
      </c>
      <c r="L162" s="6">
        <f>K162*ACE_Input!V42</f>
        <v>75</v>
      </c>
    </row>
    <row r="163" spans="1:12" x14ac:dyDescent="0.2">
      <c r="A163">
        <f>2</f>
        <v>2</v>
      </c>
      <c r="B163">
        <f>ACE_Input!A43</f>
        <v>38</v>
      </c>
      <c r="C163" s="6">
        <f>MOD(Settings!$B$17*(C162),Settings!$B$18)</f>
        <v>1521322455</v>
      </c>
      <c r="D163" s="6">
        <f>MAX(C163,1)/Settings!$B$18</f>
        <v>0.70842097313535446</v>
      </c>
      <c r="E163" s="6">
        <f t="shared" si="5"/>
        <v>5</v>
      </c>
      <c r="F163" s="6">
        <f>ACE_Input!D43</f>
        <v>318</v>
      </c>
      <c r="G163" s="6">
        <f>MOD(Settings!$B$17*(G162),Settings!$B$18)</f>
        <v>1707204982</v>
      </c>
      <c r="H163" s="6">
        <f>MAX(G163,1)/Settings!$B$18</f>
        <v>0.79497926998649693</v>
      </c>
      <c r="I163" s="6">
        <f>-ACE_Input!W43*LN(H163)</f>
        <v>0.91775696062583889</v>
      </c>
      <c r="J163" s="6">
        <f>-ACE_Input!X43*LN(H163)</f>
        <v>2.7532708818775165</v>
      </c>
      <c r="K163" s="6">
        <f>ACE_Input!U43</f>
        <v>300</v>
      </c>
      <c r="L163" s="6">
        <f>K163*ACE_Input!V43</f>
        <v>75</v>
      </c>
    </row>
    <row r="164" spans="1:12" x14ac:dyDescent="0.2">
      <c r="A164">
        <f>2</f>
        <v>2</v>
      </c>
      <c r="B164">
        <f>ACE_Input!A44</f>
        <v>39</v>
      </c>
      <c r="C164" s="6">
        <f>MOD(Settings!$B$17*(C163),Settings!$B$18)</f>
        <v>926200003</v>
      </c>
      <c r="D164" s="6">
        <f>MAX(C164,1)/Settings!$B$18</f>
        <v>0.43129548590224959</v>
      </c>
      <c r="E164" s="6">
        <f t="shared" si="5"/>
        <v>5</v>
      </c>
      <c r="F164" s="6">
        <f>ACE_Input!D44</f>
        <v>323</v>
      </c>
      <c r="G164" s="6">
        <f>MOD(Settings!$B$17*(G163),Settings!$B$18)</f>
        <v>465124907</v>
      </c>
      <c r="H164" s="6">
        <f>MAX(G164,1)/Settings!$B$18</f>
        <v>0.21659066305337038</v>
      </c>
      <c r="I164" s="6">
        <f>-ACE_Input!W44*LN(H164)</f>
        <v>6.1189842088314146</v>
      </c>
      <c r="J164" s="6">
        <f>-ACE_Input!X44*LN(H164)</f>
        <v>18.356952626494245</v>
      </c>
      <c r="K164" s="6">
        <f>ACE_Input!U44</f>
        <v>300</v>
      </c>
      <c r="L164" s="6">
        <f>K164*ACE_Input!V44</f>
        <v>75</v>
      </c>
    </row>
    <row r="165" spans="1:12" x14ac:dyDescent="0.2">
      <c r="A165">
        <f>2</f>
        <v>2</v>
      </c>
      <c r="B165">
        <f>ACE_Input!A45</f>
        <v>40</v>
      </c>
      <c r="C165" s="6">
        <f>MOD(Settings!$B$17*(C164),Settings!$B$18)</f>
        <v>1681976965</v>
      </c>
      <c r="D165" s="6">
        <f>MAX(C165,1)/Settings!$B$18</f>
        <v>0.78323155910858488</v>
      </c>
      <c r="E165" s="6">
        <f t="shared" si="5"/>
        <v>5</v>
      </c>
      <c r="F165" s="6">
        <f>ACE_Input!D45</f>
        <v>328</v>
      </c>
      <c r="G165" s="6">
        <f>MOD(Settings!$B$17*(G164),Settings!$B$18)</f>
        <v>513836869</v>
      </c>
      <c r="H165" s="6">
        <f>MAX(G165,1)/Settings!$B$18</f>
        <v>0.2392739379961388</v>
      </c>
      <c r="I165" s="6">
        <f>-ACE_Input!W45*LN(H165)</f>
        <v>5.7205847973353752</v>
      </c>
      <c r="J165" s="6">
        <f>-ACE_Input!X45*LN(H165)</f>
        <v>17.161754392006124</v>
      </c>
      <c r="K165" s="6">
        <f>ACE_Input!U45</f>
        <v>300</v>
      </c>
      <c r="L165" s="6">
        <f>K165*ACE_Input!V45</f>
        <v>75</v>
      </c>
    </row>
    <row r="166" spans="1:12" x14ac:dyDescent="0.2">
      <c r="A166">
        <f>2</f>
        <v>2</v>
      </c>
      <c r="B166">
        <f>ACE_Input!A46</f>
        <v>41</v>
      </c>
      <c r="C166" s="6">
        <f>MOD(Settings!$B$17*(C165),Settings!$B$18)</f>
        <v>1659605294</v>
      </c>
      <c r="D166" s="6">
        <f>MAX(C166,1)/Settings!$B$18</f>
        <v>0.77281393798664866</v>
      </c>
      <c r="E166" s="6">
        <f t="shared" si="5"/>
        <v>5</v>
      </c>
      <c r="F166" s="6">
        <f>ACE_Input!D46</f>
        <v>333</v>
      </c>
      <c r="G166" s="6">
        <f>MOD(Settings!$B$17*(G165),Settings!$B$18)</f>
        <v>1024512696</v>
      </c>
      <c r="H166" s="6">
        <f>MAX(G166,1)/Settings!$B$18</f>
        <v>0.47707590110463832</v>
      </c>
      <c r="I166" s="6">
        <f>-ACE_Input!W46*LN(H166)</f>
        <v>2.960318715758679</v>
      </c>
      <c r="J166" s="6">
        <f>-ACE_Input!X46*LN(H166)</f>
        <v>8.8809561472760379</v>
      </c>
      <c r="K166" s="6">
        <f>ACE_Input!U46</f>
        <v>300</v>
      </c>
      <c r="L166" s="6">
        <f>K166*ACE_Input!V46</f>
        <v>75</v>
      </c>
    </row>
    <row r="167" spans="1:12" x14ac:dyDescent="0.2">
      <c r="A167">
        <f>2</f>
        <v>2</v>
      </c>
      <c r="B167">
        <f>ACE_Input!A47</f>
        <v>42</v>
      </c>
      <c r="C167" s="6">
        <f>MOD(Settings!$B$17*(C166),Settings!$B$18)</f>
        <v>1468569022</v>
      </c>
      <c r="D167" s="6">
        <f>MAX(C167,1)/Settings!$B$18</f>
        <v>0.68385574160323281</v>
      </c>
      <c r="E167" s="6">
        <f t="shared" si="5"/>
        <v>5</v>
      </c>
      <c r="F167" s="6">
        <f>ACE_Input!D47</f>
        <v>338</v>
      </c>
      <c r="G167" s="6">
        <f>MOD(Settings!$B$17*(G166),Settings!$B$18)</f>
        <v>461000026</v>
      </c>
      <c r="H167" s="6">
        <f>MAX(G167,1)/Settings!$B$18</f>
        <v>0.21466986565602472</v>
      </c>
      <c r="I167" s="6">
        <f>-ACE_Input!W47*LN(H167)</f>
        <v>6.15461575813036</v>
      </c>
      <c r="J167" s="6">
        <f>-ACE_Input!X47*LN(H167)</f>
        <v>18.463847274391078</v>
      </c>
      <c r="K167" s="6">
        <f>ACE_Input!U47</f>
        <v>300</v>
      </c>
      <c r="L167" s="6">
        <f>K167*ACE_Input!V47</f>
        <v>75</v>
      </c>
    </row>
    <row r="168" spans="1:12" x14ac:dyDescent="0.2">
      <c r="A168">
        <f>2</f>
        <v>2</v>
      </c>
      <c r="B168">
        <f>ACE_Input!A48</f>
        <v>43</v>
      </c>
      <c r="C168" s="6">
        <f>MOD(Settings!$B$17*(C167),Settings!$B$18)</f>
        <v>1209997783</v>
      </c>
      <c r="D168" s="6">
        <f>MAX(C168,1)/Settings!$B$18</f>
        <v>0.56344912553366699</v>
      </c>
      <c r="E168" s="6">
        <f t="shared" si="5"/>
        <v>5</v>
      </c>
      <c r="F168" s="6">
        <f>ACE_Input!D48</f>
        <v>343</v>
      </c>
      <c r="G168" s="6">
        <f>MOD(Settings!$B$17*(G167),Settings!$B$18)</f>
        <v>2053922253</v>
      </c>
      <c r="H168" s="6">
        <f>MAX(G168,1)/Settings!$B$18</f>
        <v>0.95643208080736553</v>
      </c>
      <c r="I168" s="6">
        <f>-ACE_Input!W48*LN(H168)</f>
        <v>0.1781820026620094</v>
      </c>
      <c r="J168" s="6">
        <f>-ACE_Input!X48*LN(H168)</f>
        <v>0.53454600798602825</v>
      </c>
      <c r="K168" s="6">
        <f>ACE_Input!U48</f>
        <v>300</v>
      </c>
      <c r="L168" s="6">
        <f>K168*ACE_Input!V48</f>
        <v>75</v>
      </c>
    </row>
    <row r="169" spans="1:12" x14ac:dyDescent="0.2">
      <c r="A169">
        <f>2</f>
        <v>2</v>
      </c>
      <c r="B169">
        <f>ACE_Input!A49</f>
        <v>44</v>
      </c>
      <c r="C169" s="6">
        <f>MOD(Settings!$B$17*(C168),Settings!$B$18)</f>
        <v>1910085438</v>
      </c>
      <c r="D169" s="6">
        <f>MAX(C169,1)/Settings!$B$18</f>
        <v>0.88945284434103078</v>
      </c>
      <c r="E169" s="6">
        <f t="shared" si="5"/>
        <v>5</v>
      </c>
      <c r="F169" s="6">
        <f>ACE_Input!D49</f>
        <v>348</v>
      </c>
      <c r="G169" s="6">
        <f>MOD(Settings!$B$17*(G168),Settings!$B$18)</f>
        <v>1619164293</v>
      </c>
      <c r="H169" s="6">
        <f>MAX(G169,1)/Settings!$B$18</f>
        <v>0.75398212939220577</v>
      </c>
      <c r="I169" s="6">
        <f>-ACE_Input!W49*LN(H169)</f>
        <v>1.1295464493056038</v>
      </c>
      <c r="J169" s="6">
        <f>-ACE_Input!X49*LN(H169)</f>
        <v>3.3886393479168113</v>
      </c>
      <c r="K169" s="6">
        <f>ACE_Input!U49</f>
        <v>300</v>
      </c>
      <c r="L169" s="6">
        <f>K169*ACE_Input!V49</f>
        <v>75</v>
      </c>
    </row>
    <row r="170" spans="1:12" x14ac:dyDescent="0.2">
      <c r="A170">
        <f>2</f>
        <v>2</v>
      </c>
      <c r="B170">
        <f>ACE_Input!A50</f>
        <v>45</v>
      </c>
      <c r="C170" s="6">
        <f>MOD(Settings!$B$17*(C169),Settings!$B$18)</f>
        <v>72917463</v>
      </c>
      <c r="D170" s="6">
        <f>MAX(C170,1)/Settings!$B$18</f>
        <v>3.3954839703605903E-2</v>
      </c>
      <c r="E170" s="6">
        <f t="shared" si="5"/>
        <v>6</v>
      </c>
      <c r="F170" s="6">
        <f>ACE_Input!D50</f>
        <v>354</v>
      </c>
      <c r="G170" s="6">
        <f>MOD(Settings!$B$17*(G169),Settings!$B$18)</f>
        <v>381497667</v>
      </c>
      <c r="H170" s="6">
        <f>MAX(G170,1)/Settings!$B$18</f>
        <v>0.17764869480284337</v>
      </c>
      <c r="I170" s="6">
        <f>-ACE_Input!W50*LN(H170)</f>
        <v>6.9117892142270527</v>
      </c>
      <c r="J170" s="6">
        <f>-ACE_Input!X50*LN(H170)</f>
        <v>20.735367642681158</v>
      </c>
      <c r="K170" s="6">
        <f>ACE_Input!U50</f>
        <v>300</v>
      </c>
      <c r="L170" s="6">
        <f>K170*ACE_Input!V50</f>
        <v>75</v>
      </c>
    </row>
    <row r="171" spans="1:12" x14ac:dyDescent="0.2">
      <c r="A171">
        <f>2</f>
        <v>2</v>
      </c>
      <c r="B171">
        <f>ACE_Input!A51</f>
        <v>46</v>
      </c>
      <c r="C171" s="6">
        <f>MOD(Settings!$B$17*(C170),Settings!$B$18)</f>
        <v>1458121851</v>
      </c>
      <c r="D171" s="6">
        <f>MAX(C171,1)/Settings!$B$18</f>
        <v>0.67899089850438332</v>
      </c>
      <c r="E171" s="6">
        <f t="shared" si="5"/>
        <v>5</v>
      </c>
      <c r="F171" s="6">
        <f>ACE_Input!D51</f>
        <v>359</v>
      </c>
      <c r="G171" s="6">
        <f>MOD(Settings!$B$17*(G170),Settings!$B$18)</f>
        <v>1592602974</v>
      </c>
      <c r="H171" s="6">
        <f>MAX(G171,1)/Settings!$B$18</f>
        <v>0.74161355138831475</v>
      </c>
      <c r="I171" s="6">
        <f>-ACE_Input!W51*LN(H171)</f>
        <v>1.1957079668804198</v>
      </c>
      <c r="J171" s="6">
        <f>-ACE_Input!X51*LN(H171)</f>
        <v>3.5871239006412594</v>
      </c>
      <c r="K171" s="6">
        <f>ACE_Input!U51</f>
        <v>300</v>
      </c>
      <c r="L171" s="6">
        <f>K171*ACE_Input!V51</f>
        <v>75</v>
      </c>
    </row>
    <row r="172" spans="1:12" x14ac:dyDescent="0.2">
      <c r="A172">
        <f>2</f>
        <v>2</v>
      </c>
      <c r="B172">
        <f>ACE_Input!A52</f>
        <v>47</v>
      </c>
      <c r="C172" s="6">
        <f>MOD(Settings!$B$17*(C171),Settings!$B$18)</f>
        <v>1718053840</v>
      </c>
      <c r="D172" s="6">
        <f>MAX(C172,1)/Settings!$B$18</f>
        <v>0.80003116317094825</v>
      </c>
      <c r="E172" s="6">
        <f t="shared" si="5"/>
        <v>5</v>
      </c>
      <c r="F172" s="6">
        <f>ACE_Input!D52</f>
        <v>364</v>
      </c>
      <c r="G172" s="6">
        <f>MOD(Settings!$B$17*(G171),Settings!$B$18)</f>
        <v>642007810</v>
      </c>
      <c r="H172" s="6">
        <f>MAX(G172,1)/Settings!$B$18</f>
        <v>0.29895818340543573</v>
      </c>
      <c r="I172" s="6">
        <f>-ACE_Input!W52*LN(H172)</f>
        <v>4.8298062808134725</v>
      </c>
      <c r="J172" s="6">
        <f>-ACE_Input!X52*LN(H172)</f>
        <v>14.489418842440418</v>
      </c>
      <c r="K172" s="6">
        <f>ACE_Input!U52</f>
        <v>300</v>
      </c>
      <c r="L172" s="6">
        <f>K172*ACE_Input!V52</f>
        <v>75</v>
      </c>
    </row>
    <row r="173" spans="1:12" x14ac:dyDescent="0.2">
      <c r="A173">
        <f>2</f>
        <v>2</v>
      </c>
      <c r="B173">
        <f>ACE_Input!A53</f>
        <v>48</v>
      </c>
      <c r="C173" s="6">
        <f>MOD(Settings!$B$17*(C172),Settings!$B$18)</f>
        <v>265771318</v>
      </c>
      <c r="D173" s="6">
        <f>MAX(C173,1)/Settings!$B$18</f>
        <v>0.1237594141269845</v>
      </c>
      <c r="E173" s="6">
        <f t="shared" si="5"/>
        <v>5</v>
      </c>
      <c r="F173" s="6">
        <f>ACE_Input!D53</f>
        <v>369</v>
      </c>
      <c r="G173" s="6">
        <f>MOD(Settings!$B$17*(G172),Settings!$B$18)</f>
        <v>1267420142</v>
      </c>
      <c r="H173" s="6">
        <f>MAX(G173,1)/Settings!$B$18</f>
        <v>0.59018849515830563</v>
      </c>
      <c r="I173" s="6">
        <f>-ACE_Input!W53*LN(H173)</f>
        <v>2.1092532391485528</v>
      </c>
      <c r="J173" s="6">
        <f>-ACE_Input!X53*LN(H173)</f>
        <v>6.3277597174456588</v>
      </c>
      <c r="K173" s="6">
        <f>ACE_Input!U53</f>
        <v>300</v>
      </c>
      <c r="L173" s="6">
        <f>K173*ACE_Input!V53</f>
        <v>75</v>
      </c>
    </row>
    <row r="174" spans="1:12" x14ac:dyDescent="0.2">
      <c r="A174">
        <f>2</f>
        <v>2</v>
      </c>
      <c r="B174">
        <f>ACE_Input!A54</f>
        <v>49</v>
      </c>
      <c r="C174" s="6">
        <f>MOD(Settings!$B$17*(C173),Settings!$B$18)</f>
        <v>52555866</v>
      </c>
      <c r="D174" s="6">
        <f>MAX(C174,1)/Settings!$B$18</f>
        <v>2.4473232228529283E-2</v>
      </c>
      <c r="E174" s="6">
        <f t="shared" si="5"/>
        <v>5</v>
      </c>
      <c r="F174" s="6">
        <f>ACE_Input!D54</f>
        <v>374</v>
      </c>
      <c r="G174" s="6">
        <f>MOD(Settings!$B$17*(G173),Settings!$B$18)</f>
        <v>640032001</v>
      </c>
      <c r="H174" s="6">
        <f>MAX(G174,1)/Settings!$B$18</f>
        <v>0.29803812564259308</v>
      </c>
      <c r="I174" s="6">
        <f>-ACE_Input!W54*LN(H174)</f>
        <v>4.8421354490487527</v>
      </c>
      <c r="J174" s="6">
        <f>-ACE_Input!X54*LN(H174)</f>
        <v>14.526406347146258</v>
      </c>
      <c r="K174" s="6">
        <f>ACE_Input!U54</f>
        <v>300</v>
      </c>
      <c r="L174" s="6">
        <f>K174*ACE_Input!V54</f>
        <v>75</v>
      </c>
    </row>
    <row r="175" spans="1:12" x14ac:dyDescent="0.2">
      <c r="A175">
        <f>2</f>
        <v>2</v>
      </c>
      <c r="B175">
        <f>ACE_Input!A55</f>
        <v>50</v>
      </c>
      <c r="C175" s="6">
        <f>MOD(Settings!$B$17*(C174),Settings!$B$18)</f>
        <v>690660945</v>
      </c>
      <c r="D175" s="6">
        <f>MAX(C175,1)/Settings!$B$18</f>
        <v>0.3216140648916429</v>
      </c>
      <c r="E175" s="6">
        <f t="shared" si="5"/>
        <v>5</v>
      </c>
      <c r="F175" s="6">
        <f>ACE_Input!D55</f>
        <v>379</v>
      </c>
      <c r="G175" s="6">
        <f>MOD(Settings!$B$17*(G174),Settings!$B$18)</f>
        <v>272252984</v>
      </c>
      <c r="H175" s="6">
        <f>MAX(G175,1)/Settings!$B$18</f>
        <v>0.12677767506184878</v>
      </c>
      <c r="I175" s="6">
        <f>-ACE_Input!W55*LN(H175)</f>
        <v>8.261281266644529</v>
      </c>
      <c r="J175" s="6">
        <f>-ACE_Input!X55*LN(H175)</f>
        <v>24.783843799933585</v>
      </c>
      <c r="K175" s="6">
        <f>ACE_Input!U55</f>
        <v>300</v>
      </c>
      <c r="L175" s="6">
        <f>K175*ACE_Input!V55</f>
        <v>75</v>
      </c>
    </row>
    <row r="176" spans="1:12" x14ac:dyDescent="0.2">
      <c r="A176">
        <f>2</f>
        <v>2</v>
      </c>
      <c r="B176">
        <f>ACE_Input!A56</f>
        <v>51</v>
      </c>
      <c r="C176" s="6">
        <f>MOD(Settings!$B$17*(C175),Settings!$B$18)</f>
        <v>789390580</v>
      </c>
      <c r="D176" s="6">
        <f>MAX(C176,1)/Settings!$B$18</f>
        <v>0.36758863384257473</v>
      </c>
      <c r="E176" s="6">
        <f t="shared" si="5"/>
        <v>5</v>
      </c>
      <c r="F176" s="6">
        <f>ACE_Input!D56</f>
        <v>384</v>
      </c>
      <c r="G176" s="6">
        <f>MOD(Settings!$B$17*(G175),Settings!$B$18)</f>
        <v>1615733978</v>
      </c>
      <c r="H176" s="6">
        <f>MAX(G176,1)/Settings!$B$18</f>
        <v>0.75238476449269087</v>
      </c>
      <c r="I176" s="6">
        <f>-ACE_Input!W56*LN(H176)</f>
        <v>1.1380297238901842</v>
      </c>
      <c r="J176" s="6">
        <f>-ACE_Input!X56*LN(H176)</f>
        <v>3.4140891716705526</v>
      </c>
      <c r="K176" s="6">
        <f>ACE_Input!U56</f>
        <v>300</v>
      </c>
      <c r="L176" s="6">
        <f>K176*ACE_Input!V56</f>
        <v>75</v>
      </c>
    </row>
    <row r="177" spans="1:12" x14ac:dyDescent="0.2">
      <c r="A177">
        <f>2</f>
        <v>2</v>
      </c>
      <c r="B177">
        <f>ACE_Input!A57</f>
        <v>52</v>
      </c>
      <c r="C177" s="6">
        <f>MOD(Settings!$B$17*(C176),Settings!$B$18)</f>
        <v>133506894</v>
      </c>
      <c r="D177" s="6">
        <f>MAX(C177,1)/Settings!$B$18</f>
        <v>6.216899215344758E-2</v>
      </c>
      <c r="E177" s="6">
        <f t="shared" si="5"/>
        <v>5</v>
      </c>
      <c r="F177" s="6">
        <f>ACE_Input!D57</f>
        <v>389</v>
      </c>
      <c r="G177" s="6">
        <f>MOD(Settings!$B$17*(G176),Settings!$B$18)</f>
        <v>710251931</v>
      </c>
      <c r="H177" s="6">
        <f>MAX(G177,1)/Settings!$B$18</f>
        <v>0.33073682865627896</v>
      </c>
      <c r="I177" s="6">
        <f>-ACE_Input!W57*LN(H177)</f>
        <v>4.4257291977470716</v>
      </c>
      <c r="J177" s="6">
        <f>-ACE_Input!X57*LN(H177)</f>
        <v>13.277187593241216</v>
      </c>
      <c r="K177" s="6">
        <f>ACE_Input!U57</f>
        <v>300</v>
      </c>
      <c r="L177" s="6">
        <f>K177*ACE_Input!V57</f>
        <v>75</v>
      </c>
    </row>
    <row r="178" spans="1:12" x14ac:dyDescent="0.2">
      <c r="A178">
        <f>2</f>
        <v>2</v>
      </c>
      <c r="B178">
        <f>ACE_Input!A58</f>
        <v>53</v>
      </c>
      <c r="C178" s="6">
        <f>MOD(Settings!$B$17*(C177),Settings!$B$18)</f>
        <v>1877439990</v>
      </c>
      <c r="D178" s="6">
        <f>MAX(C178,1)/Settings!$B$18</f>
        <v>0.87425112299353402</v>
      </c>
      <c r="E178" s="6">
        <f t="shared" si="5"/>
        <v>5</v>
      </c>
      <c r="F178" s="6">
        <f>ACE_Input!D58</f>
        <v>394</v>
      </c>
      <c r="G178" s="6">
        <f>MOD(Settings!$B$17*(G177),Settings!$B$18)</f>
        <v>1490094291</v>
      </c>
      <c r="H178" s="6">
        <f>MAX(G178,1)/Settings!$B$18</f>
        <v>0.69387922608008568</v>
      </c>
      <c r="I178" s="6">
        <f>-ACE_Input!W58*LN(H178)</f>
        <v>1.46182943776314</v>
      </c>
      <c r="J178" s="6">
        <f>-ACE_Input!X58*LN(H178)</f>
        <v>4.3854883132894198</v>
      </c>
      <c r="K178" s="6">
        <f>ACE_Input!U58</f>
        <v>300</v>
      </c>
      <c r="L178" s="6">
        <f>K178*ACE_Input!V58</f>
        <v>75</v>
      </c>
    </row>
    <row r="179" spans="1:12" x14ac:dyDescent="0.2">
      <c r="A179">
        <f>2</f>
        <v>2</v>
      </c>
      <c r="B179">
        <f>ACE_Input!A59</f>
        <v>54</v>
      </c>
      <c r="C179" s="6">
        <f>MOD(Settings!$B$17*(C178),Settings!$B$18)</f>
        <v>1156686559</v>
      </c>
      <c r="D179" s="6">
        <f>MAX(C179,1)/Settings!$B$18</f>
        <v>0.53862415232631566</v>
      </c>
      <c r="E179" s="6">
        <f t="shared" si="5"/>
        <v>5</v>
      </c>
      <c r="F179" s="6">
        <f>ACE_Input!D59</f>
        <v>399</v>
      </c>
      <c r="G179" s="6">
        <f>MOD(Settings!$B$17*(G178),Settings!$B$18)</f>
        <v>60457523</v>
      </c>
      <c r="H179" s="6">
        <f>MAX(G179,1)/Settings!$B$18</f>
        <v>2.8152728000726889E-2</v>
      </c>
      <c r="I179" s="6">
        <f>-ACE_Input!W59*LN(H179)</f>
        <v>14.280444078608712</v>
      </c>
      <c r="J179" s="6">
        <f>-ACE_Input!X59*LN(H179)</f>
        <v>42.841332235826137</v>
      </c>
      <c r="K179" s="6">
        <f>ACE_Input!U59</f>
        <v>300</v>
      </c>
      <c r="L179" s="6">
        <f>K179*ACE_Input!V59</f>
        <v>75</v>
      </c>
    </row>
    <row r="180" spans="1:12" x14ac:dyDescent="0.2">
      <c r="A180">
        <f>2</f>
        <v>2</v>
      </c>
      <c r="B180">
        <f>ACE_Input!A60</f>
        <v>55</v>
      </c>
      <c r="C180" s="6">
        <f>MOD(Settings!$B$17*(C179),Settings!$B$18)</f>
        <v>1409024469</v>
      </c>
      <c r="D180" s="6">
        <f>MAX(C180,1)/Settings!$B$18</f>
        <v>0.65612814838817723</v>
      </c>
      <c r="E180" s="6">
        <f t="shared" si="5"/>
        <v>5</v>
      </c>
      <c r="F180" s="6">
        <f>ACE_Input!D60</f>
        <v>404</v>
      </c>
      <c r="G180" s="6">
        <f>MOD(Settings!$B$17*(G179),Settings!$B$18)</f>
        <v>349824030</v>
      </c>
      <c r="H180" s="6">
        <f>MAX(G180,1)/Settings!$B$18</f>
        <v>0.16289950821683719</v>
      </c>
      <c r="I180" s="6">
        <f>-ACE_Input!W60*LN(H180)</f>
        <v>7.2584871292216615</v>
      </c>
      <c r="J180" s="6">
        <f>-ACE_Input!X60*LN(H180)</f>
        <v>21.775461387664983</v>
      </c>
      <c r="K180" s="6">
        <f>ACE_Input!U60</f>
        <v>300</v>
      </c>
      <c r="L180" s="6">
        <f>K180*ACE_Input!V60</f>
        <v>75</v>
      </c>
    </row>
    <row r="181" spans="1:12" x14ac:dyDescent="0.2">
      <c r="A181">
        <f>2</f>
        <v>2</v>
      </c>
      <c r="B181">
        <f>ACE_Input!A61</f>
        <v>56</v>
      </c>
      <c r="C181" s="6">
        <f>MOD(Settings!$B$17*(C180),Settings!$B$18)</f>
        <v>1172075014</v>
      </c>
      <c r="D181" s="6">
        <f>MAX(C181,1)/Settings!$B$18</f>
        <v>0.54578996009462977</v>
      </c>
      <c r="E181" s="6">
        <f t="shared" si="5"/>
        <v>5</v>
      </c>
      <c r="F181" s="6">
        <f>ACE_Input!D61</f>
        <v>409</v>
      </c>
      <c r="G181" s="6">
        <f>MOD(Settings!$B$17*(G180),Settings!$B$18)</f>
        <v>1829730371</v>
      </c>
      <c r="H181" s="6">
        <f>MAX(G181,1)/Settings!$B$18</f>
        <v>0.85203460038268686</v>
      </c>
      <c r="I181" s="6">
        <f>-ACE_Input!W61*LN(H181)</f>
        <v>0.64051256879846064</v>
      </c>
      <c r="J181" s="6">
        <f>-ACE_Input!X61*LN(H181)</f>
        <v>1.921537706395382</v>
      </c>
      <c r="K181" s="6">
        <f>ACE_Input!U61</f>
        <v>300</v>
      </c>
      <c r="L181" s="6">
        <f>K181*ACE_Input!V61</f>
        <v>75</v>
      </c>
    </row>
    <row r="182" spans="1:12" x14ac:dyDescent="0.2">
      <c r="A182">
        <f>2</f>
        <v>2</v>
      </c>
      <c r="B182">
        <f>ACE_Input!A62</f>
        <v>57</v>
      </c>
      <c r="C182" s="6">
        <f>MOD(Settings!$B$17*(C181),Settings!$B$18)</f>
        <v>197266367</v>
      </c>
      <c r="D182" s="6">
        <f>MAX(C182,1)/Settings!$B$18</f>
        <v>9.1859310442516259E-2</v>
      </c>
      <c r="E182" s="6">
        <f t="shared" si="5"/>
        <v>5</v>
      </c>
      <c r="F182" s="6">
        <f>ACE_Input!D62</f>
        <v>414</v>
      </c>
      <c r="G182" s="6">
        <f>MOD(Settings!$B$17*(G181),Settings!$B$18)</f>
        <v>312520357</v>
      </c>
      <c r="H182" s="6">
        <f>MAX(G182,1)/Settings!$B$18</f>
        <v>0.14552863181826128</v>
      </c>
      <c r="I182" s="6">
        <f>-ACE_Input!W62*LN(H182)</f>
        <v>7.7095297178943483</v>
      </c>
      <c r="J182" s="6">
        <f>-ACE_Input!X62*LN(H182)</f>
        <v>23.128589153683045</v>
      </c>
      <c r="K182" s="6">
        <f>ACE_Input!U62</f>
        <v>300</v>
      </c>
      <c r="L182" s="6">
        <f>K182*ACE_Input!V62</f>
        <v>75</v>
      </c>
    </row>
    <row r="183" spans="1:12" x14ac:dyDescent="0.2">
      <c r="A183">
        <f>2</f>
        <v>2</v>
      </c>
      <c r="B183">
        <f>ACE_Input!A63</f>
        <v>58</v>
      </c>
      <c r="C183" s="6">
        <f>MOD(Settings!$B$17*(C182),Settings!$B$18)</f>
        <v>1888562848</v>
      </c>
      <c r="D183" s="6">
        <f>MAX(C183,1)/Settings!$B$18</f>
        <v>0.87943060737076706</v>
      </c>
      <c r="E183" s="6">
        <f t="shared" si="5"/>
        <v>5</v>
      </c>
      <c r="F183" s="6">
        <f>ACE_Input!D63</f>
        <v>419</v>
      </c>
      <c r="G183" s="6">
        <f>MOD(Settings!$B$17*(G182),Settings!$B$18)</f>
        <v>1932123184</v>
      </c>
      <c r="H183" s="6">
        <f>MAX(G183,1)/Settings!$B$18</f>
        <v>0.89971496951753038</v>
      </c>
      <c r="I183" s="6">
        <f>-ACE_Input!W63*LN(H183)</f>
        <v>0.42270906541643688</v>
      </c>
      <c r="J183" s="6">
        <f>-ACE_Input!X63*LN(H183)</f>
        <v>1.2681271962493106</v>
      </c>
      <c r="K183" s="6">
        <f>ACE_Input!U63</f>
        <v>300</v>
      </c>
      <c r="L183" s="6">
        <f>K183*ACE_Input!V63</f>
        <v>75</v>
      </c>
    </row>
    <row r="184" spans="1:12" x14ac:dyDescent="0.2">
      <c r="A184">
        <f>2</f>
        <v>2</v>
      </c>
      <c r="B184">
        <f>ACE_Input!A64</f>
        <v>59</v>
      </c>
      <c r="C184" s="6">
        <f>MOD(Settings!$B$17*(C183),Settings!$B$18)</f>
        <v>1267483676</v>
      </c>
      <c r="D184" s="6">
        <f>MAX(C184,1)/Settings!$B$18</f>
        <v>0.5902180804825472</v>
      </c>
      <c r="E184" s="6">
        <f t="shared" si="5"/>
        <v>5</v>
      </c>
      <c r="F184" s="6">
        <f>ACE_Input!D64</f>
        <v>424</v>
      </c>
      <c r="G184" s="6">
        <f>MOD(Settings!$B$17*(G183),Settings!$B$18)</f>
        <v>1094127201</v>
      </c>
      <c r="H184" s="6">
        <f>MAX(G184,1)/Settings!$B$18</f>
        <v>0.50949268113332458</v>
      </c>
      <c r="I184" s="6">
        <f>-ACE_Input!W64*LN(H184)</f>
        <v>2.6973591648985722</v>
      </c>
      <c r="J184" s="6">
        <f>-ACE_Input!X64*LN(H184)</f>
        <v>8.092077494695717</v>
      </c>
      <c r="K184" s="6">
        <f>ACE_Input!U64</f>
        <v>300</v>
      </c>
      <c r="L184" s="6">
        <f>K184*ACE_Input!V64</f>
        <v>75</v>
      </c>
    </row>
    <row r="185" spans="1:12" x14ac:dyDescent="0.2">
      <c r="A185">
        <f>2</f>
        <v>2</v>
      </c>
      <c r="B185">
        <f>ACE_Input!A65</f>
        <v>60</v>
      </c>
      <c r="C185" s="6">
        <f>MOD(Settings!$B$17*(C184),Settings!$B$18)</f>
        <v>1707847939</v>
      </c>
      <c r="D185" s="6">
        <f>MAX(C185,1)/Settings!$B$18</f>
        <v>0.79527867017093989</v>
      </c>
      <c r="E185" s="6">
        <f t="shared" si="5"/>
        <v>5</v>
      </c>
      <c r="F185" s="6">
        <f>ACE_Input!D65</f>
        <v>429</v>
      </c>
      <c r="G185" s="6">
        <f>MOD(Settings!$B$17*(G184),Settings!$B$18)</f>
        <v>93397946</v>
      </c>
      <c r="H185" s="6">
        <f>MAX(G185,1)/Settings!$B$18</f>
        <v>4.3491807786511169E-2</v>
      </c>
      <c r="I185" s="6">
        <f>-ACE_Input!W65*LN(H185)</f>
        <v>12.540730741480308</v>
      </c>
      <c r="J185" s="6">
        <f>-ACE_Input!X65*LN(H185)</f>
        <v>37.622192224440923</v>
      </c>
      <c r="K185" s="6">
        <f>ACE_Input!U65</f>
        <v>300</v>
      </c>
      <c r="L185" s="6">
        <f>K185*ACE_Input!V65</f>
        <v>75</v>
      </c>
    </row>
    <row r="186" spans="1:12" x14ac:dyDescent="0.2">
      <c r="A186">
        <f>2</f>
        <v>2</v>
      </c>
      <c r="B186">
        <f>ACE_Input!A66</f>
        <v>61</v>
      </c>
      <c r="C186" s="6">
        <f>MOD(Settings!$B$17*(C185),Settings!$B$18)</f>
        <v>533884971</v>
      </c>
      <c r="D186" s="6">
        <f>MAX(C186,1)/Settings!$B$18</f>
        <v>0.24860956298588288</v>
      </c>
      <c r="E186" s="6">
        <f t="shared" si="5"/>
        <v>5</v>
      </c>
      <c r="F186" s="6">
        <f>ACE_Input!D66</f>
        <v>434</v>
      </c>
      <c r="G186" s="6">
        <f>MOD(Settings!$B$17*(G185),Settings!$B$18)</f>
        <v>2076216112</v>
      </c>
      <c r="H186" s="6">
        <f>MAX(G186,1)/Settings!$B$18</f>
        <v>0.966813467893197</v>
      </c>
      <c r="I186" s="6">
        <f>-ACE_Input!W66*LN(H186)</f>
        <v>0.13499879947184287</v>
      </c>
      <c r="J186" s="6">
        <f>-ACE_Input!X66*LN(H186)</f>
        <v>0.40499639841552859</v>
      </c>
      <c r="K186" s="6">
        <f>ACE_Input!U66</f>
        <v>300</v>
      </c>
      <c r="L186" s="6">
        <f>K186*ACE_Input!V66</f>
        <v>75</v>
      </c>
    </row>
    <row r="187" spans="1:12" x14ac:dyDescent="0.2">
      <c r="A187">
        <f>2</f>
        <v>2</v>
      </c>
      <c r="B187">
        <f>ACE_Input!A67</f>
        <v>62</v>
      </c>
      <c r="C187" s="6">
        <f>MOD(Settings!$B$17*(C186),Settings!$B$18)</f>
        <v>818030431</v>
      </c>
      <c r="D187" s="6">
        <f>MAX(C187,1)/Settings!$B$18</f>
        <v>0.38092510373374683</v>
      </c>
      <c r="E187" s="6">
        <f t="shared" si="5"/>
        <v>5</v>
      </c>
      <c r="F187" s="6">
        <f>ACE_Input!D67</f>
        <v>439</v>
      </c>
      <c r="G187" s="6">
        <f>MOD(Settings!$B$17*(G186),Settings!$B$18)</f>
        <v>502414281</v>
      </c>
      <c r="H187" s="6">
        <f>MAX(G187,1)/Settings!$B$18</f>
        <v>0.23395488096119599</v>
      </c>
      <c r="I187" s="6">
        <f>-ACE_Input!W67*LN(H187)</f>
        <v>5.8105079944842153</v>
      </c>
      <c r="J187" s="6">
        <f>-ACE_Input!X67*LN(H187)</f>
        <v>17.431523983452646</v>
      </c>
      <c r="K187" s="6">
        <f>ACE_Input!U67</f>
        <v>300</v>
      </c>
      <c r="L187" s="6">
        <f>K187*ACE_Input!V67</f>
        <v>75</v>
      </c>
    </row>
    <row r="188" spans="1:12" x14ac:dyDescent="0.2">
      <c r="A188">
        <f>2</f>
        <v>2</v>
      </c>
      <c r="B188">
        <f>ACE_Input!A68</f>
        <v>63</v>
      </c>
      <c r="C188" s="6">
        <f>MOD(Settings!$B$17*(C187),Settings!$B$18)</f>
        <v>447145723</v>
      </c>
      <c r="D188" s="6">
        <f>MAX(C188,1)/Settings!$B$18</f>
        <v>0.20821845308328907</v>
      </c>
      <c r="E188" s="6">
        <f t="shared" si="5"/>
        <v>5</v>
      </c>
      <c r="F188" s="6">
        <f>ACE_Input!D68</f>
        <v>444</v>
      </c>
      <c r="G188" s="6">
        <f>MOD(Settings!$B$17*(G187),Settings!$B$18)</f>
        <v>171120763</v>
      </c>
      <c r="H188" s="6">
        <f>MAX(G188,1)/Settings!$B$18</f>
        <v>7.9684314820768459E-2</v>
      </c>
      <c r="I188" s="6">
        <f>-ACE_Input!W68*LN(H188)</f>
        <v>10.118730061219519</v>
      </c>
      <c r="J188" s="6">
        <f>-ACE_Input!X68*LN(H188)</f>
        <v>30.356190183658558</v>
      </c>
      <c r="K188" s="6">
        <f>ACE_Input!U68</f>
        <v>300</v>
      </c>
      <c r="L188" s="6">
        <f>K188*ACE_Input!V68</f>
        <v>75</v>
      </c>
    </row>
    <row r="189" spans="1:12" x14ac:dyDescent="0.2">
      <c r="A189">
        <f>2</f>
        <v>2</v>
      </c>
      <c r="B189">
        <f>ACE_Input!A69</f>
        <v>64</v>
      </c>
      <c r="C189" s="6">
        <f>MOD(Settings!$B$17*(C188),Settings!$B$18)</f>
        <v>1132885608</v>
      </c>
      <c r="D189" s="6">
        <f>MAX(C189,1)/Settings!$B$18</f>
        <v>0.52754097083934626</v>
      </c>
      <c r="E189" s="6">
        <f t="shared" si="5"/>
        <v>5</v>
      </c>
      <c r="F189" s="6">
        <f>ACE_Input!D69</f>
        <v>449</v>
      </c>
      <c r="G189" s="6">
        <f>MOD(Settings!$B$17*(G188),Settings!$B$18)</f>
        <v>546060408</v>
      </c>
      <c r="H189" s="6">
        <f>MAX(G189,1)/Settings!$B$18</f>
        <v>0.25427919265547727</v>
      </c>
      <c r="I189" s="6">
        <f>-ACE_Input!W69*LN(H189)</f>
        <v>5.4772897277627539</v>
      </c>
      <c r="J189" s="6">
        <f>-ACE_Input!X69*LN(H189)</f>
        <v>16.431869183288264</v>
      </c>
      <c r="K189" s="6">
        <f>ACE_Input!U69</f>
        <v>300</v>
      </c>
      <c r="L189" s="6">
        <f>K189*ACE_Input!V69</f>
        <v>75</v>
      </c>
    </row>
    <row r="190" spans="1:12" x14ac:dyDescent="0.2">
      <c r="A190">
        <f>2</f>
        <v>2</v>
      </c>
      <c r="B190">
        <f>ACE_Input!A70</f>
        <v>65</v>
      </c>
      <c r="C190" s="6">
        <f>MOD(Settings!$B$17*(C189),Settings!$B$18)</f>
        <v>818399354</v>
      </c>
      <c r="D190" s="6">
        <f>MAX(C190,1)/Settings!$B$18</f>
        <v>0.38109689689292425</v>
      </c>
      <c r="E190" s="6">
        <f t="shared" si="5"/>
        <v>5</v>
      </c>
      <c r="F190" s="6">
        <f>ACE_Input!D70</f>
        <v>454</v>
      </c>
      <c r="G190" s="6">
        <f>MOD(Settings!$B$17*(G189),Settings!$B$18)</f>
        <v>1439653625</v>
      </c>
      <c r="H190" s="6">
        <f>MAX(G190,1)/Settings!$B$18</f>
        <v>0.67039096060692838</v>
      </c>
      <c r="I190" s="6">
        <f>-ACE_Input!W70*LN(H190)</f>
        <v>1.5995768539468753</v>
      </c>
      <c r="J190" s="6">
        <f>-ACE_Input!X70*LN(H190)</f>
        <v>4.7987305618406264</v>
      </c>
      <c r="K190" s="6">
        <f>ACE_Input!U70</f>
        <v>300</v>
      </c>
      <c r="L190" s="6">
        <f>K190*ACE_Input!V70</f>
        <v>75</v>
      </c>
    </row>
    <row r="191" spans="1:12" x14ac:dyDescent="0.2">
      <c r="A191">
        <f>2</f>
        <v>2</v>
      </c>
      <c r="B191">
        <f>ACE_Input!A71</f>
        <v>66</v>
      </c>
      <c r="C191" s="6">
        <f>MOD(Settings!$B$17*(C190),Settings!$B$18)</f>
        <v>205183643</v>
      </c>
      <c r="D191" s="6">
        <f>MAX(C191,1)/Settings!$B$18</f>
        <v>9.5546079378363707E-2</v>
      </c>
      <c r="E191" s="6">
        <f t="shared" ref="E191:E222" si="6">F191-F190</f>
        <v>5</v>
      </c>
      <c r="F191" s="6">
        <f>ACE_Input!D71</f>
        <v>459</v>
      </c>
      <c r="G191" s="6">
        <f>MOD(Settings!$B$17*(G190),Settings!$B$18)</f>
        <v>560224626</v>
      </c>
      <c r="H191" s="6">
        <f>MAX(G191,1)/Settings!$B$18</f>
        <v>0.2608749206461361</v>
      </c>
      <c r="I191" s="6">
        <f>-ACE_Input!W71*LN(H191)</f>
        <v>5.3748568710731721</v>
      </c>
      <c r="J191" s="6">
        <f>-ACE_Input!X71*LN(H191)</f>
        <v>16.124570613219518</v>
      </c>
      <c r="K191" s="6">
        <f>ACE_Input!U71</f>
        <v>300</v>
      </c>
      <c r="L191" s="6">
        <f>K191*ACE_Input!V71</f>
        <v>75</v>
      </c>
    </row>
    <row r="192" spans="1:12" x14ac:dyDescent="0.2">
      <c r="A192">
        <f>2</f>
        <v>2</v>
      </c>
      <c r="B192">
        <f>ACE_Input!A72</f>
        <v>67</v>
      </c>
      <c r="C192" s="6">
        <f>MOD(Settings!$B$17*(C191),Settings!$B$18)</f>
        <v>1810234466</v>
      </c>
      <c r="D192" s="6">
        <f>MAX(C192,1)/Settings!$B$18</f>
        <v>0.84295611215892996</v>
      </c>
      <c r="E192" s="6">
        <f t="shared" si="6"/>
        <v>15</v>
      </c>
      <c r="F192" s="6">
        <f>ACE_Input!D72</f>
        <v>474</v>
      </c>
      <c r="G192" s="6">
        <f>MOD(Settings!$B$17*(G191),Settings!$B$18)</f>
        <v>1126980734</v>
      </c>
      <c r="H192" s="6">
        <f>MAX(G192,1)/Settings!$B$18</f>
        <v>0.52479129960983584</v>
      </c>
      <c r="I192" s="6">
        <f>-ACE_Input!W72*LN(H192)</f>
        <v>2.5790184799081515</v>
      </c>
      <c r="J192" s="6">
        <f>-ACE_Input!X72*LN(H192)</f>
        <v>7.737055439724454</v>
      </c>
      <c r="K192" s="6">
        <f>ACE_Input!U72</f>
        <v>300</v>
      </c>
      <c r="L192" s="6">
        <f>K192*ACE_Input!V72</f>
        <v>75</v>
      </c>
    </row>
    <row r="193" spans="1:12" x14ac:dyDescent="0.2">
      <c r="A193">
        <f>2</f>
        <v>2</v>
      </c>
      <c r="B193">
        <f>ACE_Input!A73</f>
        <v>68</v>
      </c>
      <c r="C193" s="6">
        <f>MOD(Settings!$B$17*(C192),Settings!$B$18)</f>
        <v>1209843013</v>
      </c>
      <c r="D193" s="6">
        <f>MAX(C193,1)/Settings!$B$18</f>
        <v>0.56337705513619685</v>
      </c>
      <c r="E193" s="6">
        <f t="shared" si="6"/>
        <v>5</v>
      </c>
      <c r="F193" s="6">
        <f>ACE_Input!D73</f>
        <v>479</v>
      </c>
      <c r="G193" s="6">
        <f>MOD(Settings!$B$17*(G192),Settings!$B$18)</f>
        <v>359429798</v>
      </c>
      <c r="H193" s="6">
        <f>MAX(G193,1)/Settings!$B$18</f>
        <v>0.16737254251137959</v>
      </c>
      <c r="I193" s="6">
        <f>-ACE_Input!W73*LN(H193)</f>
        <v>7.1501326304382227</v>
      </c>
      <c r="J193" s="6">
        <f>-ACE_Input!X73*LN(H193)</f>
        <v>21.450397891314669</v>
      </c>
      <c r="K193" s="6">
        <f>ACE_Input!U73</f>
        <v>300</v>
      </c>
      <c r="L193" s="6">
        <f>K193*ACE_Input!V73</f>
        <v>75</v>
      </c>
    </row>
    <row r="194" spans="1:12" x14ac:dyDescent="0.2">
      <c r="A194">
        <f>2</f>
        <v>2</v>
      </c>
      <c r="B194">
        <f>ACE_Input!A74</f>
        <v>69</v>
      </c>
      <c r="C194" s="6">
        <f>MOD(Settings!$B$17*(C193),Settings!$B$18)</f>
        <v>1456349695</v>
      </c>
      <c r="D194" s="6">
        <f>MAX(C194,1)/Settings!$B$18</f>
        <v>0.67816567405972894</v>
      </c>
      <c r="E194" s="6">
        <f t="shared" si="6"/>
        <v>15</v>
      </c>
      <c r="F194" s="6">
        <f>ACE_Input!D74</f>
        <v>494</v>
      </c>
      <c r="G194" s="6">
        <f>MOD(Settings!$B$17*(G193),Settings!$B$18)</f>
        <v>65115975</v>
      </c>
      <c r="H194" s="6">
        <f>MAX(G194,1)/Settings!$B$18</f>
        <v>3.0321988756918342E-2</v>
      </c>
      <c r="I194" s="6">
        <f>-ACE_Input!W74*LN(H194)</f>
        <v>13.983528512449585</v>
      </c>
      <c r="J194" s="6">
        <f>-ACE_Input!X74*LN(H194)</f>
        <v>41.950585537348758</v>
      </c>
      <c r="K194" s="6">
        <f>ACE_Input!U74</f>
        <v>300</v>
      </c>
      <c r="L194" s="6">
        <f>K194*ACE_Input!V74</f>
        <v>75</v>
      </c>
    </row>
    <row r="195" spans="1:12" x14ac:dyDescent="0.2">
      <c r="A195">
        <f>2</f>
        <v>2</v>
      </c>
      <c r="B195">
        <f>ACE_Input!A75</f>
        <v>70</v>
      </c>
      <c r="C195" s="6">
        <f>MOD(Settings!$B$17*(C194),Settings!$B$18)</f>
        <v>1998199006</v>
      </c>
      <c r="D195" s="6">
        <f>MAX(C195,1)/Settings!$B$18</f>
        <v>0.93048392186429529</v>
      </c>
      <c r="E195" s="6">
        <f t="shared" si="6"/>
        <v>5</v>
      </c>
      <c r="F195" s="6">
        <f>ACE_Input!D75</f>
        <v>499</v>
      </c>
      <c r="G195" s="6">
        <f>MOD(Settings!$B$17*(G194),Settings!$B$18)</f>
        <v>1335015502</v>
      </c>
      <c r="H195" s="6">
        <f>MAX(G195,1)/Settings!$B$18</f>
        <v>0.62166503752659308</v>
      </c>
      <c r="I195" s="6">
        <f>-ACE_Input!W75*LN(H195)</f>
        <v>1.9014154247056767</v>
      </c>
      <c r="J195" s="6">
        <f>-ACE_Input!X75*LN(H195)</f>
        <v>5.7042462741170299</v>
      </c>
      <c r="K195" s="6">
        <f>ACE_Input!U75</f>
        <v>300</v>
      </c>
      <c r="L195" s="6">
        <f>K195*ACE_Input!V75</f>
        <v>75</v>
      </c>
    </row>
    <row r="196" spans="1:12" x14ac:dyDescent="0.2">
      <c r="A196">
        <f>2</f>
        <v>2</v>
      </c>
      <c r="B196">
        <f>ACE_Input!A76</f>
        <v>71</v>
      </c>
      <c r="C196" s="6">
        <f>MOD(Settings!$B$17*(C195),Settings!$B$18)</f>
        <v>1381422056</v>
      </c>
      <c r="D196" s="6">
        <f>MAX(C196,1)/Settings!$B$18</f>
        <v>0.64327477321181203</v>
      </c>
      <c r="E196" s="6">
        <f t="shared" si="6"/>
        <v>5</v>
      </c>
      <c r="F196" s="6">
        <f>ACE_Input!D76</f>
        <v>504</v>
      </c>
      <c r="G196" s="6">
        <f>MOD(Settings!$B$17*(G195),Settings!$B$18)</f>
        <v>696398258</v>
      </c>
      <c r="H196" s="6">
        <f>MAX(G196,1)/Settings!$B$18</f>
        <v>0.32428570945015445</v>
      </c>
      <c r="I196" s="6">
        <f>-ACE_Input!W76*LN(H196)</f>
        <v>4.5045213298936808</v>
      </c>
      <c r="J196" s="6">
        <f>-ACE_Input!X76*LN(H196)</f>
        <v>13.513563989681042</v>
      </c>
      <c r="K196" s="6">
        <f>ACE_Input!U76</f>
        <v>300</v>
      </c>
      <c r="L196" s="6">
        <f>K196*ACE_Input!V76</f>
        <v>75</v>
      </c>
    </row>
    <row r="197" spans="1:12" x14ac:dyDescent="0.2">
      <c r="A197">
        <f>2</f>
        <v>2</v>
      </c>
      <c r="B197">
        <f>ACE_Input!A77</f>
        <v>72</v>
      </c>
      <c r="C197" s="6">
        <f>MOD(Settings!$B$17*(C196),Settings!$B$18)</f>
        <v>1114787475</v>
      </c>
      <c r="D197" s="6">
        <f>MAX(C197,1)/Settings!$B$18</f>
        <v>0.51911337092477516</v>
      </c>
      <c r="E197" s="6">
        <f t="shared" si="6"/>
        <v>5</v>
      </c>
      <c r="F197" s="6">
        <f>ACE_Input!D77</f>
        <v>509</v>
      </c>
      <c r="G197" s="6">
        <f>MOD(Settings!$B$17*(G196),Settings!$B$18)</f>
        <v>579646056</v>
      </c>
      <c r="H197" s="6">
        <f>MAX(G197,1)/Settings!$B$18</f>
        <v>0.2699187287455046</v>
      </c>
      <c r="I197" s="6">
        <f>-ACE_Input!W77*LN(H197)</f>
        <v>5.2385374797641315</v>
      </c>
      <c r="J197" s="6">
        <f>-ACE_Input!X77*LN(H197)</f>
        <v>15.715612439292395</v>
      </c>
      <c r="K197" s="6">
        <f>ACE_Input!U77</f>
        <v>300</v>
      </c>
      <c r="L197" s="6">
        <f>K197*ACE_Input!V77</f>
        <v>75</v>
      </c>
    </row>
    <row r="198" spans="1:12" x14ac:dyDescent="0.2">
      <c r="A198">
        <f>2</f>
        <v>2</v>
      </c>
      <c r="B198">
        <f>ACE_Input!A78</f>
        <v>73</v>
      </c>
      <c r="C198" s="6">
        <f>MOD(Settings!$B$17*(C197),Settings!$B$18)</f>
        <v>1585755897</v>
      </c>
      <c r="D198" s="6">
        <f>MAX(C198,1)/Settings!$B$18</f>
        <v>0.73842513269671473</v>
      </c>
      <c r="E198" s="6">
        <f t="shared" si="6"/>
        <v>5</v>
      </c>
      <c r="F198" s="6">
        <f>ACE_Input!D78</f>
        <v>514</v>
      </c>
      <c r="G198" s="6">
        <f>MOD(Settings!$B$17*(G197),Settings!$B$18)</f>
        <v>1125440400</v>
      </c>
      <c r="H198" s="6">
        <f>MAX(G198,1)/Settings!$B$18</f>
        <v>0.524074025696178</v>
      </c>
      <c r="I198" s="6">
        <f>-ACE_Input!W78*LN(H198)</f>
        <v>2.5844893369050661</v>
      </c>
      <c r="J198" s="6">
        <f>-ACE_Input!X78*LN(H198)</f>
        <v>7.7534680107151983</v>
      </c>
      <c r="K198" s="6">
        <f>ACE_Input!U78</f>
        <v>300</v>
      </c>
      <c r="L198" s="6">
        <f>K198*ACE_Input!V78</f>
        <v>75</v>
      </c>
    </row>
    <row r="199" spans="1:12" x14ac:dyDescent="0.2">
      <c r="A199">
        <f>2</f>
        <v>2</v>
      </c>
      <c r="B199">
        <f>ACE_Input!A79</f>
        <v>74</v>
      </c>
      <c r="C199" s="6">
        <f>MOD(Settings!$B$17*(C198),Settings!$B$18)</f>
        <v>1527301609</v>
      </c>
      <c r="D199" s="6">
        <f>MAX(C199,1)/Settings!$B$18</f>
        <v>0.7112052336853022</v>
      </c>
      <c r="E199" s="6">
        <f t="shared" si="6"/>
        <v>5</v>
      </c>
      <c r="F199" s="6">
        <f>ACE_Input!D79</f>
        <v>519</v>
      </c>
      <c r="G199" s="6">
        <f>MOD(Settings!$B$17*(G198),Settings!$B$18)</f>
        <v>240840024</v>
      </c>
      <c r="H199" s="6">
        <f>MAX(G199,1)/Settings!$B$18</f>
        <v>0.11214987566329067</v>
      </c>
      <c r="I199" s="6">
        <f>-ACE_Input!W79*LN(H199)</f>
        <v>8.7516765067236264</v>
      </c>
      <c r="J199" s="6">
        <f>-ACE_Input!X79*LN(H199)</f>
        <v>26.255029520170879</v>
      </c>
      <c r="K199" s="6">
        <f>ACE_Input!U79</f>
        <v>300</v>
      </c>
      <c r="L199" s="6">
        <f>K199*ACE_Input!V79</f>
        <v>75</v>
      </c>
    </row>
    <row r="200" spans="1:12" x14ac:dyDescent="0.2">
      <c r="A200">
        <f>2</f>
        <v>2</v>
      </c>
      <c r="B200">
        <f>ACE_Input!A80</f>
        <v>75</v>
      </c>
      <c r="C200" s="6">
        <f>MOD(Settings!$B$17*(C199),Settings!$B$18)</f>
        <v>486109872</v>
      </c>
      <c r="D200" s="6">
        <f>MAX(C200,1)/Settings!$B$18</f>
        <v>0.22636254887392862</v>
      </c>
      <c r="E200" s="6">
        <f t="shared" si="6"/>
        <v>5</v>
      </c>
      <c r="F200" s="6">
        <f>ACE_Input!D80</f>
        <v>524</v>
      </c>
      <c r="G200" s="6">
        <f>MOD(Settings!$B$17*(G199),Settings!$B$18)</f>
        <v>1939092420</v>
      </c>
      <c r="H200" s="6">
        <f>MAX(G200,1)/Settings!$B$18</f>
        <v>0.90296027292635306</v>
      </c>
      <c r="I200" s="6">
        <f>-ACE_Input!W80*LN(H200)</f>
        <v>0.40830688430959799</v>
      </c>
      <c r="J200" s="6">
        <f>-ACE_Input!X80*LN(H200)</f>
        <v>1.2249206529287939</v>
      </c>
      <c r="K200" s="6">
        <f>ACE_Input!U80</f>
        <v>300</v>
      </c>
      <c r="L200" s="6">
        <f>K200*ACE_Input!V80</f>
        <v>75</v>
      </c>
    </row>
    <row r="201" spans="1:12" x14ac:dyDescent="0.2">
      <c r="A201">
        <f>2</f>
        <v>2</v>
      </c>
      <c r="B201">
        <f>ACE_Input!A81</f>
        <v>76</v>
      </c>
      <c r="C201" s="6">
        <f>MOD(Settings!$B$17*(C200),Settings!$B$18)</f>
        <v>1020825516</v>
      </c>
      <c r="D201" s="6">
        <f>MAX(C201,1)/Settings!$B$18</f>
        <v>0.47535892411850345</v>
      </c>
      <c r="E201" s="6">
        <f t="shared" si="6"/>
        <v>5</v>
      </c>
      <c r="F201" s="6">
        <f>ACE_Input!D81</f>
        <v>529</v>
      </c>
      <c r="G201" s="6">
        <f>MOD(Settings!$B$17*(G200),Settings!$B$18)</f>
        <v>114476068</v>
      </c>
      <c r="H201" s="6">
        <f>MAX(G201,1)/Settings!$B$18</f>
        <v>5.3307073215631336E-2</v>
      </c>
      <c r="I201" s="6">
        <f>-ACE_Input!W81*LN(H201)</f>
        <v>11.726745003523176</v>
      </c>
      <c r="J201" s="6">
        <f>-ACE_Input!X81*LN(H201)</f>
        <v>35.180235010569525</v>
      </c>
      <c r="K201" s="6">
        <f>ACE_Input!U81</f>
        <v>300</v>
      </c>
      <c r="L201" s="6">
        <f>K201*ACE_Input!V81</f>
        <v>75</v>
      </c>
    </row>
    <row r="202" spans="1:12" x14ac:dyDescent="0.2">
      <c r="A202">
        <f>2</f>
        <v>2</v>
      </c>
      <c r="B202">
        <f>ACE_Input!A82</f>
        <v>77</v>
      </c>
      <c r="C202" s="6">
        <f>MOD(Settings!$B$17*(C201),Settings!$B$18)</f>
        <v>767591529</v>
      </c>
      <c r="D202" s="6">
        <f>MAX(C202,1)/Settings!$B$18</f>
        <v>0.35743765968710073</v>
      </c>
      <c r="E202" s="6">
        <f t="shared" si="6"/>
        <v>5</v>
      </c>
      <c r="F202" s="6">
        <f>ACE_Input!D82</f>
        <v>534</v>
      </c>
      <c r="G202" s="6">
        <f>MOD(Settings!$B$17*(G201),Settings!$B$18)</f>
        <v>2001410811</v>
      </c>
      <c r="H202" s="6">
        <f>MAX(G202,1)/Settings!$B$18</f>
        <v>0.93197953511587317</v>
      </c>
      <c r="I202" s="6">
        <f>-ACE_Input!W82*LN(H202)</f>
        <v>0.28177769027122379</v>
      </c>
      <c r="J202" s="6">
        <f>-ACE_Input!X82*LN(H202)</f>
        <v>0.84533307081367137</v>
      </c>
      <c r="K202" s="6">
        <f>ACE_Input!U82</f>
        <v>300</v>
      </c>
      <c r="L202" s="6">
        <f>K202*ACE_Input!V82</f>
        <v>75</v>
      </c>
    </row>
    <row r="203" spans="1:12" x14ac:dyDescent="0.2">
      <c r="A203">
        <f>2</f>
        <v>2</v>
      </c>
      <c r="B203">
        <f>ACE_Input!A83</f>
        <v>78</v>
      </c>
      <c r="C203" s="6">
        <f>MOD(Settings!$B$17*(C202),Settings!$B$18)</f>
        <v>976560374</v>
      </c>
      <c r="D203" s="6">
        <f>MAX(C203,1)/Settings!$B$18</f>
        <v>0.45474636110232508</v>
      </c>
      <c r="E203" s="6">
        <f t="shared" si="6"/>
        <v>5</v>
      </c>
      <c r="F203" s="6">
        <f>ACE_Input!D83</f>
        <v>539</v>
      </c>
      <c r="G203" s="6">
        <f>MOD(Settings!$B$17*(G202),Settings!$B$18)</f>
        <v>1675137516</v>
      </c>
      <c r="H203" s="6">
        <f>MAX(G203,1)/Settings!$B$18</f>
        <v>0.78004669248128622</v>
      </c>
      <c r="I203" s="6">
        <f>-ACE_Input!W83*LN(H203)</f>
        <v>0.99360599573868724</v>
      </c>
      <c r="J203" s="6">
        <f>-ACE_Input!X83*LN(H203)</f>
        <v>2.9808179872160618</v>
      </c>
      <c r="K203" s="6">
        <f>ACE_Input!U83</f>
        <v>300</v>
      </c>
      <c r="L203" s="6">
        <f>K203*ACE_Input!V83</f>
        <v>75</v>
      </c>
    </row>
    <row r="204" spans="1:12" x14ac:dyDescent="0.2">
      <c r="A204">
        <f>2</f>
        <v>2</v>
      </c>
      <c r="B204">
        <f>ACE_Input!A84</f>
        <v>79</v>
      </c>
      <c r="C204" s="6">
        <f>MOD(Settings!$B$17*(C203),Settings!$B$18)</f>
        <v>1980175444</v>
      </c>
      <c r="D204" s="6">
        <f>MAX(C204,1)/Settings!$B$18</f>
        <v>0.92209104677759623</v>
      </c>
      <c r="E204" s="6">
        <f t="shared" si="6"/>
        <v>5</v>
      </c>
      <c r="F204" s="6">
        <f>ACE_Input!D84</f>
        <v>544</v>
      </c>
      <c r="G204" s="6">
        <f>MOD(Settings!$B$17*(G203),Settings!$B$18)</f>
        <v>525619242</v>
      </c>
      <c r="H204" s="6">
        <f>MAX(G204,1)/Settings!$B$18</f>
        <v>0.24476053297741363</v>
      </c>
      <c r="I204" s="6">
        <f>-ACE_Input!W84*LN(H204)</f>
        <v>5.6298998513561678</v>
      </c>
      <c r="J204" s="6">
        <f>-ACE_Input!X84*LN(H204)</f>
        <v>16.889699554068503</v>
      </c>
      <c r="K204" s="6">
        <f>ACE_Input!U84</f>
        <v>300</v>
      </c>
      <c r="L204" s="6">
        <f>K204*ACE_Input!V84</f>
        <v>75</v>
      </c>
    </row>
    <row r="205" spans="1:12" x14ac:dyDescent="0.2">
      <c r="A205">
        <f>2</f>
        <v>2</v>
      </c>
      <c r="B205">
        <f>ACE_Input!A85</f>
        <v>80</v>
      </c>
      <c r="C205" s="6">
        <f>MOD(Settings!$B$17*(C204),Settings!$B$18)</f>
        <v>1254609749</v>
      </c>
      <c r="D205" s="6">
        <f>MAX(C205,1)/Settings!$B$18</f>
        <v>0.5842231910602298</v>
      </c>
      <c r="E205" s="6">
        <f t="shared" si="6"/>
        <v>5</v>
      </c>
      <c r="F205" s="6">
        <f>ACE_Input!D85</f>
        <v>549</v>
      </c>
      <c r="G205" s="6">
        <f>MOD(Settings!$B$17*(G204),Settings!$B$18)</f>
        <v>1482360183</v>
      </c>
      <c r="H205" s="6">
        <f>MAX(G205,1)/Settings!$B$18</f>
        <v>0.6902777513909516</v>
      </c>
      <c r="I205" s="6">
        <f>-ACE_Input!W85*LN(H205)</f>
        <v>1.4826448965594441</v>
      </c>
      <c r="J205" s="6">
        <f>-ACE_Input!X85*LN(H205)</f>
        <v>4.4479346896783323</v>
      </c>
      <c r="K205" s="6">
        <f>ACE_Input!U85</f>
        <v>300</v>
      </c>
      <c r="L205" s="6">
        <f>K205*ACE_Input!V85</f>
        <v>75</v>
      </c>
    </row>
    <row r="206" spans="1:12" x14ac:dyDescent="0.2">
      <c r="A206">
        <f>2</f>
        <v>2</v>
      </c>
      <c r="B206">
        <f>ACE_Input!A86</f>
        <v>81</v>
      </c>
      <c r="C206" s="6">
        <f>MOD(Settings!$B$17*(C205),Settings!$B$18)</f>
        <v>84121550</v>
      </c>
      <c r="D206" s="6">
        <f>MAX(C206,1)/Settings!$B$18</f>
        <v>3.9172149281563304E-2</v>
      </c>
      <c r="E206" s="6">
        <f t="shared" si="6"/>
        <v>5</v>
      </c>
      <c r="F206" s="6">
        <f>ACE_Input!D86</f>
        <v>554</v>
      </c>
      <c r="G206" s="6">
        <f>MOD(Settings!$B$17*(G205),Settings!$B$18)</f>
        <v>1069806834</v>
      </c>
      <c r="H206" s="6">
        <f>MAX(G206,1)/Settings!$B$18</f>
        <v>0.4981676277230343</v>
      </c>
      <c r="I206" s="6">
        <f>-ACE_Input!W86*LN(H206)</f>
        <v>2.7872746269667852</v>
      </c>
      <c r="J206" s="6">
        <f>-ACE_Input!X86*LN(H206)</f>
        <v>8.3618238809003564</v>
      </c>
      <c r="K206" s="6">
        <f>ACE_Input!U86</f>
        <v>300</v>
      </c>
      <c r="L206" s="6">
        <f>K206*ACE_Input!V86</f>
        <v>75</v>
      </c>
    </row>
    <row r="207" spans="1:12" x14ac:dyDescent="0.2">
      <c r="A207">
        <f>2</f>
        <v>2</v>
      </c>
      <c r="B207">
        <f>ACE_Input!A87</f>
        <v>82</v>
      </c>
      <c r="C207" s="6">
        <f>MOD(Settings!$B$17*(C206),Settings!$B$18)</f>
        <v>786651124</v>
      </c>
      <c r="D207" s="6">
        <f>MAX(C207,1)/Settings!$B$18</f>
        <v>0.3663129752344978</v>
      </c>
      <c r="E207" s="6">
        <f t="shared" si="6"/>
        <v>5</v>
      </c>
      <c r="F207" s="6">
        <f>ACE_Input!D87</f>
        <v>559</v>
      </c>
      <c r="G207" s="6">
        <f>MOD(Settings!$B$17*(G206),Settings!$B$18)</f>
        <v>1510366354</v>
      </c>
      <c r="H207" s="6">
        <f>MAX(G207,1)/Settings!$B$18</f>
        <v>0.70331914103744508</v>
      </c>
      <c r="I207" s="6">
        <f>-ACE_Input!W87*LN(H207)</f>
        <v>1.4077780800138879</v>
      </c>
      <c r="J207" s="6">
        <f>-ACE_Input!X87*LN(H207)</f>
        <v>4.2233342400416642</v>
      </c>
      <c r="K207" s="6">
        <f>ACE_Input!U87</f>
        <v>300</v>
      </c>
      <c r="L207" s="6">
        <f>K207*ACE_Input!V87</f>
        <v>75</v>
      </c>
    </row>
    <row r="208" spans="1:12" x14ac:dyDescent="0.2">
      <c r="A208">
        <f>2</f>
        <v>2</v>
      </c>
      <c r="B208">
        <f>ACE_Input!A88</f>
        <v>83</v>
      </c>
      <c r="C208" s="6">
        <f>MOD(Settings!$B$17*(C207),Settings!$B$18)</f>
        <v>1336110136</v>
      </c>
      <c r="D208" s="6">
        <f>MAX(C208,1)/Settings!$B$18</f>
        <v>0.62217476620440126</v>
      </c>
      <c r="E208" s="6">
        <f t="shared" si="6"/>
        <v>5</v>
      </c>
      <c r="F208" s="6">
        <f>ACE_Input!D88</f>
        <v>564</v>
      </c>
      <c r="G208" s="6">
        <f>MOD(Settings!$B$17*(G207),Settings!$B$18)</f>
        <v>1470604138</v>
      </c>
      <c r="H208" s="6">
        <f>MAX(G208,1)/Settings!$B$18</f>
        <v>0.6848034163400547</v>
      </c>
      <c r="I208" s="6">
        <f>-ACE_Input!W88*LN(H208)</f>
        <v>1.5144938614108663</v>
      </c>
      <c r="J208" s="6">
        <f>-ACE_Input!X88*LN(H208)</f>
        <v>4.5434815842325991</v>
      </c>
      <c r="K208" s="6">
        <f>ACE_Input!U88</f>
        <v>300</v>
      </c>
      <c r="L208" s="6">
        <f>K208*ACE_Input!V88</f>
        <v>75</v>
      </c>
    </row>
    <row r="209" spans="1:12" x14ac:dyDescent="0.2">
      <c r="A209">
        <f>2</f>
        <v>2</v>
      </c>
      <c r="B209">
        <f>ACE_Input!A89</f>
        <v>84</v>
      </c>
      <c r="C209" s="6">
        <f>MOD(Settings!$B$17*(C208),Settings!$B$18)</f>
        <v>1914042720</v>
      </c>
      <c r="D209" s="6">
        <f>MAX(C209,1)/Settings!$B$18</f>
        <v>0.89129559737224862</v>
      </c>
      <c r="E209" s="6">
        <f t="shared" si="6"/>
        <v>5</v>
      </c>
      <c r="F209" s="6">
        <f>ACE_Input!D89</f>
        <v>569</v>
      </c>
      <c r="G209" s="6">
        <f>MOD(Settings!$B$17*(G208),Settings!$B$18)</f>
        <v>1054454043</v>
      </c>
      <c r="H209" s="6">
        <f>MAX(G209,1)/Settings!$B$18</f>
        <v>0.49101842729887851</v>
      </c>
      <c r="I209" s="6">
        <f>-ACE_Input!W89*LN(H209)</f>
        <v>2.84509448700629</v>
      </c>
      <c r="J209" s="6">
        <f>-ACE_Input!X89*LN(H209)</f>
        <v>8.5352834610188708</v>
      </c>
      <c r="K209" s="6">
        <f>ACE_Input!U89</f>
        <v>300</v>
      </c>
      <c r="L209" s="6">
        <f>K209*ACE_Input!V89</f>
        <v>75</v>
      </c>
    </row>
    <row r="210" spans="1:12" x14ac:dyDescent="0.2">
      <c r="A210">
        <f>2</f>
        <v>2</v>
      </c>
      <c r="B210">
        <f>ACE_Input!A90</f>
        <v>85</v>
      </c>
      <c r="C210" s="6">
        <f>MOD(Settings!$B$17*(C209),Settings!$B$18)</f>
        <v>10962980</v>
      </c>
      <c r="D210" s="6">
        <f>MAX(C210,1)/Settings!$B$18</f>
        <v>5.1050353819062167E-3</v>
      </c>
      <c r="E210" s="6">
        <f t="shared" si="6"/>
        <v>5</v>
      </c>
      <c r="F210" s="6">
        <f>ACE_Input!D90</f>
        <v>574</v>
      </c>
      <c r="G210" s="6">
        <f>MOD(Settings!$B$17*(G209),Settings!$B$18)</f>
        <v>1174045657</v>
      </c>
      <c r="H210" s="6">
        <f>MAX(G210,1)/Settings!$B$18</f>
        <v>0.54670761225126108</v>
      </c>
      <c r="I210" s="6">
        <f>-ACE_Input!W90*LN(H210)</f>
        <v>2.4153645967091122</v>
      </c>
      <c r="J210" s="6">
        <f>-ACE_Input!X90*LN(H210)</f>
        <v>7.2460937901273361</v>
      </c>
      <c r="K210" s="6">
        <f>ACE_Input!U90</f>
        <v>300</v>
      </c>
      <c r="L210" s="6">
        <f>K210*ACE_Input!V90</f>
        <v>75</v>
      </c>
    </row>
    <row r="211" spans="1:12" x14ac:dyDescent="0.2">
      <c r="A211">
        <f>2</f>
        <v>2</v>
      </c>
      <c r="B211">
        <f>ACE_Input!A91</f>
        <v>86</v>
      </c>
      <c r="C211" s="6">
        <f>MOD(Settings!$B$17*(C210),Settings!$B$18)</f>
        <v>1718694865</v>
      </c>
      <c r="D211" s="6">
        <f>MAX(C211,1)/Settings!$B$18</f>
        <v>0.80032966369778369</v>
      </c>
      <c r="E211" s="6">
        <f t="shared" si="6"/>
        <v>5</v>
      </c>
      <c r="F211" s="6">
        <f>ACE_Input!D91</f>
        <v>579</v>
      </c>
      <c r="G211" s="6">
        <f>MOD(Settings!$B$17*(G210),Settings!$B$18)</f>
        <v>1105608563</v>
      </c>
      <c r="H211" s="6">
        <f>MAX(G211,1)/Settings!$B$18</f>
        <v>0.51483910694478041</v>
      </c>
      <c r="I211" s="6">
        <f>-ACE_Input!W91*LN(H211)</f>
        <v>2.6556033633167306</v>
      </c>
      <c r="J211" s="6">
        <f>-ACE_Input!X91*LN(H211)</f>
        <v>7.9668100899501919</v>
      </c>
      <c r="K211" s="6">
        <f>ACE_Input!U91</f>
        <v>300</v>
      </c>
      <c r="L211" s="6">
        <f>K211*ACE_Input!V91</f>
        <v>75</v>
      </c>
    </row>
    <row r="212" spans="1:12" x14ac:dyDescent="0.2">
      <c r="A212">
        <f>2</f>
        <v>2</v>
      </c>
      <c r="B212">
        <f>ACE_Input!A92</f>
        <v>87</v>
      </c>
      <c r="C212" s="6">
        <f>MOD(Settings!$B$17*(C211),Settings!$B$18)</f>
        <v>302060258</v>
      </c>
      <c r="D212" s="6">
        <f>MAX(C212,1)/Settings!$B$18</f>
        <v>0.14065776865028673</v>
      </c>
      <c r="E212" s="6">
        <f t="shared" si="6"/>
        <v>5</v>
      </c>
      <c r="F212" s="6">
        <f>ACE_Input!D92</f>
        <v>584</v>
      </c>
      <c r="G212" s="6">
        <f>MOD(Settings!$B$17*(G211),Settings!$B$18)</f>
        <v>1934604497</v>
      </c>
      <c r="H212" s="6">
        <f>MAX(G212,1)/Settings!$B$18</f>
        <v>0.90087042092386183</v>
      </c>
      <c r="I212" s="6">
        <f>-ACE_Input!W92*LN(H212)</f>
        <v>0.41757539468438948</v>
      </c>
      <c r="J212" s="6">
        <f>-ACE_Input!X92*LN(H212)</f>
        <v>1.2527261840531685</v>
      </c>
      <c r="K212" s="6">
        <f>ACE_Input!U92</f>
        <v>300</v>
      </c>
      <c r="L212" s="6">
        <f>K212*ACE_Input!V92</f>
        <v>75</v>
      </c>
    </row>
    <row r="213" spans="1:12" x14ac:dyDescent="0.2">
      <c r="A213">
        <f>2</f>
        <v>2</v>
      </c>
      <c r="B213">
        <f>ACE_Input!A93</f>
        <v>88</v>
      </c>
      <c r="C213" s="6">
        <f>MOD(Settings!$B$17*(C212),Settings!$B$18)</f>
        <v>75414698</v>
      </c>
      <c r="D213" s="6">
        <f>MAX(C213,1)/Settings!$B$18</f>
        <v>3.5117705368957343E-2</v>
      </c>
      <c r="E213" s="6">
        <f t="shared" si="6"/>
        <v>5</v>
      </c>
      <c r="F213" s="6">
        <f>ACE_Input!D93</f>
        <v>589</v>
      </c>
      <c r="G213" s="6">
        <f>MOD(Settings!$B$17*(G212),Settings!$B$18)</f>
        <v>1995365499</v>
      </c>
      <c r="H213" s="6">
        <f>MAX(G213,1)/Settings!$B$18</f>
        <v>0.92916446734646541</v>
      </c>
      <c r="I213" s="6">
        <f>-ACE_Input!W93*LN(H213)</f>
        <v>0.29387807546422551</v>
      </c>
      <c r="J213" s="6">
        <f>-ACE_Input!X93*LN(H213)</f>
        <v>0.88163422639267652</v>
      </c>
      <c r="K213" s="6">
        <f>ACE_Input!U93</f>
        <v>300</v>
      </c>
      <c r="L213" s="6">
        <f>K213*ACE_Input!V93</f>
        <v>75</v>
      </c>
    </row>
    <row r="214" spans="1:12" x14ac:dyDescent="0.2">
      <c r="A214">
        <f>2</f>
        <v>2</v>
      </c>
      <c r="B214">
        <f>ACE_Input!A94</f>
        <v>89</v>
      </c>
      <c r="C214" s="6">
        <f>MOD(Settings!$B$17*(C213),Settings!$B$18)</f>
        <v>479477556</v>
      </c>
      <c r="D214" s="6">
        <f>MAX(C214,1)/Settings!$B$18</f>
        <v>0.22327413606609875</v>
      </c>
      <c r="E214" s="6">
        <f t="shared" si="6"/>
        <v>5</v>
      </c>
      <c r="F214" s="6">
        <f>ACE_Input!D94</f>
        <v>594</v>
      </c>
      <c r="G214" s="6">
        <f>MOD(Settings!$B$17*(G213),Settings!$B$18)</f>
        <v>1003310141</v>
      </c>
      <c r="H214" s="6">
        <f>MAX(G214,1)/Settings!$B$18</f>
        <v>0.46720269204452758</v>
      </c>
      <c r="I214" s="6">
        <f>-ACE_Input!W94*LN(H214)</f>
        <v>3.0439683416124472</v>
      </c>
      <c r="J214" s="6">
        <f>-ACE_Input!X94*LN(H214)</f>
        <v>9.1319050248373408</v>
      </c>
      <c r="K214" s="6">
        <f>ACE_Input!U94</f>
        <v>300</v>
      </c>
      <c r="L214" s="6">
        <f>K214*ACE_Input!V94</f>
        <v>75</v>
      </c>
    </row>
    <row r="215" spans="1:12" x14ac:dyDescent="0.2">
      <c r="A215">
        <f>2</f>
        <v>2</v>
      </c>
      <c r="B215">
        <f>ACE_Input!A95</f>
        <v>90</v>
      </c>
      <c r="C215" s="6">
        <f>MOD(Settings!$B$17*(C214),Settings!$B$18)</f>
        <v>1220640148</v>
      </c>
      <c r="D215" s="6">
        <f>MAX(C215,1)/Settings!$B$18</f>
        <v>0.56840486292187353</v>
      </c>
      <c r="E215" s="6">
        <f t="shared" si="6"/>
        <v>5</v>
      </c>
      <c r="F215" s="6">
        <f>ACE_Input!D95</f>
        <v>599</v>
      </c>
      <c r="G215" s="6">
        <f>MOD(Settings!$B$17*(G214),Settings!$B$18)</f>
        <v>591943543</v>
      </c>
      <c r="H215" s="6">
        <f>MAX(G215,1)/Settings!$B$18</f>
        <v>0.27564519237524138</v>
      </c>
      <c r="I215" s="6">
        <f>-ACE_Input!W95*LN(H215)</f>
        <v>5.1545631005843866</v>
      </c>
      <c r="J215" s="6">
        <f>-ACE_Input!X95*LN(H215)</f>
        <v>15.46368930175316</v>
      </c>
      <c r="K215" s="6">
        <f>ACE_Input!U95</f>
        <v>300</v>
      </c>
      <c r="L215" s="6">
        <f>K215*ACE_Input!V95</f>
        <v>75</v>
      </c>
    </row>
    <row r="216" spans="1:12" x14ac:dyDescent="0.2">
      <c r="A216">
        <f>2</f>
        <v>2</v>
      </c>
      <c r="B216">
        <f>ACE_Input!A96</f>
        <v>91</v>
      </c>
      <c r="C216" s="6">
        <f>MOD(Settings!$B$17*(C215),Settings!$B$18)</f>
        <v>387687645</v>
      </c>
      <c r="D216" s="6">
        <f>MAX(C216,1)/Settings!$B$18</f>
        <v>0.18053112792807219</v>
      </c>
      <c r="E216" s="6">
        <f t="shared" si="6"/>
        <v>5</v>
      </c>
      <c r="F216" s="6">
        <f>ACE_Input!D96</f>
        <v>604</v>
      </c>
      <c r="G216" s="6">
        <f>MOD(Settings!$B$17*(G215),Settings!$B$18)</f>
        <v>1650874297</v>
      </c>
      <c r="H216" s="6">
        <f>MAX(G216,1)/Settings!$B$18</f>
        <v>0.76874825068225539</v>
      </c>
      <c r="I216" s="6">
        <f>-ACE_Input!W96*LN(H216)</f>
        <v>1.051966941597104</v>
      </c>
      <c r="J216" s="6">
        <f>-ACE_Input!X96*LN(H216)</f>
        <v>3.1559008247913121</v>
      </c>
      <c r="K216" s="6">
        <f>ACE_Input!U96</f>
        <v>300</v>
      </c>
      <c r="L216" s="6">
        <f>K216*ACE_Input!V96</f>
        <v>75</v>
      </c>
    </row>
    <row r="217" spans="1:12" x14ac:dyDescent="0.2">
      <c r="A217">
        <f>2</f>
        <v>2</v>
      </c>
      <c r="B217">
        <f>ACE_Input!A97</f>
        <v>92</v>
      </c>
      <c r="C217" s="6">
        <f>MOD(Settings!$B$17*(C216),Settings!$B$18)</f>
        <v>400864517</v>
      </c>
      <c r="D217" s="6">
        <f>MAX(C217,1)/Settings!$B$18</f>
        <v>0.18666708710913876</v>
      </c>
      <c r="E217" s="6">
        <f t="shared" si="6"/>
        <v>5</v>
      </c>
      <c r="F217" s="6">
        <f>ACE_Input!D97</f>
        <v>609</v>
      </c>
      <c r="G217" s="6">
        <f>MOD(Settings!$B$17*(G216),Settings!$B$18)</f>
        <v>755590439</v>
      </c>
      <c r="H217" s="6">
        <f>MAX(G217,1)/Settings!$B$18</f>
        <v>0.35184921666600238</v>
      </c>
      <c r="I217" s="6">
        <f>-ACE_Input!W97*LN(H217)</f>
        <v>4.1782102276058097</v>
      </c>
      <c r="J217" s="6">
        <f>-ACE_Input!X97*LN(H217)</f>
        <v>12.534630682817429</v>
      </c>
      <c r="K217" s="6">
        <f>ACE_Input!U97</f>
        <v>300</v>
      </c>
      <c r="L217" s="6">
        <f>K217*ACE_Input!V97</f>
        <v>75</v>
      </c>
    </row>
    <row r="218" spans="1:12" x14ac:dyDescent="0.2">
      <c r="A218">
        <f>2</f>
        <v>2</v>
      </c>
      <c r="B218">
        <f>ACE_Input!A98</f>
        <v>93</v>
      </c>
      <c r="C218" s="6">
        <f>MOD(Settings!$B$17*(C217),Settings!$B$18)</f>
        <v>673736580</v>
      </c>
      <c r="D218" s="6">
        <f>MAX(C218,1)/Settings!$B$18</f>
        <v>0.31373304329520701</v>
      </c>
      <c r="E218" s="6">
        <f t="shared" si="6"/>
        <v>5</v>
      </c>
      <c r="F218" s="6">
        <f>ACE_Input!D98</f>
        <v>614</v>
      </c>
      <c r="G218" s="6">
        <f>MOD(Settings!$B$17*(G217),Settings!$B$18)</f>
        <v>1137703562</v>
      </c>
      <c r="H218" s="6">
        <f>MAX(G218,1)/Settings!$B$18</f>
        <v>0.52978450550222045</v>
      </c>
      <c r="I218" s="6">
        <f>-ACE_Input!W98*LN(H218)</f>
        <v>2.5411397940380489</v>
      </c>
      <c r="J218" s="6">
        <f>-ACE_Input!X98*LN(H218)</f>
        <v>7.6234193821141467</v>
      </c>
      <c r="K218" s="6">
        <f>ACE_Input!U98</f>
        <v>300</v>
      </c>
      <c r="L218" s="6">
        <f>K218*ACE_Input!V98</f>
        <v>75</v>
      </c>
    </row>
    <row r="219" spans="1:12" x14ac:dyDescent="0.2">
      <c r="A219">
        <f>2</f>
        <v>2</v>
      </c>
      <c r="B219">
        <f>ACE_Input!A99</f>
        <v>94</v>
      </c>
      <c r="C219" s="6">
        <f>MOD(Settings!$B$17*(C218),Settings!$B$18)</f>
        <v>1956913076</v>
      </c>
      <c r="D219" s="6">
        <f>MAX(C219,1)/Settings!$B$18</f>
        <v>0.91125866254384569</v>
      </c>
      <c r="E219" s="6">
        <f t="shared" si="6"/>
        <v>5</v>
      </c>
      <c r="F219" s="6">
        <f>ACE_Input!D99</f>
        <v>619</v>
      </c>
      <c r="G219" s="6">
        <f>MOD(Settings!$B$17*(G218),Settings!$B$18)</f>
        <v>189373646</v>
      </c>
      <c r="H219" s="6">
        <f>MAX(G219,1)/Settings!$B$18</f>
        <v>8.8183975819583968E-2</v>
      </c>
      <c r="I219" s="6">
        <f>-ACE_Input!W99*LN(H219)</f>
        <v>9.7133200501011174</v>
      </c>
      <c r="J219" s="6">
        <f>-ACE_Input!X99*LN(H219)</f>
        <v>29.139960150303352</v>
      </c>
      <c r="K219" s="6">
        <f>ACE_Input!U99</f>
        <v>300</v>
      </c>
      <c r="L219" s="6">
        <f>K219*ACE_Input!V99</f>
        <v>75</v>
      </c>
    </row>
    <row r="220" spans="1:12" x14ac:dyDescent="0.2">
      <c r="A220">
        <f>2</f>
        <v>2</v>
      </c>
      <c r="B220">
        <f>ACE_Input!A100</f>
        <v>95</v>
      </c>
      <c r="C220" s="6">
        <f>MOD(Settings!$B$17*(C219),Settings!$B$18)</f>
        <v>1126014527</v>
      </c>
      <c r="D220" s="6">
        <f>MAX(C220,1)/Settings!$B$18</f>
        <v>0.52434137441420059</v>
      </c>
      <c r="E220" s="6">
        <f t="shared" si="6"/>
        <v>5</v>
      </c>
      <c r="F220" s="6">
        <f>ACE_Input!D100</f>
        <v>624</v>
      </c>
      <c r="G220" s="6">
        <f>MOD(Settings!$B$17*(G219),Settings!$B$18)</f>
        <v>232103468</v>
      </c>
      <c r="H220" s="6">
        <f>MAX(G220,1)/Settings!$B$18</f>
        <v>0.10808159974780009</v>
      </c>
      <c r="I220" s="6">
        <f>-ACE_Input!W100*LN(H220)</f>
        <v>8.8994751356967612</v>
      </c>
      <c r="J220" s="6">
        <f>-ACE_Input!X100*LN(H220)</f>
        <v>26.698425407090284</v>
      </c>
      <c r="K220" s="6">
        <f>ACE_Input!U100</f>
        <v>300</v>
      </c>
      <c r="L220" s="6">
        <f>K220*ACE_Input!V100</f>
        <v>75</v>
      </c>
    </row>
    <row r="221" spans="1:12" x14ac:dyDescent="0.2">
      <c r="A221">
        <f>2</f>
        <v>2</v>
      </c>
      <c r="B221">
        <f>ACE_Input!A101</f>
        <v>96</v>
      </c>
      <c r="C221" s="6">
        <f>MOD(Settings!$B$17*(C220),Settings!$B$18)</f>
        <v>1300257925</v>
      </c>
      <c r="D221" s="6">
        <f>MAX(C221,1)/Settings!$B$18</f>
        <v>0.60547977946953835</v>
      </c>
      <c r="E221" s="6">
        <f t="shared" si="6"/>
        <v>5</v>
      </c>
      <c r="F221" s="6">
        <f>ACE_Input!D101</f>
        <v>629</v>
      </c>
      <c r="G221" s="6">
        <f>MOD(Settings!$B$17*(G220),Settings!$B$18)</f>
        <v>1132683724</v>
      </c>
      <c r="H221" s="6">
        <f>MAX(G221,1)/Settings!$B$18</f>
        <v>0.52744696127597568</v>
      </c>
      <c r="I221" s="6">
        <f>-ACE_Input!W101*LN(H221)</f>
        <v>2.5588278641250422</v>
      </c>
      <c r="J221" s="6">
        <f>-ACE_Input!X101*LN(H221)</f>
        <v>7.676483592375126</v>
      </c>
      <c r="K221" s="6">
        <f>ACE_Input!U101</f>
        <v>300</v>
      </c>
      <c r="L221" s="6">
        <f>K221*ACE_Input!V101</f>
        <v>75</v>
      </c>
    </row>
    <row r="222" spans="1:12" x14ac:dyDescent="0.2">
      <c r="A222">
        <f>2</f>
        <v>2</v>
      </c>
      <c r="B222">
        <f>ACE_Input!A102</f>
        <v>97</v>
      </c>
      <c r="C222" s="6">
        <f>MOD(Settings!$B$17*(C221),Settings!$B$18)</f>
        <v>641353603</v>
      </c>
      <c r="D222" s="6">
        <f>MAX(C222,1)/Settings!$B$18</f>
        <v>0.29865354453150816</v>
      </c>
      <c r="E222" s="6">
        <f t="shared" si="6"/>
        <v>5</v>
      </c>
      <c r="F222" s="6">
        <f>ACE_Input!D102</f>
        <v>634</v>
      </c>
      <c r="G222" s="6">
        <f>MOD(Settings!$B$17*(G221),Settings!$B$18)</f>
        <v>1720302260</v>
      </c>
      <c r="H222" s="6">
        <f>MAX(G222,1)/Settings!$B$18</f>
        <v>0.80107816532304421</v>
      </c>
      <c r="I222" s="6">
        <f>-ACE_Input!W102*LN(H222)</f>
        <v>0.8871870080075529</v>
      </c>
      <c r="J222" s="6">
        <f>-ACE_Input!X102*LN(H222)</f>
        <v>2.6615610240226588</v>
      </c>
      <c r="K222" s="6">
        <f>ACE_Input!U102</f>
        <v>300</v>
      </c>
      <c r="L222" s="6">
        <f>K222*ACE_Input!V102</f>
        <v>75</v>
      </c>
    </row>
    <row r="223" spans="1:12" x14ac:dyDescent="0.2">
      <c r="A223">
        <f>2</f>
        <v>2</v>
      </c>
      <c r="B223">
        <f>ACE_Input!A103</f>
        <v>98</v>
      </c>
      <c r="C223" s="6">
        <f>MOD(Settings!$B$17*(C222),Settings!$B$18)</f>
        <v>1009581328</v>
      </c>
      <c r="D223" s="6">
        <f>MAX(C223,1)/Settings!$B$18</f>
        <v>0.47012294105725499</v>
      </c>
      <c r="E223" s="6">
        <f t="shared" ref="E223:E225" si="7">F223-F222</f>
        <v>5</v>
      </c>
      <c r="F223" s="6">
        <f>ACE_Input!D103</f>
        <v>639</v>
      </c>
      <c r="G223" s="6">
        <f>MOD(Settings!$B$17*(G222),Settings!$B$18)</f>
        <v>1547744259</v>
      </c>
      <c r="H223" s="6">
        <f>MAX(G223,1)/Settings!$B$18</f>
        <v>0.72072458440471654</v>
      </c>
      <c r="I223" s="6">
        <f>-ACE_Input!W103*LN(H223)</f>
        <v>1.3099928231651108</v>
      </c>
      <c r="J223" s="6">
        <f>-ACE_Input!X103*LN(H223)</f>
        <v>3.9299784694953326</v>
      </c>
      <c r="K223" s="6">
        <f>ACE_Input!U103</f>
        <v>300</v>
      </c>
      <c r="L223" s="6">
        <f>K223*ACE_Input!V103</f>
        <v>75</v>
      </c>
    </row>
    <row r="224" spans="1:12" x14ac:dyDescent="0.2">
      <c r="A224">
        <f>2</f>
        <v>2</v>
      </c>
      <c r="B224">
        <f>ACE_Input!A104</f>
        <v>99</v>
      </c>
      <c r="C224" s="6">
        <f>MOD(Settings!$B$17*(C223),Settings!$B$18)</f>
        <v>765084749</v>
      </c>
      <c r="D224" s="6">
        <f>MAX(C224,1)/Settings!$B$18</f>
        <v>0.35627034928475987</v>
      </c>
      <c r="E224" s="6">
        <f t="shared" si="7"/>
        <v>45</v>
      </c>
      <c r="F224" s="6">
        <f>ACE_Input!D104</f>
        <v>684</v>
      </c>
      <c r="G224" s="6">
        <f>MOD(Settings!$B$17*(G223),Settings!$B$18)</f>
        <v>468344902</v>
      </c>
      <c r="H224" s="6">
        <f>MAX(G224,1)/Settings!$B$18</f>
        <v>0.21809009007089311</v>
      </c>
      <c r="I224" s="6">
        <f>-ACE_Input!W104*LN(H224)</f>
        <v>6.0913881774174286</v>
      </c>
      <c r="J224" s="6">
        <f>-ACE_Input!X104*LN(H224)</f>
        <v>18.274164532252286</v>
      </c>
      <c r="K224" s="6">
        <f>ACE_Input!U104</f>
        <v>300</v>
      </c>
      <c r="L224" s="6">
        <f>K224*ACE_Input!V104</f>
        <v>75</v>
      </c>
    </row>
    <row r="225" spans="1:12" x14ac:dyDescent="0.2">
      <c r="A225">
        <f>2</f>
        <v>2</v>
      </c>
      <c r="B225">
        <f>ACE_Input!A105</f>
        <v>100</v>
      </c>
      <c r="C225" s="6">
        <f>MOD(Settings!$B$17*(C224),Settings!$B$18)</f>
        <v>1794781854</v>
      </c>
      <c r="D225" s="6">
        <f>MAX(C225,1)/Settings!$B$18</f>
        <v>0.83576042895939218</v>
      </c>
      <c r="E225" s="6">
        <f t="shared" si="7"/>
        <v>5</v>
      </c>
      <c r="F225" s="6">
        <f>ACE_Input!D105</f>
        <v>689</v>
      </c>
      <c r="G225" s="6">
        <f>MOD(Settings!$B$17*(G224),Settings!$B$18)</f>
        <v>945201659</v>
      </c>
      <c r="H225" s="6">
        <f>MAX(G225,1)/Settings!$B$18</f>
        <v>0.44014382150030873</v>
      </c>
      <c r="I225" s="6">
        <f>-ACE_Input!W105*LN(H225)</f>
        <v>3.2826149537322751</v>
      </c>
      <c r="J225" s="6">
        <f>-ACE_Input!X105*LN(H225)</f>
        <v>9.8478448611968261</v>
      </c>
      <c r="K225" s="6">
        <f>ACE_Input!U105</f>
        <v>300</v>
      </c>
      <c r="L225" s="6">
        <f>K225*ACE_Input!V105</f>
        <v>75</v>
      </c>
    </row>
    <row r="226" spans="1:12" x14ac:dyDescent="0.2">
      <c r="C226" s="6"/>
      <c r="D226" s="6"/>
      <c r="E226" s="6"/>
      <c r="F226" s="6"/>
      <c r="G226" s="6"/>
      <c r="H226" s="6"/>
      <c r="I226" s="6"/>
      <c r="J226" s="6"/>
      <c r="K226" s="6"/>
      <c r="L226" s="6"/>
    </row>
    <row r="227" spans="1:12" x14ac:dyDescent="0.2">
      <c r="C227" s="6"/>
      <c r="D227" s="6"/>
      <c r="E227" s="6"/>
      <c r="F227" s="6"/>
      <c r="G227" s="6"/>
      <c r="H227" s="6"/>
      <c r="I227" s="6"/>
      <c r="J227" s="6"/>
      <c r="K227" s="6"/>
      <c r="L227" s="6"/>
    </row>
    <row r="228" spans="1:12" x14ac:dyDescent="0.2">
      <c r="C228" s="6"/>
      <c r="D228" s="6"/>
      <c r="E228" s="6"/>
      <c r="F228" s="6"/>
      <c r="G228" s="6"/>
      <c r="H228" s="6"/>
      <c r="I228" s="6"/>
      <c r="J228" s="6"/>
      <c r="K228" s="6"/>
      <c r="L228" s="6"/>
    </row>
    <row r="229" spans="1:12" x14ac:dyDescent="0.2">
      <c r="C229" s="6"/>
      <c r="D229" s="6"/>
      <c r="E229" s="6"/>
      <c r="F229" s="6"/>
      <c r="G229" s="6"/>
      <c r="H229" s="6"/>
      <c r="I229" s="6"/>
      <c r="J229" s="6"/>
      <c r="K229" s="6"/>
      <c r="L229" s="6"/>
    </row>
    <row r="230" spans="1:12" x14ac:dyDescent="0.2">
      <c r="C230" s="6"/>
      <c r="D230" s="6"/>
      <c r="E230" s="6"/>
      <c r="F230" s="6"/>
      <c r="G230" s="6"/>
      <c r="H230" s="6"/>
      <c r="I230" s="6"/>
      <c r="J230" s="6"/>
      <c r="K230" s="6"/>
      <c r="L230" s="6"/>
    </row>
    <row r="231" spans="1:12" x14ac:dyDescent="0.2">
      <c r="C231" s="6"/>
      <c r="D231" s="6"/>
      <c r="E231" s="6"/>
      <c r="F231" s="6"/>
      <c r="G231" s="6"/>
      <c r="H231" s="6"/>
      <c r="I231" s="6"/>
      <c r="J231" s="6"/>
      <c r="K231" s="6"/>
      <c r="L231" s="6"/>
    </row>
    <row r="232" spans="1:12" x14ac:dyDescent="0.2">
      <c r="C232" s="6"/>
      <c r="D232" s="6"/>
      <c r="E232" s="6"/>
      <c r="F232" s="6"/>
      <c r="G232" s="6"/>
      <c r="H232" s="6"/>
      <c r="I232" s="6"/>
      <c r="J232" s="6"/>
      <c r="K232" s="6"/>
      <c r="L232" s="6"/>
    </row>
    <row r="233" spans="1:12" x14ac:dyDescent="0.2">
      <c r="C233" s="6"/>
      <c r="D233" s="6"/>
      <c r="E233" s="6"/>
      <c r="F233" s="6"/>
      <c r="G233" s="6"/>
      <c r="H233" s="6"/>
      <c r="I233" s="6"/>
      <c r="J233" s="6"/>
      <c r="K233" s="6"/>
      <c r="L233" s="6"/>
    </row>
    <row r="234" spans="1:12" x14ac:dyDescent="0.2">
      <c r="C234" s="6"/>
      <c r="D234" s="6"/>
      <c r="E234" s="6"/>
      <c r="F234" s="6"/>
      <c r="G234" s="6"/>
      <c r="H234" s="6"/>
      <c r="I234" s="6"/>
      <c r="J234" s="6"/>
      <c r="K234" s="6"/>
      <c r="L234" s="6"/>
    </row>
    <row r="235" spans="1:12" x14ac:dyDescent="0.2">
      <c r="C235" s="6"/>
      <c r="D235" s="6"/>
      <c r="E235" s="6"/>
      <c r="F235" s="6"/>
      <c r="G235" s="6"/>
      <c r="H235" s="6"/>
      <c r="I235" s="6"/>
      <c r="J235" s="6"/>
      <c r="K235" s="6"/>
      <c r="L235" s="6"/>
    </row>
    <row r="236" spans="1:12" x14ac:dyDescent="0.2">
      <c r="C236" s="6"/>
      <c r="D236" s="6"/>
      <c r="E236" s="6"/>
      <c r="F236" s="6"/>
      <c r="G236" s="6"/>
      <c r="H236" s="6"/>
      <c r="I236" s="6"/>
      <c r="J236" s="6"/>
      <c r="K236" s="6"/>
      <c r="L236" s="6"/>
    </row>
    <row r="237" spans="1:12" x14ac:dyDescent="0.2">
      <c r="C237" s="6"/>
      <c r="D237" s="6"/>
      <c r="E237" s="6"/>
      <c r="F237" s="6"/>
      <c r="G237" s="6"/>
      <c r="H237" s="6"/>
      <c r="I237" s="6"/>
      <c r="J237" s="6"/>
      <c r="K237" s="6"/>
      <c r="L237" s="6"/>
    </row>
    <row r="238" spans="1:12" x14ac:dyDescent="0.2">
      <c r="C238" s="6"/>
      <c r="D238" s="6"/>
      <c r="E238" s="6"/>
      <c r="F238" s="6"/>
      <c r="G238" s="6"/>
      <c r="H238" s="6"/>
      <c r="I238" s="6"/>
      <c r="J238" s="6"/>
      <c r="K238" s="6"/>
      <c r="L238" s="6"/>
    </row>
    <row r="239" spans="1:12" x14ac:dyDescent="0.2">
      <c r="C239" s="6"/>
      <c r="D239" s="6"/>
      <c r="E239" s="6"/>
      <c r="F239" s="6"/>
      <c r="G239" s="6"/>
      <c r="H239" s="6"/>
      <c r="I239" s="6"/>
      <c r="J239" s="6"/>
      <c r="K239" s="6"/>
      <c r="L239" s="6"/>
    </row>
    <row r="240" spans="1:12" x14ac:dyDescent="0.2">
      <c r="C240" s="6"/>
      <c r="D240" s="6"/>
      <c r="E240" s="6"/>
      <c r="F240" s="6"/>
      <c r="G240" s="6"/>
      <c r="H240" s="6"/>
      <c r="I240" s="6"/>
      <c r="J240" s="6"/>
      <c r="K240" s="6"/>
      <c r="L240" s="6"/>
    </row>
    <row r="241" spans="1:12" x14ac:dyDescent="0.2">
      <c r="C241" s="6"/>
      <c r="D241" s="6"/>
      <c r="E241" s="6"/>
      <c r="F241" s="6"/>
      <c r="G241" s="6"/>
      <c r="H241" s="6"/>
      <c r="I241" s="6"/>
      <c r="J241" s="6"/>
      <c r="K241" s="6"/>
      <c r="L241" s="6"/>
    </row>
    <row r="242" spans="1:12" x14ac:dyDescent="0.2">
      <c r="C242" s="6"/>
      <c r="D242" s="6"/>
      <c r="E242" s="6"/>
      <c r="F242" s="6"/>
      <c r="G242" s="6"/>
      <c r="H242" s="6"/>
      <c r="I242" s="6"/>
      <c r="J242" s="6"/>
      <c r="K242" s="6"/>
      <c r="L242" s="6"/>
    </row>
    <row r="243" spans="1:12" x14ac:dyDescent="0.2">
      <c r="C243" s="6"/>
      <c r="D243" s="6"/>
      <c r="E243" s="6"/>
      <c r="F243" s="6"/>
      <c r="G243" s="6"/>
      <c r="H243" s="6"/>
      <c r="I243" s="6"/>
      <c r="J243" s="6"/>
      <c r="K243" s="6"/>
      <c r="L243" s="6"/>
    </row>
    <row r="244" spans="1:12" x14ac:dyDescent="0.2">
      <c r="C244" s="6"/>
      <c r="D244" s="6"/>
      <c r="E244" s="6"/>
      <c r="F244" s="6"/>
      <c r="G244" s="6"/>
      <c r="H244" s="6"/>
      <c r="I244" s="6"/>
      <c r="J244" s="6"/>
      <c r="K244" s="6"/>
      <c r="L244" s="6"/>
    </row>
    <row r="245" spans="1:12" x14ac:dyDescent="0.2">
      <c r="C245" s="6"/>
      <c r="D245" s="6"/>
      <c r="E245" s="6"/>
      <c r="F245" s="6"/>
      <c r="G245" s="6"/>
      <c r="H245" s="6"/>
      <c r="I245" s="6"/>
      <c r="J245" s="6"/>
      <c r="K245" s="6"/>
      <c r="L245" s="6"/>
    </row>
    <row r="246" spans="1:12" x14ac:dyDescent="0.2">
      <c r="A246">
        <f>3</f>
        <v>3</v>
      </c>
      <c r="B246">
        <f>ACE_Input!A6</f>
        <v>1</v>
      </c>
      <c r="C246" s="6">
        <f>MOD(Settings!$B$17*(Settings!$B$15+1000*A246),Settings!$B$18)</f>
        <v>257903415</v>
      </c>
      <c r="D246" s="6">
        <f>MAX(C246,1)/Settings!$B$18</f>
        <v>0.120095636285886</v>
      </c>
      <c r="E246" s="6">
        <f>F246</f>
        <v>2</v>
      </c>
      <c r="F246" s="6">
        <f>ACE_Input!D6</f>
        <v>2</v>
      </c>
      <c r="G246" s="6">
        <f>MOD(Settings!$B$17*(Settings!$B$16+1000*A246),Settings!$B$18)</f>
        <v>963394047</v>
      </c>
      <c r="H246" s="6">
        <f>MAX(G246,1)/Settings!$B$18</f>
        <v>0.44861531231953544</v>
      </c>
      <c r="I246" s="6">
        <f>-ACE_Input!W6*LN(H246)</f>
        <v>3.2063580956339663</v>
      </c>
      <c r="J246" s="6">
        <f>-ACE_Input!X6*LN(H246)</f>
        <v>9.619074286901899</v>
      </c>
      <c r="K246" s="6">
        <f>ACE_Input!U6</f>
        <v>300</v>
      </c>
      <c r="L246" s="6">
        <f>K246*ACE_Input!V6</f>
        <v>75</v>
      </c>
    </row>
    <row r="247" spans="1:12" x14ac:dyDescent="0.2">
      <c r="A247">
        <f>3</f>
        <v>3</v>
      </c>
      <c r="B247">
        <f>ACE_Input!A7</f>
        <v>2</v>
      </c>
      <c r="C247" s="6">
        <f>MOD(Settings!$B$17*(C246),Settings!$B$18)</f>
        <v>960696259</v>
      </c>
      <c r="D247" s="6">
        <f>MAX(C247,1)/Settings!$B$18</f>
        <v>0.44735905688598709</v>
      </c>
      <c r="E247" s="6">
        <f t="shared" ref="E247:E278" si="8">F247-F246</f>
        <v>5</v>
      </c>
      <c r="F247" s="6">
        <f>ACE_Input!D7</f>
        <v>7</v>
      </c>
      <c r="G247" s="6">
        <f>MOD(Settings!$B$17*(G246),Settings!$B$18)</f>
        <v>1884533196</v>
      </c>
      <c r="H247" s="6">
        <f>MAX(G247,1)/Settings!$B$18</f>
        <v>0.87755415443217111</v>
      </c>
      <c r="I247" s="6">
        <f>-ACE_Input!W7*LN(H247)</f>
        <v>0.52246644437503209</v>
      </c>
      <c r="J247" s="6">
        <f>-ACE_Input!X7*LN(H247)</f>
        <v>1.5673993331250964</v>
      </c>
      <c r="K247" s="6">
        <f>ACE_Input!U7</f>
        <v>300</v>
      </c>
      <c r="L247" s="6">
        <f>K247*ACE_Input!V7</f>
        <v>75</v>
      </c>
    </row>
    <row r="248" spans="1:12" x14ac:dyDescent="0.2">
      <c r="A248">
        <f>3</f>
        <v>3</v>
      </c>
      <c r="B248">
        <f>ACE_Input!A8</f>
        <v>3</v>
      </c>
      <c r="C248" s="6">
        <f>MOD(Settings!$B$17*(C247),Settings!$B$18)</f>
        <v>1639966867</v>
      </c>
      <c r="D248" s="6">
        <f>MAX(C248,1)/Settings!$B$18</f>
        <v>0.76366908278487111</v>
      </c>
      <c r="E248" s="6">
        <f t="shared" si="8"/>
        <v>25</v>
      </c>
      <c r="F248" s="6">
        <f>ACE_Input!D8</f>
        <v>32</v>
      </c>
      <c r="G248" s="6">
        <f>MOD(Settings!$B$17*(G247),Settings!$B$18)</f>
        <v>113115569</v>
      </c>
      <c r="H248" s="6">
        <f>MAX(G248,1)/Settings!$B$18</f>
        <v>5.2673541499615437E-2</v>
      </c>
      <c r="I248" s="6">
        <f>-ACE_Input!W8*LN(H248)</f>
        <v>11.774568033357525</v>
      </c>
      <c r="J248" s="6">
        <f>-ACE_Input!X8*LN(H248)</f>
        <v>35.323704100072575</v>
      </c>
      <c r="K248" s="6">
        <f>ACE_Input!U8</f>
        <v>300</v>
      </c>
      <c r="L248" s="6">
        <f>K248*ACE_Input!V8</f>
        <v>75</v>
      </c>
    </row>
    <row r="249" spans="1:12" x14ac:dyDescent="0.2">
      <c r="A249">
        <f>3</f>
        <v>3</v>
      </c>
      <c r="B249">
        <f>ACE_Input!A9</f>
        <v>4</v>
      </c>
      <c r="C249" s="6">
        <f>MOD(Settings!$B$17*(C248),Settings!$B$18)</f>
        <v>2118008071</v>
      </c>
      <c r="D249" s="6">
        <f>MAX(C249,1)/Settings!$B$18</f>
        <v>0.98627436532931145</v>
      </c>
      <c r="E249" s="6">
        <f t="shared" si="8"/>
        <v>5</v>
      </c>
      <c r="F249" s="6">
        <f>ACE_Input!D9</f>
        <v>37</v>
      </c>
      <c r="G249" s="6">
        <f>MOD(Settings!$B$17*(G248),Settings!$B$18)</f>
        <v>610340588</v>
      </c>
      <c r="H249" s="6">
        <f>MAX(G249,1)/Settings!$B$18</f>
        <v>0.28421198403658904</v>
      </c>
      <c r="I249" s="6">
        <f>-ACE_Input!W9*LN(H249)</f>
        <v>5.0321395863669478</v>
      </c>
      <c r="J249" s="6">
        <f>-ACE_Input!X9*LN(H249)</f>
        <v>15.096418759100843</v>
      </c>
      <c r="K249" s="6">
        <f>ACE_Input!U9</f>
        <v>300</v>
      </c>
      <c r="L249" s="6">
        <f>K249*ACE_Input!V9</f>
        <v>75</v>
      </c>
    </row>
    <row r="250" spans="1:12" x14ac:dyDescent="0.2">
      <c r="A250">
        <f>3</f>
        <v>3</v>
      </c>
      <c r="B250">
        <f>ACE_Input!A10</f>
        <v>5</v>
      </c>
      <c r="C250" s="6">
        <f>MOD(Settings!$B$17*(C249),Settings!$B$18)</f>
        <v>672716625</v>
      </c>
      <c r="D250" s="6">
        <f>MAX(C250,1)/Settings!$B$18</f>
        <v>0.31325808973668984</v>
      </c>
      <c r="E250" s="6">
        <f t="shared" si="8"/>
        <v>5</v>
      </c>
      <c r="F250" s="6">
        <f>ACE_Input!D10</f>
        <v>42</v>
      </c>
      <c r="G250" s="6">
        <f>MOD(Settings!$B$17*(G249),Settings!$B$18)</f>
        <v>1612364444</v>
      </c>
      <c r="H250" s="6">
        <f>MAX(G250,1)/Settings!$B$18</f>
        <v>0.75081570295189304</v>
      </c>
      <c r="I250" s="6">
        <f>-ACE_Input!W10*LN(H250)</f>
        <v>1.1463802381143915</v>
      </c>
      <c r="J250" s="6">
        <f>-ACE_Input!X10*LN(H250)</f>
        <v>3.4391407143431745</v>
      </c>
      <c r="K250" s="6">
        <f>ACE_Input!U10</f>
        <v>300</v>
      </c>
      <c r="L250" s="6">
        <f>K250*ACE_Input!V10</f>
        <v>75</v>
      </c>
    </row>
    <row r="251" spans="1:12" x14ac:dyDescent="0.2">
      <c r="A251">
        <f>3</f>
        <v>3</v>
      </c>
      <c r="B251">
        <f>ACE_Input!A11</f>
        <v>6</v>
      </c>
      <c r="C251" s="6">
        <f>MOD(Settings!$B$17*(C250),Settings!$B$18)</f>
        <v>1994398567</v>
      </c>
      <c r="D251" s="6">
        <f>MAX(C251,1)/Settings!$B$18</f>
        <v>0.92871420454639675</v>
      </c>
      <c r="E251" s="6">
        <f t="shared" si="8"/>
        <v>5</v>
      </c>
      <c r="F251" s="6">
        <f>ACE_Input!D11</f>
        <v>47</v>
      </c>
      <c r="G251" s="6">
        <f>MOD(Settings!$B$17*(G250),Settings!$B$18)</f>
        <v>2060552462</v>
      </c>
      <c r="H251" s="6">
        <f>MAX(G251,1)/Settings!$B$18</f>
        <v>0.95951951246686262</v>
      </c>
      <c r="I251" s="6">
        <f>-ACE_Input!W11*LN(H251)</f>
        <v>0.16529051065254058</v>
      </c>
      <c r="J251" s="6">
        <f>-ACE_Input!X11*LN(H251)</f>
        <v>0.49587153195762174</v>
      </c>
      <c r="K251" s="6">
        <f>ACE_Input!U11</f>
        <v>300</v>
      </c>
      <c r="L251" s="6">
        <f>K251*ACE_Input!V11</f>
        <v>75</v>
      </c>
    </row>
    <row r="252" spans="1:12" x14ac:dyDescent="0.2">
      <c r="A252">
        <f>3</f>
        <v>3</v>
      </c>
      <c r="B252">
        <f>ACE_Input!A12</f>
        <v>7</v>
      </c>
      <c r="C252" s="6">
        <f>MOD(Settings!$B$17*(C251),Settings!$B$18)</f>
        <v>1931953193</v>
      </c>
      <c r="D252" s="6">
        <f>MAX(C252,1)/Settings!$B$18</f>
        <v>0.89963581128960279</v>
      </c>
      <c r="E252" s="6">
        <f t="shared" si="8"/>
        <v>5</v>
      </c>
      <c r="F252" s="6">
        <f>ACE_Input!D12</f>
        <v>52</v>
      </c>
      <c r="G252" s="6">
        <f>MOD(Settings!$B$17*(G251),Settings!$B$18)</f>
        <v>1383937312</v>
      </c>
      <c r="H252" s="6">
        <f>MAX(G252,1)/Settings!$B$18</f>
        <v>0.644446030559226</v>
      </c>
      <c r="I252" s="6">
        <f>-ACE_Input!W12*LN(H252)</f>
        <v>1.7574567942971298</v>
      </c>
      <c r="J252" s="6">
        <f>-ACE_Input!X12*LN(H252)</f>
        <v>5.2723703828913893</v>
      </c>
      <c r="K252" s="6">
        <f>ACE_Input!U12</f>
        <v>300</v>
      </c>
      <c r="L252" s="6">
        <f>K252*ACE_Input!V12</f>
        <v>75</v>
      </c>
    </row>
    <row r="253" spans="1:12" x14ac:dyDescent="0.2">
      <c r="A253">
        <f>3</f>
        <v>3</v>
      </c>
      <c r="B253">
        <f>ACE_Input!A13</f>
        <v>8</v>
      </c>
      <c r="C253" s="6">
        <f>MOD(Settings!$B$17*(C252),Settings!$B$18)</f>
        <v>384572111</v>
      </c>
      <c r="D253" s="6">
        <f>MAX(C253,1)/Settings!$B$18</f>
        <v>0.17908034435430559</v>
      </c>
      <c r="E253" s="6">
        <f t="shared" si="8"/>
        <v>5</v>
      </c>
      <c r="F253" s="6">
        <f>ACE_Input!D13</f>
        <v>57</v>
      </c>
      <c r="G253" s="6">
        <f>MOD(Settings!$B$17*(G252),Settings!$B$18)</f>
        <v>439022127</v>
      </c>
      <c r="H253" s="6">
        <f>MAX(G253,1)/Settings!$B$18</f>
        <v>0.20443560891059953</v>
      </c>
      <c r="I253" s="6">
        <f>-ACE_Input!W13*LN(H253)</f>
        <v>6.3500088957373197</v>
      </c>
      <c r="J253" s="6">
        <f>-ACE_Input!X13*LN(H253)</f>
        <v>19.050026687211961</v>
      </c>
      <c r="K253" s="6">
        <f>ACE_Input!U13</f>
        <v>300</v>
      </c>
      <c r="L253" s="6">
        <f>K253*ACE_Input!V13</f>
        <v>75</v>
      </c>
    </row>
    <row r="254" spans="1:12" x14ac:dyDescent="0.2">
      <c r="A254">
        <f>3</f>
        <v>3</v>
      </c>
      <c r="B254">
        <f>ACE_Input!A14</f>
        <v>9</v>
      </c>
      <c r="C254" s="6">
        <f>MOD(Settings!$B$17*(C253),Settings!$B$18)</f>
        <v>1725175754</v>
      </c>
      <c r="D254" s="6">
        <f>MAX(C254,1)/Settings!$B$18</f>
        <v>0.80334756281382758</v>
      </c>
      <c r="E254" s="6">
        <f t="shared" si="8"/>
        <v>115</v>
      </c>
      <c r="F254" s="6">
        <f>ACE_Input!D14</f>
        <v>172</v>
      </c>
      <c r="G254" s="6">
        <f>MOD(Settings!$B$17*(G253),Settings!$B$18)</f>
        <v>2038561044</v>
      </c>
      <c r="H254" s="6">
        <f>MAX(G254,1)/Settings!$B$18</f>
        <v>0.9492789604464914</v>
      </c>
      <c r="I254" s="6">
        <f>-ACE_Input!W14*LN(H254)</f>
        <v>0.20821028627689131</v>
      </c>
      <c r="J254" s="6">
        <f>-ACE_Input!X14*LN(H254)</f>
        <v>0.62463085883067393</v>
      </c>
      <c r="K254" s="6">
        <f>ACE_Input!U14</f>
        <v>300</v>
      </c>
      <c r="L254" s="6">
        <f>K254*ACE_Input!V14</f>
        <v>75</v>
      </c>
    </row>
    <row r="255" spans="1:12" x14ac:dyDescent="0.2">
      <c r="A255">
        <f>3</f>
        <v>3</v>
      </c>
      <c r="B255">
        <f>ACE_Input!A15</f>
        <v>10</v>
      </c>
      <c r="C255" s="6">
        <f>MOD(Settings!$B$17*(C254),Settings!$B$18)</f>
        <v>1852179331</v>
      </c>
      <c r="D255" s="6">
        <f>MAX(C255,1)/Settings!$B$18</f>
        <v>0.86248821199987469</v>
      </c>
      <c r="E255" s="6">
        <f t="shared" si="8"/>
        <v>5</v>
      </c>
      <c r="F255" s="6">
        <f>ACE_Input!D15</f>
        <v>177</v>
      </c>
      <c r="G255" s="6">
        <f>MOD(Settings!$B$17*(G254),Settings!$B$18)</f>
        <v>1141362270</v>
      </c>
      <c r="H255" s="6">
        <f>MAX(G255,1)/Settings!$B$18</f>
        <v>0.53148822418017694</v>
      </c>
      <c r="I255" s="6">
        <f>-ACE_Input!W15*LN(H255)</f>
        <v>2.5282969490735496</v>
      </c>
      <c r="J255" s="6">
        <f>-ACE_Input!X15*LN(H255)</f>
        <v>7.5848908472206489</v>
      </c>
      <c r="K255" s="6">
        <f>ACE_Input!U15</f>
        <v>300</v>
      </c>
      <c r="L255" s="6">
        <f>K255*ACE_Input!V15</f>
        <v>75</v>
      </c>
    </row>
    <row r="256" spans="1:12" x14ac:dyDescent="0.2">
      <c r="A256">
        <f>3</f>
        <v>3</v>
      </c>
      <c r="B256">
        <f>ACE_Input!A16</f>
        <v>11</v>
      </c>
      <c r="C256" s="6">
        <f>MOD(Settings!$B$17*(C255),Settings!$B$18)</f>
        <v>1802552852</v>
      </c>
      <c r="D256" s="6">
        <f>MAX(C256,1)/Settings!$B$18</f>
        <v>0.83937908189342314</v>
      </c>
      <c r="E256" s="6">
        <f t="shared" si="8"/>
        <v>5</v>
      </c>
      <c r="F256" s="6">
        <f>ACE_Input!D16</f>
        <v>182</v>
      </c>
      <c r="G256" s="6">
        <f>MOD(Settings!$B$17*(G255),Settings!$B$18)</f>
        <v>1551736886</v>
      </c>
      <c r="H256" s="6">
        <f>MAX(G256,1)/Settings!$B$18</f>
        <v>0.72258379623414193</v>
      </c>
      <c r="I256" s="6">
        <f>-ACE_Input!W16*LN(H256)</f>
        <v>1.2996875390956424</v>
      </c>
      <c r="J256" s="6">
        <f>-ACE_Input!X16*LN(H256)</f>
        <v>3.8990626172869272</v>
      </c>
      <c r="K256" s="6">
        <f>ACE_Input!U16</f>
        <v>300</v>
      </c>
      <c r="L256" s="6">
        <f>K256*ACE_Input!V16</f>
        <v>75</v>
      </c>
    </row>
    <row r="257" spans="1:12" x14ac:dyDescent="0.2">
      <c r="A257">
        <f>3</f>
        <v>3</v>
      </c>
      <c r="B257">
        <f>ACE_Input!A17</f>
        <v>12</v>
      </c>
      <c r="C257" s="6">
        <f>MOD(Settings!$B$17*(C256),Settings!$B$18)</f>
        <v>953975335</v>
      </c>
      <c r="D257" s="6">
        <f>MAX(C257,1)/Settings!$B$18</f>
        <v>0.44422938276279222</v>
      </c>
      <c r="E257" s="6">
        <f t="shared" si="8"/>
        <v>5</v>
      </c>
      <c r="F257" s="6">
        <f>ACE_Input!D17</f>
        <v>187</v>
      </c>
      <c r="G257" s="6">
        <f>MOD(Settings!$B$17*(G256),Settings!$B$18)</f>
        <v>1000433834</v>
      </c>
      <c r="H257" s="6">
        <f>MAX(G257,1)/Settings!$B$18</f>
        <v>0.46586330722359165</v>
      </c>
      <c r="I257" s="6">
        <f>-ACE_Input!W17*LN(H257)</f>
        <v>3.0554520800999727</v>
      </c>
      <c r="J257" s="6">
        <f>-ACE_Input!X17*LN(H257)</f>
        <v>9.166356240299919</v>
      </c>
      <c r="K257" s="6">
        <f>ACE_Input!U17</f>
        <v>300</v>
      </c>
      <c r="L257" s="6">
        <f>K257*ACE_Input!V17</f>
        <v>75</v>
      </c>
    </row>
    <row r="258" spans="1:12" x14ac:dyDescent="0.2">
      <c r="A258">
        <f>3</f>
        <v>3</v>
      </c>
      <c r="B258">
        <f>ACE_Input!A18</f>
        <v>13</v>
      </c>
      <c r="C258" s="6">
        <f>MOD(Settings!$B$17*(C257),Settings!$B$18)</f>
        <v>350546843</v>
      </c>
      <c r="D258" s="6">
        <f>MAX(C258,1)/Settings!$B$18</f>
        <v>0.16323609424905669</v>
      </c>
      <c r="E258" s="6">
        <f t="shared" si="8"/>
        <v>5</v>
      </c>
      <c r="F258" s="6">
        <f>ACE_Input!D18</f>
        <v>192</v>
      </c>
      <c r="G258" s="6">
        <f>MOD(Settings!$B$17*(G257),Settings!$B$18)</f>
        <v>1641975675</v>
      </c>
      <c r="H258" s="6">
        <f>MAX(G258,1)/Settings!$B$18</f>
        <v>0.76460450690454085</v>
      </c>
      <c r="I258" s="6">
        <f>-ACE_Input!W18*LN(H258)</f>
        <v>1.073586253106565</v>
      </c>
      <c r="J258" s="6">
        <f>-ACE_Input!X18*LN(H258)</f>
        <v>3.2207587593196951</v>
      </c>
      <c r="K258" s="6">
        <f>ACE_Input!U18</f>
        <v>300</v>
      </c>
      <c r="L258" s="6">
        <f>K258*ACE_Input!V18</f>
        <v>75</v>
      </c>
    </row>
    <row r="259" spans="1:12" x14ac:dyDescent="0.2">
      <c r="A259">
        <f>3</f>
        <v>3</v>
      </c>
      <c r="B259">
        <f>ACE_Input!A19</f>
        <v>14</v>
      </c>
      <c r="C259" s="6">
        <f>MOD(Settings!$B$17*(C258),Settings!$B$18)</f>
        <v>1093146580</v>
      </c>
      <c r="D259" s="6">
        <f>MAX(C259,1)/Settings!$B$18</f>
        <v>0.50903604389589097</v>
      </c>
      <c r="E259" s="6">
        <f t="shared" si="8"/>
        <v>5</v>
      </c>
      <c r="F259" s="6">
        <f>ACE_Input!D19</f>
        <v>197</v>
      </c>
      <c r="G259" s="6">
        <f>MOD(Settings!$B$17*(G258),Settings!$B$18)</f>
        <v>1520305775</v>
      </c>
      <c r="H259" s="6">
        <f>MAX(G259,1)/Settings!$B$18</f>
        <v>0.70794754461755394</v>
      </c>
      <c r="I259" s="6">
        <f>-ACE_Input!W19*LN(H259)</f>
        <v>1.3815411102256421</v>
      </c>
      <c r="J259" s="6">
        <f>-ACE_Input!X19*LN(H259)</f>
        <v>4.144623330676926</v>
      </c>
      <c r="K259" s="6">
        <f>ACE_Input!U19</f>
        <v>300</v>
      </c>
      <c r="L259" s="6">
        <f>K259*ACE_Input!V19</f>
        <v>75</v>
      </c>
    </row>
    <row r="260" spans="1:12" x14ac:dyDescent="0.2">
      <c r="A260">
        <f>3</f>
        <v>3</v>
      </c>
      <c r="B260">
        <f>ACE_Input!A20</f>
        <v>15</v>
      </c>
      <c r="C260" s="6">
        <f>MOD(Settings!$B$17*(C259),Settings!$B$18)</f>
        <v>791969975</v>
      </c>
      <c r="D260" s="6">
        <f>MAX(C260,1)/Settings!$B$18</f>
        <v>0.36878975823930921</v>
      </c>
      <c r="E260" s="6">
        <f t="shared" si="8"/>
        <v>5</v>
      </c>
      <c r="F260" s="6">
        <f>ACE_Input!D20</f>
        <v>202</v>
      </c>
      <c r="G260" s="6">
        <f>MOD(Settings!$B$17*(G259),Settings!$B$18)</f>
        <v>1018728419</v>
      </c>
      <c r="H260" s="6">
        <f>MAX(G260,1)/Settings!$B$18</f>
        <v>0.4743823872294195</v>
      </c>
      <c r="I260" s="6">
        <f>-ACE_Input!W20*LN(H260)</f>
        <v>2.9829662336054308</v>
      </c>
      <c r="J260" s="6">
        <f>-ACE_Input!X20*LN(H260)</f>
        <v>8.9488987008162919</v>
      </c>
      <c r="K260" s="6">
        <f>ACE_Input!U20</f>
        <v>300</v>
      </c>
      <c r="L260" s="6">
        <f>K260*ACE_Input!V20</f>
        <v>75</v>
      </c>
    </row>
    <row r="261" spans="1:12" x14ac:dyDescent="0.2">
      <c r="A261">
        <f>3</f>
        <v>3</v>
      </c>
      <c r="B261">
        <f>ACE_Input!A21</f>
        <v>16</v>
      </c>
      <c r="C261" s="6">
        <f>MOD(Settings!$B$17*(C260),Settings!$B$18)</f>
        <v>535725719</v>
      </c>
      <c r="D261" s="6">
        <f>MAX(C261,1)/Settings!$B$18</f>
        <v>0.24946672806957118</v>
      </c>
      <c r="E261" s="6">
        <f t="shared" si="8"/>
        <v>5</v>
      </c>
      <c r="F261" s="6">
        <f>ACE_Input!D21</f>
        <v>207</v>
      </c>
      <c r="G261" s="6">
        <f>MOD(Settings!$B$17*(G260),Settings!$B$18)</f>
        <v>2028904249</v>
      </c>
      <c r="H261" s="6">
        <f>MAX(G261,1)/Settings!$B$18</f>
        <v>0.94478216485343047</v>
      </c>
      <c r="I261" s="6">
        <f>-ACE_Input!W21*LN(H261)</f>
        <v>0.22720356577320372</v>
      </c>
      <c r="J261" s="6">
        <f>-ACE_Input!X21*LN(H261)</f>
        <v>0.68161069731961121</v>
      </c>
      <c r="K261" s="6">
        <f>ACE_Input!U21</f>
        <v>300</v>
      </c>
      <c r="L261" s="6">
        <f>K261*ACE_Input!V21</f>
        <v>75</v>
      </c>
    </row>
    <row r="262" spans="1:12" x14ac:dyDescent="0.2">
      <c r="A262">
        <f>3</f>
        <v>3</v>
      </c>
      <c r="B262">
        <f>ACE_Input!A22</f>
        <v>17</v>
      </c>
      <c r="C262" s="6">
        <f>MOD(Settings!$B$17*(C261),Settings!$B$18)</f>
        <v>1690711009</v>
      </c>
      <c r="D262" s="6">
        <f>MAX(C262,1)/Settings!$B$18</f>
        <v>0.78729866528292125</v>
      </c>
      <c r="E262" s="6">
        <f t="shared" si="8"/>
        <v>5</v>
      </c>
      <c r="F262" s="6">
        <f>ACE_Input!D22</f>
        <v>212</v>
      </c>
      <c r="G262" s="6">
        <f>MOD(Settings!$B$17*(G261),Settings!$B$18)</f>
        <v>2048365877</v>
      </c>
      <c r="H262" s="6">
        <f>MAX(G262,1)/Settings!$B$18</f>
        <v>0.95384469160523488</v>
      </c>
      <c r="I262" s="6">
        <f>-ACE_Input!W22*LN(H262)</f>
        <v>0.18901767138492964</v>
      </c>
      <c r="J262" s="6">
        <f>-ACE_Input!X22*LN(H262)</f>
        <v>0.56705301415478893</v>
      </c>
      <c r="K262" s="6">
        <f>ACE_Input!U22</f>
        <v>300</v>
      </c>
      <c r="L262" s="6">
        <f>K262*ACE_Input!V22</f>
        <v>75</v>
      </c>
    </row>
    <row r="263" spans="1:12" x14ac:dyDescent="0.2">
      <c r="A263">
        <f>3</f>
        <v>3</v>
      </c>
      <c r="B263">
        <f>ACE_Input!A23</f>
        <v>18</v>
      </c>
      <c r="C263" s="6">
        <f>MOD(Settings!$B$17*(C262),Settings!$B$18)</f>
        <v>276311159</v>
      </c>
      <c r="D263" s="6">
        <f>MAX(C263,1)/Settings!$B$18</f>
        <v>0.12866741005734886</v>
      </c>
      <c r="E263" s="6">
        <f t="shared" si="8"/>
        <v>5</v>
      </c>
      <c r="F263" s="6">
        <f>ACE_Input!D23</f>
        <v>217</v>
      </c>
      <c r="G263" s="6">
        <f>MOD(Settings!$B$17*(G262),Settings!$B$18)</f>
        <v>574949682</v>
      </c>
      <c r="H263" s="6">
        <f>MAX(G263,1)/Settings!$B$18</f>
        <v>0.26773180918196765</v>
      </c>
      <c r="I263" s="6">
        <f>-ACE_Input!W23*LN(H263)</f>
        <v>5.2710780461016862</v>
      </c>
      <c r="J263" s="6">
        <f>-ACE_Input!X23*LN(H263)</f>
        <v>15.813234138305059</v>
      </c>
      <c r="K263" s="6">
        <f>ACE_Input!U23</f>
        <v>300</v>
      </c>
      <c r="L263" s="6">
        <f>K263*ACE_Input!V23</f>
        <v>75</v>
      </c>
    </row>
    <row r="264" spans="1:12" x14ac:dyDescent="0.2">
      <c r="A264">
        <f>3</f>
        <v>3</v>
      </c>
      <c r="B264">
        <f>ACE_Input!A24</f>
        <v>19</v>
      </c>
      <c r="C264" s="6">
        <f>MOD(Settings!$B$17*(C263),Settings!$B$18)</f>
        <v>1102004499</v>
      </c>
      <c r="D264" s="6">
        <f>MAX(C264,1)/Settings!$B$18</f>
        <v>0.51316083386221945</v>
      </c>
      <c r="E264" s="6">
        <f t="shared" si="8"/>
        <v>5</v>
      </c>
      <c r="F264" s="6">
        <f>ACE_Input!D24</f>
        <v>222</v>
      </c>
      <c r="G264" s="6">
        <f>MOD(Settings!$B$17*(G263),Settings!$B$18)</f>
        <v>1650377521</v>
      </c>
      <c r="H264" s="6">
        <f>MAX(G264,1)/Settings!$B$18</f>
        <v>0.7685169213304841</v>
      </c>
      <c r="I264" s="6">
        <f>-ACE_Input!W24*LN(H264)</f>
        <v>1.0531707903941963</v>
      </c>
      <c r="J264" s="6">
        <f>-ACE_Input!X24*LN(H264)</f>
        <v>3.159512371182589</v>
      </c>
      <c r="K264" s="6">
        <f>ACE_Input!U24</f>
        <v>300</v>
      </c>
      <c r="L264" s="6">
        <f>K264*ACE_Input!V24</f>
        <v>75</v>
      </c>
    </row>
    <row r="265" spans="1:12" x14ac:dyDescent="0.2">
      <c r="A265">
        <f>3</f>
        <v>3</v>
      </c>
      <c r="B265">
        <f>ACE_Input!A25</f>
        <v>20</v>
      </c>
      <c r="C265" s="6">
        <f>MOD(Settings!$B$17*(C264),Settings!$B$18)</f>
        <v>1490642965</v>
      </c>
      <c r="D265" s="6">
        <f>MAX(C265,1)/Settings!$B$18</f>
        <v>0.69413472232135698</v>
      </c>
      <c r="E265" s="6">
        <f t="shared" si="8"/>
        <v>5</v>
      </c>
      <c r="F265" s="6">
        <f>ACE_Input!D25</f>
        <v>227</v>
      </c>
      <c r="G265" s="6">
        <f>MOD(Settings!$B$17*(G264),Settings!$B$18)</f>
        <v>996210795</v>
      </c>
      <c r="H265" s="6">
        <f>MAX(G265,1)/Settings!$B$18</f>
        <v>0.46389680144558509</v>
      </c>
      <c r="I265" s="6">
        <f>-ACE_Input!W25*LN(H265)</f>
        <v>3.0723726486816911</v>
      </c>
      <c r="J265" s="6">
        <f>-ACE_Input!X25*LN(H265)</f>
        <v>9.2171179460450734</v>
      </c>
      <c r="K265" s="6">
        <f>ACE_Input!U25</f>
        <v>300</v>
      </c>
      <c r="L265" s="6">
        <f>K265*ACE_Input!V25</f>
        <v>75</v>
      </c>
    </row>
    <row r="266" spans="1:12" x14ac:dyDescent="0.2">
      <c r="A266">
        <f>3</f>
        <v>3</v>
      </c>
      <c r="B266">
        <f>ACE_Input!A26</f>
        <v>21</v>
      </c>
      <c r="C266" s="6">
        <f>MOD(Settings!$B$17*(C265),Settings!$B$18)</f>
        <v>692086853</v>
      </c>
      <c r="D266" s="6">
        <f>MAX(C266,1)/Settings!$B$18</f>
        <v>0.3222780550468145</v>
      </c>
      <c r="E266" s="6">
        <f t="shared" si="8"/>
        <v>5</v>
      </c>
      <c r="F266" s="6">
        <f>ACE_Input!D26</f>
        <v>232</v>
      </c>
      <c r="G266" s="6">
        <f>MOD(Settings!$B$17*(G265),Settings!$B$18)</f>
        <v>1532319553</v>
      </c>
      <c r="H266" s="6">
        <f>MAX(G266,1)/Settings!$B$18</f>
        <v>0.71354189594906847</v>
      </c>
      <c r="I266" s="6">
        <f>-ACE_Input!W26*LN(H266)</f>
        <v>1.3500564994785076</v>
      </c>
      <c r="J266" s="6">
        <f>-ACE_Input!X26*LN(H266)</f>
        <v>4.0501694984355225</v>
      </c>
      <c r="K266" s="6">
        <f>ACE_Input!U26</f>
        <v>300</v>
      </c>
      <c r="L266" s="6">
        <f>K266*ACE_Input!V26</f>
        <v>75</v>
      </c>
    </row>
    <row r="267" spans="1:12" x14ac:dyDescent="0.2">
      <c r="A267">
        <f>3</f>
        <v>3</v>
      </c>
      <c r="B267">
        <f>ACE_Input!A27</f>
        <v>22</v>
      </c>
      <c r="C267" s="6">
        <f>MOD(Settings!$B$17*(C266),Settings!$B$18)</f>
        <v>1132306219</v>
      </c>
      <c r="D267" s="6">
        <f>MAX(C267,1)/Settings!$B$18</f>
        <v>0.52727117181162875</v>
      </c>
      <c r="E267" s="6">
        <f t="shared" si="8"/>
        <v>5</v>
      </c>
      <c r="F267" s="6">
        <f>ACE_Input!D27</f>
        <v>237</v>
      </c>
      <c r="G267" s="6">
        <f>MOD(Settings!$B$17*(G266),Settings!$B$18)</f>
        <v>1070832447</v>
      </c>
      <c r="H267" s="6">
        <f>MAX(G267,1)/Settings!$B$18</f>
        <v>0.49864521599311623</v>
      </c>
      <c r="I267" s="6">
        <f>-ACE_Input!W27*LN(H267)</f>
        <v>2.7834417043905058</v>
      </c>
      <c r="J267" s="6">
        <f>-ACE_Input!X27*LN(H267)</f>
        <v>8.3503251131715182</v>
      </c>
      <c r="K267" s="6">
        <f>ACE_Input!U27</f>
        <v>300</v>
      </c>
      <c r="L267" s="6">
        <f>K267*ACE_Input!V27</f>
        <v>75</v>
      </c>
    </row>
    <row r="268" spans="1:12" x14ac:dyDescent="0.2">
      <c r="A268">
        <f>3</f>
        <v>3</v>
      </c>
      <c r="B268">
        <f>ACE_Input!A28</f>
        <v>23</v>
      </c>
      <c r="C268" s="6">
        <f>MOD(Settings!$B$17*(C267),Settings!$B$18)</f>
        <v>1818026666</v>
      </c>
      <c r="D268" s="6">
        <f>MAX(C268,1)/Settings!$B$18</f>
        <v>0.84658463804357897</v>
      </c>
      <c r="E268" s="6">
        <f t="shared" si="8"/>
        <v>5</v>
      </c>
      <c r="F268" s="6">
        <f>ACE_Input!D28</f>
        <v>242</v>
      </c>
      <c r="G268" s="6">
        <f>MOD(Settings!$B$17*(G267),Settings!$B$18)</f>
        <v>1567974869</v>
      </c>
      <c r="H268" s="6">
        <f>MAX(G268,1)/Settings!$B$18</f>
        <v>0.73014519630472419</v>
      </c>
      <c r="I268" s="6">
        <f>-ACE_Input!W28*LN(H268)</f>
        <v>1.2580474622797038</v>
      </c>
      <c r="J268" s="6">
        <f>-ACE_Input!X28*LN(H268)</f>
        <v>3.7741423868391113</v>
      </c>
      <c r="K268" s="6">
        <f>ACE_Input!U28</f>
        <v>300</v>
      </c>
      <c r="L268" s="6">
        <f>K268*ACE_Input!V28</f>
        <v>75</v>
      </c>
    </row>
    <row r="269" spans="1:12" x14ac:dyDescent="0.2">
      <c r="A269">
        <f>3</f>
        <v>3</v>
      </c>
      <c r="B269">
        <f>ACE_Input!A29</f>
        <v>24</v>
      </c>
      <c r="C269" s="6">
        <f>MOD(Settings!$B$17*(C268),Settings!$B$18)</f>
        <v>1176845946</v>
      </c>
      <c r="D269" s="6">
        <f>MAX(C269,1)/Settings!$B$18</f>
        <v>0.54801159843244196</v>
      </c>
      <c r="E269" s="6">
        <f t="shared" si="8"/>
        <v>5</v>
      </c>
      <c r="F269" s="6">
        <f>ACE_Input!D29</f>
        <v>247</v>
      </c>
      <c r="G269" s="6">
        <f>MOD(Settings!$B$17*(G268),Settings!$B$18)</f>
        <v>1181790946</v>
      </c>
      <c r="H269" s="6">
        <f>MAX(G269,1)/Settings!$B$18</f>
        <v>0.55031429349925098</v>
      </c>
      <c r="I269" s="6">
        <f>-ACE_Input!W29*LN(H269)</f>
        <v>2.3890628849637192</v>
      </c>
      <c r="J269" s="6">
        <f>-ACE_Input!X29*LN(H269)</f>
        <v>7.1671886548911576</v>
      </c>
      <c r="K269" s="6">
        <f>ACE_Input!U29</f>
        <v>300</v>
      </c>
      <c r="L269" s="6">
        <f>K269*ACE_Input!V29</f>
        <v>75</v>
      </c>
    </row>
    <row r="270" spans="1:12" x14ac:dyDescent="0.2">
      <c r="A270">
        <f>3</f>
        <v>3</v>
      </c>
      <c r="B270">
        <f>ACE_Input!A30</f>
        <v>25</v>
      </c>
      <c r="C270" s="6">
        <f>MOD(Settings!$B$17*(C269),Settings!$B$18)</f>
        <v>925425552</v>
      </c>
      <c r="D270" s="6">
        <f>MAX(C270,1)/Settings!$B$18</f>
        <v>0.4309348540524649</v>
      </c>
      <c r="E270" s="6">
        <f t="shared" si="8"/>
        <v>5</v>
      </c>
      <c r="F270" s="6">
        <f>ACE_Input!D30</f>
        <v>252</v>
      </c>
      <c r="G270" s="6">
        <f>MOD(Settings!$B$17*(G269),Settings!$B$18)</f>
        <v>284178319</v>
      </c>
      <c r="H270" s="6">
        <f>MAX(G270,1)/Settings!$B$18</f>
        <v>0.13233084191211072</v>
      </c>
      <c r="I270" s="6">
        <f>-ACE_Input!W30*LN(H270)</f>
        <v>8.0898004560036334</v>
      </c>
      <c r="J270" s="6">
        <f>-ACE_Input!X30*LN(H270)</f>
        <v>24.2694013680109</v>
      </c>
      <c r="K270" s="6">
        <f>ACE_Input!U30</f>
        <v>300</v>
      </c>
      <c r="L270" s="6">
        <f>K270*ACE_Input!V30</f>
        <v>75</v>
      </c>
    </row>
    <row r="271" spans="1:12" x14ac:dyDescent="0.2">
      <c r="A271">
        <f>3</f>
        <v>3</v>
      </c>
      <c r="B271">
        <f>ACE_Input!A31</f>
        <v>26</v>
      </c>
      <c r="C271" s="6">
        <f>MOD(Settings!$B$17*(C270),Settings!$B$18)</f>
        <v>1550680890</v>
      </c>
      <c r="D271" s="6">
        <f>MAX(C271,1)/Settings!$B$18</f>
        <v>0.72209205977716118</v>
      </c>
      <c r="E271" s="6">
        <f t="shared" si="8"/>
        <v>5</v>
      </c>
      <c r="F271" s="6">
        <f>ACE_Input!D31</f>
        <v>257</v>
      </c>
      <c r="G271" s="6">
        <f>MOD(Settings!$B$17*(G270),Settings!$B$18)</f>
        <v>181376505</v>
      </c>
      <c r="H271" s="6">
        <f>MAX(G271,1)/Settings!$B$18</f>
        <v>8.4460016845008368E-2</v>
      </c>
      <c r="I271" s="6">
        <f>-ACE_Input!W31*LN(H271)</f>
        <v>9.8859081201309476</v>
      </c>
      <c r="J271" s="6">
        <f>-ACE_Input!X31*LN(H271)</f>
        <v>29.657724360392841</v>
      </c>
      <c r="K271" s="6">
        <f>ACE_Input!U31</f>
        <v>300</v>
      </c>
      <c r="L271" s="6">
        <f>K271*ACE_Input!V31</f>
        <v>75</v>
      </c>
    </row>
    <row r="272" spans="1:12" x14ac:dyDescent="0.2">
      <c r="A272">
        <f>3</f>
        <v>3</v>
      </c>
      <c r="B272">
        <f>ACE_Input!A32</f>
        <v>27</v>
      </c>
      <c r="C272" s="6">
        <f>MOD(Settings!$B$17*(C271),Settings!$B$18)</f>
        <v>432178238</v>
      </c>
      <c r="D272" s="6">
        <f>MAX(C272,1)/Settings!$B$18</f>
        <v>0.20124867474718422</v>
      </c>
      <c r="E272" s="6">
        <f t="shared" si="8"/>
        <v>5</v>
      </c>
      <c r="F272" s="6">
        <f>ACE_Input!D32</f>
        <v>262</v>
      </c>
      <c r="G272" s="6">
        <f>MOD(Settings!$B$17*(G271),Settings!$B$18)</f>
        <v>1115624442</v>
      </c>
      <c r="H272" s="6">
        <f>MAX(G272,1)/Settings!$B$18</f>
        <v>0.51950311405561078</v>
      </c>
      <c r="I272" s="6">
        <f>-ACE_Input!W32*LN(H272)</f>
        <v>2.6195298965142304</v>
      </c>
      <c r="J272" s="6">
        <f>-ACE_Input!X32*LN(H272)</f>
        <v>7.8585896895426917</v>
      </c>
      <c r="K272" s="6">
        <f>ACE_Input!U32</f>
        <v>300</v>
      </c>
      <c r="L272" s="6">
        <f>K272*ACE_Input!V32</f>
        <v>75</v>
      </c>
    </row>
    <row r="273" spans="1:12" x14ac:dyDescent="0.2">
      <c r="A273">
        <f>3</f>
        <v>3</v>
      </c>
      <c r="B273">
        <f>ACE_Input!A33</f>
        <v>28</v>
      </c>
      <c r="C273" s="6">
        <f>MOD(Settings!$B$17*(C272),Settings!$B$18)</f>
        <v>829951912</v>
      </c>
      <c r="D273" s="6">
        <f>MAX(C273,1)/Settings!$B$18</f>
        <v>0.38647647592540668</v>
      </c>
      <c r="E273" s="6">
        <f t="shared" si="8"/>
        <v>6</v>
      </c>
      <c r="F273" s="6">
        <f>ACE_Input!D33</f>
        <v>268</v>
      </c>
      <c r="G273" s="6">
        <f>MOD(Settings!$B$17*(G272),Settings!$B$18)</f>
        <v>620274737</v>
      </c>
      <c r="H273" s="6">
        <f>MAX(G273,1)/Settings!$B$18</f>
        <v>0.28883793265039004</v>
      </c>
      <c r="I273" s="6">
        <f>-ACE_Input!W33*LN(H273)</f>
        <v>4.9675581393848596</v>
      </c>
      <c r="J273" s="6">
        <f>-ACE_Input!X33*LN(H273)</f>
        <v>14.902674418154579</v>
      </c>
      <c r="K273" s="6">
        <f>ACE_Input!U33</f>
        <v>300</v>
      </c>
      <c r="L273" s="6">
        <f>K273*ACE_Input!V33</f>
        <v>75</v>
      </c>
    </row>
    <row r="274" spans="1:12" x14ac:dyDescent="0.2">
      <c r="A274">
        <f>3</f>
        <v>3</v>
      </c>
      <c r="B274">
        <f>ACE_Input!A34</f>
        <v>29</v>
      </c>
      <c r="C274" s="6">
        <f>MOD(Settings!$B$17*(C273),Settings!$B$18)</f>
        <v>1095497719</v>
      </c>
      <c r="D274" s="6">
        <f>MAX(C274,1)/Settings!$B$18</f>
        <v>0.51013087830978021</v>
      </c>
      <c r="E274" s="6">
        <f t="shared" si="8"/>
        <v>5</v>
      </c>
      <c r="F274" s="6">
        <f>ACE_Input!D34</f>
        <v>273</v>
      </c>
      <c r="G274" s="6">
        <f>MOD(Settings!$B$17*(G273),Settings!$B$18)</f>
        <v>1071882221</v>
      </c>
      <c r="H274" s="6">
        <f>MAX(G274,1)/Settings!$B$18</f>
        <v>0.49913405510556608</v>
      </c>
      <c r="I274" s="6">
        <f>-ACE_Input!W34*LN(H274)</f>
        <v>2.7795222872150145</v>
      </c>
      <c r="J274" s="6">
        <f>-ACE_Input!X34*LN(H274)</f>
        <v>8.3385668616450435</v>
      </c>
      <c r="K274" s="6">
        <f>ACE_Input!U34</f>
        <v>300</v>
      </c>
      <c r="L274" s="6">
        <f>K274*ACE_Input!V34</f>
        <v>75</v>
      </c>
    </row>
    <row r="275" spans="1:12" x14ac:dyDescent="0.2">
      <c r="A275">
        <f>3</f>
        <v>3</v>
      </c>
      <c r="B275">
        <f>ACE_Input!A35</f>
        <v>30</v>
      </c>
      <c r="C275" s="6">
        <f>MOD(Settings!$B$17*(C274),Settings!$B$18)</f>
        <v>1652857502</v>
      </c>
      <c r="D275" s="6">
        <f>MAX(C275,1)/Settings!$B$18</f>
        <v>0.76967175247598052</v>
      </c>
      <c r="E275" s="6">
        <f t="shared" si="8"/>
        <v>5</v>
      </c>
      <c r="F275" s="6">
        <f>ACE_Input!D35</f>
        <v>278</v>
      </c>
      <c r="G275" s="6">
        <f>MOD(Settings!$B$17*(G274),Settings!$B$18)</f>
        <v>2031657311</v>
      </c>
      <c r="H275" s="6">
        <f>MAX(G275,1)/Settings!$B$18</f>
        <v>0.94606415924898546</v>
      </c>
      <c r="I275" s="6">
        <f>-ACE_Input!W35*LN(H275)</f>
        <v>0.22177956245510763</v>
      </c>
      <c r="J275" s="6">
        <f>-ACE_Input!X35*LN(H275)</f>
        <v>0.66533868736532287</v>
      </c>
      <c r="K275" s="6">
        <f>ACE_Input!U35</f>
        <v>300</v>
      </c>
      <c r="L275" s="6">
        <f>K275*ACE_Input!V35</f>
        <v>75</v>
      </c>
    </row>
    <row r="276" spans="1:12" x14ac:dyDescent="0.2">
      <c r="A276">
        <f>3</f>
        <v>3</v>
      </c>
      <c r="B276">
        <f>ACE_Input!A36</f>
        <v>31</v>
      </c>
      <c r="C276" s="6">
        <f>MOD(Settings!$B$17*(C275),Settings!$B$18)</f>
        <v>1875062169</v>
      </c>
      <c r="D276" s="6">
        <f>MAX(C276,1)/Settings!$B$18</f>
        <v>0.87314386380517106</v>
      </c>
      <c r="E276" s="6">
        <f t="shared" si="8"/>
        <v>5</v>
      </c>
      <c r="F276" s="6">
        <f>ACE_Input!D36</f>
        <v>283</v>
      </c>
      <c r="G276" s="6">
        <f>MOD(Settings!$B$17*(G275),Settings!$B$18)</f>
        <v>1074438677</v>
      </c>
      <c r="H276" s="6">
        <f>MAX(G276,1)/Settings!$B$18</f>
        <v>0.50032449769802601</v>
      </c>
      <c r="I276" s="6">
        <f>-ACE_Input!W36*LN(H276)</f>
        <v>2.7699935826813271</v>
      </c>
      <c r="J276" s="6">
        <f>-ACE_Input!X36*LN(H276)</f>
        <v>8.3099807480439818</v>
      </c>
      <c r="K276" s="6">
        <f>ACE_Input!U36</f>
        <v>300</v>
      </c>
      <c r="L276" s="6">
        <f>K276*ACE_Input!V36</f>
        <v>75</v>
      </c>
    </row>
    <row r="277" spans="1:12" x14ac:dyDescent="0.2">
      <c r="A277">
        <f>3</f>
        <v>3</v>
      </c>
      <c r="B277">
        <f>ACE_Input!A37</f>
        <v>32</v>
      </c>
      <c r="C277" s="6">
        <f>MOD(Settings!$B$17*(C276),Settings!$B$18)</f>
        <v>1994838305</v>
      </c>
      <c r="D277" s="6">
        <f>MAX(C277,1)/Settings!$B$18</f>
        <v>0.92891897350965025</v>
      </c>
      <c r="E277" s="6">
        <f t="shared" si="8"/>
        <v>5</v>
      </c>
      <c r="F277" s="6">
        <f>ACE_Input!D37</f>
        <v>288</v>
      </c>
      <c r="G277" s="6">
        <f>MOD(Settings!$B$17*(G276),Settings!$B$18)</f>
        <v>2048340363</v>
      </c>
      <c r="H277" s="6">
        <f>MAX(G277,1)/Settings!$B$18</f>
        <v>0.95383281072314496</v>
      </c>
      <c r="I277" s="6">
        <f>-ACE_Input!W37*LN(H277)</f>
        <v>0.18906749482552931</v>
      </c>
      <c r="J277" s="6">
        <f>-ACE_Input!X37*LN(H277)</f>
        <v>0.56720248447658794</v>
      </c>
      <c r="K277" s="6">
        <f>ACE_Input!U37</f>
        <v>300</v>
      </c>
      <c r="L277" s="6">
        <f>K277*ACE_Input!V37</f>
        <v>75</v>
      </c>
    </row>
    <row r="278" spans="1:12" x14ac:dyDescent="0.2">
      <c r="A278">
        <f>3</f>
        <v>3</v>
      </c>
      <c r="B278">
        <f>ACE_Input!A38</f>
        <v>33</v>
      </c>
      <c r="C278" s="6">
        <f>MOD(Settings!$B$17*(C277),Settings!$B$18)</f>
        <v>732695171</v>
      </c>
      <c r="D278" s="6">
        <f>MAX(C278,1)/Settings!$B$18</f>
        <v>0.34118777669090211</v>
      </c>
      <c r="E278" s="6">
        <f t="shared" si="8"/>
        <v>5</v>
      </c>
      <c r="F278" s="6">
        <f>ACE_Input!D38</f>
        <v>293</v>
      </c>
      <c r="G278" s="6">
        <f>MOD(Settings!$B$17*(G277),Settings!$B$18)</f>
        <v>146135884</v>
      </c>
      <c r="H278" s="6">
        <f>MAX(G278,1)/Settings!$B$18</f>
        <v>6.8049823896982622E-2</v>
      </c>
      <c r="I278" s="6">
        <f>-ACE_Input!W38*LN(H278)</f>
        <v>10.750060550941749</v>
      </c>
      <c r="J278" s="6">
        <f>-ACE_Input!X38*LN(H278)</f>
        <v>32.250181652825248</v>
      </c>
      <c r="K278" s="6">
        <f>ACE_Input!U38</f>
        <v>300</v>
      </c>
      <c r="L278" s="6">
        <f>K278*ACE_Input!V38</f>
        <v>75</v>
      </c>
    </row>
    <row r="279" spans="1:12" x14ac:dyDescent="0.2">
      <c r="A279">
        <f>3</f>
        <v>3</v>
      </c>
      <c r="B279">
        <f>ACE_Input!A39</f>
        <v>34</v>
      </c>
      <c r="C279" s="6">
        <f>MOD(Settings!$B$17*(C278),Settings!$B$18)</f>
        <v>736507099</v>
      </c>
      <c r="D279" s="6">
        <f>MAX(C279,1)/Settings!$B$18</f>
        <v>0.34296284399133309</v>
      </c>
      <c r="E279" s="6">
        <f t="shared" ref="E279:E310" si="9">F279-F278</f>
        <v>5</v>
      </c>
      <c r="F279" s="6">
        <f>ACE_Input!D39</f>
        <v>298</v>
      </c>
      <c r="G279" s="6">
        <f>MOD(Settings!$B$17*(G278),Settings!$B$18)</f>
        <v>1531993867</v>
      </c>
      <c r="H279" s="6">
        <f>MAX(G279,1)/Settings!$B$18</f>
        <v>0.71339023658697975</v>
      </c>
      <c r="I279" s="6">
        <f>-ACE_Input!W39*LN(H279)</f>
        <v>1.3509067675982127</v>
      </c>
      <c r="J279" s="6">
        <f>-ACE_Input!X39*LN(H279)</f>
        <v>4.0527203027946381</v>
      </c>
      <c r="K279" s="6">
        <f>ACE_Input!U39</f>
        <v>300</v>
      </c>
      <c r="L279" s="6">
        <f>K279*ACE_Input!V39</f>
        <v>75</v>
      </c>
    </row>
    <row r="280" spans="1:12" x14ac:dyDescent="0.2">
      <c r="A280">
        <f>3</f>
        <v>3</v>
      </c>
      <c r="B280">
        <f>ACE_Input!A40</f>
        <v>35</v>
      </c>
      <c r="C280" s="6">
        <f>MOD(Settings!$B$17*(C279),Settings!$B$18)</f>
        <v>379071585</v>
      </c>
      <c r="D280" s="6">
        <f>MAX(C280,1)/Settings!$B$18</f>
        <v>0.17651896233508316</v>
      </c>
      <c r="E280" s="6">
        <f t="shared" si="9"/>
        <v>5</v>
      </c>
      <c r="F280" s="6">
        <f>ACE_Input!D40</f>
        <v>303</v>
      </c>
      <c r="G280" s="6">
        <f>MOD(Settings!$B$17*(G279),Settings!$B$18)</f>
        <v>2039478786</v>
      </c>
      <c r="H280" s="6">
        <f>MAX(G280,1)/Settings!$B$18</f>
        <v>0.94970631736782674</v>
      </c>
      <c r="I280" s="6">
        <f>-ACE_Input!W40*LN(H280)</f>
        <v>0.20640992717545906</v>
      </c>
      <c r="J280" s="6">
        <f>-ACE_Input!X40*LN(H280)</f>
        <v>0.6192297815263772</v>
      </c>
      <c r="K280" s="6">
        <f>ACE_Input!U40</f>
        <v>300</v>
      </c>
      <c r="L280" s="6">
        <f>K280*ACE_Input!V40</f>
        <v>75</v>
      </c>
    </row>
    <row r="281" spans="1:12" x14ac:dyDescent="0.2">
      <c r="A281">
        <f>3</f>
        <v>3</v>
      </c>
      <c r="B281">
        <f>ACE_Input!A41</f>
        <v>36</v>
      </c>
      <c r="C281" s="6">
        <f>MOD(Settings!$B$17*(C280),Settings!$B$18)</f>
        <v>1619632093</v>
      </c>
      <c r="D281" s="6">
        <f>MAX(C281,1)/Settings!$B$18</f>
        <v>0.7541999657425098</v>
      </c>
      <c r="E281" s="6">
        <f t="shared" si="9"/>
        <v>5</v>
      </c>
      <c r="F281" s="6">
        <f>ACE_Input!D41</f>
        <v>308</v>
      </c>
      <c r="G281" s="6">
        <f>MOD(Settings!$B$17*(G280),Settings!$B$18)</f>
        <v>1533466535</v>
      </c>
      <c r="H281" s="6">
        <f>MAX(G281,1)/Settings!$B$18</f>
        <v>0.71407600106395597</v>
      </c>
      <c r="I281" s="6">
        <f>-ACE_Input!W41*LN(H281)</f>
        <v>1.3470635129606208</v>
      </c>
      <c r="J281" s="6">
        <f>-ACE_Input!X41*LN(H281)</f>
        <v>4.0411905388818621</v>
      </c>
      <c r="K281" s="6">
        <f>ACE_Input!U41</f>
        <v>300</v>
      </c>
      <c r="L281" s="6">
        <f>K281*ACE_Input!V41</f>
        <v>75</v>
      </c>
    </row>
    <row r="282" spans="1:12" x14ac:dyDescent="0.2">
      <c r="A282">
        <f>3</f>
        <v>3</v>
      </c>
      <c r="B282">
        <f>ACE_Input!A42</f>
        <v>37</v>
      </c>
      <c r="C282" s="6">
        <f>MOD(Settings!$B$17*(C281),Settings!$B$18)</f>
        <v>1801361326</v>
      </c>
      <c r="D282" s="6">
        <f>MAX(C282,1)/Settings!$B$18</f>
        <v>0.83882423436214415</v>
      </c>
      <c r="E282" s="6">
        <f t="shared" si="9"/>
        <v>5</v>
      </c>
      <c r="F282" s="6">
        <f>ACE_Input!D42</f>
        <v>313</v>
      </c>
      <c r="G282" s="6">
        <f>MOD(Settings!$B$17*(G281),Settings!$B$18)</f>
        <v>1020806098</v>
      </c>
      <c r="H282" s="6">
        <f>MAX(G282,1)/Settings!$B$18</f>
        <v>0.47534988190762228</v>
      </c>
      <c r="I282" s="6">
        <f>-ACE_Input!W42*LN(H282)</f>
        <v>2.9748166104384199</v>
      </c>
      <c r="J282" s="6">
        <f>-ACE_Input!X42*LN(H282)</f>
        <v>8.9244498313152594</v>
      </c>
      <c r="K282" s="6">
        <f>ACE_Input!U42</f>
        <v>300</v>
      </c>
      <c r="L282" s="6">
        <f>K282*ACE_Input!V42</f>
        <v>75</v>
      </c>
    </row>
    <row r="283" spans="1:12" x14ac:dyDescent="0.2">
      <c r="A283">
        <f>3</f>
        <v>3</v>
      </c>
      <c r="B283">
        <f>ACE_Input!A43</f>
        <v>38</v>
      </c>
      <c r="C283" s="6">
        <f>MOD(Settings!$B$17*(C282),Settings!$B$18)</f>
        <v>255350676</v>
      </c>
      <c r="D283" s="6">
        <f>MAX(C283,1)/Settings!$B$18</f>
        <v>0.11890692455643179</v>
      </c>
      <c r="E283" s="6">
        <f t="shared" si="9"/>
        <v>5</v>
      </c>
      <c r="F283" s="6">
        <f>ACE_Input!D43</f>
        <v>318</v>
      </c>
      <c r="G283" s="6">
        <f>MOD(Settings!$B$17*(G282),Settings!$B$18)</f>
        <v>441233203</v>
      </c>
      <c r="H283" s="6">
        <f>MAX(G283,1)/Settings!$B$18</f>
        <v>0.20546522140757423</v>
      </c>
      <c r="I283" s="6">
        <f>-ACE_Input!W43*LN(H283)</f>
        <v>6.3299139930437915</v>
      </c>
      <c r="J283" s="6">
        <f>-ACE_Input!X43*LN(H283)</f>
        <v>18.989741979131374</v>
      </c>
      <c r="K283" s="6">
        <f>ACE_Input!U43</f>
        <v>300</v>
      </c>
      <c r="L283" s="6">
        <f>K283*ACE_Input!V43</f>
        <v>75</v>
      </c>
    </row>
    <row r="284" spans="1:12" x14ac:dyDescent="0.2">
      <c r="A284">
        <f>3</f>
        <v>3</v>
      </c>
      <c r="B284">
        <f>ACE_Input!A44</f>
        <v>39</v>
      </c>
      <c r="C284" s="6">
        <f>MOD(Settings!$B$17*(C283),Settings!$B$18)</f>
        <v>1006484826</v>
      </c>
      <c r="D284" s="6">
        <f>MAX(C284,1)/Settings!$B$18</f>
        <v>0.46868101994911254</v>
      </c>
      <c r="E284" s="6">
        <f t="shared" si="9"/>
        <v>5</v>
      </c>
      <c r="F284" s="6">
        <f>ACE_Input!D44</f>
        <v>323</v>
      </c>
      <c r="G284" s="6">
        <f>MOD(Settings!$B$17*(G283),Settings!$B$18)</f>
        <v>545409730</v>
      </c>
      <c r="H284" s="6">
        <f>MAX(G284,1)/Settings!$B$18</f>
        <v>0.25397619710023339</v>
      </c>
      <c r="I284" s="6">
        <f>-ACE_Input!W44*LN(H284)</f>
        <v>5.4820589142346758</v>
      </c>
      <c r="J284" s="6">
        <f>-ACE_Input!X44*LN(H284)</f>
        <v>16.446176742704026</v>
      </c>
      <c r="K284" s="6">
        <f>ACE_Input!U44</f>
        <v>300</v>
      </c>
      <c r="L284" s="6">
        <f>K284*ACE_Input!V44</f>
        <v>75</v>
      </c>
    </row>
    <row r="285" spans="1:12" x14ac:dyDescent="0.2">
      <c r="A285">
        <f>3</f>
        <v>3</v>
      </c>
      <c r="B285">
        <f>ACE_Input!A45</f>
        <v>40</v>
      </c>
      <c r="C285" s="6">
        <f>MOD(Settings!$B$17*(C284),Settings!$B$18)</f>
        <v>261783163</v>
      </c>
      <c r="D285" s="6">
        <f>MAX(C285,1)/Settings!$B$18</f>
        <v>0.12190228473483691</v>
      </c>
      <c r="E285" s="6">
        <f t="shared" si="9"/>
        <v>5</v>
      </c>
      <c r="F285" s="6">
        <f>ACE_Input!D45</f>
        <v>328</v>
      </c>
      <c r="G285" s="6">
        <f>MOD(Settings!$B$17*(G284),Settings!$B$18)</f>
        <v>1241126714</v>
      </c>
      <c r="H285" s="6">
        <f>MAX(G285,1)/Settings!$B$18</f>
        <v>0.57794466362239083</v>
      </c>
      <c r="I285" s="6">
        <f>-ACE_Input!W45*LN(H285)</f>
        <v>2.1931086102817123</v>
      </c>
      <c r="J285" s="6">
        <f>-ACE_Input!X45*LN(H285)</f>
        <v>6.5793258308451374</v>
      </c>
      <c r="K285" s="6">
        <f>ACE_Input!U45</f>
        <v>300</v>
      </c>
      <c r="L285" s="6">
        <f>K285*ACE_Input!V45</f>
        <v>75</v>
      </c>
    </row>
    <row r="286" spans="1:12" x14ac:dyDescent="0.2">
      <c r="A286">
        <f>3</f>
        <v>3</v>
      </c>
      <c r="B286">
        <f>ACE_Input!A46</f>
        <v>41</v>
      </c>
      <c r="C286" s="6">
        <f>MOD(Settings!$B$17*(C285),Settings!$B$18)</f>
        <v>1743111485</v>
      </c>
      <c r="D286" s="6">
        <f>MAX(C286,1)/Settings!$B$18</f>
        <v>0.81169953840398212</v>
      </c>
      <c r="E286" s="6">
        <f t="shared" si="9"/>
        <v>5</v>
      </c>
      <c r="F286" s="6">
        <f>ACE_Input!D46</f>
        <v>333</v>
      </c>
      <c r="G286" s="6">
        <f>MOD(Settings!$B$17*(G285),Settings!$B$18)</f>
        <v>1108018887</v>
      </c>
      <c r="H286" s="6">
        <f>MAX(G286,1)/Settings!$B$18</f>
        <v>0.51596150152197173</v>
      </c>
      <c r="I286" s="6">
        <f>-ACE_Input!W46*LN(H286)</f>
        <v>2.6468925029501649</v>
      </c>
      <c r="J286" s="6">
        <f>-ACE_Input!X46*LN(H286)</f>
        <v>7.9406775088504951</v>
      </c>
      <c r="K286" s="6">
        <f>ACE_Input!U46</f>
        <v>300</v>
      </c>
      <c r="L286" s="6">
        <f>K286*ACE_Input!V46</f>
        <v>75</v>
      </c>
    </row>
    <row r="287" spans="1:12" x14ac:dyDescent="0.2">
      <c r="A287">
        <f>3</f>
        <v>3</v>
      </c>
      <c r="B287">
        <f>ACE_Input!A47</f>
        <v>42</v>
      </c>
      <c r="C287" s="6">
        <f>MOD(Settings!$B$17*(C286),Settings!$B$18)</f>
        <v>502816021</v>
      </c>
      <c r="D287" s="6">
        <f>MAX(C287,1)/Settings!$B$18</f>
        <v>0.2341419557268461</v>
      </c>
      <c r="E287" s="6">
        <f t="shared" si="9"/>
        <v>5</v>
      </c>
      <c r="F287" s="6">
        <f>ACE_Input!D47</f>
        <v>338</v>
      </c>
      <c r="G287" s="6">
        <f>MOD(Settings!$B$17*(G286),Settings!$B$18)</f>
        <v>1642730672</v>
      </c>
      <c r="H287" s="6">
        <f>MAX(G287,1)/Settings!$B$18</f>
        <v>0.76495607977963798</v>
      </c>
      <c r="I287" s="6">
        <f>-ACE_Input!W47*LN(H287)</f>
        <v>1.0717474354259882</v>
      </c>
      <c r="J287" s="6">
        <f>-ACE_Input!X47*LN(H287)</f>
        <v>3.2152423062779647</v>
      </c>
      <c r="K287" s="6">
        <f>ACE_Input!U47</f>
        <v>300</v>
      </c>
      <c r="L287" s="6">
        <f>K287*ACE_Input!V47</f>
        <v>75</v>
      </c>
    </row>
    <row r="288" spans="1:12" x14ac:dyDescent="0.2">
      <c r="A288">
        <f>3</f>
        <v>3</v>
      </c>
      <c r="B288">
        <f>ACE_Input!A48</f>
        <v>43</v>
      </c>
      <c r="C288" s="6">
        <f>MOD(Settings!$B$17*(C287),Settings!$B$18)</f>
        <v>480714002</v>
      </c>
      <c r="D288" s="6">
        <f>MAX(C288,1)/Settings!$B$18</f>
        <v>0.22384990110241337</v>
      </c>
      <c r="E288" s="6">
        <f t="shared" si="9"/>
        <v>5</v>
      </c>
      <c r="F288" s="6">
        <f>ACE_Input!D48</f>
        <v>343</v>
      </c>
      <c r="G288" s="6">
        <f>MOD(Settings!$B$17*(G287),Settings!$B$18)</f>
        <v>1324638472</v>
      </c>
      <c r="H288" s="6">
        <f>MAX(G288,1)/Settings!$B$18</f>
        <v>0.61683285637611196</v>
      </c>
      <c r="I288" s="6">
        <f>-ACE_Input!W48*LN(H288)</f>
        <v>1.9326287562379814</v>
      </c>
      <c r="J288" s="6">
        <f>-ACE_Input!X48*LN(H288)</f>
        <v>5.7978862687139436</v>
      </c>
      <c r="K288" s="6">
        <f>ACE_Input!U48</f>
        <v>300</v>
      </c>
      <c r="L288" s="6">
        <f>K288*ACE_Input!V48</f>
        <v>75</v>
      </c>
    </row>
    <row r="289" spans="1:12" x14ac:dyDescent="0.2">
      <c r="A289">
        <f>3</f>
        <v>3</v>
      </c>
      <c r="B289">
        <f>ACE_Input!A49</f>
        <v>44</v>
      </c>
      <c r="C289" s="6">
        <f>MOD(Settings!$B$17*(C288),Settings!$B$18)</f>
        <v>526751600</v>
      </c>
      <c r="D289" s="6">
        <f>MAX(C289,1)/Settings!$B$18</f>
        <v>0.2452878282616324</v>
      </c>
      <c r="E289" s="6">
        <f t="shared" si="9"/>
        <v>5</v>
      </c>
      <c r="F289" s="6">
        <f>ACE_Input!D49</f>
        <v>348</v>
      </c>
      <c r="G289" s="6">
        <f>MOD(Settings!$B$17*(G288),Settings!$B$18)</f>
        <v>235830455</v>
      </c>
      <c r="H289" s="6">
        <f>MAX(G289,1)/Settings!$B$18</f>
        <v>0.10981711331280745</v>
      </c>
      <c r="I289" s="6">
        <f>-ACE_Input!W49*LN(H289)</f>
        <v>8.835755612402254</v>
      </c>
      <c r="J289" s="6">
        <f>-ACE_Input!X49*LN(H289)</f>
        <v>26.507266837206764</v>
      </c>
      <c r="K289" s="6">
        <f>ACE_Input!U49</f>
        <v>300</v>
      </c>
      <c r="L289" s="6">
        <f>K289*ACE_Input!V49</f>
        <v>75</v>
      </c>
    </row>
    <row r="290" spans="1:12" x14ac:dyDescent="0.2">
      <c r="A290">
        <f>3</f>
        <v>3</v>
      </c>
      <c r="B290">
        <f>ACE_Input!A50</f>
        <v>45</v>
      </c>
      <c r="C290" s="6">
        <f>MOD(Settings!$B$17*(C289),Settings!$B$18)</f>
        <v>1186548266</v>
      </c>
      <c r="D290" s="6">
        <f>MAX(C290,1)/Settings!$B$18</f>
        <v>0.55252959325561746</v>
      </c>
      <c r="E290" s="6">
        <f t="shared" si="9"/>
        <v>6</v>
      </c>
      <c r="F290" s="6">
        <f>ACE_Input!D50</f>
        <v>354</v>
      </c>
      <c r="G290" s="6">
        <f>MOD(Settings!$B$17*(G289),Settings!$B$18)</f>
        <v>1495128470</v>
      </c>
      <c r="H290" s="6">
        <f>MAX(G290,1)/Settings!$B$18</f>
        <v>0.69622344835485495</v>
      </c>
      <c r="I290" s="6">
        <f>-ACE_Input!W50*LN(H290)</f>
        <v>1.4483384947410107</v>
      </c>
      <c r="J290" s="6">
        <f>-ACE_Input!X50*LN(H290)</f>
        <v>4.3450154842230324</v>
      </c>
      <c r="K290" s="6">
        <f>ACE_Input!U50</f>
        <v>300</v>
      </c>
      <c r="L290" s="6">
        <f>K290*ACE_Input!V50</f>
        <v>75</v>
      </c>
    </row>
    <row r="291" spans="1:12" x14ac:dyDescent="0.2">
      <c r="A291">
        <f>3</f>
        <v>3</v>
      </c>
      <c r="B291">
        <f>ACE_Input!A51</f>
        <v>46</v>
      </c>
      <c r="C291" s="6">
        <f>MOD(Settings!$B$17*(C290),Settings!$B$18)</f>
        <v>783560620</v>
      </c>
      <c r="D291" s="6">
        <f>MAX(C291,1)/Settings!$B$18</f>
        <v>0.36487384716275795</v>
      </c>
      <c r="E291" s="6">
        <f t="shared" si="9"/>
        <v>5</v>
      </c>
      <c r="F291" s="6">
        <f>ACE_Input!D51</f>
        <v>359</v>
      </c>
      <c r="G291" s="6">
        <f>MOD(Settings!$B$17*(G290),Settings!$B$18)</f>
        <v>918041743</v>
      </c>
      <c r="H291" s="6">
        <f>MAX(G291,1)/Settings!$B$18</f>
        <v>0.42749650004668932</v>
      </c>
      <c r="I291" s="6">
        <f>-ACE_Input!W51*LN(H291)</f>
        <v>3.3992367106564965</v>
      </c>
      <c r="J291" s="6">
        <f>-ACE_Input!X51*LN(H291)</f>
        <v>10.19771013196949</v>
      </c>
      <c r="K291" s="6">
        <f>ACE_Input!U51</f>
        <v>300</v>
      </c>
      <c r="L291" s="6">
        <f>K291*ACE_Input!V51</f>
        <v>75</v>
      </c>
    </row>
    <row r="292" spans="1:12" x14ac:dyDescent="0.2">
      <c r="A292">
        <f>3</f>
        <v>3</v>
      </c>
      <c r="B292">
        <f>ACE_Input!A52</f>
        <v>47</v>
      </c>
      <c r="C292" s="6">
        <f>MOD(Settings!$B$17*(C291),Settings!$B$18)</f>
        <v>933616936</v>
      </c>
      <c r="D292" s="6">
        <f>MAX(C292,1)/Settings!$B$18</f>
        <v>0.43474926447251311</v>
      </c>
      <c r="E292" s="6">
        <f t="shared" si="9"/>
        <v>5</v>
      </c>
      <c r="F292" s="6">
        <f>ACE_Input!D52</f>
        <v>364</v>
      </c>
      <c r="G292" s="6">
        <f>MOD(Settings!$B$17*(G291),Settings!$B$18)</f>
        <v>2005054553</v>
      </c>
      <c r="H292" s="6">
        <f>MAX(G292,1)/Settings!$B$18</f>
        <v>0.93367628470700059</v>
      </c>
      <c r="I292" s="6">
        <f>-ACE_Input!W52*LN(H292)</f>
        <v>0.27450196431616247</v>
      </c>
      <c r="J292" s="6">
        <f>-ACE_Input!X52*LN(H292)</f>
        <v>0.82350589294848742</v>
      </c>
      <c r="K292" s="6">
        <f>ACE_Input!U52</f>
        <v>300</v>
      </c>
      <c r="L292" s="6">
        <f>K292*ACE_Input!V52</f>
        <v>75</v>
      </c>
    </row>
    <row r="293" spans="1:12" x14ac:dyDescent="0.2">
      <c r="A293">
        <f>3</f>
        <v>3</v>
      </c>
      <c r="B293">
        <f>ACE_Input!A53</f>
        <v>48</v>
      </c>
      <c r="C293" s="6">
        <f>MOD(Settings!$B$17*(C292),Settings!$B$18)</f>
        <v>1784318370</v>
      </c>
      <c r="D293" s="6">
        <f>MAX(C293,1)/Settings!$B$18</f>
        <v>0.83088798952795939</v>
      </c>
      <c r="E293" s="6">
        <f t="shared" si="9"/>
        <v>5</v>
      </c>
      <c r="F293" s="6">
        <f>ACE_Input!D53</f>
        <v>369</v>
      </c>
      <c r="G293" s="6">
        <f>MOD(Settings!$B$17*(G292),Settings!$B$18)</f>
        <v>638483547</v>
      </c>
      <c r="H293" s="6">
        <f>MAX(G293,1)/Settings!$B$18</f>
        <v>0.29731707055928047</v>
      </c>
      <c r="I293" s="6">
        <f>-ACE_Input!W53*LN(H293)</f>
        <v>4.8518245279780627</v>
      </c>
      <c r="J293" s="6">
        <f>-ACE_Input!X53*LN(H293)</f>
        <v>14.555473583934187</v>
      </c>
      <c r="K293" s="6">
        <f>ACE_Input!U53</f>
        <v>300</v>
      </c>
      <c r="L293" s="6">
        <f>K293*ACE_Input!V53</f>
        <v>75</v>
      </c>
    </row>
    <row r="294" spans="1:12" x14ac:dyDescent="0.2">
      <c r="A294">
        <f>3</f>
        <v>3</v>
      </c>
      <c r="B294">
        <f>ACE_Input!A54</f>
        <v>49</v>
      </c>
      <c r="C294" s="6">
        <f>MOD(Settings!$B$17*(C293),Settings!$B$18)</f>
        <v>1577197882</v>
      </c>
      <c r="D294" s="6">
        <f>MAX(C294,1)/Settings!$B$18</f>
        <v>0.73443999641316016</v>
      </c>
      <c r="E294" s="6">
        <f t="shared" si="9"/>
        <v>5</v>
      </c>
      <c r="F294" s="6">
        <f>ACE_Input!D54</f>
        <v>374</v>
      </c>
      <c r="G294" s="6">
        <f>MOD(Settings!$B$17*(G293),Settings!$B$18)</f>
        <v>17190370</v>
      </c>
      <c r="H294" s="6">
        <f>MAX(G294,1)/Settings!$B$18</f>
        <v>8.0048898272239086E-3</v>
      </c>
      <c r="I294" s="6">
        <f>-ACE_Input!W54*LN(H294)</f>
        <v>19.310810782493238</v>
      </c>
      <c r="J294" s="6">
        <f>-ACE_Input!X54*LN(H294)</f>
        <v>57.932432347479718</v>
      </c>
      <c r="K294" s="6">
        <f>ACE_Input!U54</f>
        <v>300</v>
      </c>
      <c r="L294" s="6">
        <f>K294*ACE_Input!V54</f>
        <v>75</v>
      </c>
    </row>
    <row r="295" spans="1:12" x14ac:dyDescent="0.2">
      <c r="A295">
        <f>3</f>
        <v>3</v>
      </c>
      <c r="B295">
        <f>ACE_Input!A55</f>
        <v>50</v>
      </c>
      <c r="C295" s="6">
        <f>MOD(Settings!$B$17*(C294),Settings!$B$18)</f>
        <v>1574147853</v>
      </c>
      <c r="D295" s="6">
        <f>MAX(C295,1)/Settings!$B$18</f>
        <v>0.73301971598203286</v>
      </c>
      <c r="E295" s="6">
        <f t="shared" si="9"/>
        <v>5</v>
      </c>
      <c r="F295" s="6">
        <f>ACE_Input!D55</f>
        <v>379</v>
      </c>
      <c r="G295" s="6">
        <f>MOD(Settings!$B$17*(G294),Settings!$B$18)</f>
        <v>1155739892</v>
      </c>
      <c r="H295" s="6">
        <f>MAX(G295,1)/Settings!$B$18</f>
        <v>0.53818332615223863</v>
      </c>
      <c r="I295" s="6">
        <f>-ACE_Input!W55*LN(H295)</f>
        <v>2.4782240877372668</v>
      </c>
      <c r="J295" s="6">
        <f>-ACE_Input!X55*LN(H295)</f>
        <v>7.4346722632117999</v>
      </c>
      <c r="K295" s="6">
        <f>ACE_Input!U55</f>
        <v>300</v>
      </c>
      <c r="L295" s="6">
        <f>K295*ACE_Input!V55</f>
        <v>75</v>
      </c>
    </row>
    <row r="296" spans="1:12" x14ac:dyDescent="0.2">
      <c r="A296">
        <f>3</f>
        <v>3</v>
      </c>
      <c r="B296">
        <f>ACE_Input!A56</f>
        <v>51</v>
      </c>
      <c r="C296" s="6">
        <f>MOD(Settings!$B$17*(C295),Settings!$B$18)</f>
        <v>1851917978</v>
      </c>
      <c r="D296" s="6">
        <f>MAX(C296,1)/Settings!$B$18</f>
        <v>0.86236651002539622</v>
      </c>
      <c r="E296" s="6">
        <f t="shared" si="9"/>
        <v>5</v>
      </c>
      <c r="F296" s="6">
        <f>ACE_Input!D56</f>
        <v>384</v>
      </c>
      <c r="G296" s="6">
        <f>MOD(Settings!$B$17*(G295),Settings!$B$18)</f>
        <v>530777729</v>
      </c>
      <c r="H296" s="6">
        <f>MAX(G296,1)/Settings!$B$18</f>
        <v>0.24716264067551244</v>
      </c>
      <c r="I296" s="6">
        <f>-ACE_Input!W56*LN(H296)</f>
        <v>5.5908347790932487</v>
      </c>
      <c r="J296" s="6">
        <f>-ACE_Input!X56*LN(H296)</f>
        <v>16.772504337279745</v>
      </c>
      <c r="K296" s="6">
        <f>ACE_Input!U56</f>
        <v>300</v>
      </c>
      <c r="L296" s="6">
        <f>K296*ACE_Input!V56</f>
        <v>75</v>
      </c>
    </row>
    <row r="297" spans="1:12" x14ac:dyDescent="0.2">
      <c r="A297">
        <f>3</f>
        <v>3</v>
      </c>
      <c r="B297">
        <f>ACE_Input!A57</f>
        <v>52</v>
      </c>
      <c r="C297" s="6">
        <f>MOD(Settings!$B$17*(C296),Settings!$B$18)</f>
        <v>1704960275</v>
      </c>
      <c r="D297" s="6">
        <f>MAX(C297,1)/Settings!$B$18</f>
        <v>0.79393399683476151</v>
      </c>
      <c r="E297" s="6">
        <f t="shared" si="9"/>
        <v>5</v>
      </c>
      <c r="F297" s="6">
        <f>ACE_Input!D57</f>
        <v>389</v>
      </c>
      <c r="G297" s="6">
        <f>MOD(Settings!$B$17*(G296),Settings!$B$18)</f>
        <v>134221665</v>
      </c>
      <c r="H297" s="6">
        <f>MAX(G297,1)/Settings!$B$18</f>
        <v>6.2501833337592821E-2</v>
      </c>
      <c r="I297" s="6">
        <f>-ACE_Input!W57*LN(H297)</f>
        <v>11.090237557074047</v>
      </c>
      <c r="J297" s="6">
        <f>-ACE_Input!X57*LN(H297)</f>
        <v>33.270712671222142</v>
      </c>
      <c r="K297" s="6">
        <f>ACE_Input!U57</f>
        <v>300</v>
      </c>
      <c r="L297" s="6">
        <f>K297*ACE_Input!V57</f>
        <v>75</v>
      </c>
    </row>
    <row r="298" spans="1:12" x14ac:dyDescent="0.2">
      <c r="A298">
        <f>3</f>
        <v>3</v>
      </c>
      <c r="B298">
        <f>ACE_Input!A58</f>
        <v>53</v>
      </c>
      <c r="C298" s="6">
        <f>MOD(Settings!$B$17*(C297),Settings!$B$18)</f>
        <v>1393040004</v>
      </c>
      <c r="D298" s="6">
        <f>MAX(C298,1)/Settings!$B$18</f>
        <v>0.64868480183588562</v>
      </c>
      <c r="E298" s="6">
        <f t="shared" si="9"/>
        <v>5</v>
      </c>
      <c r="F298" s="6">
        <f>ACE_Input!D58</f>
        <v>394</v>
      </c>
      <c r="G298" s="6">
        <f>MOD(Settings!$B$17*(G297),Settings!$B$18)</f>
        <v>1005694305</v>
      </c>
      <c r="H298" s="6">
        <f>MAX(G298,1)/Settings!$B$18</f>
        <v>0.46831290492243732</v>
      </c>
      <c r="I298" s="6">
        <f>-ACE_Input!W58*LN(H298)</f>
        <v>3.0344744248657984</v>
      </c>
      <c r="J298" s="6">
        <f>-ACE_Input!X58*LN(H298)</f>
        <v>9.1034232745973949</v>
      </c>
      <c r="K298" s="6">
        <f>ACE_Input!U58</f>
        <v>300</v>
      </c>
      <c r="L298" s="6">
        <f>K298*ACE_Input!V58</f>
        <v>75</v>
      </c>
    </row>
    <row r="299" spans="1:12" x14ac:dyDescent="0.2">
      <c r="A299">
        <f>3</f>
        <v>3</v>
      </c>
      <c r="B299">
        <f>ACE_Input!A59</f>
        <v>54</v>
      </c>
      <c r="C299" s="6">
        <f>MOD(Settings!$B$17*(C298),Settings!$B$18)</f>
        <v>956627634</v>
      </c>
      <c r="D299" s="6">
        <f>MAX(C299,1)/Settings!$B$18</f>
        <v>0.4454644557300324</v>
      </c>
      <c r="E299" s="6">
        <f t="shared" si="9"/>
        <v>5</v>
      </c>
      <c r="F299" s="6">
        <f>ACE_Input!D59</f>
        <v>399</v>
      </c>
      <c r="G299" s="6">
        <f>MOD(Settings!$B$17*(G298),Settings!$B$18)</f>
        <v>2007882245</v>
      </c>
      <c r="H299" s="6">
        <f>MAX(G299,1)/Settings!$B$18</f>
        <v>0.93499303140444356</v>
      </c>
      <c r="I299" s="6">
        <f>-ACE_Input!W59*LN(H299)</f>
        <v>0.26886481105839993</v>
      </c>
      <c r="J299" s="6">
        <f>-ACE_Input!X59*LN(H299)</f>
        <v>0.80659443317519974</v>
      </c>
      <c r="K299" s="6">
        <f>ACE_Input!U59</f>
        <v>300</v>
      </c>
      <c r="L299" s="6">
        <f>K299*ACE_Input!V59</f>
        <v>75</v>
      </c>
    </row>
    <row r="300" spans="1:12" x14ac:dyDescent="0.2">
      <c r="A300">
        <f>3</f>
        <v>3</v>
      </c>
      <c r="B300">
        <f>ACE_Input!A60</f>
        <v>55</v>
      </c>
      <c r="C300" s="6">
        <f>MOD(Settings!$B$17*(C299),Settings!$B$18)</f>
        <v>1978063196</v>
      </c>
      <c r="D300" s="6">
        <f>MAX(C300,1)/Settings!$B$18</f>
        <v>0.92110745465434507</v>
      </c>
      <c r="E300" s="6">
        <f t="shared" si="9"/>
        <v>5</v>
      </c>
      <c r="F300" s="6">
        <f>ACE_Input!D60</f>
        <v>404</v>
      </c>
      <c r="G300" s="6">
        <f>MOD(Settings!$B$17*(G299),Settings!$B$18)</f>
        <v>918862757</v>
      </c>
      <c r="H300" s="6">
        <f>MAX(G300,1)/Settings!$B$18</f>
        <v>0.42787881448300502</v>
      </c>
      <c r="I300" s="6">
        <f>-ACE_Input!W60*LN(H300)</f>
        <v>3.3956610688975655</v>
      </c>
      <c r="J300" s="6">
        <f>-ACE_Input!X60*LN(H300)</f>
        <v>10.186983206692696</v>
      </c>
      <c r="K300" s="6">
        <f>ACE_Input!U60</f>
        <v>300</v>
      </c>
      <c r="L300" s="6">
        <f>K300*ACE_Input!V60</f>
        <v>75</v>
      </c>
    </row>
    <row r="301" spans="1:12" x14ac:dyDescent="0.2">
      <c r="A301">
        <f>3</f>
        <v>3</v>
      </c>
      <c r="B301">
        <f>ACE_Input!A61</f>
        <v>56</v>
      </c>
      <c r="C301" s="6">
        <f>MOD(Settings!$B$17*(C300),Settings!$B$18)</f>
        <v>113795965</v>
      </c>
      <c r="D301" s="6">
        <f>MAX(C301,1)/Settings!$B$18</f>
        <v>5.2990375577002008E-2</v>
      </c>
      <c r="E301" s="6">
        <f t="shared" si="9"/>
        <v>5</v>
      </c>
      <c r="F301" s="6">
        <f>ACE_Input!D61</f>
        <v>409</v>
      </c>
      <c r="G301" s="6">
        <f>MOD(Settings!$B$17*(G300),Settings!$B$18)</f>
        <v>771451322</v>
      </c>
      <c r="H301" s="6">
        <f>MAX(G301,1)/Settings!$B$18</f>
        <v>0.35923501586505913</v>
      </c>
      <c r="I301" s="6">
        <f>-ACE_Input!W61*LN(H301)</f>
        <v>4.0951138575388013</v>
      </c>
      <c r="J301" s="6">
        <f>-ACE_Input!X61*LN(H301)</f>
        <v>12.285341572616403</v>
      </c>
      <c r="K301" s="6">
        <f>ACE_Input!U61</f>
        <v>300</v>
      </c>
      <c r="L301" s="6">
        <f>K301*ACE_Input!V61</f>
        <v>75</v>
      </c>
    </row>
    <row r="302" spans="1:12" x14ac:dyDescent="0.2">
      <c r="A302">
        <f>3</f>
        <v>3</v>
      </c>
      <c r="B302">
        <f>ACE_Input!A62</f>
        <v>57</v>
      </c>
      <c r="C302" s="6">
        <f>MOD(Settings!$B$17*(C301),Settings!$B$18)</f>
        <v>1308337925</v>
      </c>
      <c r="D302" s="6">
        <f>MAX(C302,1)/Settings!$B$18</f>
        <v>0.60924232267273704</v>
      </c>
      <c r="E302" s="6">
        <f t="shared" si="9"/>
        <v>5</v>
      </c>
      <c r="F302" s="6">
        <f>ACE_Input!D62</f>
        <v>414</v>
      </c>
      <c r="G302" s="6">
        <f>MOD(Settings!$B$17*(G301),Settings!$B$18)</f>
        <v>1423591915</v>
      </c>
      <c r="H302" s="6">
        <f>MAX(G302,1)/Settings!$B$18</f>
        <v>0.66291164404848202</v>
      </c>
      <c r="I302" s="6">
        <f>-ACE_Input!W62*LN(H302)</f>
        <v>1.6444542582891872</v>
      </c>
      <c r="J302" s="6">
        <f>-ACE_Input!X62*LN(H302)</f>
        <v>4.9333627748675619</v>
      </c>
      <c r="K302" s="6">
        <f>ACE_Input!U62</f>
        <v>300</v>
      </c>
      <c r="L302" s="6">
        <f>K302*ACE_Input!V62</f>
        <v>75</v>
      </c>
    </row>
    <row r="303" spans="1:12" x14ac:dyDescent="0.2">
      <c r="A303">
        <f>3</f>
        <v>3</v>
      </c>
      <c r="B303">
        <f>ACE_Input!A63</f>
        <v>58</v>
      </c>
      <c r="C303" s="6">
        <f>MOD(Settings!$B$17*(C302),Settings!$B$18)</f>
        <v>1150443842</v>
      </c>
      <c r="D303" s="6">
        <f>MAX(C303,1)/Settings!$B$18</f>
        <v>0.53571716069044417</v>
      </c>
      <c r="E303" s="6">
        <f t="shared" si="9"/>
        <v>5</v>
      </c>
      <c r="F303" s="6">
        <f>ACE_Input!D63</f>
        <v>419</v>
      </c>
      <c r="G303" s="6">
        <f>MOD(Settings!$B$17*(G302),Settings!$B$18)</f>
        <v>1194004178</v>
      </c>
      <c r="H303" s="6">
        <f>MAX(G303,1)/Settings!$B$18</f>
        <v>0.55600152283720738</v>
      </c>
      <c r="I303" s="6">
        <f>-ACE_Input!W63*LN(H303)</f>
        <v>2.3479369832778594</v>
      </c>
      <c r="J303" s="6">
        <f>-ACE_Input!X63*LN(H303)</f>
        <v>7.0438109498335777</v>
      </c>
      <c r="K303" s="6">
        <f>ACE_Input!U63</f>
        <v>300</v>
      </c>
      <c r="L303" s="6">
        <f>K303*ACE_Input!V63</f>
        <v>75</v>
      </c>
    </row>
    <row r="304" spans="1:12" x14ac:dyDescent="0.2">
      <c r="A304">
        <f>3</f>
        <v>3</v>
      </c>
      <c r="B304">
        <f>ACE_Input!A64</f>
        <v>59</v>
      </c>
      <c r="C304" s="6">
        <f>MOD(Settings!$B$17*(C303),Settings!$B$18)</f>
        <v>1714378553</v>
      </c>
      <c r="D304" s="6">
        <f>MAX(C304,1)/Settings!$B$18</f>
        <v>0.79831972429450593</v>
      </c>
      <c r="E304" s="6">
        <f t="shared" si="9"/>
        <v>5</v>
      </c>
      <c r="F304" s="6">
        <f>ACE_Input!D64</f>
        <v>424</v>
      </c>
      <c r="G304" s="6">
        <f>MOD(Settings!$B$17*(G303),Settings!$B$18)</f>
        <v>1541022078</v>
      </c>
      <c r="H304" s="6">
        <f>MAX(G304,1)/Settings!$B$18</f>
        <v>0.7175943249452833</v>
      </c>
      <c r="I304" s="6">
        <f>-ACE_Input!W64*LN(H304)</f>
        <v>1.3274035066021375</v>
      </c>
      <c r="J304" s="6">
        <f>-ACE_Input!X64*LN(H304)</f>
        <v>3.9822105198064124</v>
      </c>
      <c r="K304" s="6">
        <f>ACE_Input!U64</f>
        <v>300</v>
      </c>
      <c r="L304" s="6">
        <f>K304*ACE_Input!V64</f>
        <v>75</v>
      </c>
    </row>
    <row r="305" spans="1:12" x14ac:dyDescent="0.2">
      <c r="A305">
        <f>3</f>
        <v>3</v>
      </c>
      <c r="B305">
        <f>ACE_Input!A65</f>
        <v>60</v>
      </c>
      <c r="C305" s="6">
        <f>MOD(Settings!$B$17*(C304),Settings!$B$18)</f>
        <v>772248472</v>
      </c>
      <c r="D305" s="6">
        <f>MAX(C305,1)/Settings!$B$18</f>
        <v>0.35960621776040935</v>
      </c>
      <c r="E305" s="6">
        <f t="shared" si="9"/>
        <v>5</v>
      </c>
      <c r="F305" s="6">
        <f>ACE_Input!D65</f>
        <v>429</v>
      </c>
      <c r="G305" s="6">
        <f>MOD(Settings!$B$17*(G304),Settings!$B$18)</f>
        <v>1305282126</v>
      </c>
      <c r="H305" s="6">
        <f>MAX(G305,1)/Settings!$B$18</f>
        <v>0.60781935537598064</v>
      </c>
      <c r="I305" s="6">
        <f>-ACE_Input!W65*LN(H305)</f>
        <v>1.9915102161247833</v>
      </c>
      <c r="J305" s="6">
        <f>-ACE_Input!X65*LN(H305)</f>
        <v>5.9745306483743494</v>
      </c>
      <c r="K305" s="6">
        <f>ACE_Input!U65</f>
        <v>300</v>
      </c>
      <c r="L305" s="6">
        <f>K305*ACE_Input!V65</f>
        <v>75</v>
      </c>
    </row>
    <row r="306" spans="1:12" x14ac:dyDescent="0.2">
      <c r="A306">
        <f>3</f>
        <v>3</v>
      </c>
      <c r="B306">
        <f>ACE_Input!A66</f>
        <v>61</v>
      </c>
      <c r="C306" s="6">
        <f>MOD(Settings!$B$17*(C305),Settings!$B$18)</f>
        <v>1936390083</v>
      </c>
      <c r="D306" s="6">
        <f>MAX(C306,1)/Settings!$B$18</f>
        <v>0.90170189919960775</v>
      </c>
      <c r="E306" s="6">
        <f t="shared" si="9"/>
        <v>5</v>
      </c>
      <c r="F306" s="6">
        <f>ACE_Input!D66</f>
        <v>434</v>
      </c>
      <c r="G306" s="6">
        <f>MOD(Settings!$B$17*(G305),Settings!$B$18)</f>
        <v>1331237577</v>
      </c>
      <c r="H306" s="6">
        <f>MAX(G306,1)/Settings!$B$18</f>
        <v>0.61990580410692175</v>
      </c>
      <c r="I306" s="6">
        <f>-ACE_Input!W66*LN(H306)</f>
        <v>1.9127509653806469</v>
      </c>
      <c r="J306" s="6">
        <f>-ACE_Input!X66*LN(H306)</f>
        <v>5.7382528961419403</v>
      </c>
      <c r="K306" s="6">
        <f>ACE_Input!U66</f>
        <v>300</v>
      </c>
      <c r="L306" s="6">
        <f>K306*ACE_Input!V66</f>
        <v>75</v>
      </c>
    </row>
    <row r="307" spans="1:12" x14ac:dyDescent="0.2">
      <c r="A307">
        <f>3</f>
        <v>3</v>
      </c>
      <c r="B307">
        <f>ACE_Input!A67</f>
        <v>62</v>
      </c>
      <c r="C307" s="6">
        <f>MOD(Settings!$B$17*(C306),Settings!$B$18)</f>
        <v>1940938343</v>
      </c>
      <c r="D307" s="6">
        <f>MAX(C307,1)/Settings!$B$18</f>
        <v>0.90381984780720426</v>
      </c>
      <c r="E307" s="6">
        <f t="shared" si="9"/>
        <v>5</v>
      </c>
      <c r="F307" s="6">
        <f>ACE_Input!D67</f>
        <v>439</v>
      </c>
      <c r="G307" s="6">
        <f>MOD(Settings!$B$17*(G306),Settings!$B$18)</f>
        <v>1625322193</v>
      </c>
      <c r="H307" s="6">
        <f>MAX(G307,1)/Settings!$B$18</f>
        <v>0.75684962503465336</v>
      </c>
      <c r="I307" s="6">
        <f>-ACE_Input!W67*LN(H307)</f>
        <v>1.1143627648102561</v>
      </c>
      <c r="J307" s="6">
        <f>-ACE_Input!X67*LN(H307)</f>
        <v>3.3430882944307685</v>
      </c>
      <c r="K307" s="6">
        <f>ACE_Input!U67</f>
        <v>300</v>
      </c>
      <c r="L307" s="6">
        <f>K307*ACE_Input!V67</f>
        <v>75</v>
      </c>
    </row>
    <row r="308" spans="1:12" x14ac:dyDescent="0.2">
      <c r="A308">
        <f>3</f>
        <v>3</v>
      </c>
      <c r="B308">
        <f>ACE_Input!A68</f>
        <v>63</v>
      </c>
      <c r="C308" s="6">
        <f>MOD(Settings!$B$17*(C307),Settings!$B$18)</f>
        <v>1074132871</v>
      </c>
      <c r="D308" s="6">
        <f>MAX(C308,1)/Settings!$B$18</f>
        <v>0.50018209568233329</v>
      </c>
      <c r="E308" s="6">
        <f t="shared" si="9"/>
        <v>5</v>
      </c>
      <c r="F308" s="6">
        <f>ACE_Input!D68</f>
        <v>444</v>
      </c>
      <c r="G308" s="6">
        <f>MOD(Settings!$B$17*(G307),Settings!$B$18)</f>
        <v>798107911</v>
      </c>
      <c r="H308" s="6">
        <f>MAX(G308,1)/Settings!$B$18</f>
        <v>0.37164795741981266</v>
      </c>
      <c r="I308" s="6">
        <f>-ACE_Input!W68*LN(H308)</f>
        <v>3.9592328952153588</v>
      </c>
      <c r="J308" s="6">
        <f>-ACE_Input!X68*LN(H308)</f>
        <v>11.877698685646077</v>
      </c>
      <c r="K308" s="6">
        <f>ACE_Input!U68</f>
        <v>300</v>
      </c>
      <c r="L308" s="6">
        <f>K308*ACE_Input!V68</f>
        <v>75</v>
      </c>
    </row>
    <row r="309" spans="1:12" x14ac:dyDescent="0.2">
      <c r="A309">
        <f>3</f>
        <v>3</v>
      </c>
      <c r="B309">
        <f>ACE_Input!A69</f>
        <v>64</v>
      </c>
      <c r="C309" s="6">
        <f>MOD(Settings!$B$17*(C308),Settings!$B$18)</f>
        <v>1203626215</v>
      </c>
      <c r="D309" s="6">
        <f>MAX(C309,1)/Settings!$B$18</f>
        <v>0.56048213297523652</v>
      </c>
      <c r="E309" s="6">
        <f t="shared" si="9"/>
        <v>5</v>
      </c>
      <c r="F309" s="6">
        <f>ACE_Input!D69</f>
        <v>449</v>
      </c>
      <c r="G309" s="6">
        <f>MOD(Settings!$B$17*(G308),Settings!$B$18)</f>
        <v>616801015</v>
      </c>
      <c r="H309" s="6">
        <f>MAX(G309,1)/Settings!$B$18</f>
        <v>0.28722035479136759</v>
      </c>
      <c r="I309" s="6">
        <f>-ACE_Input!W69*LN(H309)</f>
        <v>4.9900222843618431</v>
      </c>
      <c r="J309" s="6">
        <f>-ACE_Input!X69*LN(H309)</f>
        <v>14.97006685308553</v>
      </c>
      <c r="K309" s="6">
        <f>ACE_Input!U69</f>
        <v>300</v>
      </c>
      <c r="L309" s="6">
        <f>K309*ACE_Input!V69</f>
        <v>75</v>
      </c>
    </row>
    <row r="310" spans="1:12" x14ac:dyDescent="0.2">
      <c r="A310">
        <f>3</f>
        <v>3</v>
      </c>
      <c r="B310">
        <f>ACE_Input!A70</f>
        <v>65</v>
      </c>
      <c r="C310" s="6">
        <f>MOD(Settings!$B$17*(C309),Settings!$B$18)</f>
        <v>49840765</v>
      </c>
      <c r="D310" s="6">
        <f>MAX(C310,1)/Settings!$B$18</f>
        <v>2.3208914801110009E-2</v>
      </c>
      <c r="E310" s="6">
        <f t="shared" si="9"/>
        <v>5</v>
      </c>
      <c r="F310" s="6">
        <f>ACE_Input!D70</f>
        <v>454</v>
      </c>
      <c r="G310" s="6">
        <f>MOD(Settings!$B$17*(G309),Settings!$B$18)</f>
        <v>671095036</v>
      </c>
      <c r="H310" s="6">
        <f>MAX(G310,1)/Settings!$B$18</f>
        <v>0.31250297851511416</v>
      </c>
      <c r="I310" s="6">
        <f>-ACE_Input!W70*LN(H310)</f>
        <v>4.6525651144109501</v>
      </c>
      <c r="J310" s="6">
        <f>-ACE_Input!X70*LN(H310)</f>
        <v>13.957695343232849</v>
      </c>
      <c r="K310" s="6">
        <f>ACE_Input!U70</f>
        <v>300</v>
      </c>
      <c r="L310" s="6">
        <f>K310*ACE_Input!V70</f>
        <v>75</v>
      </c>
    </row>
    <row r="311" spans="1:12" x14ac:dyDescent="0.2">
      <c r="A311">
        <f>3</f>
        <v>3</v>
      </c>
      <c r="B311">
        <f>ACE_Input!A71</f>
        <v>66</v>
      </c>
      <c r="C311" s="6">
        <f>MOD(Settings!$B$17*(C310),Settings!$B$18)</f>
        <v>155115025</v>
      </c>
      <c r="D311" s="6">
        <f>MAX(C311,1)/Settings!$B$18</f>
        <v>7.2231062255907363E-2</v>
      </c>
      <c r="E311" s="6">
        <f t="shared" ref="E311:E342" si="10">F311-F310</f>
        <v>5</v>
      </c>
      <c r="F311" s="6">
        <f>ACE_Input!D71</f>
        <v>459</v>
      </c>
      <c r="G311" s="6">
        <f>MOD(Settings!$B$17*(G310),Settings!$B$18)</f>
        <v>510156008</v>
      </c>
      <c r="H311" s="6">
        <f>MAX(G311,1)/Settings!$B$18</f>
        <v>0.23755990352367978</v>
      </c>
      <c r="I311" s="6">
        <f>-ACE_Input!W71*LN(H311)</f>
        <v>5.7493418477921923</v>
      </c>
      <c r="J311" s="6">
        <f>-ACE_Input!X71*LN(H311)</f>
        <v>17.248025543376578</v>
      </c>
      <c r="K311" s="6">
        <f>ACE_Input!U71</f>
        <v>300</v>
      </c>
      <c r="L311" s="6">
        <f>K311*ACE_Input!V71</f>
        <v>75</v>
      </c>
    </row>
    <row r="312" spans="1:12" x14ac:dyDescent="0.2">
      <c r="A312">
        <f>3</f>
        <v>3</v>
      </c>
      <c r="B312">
        <f>ACE_Input!A72</f>
        <v>67</v>
      </c>
      <c r="C312" s="6">
        <f>MOD(Settings!$B$17*(C311),Settings!$B$18)</f>
        <v>2120561364</v>
      </c>
      <c r="D312" s="6">
        <f>MAX(C312,1)/Settings!$B$18</f>
        <v>0.98746333503511885</v>
      </c>
      <c r="E312" s="6">
        <f t="shared" si="10"/>
        <v>15</v>
      </c>
      <c r="F312" s="6">
        <f>ACE_Input!D72</f>
        <v>474</v>
      </c>
      <c r="G312" s="6">
        <f>MOD(Settings!$B$17*(G311),Settings!$B$18)</f>
        <v>1437307632</v>
      </c>
      <c r="H312" s="6">
        <f>MAX(G312,1)/Settings!$B$18</f>
        <v>0.66929852248602473</v>
      </c>
      <c r="I312" s="6">
        <f>-ACE_Input!W72*LN(H312)</f>
        <v>1.6061003857164524</v>
      </c>
      <c r="J312" s="6">
        <f>-ACE_Input!X72*LN(H312)</f>
        <v>4.8183011571493575</v>
      </c>
      <c r="K312" s="6">
        <f>ACE_Input!U72</f>
        <v>300</v>
      </c>
      <c r="L312" s="6">
        <f>K312*ACE_Input!V72</f>
        <v>75</v>
      </c>
    </row>
    <row r="313" spans="1:12" x14ac:dyDescent="0.2">
      <c r="A313">
        <f>3</f>
        <v>3</v>
      </c>
      <c r="B313">
        <f>ACE_Input!A73</f>
        <v>68</v>
      </c>
      <c r="C313" s="6">
        <f>MOD(Settings!$B$17*(C312),Settings!$B$18)</f>
        <v>636239136</v>
      </c>
      <c r="D313" s="6">
        <f>MAX(C313,1)/Settings!$B$18</f>
        <v>0.29627193524328616</v>
      </c>
      <c r="E313" s="6">
        <f t="shared" si="10"/>
        <v>5</v>
      </c>
      <c r="F313" s="6">
        <f>ACE_Input!D73</f>
        <v>479</v>
      </c>
      <c r="G313" s="6">
        <f>MOD(Settings!$B$17*(G312),Settings!$B$18)</f>
        <v>1933309568</v>
      </c>
      <c r="H313" s="6">
        <f>MAX(G313,1)/Settings!$B$18</f>
        <v>0.90026742261846893</v>
      </c>
      <c r="I313" s="6">
        <f>-ACE_Input!W73*LN(H313)</f>
        <v>0.42025369420525466</v>
      </c>
      <c r="J313" s="6">
        <f>-ACE_Input!X73*LN(H313)</f>
        <v>1.260761082615764</v>
      </c>
      <c r="K313" s="6">
        <f>ACE_Input!U73</f>
        <v>300</v>
      </c>
      <c r="L313" s="6">
        <f>K313*ACE_Input!V73</f>
        <v>75</v>
      </c>
    </row>
    <row r="314" spans="1:12" x14ac:dyDescent="0.2">
      <c r="A314">
        <f>3</f>
        <v>3</v>
      </c>
      <c r="B314">
        <f>ACE_Input!A74</f>
        <v>69</v>
      </c>
      <c r="C314" s="6">
        <f>MOD(Settings!$B$17*(C313),Settings!$B$18)</f>
        <v>950080339</v>
      </c>
      <c r="D314" s="6">
        <f>MAX(C314,1)/Settings!$B$18</f>
        <v>0.44241563391052913</v>
      </c>
      <c r="E314" s="6">
        <f t="shared" si="10"/>
        <v>15</v>
      </c>
      <c r="F314" s="6">
        <f>ACE_Input!D74</f>
        <v>494</v>
      </c>
      <c r="G314" s="6">
        <f>MOD(Settings!$B$17*(G313),Settings!$B$18)</f>
        <v>1706330266</v>
      </c>
      <c r="H314" s="6">
        <f>MAX(G314,1)/Settings!$B$18</f>
        <v>0.79457194860771851</v>
      </c>
      <c r="I314" s="6">
        <f>-ACE_Input!W74*LN(H314)</f>
        <v>0.91980695502893361</v>
      </c>
      <c r="J314" s="6">
        <f>-ACE_Input!X74*LN(H314)</f>
        <v>2.7594208650868008</v>
      </c>
      <c r="K314" s="6">
        <f>ACE_Input!U74</f>
        <v>300</v>
      </c>
      <c r="L314" s="6">
        <f>K314*ACE_Input!V74</f>
        <v>75</v>
      </c>
    </row>
    <row r="315" spans="1:12" x14ac:dyDescent="0.2">
      <c r="A315">
        <f>3</f>
        <v>3</v>
      </c>
      <c r="B315">
        <f>ACE_Input!A75</f>
        <v>70</v>
      </c>
      <c r="C315" s="6">
        <f>MOD(Settings!$B$17*(C314),Settings!$B$18)</f>
        <v>1459342128</v>
      </c>
      <c r="D315" s="6">
        <f>MAX(C315,1)/Settings!$B$18</f>
        <v>0.67955913426334003</v>
      </c>
      <c r="E315" s="6">
        <f t="shared" si="10"/>
        <v>5</v>
      </c>
      <c r="F315" s="6">
        <f>ACE_Input!D75</f>
        <v>499</v>
      </c>
      <c r="G315" s="6">
        <f>MOD(Settings!$B$17*(G314),Settings!$B$18)</f>
        <v>796158624</v>
      </c>
      <c r="H315" s="6">
        <f>MAX(G315,1)/Settings!$B$18</f>
        <v>0.37074024992563775</v>
      </c>
      <c r="I315" s="6">
        <f>-ACE_Input!W75*LN(H315)</f>
        <v>3.9690143862199094</v>
      </c>
      <c r="J315" s="6">
        <f>-ACE_Input!X75*LN(H315)</f>
        <v>11.907043158659729</v>
      </c>
      <c r="K315" s="6">
        <f>ACE_Input!U75</f>
        <v>300</v>
      </c>
      <c r="L315" s="6">
        <f>K315*ACE_Input!V75</f>
        <v>75</v>
      </c>
    </row>
    <row r="316" spans="1:12" x14ac:dyDescent="0.2">
      <c r="A316">
        <f>3</f>
        <v>3</v>
      </c>
      <c r="B316">
        <f>ACE_Input!A76</f>
        <v>71</v>
      </c>
      <c r="C316" s="6">
        <f>MOD(Settings!$B$17*(C315),Settings!$B$18)</f>
        <v>752412909</v>
      </c>
      <c r="D316" s="6">
        <f>MAX(C316,1)/Settings!$B$18</f>
        <v>0.35036956395505442</v>
      </c>
      <c r="E316" s="6">
        <f t="shared" si="10"/>
        <v>5</v>
      </c>
      <c r="F316" s="6">
        <f>ACE_Input!D76</f>
        <v>504</v>
      </c>
      <c r="G316" s="6">
        <f>MOD(Settings!$B$17*(G315),Settings!$B$18)</f>
        <v>67389111</v>
      </c>
      <c r="H316" s="6">
        <f>MAX(G316,1)/Settings!$B$18</f>
        <v>3.1380500193396818E-2</v>
      </c>
      <c r="I316" s="6">
        <f>-ACE_Input!W76*LN(H316)</f>
        <v>13.846274367701946</v>
      </c>
      <c r="J316" s="6">
        <f>-ACE_Input!X76*LN(H316)</f>
        <v>41.538823103105841</v>
      </c>
      <c r="K316" s="6">
        <f>ACE_Input!U76</f>
        <v>300</v>
      </c>
      <c r="L316" s="6">
        <f>K316*ACE_Input!V76</f>
        <v>75</v>
      </c>
    </row>
    <row r="317" spans="1:12" x14ac:dyDescent="0.2">
      <c r="A317">
        <f>3</f>
        <v>3</v>
      </c>
      <c r="B317">
        <f>ACE_Input!A77</f>
        <v>72</v>
      </c>
      <c r="C317" s="6">
        <f>MOD(Settings!$B$17*(C316),Settings!$B$18)</f>
        <v>1420048027</v>
      </c>
      <c r="D317" s="6">
        <f>MAX(C317,1)/Settings!$B$18</f>
        <v>0.66126139259955907</v>
      </c>
      <c r="E317" s="6">
        <f t="shared" si="10"/>
        <v>5</v>
      </c>
      <c r="F317" s="6">
        <f>ACE_Input!D77</f>
        <v>509</v>
      </c>
      <c r="G317" s="6">
        <f>MOD(Settings!$B$17*(G316),Settings!$B$18)</f>
        <v>884906608</v>
      </c>
      <c r="H317" s="6">
        <f>MAX(G317,1)/Settings!$B$18</f>
        <v>0.41206675042028851</v>
      </c>
      <c r="I317" s="6">
        <f>-ACE_Input!W77*LN(H317)</f>
        <v>3.5462797086899731</v>
      </c>
      <c r="J317" s="6">
        <f>-ACE_Input!X77*LN(H317)</f>
        <v>10.63883912606992</v>
      </c>
      <c r="K317" s="6">
        <f>ACE_Input!U77</f>
        <v>300</v>
      </c>
      <c r="L317" s="6">
        <f>K317*ACE_Input!V77</f>
        <v>75</v>
      </c>
    </row>
    <row r="318" spans="1:12" x14ac:dyDescent="0.2">
      <c r="A318">
        <f>3</f>
        <v>3</v>
      </c>
      <c r="B318">
        <f>ACE_Input!A78</f>
        <v>73</v>
      </c>
      <c r="C318" s="6">
        <f>MOD(Settings!$B$17*(C317),Settings!$B$18)</f>
        <v>1761420678</v>
      </c>
      <c r="D318" s="6">
        <f>MAX(C318,1)/Settings!$B$18</f>
        <v>0.82022542078989813</v>
      </c>
      <c r="E318" s="6">
        <f t="shared" si="10"/>
        <v>5</v>
      </c>
      <c r="F318" s="6">
        <f>ACE_Input!D78</f>
        <v>514</v>
      </c>
      <c r="G318" s="6">
        <f>MOD(Settings!$B$17*(G317),Settings!$B$18)</f>
        <v>1301105181</v>
      </c>
      <c r="H318" s="6">
        <f>MAX(G318,1)/Settings!$B$18</f>
        <v>0.6058743137893613</v>
      </c>
      <c r="I318" s="6">
        <f>-ACE_Input!W78*LN(H318)</f>
        <v>2.0043308696465969</v>
      </c>
      <c r="J318" s="6">
        <f>-ACE_Input!X78*LN(H318)</f>
        <v>6.0129926089397907</v>
      </c>
      <c r="K318" s="6">
        <f>ACE_Input!U78</f>
        <v>300</v>
      </c>
      <c r="L318" s="6">
        <f>K318*ACE_Input!V78</f>
        <v>75</v>
      </c>
    </row>
    <row r="319" spans="1:12" x14ac:dyDescent="0.2">
      <c r="A319">
        <f>3</f>
        <v>3</v>
      </c>
      <c r="B319">
        <f>ACE_Input!A79</f>
        <v>74</v>
      </c>
      <c r="C319" s="6">
        <f>MOD(Settings!$B$17*(C318),Settings!$B$18)</f>
        <v>1135261251</v>
      </c>
      <c r="D319" s="6">
        <f>MAX(C319,1)/Settings!$B$18</f>
        <v>0.52864721581742502</v>
      </c>
      <c r="E319" s="6">
        <f t="shared" si="10"/>
        <v>5</v>
      </c>
      <c r="F319" s="6">
        <f>ACE_Input!D79</f>
        <v>519</v>
      </c>
      <c r="G319" s="6">
        <f>MOD(Settings!$B$17*(G318),Settings!$B$18)</f>
        <v>1996283313</v>
      </c>
      <c r="H319" s="6">
        <f>MAX(G319,1)/Settings!$B$18</f>
        <v>0.92959185779541353</v>
      </c>
      <c r="I319" s="6">
        <f>-ACE_Input!W79*LN(H319)</f>
        <v>0.29203860699512435</v>
      </c>
      <c r="J319" s="6">
        <f>-ACE_Input!X79*LN(H319)</f>
        <v>0.876115820985373</v>
      </c>
      <c r="K319" s="6">
        <f>ACE_Input!U79</f>
        <v>300</v>
      </c>
      <c r="L319" s="6">
        <f>K319*ACE_Input!V79</f>
        <v>75</v>
      </c>
    </row>
    <row r="320" spans="1:12" x14ac:dyDescent="0.2">
      <c r="A320">
        <f>3</f>
        <v>3</v>
      </c>
      <c r="B320">
        <f>ACE_Input!A80</f>
        <v>75</v>
      </c>
      <c r="C320" s="6">
        <f>MOD(Settings!$B$17*(C319),Settings!$B$18)</f>
        <v>2091125609</v>
      </c>
      <c r="D320" s="6">
        <f>MAX(C320,1)/Settings!$B$18</f>
        <v>0.97375624346256084</v>
      </c>
      <c r="E320" s="6">
        <f t="shared" si="10"/>
        <v>5</v>
      </c>
      <c r="F320" s="6">
        <f>ACE_Input!D80</f>
        <v>524</v>
      </c>
      <c r="G320" s="6">
        <f>MOD(Settings!$B$17*(G319),Settings!$B$18)</f>
        <v>1396624510</v>
      </c>
      <c r="H320" s="6">
        <f>MAX(G320,1)/Settings!$B$18</f>
        <v>0.6503539675149852</v>
      </c>
      <c r="I320" s="6">
        <f>-ACE_Input!W80*LN(H320)</f>
        <v>1.7209539956268709</v>
      </c>
      <c r="J320" s="6">
        <f>-ACE_Input!X80*LN(H320)</f>
        <v>5.1628619868806123</v>
      </c>
      <c r="K320" s="6">
        <f>ACE_Input!U80</f>
        <v>300</v>
      </c>
      <c r="L320" s="6">
        <f>K320*ACE_Input!V80</f>
        <v>75</v>
      </c>
    </row>
    <row r="321" spans="1:12" x14ac:dyDescent="0.2">
      <c r="A321">
        <f>3</f>
        <v>3</v>
      </c>
      <c r="B321">
        <f>ACE_Input!A81</f>
        <v>76</v>
      </c>
      <c r="C321" s="6">
        <f>MOD(Settings!$B$17*(C320),Settings!$B$18)</f>
        <v>1978227308</v>
      </c>
      <c r="D321" s="6">
        <f>MAX(C321,1)/Settings!$B$18</f>
        <v>0.92118387525956325</v>
      </c>
      <c r="E321" s="6">
        <f t="shared" si="10"/>
        <v>5</v>
      </c>
      <c r="F321" s="6">
        <f>ACE_Input!D81</f>
        <v>529</v>
      </c>
      <c r="G321" s="6">
        <f>MOD(Settings!$B$17*(G320),Settings!$B$18)</f>
        <v>1071877860</v>
      </c>
      <c r="H321" s="6">
        <f>MAX(G321,1)/Settings!$B$18</f>
        <v>0.49913202435669118</v>
      </c>
      <c r="I321" s="6">
        <f>-ACE_Input!W81*LN(H321)</f>
        <v>2.7795385614241992</v>
      </c>
      <c r="J321" s="6">
        <f>-ACE_Input!X81*LN(H321)</f>
        <v>8.3386156842725967</v>
      </c>
      <c r="K321" s="6">
        <f>ACE_Input!U81</f>
        <v>300</v>
      </c>
      <c r="L321" s="6">
        <f>K321*ACE_Input!V81</f>
        <v>75</v>
      </c>
    </row>
    <row r="322" spans="1:12" x14ac:dyDescent="0.2">
      <c r="A322">
        <f>3</f>
        <v>3</v>
      </c>
      <c r="B322">
        <f>ACE_Input!A82</f>
        <v>77</v>
      </c>
      <c r="C322" s="6">
        <f>MOD(Settings!$B$17*(C321),Settings!$B$18)</f>
        <v>724542702</v>
      </c>
      <c r="D322" s="6">
        <f>MAX(C322,1)/Settings!$B$18</f>
        <v>0.33739148747985787</v>
      </c>
      <c r="E322" s="6">
        <f t="shared" si="10"/>
        <v>5</v>
      </c>
      <c r="F322" s="6">
        <f>ACE_Input!D82</f>
        <v>534</v>
      </c>
      <c r="G322" s="6">
        <f>MOD(Settings!$B$17*(G321),Settings!$B$18)</f>
        <v>1958361984</v>
      </c>
      <c r="H322" s="6">
        <f>MAX(G322,1)/Settings!$B$18</f>
        <v>0.91193336290863036</v>
      </c>
      <c r="I322" s="6">
        <f>-ACE_Input!W82*LN(H322)</f>
        <v>0.36875343425391538</v>
      </c>
      <c r="J322" s="6">
        <f>-ACE_Input!X82*LN(H322)</f>
        <v>1.1062603027617461</v>
      </c>
      <c r="K322" s="6">
        <f>ACE_Input!U82</f>
        <v>300</v>
      </c>
      <c r="L322" s="6">
        <f>K322*ACE_Input!V82</f>
        <v>75</v>
      </c>
    </row>
    <row r="323" spans="1:12" x14ac:dyDescent="0.2">
      <c r="A323">
        <f>3</f>
        <v>3</v>
      </c>
      <c r="B323">
        <f>ACE_Input!A83</f>
        <v>78</v>
      </c>
      <c r="C323" s="6">
        <f>MOD(Settings!$B$17*(C322),Settings!$B$18)</f>
        <v>1156914024</v>
      </c>
      <c r="D323" s="6">
        <f>MAX(C323,1)/Settings!$B$18</f>
        <v>0.53873007397108252</v>
      </c>
      <c r="E323" s="6">
        <f t="shared" si="10"/>
        <v>5</v>
      </c>
      <c r="F323" s="6">
        <f>ACE_Input!D83</f>
        <v>539</v>
      </c>
      <c r="G323" s="6">
        <f>MOD(Settings!$B$17*(G322),Settings!$B$18)</f>
        <v>1855491166</v>
      </c>
      <c r="H323" s="6">
        <f>MAX(G323,1)/Settings!$B$18</f>
        <v>0.86403040535004361</v>
      </c>
      <c r="I323" s="6">
        <f>-ACE_Input!W83*LN(H323)</f>
        <v>0.5845892776796725</v>
      </c>
      <c r="J323" s="6">
        <f>-ACE_Input!X83*LN(H323)</f>
        <v>1.7537678330390176</v>
      </c>
      <c r="K323" s="6">
        <f>ACE_Input!U83</f>
        <v>300</v>
      </c>
      <c r="L323" s="6">
        <f>K323*ACE_Input!V83</f>
        <v>75</v>
      </c>
    </row>
    <row r="324" spans="1:12" x14ac:dyDescent="0.2">
      <c r="A324">
        <f>3</f>
        <v>3</v>
      </c>
      <c r="B324">
        <f>ACE_Input!A84</f>
        <v>79</v>
      </c>
      <c r="C324" s="6">
        <f>MOD(Settings!$B$17*(C323),Settings!$B$18)</f>
        <v>937061430</v>
      </c>
      <c r="D324" s="6">
        <f>MAX(C324,1)/Settings!$B$18</f>
        <v>0.43635323198342379</v>
      </c>
      <c r="E324" s="6">
        <f t="shared" si="10"/>
        <v>5</v>
      </c>
      <c r="F324" s="6">
        <f>ACE_Input!D84</f>
        <v>544</v>
      </c>
      <c r="G324" s="6">
        <f>MOD(Settings!$B$17*(G323),Settings!$B$18)</f>
        <v>1629988875</v>
      </c>
      <c r="H324" s="6">
        <f>MAX(G324,1)/Settings!$B$18</f>
        <v>0.75902271818324119</v>
      </c>
      <c r="I324" s="6">
        <f>-ACE_Input!W84*LN(H324)</f>
        <v>1.1028942812169076</v>
      </c>
      <c r="J324" s="6">
        <f>-ACE_Input!X84*LN(H324)</f>
        <v>3.3086828436507227</v>
      </c>
      <c r="K324" s="6">
        <f>ACE_Input!U84</f>
        <v>300</v>
      </c>
      <c r="L324" s="6">
        <f>K324*ACE_Input!V84</f>
        <v>75</v>
      </c>
    </row>
    <row r="325" spans="1:12" x14ac:dyDescent="0.2">
      <c r="A325">
        <f>3</f>
        <v>3</v>
      </c>
      <c r="B325">
        <f>ACE_Input!A85</f>
        <v>80</v>
      </c>
      <c r="C325" s="6">
        <f>MOD(Settings!$B$17*(C324),Settings!$B$18)</f>
        <v>1693870559</v>
      </c>
      <c r="D325" s="6">
        <f>MAX(C325,1)/Settings!$B$18</f>
        <v>0.78876994540391954</v>
      </c>
      <c r="E325" s="6">
        <f t="shared" si="10"/>
        <v>5</v>
      </c>
      <c r="F325" s="6">
        <f>ACE_Input!D85</f>
        <v>549</v>
      </c>
      <c r="G325" s="6">
        <f>MOD(Settings!$B$17*(G324),Settings!$B$18)</f>
        <v>1921620993</v>
      </c>
      <c r="H325" s="6">
        <f>MAX(G325,1)/Settings!$B$18</f>
        <v>0.89482450573464134</v>
      </c>
      <c r="I325" s="6">
        <f>-ACE_Input!W85*LN(H325)</f>
        <v>0.44451065164846637</v>
      </c>
      <c r="J325" s="6">
        <f>-ACE_Input!X85*LN(H325)</f>
        <v>1.333531954945399</v>
      </c>
      <c r="K325" s="6">
        <f>ACE_Input!U85</f>
        <v>300</v>
      </c>
      <c r="L325" s="6">
        <f>K325*ACE_Input!V85</f>
        <v>75</v>
      </c>
    </row>
    <row r="326" spans="1:12" x14ac:dyDescent="0.2">
      <c r="A326">
        <f>3</f>
        <v>3</v>
      </c>
      <c r="B326">
        <f>ACE_Input!A86</f>
        <v>81</v>
      </c>
      <c r="C326" s="6">
        <f>MOD(Settings!$B$17*(C325),Settings!$B$18)</f>
        <v>1839260481</v>
      </c>
      <c r="D326" s="6">
        <f>MAX(C326,1)/Settings!$B$18</f>
        <v>0.85647240367553779</v>
      </c>
      <c r="E326" s="6">
        <f t="shared" si="10"/>
        <v>5</v>
      </c>
      <c r="F326" s="6">
        <f>ACE_Input!D86</f>
        <v>554</v>
      </c>
      <c r="G326" s="6">
        <f>MOD(Settings!$B$17*(G325),Settings!$B$18)</f>
        <v>677462118</v>
      </c>
      <c r="H326" s="6">
        <f>MAX(G326,1)/Settings!$B$18</f>
        <v>0.31546788211700871</v>
      </c>
      <c r="I326" s="6">
        <f>-ACE_Input!W86*LN(H326)</f>
        <v>4.6147936085157006</v>
      </c>
      <c r="J326" s="6">
        <f>-ACE_Input!X86*LN(H326)</f>
        <v>13.844380825547102</v>
      </c>
      <c r="K326" s="6">
        <f>ACE_Input!U86</f>
        <v>300</v>
      </c>
      <c r="L326" s="6">
        <f>K326*ACE_Input!V86</f>
        <v>75</v>
      </c>
    </row>
    <row r="327" spans="1:12" x14ac:dyDescent="0.2">
      <c r="A327">
        <f>3</f>
        <v>3</v>
      </c>
      <c r="B327">
        <f>ACE_Input!A87</f>
        <v>82</v>
      </c>
      <c r="C327" s="6">
        <f>MOD(Settings!$B$17*(C326),Settings!$B$18)</f>
        <v>1571289249</v>
      </c>
      <c r="D327" s="6">
        <f>MAX(C327,1)/Settings!$B$18</f>
        <v>0.73168857476286986</v>
      </c>
      <c r="E327" s="6">
        <f t="shared" si="10"/>
        <v>5</v>
      </c>
      <c r="F327" s="6">
        <f>ACE_Input!D87</f>
        <v>559</v>
      </c>
      <c r="G327" s="6">
        <f>MOD(Settings!$B$17*(G326),Settings!$B$18)</f>
        <v>147520832</v>
      </c>
      <c r="H327" s="6">
        <f>MAX(G327,1)/Settings!$B$18</f>
        <v>6.8694740565817217E-2</v>
      </c>
      <c r="I327" s="6">
        <f>-ACE_Input!W87*LN(H327)</f>
        <v>10.712330556891031</v>
      </c>
      <c r="J327" s="6">
        <f>-ACE_Input!X87*LN(H327)</f>
        <v>32.13699167067309</v>
      </c>
      <c r="K327" s="6">
        <f>ACE_Input!U87</f>
        <v>300</v>
      </c>
      <c r="L327" s="6">
        <f>K327*ACE_Input!V87</f>
        <v>75</v>
      </c>
    </row>
    <row r="328" spans="1:12" x14ac:dyDescent="0.2">
      <c r="A328">
        <f>3</f>
        <v>3</v>
      </c>
      <c r="B328">
        <f>ACE_Input!A88</f>
        <v>83</v>
      </c>
      <c r="C328" s="6">
        <f>MOD(Settings!$B$17*(C327),Settings!$B$18)</f>
        <v>1052000784</v>
      </c>
      <c r="D328" s="6">
        <f>MAX(C328,1)/Settings!$B$18</f>
        <v>0.48987603955430725</v>
      </c>
      <c r="E328" s="6">
        <f t="shared" si="10"/>
        <v>5</v>
      </c>
      <c r="F328" s="6">
        <f>ACE_Input!D88</f>
        <v>564</v>
      </c>
      <c r="G328" s="6">
        <f>MOD(Settings!$B$17*(G327),Settings!$B$18)</f>
        <v>1186494786</v>
      </c>
      <c r="H328" s="6">
        <f>MAX(G328,1)/Settings!$B$18</f>
        <v>0.55250468968996069</v>
      </c>
      <c r="I328" s="6">
        <f>-ACE_Input!W88*LN(H328)</f>
        <v>2.3731734299985097</v>
      </c>
      <c r="J328" s="6">
        <f>-ACE_Input!X88*LN(H328)</f>
        <v>7.1195202899955294</v>
      </c>
      <c r="K328" s="6">
        <f>ACE_Input!U88</f>
        <v>300</v>
      </c>
      <c r="L328" s="6">
        <f>K328*ACE_Input!V88</f>
        <v>75</v>
      </c>
    </row>
    <row r="329" spans="1:12" x14ac:dyDescent="0.2">
      <c r="A329">
        <f>3</f>
        <v>3</v>
      </c>
      <c r="B329">
        <f>ACE_Input!A89</f>
        <v>84</v>
      </c>
      <c r="C329" s="6">
        <f>MOD(Settings!$B$17*(C328),Settings!$B$18)</f>
        <v>744310937</v>
      </c>
      <c r="D329" s="6">
        <f>MAX(C329,1)/Settings!$B$18</f>
        <v>0.34659678924204634</v>
      </c>
      <c r="E329" s="6">
        <f t="shared" si="10"/>
        <v>5</v>
      </c>
      <c r="F329" s="6">
        <f>ACE_Input!D89</f>
        <v>569</v>
      </c>
      <c r="G329" s="6">
        <f>MOD(Settings!$B$17*(G328),Settings!$B$18)</f>
        <v>2032205907</v>
      </c>
      <c r="H329" s="6">
        <f>MAX(G329,1)/Settings!$B$18</f>
        <v>0.94631961916867624</v>
      </c>
      <c r="I329" s="6">
        <f>-ACE_Input!W89*LN(H329)</f>
        <v>0.22069961271486557</v>
      </c>
      <c r="J329" s="6">
        <f>-ACE_Input!X89*LN(H329)</f>
        <v>0.66209883814459669</v>
      </c>
      <c r="K329" s="6">
        <f>ACE_Input!U89</f>
        <v>300</v>
      </c>
      <c r="L329" s="6">
        <f>K329*ACE_Input!V89</f>
        <v>75</v>
      </c>
    </row>
    <row r="330" spans="1:12" x14ac:dyDescent="0.2">
      <c r="A330">
        <f>3</f>
        <v>3</v>
      </c>
      <c r="B330">
        <f>ACE_Input!A90</f>
        <v>85</v>
      </c>
      <c r="C330" s="6">
        <f>MOD(Settings!$B$17*(C329),Settings!$B$18)</f>
        <v>541674384</v>
      </c>
      <c r="D330" s="6">
        <f>MAX(C330,1)/Settings!$B$18</f>
        <v>0.25223679107252361</v>
      </c>
      <c r="E330" s="6">
        <f t="shared" si="10"/>
        <v>5</v>
      </c>
      <c r="F330" s="6">
        <f>ACE_Input!D90</f>
        <v>574</v>
      </c>
      <c r="G330" s="6">
        <f>MOD(Settings!$B$17*(G329),Settings!$B$18)</f>
        <v>1704757061</v>
      </c>
      <c r="H330" s="6">
        <f>MAX(G330,1)/Settings!$B$18</f>
        <v>0.79383936794187848</v>
      </c>
      <c r="I330" s="6">
        <f>-ACE_Input!W90*LN(H330)</f>
        <v>0.92349658231954468</v>
      </c>
      <c r="J330" s="6">
        <f>-ACE_Input!X90*LN(H330)</f>
        <v>2.770489746958634</v>
      </c>
      <c r="K330" s="6">
        <f>ACE_Input!U90</f>
        <v>300</v>
      </c>
      <c r="L330" s="6">
        <f>K330*ACE_Input!V90</f>
        <v>75</v>
      </c>
    </row>
    <row r="331" spans="1:12" x14ac:dyDescent="0.2">
      <c r="A331">
        <f>3</f>
        <v>3</v>
      </c>
      <c r="B331">
        <f>ACE_Input!A91</f>
        <v>86</v>
      </c>
      <c r="C331" s="6">
        <f>MOD(Settings!$B$17*(C330),Settings!$B$18)</f>
        <v>738192255</v>
      </c>
      <c r="D331" s="6">
        <f>MAX(C331,1)/Settings!$B$18</f>
        <v>0.34374755590397282</v>
      </c>
      <c r="E331" s="6">
        <f t="shared" si="10"/>
        <v>5</v>
      </c>
      <c r="F331" s="6">
        <f>ACE_Input!D91</f>
        <v>579</v>
      </c>
      <c r="G331" s="6">
        <f>MOD(Settings!$B$17*(G330),Settings!$B$18)</f>
        <v>125105953</v>
      </c>
      <c r="H331" s="6">
        <f>MAX(G331,1)/Settings!$B$18</f>
        <v>5.8256999150969553E-2</v>
      </c>
      <c r="I331" s="6">
        <f>-ACE_Input!W91*LN(H331)</f>
        <v>11.371564146625692</v>
      </c>
      <c r="J331" s="6">
        <f>-ACE_Input!X91*LN(H331)</f>
        <v>34.114692439877075</v>
      </c>
      <c r="K331" s="6">
        <f>ACE_Input!U91</f>
        <v>300</v>
      </c>
      <c r="L331" s="6">
        <f>K331*ACE_Input!V91</f>
        <v>75</v>
      </c>
    </row>
    <row r="332" spans="1:12" x14ac:dyDescent="0.2">
      <c r="A332">
        <f>3</f>
        <v>3</v>
      </c>
      <c r="B332">
        <f>ACE_Input!A92</f>
        <v>87</v>
      </c>
      <c r="C332" s="6">
        <f>MOD(Settings!$B$17*(C331),Settings!$B$18)</f>
        <v>784201066</v>
      </c>
      <c r="D332" s="6">
        <f>MAX(C332,1)/Settings!$B$18</f>
        <v>0.36517207807170787</v>
      </c>
      <c r="E332" s="6">
        <f t="shared" si="10"/>
        <v>5</v>
      </c>
      <c r="F332" s="6">
        <f>ACE_Input!D92</f>
        <v>584</v>
      </c>
      <c r="G332" s="6">
        <f>MOD(Settings!$B$17*(G331),Settings!$B$18)</f>
        <v>269261658</v>
      </c>
      <c r="H332" s="6">
        <f>MAX(G332,1)/Settings!$B$18</f>
        <v>0.12538473034528305</v>
      </c>
      <c r="I332" s="6">
        <f>-ACE_Input!W92*LN(H332)</f>
        <v>8.3054737031162613</v>
      </c>
      <c r="J332" s="6">
        <f>-ACE_Input!X92*LN(H332)</f>
        <v>24.916421109348782</v>
      </c>
      <c r="K332" s="6">
        <f>ACE_Input!U92</f>
        <v>300</v>
      </c>
      <c r="L332" s="6">
        <f>K332*ACE_Input!V92</f>
        <v>75</v>
      </c>
    </row>
    <row r="333" spans="1:12" x14ac:dyDescent="0.2">
      <c r="A333">
        <f>3</f>
        <v>3</v>
      </c>
      <c r="B333">
        <f>ACE_Input!A93</f>
        <v>88</v>
      </c>
      <c r="C333" s="6">
        <f>MOD(Settings!$B$17*(C332),Settings!$B$18)</f>
        <v>960174623</v>
      </c>
      <c r="D333" s="6">
        <f>MAX(C333,1)/Settings!$B$18</f>
        <v>0.4471161511946079</v>
      </c>
      <c r="E333" s="6">
        <f t="shared" si="10"/>
        <v>5</v>
      </c>
      <c r="F333" s="6">
        <f>ACE_Input!D93</f>
        <v>589</v>
      </c>
      <c r="G333" s="6">
        <f>MOD(Settings!$B$17*(G332),Settings!$B$18)</f>
        <v>732641777</v>
      </c>
      <c r="H333" s="6">
        <f>MAX(G333,1)/Settings!$B$18</f>
        <v>0.341162913172116</v>
      </c>
      <c r="I333" s="6">
        <f>-ACE_Input!W93*LN(H333)</f>
        <v>4.3015806581901233</v>
      </c>
      <c r="J333" s="6">
        <f>-ACE_Input!X93*LN(H333)</f>
        <v>12.904741974570371</v>
      </c>
      <c r="K333" s="6">
        <f>ACE_Input!U93</f>
        <v>300</v>
      </c>
      <c r="L333" s="6">
        <f>K333*ACE_Input!V93</f>
        <v>75</v>
      </c>
    </row>
    <row r="334" spans="1:12" x14ac:dyDescent="0.2">
      <c r="A334">
        <f>3</f>
        <v>3</v>
      </c>
      <c r="B334">
        <f>ACE_Input!A94</f>
        <v>89</v>
      </c>
      <c r="C334" s="6">
        <f>MOD(Settings!$B$17*(C333),Settings!$B$18)</f>
        <v>1462765203</v>
      </c>
      <c r="D334" s="6">
        <f>MAX(C334,1)/Settings!$B$18</f>
        <v>0.68115312777513315</v>
      </c>
      <c r="E334" s="6">
        <f t="shared" si="10"/>
        <v>5</v>
      </c>
      <c r="F334" s="6">
        <f>ACE_Input!D94</f>
        <v>594</v>
      </c>
      <c r="G334" s="6">
        <f>MOD(Settings!$B$17*(G333),Settings!$B$18)</f>
        <v>1986597788</v>
      </c>
      <c r="H334" s="6">
        <f>MAX(G334,1)/Settings!$B$18</f>
        <v>0.92508168375356203</v>
      </c>
      <c r="I334" s="6">
        <f>-ACE_Input!W94*LN(H334)</f>
        <v>0.31149295443166686</v>
      </c>
      <c r="J334" s="6">
        <f>-ACE_Input!X94*LN(H334)</f>
        <v>0.93447886329500052</v>
      </c>
      <c r="K334" s="6">
        <f>ACE_Input!U94</f>
        <v>300</v>
      </c>
      <c r="L334" s="6">
        <f>K334*ACE_Input!V94</f>
        <v>75</v>
      </c>
    </row>
    <row r="335" spans="1:12" x14ac:dyDescent="0.2">
      <c r="A335">
        <f>3</f>
        <v>3</v>
      </c>
      <c r="B335">
        <f>ACE_Input!A95</f>
        <v>90</v>
      </c>
      <c r="C335" s="6">
        <f>MOD(Settings!$B$17*(C334),Settings!$B$18)</f>
        <v>301975965</v>
      </c>
      <c r="D335" s="6">
        <f>MAX(C335,1)/Settings!$B$18</f>
        <v>0.14061851666337741</v>
      </c>
      <c r="E335" s="6">
        <f t="shared" si="10"/>
        <v>5</v>
      </c>
      <c r="F335" s="6">
        <f>ACE_Input!D95</f>
        <v>599</v>
      </c>
      <c r="G335" s="6">
        <f>MOD(Settings!$B$17*(G334),Settings!$B$18)</f>
        <v>1820763007</v>
      </c>
      <c r="H335" s="6">
        <f>MAX(G335,1)/Settings!$B$18</f>
        <v>0.84785884611674533</v>
      </c>
      <c r="I335" s="6">
        <f>-ACE_Input!W95*LN(H335)</f>
        <v>0.66016444838568544</v>
      </c>
      <c r="J335" s="6">
        <f>-ACE_Input!X95*LN(H335)</f>
        <v>1.9804933451570563</v>
      </c>
      <c r="K335" s="6">
        <f>ACE_Input!U95</f>
        <v>300</v>
      </c>
      <c r="L335" s="6">
        <f>K335*ACE_Input!V95</f>
        <v>75</v>
      </c>
    </row>
    <row r="336" spans="1:12" x14ac:dyDescent="0.2">
      <c r="A336">
        <f>3</f>
        <v>3</v>
      </c>
      <c r="B336">
        <f>ACE_Input!A96</f>
        <v>91</v>
      </c>
      <c r="C336" s="6">
        <f>MOD(Settings!$B$17*(C335),Settings!$B$18)</f>
        <v>806185894</v>
      </c>
      <c r="D336" s="6">
        <f>MAX(C336,1)/Settings!$B$18</f>
        <v>0.37540956138419435</v>
      </c>
      <c r="E336" s="6">
        <f t="shared" si="10"/>
        <v>5</v>
      </c>
      <c r="F336" s="6">
        <f>ACE_Input!D96</f>
        <v>604</v>
      </c>
      <c r="G336" s="6">
        <f>MOD(Settings!$B$17*(G335),Settings!$B$18)</f>
        <v>2069372546</v>
      </c>
      <c r="H336" s="6">
        <f>MAX(G336,1)/Settings!$B$18</f>
        <v>0.96362668413837749</v>
      </c>
      <c r="I336" s="6">
        <f>-ACE_Input!W96*LN(H336)</f>
        <v>0.14820526597143657</v>
      </c>
      <c r="J336" s="6">
        <f>-ACE_Input!X96*LN(H336)</f>
        <v>0.44461579791430972</v>
      </c>
      <c r="K336" s="6">
        <f>ACE_Input!U96</f>
        <v>300</v>
      </c>
      <c r="L336" s="6">
        <f>K336*ACE_Input!V96</f>
        <v>75</v>
      </c>
    </row>
    <row r="337" spans="1:12" x14ac:dyDescent="0.2">
      <c r="A337">
        <f>3</f>
        <v>3</v>
      </c>
      <c r="B337">
        <f>ACE_Input!A97</f>
        <v>92</v>
      </c>
      <c r="C337" s="6">
        <f>MOD(Settings!$B$17*(C336),Settings!$B$18)</f>
        <v>1091991535</v>
      </c>
      <c r="D337" s="6">
        <f>MAX(C337,1)/Settings!$B$18</f>
        <v>0.50849818415404213</v>
      </c>
      <c r="E337" s="6">
        <f t="shared" si="10"/>
        <v>5</v>
      </c>
      <c r="F337" s="6">
        <f>ACE_Input!D97</f>
        <v>609</v>
      </c>
      <c r="G337" s="6">
        <f>MOD(Settings!$B$17*(G336),Settings!$B$18)</f>
        <v>1446717457</v>
      </c>
      <c r="H337" s="6">
        <f>MAX(G337,1)/Settings!$B$18</f>
        <v>0.67368031371090575</v>
      </c>
      <c r="I337" s="6">
        <f>-ACE_Input!W97*LN(H337)</f>
        <v>1.5799983703718903</v>
      </c>
      <c r="J337" s="6">
        <f>-ACE_Input!X97*LN(H337)</f>
        <v>4.7399951111156708</v>
      </c>
      <c r="K337" s="6">
        <f>ACE_Input!U97</f>
        <v>300</v>
      </c>
      <c r="L337" s="6">
        <f>K337*ACE_Input!V97</f>
        <v>75</v>
      </c>
    </row>
    <row r="338" spans="1:12" x14ac:dyDescent="0.2">
      <c r="A338">
        <f>3</f>
        <v>3</v>
      </c>
      <c r="B338">
        <f>ACE_Input!A98</f>
        <v>93</v>
      </c>
      <c r="C338" s="6">
        <f>MOD(Settings!$B$17*(C337),Settings!$B$18)</f>
        <v>706481483</v>
      </c>
      <c r="D338" s="6">
        <f>MAX(C338,1)/Settings!$B$18</f>
        <v>0.32898107698605444</v>
      </c>
      <c r="E338" s="6">
        <f t="shared" si="10"/>
        <v>5</v>
      </c>
      <c r="F338" s="6">
        <f>ACE_Input!D98</f>
        <v>614</v>
      </c>
      <c r="G338" s="6">
        <f>MOD(Settings!$B$17*(G337),Settings!$B$18)</f>
        <v>1170448465</v>
      </c>
      <c r="H338" s="6">
        <f>MAX(G338,1)/Settings!$B$18</f>
        <v>0.54503253919306793</v>
      </c>
      <c r="I338" s="6">
        <f>-ACE_Input!W98*LN(H338)</f>
        <v>2.4276391246390121</v>
      </c>
      <c r="J338" s="6">
        <f>-ACE_Input!X98*LN(H338)</f>
        <v>7.2829173739170363</v>
      </c>
      <c r="K338" s="6">
        <f>ACE_Input!U98</f>
        <v>300</v>
      </c>
      <c r="L338" s="6">
        <f>K338*ACE_Input!V98</f>
        <v>75</v>
      </c>
    </row>
    <row r="339" spans="1:12" x14ac:dyDescent="0.2">
      <c r="A339">
        <f>3</f>
        <v>3</v>
      </c>
      <c r="B339">
        <f>ACE_Input!A99</f>
        <v>94</v>
      </c>
      <c r="C339" s="6">
        <f>MOD(Settings!$B$17*(C338),Settings!$B$18)</f>
        <v>397200518</v>
      </c>
      <c r="D339" s="6">
        <f>MAX(C339,1)/Settings!$B$18</f>
        <v>0.18496090461730999</v>
      </c>
      <c r="E339" s="6">
        <f t="shared" si="10"/>
        <v>5</v>
      </c>
      <c r="F339" s="6">
        <f>ACE_Input!D99</f>
        <v>619</v>
      </c>
      <c r="G339" s="6">
        <f>MOD(Settings!$B$17*(G338),Settings!$B$18)</f>
        <v>777144735</v>
      </c>
      <c r="H339" s="6">
        <f>MAX(G339,1)/Settings!$B$18</f>
        <v>0.36188621789304831</v>
      </c>
      <c r="I339" s="6">
        <f>-ACE_Input!W99*LN(H339)</f>
        <v>4.065701727105278</v>
      </c>
      <c r="J339" s="6">
        <f>-ACE_Input!X99*LN(H339)</f>
        <v>12.197105181315834</v>
      </c>
      <c r="K339" s="6">
        <f>ACE_Input!U99</f>
        <v>300</v>
      </c>
      <c r="L339" s="6">
        <f>K339*ACE_Input!V99</f>
        <v>75</v>
      </c>
    </row>
    <row r="340" spans="1:12" x14ac:dyDescent="0.2">
      <c r="A340">
        <f>3</f>
        <v>3</v>
      </c>
      <c r="B340">
        <f>ACE_Input!A100</f>
        <v>95</v>
      </c>
      <c r="C340" s="6">
        <f>MOD(Settings!$B$17*(C339),Settings!$B$18)</f>
        <v>1369931150</v>
      </c>
      <c r="D340" s="6">
        <f>MAX(C340,1)/Settings!$B$18</f>
        <v>0.63792390312902814</v>
      </c>
      <c r="E340" s="6">
        <f t="shared" si="10"/>
        <v>5</v>
      </c>
      <c r="F340" s="6">
        <f>ACE_Input!D100</f>
        <v>624</v>
      </c>
      <c r="G340" s="6">
        <f>MOD(Settings!$B$17*(G339),Settings!$B$18)</f>
        <v>476020091</v>
      </c>
      <c r="H340" s="6">
        <f>MAX(G340,1)/Settings!$B$18</f>
        <v>0.22166412846262759</v>
      </c>
      <c r="I340" s="6">
        <f>-ACE_Input!W100*LN(H340)</f>
        <v>6.0263679104179513</v>
      </c>
      <c r="J340" s="6">
        <f>-ACE_Input!X100*LN(H340)</f>
        <v>18.079103731253852</v>
      </c>
      <c r="K340" s="6">
        <f>ACE_Input!U100</f>
        <v>300</v>
      </c>
      <c r="L340" s="6">
        <f>K340*ACE_Input!V100</f>
        <v>75</v>
      </c>
    </row>
    <row r="341" spans="1:12" x14ac:dyDescent="0.2">
      <c r="A341">
        <f>3</f>
        <v>3</v>
      </c>
      <c r="B341">
        <f>ACE_Input!A101</f>
        <v>96</v>
      </c>
      <c r="C341" s="6">
        <f>MOD(Settings!$B$17*(C340),Settings!$B$18)</f>
        <v>1260658563</v>
      </c>
      <c r="D341" s="6">
        <f>MAX(C341,1)/Settings!$B$18</f>
        <v>0.58703988957546649</v>
      </c>
      <c r="E341" s="6">
        <f t="shared" si="10"/>
        <v>5</v>
      </c>
      <c r="F341" s="6">
        <f>ACE_Input!D101</f>
        <v>629</v>
      </c>
      <c r="G341" s="6">
        <f>MOD(Settings!$B$17*(G340),Settings!$B$18)</f>
        <v>1093084362</v>
      </c>
      <c r="H341" s="6">
        <f>MAX(G341,1)/Settings!$B$18</f>
        <v>0.50900707138190371</v>
      </c>
      <c r="I341" s="6">
        <f>-ACE_Input!W101*LN(H341)</f>
        <v>2.7011734793312989</v>
      </c>
      <c r="J341" s="6">
        <f>-ACE_Input!X101*LN(H341)</f>
        <v>8.1035204379938968</v>
      </c>
      <c r="K341" s="6">
        <f>ACE_Input!U101</f>
        <v>300</v>
      </c>
      <c r="L341" s="6">
        <f>K341*ACE_Input!V101</f>
        <v>75</v>
      </c>
    </row>
    <row r="342" spans="1:12" x14ac:dyDescent="0.2">
      <c r="A342">
        <f>3</f>
        <v>3</v>
      </c>
      <c r="B342">
        <f>ACE_Input!A102</f>
        <v>97</v>
      </c>
      <c r="C342" s="6">
        <f>MOD(Settings!$B$17*(C341),Settings!$B$18)</f>
        <v>814807039</v>
      </c>
      <c r="D342" s="6">
        <f>MAX(C342,1)/Settings!$B$18</f>
        <v>0.37942409486483042</v>
      </c>
      <c r="E342" s="6">
        <f t="shared" si="10"/>
        <v>5</v>
      </c>
      <c r="F342" s="6">
        <f>ACE_Input!D102</f>
        <v>634</v>
      </c>
      <c r="G342" s="6">
        <f>MOD(Settings!$B$17*(G341),Settings!$B$18)</f>
        <v>1893755696</v>
      </c>
      <c r="H342" s="6">
        <f>MAX(G342,1)/Settings!$B$18</f>
        <v>0.88184871565636658</v>
      </c>
      <c r="I342" s="6">
        <f>-ACE_Input!W102*LN(H342)</f>
        <v>0.50293904754573759</v>
      </c>
      <c r="J342" s="6">
        <f>-ACE_Input!X102*LN(H342)</f>
        <v>1.5088171426372128</v>
      </c>
      <c r="K342" s="6">
        <f>ACE_Input!U102</f>
        <v>300</v>
      </c>
      <c r="L342" s="6">
        <f>K342*ACE_Input!V102</f>
        <v>75</v>
      </c>
    </row>
    <row r="343" spans="1:12" x14ac:dyDescent="0.2">
      <c r="A343">
        <f>3</f>
        <v>3</v>
      </c>
      <c r="B343">
        <f>ACE_Input!A103</f>
        <v>98</v>
      </c>
      <c r="C343" s="6">
        <f>MOD(Settings!$B$17*(C342),Settings!$B$18)</f>
        <v>2106171201</v>
      </c>
      <c r="D343" s="6">
        <f>MAX(C343,1)/Settings!$B$18</f>
        <v>0.98076239320485037</v>
      </c>
      <c r="E343" s="6">
        <f t="shared" ref="E343:E345" si="11">F343-F342</f>
        <v>5</v>
      </c>
      <c r="F343" s="6">
        <f>ACE_Input!D103</f>
        <v>639</v>
      </c>
      <c r="G343" s="6">
        <f>MOD(Settings!$B$17*(G342),Settings!$B$18)</f>
        <v>496850485</v>
      </c>
      <c r="H343" s="6">
        <f>MAX(G343,1)/Settings!$B$18</f>
        <v>0.23136403655231186</v>
      </c>
      <c r="I343" s="6">
        <f>-ACE_Input!W103*LN(H343)</f>
        <v>5.8550515724069196</v>
      </c>
      <c r="J343" s="6">
        <f>-ACE_Input!X103*LN(H343)</f>
        <v>17.565154717220757</v>
      </c>
      <c r="K343" s="6">
        <f>ACE_Input!U103</f>
        <v>300</v>
      </c>
      <c r="L343" s="6">
        <f>K343*ACE_Input!V103</f>
        <v>75</v>
      </c>
    </row>
    <row r="344" spans="1:12" x14ac:dyDescent="0.2">
      <c r="A344">
        <f>3</f>
        <v>3</v>
      </c>
      <c r="B344">
        <f>ACE_Input!A104</f>
        <v>99</v>
      </c>
      <c r="C344" s="6">
        <f>MOD(Settings!$B$17*(C343),Settings!$B$18)</f>
        <v>1446421706</v>
      </c>
      <c r="D344" s="6">
        <f>MAX(C344,1)/Settings!$B$18</f>
        <v>0.67354259391945903</v>
      </c>
      <c r="E344" s="6">
        <f t="shared" si="11"/>
        <v>45</v>
      </c>
      <c r="F344" s="6">
        <f>ACE_Input!D104</f>
        <v>684</v>
      </c>
      <c r="G344" s="6">
        <f>MOD(Settings!$B$17*(G343),Settings!$B$18)</f>
        <v>1149681859</v>
      </c>
      <c r="H344" s="6">
        <f>MAX(G344,1)/Settings!$B$18</f>
        <v>0.53536233470559225</v>
      </c>
      <c r="I344" s="6">
        <f>-ACE_Input!W104*LN(H344)</f>
        <v>2.4992460007680242</v>
      </c>
      <c r="J344" s="6">
        <f>-ACE_Input!X104*LN(H344)</f>
        <v>7.4977380023040725</v>
      </c>
      <c r="K344" s="6">
        <f>ACE_Input!U104</f>
        <v>300</v>
      </c>
      <c r="L344" s="6">
        <f>K344*ACE_Input!V104</f>
        <v>75</v>
      </c>
    </row>
    <row r="345" spans="1:12" x14ac:dyDescent="0.2">
      <c r="A345">
        <f>3</f>
        <v>3</v>
      </c>
      <c r="B345">
        <f>ACE_Input!A105</f>
        <v>100</v>
      </c>
      <c r="C345" s="6">
        <f>MOD(Settings!$B$17*(C344),Settings!$B$18)</f>
        <v>494728702</v>
      </c>
      <c r="D345" s="6">
        <f>MAX(C345,1)/Settings!$B$18</f>
        <v>0.2303760043486841</v>
      </c>
      <c r="E345" s="6">
        <f t="shared" si="11"/>
        <v>5</v>
      </c>
      <c r="F345" s="6">
        <f>ACE_Input!D105</f>
        <v>689</v>
      </c>
      <c r="G345" s="6">
        <f>MOD(Settings!$B$17*(G344),Settings!$B$18)</f>
        <v>1792632154</v>
      </c>
      <c r="H345" s="6">
        <f>MAX(G345,1)/Settings!$B$18</f>
        <v>0.83475939688960066</v>
      </c>
      <c r="I345" s="6">
        <f>-ACE_Input!W105*LN(H345)</f>
        <v>0.72244697236534017</v>
      </c>
      <c r="J345" s="6">
        <f>-ACE_Input!X105*LN(H345)</f>
        <v>2.1673409170960207</v>
      </c>
      <c r="K345" s="6">
        <f>ACE_Input!U105</f>
        <v>300</v>
      </c>
      <c r="L345" s="6">
        <f>K345*ACE_Input!V105</f>
        <v>75</v>
      </c>
    </row>
    <row r="346" spans="1:12" x14ac:dyDescent="0.2">
      <c r="C346" s="6"/>
      <c r="D346" s="6"/>
      <c r="E346" s="6"/>
      <c r="F346" s="6"/>
      <c r="G346" s="6"/>
      <c r="H346" s="6"/>
      <c r="I346" s="6"/>
      <c r="J346" s="6"/>
      <c r="K346" s="6"/>
      <c r="L346" s="6"/>
    </row>
    <row r="347" spans="1:12" x14ac:dyDescent="0.2">
      <c r="C347" s="6"/>
      <c r="D347" s="6"/>
      <c r="E347" s="6"/>
      <c r="F347" s="6"/>
      <c r="G347" s="6"/>
      <c r="H347" s="6"/>
      <c r="I347" s="6"/>
      <c r="J347" s="6"/>
      <c r="K347" s="6"/>
      <c r="L347" s="6"/>
    </row>
    <row r="348" spans="1:12" x14ac:dyDescent="0.2">
      <c r="C348" s="6"/>
      <c r="D348" s="6"/>
      <c r="E348" s="6"/>
      <c r="F348" s="6"/>
      <c r="G348" s="6"/>
      <c r="H348" s="6"/>
      <c r="I348" s="6"/>
      <c r="J348" s="6"/>
      <c r="K348" s="6"/>
      <c r="L348" s="6"/>
    </row>
    <row r="349" spans="1:12" x14ac:dyDescent="0.2">
      <c r="C349" s="6"/>
      <c r="D349" s="6"/>
      <c r="E349" s="6"/>
      <c r="F349" s="6"/>
      <c r="G349" s="6"/>
      <c r="H349" s="6"/>
      <c r="I349" s="6"/>
      <c r="J349" s="6"/>
      <c r="K349" s="6"/>
      <c r="L349" s="6"/>
    </row>
    <row r="350" spans="1:12" x14ac:dyDescent="0.2">
      <c r="C350" s="6"/>
      <c r="D350" s="6"/>
      <c r="E350" s="6"/>
      <c r="F350" s="6"/>
      <c r="G350" s="6"/>
      <c r="H350" s="6"/>
      <c r="I350" s="6"/>
      <c r="J350" s="6"/>
      <c r="K350" s="6"/>
      <c r="L350" s="6"/>
    </row>
    <row r="351" spans="1:12" x14ac:dyDescent="0.2">
      <c r="C351" s="6"/>
      <c r="D351" s="6"/>
      <c r="E351" s="6"/>
      <c r="F351" s="6"/>
      <c r="G351" s="6"/>
      <c r="H351" s="6"/>
      <c r="I351" s="6"/>
      <c r="J351" s="6"/>
      <c r="K351" s="6"/>
      <c r="L351" s="6"/>
    </row>
    <row r="352" spans="1:12" x14ac:dyDescent="0.2">
      <c r="C352" s="6"/>
      <c r="D352" s="6"/>
      <c r="E352" s="6"/>
      <c r="F352" s="6"/>
      <c r="G352" s="6"/>
      <c r="H352" s="6"/>
      <c r="I352" s="6"/>
      <c r="J352" s="6"/>
      <c r="K352" s="6"/>
      <c r="L352" s="6"/>
    </row>
    <row r="353" spans="1:12" x14ac:dyDescent="0.2">
      <c r="C353" s="6"/>
      <c r="D353" s="6"/>
      <c r="E353" s="6"/>
      <c r="F353" s="6"/>
      <c r="G353" s="6"/>
      <c r="H353" s="6"/>
      <c r="I353" s="6"/>
      <c r="J353" s="6"/>
      <c r="K353" s="6"/>
      <c r="L353" s="6"/>
    </row>
    <row r="354" spans="1:12" x14ac:dyDescent="0.2">
      <c r="C354" s="6"/>
      <c r="D354" s="6"/>
      <c r="E354" s="6"/>
      <c r="F354" s="6"/>
      <c r="G354" s="6"/>
      <c r="H354" s="6"/>
      <c r="I354" s="6"/>
      <c r="J354" s="6"/>
      <c r="K354" s="6"/>
      <c r="L354" s="6"/>
    </row>
    <row r="355" spans="1:12" x14ac:dyDescent="0.2">
      <c r="C355" s="6"/>
      <c r="D355" s="6"/>
      <c r="E355" s="6"/>
      <c r="F355" s="6"/>
      <c r="G355" s="6"/>
      <c r="H355" s="6"/>
      <c r="I355" s="6"/>
      <c r="J355" s="6"/>
      <c r="K355" s="6"/>
      <c r="L355" s="6"/>
    </row>
    <row r="356" spans="1:12" x14ac:dyDescent="0.2">
      <c r="C356" s="6"/>
      <c r="D356" s="6"/>
      <c r="E356" s="6"/>
      <c r="F356" s="6"/>
      <c r="G356" s="6"/>
      <c r="H356" s="6"/>
      <c r="I356" s="6"/>
      <c r="J356" s="6"/>
      <c r="K356" s="6"/>
      <c r="L356" s="6"/>
    </row>
    <row r="357" spans="1:12" x14ac:dyDescent="0.2">
      <c r="C357" s="6"/>
      <c r="D357" s="6"/>
      <c r="E357" s="6"/>
      <c r="F357" s="6"/>
      <c r="G357" s="6"/>
      <c r="H357" s="6"/>
      <c r="I357" s="6"/>
      <c r="J357" s="6"/>
      <c r="K357" s="6"/>
      <c r="L357" s="6"/>
    </row>
    <row r="358" spans="1:12" x14ac:dyDescent="0.2">
      <c r="C358" s="6"/>
      <c r="D358" s="6"/>
      <c r="E358" s="6"/>
      <c r="F358" s="6"/>
      <c r="G358" s="6"/>
      <c r="H358" s="6"/>
      <c r="I358" s="6"/>
      <c r="J358" s="6"/>
      <c r="K358" s="6"/>
      <c r="L358" s="6"/>
    </row>
    <row r="359" spans="1:12" x14ac:dyDescent="0.2">
      <c r="C359" s="6"/>
      <c r="D359" s="6"/>
      <c r="E359" s="6"/>
      <c r="F359" s="6"/>
      <c r="G359" s="6"/>
      <c r="H359" s="6"/>
      <c r="I359" s="6"/>
      <c r="J359" s="6"/>
      <c r="K359" s="6"/>
      <c r="L359" s="6"/>
    </row>
    <row r="360" spans="1:12" x14ac:dyDescent="0.2">
      <c r="C360" s="6"/>
      <c r="D360" s="6"/>
      <c r="E360" s="6"/>
      <c r="F360" s="6"/>
      <c r="G360" s="6"/>
      <c r="H360" s="6"/>
      <c r="I360" s="6"/>
      <c r="J360" s="6"/>
      <c r="K360" s="6"/>
      <c r="L360" s="6"/>
    </row>
    <row r="361" spans="1:12" x14ac:dyDescent="0.2">
      <c r="C361" s="6"/>
      <c r="D361" s="6"/>
      <c r="E361" s="6"/>
      <c r="F361" s="6"/>
      <c r="G361" s="6"/>
      <c r="H361" s="6"/>
      <c r="I361" s="6"/>
      <c r="J361" s="6"/>
      <c r="K361" s="6"/>
      <c r="L361" s="6"/>
    </row>
    <row r="362" spans="1:12" x14ac:dyDescent="0.2">
      <c r="C362" s="6"/>
      <c r="D362" s="6"/>
      <c r="E362" s="6"/>
      <c r="F362" s="6"/>
      <c r="G362" s="6"/>
      <c r="H362" s="6"/>
      <c r="I362" s="6"/>
      <c r="J362" s="6"/>
      <c r="K362" s="6"/>
      <c r="L362" s="6"/>
    </row>
    <row r="363" spans="1:12" x14ac:dyDescent="0.2">
      <c r="C363" s="6"/>
      <c r="D363" s="6"/>
      <c r="E363" s="6"/>
      <c r="F363" s="6"/>
      <c r="G363" s="6"/>
      <c r="H363" s="6"/>
      <c r="I363" s="6"/>
      <c r="J363" s="6"/>
      <c r="K363" s="6"/>
      <c r="L363" s="6"/>
    </row>
    <row r="364" spans="1:12" x14ac:dyDescent="0.2">
      <c r="C364" s="6"/>
      <c r="D364" s="6"/>
      <c r="E364" s="6"/>
      <c r="F364" s="6"/>
      <c r="G364" s="6"/>
      <c r="H364" s="6"/>
      <c r="I364" s="6"/>
      <c r="J364" s="6"/>
      <c r="K364" s="6"/>
      <c r="L364" s="6"/>
    </row>
    <row r="365" spans="1:12" x14ac:dyDescent="0.2">
      <c r="C365" s="6"/>
      <c r="D365" s="6"/>
      <c r="E365" s="6"/>
      <c r="F365" s="6"/>
      <c r="G365" s="6"/>
      <c r="H365" s="6"/>
      <c r="I365" s="6"/>
      <c r="J365" s="6"/>
      <c r="K365" s="6"/>
      <c r="L365" s="6"/>
    </row>
    <row r="366" spans="1:12" x14ac:dyDescent="0.2">
      <c r="A366">
        <f>4</f>
        <v>4</v>
      </c>
      <c r="B366">
        <f>ACE_Input!A6</f>
        <v>1</v>
      </c>
      <c r="C366" s="6">
        <f>MOD(Settings!$B$17*(Settings!$B$15+1000*A366),Settings!$B$18)</f>
        <v>274710415</v>
      </c>
      <c r="D366" s="6">
        <f>MAX(C366,1)/Settings!$B$18</f>
        <v>0.12792200554531161</v>
      </c>
      <c r="E366" s="6">
        <f>F366</f>
        <v>2</v>
      </c>
      <c r="F366" s="6">
        <f>ACE_Input!D6</f>
        <v>2</v>
      </c>
      <c r="G366" s="6">
        <f>MOD(Settings!$B$17*(Settings!$B$16+1000*A366),Settings!$B$18)</f>
        <v>980201047</v>
      </c>
      <c r="H366" s="6">
        <f>MAX(G366,1)/Settings!$B$18</f>
        <v>0.45644168157896103</v>
      </c>
      <c r="I366" s="6">
        <f>-ACE_Input!W6*LN(H366)</f>
        <v>3.1371773532165412</v>
      </c>
      <c r="J366" s="6">
        <f>-ACE_Input!X6*LN(H366)</f>
        <v>9.4115320596496232</v>
      </c>
      <c r="K366" s="6">
        <f>ACE_Input!U6</f>
        <v>300</v>
      </c>
      <c r="L366" s="6">
        <f>K366*ACE_Input!V6</f>
        <v>75</v>
      </c>
    </row>
    <row r="367" spans="1:12" x14ac:dyDescent="0.2">
      <c r="A367">
        <f>4</f>
        <v>4</v>
      </c>
      <c r="B367">
        <f>ACE_Input!A7</f>
        <v>2</v>
      </c>
      <c r="C367" s="6">
        <f>MOD(Settings!$B$17*(C366),Settings!$B$18)</f>
        <v>2115587502</v>
      </c>
      <c r="D367" s="6">
        <f>MAX(C367,1)/Settings!$B$18</f>
        <v>0.98514720005222933</v>
      </c>
      <c r="E367" s="6">
        <f t="shared" ref="E367:E398" si="12">F367-F366</f>
        <v>5</v>
      </c>
      <c r="F367" s="6">
        <f>ACE_Input!D7</f>
        <v>7</v>
      </c>
      <c r="G367" s="6">
        <f>MOD(Settings!$B$17*(G366),Settings!$B$18)</f>
        <v>891940792</v>
      </c>
      <c r="H367" s="6">
        <f>MAX(G367,1)/Settings!$B$18</f>
        <v>0.41534229759841335</v>
      </c>
      <c r="I367" s="6">
        <f>-ACE_Input!W7*LN(H367)</f>
        <v>3.5146091409320142</v>
      </c>
      <c r="J367" s="6">
        <f>-ACE_Input!X7*LN(H367)</f>
        <v>10.543827422796042</v>
      </c>
      <c r="K367" s="6">
        <f>ACE_Input!U7</f>
        <v>300</v>
      </c>
      <c r="L367" s="6">
        <f>K367*ACE_Input!V7</f>
        <v>75</v>
      </c>
    </row>
    <row r="368" spans="1:12" x14ac:dyDescent="0.2">
      <c r="A368">
        <f>4</f>
        <v>4</v>
      </c>
      <c r="B368">
        <f>ACE_Input!A8</f>
        <v>3</v>
      </c>
      <c r="C368" s="6">
        <f>MOD(Settings!$B$17*(C367),Settings!$B$18)</f>
        <v>792402735</v>
      </c>
      <c r="D368" s="6">
        <f>MAX(C368,1)/Settings!$B$18</f>
        <v>0.36899127781809832</v>
      </c>
      <c r="E368" s="6">
        <f t="shared" si="12"/>
        <v>25</v>
      </c>
      <c r="F368" s="6">
        <f>ACE_Input!D8</f>
        <v>32</v>
      </c>
      <c r="G368" s="6">
        <f>MOD(Settings!$B$17*(G367),Settings!$B$18)</f>
        <v>1413035084</v>
      </c>
      <c r="H368" s="6">
        <f>MAX(G368,1)/Settings!$B$18</f>
        <v>0.6579957365328426</v>
      </c>
      <c r="I368" s="6">
        <f>-ACE_Input!W8*LN(H368)</f>
        <v>1.6742273084447254</v>
      </c>
      <c r="J368" s="6">
        <f>-ACE_Input!X8*LN(H368)</f>
        <v>5.0226819253341759</v>
      </c>
      <c r="K368" s="6">
        <f>ACE_Input!U8</f>
        <v>300</v>
      </c>
      <c r="L368" s="6">
        <f>K368*ACE_Input!V8</f>
        <v>75</v>
      </c>
    </row>
    <row r="369" spans="1:12" x14ac:dyDescent="0.2">
      <c r="A369">
        <f>4</f>
        <v>4</v>
      </c>
      <c r="B369">
        <f>ACE_Input!A9</f>
        <v>4</v>
      </c>
      <c r="C369" s="6">
        <f>MOD(Settings!$B$17*(C368),Settings!$B$18)</f>
        <v>1366672098</v>
      </c>
      <c r="D369" s="6">
        <f>MAX(C369,1)/Settings!$B$18</f>
        <v>0.63640628877859851</v>
      </c>
      <c r="E369" s="6">
        <f t="shared" si="12"/>
        <v>5</v>
      </c>
      <c r="F369" s="6">
        <f>ACE_Input!D9</f>
        <v>37</v>
      </c>
      <c r="G369" s="6">
        <f>MOD(Settings!$B$17*(G368),Settings!$B$18)</f>
        <v>2006488262</v>
      </c>
      <c r="H369" s="6">
        <f>MAX(G369,1)/Settings!$B$18</f>
        <v>0.93434390748587615</v>
      </c>
      <c r="I369" s="6">
        <f>-ACE_Input!W9*LN(H369)</f>
        <v>0.27164279690419829</v>
      </c>
      <c r="J369" s="6">
        <f>-ACE_Input!X9*LN(H369)</f>
        <v>0.81492839071259482</v>
      </c>
      <c r="K369" s="6">
        <f>ACE_Input!U9</f>
        <v>300</v>
      </c>
      <c r="L369" s="6">
        <f>K369*ACE_Input!V9</f>
        <v>75</v>
      </c>
    </row>
    <row r="370" spans="1:12" x14ac:dyDescent="0.2">
      <c r="A370">
        <f>4</f>
        <v>4</v>
      </c>
      <c r="B370">
        <f>ACE_Input!A10</f>
        <v>5</v>
      </c>
      <c r="C370" s="6">
        <f>MOD(Settings!$B$17*(C369),Settings!$B$18)</f>
        <v>172862774</v>
      </c>
      <c r="D370" s="6">
        <f>MAX(C370,1)/Settings!$B$18</f>
        <v>8.0495501905910441E-2</v>
      </c>
      <c r="E370" s="6">
        <f t="shared" si="12"/>
        <v>5</v>
      </c>
      <c r="F370" s="6">
        <f>ACE_Input!D10</f>
        <v>42</v>
      </c>
      <c r="G370" s="6">
        <f>MOD(Settings!$B$17*(G369),Settings!$B$18)</f>
        <v>1112510593</v>
      </c>
      <c r="H370" s="6">
        <f>MAX(G370,1)/Settings!$B$18</f>
        <v>0.51805311512111363</v>
      </c>
      <c r="I370" s="6">
        <f>-ACE_Input!W10*LN(H370)</f>
        <v>2.6307100125422127</v>
      </c>
      <c r="J370" s="6">
        <f>-ACE_Input!X10*LN(H370)</f>
        <v>7.8921300376266377</v>
      </c>
      <c r="K370" s="6">
        <f>ACE_Input!U10</f>
        <v>300</v>
      </c>
      <c r="L370" s="6">
        <f>K370*ACE_Input!V10</f>
        <v>75</v>
      </c>
    </row>
    <row r="371" spans="1:12" x14ac:dyDescent="0.2">
      <c r="A371">
        <f>4</f>
        <v>4</v>
      </c>
      <c r="B371">
        <f>ACE_Input!A11</f>
        <v>6</v>
      </c>
      <c r="C371" s="6">
        <f>MOD(Settings!$B$17*(C370),Settings!$B$18)</f>
        <v>1906751874</v>
      </c>
      <c r="D371" s="6">
        <f>MAX(C371,1)/Settings!$B$18</f>
        <v>0.88790053263674518</v>
      </c>
      <c r="E371" s="6">
        <f t="shared" si="12"/>
        <v>5</v>
      </c>
      <c r="F371" s="6">
        <f>ACE_Input!D11</f>
        <v>47</v>
      </c>
      <c r="G371" s="6">
        <f>MOD(Settings!$B$17*(G370),Settings!$B$18)</f>
        <v>1972905769</v>
      </c>
      <c r="H371" s="6">
        <f>MAX(G371,1)/Settings!$B$18</f>
        <v>0.91870584055721105</v>
      </c>
      <c r="I371" s="6">
        <f>-ACE_Input!W11*LN(H371)</f>
        <v>0.33915717723947814</v>
      </c>
      <c r="J371" s="6">
        <f>-ACE_Input!X11*LN(H371)</f>
        <v>1.0174715317184344</v>
      </c>
      <c r="K371" s="6">
        <f>ACE_Input!U11</f>
        <v>300</v>
      </c>
      <c r="L371" s="6">
        <f>K371*ACE_Input!V11</f>
        <v>75</v>
      </c>
    </row>
    <row r="372" spans="1:12" x14ac:dyDescent="0.2">
      <c r="A372">
        <f>4</f>
        <v>4</v>
      </c>
      <c r="B372">
        <f>ACE_Input!A12</f>
        <v>7</v>
      </c>
      <c r="C372" s="6">
        <f>MOD(Settings!$B$17*(C371),Settings!$B$18)</f>
        <v>2027765784</v>
      </c>
      <c r="D372" s="6">
        <f>MAX(C372,1)/Settings!$B$18</f>
        <v>0.94425202577572875</v>
      </c>
      <c r="E372" s="6">
        <f t="shared" si="12"/>
        <v>5</v>
      </c>
      <c r="F372" s="6">
        <f>ACE_Input!D12</f>
        <v>52</v>
      </c>
      <c r="G372" s="6">
        <f>MOD(Settings!$B$17*(G371),Settings!$B$18)</f>
        <v>1479749903</v>
      </c>
      <c r="H372" s="6">
        <f>MAX(G372,1)/Settings!$B$18</f>
        <v>0.68906224504535196</v>
      </c>
      <c r="I372" s="6">
        <f>-ACE_Input!W12*LN(H372)</f>
        <v>1.4896946836366012</v>
      </c>
      <c r="J372" s="6">
        <f>-ACE_Input!X12*LN(H372)</f>
        <v>4.4690840509098031</v>
      </c>
      <c r="K372" s="6">
        <f>ACE_Input!U12</f>
        <v>300</v>
      </c>
      <c r="L372" s="6">
        <f>K372*ACE_Input!V12</f>
        <v>75</v>
      </c>
    </row>
    <row r="373" spans="1:12" x14ac:dyDescent="0.2">
      <c r="A373">
        <f>4</f>
        <v>4</v>
      </c>
      <c r="B373">
        <f>ACE_Input!A13</f>
        <v>8</v>
      </c>
      <c r="C373" s="6">
        <f>MOD(Settings!$B$17*(C372),Settings!$B$18)</f>
        <v>94053798</v>
      </c>
      <c r="D373" s="6">
        <f>MAX(C373,1)/Settings!$B$18</f>
        <v>4.3797212673256737E-2</v>
      </c>
      <c r="E373" s="6">
        <f t="shared" si="12"/>
        <v>5</v>
      </c>
      <c r="F373" s="6">
        <f>ACE_Input!D13</f>
        <v>57</v>
      </c>
      <c r="G373" s="6">
        <f>MOD(Settings!$B$17*(G372),Settings!$B$18)</f>
        <v>148503814</v>
      </c>
      <c r="H373" s="6">
        <f>MAX(G373,1)/Settings!$B$18</f>
        <v>6.9152477229550702E-2</v>
      </c>
      <c r="I373" s="6">
        <f>-ACE_Input!W13*LN(H373)</f>
        <v>10.685765590054988</v>
      </c>
      <c r="J373" s="6">
        <f>-ACE_Input!X13*LN(H373)</f>
        <v>32.057296770164967</v>
      </c>
      <c r="K373" s="6">
        <f>ACE_Input!U13</f>
        <v>300</v>
      </c>
      <c r="L373" s="6">
        <f>K373*ACE_Input!V13</f>
        <v>75</v>
      </c>
    </row>
    <row r="374" spans="1:12" x14ac:dyDescent="0.2">
      <c r="A374">
        <f>4</f>
        <v>4</v>
      </c>
      <c r="B374">
        <f>ACE_Input!A14</f>
        <v>9</v>
      </c>
      <c r="C374" s="6">
        <f>MOD(Settings!$B$17*(C373),Settings!$B$18)</f>
        <v>214218794</v>
      </c>
      <c r="D374" s="6">
        <f>MAX(C374,1)/Settings!$B$18</f>
        <v>9.9753399426002712E-2</v>
      </c>
      <c r="E374" s="6">
        <f t="shared" si="12"/>
        <v>115</v>
      </c>
      <c r="F374" s="6">
        <f>ACE_Input!D14</f>
        <v>172</v>
      </c>
      <c r="G374" s="6">
        <f>MOD(Settings!$B$17*(G373),Settings!$B$18)</f>
        <v>527604084</v>
      </c>
      <c r="H374" s="6">
        <f>MAX(G374,1)/Settings!$B$18</f>
        <v>0.2456847970586665</v>
      </c>
      <c r="I374" s="6">
        <f>-ACE_Input!W14*LN(H374)</f>
        <v>5.614823509610031</v>
      </c>
      <c r="J374" s="6">
        <f>-ACE_Input!X14*LN(H374)</f>
        <v>16.844470528830094</v>
      </c>
      <c r="K374" s="6">
        <f>ACE_Input!U14</f>
        <v>300</v>
      </c>
      <c r="L374" s="6">
        <f>K374*ACE_Input!V14</f>
        <v>75</v>
      </c>
    </row>
    <row r="375" spans="1:12" x14ac:dyDescent="0.2">
      <c r="A375">
        <f>4</f>
        <v>4</v>
      </c>
      <c r="B375">
        <f>ACE_Input!A15</f>
        <v>10</v>
      </c>
      <c r="C375" s="6">
        <f>MOD(Settings!$B$17*(C374),Settings!$B$18)</f>
        <v>1192678386</v>
      </c>
      <c r="D375" s="6">
        <f>MAX(C375,1)/Settings!$B$18</f>
        <v>0.55538415282749765</v>
      </c>
      <c r="E375" s="6">
        <f t="shared" si="12"/>
        <v>5</v>
      </c>
      <c r="F375" s="6">
        <f>ACE_Input!D15</f>
        <v>177</v>
      </c>
      <c r="G375" s="6">
        <f>MOD(Settings!$B$17*(G374),Settings!$B$18)</f>
        <v>481861325</v>
      </c>
      <c r="H375" s="6">
        <f>MAX(G375,1)/Settings!$B$18</f>
        <v>0.22438416500779995</v>
      </c>
      <c r="I375" s="6">
        <f>-ACE_Input!W15*LN(H375)</f>
        <v>5.9775826949695299</v>
      </c>
      <c r="J375" s="6">
        <f>-ACE_Input!X15*LN(H375)</f>
        <v>17.932748084908589</v>
      </c>
      <c r="K375" s="6">
        <f>ACE_Input!U15</f>
        <v>300</v>
      </c>
      <c r="L375" s="6">
        <f>K375*ACE_Input!V15</f>
        <v>75</v>
      </c>
    </row>
    <row r="376" spans="1:12" x14ac:dyDescent="0.2">
      <c r="A376">
        <f>4</f>
        <v>4</v>
      </c>
      <c r="B376">
        <f>ACE_Input!A16</f>
        <v>11</v>
      </c>
      <c r="C376" s="6">
        <f>MOD(Settings!$B$17*(C375),Settings!$B$18)</f>
        <v>733272404</v>
      </c>
      <c r="D376" s="6">
        <f>MAX(C376,1)/Settings!$B$18</f>
        <v>0.34145657175288374</v>
      </c>
      <c r="E376" s="6">
        <f t="shared" si="12"/>
        <v>5</v>
      </c>
      <c r="F376" s="6">
        <f>ACE_Input!D16</f>
        <v>182</v>
      </c>
      <c r="G376" s="6">
        <f>MOD(Settings!$B$17*(G375),Settings!$B$18)</f>
        <v>482456438</v>
      </c>
      <c r="H376" s="6">
        <f>MAX(G376,1)/Settings!$B$18</f>
        <v>0.22466128609360256</v>
      </c>
      <c r="I376" s="6">
        <f>-ACE_Input!W16*LN(H376)</f>
        <v>5.9726456246519701</v>
      </c>
      <c r="J376" s="6">
        <f>-ACE_Input!X16*LN(H376)</f>
        <v>17.91793687395591</v>
      </c>
      <c r="K376" s="6">
        <f>ACE_Input!U16</f>
        <v>300</v>
      </c>
      <c r="L376" s="6">
        <f>K376*ACE_Input!V16</f>
        <v>75</v>
      </c>
    </row>
    <row r="377" spans="1:12" x14ac:dyDescent="0.2">
      <c r="A377">
        <f>4</f>
        <v>4</v>
      </c>
      <c r="B377">
        <f>ACE_Input!A17</f>
        <v>12</v>
      </c>
      <c r="C377" s="6">
        <f>MOD(Settings!$B$17*(C376),Settings!$B$18)</f>
        <v>1848127542</v>
      </c>
      <c r="D377" s="6">
        <f>MAX(C377,1)/Settings!$B$18</f>
        <v>0.86060145071735672</v>
      </c>
      <c r="E377" s="6">
        <f t="shared" si="12"/>
        <v>5</v>
      </c>
      <c r="F377" s="6">
        <f>ACE_Input!D17</f>
        <v>187</v>
      </c>
      <c r="G377" s="6">
        <f>MOD(Settings!$B$17*(G376),Settings!$B$18)</f>
        <v>1894586041</v>
      </c>
      <c r="H377" s="6">
        <f>MAX(G377,1)/Settings!$B$18</f>
        <v>0.88223537517815609</v>
      </c>
      <c r="I377" s="6">
        <f>-ACE_Input!W17*LN(H377)</f>
        <v>0.50118557318477996</v>
      </c>
      <c r="J377" s="6">
        <f>-ACE_Input!X17*LN(H377)</f>
        <v>1.5035567195543398</v>
      </c>
      <c r="K377" s="6">
        <f>ACE_Input!U17</f>
        <v>300</v>
      </c>
      <c r="L377" s="6">
        <f>K377*ACE_Input!V17</f>
        <v>75</v>
      </c>
    </row>
    <row r="378" spans="1:12" x14ac:dyDescent="0.2">
      <c r="A378">
        <f>4</f>
        <v>4</v>
      </c>
      <c r="B378">
        <f>ACE_Input!A18</f>
        <v>13</v>
      </c>
      <c r="C378" s="6">
        <f>MOD(Settings!$B$17*(C377),Settings!$B$18)</f>
        <v>276128186</v>
      </c>
      <c r="D378" s="6">
        <f>MAX(C378,1)/Settings!$B$18</f>
        <v>0.12858220661458661</v>
      </c>
      <c r="E378" s="6">
        <f t="shared" si="12"/>
        <v>5</v>
      </c>
      <c r="F378" s="6">
        <f>ACE_Input!D18</f>
        <v>192</v>
      </c>
      <c r="G378" s="6">
        <f>MOD(Settings!$B$17*(G377),Settings!$B$18)</f>
        <v>1567557018</v>
      </c>
      <c r="H378" s="6">
        <f>MAX(G378,1)/Settings!$B$18</f>
        <v>0.72995061927007077</v>
      </c>
      <c r="I378" s="6">
        <f>-ACE_Input!W18*LN(H378)</f>
        <v>1.2591135678529393</v>
      </c>
      <c r="J378" s="6">
        <f>-ACE_Input!X18*LN(H378)</f>
        <v>3.777340703558818</v>
      </c>
      <c r="K378" s="6">
        <f>ACE_Input!U18</f>
        <v>300</v>
      </c>
      <c r="L378" s="6">
        <f>K378*ACE_Input!V18</f>
        <v>75</v>
      </c>
    </row>
    <row r="379" spans="1:12" x14ac:dyDescent="0.2">
      <c r="A379">
        <f>4</f>
        <v>4</v>
      </c>
      <c r="B379">
        <f>ACE_Input!A19</f>
        <v>14</v>
      </c>
      <c r="C379" s="6">
        <f>MOD(Settings!$B$17*(C378),Settings!$B$18)</f>
        <v>174260935</v>
      </c>
      <c r="D379" s="6">
        <f>MAX(C379,1)/Settings!$B$18</f>
        <v>8.1146571357337091E-2</v>
      </c>
      <c r="E379" s="6">
        <f t="shared" si="12"/>
        <v>5</v>
      </c>
      <c r="F379" s="6">
        <f>ACE_Input!D19</f>
        <v>197</v>
      </c>
      <c r="G379" s="6">
        <f>MOD(Settings!$B$17*(G378),Settings!$B$18)</f>
        <v>601420130</v>
      </c>
      <c r="H379" s="6">
        <f>MAX(G379,1)/Settings!$B$18</f>
        <v>0.28005807207900008</v>
      </c>
      <c r="I379" s="6">
        <f>-ACE_Input!W19*LN(H379)</f>
        <v>5.0910331881408384</v>
      </c>
      <c r="J379" s="6">
        <f>-ACE_Input!X19*LN(H379)</f>
        <v>15.273099564422516</v>
      </c>
      <c r="K379" s="6">
        <f>ACE_Input!U19</f>
        <v>300</v>
      </c>
      <c r="L379" s="6">
        <f>K379*ACE_Input!V19</f>
        <v>75</v>
      </c>
    </row>
    <row r="380" spans="1:12" x14ac:dyDescent="0.2">
      <c r="A380">
        <f>4</f>
        <v>4</v>
      </c>
      <c r="B380">
        <f>ACE_Input!A20</f>
        <v>15</v>
      </c>
      <c r="C380" s="6">
        <f>MOD(Settings!$B$17*(C379),Settings!$B$18)</f>
        <v>1783323684</v>
      </c>
      <c r="D380" s="6">
        <f>MAX(C380,1)/Settings!$B$18</f>
        <v>0.83042480276451669</v>
      </c>
      <c r="E380" s="6">
        <f t="shared" si="12"/>
        <v>5</v>
      </c>
      <c r="F380" s="6">
        <f>ACE_Input!D20</f>
        <v>202</v>
      </c>
      <c r="G380" s="6">
        <f>MOD(Settings!$B$17*(G379),Settings!$B$18)</f>
        <v>2010082128</v>
      </c>
      <c r="H380" s="6">
        <f>MAX(G380,1)/Settings!$B$18</f>
        <v>0.93601743175462704</v>
      </c>
      <c r="I380" s="6">
        <f>-ACE_Input!W20*LN(H380)</f>
        <v>0.26448471603396023</v>
      </c>
      <c r="J380" s="6">
        <f>-ACE_Input!X20*LN(H380)</f>
        <v>0.79345414810188064</v>
      </c>
      <c r="K380" s="6">
        <f>ACE_Input!U20</f>
        <v>300</v>
      </c>
      <c r="L380" s="6">
        <f>K380*ACE_Input!V20</f>
        <v>75</v>
      </c>
    </row>
    <row r="381" spans="1:12" x14ac:dyDescent="0.2">
      <c r="A381">
        <f>4</f>
        <v>4</v>
      </c>
      <c r="B381">
        <f>ACE_Input!A21</f>
        <v>16</v>
      </c>
      <c r="C381" s="6">
        <f>MOD(Settings!$B$17*(C380),Settings!$B$18)</f>
        <v>2039379456</v>
      </c>
      <c r="D381" s="6">
        <f>MAX(C381,1)/Settings!$B$18</f>
        <v>0.94966006323213692</v>
      </c>
      <c r="E381" s="6">
        <f t="shared" si="12"/>
        <v>5</v>
      </c>
      <c r="F381" s="6">
        <f>ACE_Input!D21</f>
        <v>207</v>
      </c>
      <c r="G381" s="6">
        <f>MOD(Settings!$B$17*(G380),Settings!$B$18)</f>
        <v>1385074339</v>
      </c>
      <c r="H381" s="6">
        <f>MAX(G381,1)/Settings!$B$18</f>
        <v>0.64497550001599613</v>
      </c>
      <c r="I381" s="6">
        <f>-ACE_Input!W21*LN(H381)</f>
        <v>1.7541717895164668</v>
      </c>
      <c r="J381" s="6">
        <f>-ACE_Input!X21*LN(H381)</f>
        <v>5.2625153685494004</v>
      </c>
      <c r="K381" s="6">
        <f>ACE_Input!U21</f>
        <v>300</v>
      </c>
      <c r="L381" s="6">
        <f>K381*ACE_Input!V21</f>
        <v>75</v>
      </c>
    </row>
    <row r="382" spans="1:12" x14ac:dyDescent="0.2">
      <c r="A382">
        <f>4</f>
        <v>4</v>
      </c>
      <c r="B382">
        <f>ACE_Input!A22</f>
        <v>17</v>
      </c>
      <c r="C382" s="6">
        <f>MOD(Settings!$B$17*(C381),Settings!$B$18)</f>
        <v>2011510872</v>
      </c>
      <c r="D382" s="6">
        <f>MAX(C382,1)/Settings!$B$18</f>
        <v>0.93668274252521</v>
      </c>
      <c r="E382" s="6">
        <f t="shared" si="12"/>
        <v>5</v>
      </c>
      <c r="F382" s="6">
        <f>ACE_Input!D22</f>
        <v>212</v>
      </c>
      <c r="G382" s="6">
        <f>MOD(Settings!$B$17*(G381),Settings!$B$18)</f>
        <v>221682093</v>
      </c>
      <c r="H382" s="6">
        <f>MAX(G382,1)/Settings!$B$18</f>
        <v>0.10322876884752362</v>
      </c>
      <c r="I382" s="6">
        <f>-ACE_Input!W22*LN(H382)</f>
        <v>9.0832307875234637</v>
      </c>
      <c r="J382" s="6">
        <f>-ACE_Input!X22*LN(H382)</f>
        <v>27.249692362570393</v>
      </c>
      <c r="K382" s="6">
        <f>ACE_Input!U22</f>
        <v>300</v>
      </c>
      <c r="L382" s="6">
        <f>K382*ACE_Input!V22</f>
        <v>75</v>
      </c>
    </row>
    <row r="383" spans="1:12" x14ac:dyDescent="0.2">
      <c r="A383">
        <f>4</f>
        <v>4</v>
      </c>
      <c r="B383">
        <f>ACE_Input!A23</f>
        <v>18</v>
      </c>
      <c r="C383" s="6">
        <f>MOD(Settings!$B$17*(C382),Settings!$B$18)</f>
        <v>1775654630</v>
      </c>
      <c r="D383" s="6">
        <f>MAX(C383,1)/Settings!$B$18</f>
        <v>0.82685362120478112</v>
      </c>
      <c r="E383" s="6">
        <f t="shared" si="12"/>
        <v>5</v>
      </c>
      <c r="F383" s="6">
        <f>ACE_Input!D23</f>
        <v>217</v>
      </c>
      <c r="G383" s="6">
        <f>MOD(Settings!$B$17*(G382),Settings!$B$18)</f>
        <v>2074293153</v>
      </c>
      <c r="H383" s="6">
        <f>MAX(G383,1)/Settings!$B$18</f>
        <v>0.9659180203294</v>
      </c>
      <c r="I383" s="6">
        <f>-ACE_Input!W23*LN(H383)</f>
        <v>0.13870525381720342</v>
      </c>
      <c r="J383" s="6">
        <f>-ACE_Input!X23*LN(H383)</f>
        <v>0.41611576145161022</v>
      </c>
      <c r="K383" s="6">
        <f>ACE_Input!U23</f>
        <v>300</v>
      </c>
      <c r="L383" s="6">
        <f>K383*ACE_Input!V23</f>
        <v>75</v>
      </c>
    </row>
    <row r="384" spans="1:12" x14ac:dyDescent="0.2">
      <c r="A384">
        <f>4</f>
        <v>4</v>
      </c>
      <c r="B384">
        <f>ACE_Input!A24</f>
        <v>19</v>
      </c>
      <c r="C384" s="6">
        <f>MOD(Settings!$B$17*(C383),Settings!$B$18)</f>
        <v>1994607698</v>
      </c>
      <c r="D384" s="6">
        <f>MAX(C384,1)/Settings!$B$18</f>
        <v>0.928811588757118</v>
      </c>
      <c r="E384" s="6">
        <f t="shared" si="12"/>
        <v>5</v>
      </c>
      <c r="F384" s="6">
        <f>ACE_Input!D24</f>
        <v>222</v>
      </c>
      <c r="G384" s="6">
        <f>MOD(Settings!$B$17*(G383),Settings!$B$18)</f>
        <v>395497073</v>
      </c>
      <c r="H384" s="6">
        <f>MAX(G384,1)/Settings!$B$18</f>
        <v>0.18416767622538269</v>
      </c>
      <c r="I384" s="6">
        <f>-ACE_Input!W24*LN(H384)</f>
        <v>6.7676346100263194</v>
      </c>
      <c r="J384" s="6">
        <f>-ACE_Input!X24*LN(H384)</f>
        <v>20.302903830078957</v>
      </c>
      <c r="K384" s="6">
        <f>ACE_Input!U24</f>
        <v>300</v>
      </c>
      <c r="L384" s="6">
        <f>K384*ACE_Input!V24</f>
        <v>75</v>
      </c>
    </row>
    <row r="385" spans="1:12" x14ac:dyDescent="0.2">
      <c r="A385">
        <f>4</f>
        <v>4</v>
      </c>
      <c r="B385">
        <f>ACE_Input!A25</f>
        <v>20</v>
      </c>
      <c r="C385" s="6">
        <f>MOD(Settings!$B$17*(C384),Settings!$B$18)</f>
        <v>1151850616</v>
      </c>
      <c r="D385" s="6">
        <f>MAX(C385,1)/Settings!$B$18</f>
        <v>0.53637224088254021</v>
      </c>
      <c r="E385" s="6">
        <f t="shared" si="12"/>
        <v>5</v>
      </c>
      <c r="F385" s="6">
        <f>ACE_Input!D25</f>
        <v>227</v>
      </c>
      <c r="G385" s="6">
        <f>MOD(Settings!$B$17*(G384),Settings!$B$18)</f>
        <v>657418446</v>
      </c>
      <c r="H385" s="6">
        <f>MAX(G385,1)/Settings!$B$18</f>
        <v>0.30613432000676838</v>
      </c>
      <c r="I385" s="6">
        <f>-ACE_Input!W25*LN(H385)</f>
        <v>4.734925276286055</v>
      </c>
      <c r="J385" s="6">
        <f>-ACE_Input!X25*LN(H385)</f>
        <v>14.204775828858164</v>
      </c>
      <c r="K385" s="6">
        <f>ACE_Input!U25</f>
        <v>300</v>
      </c>
      <c r="L385" s="6">
        <f>K385*ACE_Input!V25</f>
        <v>75</v>
      </c>
    </row>
    <row r="386" spans="1:12" x14ac:dyDescent="0.2">
      <c r="A386">
        <f>4</f>
        <v>4</v>
      </c>
      <c r="B386">
        <f>ACE_Input!A26</f>
        <v>21</v>
      </c>
      <c r="C386" s="6">
        <f>MOD(Settings!$B$17*(C385),Settings!$B$18)</f>
        <v>1735709054</v>
      </c>
      <c r="D386" s="6">
        <f>MAX(C386,1)/Settings!$B$18</f>
        <v>0.80825251285371025</v>
      </c>
      <c r="E386" s="6">
        <f t="shared" si="12"/>
        <v>5</v>
      </c>
      <c r="F386" s="6">
        <f>ACE_Input!D26</f>
        <v>232</v>
      </c>
      <c r="G386" s="6">
        <f>MOD(Settings!$B$17*(G385),Settings!$B$18)</f>
        <v>428458107</v>
      </c>
      <c r="H386" s="6">
        <f>MAX(G386,1)/Settings!$B$18</f>
        <v>0.19951635375596413</v>
      </c>
      <c r="I386" s="6">
        <f>-ACE_Input!W26*LN(H386)</f>
        <v>6.4474362891910975</v>
      </c>
      <c r="J386" s="6">
        <f>-ACE_Input!X26*LN(H386)</f>
        <v>19.342308867573294</v>
      </c>
      <c r="K386" s="6">
        <f>ACE_Input!U26</f>
        <v>300</v>
      </c>
      <c r="L386" s="6">
        <f>K386*ACE_Input!V26</f>
        <v>75</v>
      </c>
    </row>
    <row r="387" spans="1:12" x14ac:dyDescent="0.2">
      <c r="A387">
        <f>4</f>
        <v>4</v>
      </c>
      <c r="B387">
        <f>ACE_Input!A27</f>
        <v>22</v>
      </c>
      <c r="C387" s="6">
        <f>MOD(Settings!$B$17*(C386),Settings!$B$18)</f>
        <v>644209730</v>
      </c>
      <c r="D387" s="6">
        <f>MAX(C387,1)/Settings!$B$18</f>
        <v>0.29998353230766184</v>
      </c>
      <c r="E387" s="6">
        <f t="shared" si="12"/>
        <v>5</v>
      </c>
      <c r="F387" s="6">
        <f>ACE_Input!D27</f>
        <v>237</v>
      </c>
      <c r="G387" s="6">
        <f>MOD(Settings!$B$17*(G386),Settings!$B$18)</f>
        <v>582735958</v>
      </c>
      <c r="H387" s="6">
        <f>MAX(G387,1)/Settings!$B$18</f>
        <v>0.27135757648914938</v>
      </c>
      <c r="I387" s="6">
        <f>-ACE_Input!W27*LN(H387)</f>
        <v>5.2172714295956579</v>
      </c>
      <c r="J387" s="6">
        <f>-ACE_Input!X27*LN(H387)</f>
        <v>15.651814288786973</v>
      </c>
      <c r="K387" s="6">
        <f>ACE_Input!U27</f>
        <v>300</v>
      </c>
      <c r="L387" s="6">
        <f>K387*ACE_Input!V27</f>
        <v>75</v>
      </c>
    </row>
    <row r="388" spans="1:12" x14ac:dyDescent="0.2">
      <c r="A388">
        <f>4</f>
        <v>4</v>
      </c>
      <c r="B388">
        <f>ACE_Input!A28</f>
        <v>23</v>
      </c>
      <c r="C388" s="6">
        <f>MOD(Settings!$B$17*(C387),Settings!$B$18)</f>
        <v>1767867583</v>
      </c>
      <c r="D388" s="6">
        <f>MAX(C388,1)/Settings!$B$18</f>
        <v>0.82322749487274671</v>
      </c>
      <c r="E388" s="6">
        <f t="shared" si="12"/>
        <v>5</v>
      </c>
      <c r="F388" s="6">
        <f>ACE_Input!D28</f>
        <v>242</v>
      </c>
      <c r="G388" s="6">
        <f>MOD(Settings!$B$17*(G387),Settings!$B$18)</f>
        <v>1517815786</v>
      </c>
      <c r="H388" s="6">
        <f>MAX(G388,1)/Settings!$B$18</f>
        <v>0.70678805313389192</v>
      </c>
      <c r="I388" s="6">
        <f>-ACE_Input!W28*LN(H388)</f>
        <v>1.3880977657314235</v>
      </c>
      <c r="J388" s="6">
        <f>-ACE_Input!X28*LN(H388)</f>
        <v>4.1642932971942708</v>
      </c>
      <c r="K388" s="6">
        <f>ACE_Input!U28</f>
        <v>300</v>
      </c>
      <c r="L388" s="6">
        <f>K388*ACE_Input!V28</f>
        <v>75</v>
      </c>
    </row>
    <row r="389" spans="1:12" x14ac:dyDescent="0.2">
      <c r="A389">
        <f>4</f>
        <v>4</v>
      </c>
      <c r="B389">
        <f>ACE_Input!A29</f>
        <v>24</v>
      </c>
      <c r="C389" s="6">
        <f>MOD(Settings!$B$17*(C388),Settings!$B$18)</f>
        <v>2114211236</v>
      </c>
      <c r="D389" s="6">
        <f>MAX(C389,1)/Settings!$B$18</f>
        <v>0.98450632625469303</v>
      </c>
      <c r="E389" s="6">
        <f t="shared" si="12"/>
        <v>5</v>
      </c>
      <c r="F389" s="6">
        <f>ACE_Input!D29</f>
        <v>247</v>
      </c>
      <c r="G389" s="6">
        <f>MOD(Settings!$B$17*(G388),Settings!$B$18)</f>
        <v>2119156236</v>
      </c>
      <c r="H389" s="6">
        <f>MAX(G389,1)/Settings!$B$18</f>
        <v>0.98680902132150206</v>
      </c>
      <c r="I389" s="6">
        <f>-ACE_Input!W29*LN(H389)</f>
        <v>5.3115009491503877E-2</v>
      </c>
      <c r="J389" s="6">
        <f>-ACE_Input!X29*LN(H389)</f>
        <v>0.15934502847451162</v>
      </c>
      <c r="K389" s="6">
        <f>ACE_Input!U29</f>
        <v>300</v>
      </c>
      <c r="L389" s="6">
        <f>K389*ACE_Input!V29</f>
        <v>75</v>
      </c>
    </row>
    <row r="390" spans="1:12" x14ac:dyDescent="0.2">
      <c r="A390">
        <f>4</f>
        <v>4</v>
      </c>
      <c r="B390">
        <f>ACE_Input!A30</f>
        <v>25</v>
      </c>
      <c r="C390" s="6">
        <f>MOD(Settings!$B$17*(C389),Settings!$B$18)</f>
        <v>1283820190</v>
      </c>
      <c r="D390" s="6">
        <f>MAX(C390,1)/Settings!$B$18</f>
        <v>0.5978253626254505</v>
      </c>
      <c r="E390" s="6">
        <f t="shared" si="12"/>
        <v>5</v>
      </c>
      <c r="F390" s="6">
        <f>ACE_Input!D30</f>
        <v>252</v>
      </c>
      <c r="G390" s="6">
        <f>MOD(Settings!$B$17*(G389),Settings!$B$18)</f>
        <v>642572957</v>
      </c>
      <c r="H390" s="6">
        <f>MAX(G390,1)/Settings!$B$18</f>
        <v>0.2992213504850964</v>
      </c>
      <c r="I390" s="6">
        <f>-ACE_Input!W30*LN(H390)</f>
        <v>4.8262867074181344</v>
      </c>
      <c r="J390" s="6">
        <f>-ACE_Input!X30*LN(H390)</f>
        <v>14.478860122254403</v>
      </c>
      <c r="K390" s="6">
        <f>ACE_Input!U30</f>
        <v>300</v>
      </c>
      <c r="L390" s="6">
        <f>K390*ACE_Input!V30</f>
        <v>75</v>
      </c>
    </row>
    <row r="391" spans="1:12" x14ac:dyDescent="0.2">
      <c r="A391">
        <f>4</f>
        <v>4</v>
      </c>
      <c r="B391">
        <f>ACE_Input!A31</f>
        <v>26</v>
      </c>
      <c r="C391" s="6">
        <f>MOD(Settings!$B$17*(C390),Settings!$B$18)</f>
        <v>1397731921</v>
      </c>
      <c r="D391" s="6">
        <f>MAX(C391,1)/Settings!$B$18</f>
        <v>0.65086964594706409</v>
      </c>
      <c r="E391" s="6">
        <f t="shared" si="12"/>
        <v>5</v>
      </c>
      <c r="F391" s="6">
        <f>ACE_Input!D31</f>
        <v>257</v>
      </c>
      <c r="G391" s="6">
        <f>MOD(Settings!$B$17*(G390),Settings!$B$18)</f>
        <v>28427536</v>
      </c>
      <c r="H391" s="6">
        <f>MAX(G391,1)/Settings!$B$18</f>
        <v>1.323760301491134E-2</v>
      </c>
      <c r="I391" s="6">
        <f>-ACE_Input!W31*LN(H391)</f>
        <v>17.298775144132176</v>
      </c>
      <c r="J391" s="6">
        <f>-ACE_Input!X31*LN(H391)</f>
        <v>51.896325432396523</v>
      </c>
      <c r="K391" s="6">
        <f>ACE_Input!U31</f>
        <v>300</v>
      </c>
      <c r="L391" s="6">
        <f>K391*ACE_Input!V31</f>
        <v>75</v>
      </c>
    </row>
    <row r="392" spans="1:12" x14ac:dyDescent="0.2">
      <c r="A392">
        <f>4</f>
        <v>4</v>
      </c>
      <c r="B392">
        <f>ACE_Input!A32</f>
        <v>27</v>
      </c>
      <c r="C392" s="6">
        <f>MOD(Settings!$B$17*(C391),Settings!$B$18)</f>
        <v>356781714</v>
      </c>
      <c r="D392" s="6">
        <f>MAX(C392,1)/Settings!$B$18</f>
        <v>0.16613943230646636</v>
      </c>
      <c r="E392" s="6">
        <f t="shared" si="12"/>
        <v>5</v>
      </c>
      <c r="F392" s="6">
        <f>ACE_Input!D32</f>
        <v>262</v>
      </c>
      <c r="G392" s="6">
        <f>MOD(Settings!$B$17*(G391),Settings!$B$18)</f>
        <v>1040227918</v>
      </c>
      <c r="H392" s="6">
        <f>MAX(G392,1)/Settings!$B$18</f>
        <v>0.48439387161489289</v>
      </c>
      <c r="I392" s="6">
        <f>-ACE_Input!W32*LN(H392)</f>
        <v>2.8994276755205952</v>
      </c>
      <c r="J392" s="6">
        <f>-ACE_Input!X32*LN(H392)</f>
        <v>8.6982830265617856</v>
      </c>
      <c r="K392" s="6">
        <f>ACE_Input!U32</f>
        <v>300</v>
      </c>
      <c r="L392" s="6">
        <f>K392*ACE_Input!V32</f>
        <v>75</v>
      </c>
    </row>
    <row r="393" spans="1:12" x14ac:dyDescent="0.2">
      <c r="A393">
        <f>4</f>
        <v>4</v>
      </c>
      <c r="B393">
        <f>ACE_Input!A33</f>
        <v>28</v>
      </c>
      <c r="C393" s="6">
        <f>MOD(Settings!$B$17*(C392),Settings!$B$18)</f>
        <v>655924774</v>
      </c>
      <c r="D393" s="6">
        <f>MAX(C393,1)/Settings!$B$18</f>
        <v>0.30543877478010895</v>
      </c>
      <c r="E393" s="6">
        <f t="shared" si="12"/>
        <v>6</v>
      </c>
      <c r="F393" s="6">
        <f>ACE_Input!D33</f>
        <v>268</v>
      </c>
      <c r="G393" s="6">
        <f>MOD(Settings!$B$17*(G392),Settings!$B$18)</f>
        <v>446247599</v>
      </c>
      <c r="H393" s="6">
        <f>MAX(G393,1)/Settings!$B$18</f>
        <v>0.20780023150509233</v>
      </c>
      <c r="I393" s="6">
        <f>-ACE_Input!W33*LN(H393)</f>
        <v>6.284712344964607</v>
      </c>
      <c r="J393" s="6">
        <f>-ACE_Input!X33*LN(H393)</f>
        <v>18.854137034893821</v>
      </c>
      <c r="K393" s="6">
        <f>ACE_Input!U33</f>
        <v>300</v>
      </c>
      <c r="L393" s="6">
        <f>K393*ACE_Input!V33</f>
        <v>75</v>
      </c>
    </row>
    <row r="394" spans="1:12" x14ac:dyDescent="0.2">
      <c r="A394">
        <f>4</f>
        <v>4</v>
      </c>
      <c r="B394">
        <f>ACE_Input!A34</f>
        <v>29</v>
      </c>
      <c r="C394" s="6">
        <f>MOD(Settings!$B$17*(C393),Settings!$B$18)</f>
        <v>1094116567</v>
      </c>
      <c r="D394" s="6">
        <f>MAX(C394,1)/Settings!$B$18</f>
        <v>0.50948772929119301</v>
      </c>
      <c r="E394" s="6">
        <f t="shared" si="12"/>
        <v>5</v>
      </c>
      <c r="F394" s="6">
        <f>ACE_Input!D34</f>
        <v>273</v>
      </c>
      <c r="G394" s="6">
        <f>MOD(Settings!$B$17*(G393),Settings!$B$18)</f>
        <v>1070501069</v>
      </c>
      <c r="H394" s="6">
        <f>MAX(G394,1)/Settings!$B$18</f>
        <v>0.49849090608697894</v>
      </c>
      <c r="I394" s="6">
        <f>-ACE_Input!W34*LN(H394)</f>
        <v>2.7846797292013785</v>
      </c>
      <c r="J394" s="6">
        <f>-ACE_Input!X34*LN(H394)</f>
        <v>8.3540391876041351</v>
      </c>
      <c r="K394" s="6">
        <f>ACE_Input!U34</f>
        <v>300</v>
      </c>
      <c r="L394" s="6">
        <f>K394*ACE_Input!V34</f>
        <v>75</v>
      </c>
    </row>
    <row r="395" spans="1:12" x14ac:dyDescent="0.2">
      <c r="A395">
        <f>4</f>
        <v>4</v>
      </c>
      <c r="B395">
        <f>ACE_Input!A35</f>
        <v>30</v>
      </c>
      <c r="C395" s="6">
        <f>MOD(Settings!$B$17*(C394),Settings!$B$18)</f>
        <v>2062155955</v>
      </c>
      <c r="D395" s="6">
        <f>MAX(C395,1)/Settings!$B$18</f>
        <v>0.96026619708177918</v>
      </c>
      <c r="E395" s="6">
        <f t="shared" si="12"/>
        <v>5</v>
      </c>
      <c r="F395" s="6">
        <f>ACE_Input!D35</f>
        <v>278</v>
      </c>
      <c r="G395" s="6">
        <f>MOD(Settings!$B$17*(G394),Settings!$B$18)</f>
        <v>293472117</v>
      </c>
      <c r="H395" s="6">
        <f>MAX(G395,1)/Settings!$B$18</f>
        <v>0.13665860385478409</v>
      </c>
      <c r="I395" s="6">
        <f>-ACE_Input!W35*LN(H395)</f>
        <v>7.9610776235069727</v>
      </c>
      <c r="J395" s="6">
        <f>-ACE_Input!X35*LN(H395)</f>
        <v>23.883232870520917</v>
      </c>
      <c r="K395" s="6">
        <f>ACE_Input!U35</f>
        <v>300</v>
      </c>
      <c r="L395" s="6">
        <f>K395*ACE_Input!V35</f>
        <v>75</v>
      </c>
    </row>
    <row r="396" spans="1:12" x14ac:dyDescent="0.2">
      <c r="A396">
        <f>4</f>
        <v>4</v>
      </c>
      <c r="B396">
        <f>ACE_Input!A36</f>
        <v>31</v>
      </c>
      <c r="C396" s="6">
        <f>MOD(Settings!$B$17*(C395),Settings!$B$18)</f>
        <v>416556752</v>
      </c>
      <c r="D396" s="6">
        <f>MAX(C396,1)/Settings!$B$18</f>
        <v>0.19397435346337705</v>
      </c>
      <c r="E396" s="6">
        <f t="shared" si="12"/>
        <v>5</v>
      </c>
      <c r="F396" s="6">
        <f>ACE_Input!D36</f>
        <v>283</v>
      </c>
      <c r="G396" s="6">
        <f>MOD(Settings!$B$17*(G395),Settings!$B$18)</f>
        <v>1763416907</v>
      </c>
      <c r="H396" s="6">
        <f>MAX(G396,1)/Settings!$B$18</f>
        <v>0.82115498735623205</v>
      </c>
      <c r="I396" s="6">
        <f>-ACE_Input!W36*LN(H396)</f>
        <v>0.7881736343726089</v>
      </c>
      <c r="J396" s="6">
        <f>-ACE_Input!X36*LN(H396)</f>
        <v>2.3645209031178265</v>
      </c>
      <c r="K396" s="6">
        <f>ACE_Input!U36</f>
        <v>300</v>
      </c>
      <c r="L396" s="6">
        <f>K396*ACE_Input!V36</f>
        <v>75</v>
      </c>
    </row>
    <row r="397" spans="1:12" x14ac:dyDescent="0.2">
      <c r="A397">
        <f>4</f>
        <v>4</v>
      </c>
      <c r="B397">
        <f>ACE_Input!A37</f>
        <v>32</v>
      </c>
      <c r="C397" s="6">
        <f>MOD(Settings!$B$17*(C396),Settings!$B$18)</f>
        <v>272641644</v>
      </c>
      <c r="D397" s="6">
        <f>MAX(C397,1)/Settings!$B$18</f>
        <v>0.1269586589778581</v>
      </c>
      <c r="E397" s="6">
        <f t="shared" si="12"/>
        <v>5</v>
      </c>
      <c r="F397" s="6">
        <f>ACE_Input!D37</f>
        <v>288</v>
      </c>
      <c r="G397" s="6">
        <f>MOD(Settings!$B$17*(G396),Settings!$B$18)</f>
        <v>326143702</v>
      </c>
      <c r="H397" s="6">
        <f>MAX(G397,1)/Settings!$B$18</f>
        <v>0.15187249619135285</v>
      </c>
      <c r="I397" s="6">
        <f>-ACE_Input!W37*LN(H397)</f>
        <v>7.5388558040243252</v>
      </c>
      <c r="J397" s="6">
        <f>-ACE_Input!X37*LN(H397)</f>
        <v>22.616567412072975</v>
      </c>
      <c r="K397" s="6">
        <f>ACE_Input!U37</f>
        <v>300</v>
      </c>
      <c r="L397" s="6">
        <f>K397*ACE_Input!V37</f>
        <v>75</v>
      </c>
    </row>
    <row r="398" spans="1:12" x14ac:dyDescent="0.2">
      <c r="A398">
        <f>4</f>
        <v>4</v>
      </c>
      <c r="B398">
        <f>ACE_Input!A38</f>
        <v>33</v>
      </c>
      <c r="C398" s="6">
        <f>MOD(Settings!$B$17*(C397),Settings!$B$18)</f>
        <v>1705491657</v>
      </c>
      <c r="D398" s="6">
        <f>MAX(C398,1)/Settings!$B$18</f>
        <v>0.7941814408610488</v>
      </c>
      <c r="E398" s="6">
        <f t="shared" si="12"/>
        <v>5</v>
      </c>
      <c r="F398" s="6">
        <f>ACE_Input!D38</f>
        <v>293</v>
      </c>
      <c r="G398" s="6">
        <f>MOD(Settings!$B$17*(G397),Settings!$B$18)</f>
        <v>1118932370</v>
      </c>
      <c r="H398" s="6">
        <f>MAX(G398,1)/Settings!$B$18</f>
        <v>0.52104348806712941</v>
      </c>
      <c r="I398" s="6">
        <f>-ACE_Input!W38*LN(H398)</f>
        <v>2.6076870813354436</v>
      </c>
      <c r="J398" s="6">
        <f>-ACE_Input!X38*LN(H398)</f>
        <v>7.8230612440063307</v>
      </c>
      <c r="K398" s="6">
        <f>ACE_Input!U38</f>
        <v>300</v>
      </c>
      <c r="L398" s="6">
        <f>K398*ACE_Input!V38</f>
        <v>75</v>
      </c>
    </row>
    <row r="399" spans="1:12" x14ac:dyDescent="0.2">
      <c r="A399">
        <f>4</f>
        <v>4</v>
      </c>
      <c r="B399">
        <f>ACE_Input!A39</f>
        <v>34</v>
      </c>
      <c r="C399" s="6">
        <f>MOD(Settings!$B$17*(C398),Settings!$B$18)</f>
        <v>1734042690</v>
      </c>
      <c r="D399" s="6">
        <f>MAX(C399,1)/Settings!$B$18</f>
        <v>0.8074765516479856</v>
      </c>
      <c r="E399" s="6">
        <f t="shared" ref="E399:E430" si="13">F399-F398</f>
        <v>5</v>
      </c>
      <c r="F399" s="6">
        <f>ACE_Input!D39</f>
        <v>298</v>
      </c>
      <c r="G399" s="6">
        <f>MOD(Settings!$B$17*(G398),Settings!$B$18)</f>
        <v>382045811</v>
      </c>
      <c r="H399" s="6">
        <f>MAX(G399,1)/Settings!$B$18</f>
        <v>0.17790394424363223</v>
      </c>
      <c r="I399" s="6">
        <f>-ACE_Input!W39*LN(H399)</f>
        <v>6.9060460537133697</v>
      </c>
      <c r="J399" s="6">
        <f>-ACE_Input!X39*LN(H399)</f>
        <v>20.718138161140111</v>
      </c>
      <c r="K399" s="6">
        <f>ACE_Input!U39</f>
        <v>300</v>
      </c>
      <c r="L399" s="6">
        <f>K399*ACE_Input!V39</f>
        <v>75</v>
      </c>
    </row>
    <row r="400" spans="1:12" x14ac:dyDescent="0.2">
      <c r="A400">
        <f>4</f>
        <v>4</v>
      </c>
      <c r="B400">
        <f>ACE_Input!A40</f>
        <v>35</v>
      </c>
      <c r="C400" s="6">
        <f>MOD(Settings!$B$17*(C399),Settings!$B$18)</f>
        <v>554917393</v>
      </c>
      <c r="D400" s="6">
        <f>MAX(C400,1)/Settings!$B$18</f>
        <v>0.25840354769416318</v>
      </c>
      <c r="E400" s="6">
        <f t="shared" si="13"/>
        <v>5</v>
      </c>
      <c r="F400" s="6">
        <f>ACE_Input!D40</f>
        <v>303</v>
      </c>
      <c r="G400" s="6">
        <f>MOD(Settings!$B$17*(G399),Settings!$B$18)</f>
        <v>67840947</v>
      </c>
      <c r="H400" s="6">
        <f>MAX(G400,1)/Settings!$B$18</f>
        <v>3.1590902726906775E-2</v>
      </c>
      <c r="I400" s="6">
        <f>-ACE_Input!W40*LN(H400)</f>
        <v>13.819544352904456</v>
      </c>
      <c r="J400" s="6">
        <f>-ACE_Input!X40*LN(H400)</f>
        <v>41.458633058713367</v>
      </c>
      <c r="K400" s="6">
        <f>ACE_Input!U40</f>
        <v>300</v>
      </c>
      <c r="L400" s="6">
        <f>K400*ACE_Input!V40</f>
        <v>75</v>
      </c>
    </row>
    <row r="401" spans="1:12" x14ac:dyDescent="0.2">
      <c r="A401">
        <f>4</f>
        <v>4</v>
      </c>
      <c r="B401">
        <f>ACE_Input!A41</f>
        <v>36</v>
      </c>
      <c r="C401" s="6">
        <f>MOD(Settings!$B$17*(C400),Settings!$B$18)</f>
        <v>2122628877</v>
      </c>
      <c r="D401" s="6">
        <f>MAX(C401,1)/Settings!$B$18</f>
        <v>0.98842609580067275</v>
      </c>
      <c r="E401" s="6">
        <f t="shared" si="13"/>
        <v>5</v>
      </c>
      <c r="F401" s="6">
        <f>ACE_Input!D41</f>
        <v>308</v>
      </c>
      <c r="G401" s="6">
        <f>MOD(Settings!$B$17*(G400),Settings!$B$18)</f>
        <v>2036463319</v>
      </c>
      <c r="H401" s="6">
        <f>MAX(G401,1)/Settings!$B$18</f>
        <v>0.94830213112211881</v>
      </c>
      <c r="I401" s="6">
        <f>-ACE_Input!W41*LN(H401)</f>
        <v>0.21232849514816496</v>
      </c>
      <c r="J401" s="6">
        <f>-ACE_Input!X41*LN(H401)</f>
        <v>0.63698548544449485</v>
      </c>
      <c r="K401" s="6">
        <f>ACE_Input!U41</f>
        <v>300</v>
      </c>
      <c r="L401" s="6">
        <f>K401*ACE_Input!V41</f>
        <v>75</v>
      </c>
    </row>
    <row r="402" spans="1:12" x14ac:dyDescent="0.2">
      <c r="A402">
        <f>4</f>
        <v>4</v>
      </c>
      <c r="B402">
        <f>ACE_Input!A42</f>
        <v>37</v>
      </c>
      <c r="C402" s="6">
        <f>MOD(Settings!$B$17*(C401),Settings!$B$18)</f>
        <v>1025191775</v>
      </c>
      <c r="D402" s="6">
        <f>MAX(C402,1)/Settings!$B$18</f>
        <v>0.47739212190610919</v>
      </c>
      <c r="E402" s="6">
        <f t="shared" si="13"/>
        <v>5</v>
      </c>
      <c r="F402" s="6">
        <f>ACE_Input!D42</f>
        <v>313</v>
      </c>
      <c r="G402" s="6">
        <f>MOD(Settings!$B$17*(G401),Settings!$B$18)</f>
        <v>244636547</v>
      </c>
      <c r="H402" s="6">
        <f>MAX(G402,1)/Settings!$B$18</f>
        <v>0.11391776945158735</v>
      </c>
      <c r="I402" s="6">
        <f>-ACE_Input!W42*LN(H402)</f>
        <v>8.6891136458585052</v>
      </c>
      <c r="J402" s="6">
        <f>-ACE_Input!X42*LN(H402)</f>
        <v>26.067340937575516</v>
      </c>
      <c r="K402" s="6">
        <f>ACE_Input!U42</f>
        <v>300</v>
      </c>
      <c r="L402" s="6">
        <f>K402*ACE_Input!V42</f>
        <v>75</v>
      </c>
    </row>
    <row r="403" spans="1:12" x14ac:dyDescent="0.2">
      <c r="A403">
        <f>4</f>
        <v>4</v>
      </c>
      <c r="B403">
        <f>ACE_Input!A43</f>
        <v>38</v>
      </c>
      <c r="C403" s="6">
        <f>MOD(Settings!$B$17*(C402),Settings!$B$18)</f>
        <v>1136862544</v>
      </c>
      <c r="D403" s="6">
        <f>MAX(C403,1)/Settings!$B$18</f>
        <v>0.52939287597750917</v>
      </c>
      <c r="E403" s="6">
        <f t="shared" si="13"/>
        <v>5</v>
      </c>
      <c r="F403" s="6">
        <f>ACE_Input!D43</f>
        <v>318</v>
      </c>
      <c r="G403" s="6">
        <f>MOD(Settings!$B$17*(G402),Settings!$B$18)</f>
        <v>1322745071</v>
      </c>
      <c r="H403" s="6">
        <f>MAX(G403,1)/Settings!$B$18</f>
        <v>0.61595117282865153</v>
      </c>
      <c r="I403" s="6">
        <f>-ACE_Input!W43*LN(H403)</f>
        <v>1.9383503339151891</v>
      </c>
      <c r="J403" s="6">
        <f>-ACE_Input!X43*LN(H403)</f>
        <v>5.8150510017455677</v>
      </c>
      <c r="K403" s="6">
        <f>ACE_Input!U43</f>
        <v>300</v>
      </c>
      <c r="L403" s="6">
        <f>K403*ACE_Input!V43</f>
        <v>75</v>
      </c>
    </row>
    <row r="404" spans="1:12" x14ac:dyDescent="0.2">
      <c r="A404">
        <f>4</f>
        <v>4</v>
      </c>
      <c r="B404">
        <f>ACE_Input!A44</f>
        <v>39</v>
      </c>
      <c r="C404" s="6">
        <f>MOD(Settings!$B$17*(C403),Settings!$B$18)</f>
        <v>1086769649</v>
      </c>
      <c r="D404" s="6">
        <f>MAX(C404,1)/Settings!$B$18</f>
        <v>0.50606655399597555</v>
      </c>
      <c r="E404" s="6">
        <f t="shared" si="13"/>
        <v>5</v>
      </c>
      <c r="F404" s="6">
        <f>ACE_Input!D44</f>
        <v>323</v>
      </c>
      <c r="G404" s="6">
        <f>MOD(Settings!$B$17*(G403),Settings!$B$18)</f>
        <v>625694553</v>
      </c>
      <c r="H404" s="6">
        <f>MAX(G404,1)/Settings!$B$18</f>
        <v>0.29136173114709635</v>
      </c>
      <c r="I404" s="6">
        <f>-ACE_Input!W44*LN(H404)</f>
        <v>4.9327588856473605</v>
      </c>
      <c r="J404" s="6">
        <f>-ACE_Input!X44*LN(H404)</f>
        <v>14.798276656942082</v>
      </c>
      <c r="K404" s="6">
        <f>ACE_Input!U44</f>
        <v>300</v>
      </c>
      <c r="L404" s="6">
        <f>K404*ACE_Input!V44</f>
        <v>75</v>
      </c>
    </row>
    <row r="405" spans="1:12" x14ac:dyDescent="0.2">
      <c r="A405">
        <f>4</f>
        <v>4</v>
      </c>
      <c r="B405">
        <f>ACE_Input!A45</f>
        <v>40</v>
      </c>
      <c r="C405" s="6">
        <f>MOD(Settings!$B$17*(C404),Settings!$B$18)</f>
        <v>989073008</v>
      </c>
      <c r="D405" s="6">
        <f>MAX(C405,1)/Settings!$B$18</f>
        <v>0.46057301036108889</v>
      </c>
      <c r="E405" s="6">
        <f t="shared" si="13"/>
        <v>5</v>
      </c>
      <c r="F405" s="6">
        <f>ACE_Input!D45</f>
        <v>328</v>
      </c>
      <c r="G405" s="6">
        <f>MOD(Settings!$B$17*(G404),Settings!$B$18)</f>
        <v>1968416559</v>
      </c>
      <c r="H405" s="6">
        <f>MAX(G405,1)/Settings!$B$18</f>
        <v>0.91661538924864283</v>
      </c>
      <c r="I405" s="6">
        <f>-ACE_Input!W45*LN(H405)</f>
        <v>0.34826927022301846</v>
      </c>
      <c r="J405" s="6">
        <f>-ACE_Input!X45*LN(H405)</f>
        <v>1.0448078106690555</v>
      </c>
      <c r="K405" s="6">
        <f>ACE_Input!U45</f>
        <v>300</v>
      </c>
      <c r="L405" s="6">
        <f>K405*ACE_Input!V45</f>
        <v>75</v>
      </c>
    </row>
    <row r="406" spans="1:12" x14ac:dyDescent="0.2">
      <c r="A406">
        <f>4</f>
        <v>4</v>
      </c>
      <c r="B406">
        <f>ACE_Input!A46</f>
        <v>41</v>
      </c>
      <c r="C406" s="6">
        <f>MOD(Settings!$B$17*(C405),Settings!$B$18)</f>
        <v>1826617676</v>
      </c>
      <c r="D406" s="6">
        <f>MAX(C406,1)/Settings!$B$18</f>
        <v>0.85058513882131559</v>
      </c>
      <c r="E406" s="6">
        <f t="shared" si="13"/>
        <v>5</v>
      </c>
      <c r="F406" s="6">
        <f>ACE_Input!D46</f>
        <v>333</v>
      </c>
      <c r="G406" s="6">
        <f>MOD(Settings!$B$17*(G405),Settings!$B$18)</f>
        <v>1191525078</v>
      </c>
      <c r="H406" s="6">
        <f>MAX(G406,1)/Settings!$B$18</f>
        <v>0.5548471019393052</v>
      </c>
      <c r="I406" s="6">
        <f>-ACE_Input!W46*LN(H406)</f>
        <v>2.3562507807673874</v>
      </c>
      <c r="J406" s="6">
        <f>-ACE_Input!X46*LN(H406)</f>
        <v>7.0687523423021617</v>
      </c>
      <c r="K406" s="6">
        <f>ACE_Input!U46</f>
        <v>300</v>
      </c>
      <c r="L406" s="6">
        <f>K406*ACE_Input!V46</f>
        <v>75</v>
      </c>
    </row>
    <row r="407" spans="1:12" x14ac:dyDescent="0.2">
      <c r="A407">
        <f>4</f>
        <v>4</v>
      </c>
      <c r="B407">
        <f>ACE_Input!A47</f>
        <v>42</v>
      </c>
      <c r="C407" s="6">
        <f>MOD(Settings!$B$17*(C406),Settings!$B$18)</f>
        <v>1684546667</v>
      </c>
      <c r="D407" s="6">
        <f>MAX(C407,1)/Settings!$B$18</f>
        <v>0.78442816985045938</v>
      </c>
      <c r="E407" s="6">
        <f t="shared" si="13"/>
        <v>5</v>
      </c>
      <c r="F407" s="6">
        <f>ACE_Input!D47</f>
        <v>338</v>
      </c>
      <c r="G407" s="6">
        <f>MOD(Settings!$B$17*(G406),Settings!$B$18)</f>
        <v>676977671</v>
      </c>
      <c r="H407" s="6">
        <f>MAX(G407,1)/Settings!$B$18</f>
        <v>0.31524229390325131</v>
      </c>
      <c r="I407" s="6">
        <f>-ACE_Input!W47*LN(H407)</f>
        <v>4.617654995339052</v>
      </c>
      <c r="J407" s="6">
        <f>-ACE_Input!X47*LN(H407)</f>
        <v>13.852964986017156</v>
      </c>
      <c r="K407" s="6">
        <f>ACE_Input!U47</f>
        <v>300</v>
      </c>
      <c r="L407" s="6">
        <f>K407*ACE_Input!V47</f>
        <v>75</v>
      </c>
    </row>
    <row r="408" spans="1:12" x14ac:dyDescent="0.2">
      <c r="A408">
        <f>4</f>
        <v>4</v>
      </c>
      <c r="B408">
        <f>ACE_Input!A48</f>
        <v>43</v>
      </c>
      <c r="C408" s="6">
        <f>MOD(Settings!$B$17*(C407),Settings!$B$18)</f>
        <v>1898913868</v>
      </c>
      <c r="D408" s="6">
        <f>MAX(C408,1)/Settings!$B$18</f>
        <v>0.88425067667115975</v>
      </c>
      <c r="E408" s="6">
        <f t="shared" si="13"/>
        <v>5</v>
      </c>
      <c r="F408" s="6">
        <f>ACE_Input!D48</f>
        <v>343</v>
      </c>
      <c r="G408" s="6">
        <f>MOD(Settings!$B$17*(G407),Settings!$B$18)</f>
        <v>595354691</v>
      </c>
      <c r="H408" s="6">
        <f>MAX(G408,1)/Settings!$B$18</f>
        <v>0.27723363194485828</v>
      </c>
      <c r="I408" s="6">
        <f>-ACE_Input!W48*LN(H408)</f>
        <v>5.1315787666542176</v>
      </c>
      <c r="J408" s="6">
        <f>-ACE_Input!X48*LN(H408)</f>
        <v>15.394736299962652</v>
      </c>
      <c r="K408" s="6">
        <f>ACE_Input!U48</f>
        <v>300</v>
      </c>
      <c r="L408" s="6">
        <f>K408*ACE_Input!V48</f>
        <v>75</v>
      </c>
    </row>
    <row r="409" spans="1:12" x14ac:dyDescent="0.2">
      <c r="A409">
        <f>4</f>
        <v>4</v>
      </c>
      <c r="B409">
        <f>ACE_Input!A49</f>
        <v>44</v>
      </c>
      <c r="C409" s="6">
        <f>MOD(Settings!$B$17*(C408),Settings!$B$18)</f>
        <v>1290901409</v>
      </c>
      <c r="D409" s="6">
        <f>MAX(C409,1)/Settings!$B$18</f>
        <v>0.60112281218223407</v>
      </c>
      <c r="E409" s="6">
        <f t="shared" si="13"/>
        <v>5</v>
      </c>
      <c r="F409" s="6">
        <f>ACE_Input!D49</f>
        <v>348</v>
      </c>
      <c r="G409" s="6">
        <f>MOD(Settings!$B$17*(G408),Settings!$B$18)</f>
        <v>999980264</v>
      </c>
      <c r="H409" s="6">
        <f>MAX(G409,1)/Settings!$B$18</f>
        <v>0.46565209723340911</v>
      </c>
      <c r="I409" s="6">
        <f>-ACE_Input!W49*LN(H409)</f>
        <v>3.057265984563958</v>
      </c>
      <c r="J409" s="6">
        <f>-ACE_Input!X49*LN(H409)</f>
        <v>9.1717979536918737</v>
      </c>
      <c r="K409" s="6">
        <f>ACE_Input!U49</f>
        <v>300</v>
      </c>
      <c r="L409" s="6">
        <f>K409*ACE_Input!V49</f>
        <v>75</v>
      </c>
    </row>
    <row r="410" spans="1:12" x14ac:dyDescent="0.2">
      <c r="A410">
        <f>4</f>
        <v>4</v>
      </c>
      <c r="B410">
        <f>ACE_Input!A50</f>
        <v>45</v>
      </c>
      <c r="C410" s="6">
        <f>MOD(Settings!$B$17*(C409),Settings!$B$18)</f>
        <v>152695422</v>
      </c>
      <c r="D410" s="6">
        <f>MAX(C410,1)/Settings!$B$18</f>
        <v>7.1104346807629032E-2</v>
      </c>
      <c r="E410" s="6">
        <f t="shared" si="13"/>
        <v>6</v>
      </c>
      <c r="F410" s="6">
        <f>ACE_Input!D50</f>
        <v>354</v>
      </c>
      <c r="G410" s="6">
        <f>MOD(Settings!$B$17*(G409),Settings!$B$18)</f>
        <v>461275626</v>
      </c>
      <c r="H410" s="6">
        <f>MAX(G410,1)/Settings!$B$18</f>
        <v>0.21479820190686649</v>
      </c>
      <c r="I410" s="6">
        <f>-ACE_Input!W50*LN(H410)</f>
        <v>6.1522251495733125</v>
      </c>
      <c r="J410" s="6">
        <f>-ACE_Input!X50*LN(H410)</f>
        <v>18.456675448719938</v>
      </c>
      <c r="K410" s="6">
        <f>ACE_Input!U50</f>
        <v>300</v>
      </c>
      <c r="L410" s="6">
        <f>K410*ACE_Input!V50</f>
        <v>75</v>
      </c>
    </row>
    <row r="411" spans="1:12" x14ac:dyDescent="0.2">
      <c r="A411">
        <f>4</f>
        <v>4</v>
      </c>
      <c r="B411">
        <f>ACE_Input!A51</f>
        <v>46</v>
      </c>
      <c r="C411" s="6">
        <f>MOD(Settings!$B$17*(C410),Settings!$B$18)</f>
        <v>108999389</v>
      </c>
      <c r="D411" s="6">
        <f>MAX(C411,1)/Settings!$B$18</f>
        <v>5.075679582113251E-2</v>
      </c>
      <c r="E411" s="6">
        <f t="shared" si="13"/>
        <v>5</v>
      </c>
      <c r="F411" s="6">
        <f>ACE_Input!D51</f>
        <v>359</v>
      </c>
      <c r="G411" s="6">
        <f>MOD(Settings!$B$17*(G410),Settings!$B$18)</f>
        <v>243480512</v>
      </c>
      <c r="H411" s="6">
        <f>MAX(G411,1)/Settings!$B$18</f>
        <v>0.11337944870506388</v>
      </c>
      <c r="I411" s="6">
        <f>-ACE_Input!W51*LN(H411)</f>
        <v>8.7080605298509361</v>
      </c>
      <c r="J411" s="6">
        <f>-ACE_Input!X51*LN(H411)</f>
        <v>26.124181589552808</v>
      </c>
      <c r="K411" s="6">
        <f>ACE_Input!U51</f>
        <v>300</v>
      </c>
      <c r="L411" s="6">
        <f>K411*ACE_Input!V51</f>
        <v>75</v>
      </c>
    </row>
    <row r="412" spans="1:12" x14ac:dyDescent="0.2">
      <c r="A412">
        <f>4</f>
        <v>4</v>
      </c>
      <c r="B412">
        <f>ACE_Input!A52</f>
        <v>47</v>
      </c>
      <c r="C412" s="6">
        <f>MOD(Settings!$B$17*(C411),Settings!$B$18)</f>
        <v>149180032</v>
      </c>
      <c r="D412" s="6">
        <f>MAX(C412,1)/Settings!$B$18</f>
        <v>6.9467365774077999E-2</v>
      </c>
      <c r="E412" s="6">
        <f t="shared" si="13"/>
        <v>5</v>
      </c>
      <c r="F412" s="6">
        <f>ACE_Input!D52</f>
        <v>364</v>
      </c>
      <c r="G412" s="6">
        <f>MOD(Settings!$B$17*(G411),Settings!$B$18)</f>
        <v>1220617649</v>
      </c>
      <c r="H412" s="6">
        <f>MAX(G412,1)/Settings!$B$18</f>
        <v>0.56839438600856551</v>
      </c>
      <c r="I412" s="6">
        <f>-ACE_Input!W52*LN(H412)</f>
        <v>2.2597590385607553</v>
      </c>
      <c r="J412" s="6">
        <f>-ACE_Input!X52*LN(H412)</f>
        <v>6.779277115682266</v>
      </c>
      <c r="K412" s="6">
        <f>ACE_Input!U52</f>
        <v>300</v>
      </c>
      <c r="L412" s="6">
        <f>K412*ACE_Input!V52</f>
        <v>75</v>
      </c>
    </row>
    <row r="413" spans="1:12" x14ac:dyDescent="0.2">
      <c r="A413">
        <f>4</f>
        <v>4</v>
      </c>
      <c r="B413">
        <f>ACE_Input!A53</f>
        <v>48</v>
      </c>
      <c r="C413" s="6">
        <f>MOD(Settings!$B$17*(C412),Settings!$B$18)</f>
        <v>1155381775</v>
      </c>
      <c r="D413" s="6">
        <f>MAX(C413,1)/Settings!$B$18</f>
        <v>0.53801656492893424</v>
      </c>
      <c r="E413" s="6">
        <f t="shared" si="13"/>
        <v>5</v>
      </c>
      <c r="F413" s="6">
        <f>ACE_Input!D53</f>
        <v>369</v>
      </c>
      <c r="G413" s="6">
        <f>MOD(Settings!$B$17*(G412),Settings!$B$18)</f>
        <v>9546952</v>
      </c>
      <c r="H413" s="6">
        <f>MAX(G413,1)/Settings!$B$18</f>
        <v>4.4456459602553611E-3</v>
      </c>
      <c r="I413" s="6">
        <f>-ACE_Input!W53*LN(H413)</f>
        <v>21.663320390730092</v>
      </c>
      <c r="J413" s="6">
        <f>-ACE_Input!X53*LN(H413)</f>
        <v>64.989961172190277</v>
      </c>
      <c r="K413" s="6">
        <f>ACE_Input!U53</f>
        <v>300</v>
      </c>
      <c r="L413" s="6">
        <f>K413*ACE_Input!V53</f>
        <v>75</v>
      </c>
    </row>
    <row r="414" spans="1:12" x14ac:dyDescent="0.2">
      <c r="A414">
        <f>4</f>
        <v>4</v>
      </c>
      <c r="B414">
        <f>ACE_Input!A54</f>
        <v>49</v>
      </c>
      <c r="C414" s="6">
        <f>MOD(Settings!$B$17*(C413),Settings!$B$18)</f>
        <v>954356251</v>
      </c>
      <c r="D414" s="6">
        <f>MAX(C414,1)/Settings!$B$18</f>
        <v>0.44440676059779094</v>
      </c>
      <c r="E414" s="6">
        <f t="shared" si="13"/>
        <v>5</v>
      </c>
      <c r="F414" s="6">
        <f>ACE_Input!D54</f>
        <v>374</v>
      </c>
      <c r="G414" s="6">
        <f>MOD(Settings!$B$17*(G413),Settings!$B$18)</f>
        <v>1541832386</v>
      </c>
      <c r="H414" s="6">
        <f>MAX(G414,1)/Settings!$B$18</f>
        <v>0.7179716540118547</v>
      </c>
      <c r="I414" s="6">
        <f>-ACE_Input!W54*LN(H414)</f>
        <v>1.3253007592214285</v>
      </c>
      <c r="J414" s="6">
        <f>-ACE_Input!X54*LN(H414)</f>
        <v>3.9759022776642858</v>
      </c>
      <c r="K414" s="6">
        <f>ACE_Input!U54</f>
        <v>300</v>
      </c>
      <c r="L414" s="6">
        <f>K414*ACE_Input!V54</f>
        <v>75</v>
      </c>
    </row>
    <row r="415" spans="1:12" x14ac:dyDescent="0.2">
      <c r="A415">
        <f>4</f>
        <v>4</v>
      </c>
      <c r="B415">
        <f>ACE_Input!A55</f>
        <v>50</v>
      </c>
      <c r="C415" s="6">
        <f>MOD(Settings!$B$17*(C414),Settings!$B$18)</f>
        <v>310151114</v>
      </c>
      <c r="D415" s="6">
        <f>MAX(C415,1)/Settings!$B$18</f>
        <v>0.14442536707242271</v>
      </c>
      <c r="E415" s="6">
        <f t="shared" si="13"/>
        <v>5</v>
      </c>
      <c r="F415" s="6">
        <f>ACE_Input!D55</f>
        <v>379</v>
      </c>
      <c r="G415" s="6">
        <f>MOD(Settings!$B$17*(G414),Settings!$B$18)</f>
        <v>2039226800</v>
      </c>
      <c r="H415" s="6">
        <f>MAX(G415,1)/Settings!$B$18</f>
        <v>0.94958897724262858</v>
      </c>
      <c r="I415" s="6">
        <f>-ACE_Input!W55*LN(H415)</f>
        <v>0.20690417417614573</v>
      </c>
      <c r="J415" s="6">
        <f>-ACE_Input!X55*LN(H415)</f>
        <v>0.62071252252843723</v>
      </c>
      <c r="K415" s="6">
        <f>ACE_Input!U55</f>
        <v>300</v>
      </c>
      <c r="L415" s="6">
        <f>K415*ACE_Input!V55</f>
        <v>75</v>
      </c>
    </row>
    <row r="416" spans="1:12" x14ac:dyDescent="0.2">
      <c r="A416">
        <f>4</f>
        <v>4</v>
      </c>
      <c r="B416">
        <f>ACE_Input!A56</f>
        <v>51</v>
      </c>
      <c r="C416" s="6">
        <f>MOD(Settings!$B$17*(C415),Settings!$B$18)</f>
        <v>766961729</v>
      </c>
      <c r="D416" s="6">
        <f>MAX(C416,1)/Settings!$B$18</f>
        <v>0.35714438620821776</v>
      </c>
      <c r="E416" s="6">
        <f t="shared" si="13"/>
        <v>5</v>
      </c>
      <c r="F416" s="6">
        <f>ACE_Input!D56</f>
        <v>384</v>
      </c>
      <c r="G416" s="6">
        <f>MOD(Settings!$B$17*(G415),Settings!$B$18)</f>
        <v>1593305127</v>
      </c>
      <c r="H416" s="6">
        <f>MAX(G416,1)/Settings!$B$18</f>
        <v>0.74194051685833395</v>
      </c>
      <c r="I416" s="6">
        <f>-ACE_Input!W56*LN(H416)</f>
        <v>1.1939448199493501</v>
      </c>
      <c r="J416" s="6">
        <f>-ACE_Input!X56*LN(H416)</f>
        <v>3.58183445984805</v>
      </c>
      <c r="K416" s="6">
        <f>ACE_Input!U56</f>
        <v>300</v>
      </c>
      <c r="L416" s="6">
        <f>K416*ACE_Input!V56</f>
        <v>75</v>
      </c>
    </row>
    <row r="417" spans="1:12" x14ac:dyDescent="0.2">
      <c r="A417">
        <f>4</f>
        <v>4</v>
      </c>
      <c r="B417">
        <f>ACE_Input!A57</f>
        <v>52</v>
      </c>
      <c r="C417" s="6">
        <f>MOD(Settings!$B$17*(C416),Settings!$B$18)</f>
        <v>1128930009</v>
      </c>
      <c r="D417" s="6">
        <f>MAX(C417,1)/Settings!$B$18</f>
        <v>0.52569900151607529</v>
      </c>
      <c r="E417" s="6">
        <f t="shared" si="13"/>
        <v>5</v>
      </c>
      <c r="F417" s="6">
        <f>ACE_Input!D57</f>
        <v>389</v>
      </c>
      <c r="G417" s="6">
        <f>MOD(Settings!$B$17*(G416),Settings!$B$18)</f>
        <v>1705675046</v>
      </c>
      <c r="H417" s="6">
        <f>MAX(G417,1)/Settings!$B$18</f>
        <v>0.79426683801890674</v>
      </c>
      <c r="I417" s="6">
        <f>-ACE_Input!W57*LN(H417)</f>
        <v>0.92134322463730645</v>
      </c>
      <c r="J417" s="6">
        <f>-ACE_Input!X57*LN(H417)</f>
        <v>2.7640296739119194</v>
      </c>
      <c r="K417" s="6">
        <f>ACE_Input!U57</f>
        <v>300</v>
      </c>
      <c r="L417" s="6">
        <f>K417*ACE_Input!V57</f>
        <v>75</v>
      </c>
    </row>
    <row r="418" spans="1:12" x14ac:dyDescent="0.2">
      <c r="A418">
        <f>4</f>
        <v>4</v>
      </c>
      <c r="B418">
        <f>ACE_Input!A58</f>
        <v>53</v>
      </c>
      <c r="C418" s="6">
        <f>MOD(Settings!$B$17*(C417),Settings!$B$18)</f>
        <v>908640018</v>
      </c>
      <c r="D418" s="6">
        <f>MAX(C418,1)/Settings!$B$18</f>
        <v>0.42311848067823726</v>
      </c>
      <c r="E418" s="6">
        <f t="shared" si="13"/>
        <v>5</v>
      </c>
      <c r="F418" s="6">
        <f>ACE_Input!D58</f>
        <v>394</v>
      </c>
      <c r="G418" s="6">
        <f>MOD(Settings!$B$17*(G417),Settings!$B$18)</f>
        <v>521294319</v>
      </c>
      <c r="H418" s="6">
        <f>MAX(G418,1)/Settings!$B$18</f>
        <v>0.24274658376478897</v>
      </c>
      <c r="I418" s="6">
        <f>-ACE_Input!W58*LN(H418)</f>
        <v>5.6629489798772035</v>
      </c>
      <c r="J418" s="6">
        <f>-ACE_Input!X58*LN(H418)</f>
        <v>16.98884693963161</v>
      </c>
      <c r="K418" s="6">
        <f>ACE_Input!U58</f>
        <v>300</v>
      </c>
      <c r="L418" s="6">
        <f>K418*ACE_Input!V58</f>
        <v>75</v>
      </c>
    </row>
    <row r="419" spans="1:12" x14ac:dyDescent="0.2">
      <c r="A419">
        <f>4</f>
        <v>4</v>
      </c>
      <c r="B419">
        <f>ACE_Input!A59</f>
        <v>54</v>
      </c>
      <c r="C419" s="6">
        <f>MOD(Settings!$B$17*(C418),Settings!$B$18)</f>
        <v>756568709</v>
      </c>
      <c r="D419" s="6">
        <f>MAX(C419,1)/Settings!$B$18</f>
        <v>0.35230475913374909</v>
      </c>
      <c r="E419" s="6">
        <f t="shared" si="13"/>
        <v>5</v>
      </c>
      <c r="F419" s="6">
        <f>ACE_Input!D59</f>
        <v>399</v>
      </c>
      <c r="G419" s="6">
        <f>MOD(Settings!$B$17*(G418),Settings!$B$18)</f>
        <v>1807823320</v>
      </c>
      <c r="H419" s="6">
        <f>MAX(G419,1)/Settings!$B$18</f>
        <v>0.84183333480816025</v>
      </c>
      <c r="I419" s="6">
        <f>-ACE_Input!W59*LN(H419)</f>
        <v>0.68869289596086714</v>
      </c>
      <c r="J419" s="6">
        <f>-ACE_Input!X59*LN(H419)</f>
        <v>2.0660786878826016</v>
      </c>
      <c r="K419" s="6">
        <f>ACE_Input!U59</f>
        <v>300</v>
      </c>
      <c r="L419" s="6">
        <f>K419*ACE_Input!V59</f>
        <v>75</v>
      </c>
    </row>
    <row r="420" spans="1:12" x14ac:dyDescent="0.2">
      <c r="A420">
        <f>4</f>
        <v>4</v>
      </c>
      <c r="B420">
        <f>ACE_Input!A60</f>
        <v>55</v>
      </c>
      <c r="C420" s="6">
        <f>MOD(Settings!$B$17*(C419),Settings!$B$18)</f>
        <v>399618276</v>
      </c>
      <c r="D420" s="6">
        <f>MAX(C420,1)/Settings!$B$18</f>
        <v>0.18608676092051285</v>
      </c>
      <c r="E420" s="6">
        <f t="shared" si="13"/>
        <v>5</v>
      </c>
      <c r="F420" s="6">
        <f>ACE_Input!D60</f>
        <v>404</v>
      </c>
      <c r="G420" s="6">
        <f>MOD(Settings!$B$17*(G419),Settings!$B$18)</f>
        <v>1487901484</v>
      </c>
      <c r="H420" s="6">
        <f>MAX(G420,1)/Settings!$B$18</f>
        <v>0.69285812074917286</v>
      </c>
      <c r="I420" s="6">
        <f>-ACE_Input!W60*LN(H420)</f>
        <v>1.4677201308654348</v>
      </c>
      <c r="J420" s="6">
        <f>-ACE_Input!X60*LN(H420)</f>
        <v>4.4031603925963045</v>
      </c>
      <c r="K420" s="6">
        <f>ACE_Input!U60</f>
        <v>300</v>
      </c>
      <c r="L420" s="6">
        <f>K420*ACE_Input!V60</f>
        <v>75</v>
      </c>
    </row>
    <row r="421" spans="1:12" x14ac:dyDescent="0.2">
      <c r="A421">
        <f>4</f>
        <v>4</v>
      </c>
      <c r="B421">
        <f>ACE_Input!A61</f>
        <v>56</v>
      </c>
      <c r="C421" s="6">
        <f>MOD(Settings!$B$17*(C420),Settings!$B$18)</f>
        <v>1203000563</v>
      </c>
      <c r="D421" s="6">
        <f>MAX(C421,1)/Settings!$B$18</f>
        <v>0.56019079105937419</v>
      </c>
      <c r="E421" s="6">
        <f t="shared" si="13"/>
        <v>5</v>
      </c>
      <c r="F421" s="6">
        <f>ACE_Input!D61</f>
        <v>409</v>
      </c>
      <c r="G421" s="6">
        <f>MOD(Settings!$B$17*(G420),Settings!$B$18)</f>
        <v>1860655920</v>
      </c>
      <c r="H421" s="6">
        <f>MAX(G421,1)/Settings!$B$18</f>
        <v>0.8664354313474314</v>
      </c>
      <c r="I421" s="6">
        <f>-ACE_Input!W61*LN(H421)</f>
        <v>0.57347075689809002</v>
      </c>
      <c r="J421" s="6">
        <f>-ACE_Input!X61*LN(H421)</f>
        <v>1.7204122706942702</v>
      </c>
      <c r="K421" s="6">
        <f>ACE_Input!U61</f>
        <v>300</v>
      </c>
      <c r="L421" s="6">
        <f>K421*ACE_Input!V61</f>
        <v>75</v>
      </c>
    </row>
    <row r="422" spans="1:12" x14ac:dyDescent="0.2">
      <c r="A422">
        <f>4</f>
        <v>4</v>
      </c>
      <c r="B422">
        <f>ACE_Input!A62</f>
        <v>57</v>
      </c>
      <c r="C422" s="6">
        <f>MOD(Settings!$B$17*(C421),Settings!$B$18)</f>
        <v>271925836</v>
      </c>
      <c r="D422" s="6">
        <f>MAX(C422,1)/Settings!$B$18</f>
        <v>0.12662533490295771</v>
      </c>
      <c r="E422" s="6">
        <f t="shared" si="13"/>
        <v>5</v>
      </c>
      <c r="F422" s="6">
        <f>ACE_Input!D62</f>
        <v>414</v>
      </c>
      <c r="G422" s="6">
        <f>MOD(Settings!$B$17*(G421),Settings!$B$18)</f>
        <v>387179826</v>
      </c>
      <c r="H422" s="6">
        <f>MAX(G422,1)/Settings!$B$18</f>
        <v>0.18029465627870273</v>
      </c>
      <c r="I422" s="6">
        <f>-ACE_Input!W62*LN(H422)</f>
        <v>6.8526511486241803</v>
      </c>
      <c r="J422" s="6">
        <f>-ACE_Input!X62*LN(H422)</f>
        <v>20.557953445872542</v>
      </c>
      <c r="K422" s="6">
        <f>ACE_Input!U62</f>
        <v>300</v>
      </c>
      <c r="L422" s="6">
        <f>K422*ACE_Input!V62</f>
        <v>75</v>
      </c>
    </row>
    <row r="423" spans="1:12" x14ac:dyDescent="0.2">
      <c r="A423">
        <f>4</f>
        <v>4</v>
      </c>
      <c r="B423">
        <f>ACE_Input!A63</f>
        <v>58</v>
      </c>
      <c r="C423" s="6">
        <f>MOD(Settings!$B$17*(C422),Settings!$B$18)</f>
        <v>412324836</v>
      </c>
      <c r="D423" s="6">
        <f>MAX(C423,1)/Settings!$B$18</f>
        <v>0.19200371401012117</v>
      </c>
      <c r="E423" s="6">
        <f t="shared" si="13"/>
        <v>5</v>
      </c>
      <c r="F423" s="6">
        <f>ACE_Input!D63</f>
        <v>419</v>
      </c>
      <c r="G423" s="6">
        <f>MOD(Settings!$B$17*(G422),Settings!$B$18)</f>
        <v>455885172</v>
      </c>
      <c r="H423" s="6">
        <f>MAX(G423,1)/Settings!$B$18</f>
        <v>0.21228807615688447</v>
      </c>
      <c r="I423" s="6">
        <f>-ACE_Input!W63*LN(H423)</f>
        <v>6.199244307657505</v>
      </c>
      <c r="J423" s="6">
        <f>-ACE_Input!X63*LN(H423)</f>
        <v>18.597732922972515</v>
      </c>
      <c r="K423" s="6">
        <f>ACE_Input!U63</f>
        <v>300</v>
      </c>
      <c r="L423" s="6">
        <f>K423*ACE_Input!V63</f>
        <v>75</v>
      </c>
    </row>
    <row r="424" spans="1:12" x14ac:dyDescent="0.2">
      <c r="A424">
        <f>4</f>
        <v>4</v>
      </c>
      <c r="B424">
        <f>ACE_Input!A64</f>
        <v>59</v>
      </c>
      <c r="C424" s="6">
        <f>MOD(Settings!$B$17*(C423),Settings!$B$18)</f>
        <v>13789783</v>
      </c>
      <c r="D424" s="6">
        <f>MAX(C424,1)/Settings!$B$18</f>
        <v>6.4213681064645613E-3</v>
      </c>
      <c r="E424" s="6">
        <f t="shared" si="13"/>
        <v>5</v>
      </c>
      <c r="F424" s="6">
        <f>ACE_Input!D64</f>
        <v>424</v>
      </c>
      <c r="G424" s="6">
        <f>MOD(Settings!$B$17*(G423),Settings!$B$18)</f>
        <v>1987916955</v>
      </c>
      <c r="H424" s="6">
        <f>MAX(G424,1)/Settings!$B$18</f>
        <v>0.92569596875724192</v>
      </c>
      <c r="I424" s="6">
        <f>-ACE_Input!W64*LN(H424)</f>
        <v>0.30883770289281903</v>
      </c>
      <c r="J424" s="6">
        <f>-ACE_Input!X64*LN(H424)</f>
        <v>0.92651310867845704</v>
      </c>
      <c r="K424" s="6">
        <f>ACE_Input!U64</f>
        <v>300</v>
      </c>
      <c r="L424" s="6">
        <f>K424*ACE_Input!V64</f>
        <v>75</v>
      </c>
    </row>
    <row r="425" spans="1:12" x14ac:dyDescent="0.2">
      <c r="A425">
        <f>4</f>
        <v>4</v>
      </c>
      <c r="B425">
        <f>ACE_Input!A65</f>
        <v>60</v>
      </c>
      <c r="C425" s="6">
        <f>MOD(Settings!$B$17*(C424),Settings!$B$18)</f>
        <v>1984132652</v>
      </c>
      <c r="D425" s="6">
        <f>MAX(C425,1)/Settings!$B$18</f>
        <v>0.92393376534987881</v>
      </c>
      <c r="E425" s="6">
        <f t="shared" si="13"/>
        <v>5</v>
      </c>
      <c r="F425" s="6">
        <f>ACE_Input!D65</f>
        <v>429</v>
      </c>
      <c r="G425" s="6">
        <f>MOD(Settings!$B$17*(G424),Settings!$B$18)</f>
        <v>369682659</v>
      </c>
      <c r="H425" s="6">
        <f>MAX(G425,1)/Settings!$B$18</f>
        <v>0.17214690296545015</v>
      </c>
      <c r="I425" s="6">
        <f>-ACE_Input!W65*LN(H425)</f>
        <v>7.0376283187400777</v>
      </c>
      <c r="J425" s="6">
        <f>-ACE_Input!X65*LN(H425)</f>
        <v>21.112884956220235</v>
      </c>
      <c r="K425" s="6">
        <f>ACE_Input!U65</f>
        <v>300</v>
      </c>
      <c r="L425" s="6">
        <f>K425*ACE_Input!V65</f>
        <v>75</v>
      </c>
    </row>
    <row r="426" spans="1:12" x14ac:dyDescent="0.2">
      <c r="A426">
        <f>4</f>
        <v>4</v>
      </c>
      <c r="B426">
        <f>ACE_Input!A66</f>
        <v>61</v>
      </c>
      <c r="C426" s="6">
        <f>MOD(Settings!$B$17*(C425),Settings!$B$18)</f>
        <v>1191411548</v>
      </c>
      <c r="D426" s="6">
        <f>MAX(C426,1)/Settings!$B$18</f>
        <v>0.55479423541333261</v>
      </c>
      <c r="E426" s="6">
        <f t="shared" si="13"/>
        <v>5</v>
      </c>
      <c r="F426" s="6">
        <f>ACE_Input!D66</f>
        <v>434</v>
      </c>
      <c r="G426" s="6">
        <f>MOD(Settings!$B$17*(G425),Settings!$B$18)</f>
        <v>586259042</v>
      </c>
      <c r="H426" s="6">
        <f>MAX(G426,1)/Settings!$B$18</f>
        <v>0.27299814032064662</v>
      </c>
      <c r="I426" s="6">
        <f>-ACE_Input!W66*LN(H426)</f>
        <v>5.1931611833306501</v>
      </c>
      <c r="J426" s="6">
        <f>-ACE_Input!X66*LN(H426)</f>
        <v>15.57948354999195</v>
      </c>
      <c r="K426" s="6">
        <f>ACE_Input!U66</f>
        <v>300</v>
      </c>
      <c r="L426" s="6">
        <f>K426*ACE_Input!V66</f>
        <v>75</v>
      </c>
    </row>
    <row r="427" spans="1:12" x14ac:dyDescent="0.2">
      <c r="A427">
        <f>4</f>
        <v>4</v>
      </c>
      <c r="B427">
        <f>ACE_Input!A67</f>
        <v>62</v>
      </c>
      <c r="C427" s="6">
        <f>MOD(Settings!$B$17*(C426),Settings!$B$18)</f>
        <v>916362608</v>
      </c>
      <c r="D427" s="6">
        <f>MAX(C427,1)/Settings!$B$18</f>
        <v>0.42671459188066169</v>
      </c>
      <c r="E427" s="6">
        <f t="shared" si="13"/>
        <v>5</v>
      </c>
      <c r="F427" s="6">
        <f>ACE_Input!D67</f>
        <v>439</v>
      </c>
      <c r="G427" s="6">
        <f>MOD(Settings!$B$17*(G426),Settings!$B$18)</f>
        <v>600746458</v>
      </c>
      <c r="H427" s="6">
        <f>MAX(G427,1)/Settings!$B$18</f>
        <v>0.27974436910811085</v>
      </c>
      <c r="I427" s="6">
        <f>-ACE_Input!W67*LN(H427)</f>
        <v>5.0955162411702046</v>
      </c>
      <c r="J427" s="6">
        <f>-ACE_Input!X67*LN(H427)</f>
        <v>15.286548723510613</v>
      </c>
      <c r="K427" s="6">
        <f>ACE_Input!U67</f>
        <v>300</v>
      </c>
      <c r="L427" s="6">
        <f>K427*ACE_Input!V67</f>
        <v>75</v>
      </c>
    </row>
    <row r="428" spans="1:12" x14ac:dyDescent="0.2">
      <c r="A428">
        <f>4</f>
        <v>4</v>
      </c>
      <c r="B428">
        <f>ACE_Input!A68</f>
        <v>63</v>
      </c>
      <c r="C428" s="6">
        <f>MOD(Settings!$B$17*(C427),Settings!$B$18)</f>
        <v>1701120019</v>
      </c>
      <c r="D428" s="6">
        <f>MAX(C428,1)/Settings!$B$18</f>
        <v>0.79214573828137747</v>
      </c>
      <c r="E428" s="6">
        <f t="shared" si="13"/>
        <v>5</v>
      </c>
      <c r="F428" s="6">
        <f>ACE_Input!D68</f>
        <v>444</v>
      </c>
      <c r="G428" s="6">
        <f>MOD(Settings!$B$17*(G427),Settings!$B$18)</f>
        <v>1425095059</v>
      </c>
      <c r="H428" s="6">
        <f>MAX(G428,1)/Settings!$B$18</f>
        <v>0.66361160001885688</v>
      </c>
      <c r="I428" s="6">
        <f>-ACE_Input!W68*LN(H428)</f>
        <v>1.6402329615213087</v>
      </c>
      <c r="J428" s="6">
        <f>-ACE_Input!X68*LN(H428)</f>
        <v>4.9206988845639259</v>
      </c>
      <c r="K428" s="6">
        <f>ACE_Input!U68</f>
        <v>300</v>
      </c>
      <c r="L428" s="6">
        <f>K428*ACE_Input!V68</f>
        <v>75</v>
      </c>
    </row>
    <row r="429" spans="1:12" x14ac:dyDescent="0.2">
      <c r="A429">
        <f>4</f>
        <v>4</v>
      </c>
      <c r="B429">
        <f>ACE_Input!A69</f>
        <v>64</v>
      </c>
      <c r="C429" s="6">
        <f>MOD(Settings!$B$17*(C428),Settings!$B$18)</f>
        <v>1274366822</v>
      </c>
      <c r="D429" s="6">
        <f>MAX(C429,1)/Settings!$B$18</f>
        <v>0.5934232951111269</v>
      </c>
      <c r="E429" s="6">
        <f t="shared" si="13"/>
        <v>5</v>
      </c>
      <c r="F429" s="6">
        <f>ACE_Input!D69</f>
        <v>449</v>
      </c>
      <c r="G429" s="6">
        <f>MOD(Settings!$B$17*(G428),Settings!$B$18)</f>
        <v>687541622</v>
      </c>
      <c r="H429" s="6">
        <f>MAX(G429,1)/Settings!$B$18</f>
        <v>0.32016151692725786</v>
      </c>
      <c r="I429" s="6">
        <f>-ACE_Input!W69*LN(H429)</f>
        <v>4.5557186805170868</v>
      </c>
      <c r="J429" s="6">
        <f>-ACE_Input!X69*LN(H429)</f>
        <v>13.667156041551261</v>
      </c>
      <c r="K429" s="6">
        <f>ACE_Input!U69</f>
        <v>300</v>
      </c>
      <c r="L429" s="6">
        <f>K429*ACE_Input!V69</f>
        <v>75</v>
      </c>
    </row>
    <row r="430" spans="1:12" x14ac:dyDescent="0.2">
      <c r="A430">
        <f>4</f>
        <v>4</v>
      </c>
      <c r="B430">
        <f>ACE_Input!A70</f>
        <v>65</v>
      </c>
      <c r="C430" s="6">
        <f>MOD(Settings!$B$17*(C429),Settings!$B$18)</f>
        <v>1428765823</v>
      </c>
      <c r="D430" s="6">
        <f>MAX(C430,1)/Settings!$B$18</f>
        <v>0.66532093270929571</v>
      </c>
      <c r="E430" s="6">
        <f t="shared" si="13"/>
        <v>5</v>
      </c>
      <c r="F430" s="6">
        <f>ACE_Input!D70</f>
        <v>454</v>
      </c>
      <c r="G430" s="6">
        <f>MOD(Settings!$B$17*(G429),Settings!$B$18)</f>
        <v>2050020094</v>
      </c>
      <c r="H430" s="6">
        <f>MAX(G430,1)/Settings!$B$18</f>
        <v>0.95461499642329983</v>
      </c>
      <c r="I430" s="6">
        <f>-ACE_Input!W70*LN(H430)</f>
        <v>0.18578865957093876</v>
      </c>
      <c r="J430" s="6">
        <f>-ACE_Input!X70*LN(H430)</f>
        <v>0.55736597871281623</v>
      </c>
      <c r="K430" s="6">
        <f>ACE_Input!U70</f>
        <v>300</v>
      </c>
      <c r="L430" s="6">
        <f>K430*ACE_Input!V70</f>
        <v>75</v>
      </c>
    </row>
    <row r="431" spans="1:12" x14ac:dyDescent="0.2">
      <c r="A431">
        <f>4</f>
        <v>4</v>
      </c>
      <c r="B431">
        <f>ACE_Input!A71</f>
        <v>66</v>
      </c>
      <c r="C431" s="6">
        <f>MOD(Settings!$B$17*(C430),Settings!$B$18)</f>
        <v>105046407</v>
      </c>
      <c r="D431" s="6">
        <f>MAX(C431,1)/Settings!$B$18</f>
        <v>4.8916045133451019E-2</v>
      </c>
      <c r="E431" s="6">
        <f t="shared" ref="E431:E462" si="14">F431-F430</f>
        <v>5</v>
      </c>
      <c r="F431" s="6">
        <f>ACE_Input!D71</f>
        <v>459</v>
      </c>
      <c r="G431" s="6">
        <f>MOD(Settings!$B$17*(G430),Settings!$B$18)</f>
        <v>460087390</v>
      </c>
      <c r="H431" s="6">
        <f>MAX(G431,1)/Settings!$B$18</f>
        <v>0.21424488640122344</v>
      </c>
      <c r="I431" s="6">
        <f>-ACE_Input!W71*LN(H431)</f>
        <v>6.1625423569117741</v>
      </c>
      <c r="J431" s="6">
        <f>-ACE_Input!X71*LN(H431)</f>
        <v>18.487627070735321</v>
      </c>
      <c r="K431" s="6">
        <f>ACE_Input!U71</f>
        <v>300</v>
      </c>
      <c r="L431" s="6">
        <f>K431*ACE_Input!V71</f>
        <v>75</v>
      </c>
    </row>
    <row r="432" spans="1:12" x14ac:dyDescent="0.2">
      <c r="A432">
        <f>4</f>
        <v>4</v>
      </c>
      <c r="B432">
        <f>ACE_Input!A72</f>
        <v>67</v>
      </c>
      <c r="C432" s="6">
        <f>MOD(Settings!$B$17*(C431),Settings!$B$18)</f>
        <v>283404615</v>
      </c>
      <c r="D432" s="6">
        <f>MAX(C432,1)/Settings!$B$18</f>
        <v>0.13197055791130782</v>
      </c>
      <c r="E432" s="6">
        <f t="shared" si="14"/>
        <v>15</v>
      </c>
      <c r="F432" s="6">
        <f>ACE_Input!D72</f>
        <v>474</v>
      </c>
      <c r="G432" s="6">
        <f>MOD(Settings!$B$17*(G431),Settings!$B$18)</f>
        <v>1747634530</v>
      </c>
      <c r="H432" s="6">
        <f>MAX(G432,1)/Settings!$B$18</f>
        <v>0.81380574536221373</v>
      </c>
      <c r="I432" s="6">
        <f>-ACE_Input!W72*LN(H432)</f>
        <v>0.82413433408122783</v>
      </c>
      <c r="J432" s="6">
        <f>-ACE_Input!X72*LN(H432)</f>
        <v>2.4724030022436834</v>
      </c>
      <c r="K432" s="6">
        <f>ACE_Input!U72</f>
        <v>300</v>
      </c>
      <c r="L432" s="6">
        <f>K432*ACE_Input!V72</f>
        <v>75</v>
      </c>
    </row>
    <row r="433" spans="1:12" x14ac:dyDescent="0.2">
      <c r="A433">
        <f>4</f>
        <v>4</v>
      </c>
      <c r="B433">
        <f>ACE_Input!A73</f>
        <v>68</v>
      </c>
      <c r="C433" s="6">
        <f>MOD(Settings!$B$17*(C432),Settings!$B$18)</f>
        <v>62635259</v>
      </c>
      <c r="D433" s="6">
        <f>MAX(C433,1)/Settings!$B$18</f>
        <v>2.9166815350375519E-2</v>
      </c>
      <c r="E433" s="6">
        <f t="shared" si="14"/>
        <v>5</v>
      </c>
      <c r="F433" s="6">
        <f>ACE_Input!D73</f>
        <v>479</v>
      </c>
      <c r="G433" s="6">
        <f>MOD(Settings!$B$17*(G432),Settings!$B$18)</f>
        <v>1359705691</v>
      </c>
      <c r="H433" s="6">
        <f>MAX(G433,1)/Settings!$B$18</f>
        <v>0.63316230272555829</v>
      </c>
      <c r="I433" s="6">
        <f>-ACE_Input!W73*LN(H433)</f>
        <v>1.8281139491735854</v>
      </c>
      <c r="J433" s="6">
        <f>-ACE_Input!X73*LN(H433)</f>
        <v>5.4843418475207564</v>
      </c>
      <c r="K433" s="6">
        <f>ACE_Input!U73</f>
        <v>300</v>
      </c>
      <c r="L433" s="6">
        <f>K433*ACE_Input!V73</f>
        <v>75</v>
      </c>
    </row>
    <row r="434" spans="1:12" x14ac:dyDescent="0.2">
      <c r="A434">
        <f>4</f>
        <v>4</v>
      </c>
      <c r="B434">
        <f>ACE_Input!A74</f>
        <v>69</v>
      </c>
      <c r="C434" s="6">
        <f>MOD(Settings!$B$17*(C433),Settings!$B$18)</f>
        <v>443810983</v>
      </c>
      <c r="D434" s="6">
        <f>MAX(C434,1)/Settings!$B$18</f>
        <v>0.20666559376132934</v>
      </c>
      <c r="E434" s="6">
        <f t="shared" si="14"/>
        <v>15</v>
      </c>
      <c r="F434" s="6">
        <f>ACE_Input!D74</f>
        <v>494</v>
      </c>
      <c r="G434" s="6">
        <f>MOD(Settings!$B$17*(G433),Settings!$B$18)</f>
        <v>1200060910</v>
      </c>
      <c r="H434" s="6">
        <f>MAX(G434,1)/Settings!$B$18</f>
        <v>0.55882190845851876</v>
      </c>
      <c r="I434" s="6">
        <f>-ACE_Input!W74*LN(H434)</f>
        <v>2.3276977844284192</v>
      </c>
      <c r="J434" s="6">
        <f>-ACE_Input!X74*LN(H434)</f>
        <v>6.9830933532852573</v>
      </c>
      <c r="K434" s="6">
        <f>ACE_Input!U74</f>
        <v>300</v>
      </c>
      <c r="L434" s="6">
        <f>K434*ACE_Input!V74</f>
        <v>75</v>
      </c>
    </row>
    <row r="435" spans="1:12" x14ac:dyDescent="0.2">
      <c r="A435">
        <f>4</f>
        <v>4</v>
      </c>
      <c r="B435">
        <f>ACE_Input!A75</f>
        <v>70</v>
      </c>
      <c r="C435" s="6">
        <f>MOD(Settings!$B$17*(C434),Settings!$B$18)</f>
        <v>920485250</v>
      </c>
      <c r="D435" s="6">
        <f>MAX(C435,1)/Settings!$B$18</f>
        <v>0.42863434666238465</v>
      </c>
      <c r="E435" s="6">
        <f t="shared" si="14"/>
        <v>5</v>
      </c>
      <c r="F435" s="6">
        <f>ACE_Input!D75</f>
        <v>499</v>
      </c>
      <c r="G435" s="6">
        <f>MOD(Settings!$B$17*(G434),Settings!$B$18)</f>
        <v>257301746</v>
      </c>
      <c r="H435" s="6">
        <f>MAX(G435,1)/Settings!$B$18</f>
        <v>0.11981546232468238</v>
      </c>
      <c r="I435" s="6">
        <f>-ACE_Input!W75*LN(H435)</f>
        <v>8.4872101352424192</v>
      </c>
      <c r="J435" s="6">
        <f>-ACE_Input!X75*LN(H435)</f>
        <v>25.461630405727256</v>
      </c>
      <c r="K435" s="6">
        <f>ACE_Input!U75</f>
        <v>300</v>
      </c>
      <c r="L435" s="6">
        <f>K435*ACE_Input!V75</f>
        <v>75</v>
      </c>
    </row>
    <row r="436" spans="1:12" x14ac:dyDescent="0.2">
      <c r="A436">
        <f>4</f>
        <v>4</v>
      </c>
      <c r="B436">
        <f>ACE_Input!A76</f>
        <v>71</v>
      </c>
      <c r="C436" s="6">
        <f>MOD(Settings!$B$17*(C435),Settings!$B$18)</f>
        <v>123403762</v>
      </c>
      <c r="D436" s="6">
        <f>MAX(C436,1)/Settings!$B$18</f>
        <v>5.7464354698296805E-2</v>
      </c>
      <c r="E436" s="6">
        <f t="shared" si="14"/>
        <v>5</v>
      </c>
      <c r="F436" s="6">
        <f>ACE_Input!D76</f>
        <v>504</v>
      </c>
      <c r="G436" s="6">
        <f>MOD(Settings!$B$17*(G435),Settings!$B$18)</f>
        <v>1585863611</v>
      </c>
      <c r="H436" s="6">
        <f>MAX(G436,1)/Settings!$B$18</f>
        <v>0.73847529093663922</v>
      </c>
      <c r="I436" s="6">
        <f>-ACE_Input!W76*LN(H436)</f>
        <v>1.2126705440711567</v>
      </c>
      <c r="J436" s="6">
        <f>-ACE_Input!X76*LN(H436)</f>
        <v>3.6380116322134701</v>
      </c>
      <c r="K436" s="6">
        <f>ACE_Input!U76</f>
        <v>300</v>
      </c>
      <c r="L436" s="6">
        <f>K436*ACE_Input!V76</f>
        <v>75</v>
      </c>
    </row>
    <row r="437" spans="1:12" x14ac:dyDescent="0.2">
      <c r="A437">
        <f>4</f>
        <v>4</v>
      </c>
      <c r="B437">
        <f>ACE_Input!A77</f>
        <v>72</v>
      </c>
      <c r="C437" s="6">
        <f>MOD(Settings!$B$17*(C436),Settings!$B$18)</f>
        <v>1725308579</v>
      </c>
      <c r="D437" s="6">
        <f>MAX(C437,1)/Settings!$B$18</f>
        <v>0.80340941427434298</v>
      </c>
      <c r="E437" s="6">
        <f t="shared" si="14"/>
        <v>5</v>
      </c>
      <c r="F437" s="6">
        <f>ACE_Input!D77</f>
        <v>509</v>
      </c>
      <c r="G437" s="6">
        <f>MOD(Settings!$B$17*(G436),Settings!$B$18)</f>
        <v>1190167160</v>
      </c>
      <c r="H437" s="6">
        <f>MAX(G437,1)/Settings!$B$18</f>
        <v>0.55421477209507242</v>
      </c>
      <c r="I437" s="6">
        <f>-ACE_Input!W77*LN(H437)</f>
        <v>2.3608119683985125</v>
      </c>
      <c r="J437" s="6">
        <f>-ACE_Input!X77*LN(H437)</f>
        <v>7.0824359051955375</v>
      </c>
      <c r="K437" s="6">
        <f>ACE_Input!U77</f>
        <v>300</v>
      </c>
      <c r="L437" s="6">
        <f>K437*ACE_Input!V77</f>
        <v>75</v>
      </c>
    </row>
    <row r="438" spans="1:12" x14ac:dyDescent="0.2">
      <c r="A438">
        <f>4</f>
        <v>4</v>
      </c>
      <c r="B438">
        <f>ACE_Input!A78</f>
        <v>73</v>
      </c>
      <c r="C438" s="6">
        <f>MOD(Settings!$B$17*(C437),Settings!$B$18)</f>
        <v>1937085459</v>
      </c>
      <c r="D438" s="6">
        <f>MAX(C438,1)/Settings!$B$18</f>
        <v>0.90202570888308142</v>
      </c>
      <c r="E438" s="6">
        <f t="shared" si="14"/>
        <v>5</v>
      </c>
      <c r="F438" s="6">
        <f>ACE_Input!D78</f>
        <v>514</v>
      </c>
      <c r="G438" s="6">
        <f>MOD(Settings!$B$17*(G437),Settings!$B$18)</f>
        <v>1476769962</v>
      </c>
      <c r="H438" s="6">
        <f>MAX(G438,1)/Settings!$B$18</f>
        <v>0.68767460188254459</v>
      </c>
      <c r="I438" s="6">
        <f>-ACE_Input!W78*LN(H438)</f>
        <v>1.4977580612432038</v>
      </c>
      <c r="J438" s="6">
        <f>-ACE_Input!X78*LN(H438)</f>
        <v>4.4932741837296115</v>
      </c>
      <c r="K438" s="6">
        <f>ACE_Input!U78</f>
        <v>300</v>
      </c>
      <c r="L438" s="6">
        <f>K438*ACE_Input!V78</f>
        <v>75</v>
      </c>
    </row>
    <row r="439" spans="1:12" x14ac:dyDescent="0.2">
      <c r="A439">
        <f>4</f>
        <v>4</v>
      </c>
      <c r="B439">
        <f>ACE_Input!A79</f>
        <v>74</v>
      </c>
      <c r="C439" s="6">
        <f>MOD(Settings!$B$17*(C438),Settings!$B$18)</f>
        <v>743220893</v>
      </c>
      <c r="D439" s="6">
        <f>MAX(C439,1)/Settings!$B$18</f>
        <v>0.3460891979495479</v>
      </c>
      <c r="E439" s="6">
        <f t="shared" si="14"/>
        <v>5</v>
      </c>
      <c r="F439" s="6">
        <f>ACE_Input!D79</f>
        <v>519</v>
      </c>
      <c r="G439" s="6">
        <f>MOD(Settings!$B$17*(G438),Settings!$B$18)</f>
        <v>1604242955</v>
      </c>
      <c r="H439" s="6">
        <f>MAX(G439,1)/Settings!$B$18</f>
        <v>0.74703383992753636</v>
      </c>
      <c r="I439" s="6">
        <f>-ACE_Input!W79*LN(H439)</f>
        <v>1.1665791750702834</v>
      </c>
      <c r="J439" s="6">
        <f>-ACE_Input!X79*LN(H439)</f>
        <v>3.4997375252108505</v>
      </c>
      <c r="K439" s="6">
        <f>ACE_Input!U79</f>
        <v>300</v>
      </c>
      <c r="L439" s="6">
        <f>K439*ACE_Input!V79</f>
        <v>75</v>
      </c>
    </row>
    <row r="440" spans="1:12" x14ac:dyDescent="0.2">
      <c r="A440">
        <f>4</f>
        <v>4</v>
      </c>
      <c r="B440">
        <f>ACE_Input!A80</f>
        <v>75</v>
      </c>
      <c r="C440" s="6">
        <f>MOD(Settings!$B$17*(C439),Settings!$B$18)</f>
        <v>1548657699</v>
      </c>
      <c r="D440" s="6">
        <f>MAX(C440,1)/Settings!$B$18</f>
        <v>0.72114993805119298</v>
      </c>
      <c r="E440" s="6">
        <f t="shared" si="14"/>
        <v>5</v>
      </c>
      <c r="F440" s="6">
        <f>ACE_Input!D80</f>
        <v>524</v>
      </c>
      <c r="G440" s="6">
        <f>MOD(Settings!$B$17*(G439),Settings!$B$18)</f>
        <v>854156600</v>
      </c>
      <c r="H440" s="6">
        <f>MAX(G440,1)/Settings!$B$18</f>
        <v>0.39774766210361739</v>
      </c>
      <c r="I440" s="6">
        <f>-ACE_Input!W80*LN(H440)</f>
        <v>3.6877499583404676</v>
      </c>
      <c r="J440" s="6">
        <f>-ACE_Input!X80*LN(H440)</f>
        <v>11.063249875021402</v>
      </c>
      <c r="K440" s="6">
        <f>ACE_Input!U80</f>
        <v>300</v>
      </c>
      <c r="L440" s="6">
        <f>K440*ACE_Input!V80</f>
        <v>75</v>
      </c>
    </row>
    <row r="441" spans="1:12" x14ac:dyDescent="0.2">
      <c r="A441">
        <f>4</f>
        <v>4</v>
      </c>
      <c r="B441">
        <f>ACE_Input!A81</f>
        <v>76</v>
      </c>
      <c r="C441" s="6">
        <f>MOD(Settings!$B$17*(C440),Settings!$B$18)</f>
        <v>788145453</v>
      </c>
      <c r="D441" s="6">
        <f>MAX(C441,1)/Settings!$B$18</f>
        <v>0.3670088264006231</v>
      </c>
      <c r="E441" s="6">
        <f t="shared" si="14"/>
        <v>5</v>
      </c>
      <c r="F441" s="6">
        <f>ACE_Input!D81</f>
        <v>529</v>
      </c>
      <c r="G441" s="6">
        <f>MOD(Settings!$B$17*(G440),Settings!$B$18)</f>
        <v>2029279652</v>
      </c>
      <c r="H441" s="6">
        <f>MAX(G441,1)/Settings!$B$18</f>
        <v>0.94495697549775104</v>
      </c>
      <c r="I441" s="6">
        <f>-ACE_Input!W81*LN(H441)</f>
        <v>0.22646352439463879</v>
      </c>
      <c r="J441" s="6">
        <f>-ACE_Input!X81*LN(H441)</f>
        <v>0.67939057318391638</v>
      </c>
      <c r="K441" s="6">
        <f>ACE_Input!U81</f>
        <v>300</v>
      </c>
      <c r="L441" s="6">
        <f>K441*ACE_Input!V81</f>
        <v>75</v>
      </c>
    </row>
    <row r="442" spans="1:12" x14ac:dyDescent="0.2">
      <c r="A442">
        <f>4</f>
        <v>4</v>
      </c>
      <c r="B442">
        <f>ACE_Input!A82</f>
        <v>77</v>
      </c>
      <c r="C442" s="6">
        <f>MOD(Settings!$B$17*(C441),Settings!$B$18)</f>
        <v>681493875</v>
      </c>
      <c r="D442" s="6">
        <f>MAX(C442,1)/Settings!$B$18</f>
        <v>0.31734531527261495</v>
      </c>
      <c r="E442" s="6">
        <f t="shared" si="14"/>
        <v>5</v>
      </c>
      <c r="F442" s="6">
        <f>ACE_Input!D82</f>
        <v>534</v>
      </c>
      <c r="G442" s="6">
        <f>MOD(Settings!$B$17*(G441),Settings!$B$18)</f>
        <v>1915313157</v>
      </c>
      <c r="H442" s="6">
        <f>MAX(G442,1)/Settings!$B$18</f>
        <v>0.89188719070138744</v>
      </c>
      <c r="I442" s="6">
        <f>-ACE_Input!W82*LN(H442)</f>
        <v>0.45766248889365546</v>
      </c>
      <c r="J442" s="6">
        <f>-ACE_Input!X82*LN(H442)</f>
        <v>1.3729874666809665</v>
      </c>
      <c r="K442" s="6">
        <f>ACE_Input!U82</f>
        <v>300</v>
      </c>
      <c r="L442" s="6">
        <f>K442*ACE_Input!V82</f>
        <v>75</v>
      </c>
    </row>
    <row r="443" spans="1:12" x14ac:dyDescent="0.2">
      <c r="A443">
        <f>4</f>
        <v>4</v>
      </c>
      <c r="B443">
        <f>ACE_Input!A83</f>
        <v>78</v>
      </c>
      <c r="C443" s="6">
        <f>MOD(Settings!$B$17*(C442),Settings!$B$18)</f>
        <v>1337267674</v>
      </c>
      <c r="D443" s="6">
        <f>MAX(C443,1)/Settings!$B$18</f>
        <v>0.62271378683983991</v>
      </c>
      <c r="E443" s="6">
        <f t="shared" si="14"/>
        <v>5</v>
      </c>
      <c r="F443" s="6">
        <f>ACE_Input!D83</f>
        <v>539</v>
      </c>
      <c r="G443" s="6">
        <f>MOD(Settings!$B$17*(G442),Settings!$B$18)</f>
        <v>2035844816</v>
      </c>
      <c r="H443" s="6">
        <f>MAX(G443,1)/Settings!$B$18</f>
        <v>0.94801411821880099</v>
      </c>
      <c r="I443" s="6">
        <f>-ACE_Input!W83*LN(H443)</f>
        <v>0.21354353680857369</v>
      </c>
      <c r="J443" s="6">
        <f>-ACE_Input!X83*LN(H443)</f>
        <v>0.64063061042572111</v>
      </c>
      <c r="K443" s="6">
        <f>ACE_Input!U83</f>
        <v>300</v>
      </c>
      <c r="L443" s="6">
        <f>K443*ACE_Input!V83</f>
        <v>75</v>
      </c>
    </row>
    <row r="444" spans="1:12" x14ac:dyDescent="0.2">
      <c r="A444">
        <f>4</f>
        <v>4</v>
      </c>
      <c r="B444">
        <f>ACE_Input!A84</f>
        <v>79</v>
      </c>
      <c r="C444" s="6">
        <f>MOD(Settings!$B$17*(C443),Settings!$B$18)</f>
        <v>2041431063</v>
      </c>
      <c r="D444" s="6">
        <f>MAX(C444,1)/Settings!$B$18</f>
        <v>0.95061541718925135</v>
      </c>
      <c r="E444" s="6">
        <f t="shared" si="14"/>
        <v>5</v>
      </c>
      <c r="F444" s="6">
        <f>ACE_Input!D84</f>
        <v>544</v>
      </c>
      <c r="G444" s="6">
        <f>MOD(Settings!$B$17*(G443),Settings!$B$18)</f>
        <v>586874861</v>
      </c>
      <c r="H444" s="6">
        <f>MAX(G444,1)/Settings!$B$18</f>
        <v>0.27328490338906875</v>
      </c>
      <c r="I444" s="6">
        <f>-ACE_Input!W84*LN(H444)</f>
        <v>5.1889617032543205</v>
      </c>
      <c r="J444" s="6">
        <f>-ACE_Input!X84*LN(H444)</f>
        <v>15.566885109762961</v>
      </c>
      <c r="K444" s="6">
        <f>ACE_Input!U84</f>
        <v>300</v>
      </c>
      <c r="L444" s="6">
        <f>K444*ACE_Input!V84</f>
        <v>75</v>
      </c>
    </row>
    <row r="445" spans="1:12" x14ac:dyDescent="0.2">
      <c r="A445">
        <f>4</f>
        <v>4</v>
      </c>
      <c r="B445">
        <f>ACE_Input!A85</f>
        <v>80</v>
      </c>
      <c r="C445" s="6">
        <f>MOD(Settings!$B$17*(C444),Settings!$B$18)</f>
        <v>2133131369</v>
      </c>
      <c r="D445" s="6">
        <f>MAX(C445,1)/Settings!$B$18</f>
        <v>0.99331669974760928</v>
      </c>
      <c r="E445" s="6">
        <f t="shared" si="14"/>
        <v>5</v>
      </c>
      <c r="F445" s="6">
        <f>ACE_Input!D85</f>
        <v>549</v>
      </c>
      <c r="G445" s="6">
        <f>MOD(Settings!$B$17*(G444),Settings!$B$18)</f>
        <v>213398156</v>
      </c>
      <c r="H445" s="6">
        <f>MAX(G445,1)/Settings!$B$18</f>
        <v>9.9371260078331108E-2</v>
      </c>
      <c r="I445" s="6">
        <f>-ACE_Input!W85*LN(H445)</f>
        <v>9.235569364590889</v>
      </c>
      <c r="J445" s="6">
        <f>-ACE_Input!X85*LN(H445)</f>
        <v>27.706708093772669</v>
      </c>
      <c r="K445" s="6">
        <f>ACE_Input!U85</f>
        <v>300</v>
      </c>
      <c r="L445" s="6">
        <f>K445*ACE_Input!V85</f>
        <v>75</v>
      </c>
    </row>
    <row r="446" spans="1:12" x14ac:dyDescent="0.2">
      <c r="A446">
        <f>4</f>
        <v>4</v>
      </c>
      <c r="B446">
        <f>ACE_Input!A86</f>
        <v>81</v>
      </c>
      <c r="C446" s="6">
        <f>MOD(Settings!$B$17*(C445),Settings!$B$18)</f>
        <v>1446915765</v>
      </c>
      <c r="D446" s="6">
        <f>MAX(C446,1)/Settings!$B$18</f>
        <v>0.67377265806951214</v>
      </c>
      <c r="E446" s="6">
        <f t="shared" si="14"/>
        <v>5</v>
      </c>
      <c r="F446" s="6">
        <f>ACE_Input!D86</f>
        <v>554</v>
      </c>
      <c r="G446" s="6">
        <f>MOD(Settings!$B$17*(G445),Settings!$B$18)</f>
        <v>285117402</v>
      </c>
      <c r="H446" s="6">
        <f>MAX(G446,1)/Settings!$B$18</f>
        <v>0.13276813651098318</v>
      </c>
      <c r="I446" s="6">
        <f>-ACE_Input!W86*LN(H446)</f>
        <v>8.0766040265612027</v>
      </c>
      <c r="J446" s="6">
        <f>-ACE_Input!X86*LN(H446)</f>
        <v>24.229812079683608</v>
      </c>
      <c r="K446" s="6">
        <f>ACE_Input!U86</f>
        <v>300</v>
      </c>
      <c r="L446" s="6">
        <f>K446*ACE_Input!V86</f>
        <v>75</v>
      </c>
    </row>
    <row r="447" spans="1:12" x14ac:dyDescent="0.2">
      <c r="A447">
        <f>4</f>
        <v>4</v>
      </c>
      <c r="B447">
        <f>ACE_Input!A87</f>
        <v>82</v>
      </c>
      <c r="C447" s="6">
        <f>MOD(Settings!$B$17*(C446),Settings!$B$18)</f>
        <v>208443727</v>
      </c>
      <c r="D447" s="6">
        <f>MAX(C447,1)/Settings!$B$18</f>
        <v>9.7064174291241992E-2</v>
      </c>
      <c r="E447" s="6">
        <f t="shared" si="14"/>
        <v>5</v>
      </c>
      <c r="F447" s="6">
        <f>ACE_Input!D87</f>
        <v>559</v>
      </c>
      <c r="G447" s="6">
        <f>MOD(Settings!$B$17*(G446),Settings!$B$18)</f>
        <v>932158957</v>
      </c>
      <c r="H447" s="6">
        <f>MAX(G447,1)/Settings!$B$18</f>
        <v>0.43407034009418932</v>
      </c>
      <c r="I447" s="6">
        <f>-ACE_Input!W87*LN(H447)</f>
        <v>3.3381947362582034</v>
      </c>
      <c r="J447" s="6">
        <f>-ACE_Input!X87*LN(H447)</f>
        <v>10.014584208774611</v>
      </c>
      <c r="K447" s="6">
        <f>ACE_Input!U87</f>
        <v>300</v>
      </c>
      <c r="L447" s="6">
        <f>K447*ACE_Input!V87</f>
        <v>75</v>
      </c>
    </row>
    <row r="448" spans="1:12" x14ac:dyDescent="0.2">
      <c r="A448">
        <f>4</f>
        <v>4</v>
      </c>
      <c r="B448">
        <f>ACE_Input!A88</f>
        <v>83</v>
      </c>
      <c r="C448" s="6">
        <f>MOD(Settings!$B$17*(C447),Settings!$B$18)</f>
        <v>767891432</v>
      </c>
      <c r="D448" s="6">
        <f>MAX(C448,1)/Settings!$B$18</f>
        <v>0.35757731290421324</v>
      </c>
      <c r="E448" s="6">
        <f t="shared" si="14"/>
        <v>5</v>
      </c>
      <c r="F448" s="6">
        <f>ACE_Input!D88</f>
        <v>564</v>
      </c>
      <c r="G448" s="6">
        <f>MOD(Settings!$B$17*(G447),Settings!$B$18)</f>
        <v>902385434</v>
      </c>
      <c r="H448" s="6">
        <f>MAX(G448,1)/Settings!$B$18</f>
        <v>0.42020596303986663</v>
      </c>
      <c r="I448" s="6">
        <f>-ACE_Input!W88*LN(H448)</f>
        <v>3.4680411988622311</v>
      </c>
      <c r="J448" s="6">
        <f>-ACE_Input!X88*LN(H448)</f>
        <v>10.404123596586693</v>
      </c>
      <c r="K448" s="6">
        <f>ACE_Input!U88</f>
        <v>300</v>
      </c>
      <c r="L448" s="6">
        <f>K448*ACE_Input!V88</f>
        <v>75</v>
      </c>
    </row>
    <row r="449" spans="1:12" x14ac:dyDescent="0.2">
      <c r="A449">
        <f>4</f>
        <v>4</v>
      </c>
      <c r="B449">
        <f>ACE_Input!A89</f>
        <v>84</v>
      </c>
      <c r="C449" s="6">
        <f>MOD(Settings!$B$17*(C448),Settings!$B$18)</f>
        <v>1722062801</v>
      </c>
      <c r="D449" s="6">
        <f>MAX(C449,1)/Settings!$B$18</f>
        <v>0.80189798111184407</v>
      </c>
      <c r="E449" s="6">
        <f t="shared" si="14"/>
        <v>5</v>
      </c>
      <c r="F449" s="6">
        <f>ACE_Input!D89</f>
        <v>569</v>
      </c>
      <c r="G449" s="6">
        <f>MOD(Settings!$B$17*(G448),Settings!$B$18)</f>
        <v>862474124</v>
      </c>
      <c r="H449" s="6">
        <f>MAX(G449,1)/Settings!$B$18</f>
        <v>0.40162081103847402</v>
      </c>
      <c r="I449" s="6">
        <f>-ACE_Input!W89*LN(H449)</f>
        <v>3.6489875665292737</v>
      </c>
      <c r="J449" s="6">
        <f>-ACE_Input!X89*LN(H449)</f>
        <v>10.946962699587822</v>
      </c>
      <c r="K449" s="6">
        <f>ACE_Input!U89</f>
        <v>300</v>
      </c>
      <c r="L449" s="6">
        <f>K449*ACE_Input!V89</f>
        <v>75</v>
      </c>
    </row>
    <row r="450" spans="1:12" x14ac:dyDescent="0.2">
      <c r="A450">
        <f>4</f>
        <v>4</v>
      </c>
      <c r="B450">
        <f>ACE_Input!A90</f>
        <v>85</v>
      </c>
      <c r="C450" s="6">
        <f>MOD(Settings!$B$17*(C449),Settings!$B$18)</f>
        <v>1072385788</v>
      </c>
      <c r="D450" s="6">
        <f>MAX(C450,1)/Settings!$B$18</f>
        <v>0.49936854676314096</v>
      </c>
      <c r="E450" s="6">
        <f t="shared" si="14"/>
        <v>5</v>
      </c>
      <c r="F450" s="6">
        <f>ACE_Input!D90</f>
        <v>574</v>
      </c>
      <c r="G450" s="6">
        <f>MOD(Settings!$B$17*(G449),Settings!$B$18)</f>
        <v>87984818</v>
      </c>
      <c r="H450" s="6">
        <f>MAX(G450,1)/Settings!$B$18</f>
        <v>4.0971123632495818E-2</v>
      </c>
      <c r="I450" s="6">
        <f>-ACE_Input!W90*LN(H450)</f>
        <v>12.779551048244771</v>
      </c>
      <c r="J450" s="6">
        <f>-ACE_Input!X90*LN(H450)</f>
        <v>38.338653144734316</v>
      </c>
      <c r="K450" s="6">
        <f>ACE_Input!U90</f>
        <v>300</v>
      </c>
      <c r="L450" s="6">
        <f>K450*ACE_Input!V90</f>
        <v>75</v>
      </c>
    </row>
    <row r="451" spans="1:12" x14ac:dyDescent="0.2">
      <c r="A451">
        <f>4</f>
        <v>4</v>
      </c>
      <c r="B451">
        <f>ACE_Input!A91</f>
        <v>86</v>
      </c>
      <c r="C451" s="6">
        <f>MOD(Settings!$B$17*(C450),Settings!$B$18)</f>
        <v>1905173292</v>
      </c>
      <c r="D451" s="6">
        <f>MAX(C451,1)/Settings!$B$18</f>
        <v>0.88716544811016207</v>
      </c>
      <c r="E451" s="6">
        <f t="shared" si="14"/>
        <v>5</v>
      </c>
      <c r="F451" s="6">
        <f>ACE_Input!D91</f>
        <v>579</v>
      </c>
      <c r="G451" s="6">
        <f>MOD(Settings!$B$17*(G450),Settings!$B$18)</f>
        <v>1292086990</v>
      </c>
      <c r="H451" s="6">
        <f>MAX(G451,1)/Settings!$B$18</f>
        <v>0.60167489135715868</v>
      </c>
      <c r="I451" s="6">
        <f>-ACE_Input!W91*LN(H451)</f>
        <v>2.0321521085240155</v>
      </c>
      <c r="J451" s="6">
        <f>-ACE_Input!X91*LN(H451)</f>
        <v>6.0964563255720465</v>
      </c>
      <c r="K451" s="6">
        <f>ACE_Input!U91</f>
        <v>300</v>
      </c>
      <c r="L451" s="6">
        <f>K451*ACE_Input!V91</f>
        <v>75</v>
      </c>
    </row>
    <row r="452" spans="1:12" x14ac:dyDescent="0.2">
      <c r="A452">
        <f>4</f>
        <v>4</v>
      </c>
      <c r="B452">
        <f>ACE_Input!A92</f>
        <v>87</v>
      </c>
      <c r="C452" s="6">
        <f>MOD(Settings!$B$17*(C451),Settings!$B$18)</f>
        <v>1266341874</v>
      </c>
      <c r="D452" s="6">
        <f>MAX(C452,1)/Settings!$B$18</f>
        <v>0.58968638749312907</v>
      </c>
      <c r="E452" s="6">
        <f t="shared" si="14"/>
        <v>5</v>
      </c>
      <c r="F452" s="6">
        <f>ACE_Input!D92</f>
        <v>584</v>
      </c>
      <c r="G452" s="6">
        <f>MOD(Settings!$B$17*(G451),Settings!$B$18)</f>
        <v>751402466</v>
      </c>
      <c r="H452" s="6">
        <f>MAX(G452,1)/Settings!$B$18</f>
        <v>0.34989903976670422</v>
      </c>
      <c r="I452" s="6">
        <f>-ACE_Input!W92*LN(H452)</f>
        <v>4.2004424956802016</v>
      </c>
      <c r="J452" s="6">
        <f>-ACE_Input!X92*LN(H452)</f>
        <v>12.601327487040605</v>
      </c>
      <c r="K452" s="6">
        <f>ACE_Input!U92</f>
        <v>300</v>
      </c>
      <c r="L452" s="6">
        <f>K452*ACE_Input!V92</f>
        <v>75</v>
      </c>
    </row>
    <row r="453" spans="1:12" x14ac:dyDescent="0.2">
      <c r="A453">
        <f>4</f>
        <v>4</v>
      </c>
      <c r="B453">
        <f>ACE_Input!A93</f>
        <v>88</v>
      </c>
      <c r="C453" s="6">
        <f>MOD(Settings!$B$17*(C452),Settings!$B$18)</f>
        <v>1844934548</v>
      </c>
      <c r="D453" s="6">
        <f>MAX(C453,1)/Settings!$B$18</f>
        <v>0.8591145970202585</v>
      </c>
      <c r="E453" s="6">
        <f t="shared" si="14"/>
        <v>5</v>
      </c>
      <c r="F453" s="6">
        <f>ACE_Input!D93</f>
        <v>589</v>
      </c>
      <c r="G453" s="6">
        <f>MOD(Settings!$B$17*(G452),Settings!$B$18)</f>
        <v>1617401702</v>
      </c>
      <c r="H453" s="6">
        <f>MAX(G453,1)/Settings!$B$18</f>
        <v>0.75316135899776659</v>
      </c>
      <c r="I453" s="6">
        <f>-ACE_Input!W93*LN(H453)</f>
        <v>1.1339031438441227</v>
      </c>
      <c r="J453" s="6">
        <f>-ACE_Input!X93*LN(H453)</f>
        <v>3.4017094315323684</v>
      </c>
      <c r="K453" s="6">
        <f>ACE_Input!U93</f>
        <v>300</v>
      </c>
      <c r="L453" s="6">
        <f>K453*ACE_Input!V93</f>
        <v>75</v>
      </c>
    </row>
    <row r="454" spans="1:12" x14ac:dyDescent="0.2">
      <c r="A454">
        <f>4</f>
        <v>4</v>
      </c>
      <c r="B454">
        <f>ACE_Input!A94</f>
        <v>89</v>
      </c>
      <c r="C454" s="6">
        <f>MOD(Settings!$B$17*(C453),Settings!$B$18)</f>
        <v>298569203</v>
      </c>
      <c r="D454" s="6">
        <f>MAX(C454,1)/Settings!$B$18</f>
        <v>0.1390321194841676</v>
      </c>
      <c r="E454" s="6">
        <f t="shared" si="14"/>
        <v>5</v>
      </c>
      <c r="F454" s="6">
        <f>ACE_Input!D94</f>
        <v>594</v>
      </c>
      <c r="G454" s="6">
        <f>MOD(Settings!$B$17*(G453),Settings!$B$18)</f>
        <v>822401788</v>
      </c>
      <c r="H454" s="6">
        <f>MAX(G454,1)/Settings!$B$18</f>
        <v>0.38296067546259643</v>
      </c>
      <c r="I454" s="6">
        <f>-ACE_Input!W94*LN(H454)</f>
        <v>3.8392918804212735</v>
      </c>
      <c r="J454" s="6">
        <f>-ACE_Input!X94*LN(H454)</f>
        <v>11.517875641263821</v>
      </c>
      <c r="K454" s="6">
        <f>ACE_Input!U94</f>
        <v>300</v>
      </c>
      <c r="L454" s="6">
        <f>K454*ACE_Input!V94</f>
        <v>75</v>
      </c>
    </row>
    <row r="455" spans="1:12" x14ac:dyDescent="0.2">
      <c r="A455">
        <f>4</f>
        <v>4</v>
      </c>
      <c r="B455">
        <f>ACE_Input!A95</f>
        <v>90</v>
      </c>
      <c r="C455" s="6">
        <f>MOD(Settings!$B$17*(C454),Settings!$B$18)</f>
        <v>1530795429</v>
      </c>
      <c r="D455" s="6">
        <f>MAX(C455,1)/Settings!$B$18</f>
        <v>0.71283217040488134</v>
      </c>
      <c r="E455" s="6">
        <f t="shared" si="14"/>
        <v>5</v>
      </c>
      <c r="F455" s="6">
        <f>ACE_Input!D95</f>
        <v>599</v>
      </c>
      <c r="G455" s="6">
        <f>MOD(Settings!$B$17*(G454),Settings!$B$18)</f>
        <v>902098824</v>
      </c>
      <c r="H455" s="6">
        <f>MAX(G455,1)/Settings!$B$18</f>
        <v>0.42007249985824924</v>
      </c>
      <c r="I455" s="6">
        <f>-ACE_Input!W95*LN(H455)</f>
        <v>3.4693118555660041</v>
      </c>
      <c r="J455" s="6">
        <f>-ACE_Input!X95*LN(H455)</f>
        <v>10.407935566698011</v>
      </c>
      <c r="K455" s="6">
        <f>ACE_Input!U95</f>
        <v>300</v>
      </c>
      <c r="L455" s="6">
        <f>K455*ACE_Input!V95</f>
        <v>75</v>
      </c>
    </row>
    <row r="456" spans="1:12" x14ac:dyDescent="0.2">
      <c r="A456">
        <f>4</f>
        <v>4</v>
      </c>
      <c r="B456">
        <f>ACE_Input!A96</f>
        <v>91</v>
      </c>
      <c r="C456" s="6">
        <f>MOD(Settings!$B$17*(C455),Settings!$B$18)</f>
        <v>1224684143</v>
      </c>
      <c r="D456" s="6">
        <f>MAX(C456,1)/Settings!$B$18</f>
        <v>0.57028799484031645</v>
      </c>
      <c r="E456" s="6">
        <f t="shared" si="14"/>
        <v>5</v>
      </c>
      <c r="F456" s="6">
        <f>ACE_Input!D96</f>
        <v>604</v>
      </c>
      <c r="G456" s="6">
        <f>MOD(Settings!$B$17*(G455),Settings!$B$18)</f>
        <v>340387148</v>
      </c>
      <c r="H456" s="6">
        <f>MAX(G456,1)/Settings!$B$18</f>
        <v>0.15850511759449967</v>
      </c>
      <c r="I456" s="6">
        <f>-ACE_Input!W96*LN(H456)</f>
        <v>7.3678735940943145</v>
      </c>
      <c r="J456" s="6">
        <f>-ACE_Input!X96*LN(H456)</f>
        <v>22.103620782282945</v>
      </c>
      <c r="K456" s="6">
        <f>ACE_Input!U96</f>
        <v>300</v>
      </c>
      <c r="L456" s="6">
        <f>K456*ACE_Input!V96</f>
        <v>75</v>
      </c>
    </row>
    <row r="457" spans="1:12" x14ac:dyDescent="0.2">
      <c r="A457">
        <f>4</f>
        <v>4</v>
      </c>
      <c r="B457">
        <f>ACE_Input!A97</f>
        <v>92</v>
      </c>
      <c r="C457" s="6">
        <f>MOD(Settings!$B$17*(C456),Settings!$B$18)</f>
        <v>1783118553</v>
      </c>
      <c r="D457" s="6">
        <f>MAX(C457,1)/Settings!$B$18</f>
        <v>0.83032928119894545</v>
      </c>
      <c r="E457" s="6">
        <f t="shared" si="14"/>
        <v>5</v>
      </c>
      <c r="F457" s="6">
        <f>ACE_Input!D97</f>
        <v>609</v>
      </c>
      <c r="G457" s="6">
        <f>MOD(Settings!$B$17*(G456),Settings!$B$18)</f>
        <v>2137844475</v>
      </c>
      <c r="H457" s="6">
        <f>MAX(G457,1)/Settings!$B$18</f>
        <v>0.99551141075580907</v>
      </c>
      <c r="I457" s="6">
        <f>-ACE_Input!W97*LN(H457)</f>
        <v>1.7994772829022506E-2</v>
      </c>
      <c r="J457" s="6">
        <f>-ACE_Input!X97*LN(H457)</f>
        <v>5.3984318487067515E-2</v>
      </c>
      <c r="K457" s="6">
        <f>ACE_Input!U97</f>
        <v>300</v>
      </c>
      <c r="L457" s="6">
        <f>K457*ACE_Input!V97</f>
        <v>75</v>
      </c>
    </row>
    <row r="458" spans="1:12" x14ac:dyDescent="0.2">
      <c r="A458">
        <f>4</f>
        <v>4</v>
      </c>
      <c r="B458">
        <f>ACE_Input!A98</f>
        <v>93</v>
      </c>
      <c r="C458" s="6">
        <f>MOD(Settings!$B$17*(C457),Settings!$B$18)</f>
        <v>739226386</v>
      </c>
      <c r="D458" s="6">
        <f>MAX(C458,1)/Settings!$B$18</f>
        <v>0.34422911067690193</v>
      </c>
      <c r="E458" s="6">
        <f t="shared" si="14"/>
        <v>5</v>
      </c>
      <c r="F458" s="6">
        <f>ACE_Input!D98</f>
        <v>614</v>
      </c>
      <c r="G458" s="6">
        <f>MOD(Settings!$B$17*(G457),Settings!$B$18)</f>
        <v>1203193368</v>
      </c>
      <c r="H458" s="6">
        <f>MAX(G458,1)/Settings!$B$18</f>
        <v>0.56028057288391542</v>
      </c>
      <c r="I458" s="6">
        <f>-ACE_Input!W98*LN(H458)</f>
        <v>2.3172703908642798</v>
      </c>
      <c r="J458" s="6">
        <f>-ACE_Input!X98*LN(H458)</f>
        <v>6.9518111725928389</v>
      </c>
      <c r="K458" s="6">
        <f>ACE_Input!U98</f>
        <v>300</v>
      </c>
      <c r="L458" s="6">
        <f>K458*ACE_Input!V98</f>
        <v>75</v>
      </c>
    </row>
    <row r="459" spans="1:12" x14ac:dyDescent="0.2">
      <c r="A459">
        <f>4</f>
        <v>4</v>
      </c>
      <c r="B459">
        <f>ACE_Input!A99</f>
        <v>94</v>
      </c>
      <c r="C459" s="6">
        <f>MOD(Settings!$B$17*(C458),Settings!$B$18)</f>
        <v>984971607</v>
      </c>
      <c r="D459" s="6">
        <f>MAX(C459,1)/Settings!$B$18</f>
        <v>0.45866314669077429</v>
      </c>
      <c r="E459" s="6">
        <f t="shared" si="14"/>
        <v>5</v>
      </c>
      <c r="F459" s="6">
        <f>ACE_Input!D99</f>
        <v>619</v>
      </c>
      <c r="G459" s="6">
        <f>MOD(Settings!$B$17*(G458),Settings!$B$18)</f>
        <v>1364915824</v>
      </c>
      <c r="H459" s="6">
        <f>MAX(G459,1)/Settings!$B$18</f>
        <v>0.63558845996651259</v>
      </c>
      <c r="I459" s="6">
        <f>-ACE_Input!W99*LN(H459)</f>
        <v>1.812816002440355</v>
      </c>
      <c r="J459" s="6">
        <f>-ACE_Input!X99*LN(H459)</f>
        <v>5.4384480073210648</v>
      </c>
      <c r="K459" s="6">
        <f>ACE_Input!U99</f>
        <v>300</v>
      </c>
      <c r="L459" s="6">
        <f>K459*ACE_Input!V99</f>
        <v>75</v>
      </c>
    </row>
    <row r="460" spans="1:12" x14ac:dyDescent="0.2">
      <c r="A460">
        <f>4</f>
        <v>4</v>
      </c>
      <c r="B460">
        <f>ACE_Input!A100</f>
        <v>95</v>
      </c>
      <c r="C460" s="6">
        <f>MOD(Settings!$B$17*(C459),Settings!$B$18)</f>
        <v>1613847773</v>
      </c>
      <c r="D460" s="6">
        <f>MAX(C460,1)/Settings!$B$18</f>
        <v>0.75150643184385557</v>
      </c>
      <c r="E460" s="6">
        <f t="shared" si="14"/>
        <v>5</v>
      </c>
      <c r="F460" s="6">
        <f>ACE_Input!D100</f>
        <v>624</v>
      </c>
      <c r="G460" s="6">
        <f>MOD(Settings!$B$17*(G459),Settings!$B$18)</f>
        <v>719936714</v>
      </c>
      <c r="H460" s="6">
        <f>MAX(G460,1)/Settings!$B$18</f>
        <v>0.33524665717745511</v>
      </c>
      <c r="I460" s="6">
        <f>-ACE_Input!W100*LN(H460)</f>
        <v>4.3715549120147106</v>
      </c>
      <c r="J460" s="6">
        <f>-ACE_Input!X100*LN(H460)</f>
        <v>13.114664736044132</v>
      </c>
      <c r="K460" s="6">
        <f>ACE_Input!U100</f>
        <v>300</v>
      </c>
      <c r="L460" s="6">
        <f>K460*ACE_Input!V100</f>
        <v>75</v>
      </c>
    </row>
    <row r="461" spans="1:12" x14ac:dyDescent="0.2">
      <c r="A461">
        <f>4</f>
        <v>4</v>
      </c>
      <c r="B461">
        <f>ACE_Input!A101</f>
        <v>96</v>
      </c>
      <c r="C461" s="6">
        <f>MOD(Settings!$B$17*(C460),Settings!$B$18)</f>
        <v>1221059201</v>
      </c>
      <c r="D461" s="6">
        <f>MAX(C461,1)/Settings!$B$18</f>
        <v>0.56859999968139452</v>
      </c>
      <c r="E461" s="6">
        <f t="shared" si="14"/>
        <v>5</v>
      </c>
      <c r="F461" s="6">
        <f>ACE_Input!D101</f>
        <v>629</v>
      </c>
      <c r="G461" s="6">
        <f>MOD(Settings!$B$17*(G460),Settings!$B$18)</f>
        <v>1053485000</v>
      </c>
      <c r="H461" s="6">
        <f>MAX(G461,1)/Settings!$B$18</f>
        <v>0.49056718148783185</v>
      </c>
      <c r="I461" s="6">
        <f>-ACE_Input!W101*LN(H461)</f>
        <v>2.848772176155725</v>
      </c>
      <c r="J461" s="6">
        <f>-ACE_Input!X101*LN(H461)</f>
        <v>8.5463165284671749</v>
      </c>
      <c r="K461" s="6">
        <f>ACE_Input!U101</f>
        <v>300</v>
      </c>
      <c r="L461" s="6">
        <f>K461*ACE_Input!V101</f>
        <v>75</v>
      </c>
    </row>
    <row r="462" spans="1:12" x14ac:dyDescent="0.2">
      <c r="A462">
        <f>4</f>
        <v>4</v>
      </c>
      <c r="B462">
        <f>ACE_Input!A102</f>
        <v>97</v>
      </c>
      <c r="C462" s="6">
        <f>MOD(Settings!$B$17*(C461),Settings!$B$18)</f>
        <v>988260475</v>
      </c>
      <c r="D462" s="6">
        <f>MAX(C462,1)/Settings!$B$18</f>
        <v>0.46019464519815267</v>
      </c>
      <c r="E462" s="6">
        <f t="shared" si="14"/>
        <v>5</v>
      </c>
      <c r="F462" s="6">
        <f>ACE_Input!D102</f>
        <v>634</v>
      </c>
      <c r="G462" s="6">
        <f>MOD(Settings!$B$17*(G461),Settings!$B$18)</f>
        <v>2067209132</v>
      </c>
      <c r="H462" s="6">
        <f>MAX(G462,1)/Settings!$B$18</f>
        <v>0.96261926598968883</v>
      </c>
      <c r="I462" s="6">
        <f>-ACE_Input!W102*LN(H462)</f>
        <v>0.15238923112073782</v>
      </c>
      <c r="J462" s="6">
        <f>-ACE_Input!X102*LN(H462)</f>
        <v>0.45716769336221347</v>
      </c>
      <c r="K462" s="6">
        <f>ACE_Input!U102</f>
        <v>300</v>
      </c>
      <c r="L462" s="6">
        <f>K462*ACE_Input!V102</f>
        <v>75</v>
      </c>
    </row>
    <row r="463" spans="1:12" x14ac:dyDescent="0.2">
      <c r="A463">
        <f>4</f>
        <v>4</v>
      </c>
      <c r="B463">
        <f>ACE_Input!A103</f>
        <v>98</v>
      </c>
      <c r="C463" s="6">
        <f>MOD(Settings!$B$17*(C462),Settings!$B$18)</f>
        <v>1055277427</v>
      </c>
      <c r="D463" s="6">
        <f>MAX(C463,1)/Settings!$B$18</f>
        <v>0.49140184535244563</v>
      </c>
      <c r="E463" s="6">
        <f t="shared" ref="E463:E465" si="15">F463-F462</f>
        <v>5</v>
      </c>
      <c r="F463" s="6">
        <f>ACE_Input!D103</f>
        <v>639</v>
      </c>
      <c r="G463" s="6">
        <f>MOD(Settings!$B$17*(G462),Settings!$B$18)</f>
        <v>1593440358</v>
      </c>
      <c r="H463" s="6">
        <f>MAX(G463,1)/Settings!$B$18</f>
        <v>0.74200348869990718</v>
      </c>
      <c r="I463" s="6">
        <f>-ACE_Input!W103*LN(H463)</f>
        <v>1.1936053362956534</v>
      </c>
      <c r="J463" s="6">
        <f>-ACE_Input!X103*LN(H463)</f>
        <v>3.5808160088869601</v>
      </c>
      <c r="K463" s="6">
        <f>ACE_Input!U103</f>
        <v>300</v>
      </c>
      <c r="L463" s="6">
        <f>K463*ACE_Input!V103</f>
        <v>75</v>
      </c>
    </row>
    <row r="464" spans="1:12" x14ac:dyDescent="0.2">
      <c r="A464">
        <f>4</f>
        <v>4</v>
      </c>
      <c r="B464">
        <f>ACE_Input!A104</f>
        <v>99</v>
      </c>
      <c r="C464" s="6">
        <f>MOD(Settings!$B$17*(C463),Settings!$B$18)</f>
        <v>2127758663</v>
      </c>
      <c r="D464" s="6">
        <f>MAX(C464,1)/Settings!$B$18</f>
        <v>0.99081483855415831</v>
      </c>
      <c r="E464" s="6">
        <f t="shared" si="15"/>
        <v>45</v>
      </c>
      <c r="F464" s="6">
        <f>ACE_Input!D104</f>
        <v>684</v>
      </c>
      <c r="G464" s="6">
        <f>MOD(Settings!$B$17*(G463),Settings!$B$18)</f>
        <v>1831018816</v>
      </c>
      <c r="H464" s="6">
        <f>MAX(G464,1)/Settings!$B$18</f>
        <v>0.85263457934029152</v>
      </c>
      <c r="I464" s="6">
        <f>-ACE_Input!W104*LN(H464)</f>
        <v>0.63769687181975765</v>
      </c>
      <c r="J464" s="6">
        <f>-ACE_Input!X104*LN(H464)</f>
        <v>1.9130906154592728</v>
      </c>
      <c r="K464" s="6">
        <f>ACE_Input!U104</f>
        <v>300</v>
      </c>
      <c r="L464" s="6">
        <f>K464*ACE_Input!V104</f>
        <v>75</v>
      </c>
    </row>
    <row r="465" spans="1:12" x14ac:dyDescent="0.2">
      <c r="A465">
        <f>4</f>
        <v>4</v>
      </c>
      <c r="B465">
        <f>ACE_Input!A105</f>
        <v>100</v>
      </c>
      <c r="C465" s="6">
        <f>MOD(Settings!$B$17*(C464),Settings!$B$18)</f>
        <v>1342159197</v>
      </c>
      <c r="D465" s="6">
        <f>MAX(C465,1)/Settings!$B$18</f>
        <v>0.62499157973797603</v>
      </c>
      <c r="E465" s="6">
        <f t="shared" si="15"/>
        <v>5</v>
      </c>
      <c r="F465" s="6">
        <f>ACE_Input!D105</f>
        <v>689</v>
      </c>
      <c r="G465" s="6">
        <f>MOD(Settings!$B$17*(G464),Settings!$B$18)</f>
        <v>492579002</v>
      </c>
      <c r="H465" s="6">
        <f>MAX(G465,1)/Settings!$B$18</f>
        <v>0.2293749722788925</v>
      </c>
      <c r="I465" s="6">
        <f>-ACE_Input!W105*LN(H465)</f>
        <v>5.8895887241130964</v>
      </c>
      <c r="J465" s="6">
        <f>-ACE_Input!X105*LN(H465)</f>
        <v>17.668766172339289</v>
      </c>
      <c r="K465" s="6">
        <f>ACE_Input!U105</f>
        <v>300</v>
      </c>
      <c r="L465" s="6">
        <f>K465*ACE_Input!V105</f>
        <v>75</v>
      </c>
    </row>
    <row r="466" spans="1:12" x14ac:dyDescent="0.2">
      <c r="C466" s="6"/>
      <c r="D466" s="6"/>
      <c r="E466" s="6"/>
      <c r="F466" s="6"/>
      <c r="G466" s="6"/>
      <c r="H466" s="6"/>
      <c r="I466" s="6"/>
      <c r="J466" s="6"/>
      <c r="K466" s="6"/>
      <c r="L466" s="6"/>
    </row>
    <row r="467" spans="1:12" x14ac:dyDescent="0.2">
      <c r="C467" s="6"/>
      <c r="D467" s="6"/>
      <c r="E467" s="6"/>
      <c r="F467" s="6"/>
      <c r="G467" s="6"/>
      <c r="H467" s="6"/>
      <c r="I467" s="6"/>
      <c r="J467" s="6"/>
      <c r="K467" s="6"/>
      <c r="L467" s="6"/>
    </row>
    <row r="468" spans="1:12" x14ac:dyDescent="0.2">
      <c r="C468" s="6"/>
      <c r="D468" s="6"/>
      <c r="E468" s="6"/>
      <c r="F468" s="6"/>
      <c r="G468" s="6"/>
      <c r="H468" s="6"/>
      <c r="I468" s="6"/>
      <c r="J468" s="6"/>
      <c r="K468" s="6"/>
      <c r="L468" s="6"/>
    </row>
    <row r="469" spans="1:12" x14ac:dyDescent="0.2">
      <c r="C469" s="6"/>
      <c r="D469" s="6"/>
      <c r="E469" s="6"/>
      <c r="F469" s="6"/>
      <c r="G469" s="6"/>
      <c r="H469" s="6"/>
      <c r="I469" s="6"/>
      <c r="J469" s="6"/>
      <c r="K469" s="6"/>
      <c r="L469" s="6"/>
    </row>
    <row r="470" spans="1:12" x14ac:dyDescent="0.2">
      <c r="C470" s="6"/>
      <c r="D470" s="6"/>
      <c r="E470" s="6"/>
      <c r="F470" s="6"/>
      <c r="G470" s="6"/>
      <c r="H470" s="6"/>
      <c r="I470" s="6"/>
      <c r="J470" s="6"/>
      <c r="K470" s="6"/>
      <c r="L470" s="6"/>
    </row>
    <row r="471" spans="1:12" x14ac:dyDescent="0.2">
      <c r="C471" s="6"/>
      <c r="D471" s="6"/>
      <c r="E471" s="6"/>
      <c r="F471" s="6"/>
      <c r="G471" s="6"/>
      <c r="H471" s="6"/>
      <c r="I471" s="6"/>
      <c r="J471" s="6"/>
      <c r="K471" s="6"/>
      <c r="L471" s="6"/>
    </row>
    <row r="472" spans="1:12" x14ac:dyDescent="0.2">
      <c r="C472" s="6"/>
      <c r="D472" s="6"/>
      <c r="E472" s="6"/>
      <c r="F472" s="6"/>
      <c r="G472" s="6"/>
      <c r="H472" s="6"/>
      <c r="I472" s="6"/>
      <c r="J472" s="6"/>
      <c r="K472" s="6"/>
      <c r="L472" s="6"/>
    </row>
    <row r="473" spans="1:12" x14ac:dyDescent="0.2">
      <c r="C473" s="6"/>
      <c r="D473" s="6"/>
      <c r="E473" s="6"/>
      <c r="F473" s="6"/>
      <c r="G473" s="6"/>
      <c r="H473" s="6"/>
      <c r="I473" s="6"/>
      <c r="J473" s="6"/>
      <c r="K473" s="6"/>
      <c r="L473" s="6"/>
    </row>
    <row r="474" spans="1:12" x14ac:dyDescent="0.2">
      <c r="C474" s="6"/>
      <c r="D474" s="6"/>
      <c r="E474" s="6"/>
      <c r="F474" s="6"/>
      <c r="G474" s="6"/>
      <c r="H474" s="6"/>
      <c r="I474" s="6"/>
      <c r="J474" s="6"/>
      <c r="K474" s="6"/>
      <c r="L474" s="6"/>
    </row>
    <row r="475" spans="1:12" x14ac:dyDescent="0.2">
      <c r="C475" s="6"/>
      <c r="D475" s="6"/>
      <c r="E475" s="6"/>
      <c r="F475" s="6"/>
      <c r="G475" s="6"/>
      <c r="H475" s="6"/>
      <c r="I475" s="6"/>
      <c r="J475" s="6"/>
      <c r="K475" s="6"/>
      <c r="L475" s="6"/>
    </row>
    <row r="476" spans="1:12" x14ac:dyDescent="0.2">
      <c r="C476" s="6"/>
      <c r="D476" s="6"/>
      <c r="E476" s="6"/>
      <c r="F476" s="6"/>
      <c r="G476" s="6"/>
      <c r="H476" s="6"/>
      <c r="I476" s="6"/>
      <c r="J476" s="6"/>
      <c r="K476" s="6"/>
      <c r="L476" s="6"/>
    </row>
    <row r="477" spans="1:12" x14ac:dyDescent="0.2">
      <c r="C477" s="6"/>
      <c r="D477" s="6"/>
      <c r="E477" s="6"/>
      <c r="F477" s="6"/>
      <c r="G477" s="6"/>
      <c r="H477" s="6"/>
      <c r="I477" s="6"/>
      <c r="J477" s="6"/>
      <c r="K477" s="6"/>
      <c r="L477" s="6"/>
    </row>
    <row r="478" spans="1:12" x14ac:dyDescent="0.2">
      <c r="C478" s="6"/>
      <c r="D478" s="6"/>
      <c r="E478" s="6"/>
      <c r="F478" s="6"/>
      <c r="G478" s="6"/>
      <c r="H478" s="6"/>
      <c r="I478" s="6"/>
      <c r="J478" s="6"/>
      <c r="K478" s="6"/>
      <c r="L478" s="6"/>
    </row>
    <row r="479" spans="1:12" x14ac:dyDescent="0.2">
      <c r="C479" s="6"/>
      <c r="D479" s="6"/>
      <c r="E479" s="6"/>
      <c r="F479" s="6"/>
      <c r="G479" s="6"/>
      <c r="H479" s="6"/>
      <c r="I479" s="6"/>
      <c r="J479" s="6"/>
      <c r="K479" s="6"/>
      <c r="L479" s="6"/>
    </row>
    <row r="480" spans="1:12" x14ac:dyDescent="0.2">
      <c r="C480" s="6"/>
      <c r="D480" s="6"/>
      <c r="E480" s="6"/>
      <c r="F480" s="6"/>
      <c r="G480" s="6"/>
      <c r="H480" s="6"/>
      <c r="I480" s="6"/>
      <c r="J480" s="6"/>
      <c r="K480" s="6"/>
      <c r="L480" s="6"/>
    </row>
    <row r="481" spans="1:12" x14ac:dyDescent="0.2">
      <c r="C481" s="6"/>
      <c r="D481" s="6"/>
      <c r="E481" s="6"/>
      <c r="F481" s="6"/>
      <c r="G481" s="6"/>
      <c r="H481" s="6"/>
      <c r="I481" s="6"/>
      <c r="J481" s="6"/>
      <c r="K481" s="6"/>
      <c r="L481" s="6"/>
    </row>
    <row r="482" spans="1:12" x14ac:dyDescent="0.2">
      <c r="C482" s="6"/>
      <c r="D482" s="6"/>
      <c r="E482" s="6"/>
      <c r="F482" s="6"/>
      <c r="G482" s="6"/>
      <c r="H482" s="6"/>
      <c r="I482" s="6"/>
      <c r="J482" s="6"/>
      <c r="K482" s="6"/>
      <c r="L482" s="6"/>
    </row>
    <row r="483" spans="1:12" x14ac:dyDescent="0.2">
      <c r="C483" s="6"/>
      <c r="D483" s="6"/>
      <c r="E483" s="6"/>
      <c r="F483" s="6"/>
      <c r="G483" s="6"/>
      <c r="H483" s="6"/>
      <c r="I483" s="6"/>
      <c r="J483" s="6"/>
      <c r="K483" s="6"/>
      <c r="L483" s="6"/>
    </row>
    <row r="484" spans="1:12" x14ac:dyDescent="0.2">
      <c r="C484" s="6"/>
      <c r="D484" s="6"/>
      <c r="E484" s="6"/>
      <c r="F484" s="6"/>
      <c r="G484" s="6"/>
      <c r="H484" s="6"/>
      <c r="I484" s="6"/>
      <c r="J484" s="6"/>
      <c r="K484" s="6"/>
      <c r="L484" s="6"/>
    </row>
    <row r="485" spans="1:12" x14ac:dyDescent="0.2">
      <c r="C485" s="6"/>
      <c r="D485" s="6"/>
      <c r="E485" s="6"/>
      <c r="F485" s="6"/>
      <c r="G485" s="6"/>
      <c r="H485" s="6"/>
      <c r="I485" s="6"/>
      <c r="J485" s="6"/>
      <c r="K485" s="6"/>
      <c r="L485" s="6"/>
    </row>
    <row r="486" spans="1:12" x14ac:dyDescent="0.2">
      <c r="A486">
        <f>5</f>
        <v>5</v>
      </c>
      <c r="B486">
        <f>ACE_Input!A6</f>
        <v>1</v>
      </c>
      <c r="C486" s="6">
        <f>MOD(Settings!$B$17*(Settings!$B$15+1000*A486),Settings!$B$18)</f>
        <v>291517415</v>
      </c>
      <c r="D486" s="6">
        <f>MAX(C486,1)/Settings!$B$18</f>
        <v>0.13574837480473723</v>
      </c>
      <c r="E486" s="6">
        <f>F486</f>
        <v>2</v>
      </c>
      <c r="F486" s="6">
        <f>ACE_Input!D6</f>
        <v>2</v>
      </c>
      <c r="G486" s="6">
        <f>MOD(Settings!$B$17*(Settings!$B$16+1000*A486),Settings!$B$18)</f>
        <v>997008047</v>
      </c>
      <c r="H486" s="6">
        <f>MAX(G486,1)/Settings!$B$18</f>
        <v>0.46426805083838668</v>
      </c>
      <c r="I486" s="6">
        <f>-ACE_Input!W6*LN(H486)</f>
        <v>3.069172791141848</v>
      </c>
      <c r="J486" s="6">
        <f>-ACE_Input!X6*LN(H486)</f>
        <v>9.2075183734255432</v>
      </c>
      <c r="K486" s="6">
        <f>ACE_Input!U6</f>
        <v>300</v>
      </c>
      <c r="L486" s="6">
        <f>K486*ACE_Input!V6</f>
        <v>75</v>
      </c>
    </row>
    <row r="487" spans="1:12" x14ac:dyDescent="0.2">
      <c r="A487">
        <f>5</f>
        <v>5</v>
      </c>
      <c r="B487">
        <f>ACE_Input!A7</f>
        <v>2</v>
      </c>
      <c r="C487" s="6">
        <f>MOD(Settings!$B$17*(C486),Settings!$B$18)</f>
        <v>1122995098</v>
      </c>
      <c r="D487" s="6">
        <f>MAX(C487,1)/Settings!$B$18</f>
        <v>0.52293534321847157</v>
      </c>
      <c r="E487" s="6">
        <f t="shared" ref="E487:E518" si="16">F487-F486</f>
        <v>5</v>
      </c>
      <c r="F487" s="6">
        <f>ACE_Input!D7</f>
        <v>7</v>
      </c>
      <c r="G487" s="6">
        <f>MOD(Settings!$B$17*(G486),Settings!$B$18)</f>
        <v>2046832035</v>
      </c>
      <c r="H487" s="6">
        <f>MAX(G487,1)/Settings!$B$18</f>
        <v>0.95313044076465558</v>
      </c>
      <c r="I487" s="6">
        <f>-ACE_Input!W7*LN(H487)</f>
        <v>0.19201404343763173</v>
      </c>
      <c r="J487" s="6">
        <f>-ACE_Input!X7*LN(H487)</f>
        <v>0.5760421303128952</v>
      </c>
      <c r="K487" s="6">
        <f>ACE_Input!U7</f>
        <v>300</v>
      </c>
      <c r="L487" s="6">
        <f>K487*ACE_Input!V7</f>
        <v>75</v>
      </c>
    </row>
    <row r="488" spans="1:12" x14ac:dyDescent="0.2">
      <c r="A488">
        <f>5</f>
        <v>5</v>
      </c>
      <c r="B488">
        <f>ACE_Input!A8</f>
        <v>3</v>
      </c>
      <c r="C488" s="6">
        <f>MOD(Settings!$B$17*(C487),Settings!$B$18)</f>
        <v>2092322250</v>
      </c>
      <c r="D488" s="6">
        <f>MAX(C488,1)/Settings!$B$18</f>
        <v>0.97431347285132552</v>
      </c>
      <c r="E488" s="6">
        <f t="shared" si="16"/>
        <v>25</v>
      </c>
      <c r="F488" s="6">
        <f>ACE_Input!D8</f>
        <v>32</v>
      </c>
      <c r="G488" s="6">
        <f>MOD(Settings!$B$17*(G487),Settings!$B$18)</f>
        <v>565470952</v>
      </c>
      <c r="H488" s="6">
        <f>MAX(G488,1)/Settings!$B$18</f>
        <v>0.26331793156606981</v>
      </c>
      <c r="I488" s="6">
        <f>-ACE_Input!W8*LN(H488)</f>
        <v>5.3375724464937546</v>
      </c>
      <c r="J488" s="6">
        <f>-ACE_Input!X8*LN(H488)</f>
        <v>16.012717339481263</v>
      </c>
      <c r="K488" s="6">
        <f>ACE_Input!U8</f>
        <v>300</v>
      </c>
      <c r="L488" s="6">
        <f>K488*ACE_Input!V8</f>
        <v>75</v>
      </c>
    </row>
    <row r="489" spans="1:12" x14ac:dyDescent="0.2">
      <c r="A489">
        <f>5</f>
        <v>5</v>
      </c>
      <c r="B489">
        <f>ACE_Input!A9</f>
        <v>4</v>
      </c>
      <c r="C489" s="6">
        <f>MOD(Settings!$B$17*(C488),Settings!$B$18)</f>
        <v>615336125</v>
      </c>
      <c r="D489" s="6">
        <f>MAX(C489,1)/Settings!$B$18</f>
        <v>0.28653821222788572</v>
      </c>
      <c r="E489" s="6">
        <f t="shared" si="16"/>
        <v>5</v>
      </c>
      <c r="F489" s="6">
        <f>ACE_Input!D9</f>
        <v>37</v>
      </c>
      <c r="G489" s="6">
        <f>MOD(Settings!$B$17*(G488),Settings!$B$18)</f>
        <v>1255152289</v>
      </c>
      <c r="H489" s="6">
        <f>MAX(G489,1)/Settings!$B$18</f>
        <v>0.58447583093516331</v>
      </c>
      <c r="I489" s="6">
        <f>-ACE_Input!W9*LN(H489)</f>
        <v>2.1481593956302398</v>
      </c>
      <c r="J489" s="6">
        <f>-ACE_Input!X9*LN(H489)</f>
        <v>6.4444781868907199</v>
      </c>
      <c r="K489" s="6">
        <f>ACE_Input!U9</f>
        <v>300</v>
      </c>
      <c r="L489" s="6">
        <f>K489*ACE_Input!V9</f>
        <v>75</v>
      </c>
    </row>
    <row r="490" spans="1:12" x14ac:dyDescent="0.2">
      <c r="A490">
        <f>5</f>
        <v>5</v>
      </c>
      <c r="B490">
        <f>ACE_Input!A10</f>
        <v>5</v>
      </c>
      <c r="C490" s="6">
        <f>MOD(Settings!$B$17*(C489),Settings!$B$18)</f>
        <v>1820492570</v>
      </c>
      <c r="D490" s="6">
        <f>MAX(C490,1)/Settings!$B$18</f>
        <v>0.84773291407513107</v>
      </c>
      <c r="E490" s="6">
        <f t="shared" si="16"/>
        <v>5</v>
      </c>
      <c r="F490" s="6">
        <f>ACE_Input!D10</f>
        <v>42</v>
      </c>
      <c r="G490" s="6">
        <f>MOD(Settings!$B$17*(G489),Settings!$B$18)</f>
        <v>612656742</v>
      </c>
      <c r="H490" s="6">
        <f>MAX(G490,1)/Settings!$B$18</f>
        <v>0.28529052729033422</v>
      </c>
      <c r="I490" s="6">
        <f>-ACE_Input!W10*LN(H490)</f>
        <v>5.0169888957661701</v>
      </c>
      <c r="J490" s="6">
        <f>-ACE_Input!X10*LN(H490)</f>
        <v>15.05096668729851</v>
      </c>
      <c r="K490" s="6">
        <f>ACE_Input!U10</f>
        <v>300</v>
      </c>
      <c r="L490" s="6">
        <f>K490*ACE_Input!V10</f>
        <v>75</v>
      </c>
    </row>
    <row r="491" spans="1:12" x14ac:dyDescent="0.2">
      <c r="A491">
        <f>5</f>
        <v>5</v>
      </c>
      <c r="B491">
        <f>ACE_Input!A11</f>
        <v>6</v>
      </c>
      <c r="C491" s="6">
        <f>MOD(Settings!$B$17*(C490),Settings!$B$18)</f>
        <v>1819105181</v>
      </c>
      <c r="D491" s="6">
        <f>MAX(C491,1)/Settings!$B$18</f>
        <v>0.8470868607270936</v>
      </c>
      <c r="E491" s="6">
        <f t="shared" si="16"/>
        <v>5</v>
      </c>
      <c r="F491" s="6">
        <f>ACE_Input!D11</f>
        <v>47</v>
      </c>
      <c r="G491" s="6">
        <f>MOD(Settings!$B$17*(G490),Settings!$B$18)</f>
        <v>1885259076</v>
      </c>
      <c r="H491" s="6">
        <f>MAX(G491,1)/Settings!$B$18</f>
        <v>0.87789216864755948</v>
      </c>
      <c r="I491" s="6">
        <f>-ACE_Input!W11*LN(H491)</f>
        <v>0.52092603056631914</v>
      </c>
      <c r="J491" s="6">
        <f>-ACE_Input!X11*LN(H491)</f>
        <v>1.5627780916989575</v>
      </c>
      <c r="K491" s="6">
        <f>ACE_Input!U11</f>
        <v>300</v>
      </c>
      <c r="L491" s="6">
        <f>K491*ACE_Input!V11</f>
        <v>75</v>
      </c>
    </row>
    <row r="492" spans="1:12" x14ac:dyDescent="0.2">
      <c r="A492">
        <f>5</f>
        <v>5</v>
      </c>
      <c r="B492">
        <f>ACE_Input!A12</f>
        <v>7</v>
      </c>
      <c r="C492" s="6">
        <f>MOD(Settings!$B$17*(C491),Settings!$B$18)</f>
        <v>2123578375</v>
      </c>
      <c r="D492" s="6">
        <f>MAX(C492,1)/Settings!$B$18</f>
        <v>0.98886824026185471</v>
      </c>
      <c r="E492" s="6">
        <f t="shared" si="16"/>
        <v>5</v>
      </c>
      <c r="F492" s="6">
        <f>ACE_Input!D12</f>
        <v>52</v>
      </c>
      <c r="G492" s="6">
        <f>MOD(Settings!$B$17*(G491),Settings!$B$18)</f>
        <v>1575562494</v>
      </c>
      <c r="H492" s="6">
        <f>MAX(G492,1)/Settings!$B$18</f>
        <v>0.73367845953147781</v>
      </c>
      <c r="I492" s="6">
        <f>-ACE_Input!W12*LN(H492)</f>
        <v>1.2387376495199454</v>
      </c>
      <c r="J492" s="6">
        <f>-ACE_Input!X12*LN(H492)</f>
        <v>3.7162129485598361</v>
      </c>
      <c r="K492" s="6">
        <f>ACE_Input!U12</f>
        <v>300</v>
      </c>
      <c r="L492" s="6">
        <f>K492*ACE_Input!V12</f>
        <v>75</v>
      </c>
    </row>
    <row r="493" spans="1:12" x14ac:dyDescent="0.2">
      <c r="A493">
        <f>5</f>
        <v>5</v>
      </c>
      <c r="B493">
        <f>ACE_Input!A13</f>
        <v>8</v>
      </c>
      <c r="C493" s="6">
        <f>MOD(Settings!$B$17*(C492),Settings!$B$18)</f>
        <v>1951019132</v>
      </c>
      <c r="D493" s="6">
        <f>MAX(C493,1)/Settings!$B$18</f>
        <v>0.90851408099220787</v>
      </c>
      <c r="E493" s="6">
        <f t="shared" si="16"/>
        <v>5</v>
      </c>
      <c r="F493" s="6">
        <f>ACE_Input!D13</f>
        <v>57</v>
      </c>
      <c r="G493" s="6">
        <f>MOD(Settings!$B$17*(G492),Settings!$B$18)</f>
        <v>2005469148</v>
      </c>
      <c r="H493" s="6">
        <f>MAX(G493,1)/Settings!$B$18</f>
        <v>0.93386934554850187</v>
      </c>
      <c r="I493" s="6">
        <f>-ACE_Input!W13*LN(H493)</f>
        <v>0.27367495012572429</v>
      </c>
      <c r="J493" s="6">
        <f>-ACE_Input!X13*LN(H493)</f>
        <v>0.82102485037717288</v>
      </c>
      <c r="K493" s="6">
        <f>ACE_Input!U13</f>
        <v>300</v>
      </c>
      <c r="L493" s="6">
        <f>K493*ACE_Input!V13</f>
        <v>75</v>
      </c>
    </row>
    <row r="494" spans="1:12" x14ac:dyDescent="0.2">
      <c r="A494">
        <f>5</f>
        <v>5</v>
      </c>
      <c r="B494">
        <f>ACE_Input!A14</f>
        <v>9</v>
      </c>
      <c r="C494" s="6">
        <f>MOD(Settings!$B$17*(C493),Settings!$B$18)</f>
        <v>850745481</v>
      </c>
      <c r="D494" s="6">
        <f>MAX(C494,1)/Settings!$B$18</f>
        <v>0.39615923603817788</v>
      </c>
      <c r="E494" s="6">
        <f t="shared" si="16"/>
        <v>115</v>
      </c>
      <c r="F494" s="6">
        <f>ACE_Input!D14</f>
        <v>172</v>
      </c>
      <c r="G494" s="6">
        <f>MOD(Settings!$B$17*(G493),Settings!$B$18)</f>
        <v>1164130771</v>
      </c>
      <c r="H494" s="6">
        <f>MAX(G494,1)/Settings!$B$18</f>
        <v>0.54209063367084165</v>
      </c>
      <c r="I494" s="6">
        <f>-ACE_Input!W14*LN(H494)</f>
        <v>2.4492882829096749</v>
      </c>
      <c r="J494" s="6">
        <f>-ACE_Input!X14*LN(H494)</f>
        <v>7.3478648487290243</v>
      </c>
      <c r="K494" s="6">
        <f>ACE_Input!U14</f>
        <v>300</v>
      </c>
      <c r="L494" s="6">
        <f>K494*ACE_Input!V14</f>
        <v>75</v>
      </c>
    </row>
    <row r="495" spans="1:12" x14ac:dyDescent="0.2">
      <c r="A495">
        <f>5</f>
        <v>5</v>
      </c>
      <c r="B495">
        <f>ACE_Input!A15</f>
        <v>10</v>
      </c>
      <c r="C495" s="6">
        <f>MOD(Settings!$B$17*(C494),Settings!$B$18)</f>
        <v>533177441</v>
      </c>
      <c r="D495" s="6">
        <f>MAX(C495,1)/Settings!$B$18</f>
        <v>0.24828009365512063</v>
      </c>
      <c r="E495" s="6">
        <f t="shared" si="16"/>
        <v>5</v>
      </c>
      <c r="F495" s="6">
        <f>ACE_Input!D15</f>
        <v>177</v>
      </c>
      <c r="G495" s="6">
        <f>MOD(Settings!$B$17*(G494),Settings!$B$18)</f>
        <v>1969844027</v>
      </c>
      <c r="H495" s="6">
        <f>MAX(G495,1)/Settings!$B$18</f>
        <v>0.91728010583542297</v>
      </c>
      <c r="I495" s="6">
        <f>-ACE_Input!W15*LN(H495)</f>
        <v>0.34536957776978205</v>
      </c>
      <c r="J495" s="6">
        <f>-ACE_Input!X15*LN(H495)</f>
        <v>1.0361087333093462</v>
      </c>
      <c r="K495" s="6">
        <f>ACE_Input!U15</f>
        <v>300</v>
      </c>
      <c r="L495" s="6">
        <f>K495*ACE_Input!V15</f>
        <v>75</v>
      </c>
    </row>
    <row r="496" spans="1:12" x14ac:dyDescent="0.2">
      <c r="A496">
        <f>5</f>
        <v>5</v>
      </c>
      <c r="B496">
        <f>ACE_Input!A16</f>
        <v>11</v>
      </c>
      <c r="C496" s="6">
        <f>MOD(Settings!$B$17*(C495),Settings!$B$18)</f>
        <v>1811475603</v>
      </c>
      <c r="D496" s="6">
        <f>MAX(C496,1)/Settings!$B$18</f>
        <v>0.84353406161234434</v>
      </c>
      <c r="E496" s="6">
        <f t="shared" si="16"/>
        <v>5</v>
      </c>
      <c r="F496" s="6">
        <f>ACE_Input!D16</f>
        <v>182</v>
      </c>
      <c r="G496" s="6">
        <f>MOD(Settings!$B$17*(G495),Settings!$B$18)</f>
        <v>1560659637</v>
      </c>
      <c r="H496" s="6">
        <f>MAX(G496,1)/Settings!$B$18</f>
        <v>0.72673877595306313</v>
      </c>
      <c r="I496" s="6">
        <f>-ACE_Input!W16*LN(H496)</f>
        <v>1.2767527353097836</v>
      </c>
      <c r="J496" s="6">
        <f>-ACE_Input!X16*LN(H496)</f>
        <v>3.8302582059293506</v>
      </c>
      <c r="K496" s="6">
        <f>ACE_Input!U16</f>
        <v>300</v>
      </c>
      <c r="L496" s="6">
        <f>K496*ACE_Input!V16</f>
        <v>75</v>
      </c>
    </row>
    <row r="497" spans="1:12" x14ac:dyDescent="0.2">
      <c r="A497">
        <f>5</f>
        <v>5</v>
      </c>
      <c r="B497">
        <f>ACE_Input!A17</f>
        <v>12</v>
      </c>
      <c r="C497" s="6">
        <f>MOD(Settings!$B$17*(C496),Settings!$B$18)</f>
        <v>594796102</v>
      </c>
      <c r="D497" s="6">
        <f>MAX(C497,1)/Settings!$B$18</f>
        <v>0.27697351867192121</v>
      </c>
      <c r="E497" s="6">
        <f t="shared" si="16"/>
        <v>5</v>
      </c>
      <c r="F497" s="6">
        <f>ACE_Input!D17</f>
        <v>187</v>
      </c>
      <c r="G497" s="6">
        <f>MOD(Settings!$B$17*(G496),Settings!$B$18)</f>
        <v>641254601</v>
      </c>
      <c r="H497" s="6">
        <f>MAX(G497,1)/Settings!$B$18</f>
        <v>0.29860744313272064</v>
      </c>
      <c r="I497" s="6">
        <f>-ACE_Input!W17*LN(H497)</f>
        <v>4.8345018696815902</v>
      </c>
      <c r="J497" s="6">
        <f>-ACE_Input!X17*LN(H497)</f>
        <v>14.503505609044771</v>
      </c>
      <c r="K497" s="6">
        <f>ACE_Input!U17</f>
        <v>300</v>
      </c>
      <c r="L497" s="6">
        <f>K497*ACE_Input!V17</f>
        <v>75</v>
      </c>
    </row>
    <row r="498" spans="1:12" x14ac:dyDescent="0.2">
      <c r="A498">
        <f>5</f>
        <v>5</v>
      </c>
      <c r="B498">
        <f>ACE_Input!A18</f>
        <v>13</v>
      </c>
      <c r="C498" s="6">
        <f>MOD(Settings!$B$17*(C497),Settings!$B$18)</f>
        <v>201709529</v>
      </c>
      <c r="D498" s="6">
        <f>MAX(C498,1)/Settings!$B$18</f>
        <v>9.392831898011654E-2</v>
      </c>
      <c r="E498" s="6">
        <f t="shared" si="16"/>
        <v>5</v>
      </c>
      <c r="F498" s="6">
        <f>ACE_Input!D18</f>
        <v>192</v>
      </c>
      <c r="G498" s="6">
        <f>MOD(Settings!$B$17*(G497),Settings!$B$18)</f>
        <v>1493138361</v>
      </c>
      <c r="H498" s="6">
        <f>MAX(G498,1)/Settings!$B$18</f>
        <v>0.69529673163560068</v>
      </c>
      <c r="I498" s="6">
        <f>-ACE_Input!W18*LN(H498)</f>
        <v>1.4536662901669715</v>
      </c>
      <c r="J498" s="6">
        <f>-ACE_Input!X18*LN(H498)</f>
        <v>4.3609988705009144</v>
      </c>
      <c r="K498" s="6">
        <f>ACE_Input!U18</f>
        <v>300</v>
      </c>
      <c r="L498" s="6">
        <f>K498*ACE_Input!V18</f>
        <v>75</v>
      </c>
    </row>
    <row r="499" spans="1:12" x14ac:dyDescent="0.2">
      <c r="A499">
        <f>5</f>
        <v>5</v>
      </c>
      <c r="B499">
        <f>ACE_Input!A19</f>
        <v>14</v>
      </c>
      <c r="C499" s="6">
        <f>MOD(Settings!$B$17*(C498),Settings!$B$18)</f>
        <v>1402858937</v>
      </c>
      <c r="D499" s="6">
        <f>MAX(C499,1)/Settings!$B$18</f>
        <v>0.65325709881878324</v>
      </c>
      <c r="E499" s="6">
        <f t="shared" si="16"/>
        <v>5</v>
      </c>
      <c r="F499" s="6">
        <f>ACE_Input!D19</f>
        <v>197</v>
      </c>
      <c r="G499" s="6">
        <f>MOD(Settings!$B$17*(G498),Settings!$B$18)</f>
        <v>1830018132</v>
      </c>
      <c r="H499" s="6">
        <f>MAX(G499,1)/Settings!$B$18</f>
        <v>0.85216859954044621</v>
      </c>
      <c r="I499" s="6">
        <f>-ACE_Input!W19*LN(H499)</f>
        <v>0.6398835397810686</v>
      </c>
      <c r="J499" s="6">
        <f>-ACE_Input!X19*LN(H499)</f>
        <v>1.9196506193432059</v>
      </c>
      <c r="K499" s="6">
        <f>ACE_Input!U19</f>
        <v>300</v>
      </c>
      <c r="L499" s="6">
        <f>K499*ACE_Input!V19</f>
        <v>75</v>
      </c>
    </row>
    <row r="500" spans="1:12" x14ac:dyDescent="0.2">
      <c r="A500">
        <f>5</f>
        <v>5</v>
      </c>
      <c r="B500">
        <f>ACE_Input!A20</f>
        <v>15</v>
      </c>
      <c r="C500" s="6">
        <f>MOD(Settings!$B$17*(C499),Settings!$B$18)</f>
        <v>627193746</v>
      </c>
      <c r="D500" s="6">
        <f>MAX(C500,1)/Settings!$B$18</f>
        <v>0.29205984728972423</v>
      </c>
      <c r="E500" s="6">
        <f t="shared" si="16"/>
        <v>5</v>
      </c>
      <c r="F500" s="6">
        <f>ACE_Input!D20</f>
        <v>202</v>
      </c>
      <c r="G500" s="6">
        <f>MOD(Settings!$B$17*(G499),Settings!$B$18)</f>
        <v>853952190</v>
      </c>
      <c r="H500" s="6">
        <f>MAX(G500,1)/Settings!$B$18</f>
        <v>0.39765247627983452</v>
      </c>
      <c r="I500" s="6">
        <f>-ACE_Input!W20*LN(H500)</f>
        <v>3.6887073212539891</v>
      </c>
      <c r="J500" s="6">
        <f>-ACE_Input!X20*LN(H500)</f>
        <v>11.066121963761967</v>
      </c>
      <c r="K500" s="6">
        <f>ACE_Input!U20</f>
        <v>300</v>
      </c>
      <c r="L500" s="6">
        <f>K500*ACE_Input!V20</f>
        <v>75</v>
      </c>
    </row>
    <row r="501" spans="1:12" x14ac:dyDescent="0.2">
      <c r="A501">
        <f>5</f>
        <v>5</v>
      </c>
      <c r="B501">
        <f>ACE_Input!A21</f>
        <v>16</v>
      </c>
      <c r="C501" s="6">
        <f>MOD(Settings!$B$17*(C500),Settings!$B$18)</f>
        <v>1395549546</v>
      </c>
      <c r="D501" s="6">
        <f>MAX(C501,1)/Settings!$B$18</f>
        <v>0.64985339839470269</v>
      </c>
      <c r="E501" s="6">
        <f t="shared" si="16"/>
        <v>5</v>
      </c>
      <c r="F501" s="6">
        <f>ACE_Input!D21</f>
        <v>207</v>
      </c>
      <c r="G501" s="6">
        <f>MOD(Settings!$B$17*(G500),Settings!$B$18)</f>
        <v>741244429</v>
      </c>
      <c r="H501" s="6">
        <f>MAX(G501,1)/Settings!$B$18</f>
        <v>0.34516883517856189</v>
      </c>
      <c r="I501" s="6">
        <f>-ACE_Input!W21*LN(H501)</f>
        <v>4.2548864173105798</v>
      </c>
      <c r="J501" s="6">
        <f>-ACE_Input!X21*LN(H501)</f>
        <v>12.764659251931739</v>
      </c>
      <c r="K501" s="6">
        <f>ACE_Input!U21</f>
        <v>300</v>
      </c>
      <c r="L501" s="6">
        <f>K501*ACE_Input!V21</f>
        <v>75</v>
      </c>
    </row>
    <row r="502" spans="1:12" x14ac:dyDescent="0.2">
      <c r="A502">
        <f>5</f>
        <v>5</v>
      </c>
      <c r="B502">
        <f>ACE_Input!A22</f>
        <v>17</v>
      </c>
      <c r="C502" s="6">
        <f>MOD(Settings!$B$17*(C501),Settings!$B$18)</f>
        <v>184827088</v>
      </c>
      <c r="D502" s="6">
        <f>MAX(C502,1)/Settings!$B$18</f>
        <v>8.6066819767498789E-2</v>
      </c>
      <c r="E502" s="6">
        <f t="shared" si="16"/>
        <v>5</v>
      </c>
      <c r="F502" s="6">
        <f>ACE_Input!D22</f>
        <v>212</v>
      </c>
      <c r="G502" s="6">
        <f>MOD(Settings!$B$17*(G501),Settings!$B$18)</f>
        <v>542481956</v>
      </c>
      <c r="H502" s="6">
        <f>MAX(G502,1)/Settings!$B$18</f>
        <v>0.25261284608981238</v>
      </c>
      <c r="I502" s="6">
        <f>-ACE_Input!W22*LN(H502)</f>
        <v>5.5035888595856051</v>
      </c>
      <c r="J502" s="6">
        <f>-ACE_Input!X22*LN(H502)</f>
        <v>16.510766578756815</v>
      </c>
      <c r="K502" s="6">
        <f>ACE_Input!U22</f>
        <v>300</v>
      </c>
      <c r="L502" s="6">
        <f>K502*ACE_Input!V22</f>
        <v>75</v>
      </c>
    </row>
    <row r="503" spans="1:12" x14ac:dyDescent="0.2">
      <c r="A503">
        <f>5</f>
        <v>5</v>
      </c>
      <c r="B503">
        <f>ACE_Input!A23</f>
        <v>18</v>
      </c>
      <c r="C503" s="6">
        <f>MOD(Settings!$B$17*(C502),Settings!$B$18)</f>
        <v>1127514454</v>
      </c>
      <c r="D503" s="6">
        <f>MAX(C503,1)/Settings!$B$18</f>
        <v>0.52503983235221352</v>
      </c>
      <c r="E503" s="6">
        <f t="shared" si="16"/>
        <v>5</v>
      </c>
      <c r="F503" s="6">
        <f>ACE_Input!D23</f>
        <v>217</v>
      </c>
      <c r="G503" s="6">
        <f>MOD(Settings!$B$17*(G502),Settings!$B$18)</f>
        <v>1426152977</v>
      </c>
      <c r="H503" s="6">
        <f>MAX(G503,1)/Settings!$B$18</f>
        <v>0.66410423147683229</v>
      </c>
      <c r="I503" s="6">
        <f>-ACE_Input!W23*LN(H503)</f>
        <v>1.6372646668371849</v>
      </c>
      <c r="J503" s="6">
        <f>-ACE_Input!X23*LN(H503)</f>
        <v>4.9117940005115548</v>
      </c>
      <c r="K503" s="6">
        <f>ACE_Input!U23</f>
        <v>300</v>
      </c>
      <c r="L503" s="6">
        <f>K503*ACE_Input!V23</f>
        <v>75</v>
      </c>
    </row>
    <row r="504" spans="1:12" x14ac:dyDescent="0.2">
      <c r="A504">
        <f>5</f>
        <v>5</v>
      </c>
      <c r="B504">
        <f>ACE_Input!A24</f>
        <v>19</v>
      </c>
      <c r="C504" s="6">
        <f>MOD(Settings!$B$17*(C503),Settings!$B$18)</f>
        <v>739727250</v>
      </c>
      <c r="D504" s="6">
        <f>MAX(C504,1)/Settings!$B$18</f>
        <v>0.34446234365201667</v>
      </c>
      <c r="E504" s="6">
        <f t="shared" si="16"/>
        <v>5</v>
      </c>
      <c r="F504" s="6">
        <f>ACE_Input!D24</f>
        <v>222</v>
      </c>
      <c r="G504" s="6">
        <f>MOD(Settings!$B$17*(G503),Settings!$B$18)</f>
        <v>1288100272</v>
      </c>
      <c r="H504" s="6">
        <f>MAX(G504,1)/Settings!$B$18</f>
        <v>0.59981843112028133</v>
      </c>
      <c r="I504" s="6">
        <f>-ACE_Input!W24*LN(H504)</f>
        <v>2.0445131374504788</v>
      </c>
      <c r="J504" s="6">
        <f>-ACE_Input!X24*LN(H504)</f>
        <v>6.1335394123514364</v>
      </c>
      <c r="K504" s="6">
        <f>ACE_Input!U24</f>
        <v>300</v>
      </c>
      <c r="L504" s="6">
        <f>K504*ACE_Input!V24</f>
        <v>75</v>
      </c>
    </row>
    <row r="505" spans="1:12" x14ac:dyDescent="0.2">
      <c r="A505">
        <f>5</f>
        <v>5</v>
      </c>
      <c r="B505">
        <f>ACE_Input!A25</f>
        <v>20</v>
      </c>
      <c r="C505" s="6">
        <f>MOD(Settings!$B$17*(C504),Settings!$B$18)</f>
        <v>813058267</v>
      </c>
      <c r="D505" s="6">
        <f>MAX(C505,1)/Settings!$B$18</f>
        <v>0.37860975944372349</v>
      </c>
      <c r="E505" s="6">
        <f t="shared" si="16"/>
        <v>5</v>
      </c>
      <c r="F505" s="6">
        <f>ACE_Input!D25</f>
        <v>227</v>
      </c>
      <c r="G505" s="6">
        <f>MOD(Settings!$B$17*(G504),Settings!$B$18)</f>
        <v>318626097</v>
      </c>
      <c r="H505" s="6">
        <f>MAX(G505,1)/Settings!$B$18</f>
        <v>0.14837183856795161</v>
      </c>
      <c r="I505" s="6">
        <f>-ACE_Input!W25*LN(H505)</f>
        <v>7.6321349332769</v>
      </c>
      <c r="J505" s="6">
        <f>-ACE_Input!X25*LN(H505)</f>
        <v>22.896404799830698</v>
      </c>
      <c r="K505" s="6">
        <f>ACE_Input!U25</f>
        <v>300</v>
      </c>
      <c r="L505" s="6">
        <f>K505*ACE_Input!V25</f>
        <v>75</v>
      </c>
    </row>
    <row r="506" spans="1:12" x14ac:dyDescent="0.2">
      <c r="A506">
        <f>5</f>
        <v>5</v>
      </c>
      <c r="B506">
        <f>ACE_Input!A26</f>
        <v>21</v>
      </c>
      <c r="C506" s="6">
        <f>MOD(Settings!$B$17*(C505),Settings!$B$18)</f>
        <v>631847608</v>
      </c>
      <c r="D506" s="6">
        <f>MAX(C506,1)/Settings!$B$18</f>
        <v>0.29422697066060594</v>
      </c>
      <c r="E506" s="6">
        <f t="shared" si="16"/>
        <v>5</v>
      </c>
      <c r="F506" s="6">
        <f>ACE_Input!D26</f>
        <v>232</v>
      </c>
      <c r="G506" s="6">
        <f>MOD(Settings!$B$17*(G505),Settings!$B$18)</f>
        <v>1472080308</v>
      </c>
      <c r="H506" s="6">
        <f>MAX(G506,1)/Settings!$B$18</f>
        <v>0.68549081156285985</v>
      </c>
      <c r="I506" s="6">
        <f>-ACE_Input!W26*LN(H506)</f>
        <v>1.5104807362500512</v>
      </c>
      <c r="J506" s="6">
        <f>-ACE_Input!X26*LN(H506)</f>
        <v>4.5314422087501534</v>
      </c>
      <c r="K506" s="6">
        <f>ACE_Input!U26</f>
        <v>300</v>
      </c>
      <c r="L506" s="6">
        <f>K506*ACE_Input!V26</f>
        <v>75</v>
      </c>
    </row>
    <row r="507" spans="1:12" x14ac:dyDescent="0.2">
      <c r="A507">
        <f>5</f>
        <v>5</v>
      </c>
      <c r="B507">
        <f>ACE_Input!A27</f>
        <v>22</v>
      </c>
      <c r="C507" s="6">
        <f>MOD(Settings!$B$17*(C506),Settings!$B$18)</f>
        <v>156113241</v>
      </c>
      <c r="D507" s="6">
        <f>MAX(C507,1)/Settings!$B$18</f>
        <v>7.2695892803694998E-2</v>
      </c>
      <c r="E507" s="6">
        <f t="shared" si="16"/>
        <v>5</v>
      </c>
      <c r="F507" s="6">
        <f>ACE_Input!D27</f>
        <v>237</v>
      </c>
      <c r="G507" s="6">
        <f>MOD(Settings!$B$17*(G506),Settings!$B$18)</f>
        <v>94639469</v>
      </c>
      <c r="H507" s="6">
        <f>MAX(G507,1)/Settings!$B$18</f>
        <v>4.4069936985182544E-2</v>
      </c>
      <c r="I507" s="6">
        <f>-ACE_Input!W27*LN(H507)</f>
        <v>12.487909720037587</v>
      </c>
      <c r="J507" s="6">
        <f>-ACE_Input!X27*LN(H507)</f>
        <v>37.463729160112763</v>
      </c>
      <c r="K507" s="6">
        <f>ACE_Input!U27</f>
        <v>300</v>
      </c>
      <c r="L507" s="6">
        <f>K507*ACE_Input!V27</f>
        <v>75</v>
      </c>
    </row>
    <row r="508" spans="1:12" x14ac:dyDescent="0.2">
      <c r="A508">
        <f>5</f>
        <v>5</v>
      </c>
      <c r="B508">
        <f>ACE_Input!A28</f>
        <v>23</v>
      </c>
      <c r="C508" s="6">
        <f>MOD(Settings!$B$17*(C507),Settings!$B$18)</f>
        <v>1717708500</v>
      </c>
      <c r="D508" s="6">
        <f>MAX(C508,1)/Settings!$B$18</f>
        <v>0.79987035170191445</v>
      </c>
      <c r="E508" s="6">
        <f t="shared" si="16"/>
        <v>5</v>
      </c>
      <c r="F508" s="6">
        <f>ACE_Input!D28</f>
        <v>242</v>
      </c>
      <c r="G508" s="6">
        <f>MOD(Settings!$B$17*(G507),Settings!$B$18)</f>
        <v>1467656703</v>
      </c>
      <c r="H508" s="6">
        <f>MAX(G508,1)/Settings!$B$18</f>
        <v>0.68343090996305966</v>
      </c>
      <c r="I508" s="6">
        <f>-ACE_Input!W28*LN(H508)</f>
        <v>1.5225188425765839</v>
      </c>
      <c r="J508" s="6">
        <f>-ACE_Input!X28*LN(H508)</f>
        <v>4.5675565277297512</v>
      </c>
      <c r="K508" s="6">
        <f>ACE_Input!U28</f>
        <v>300</v>
      </c>
      <c r="L508" s="6">
        <f>K508*ACE_Input!V28</f>
        <v>75</v>
      </c>
    </row>
    <row r="509" spans="1:12" x14ac:dyDescent="0.2">
      <c r="A509">
        <f>5</f>
        <v>5</v>
      </c>
      <c r="B509">
        <f>ACE_Input!A29</f>
        <v>24</v>
      </c>
      <c r="C509" s="6">
        <f>MOD(Settings!$B$17*(C508),Settings!$B$18)</f>
        <v>904092879</v>
      </c>
      <c r="D509" s="6">
        <f>MAX(C509,1)/Settings!$B$18</f>
        <v>0.42100105407694405</v>
      </c>
      <c r="E509" s="6">
        <f t="shared" si="16"/>
        <v>5</v>
      </c>
      <c r="F509" s="6">
        <f>ACE_Input!D29</f>
        <v>247</v>
      </c>
      <c r="G509" s="6">
        <f>MOD(Settings!$B$17*(G508),Settings!$B$18)</f>
        <v>909037879</v>
      </c>
      <c r="H509" s="6">
        <f>MAX(G509,1)/Settings!$B$18</f>
        <v>0.42330374914375307</v>
      </c>
      <c r="I509" s="6">
        <f>-ACE_Input!W29*LN(H509)</f>
        <v>3.4386610982079939</v>
      </c>
      <c r="J509" s="6">
        <f>-ACE_Input!X29*LN(H509)</f>
        <v>10.315983294623981</v>
      </c>
      <c r="K509" s="6">
        <f>ACE_Input!U29</f>
        <v>300</v>
      </c>
      <c r="L509" s="6">
        <f>K509*ACE_Input!V29</f>
        <v>75</v>
      </c>
    </row>
    <row r="510" spans="1:12" x14ac:dyDescent="0.2">
      <c r="A510">
        <f>5</f>
        <v>5</v>
      </c>
      <c r="B510">
        <f>ACE_Input!A30</f>
        <v>25</v>
      </c>
      <c r="C510" s="6">
        <f>MOD(Settings!$B$17*(C509),Settings!$B$18)</f>
        <v>1642214828</v>
      </c>
      <c r="D510" s="6">
        <f>MAX(C510,1)/Settings!$B$18</f>
        <v>0.7647158711984362</v>
      </c>
      <c r="E510" s="6">
        <f t="shared" si="16"/>
        <v>5</v>
      </c>
      <c r="F510" s="6">
        <f>ACE_Input!D30</f>
        <v>252</v>
      </c>
      <c r="G510" s="6">
        <f>MOD(Settings!$B$17*(G509),Settings!$B$18)</f>
        <v>1000967595</v>
      </c>
      <c r="H510" s="6">
        <f>MAX(G510,1)/Settings!$B$18</f>
        <v>0.46611185905808206</v>
      </c>
      <c r="I510" s="6">
        <f>-ACE_Input!W30*LN(H510)</f>
        <v>3.0533185310581041</v>
      </c>
      <c r="J510" s="6">
        <f>-ACE_Input!X30*LN(H510)</f>
        <v>9.1599555931743133</v>
      </c>
      <c r="K510" s="6">
        <f>ACE_Input!U30</f>
        <v>300</v>
      </c>
      <c r="L510" s="6">
        <f>K510*ACE_Input!V30</f>
        <v>75</v>
      </c>
    </row>
    <row r="511" spans="1:12" x14ac:dyDescent="0.2">
      <c r="A511">
        <f>5</f>
        <v>5</v>
      </c>
      <c r="B511">
        <f>ACE_Input!A31</f>
        <v>26</v>
      </c>
      <c r="C511" s="6">
        <f>MOD(Settings!$B$17*(C510),Settings!$B$18)</f>
        <v>1244782952</v>
      </c>
      <c r="D511" s="6">
        <f>MAX(C511,1)/Settings!$B$18</f>
        <v>0.57964723211696711</v>
      </c>
      <c r="E511" s="6">
        <f t="shared" si="16"/>
        <v>5</v>
      </c>
      <c r="F511" s="6">
        <f>ACE_Input!D31</f>
        <v>257</v>
      </c>
      <c r="G511" s="6">
        <f>MOD(Settings!$B$17*(G510),Settings!$B$18)</f>
        <v>2022962214</v>
      </c>
      <c r="H511" s="6">
        <f>MAX(G511,1)/Settings!$B$18</f>
        <v>0.94201518918481431</v>
      </c>
      <c r="I511" s="6">
        <f>-ACE_Input!W31*LN(H511)</f>
        <v>0.2389355205430222</v>
      </c>
      <c r="J511" s="6">
        <f>-ACE_Input!X31*LN(H511)</f>
        <v>0.71680656162906664</v>
      </c>
      <c r="K511" s="6">
        <f>ACE_Input!U31</f>
        <v>300</v>
      </c>
      <c r="L511" s="6">
        <f>K511*ACE_Input!V31</f>
        <v>75</v>
      </c>
    </row>
    <row r="512" spans="1:12" x14ac:dyDescent="0.2">
      <c r="A512">
        <f>5</f>
        <v>5</v>
      </c>
      <c r="B512">
        <f>ACE_Input!A32</f>
        <v>27</v>
      </c>
      <c r="C512" s="6">
        <f>MOD(Settings!$B$17*(C511),Settings!$B$18)</f>
        <v>281385190</v>
      </c>
      <c r="D512" s="6">
        <f>MAX(C512,1)/Settings!$B$18</f>
        <v>0.13103018986574849</v>
      </c>
      <c r="E512" s="6">
        <f t="shared" si="16"/>
        <v>5</v>
      </c>
      <c r="F512" s="6">
        <f>ACE_Input!D32</f>
        <v>262</v>
      </c>
      <c r="G512" s="6">
        <f>MOD(Settings!$B$17*(G511),Settings!$B$18)</f>
        <v>964831394</v>
      </c>
      <c r="H512" s="6">
        <f>MAX(G512,1)/Settings!$B$18</f>
        <v>0.44928462917417505</v>
      </c>
      <c r="I512" s="6">
        <f>-ACE_Input!W32*LN(H512)</f>
        <v>3.2003946963937646</v>
      </c>
      <c r="J512" s="6">
        <f>-ACE_Input!X32*LN(H512)</f>
        <v>9.6011840891812934</v>
      </c>
      <c r="K512" s="6">
        <f>ACE_Input!U32</f>
        <v>300</v>
      </c>
      <c r="L512" s="6">
        <f>K512*ACE_Input!V32</f>
        <v>75</v>
      </c>
    </row>
    <row r="513" spans="1:12" x14ac:dyDescent="0.2">
      <c r="A513">
        <f>5</f>
        <v>5</v>
      </c>
      <c r="B513">
        <f>ACE_Input!A33</f>
        <v>28</v>
      </c>
      <c r="C513" s="6">
        <f>MOD(Settings!$B$17*(C512),Settings!$B$18)</f>
        <v>481897636</v>
      </c>
      <c r="D513" s="6">
        <f>MAX(C513,1)/Settings!$B$18</f>
        <v>0.22440107363481124</v>
      </c>
      <c r="E513" s="6">
        <f t="shared" si="16"/>
        <v>6</v>
      </c>
      <c r="F513" s="6">
        <f>ACE_Input!D33</f>
        <v>268</v>
      </c>
      <c r="G513" s="6">
        <f>MOD(Settings!$B$17*(G512),Settings!$B$18)</f>
        <v>272220461</v>
      </c>
      <c r="H513" s="6">
        <f>MAX(G513,1)/Settings!$B$18</f>
        <v>0.12676253035979462</v>
      </c>
      <c r="I513" s="6">
        <f>-ACE_Input!W33*LN(H513)</f>
        <v>8.2617591301706543</v>
      </c>
      <c r="J513" s="6">
        <f>-ACE_Input!X33*LN(H513)</f>
        <v>24.785277390511965</v>
      </c>
      <c r="K513" s="6">
        <f>ACE_Input!U33</f>
        <v>300</v>
      </c>
      <c r="L513" s="6">
        <f>K513*ACE_Input!V33</f>
        <v>75</v>
      </c>
    </row>
    <row r="514" spans="1:12" x14ac:dyDescent="0.2">
      <c r="A514">
        <f>5</f>
        <v>5</v>
      </c>
      <c r="B514">
        <f>ACE_Input!A34</f>
        <v>29</v>
      </c>
      <c r="C514" s="6">
        <f>MOD(Settings!$B$17*(C513),Settings!$B$18)</f>
        <v>1092735415</v>
      </c>
      <c r="D514" s="6">
        <f>MAX(C514,1)/Settings!$B$18</f>
        <v>0.50884458027260593</v>
      </c>
      <c r="E514" s="6">
        <f t="shared" si="16"/>
        <v>5</v>
      </c>
      <c r="F514" s="6">
        <f>ACE_Input!D34</f>
        <v>273</v>
      </c>
      <c r="G514" s="6">
        <f>MOD(Settings!$B$17*(G513),Settings!$B$18)</f>
        <v>1069119917</v>
      </c>
      <c r="H514" s="6">
        <f>MAX(G514,1)/Settings!$B$18</f>
        <v>0.49784775706839179</v>
      </c>
      <c r="I514" s="6">
        <f>-ACE_Input!W34*LN(H514)</f>
        <v>2.7898438295756898</v>
      </c>
      <c r="J514" s="6">
        <f>-ACE_Input!X34*LN(H514)</f>
        <v>8.3695314887270698</v>
      </c>
      <c r="K514" s="6">
        <f>ACE_Input!U34</f>
        <v>300</v>
      </c>
      <c r="L514" s="6">
        <f>K514*ACE_Input!V34</f>
        <v>75</v>
      </c>
    </row>
    <row r="515" spans="1:12" x14ac:dyDescent="0.2">
      <c r="A515">
        <f>5</f>
        <v>5</v>
      </c>
      <c r="B515">
        <f>ACE_Input!A35</f>
        <v>30</v>
      </c>
      <c r="C515" s="6">
        <f>MOD(Settings!$B$17*(C514),Settings!$B$18)</f>
        <v>323970761</v>
      </c>
      <c r="D515" s="6">
        <f>MAX(C515,1)/Settings!$B$18</f>
        <v>0.1508606416875779</v>
      </c>
      <c r="E515" s="6">
        <f t="shared" si="16"/>
        <v>5</v>
      </c>
      <c r="F515" s="6">
        <f>ACE_Input!D35</f>
        <v>278</v>
      </c>
      <c r="G515" s="6">
        <f>MOD(Settings!$B$17*(G514),Settings!$B$18)</f>
        <v>702770570</v>
      </c>
      <c r="H515" s="6">
        <f>MAX(G515,1)/Settings!$B$18</f>
        <v>0.32725304846058278</v>
      </c>
      <c r="I515" s="6">
        <f>-ACE_Input!W35*LN(H515)</f>
        <v>4.4680862353917767</v>
      </c>
      <c r="J515" s="6">
        <f>-ACE_Input!X35*LN(H515)</f>
        <v>13.40425870617533</v>
      </c>
      <c r="K515" s="6">
        <f>ACE_Input!U35</f>
        <v>300</v>
      </c>
      <c r="L515" s="6">
        <f>K515*ACE_Input!V35</f>
        <v>75</v>
      </c>
    </row>
    <row r="516" spans="1:12" x14ac:dyDescent="0.2">
      <c r="A516">
        <f>5</f>
        <v>5</v>
      </c>
      <c r="B516">
        <f>ACE_Input!A36</f>
        <v>31</v>
      </c>
      <c r="C516" s="6">
        <f>MOD(Settings!$B$17*(C515),Settings!$B$18)</f>
        <v>1105534982</v>
      </c>
      <c r="D516" s="6">
        <f>MAX(C516,1)/Settings!$B$18</f>
        <v>0.51480484312158303</v>
      </c>
      <c r="E516" s="6">
        <f t="shared" si="16"/>
        <v>5</v>
      </c>
      <c r="F516" s="6">
        <f>ACE_Input!D36</f>
        <v>283</v>
      </c>
      <c r="G516" s="6">
        <f>MOD(Settings!$B$17*(G515),Settings!$B$18)</f>
        <v>304911490</v>
      </c>
      <c r="H516" s="6">
        <f>MAX(G516,1)/Settings!$B$18</f>
        <v>0.14198547701443801</v>
      </c>
      <c r="I516" s="6">
        <f>-ACE_Input!W36*LN(H516)</f>
        <v>7.8081220046299427</v>
      </c>
      <c r="J516" s="6">
        <f>-ACE_Input!X36*LN(H516)</f>
        <v>23.424366013889827</v>
      </c>
      <c r="K516" s="6">
        <f>ACE_Input!U36</f>
        <v>300</v>
      </c>
      <c r="L516" s="6">
        <f>K516*ACE_Input!V36</f>
        <v>75</v>
      </c>
    </row>
    <row r="517" spans="1:12" x14ac:dyDescent="0.2">
      <c r="A517">
        <f>5</f>
        <v>5</v>
      </c>
      <c r="B517">
        <f>ACE_Input!A37</f>
        <v>32</v>
      </c>
      <c r="C517" s="6">
        <f>MOD(Settings!$B$17*(C516),Settings!$B$18)</f>
        <v>697928630</v>
      </c>
      <c r="D517" s="6">
        <f>MAX(C517,1)/Settings!$B$18</f>
        <v>0.32499834444606601</v>
      </c>
      <c r="E517" s="6">
        <f t="shared" si="16"/>
        <v>5</v>
      </c>
      <c r="F517" s="6">
        <f>ACE_Input!D37</f>
        <v>288</v>
      </c>
      <c r="G517" s="6">
        <f>MOD(Settings!$B$17*(G516),Settings!$B$18)</f>
        <v>751430688</v>
      </c>
      <c r="H517" s="6">
        <f>MAX(G517,1)/Settings!$B$18</f>
        <v>0.34991218165956073</v>
      </c>
      <c r="I517" s="6">
        <f>-ACE_Input!W37*LN(H517)</f>
        <v>4.2002922621034235</v>
      </c>
      <c r="J517" s="6">
        <f>-ACE_Input!X37*LN(H517)</f>
        <v>12.60087678631027</v>
      </c>
      <c r="K517" s="6">
        <f>ACE_Input!U37</f>
        <v>300</v>
      </c>
      <c r="L517" s="6">
        <f>K517*ACE_Input!V37</f>
        <v>75</v>
      </c>
    </row>
    <row r="518" spans="1:12" x14ac:dyDescent="0.2">
      <c r="A518">
        <f>5</f>
        <v>5</v>
      </c>
      <c r="B518">
        <f>ACE_Input!A38</f>
        <v>33</v>
      </c>
      <c r="C518" s="6">
        <f>MOD(Settings!$B$17*(C517),Settings!$B$18)</f>
        <v>530804496</v>
      </c>
      <c r="D518" s="6">
        <f>MAX(C518,1)/Settings!$B$18</f>
        <v>0.24717510503119561</v>
      </c>
      <c r="E518" s="6">
        <f t="shared" si="16"/>
        <v>5</v>
      </c>
      <c r="F518" s="6">
        <f>ACE_Input!D38</f>
        <v>293</v>
      </c>
      <c r="G518" s="6">
        <f>MOD(Settings!$B$17*(G517),Settings!$B$18)</f>
        <v>2091728856</v>
      </c>
      <c r="H518" s="6">
        <f>MAX(G518,1)/Settings!$B$18</f>
        <v>0.97403715223727616</v>
      </c>
      <c r="I518" s="6">
        <f>-ACE_Input!W38*LN(H518)</f>
        <v>0.10522332834515497</v>
      </c>
      <c r="J518" s="6">
        <f>-ACE_Input!X38*LN(H518)</f>
        <v>0.3156699850354649</v>
      </c>
      <c r="K518" s="6">
        <f>ACE_Input!U38</f>
        <v>300</v>
      </c>
      <c r="L518" s="6">
        <f>K518*ACE_Input!V38</f>
        <v>75</v>
      </c>
    </row>
    <row r="519" spans="1:12" x14ac:dyDescent="0.2">
      <c r="A519">
        <f>5</f>
        <v>5</v>
      </c>
      <c r="B519">
        <f>ACE_Input!A39</f>
        <v>34</v>
      </c>
      <c r="C519" s="6">
        <f>MOD(Settings!$B$17*(C518),Settings!$B$18)</f>
        <v>584094634</v>
      </c>
      <c r="D519" s="6">
        <f>MAX(C519,1)/Settings!$B$18</f>
        <v>0.27199025930463816</v>
      </c>
      <c r="E519" s="6">
        <f t="shared" ref="E519:E550" si="17">F519-F518</f>
        <v>5</v>
      </c>
      <c r="F519" s="6">
        <f>ACE_Input!D39</f>
        <v>298</v>
      </c>
      <c r="G519" s="6">
        <f>MOD(Settings!$B$17*(G518),Settings!$B$18)</f>
        <v>1379581402</v>
      </c>
      <c r="H519" s="6">
        <f>MAX(G519,1)/Settings!$B$18</f>
        <v>0.64241765190028477</v>
      </c>
      <c r="I519" s="6">
        <f>-ACE_Input!W39*LN(H519)</f>
        <v>1.7700665547023922</v>
      </c>
      <c r="J519" s="6">
        <f>-ACE_Input!X39*LN(H519)</f>
        <v>5.3101996641071763</v>
      </c>
      <c r="K519" s="6">
        <f>ACE_Input!U39</f>
        <v>300</v>
      </c>
      <c r="L519" s="6">
        <f>K519*ACE_Input!V39</f>
        <v>75</v>
      </c>
    </row>
    <row r="520" spans="1:12" x14ac:dyDescent="0.2">
      <c r="A520">
        <f>5</f>
        <v>5</v>
      </c>
      <c r="B520">
        <f>ACE_Input!A40</f>
        <v>35</v>
      </c>
      <c r="C520" s="6">
        <f>MOD(Settings!$B$17*(C519),Settings!$B$18)</f>
        <v>730763201</v>
      </c>
      <c r="D520" s="6">
        <f>MAX(C520,1)/Settings!$B$18</f>
        <v>0.34028813305324324</v>
      </c>
      <c r="E520" s="6">
        <f t="shared" si="17"/>
        <v>5</v>
      </c>
      <c r="F520" s="6">
        <f>ACE_Input!D40</f>
        <v>303</v>
      </c>
      <c r="G520" s="6">
        <f>MOD(Settings!$B$17*(G519),Settings!$B$18)</f>
        <v>243686755</v>
      </c>
      <c r="H520" s="6">
        <f>MAX(G520,1)/Settings!$B$18</f>
        <v>0.11347548808598681</v>
      </c>
      <c r="I520" s="6">
        <f>-ACE_Input!W40*LN(H520)</f>
        <v>8.7046737175375153</v>
      </c>
      <c r="J520" s="6">
        <f>-ACE_Input!X40*LN(H520)</f>
        <v>26.114021152612544</v>
      </c>
      <c r="K520" s="6">
        <f>ACE_Input!U40</f>
        <v>300</v>
      </c>
      <c r="L520" s="6">
        <f>K520*ACE_Input!V40</f>
        <v>75</v>
      </c>
    </row>
    <row r="521" spans="1:12" x14ac:dyDescent="0.2">
      <c r="A521">
        <f>5</f>
        <v>5</v>
      </c>
      <c r="B521">
        <f>ACE_Input!A41</f>
        <v>36</v>
      </c>
      <c r="C521" s="6">
        <f>MOD(Settings!$B$17*(C520),Settings!$B$18)</f>
        <v>478142014</v>
      </c>
      <c r="D521" s="6">
        <f>MAX(C521,1)/Settings!$B$18</f>
        <v>0.2226522258588356</v>
      </c>
      <c r="E521" s="6">
        <f t="shared" si="17"/>
        <v>5</v>
      </c>
      <c r="F521" s="6">
        <f>ACE_Input!D41</f>
        <v>308</v>
      </c>
      <c r="G521" s="6">
        <f>MOD(Settings!$B$17*(G520),Settings!$B$18)</f>
        <v>391976456</v>
      </c>
      <c r="H521" s="6">
        <f>MAX(G521,1)/Settings!$B$18</f>
        <v>0.18252826118028176</v>
      </c>
      <c r="I521" s="6">
        <f>-ACE_Input!W41*LN(H521)</f>
        <v>6.8034010486645764</v>
      </c>
      <c r="J521" s="6">
        <f>-ACE_Input!X41*LN(H521)</f>
        <v>20.41020314599373</v>
      </c>
      <c r="K521" s="6">
        <f>ACE_Input!U41</f>
        <v>300</v>
      </c>
      <c r="L521" s="6">
        <f>K521*ACE_Input!V41</f>
        <v>75</v>
      </c>
    </row>
    <row r="522" spans="1:12" x14ac:dyDescent="0.2">
      <c r="A522">
        <f>5</f>
        <v>5</v>
      </c>
      <c r="B522">
        <f>ACE_Input!A42</f>
        <v>37</v>
      </c>
      <c r="C522" s="6">
        <f>MOD(Settings!$B$17*(C521),Settings!$B$18)</f>
        <v>249022224</v>
      </c>
      <c r="D522" s="6">
        <f>MAX(C522,1)/Settings!$B$18</f>
        <v>0.11596000945007429</v>
      </c>
      <c r="E522" s="6">
        <f t="shared" si="17"/>
        <v>5</v>
      </c>
      <c r="F522" s="6">
        <f>ACE_Input!D42</f>
        <v>313</v>
      </c>
      <c r="G522" s="6">
        <f>MOD(Settings!$B$17*(G521),Settings!$B$18)</f>
        <v>1615950643</v>
      </c>
      <c r="H522" s="6">
        <f>MAX(G522,1)/Settings!$B$18</f>
        <v>0.75248565699555248</v>
      </c>
      <c r="I522" s="6">
        <f>-ACE_Input!W42*LN(H522)</f>
        <v>1.1374933720471438</v>
      </c>
      <c r="J522" s="6">
        <f>-ACE_Input!X42*LN(H522)</f>
        <v>3.4124801161414315</v>
      </c>
      <c r="K522" s="6">
        <f>ACE_Input!U42</f>
        <v>300</v>
      </c>
      <c r="L522" s="6">
        <f>K522*ACE_Input!V42</f>
        <v>75</v>
      </c>
    </row>
    <row r="523" spans="1:12" x14ac:dyDescent="0.2">
      <c r="A523">
        <f>5</f>
        <v>5</v>
      </c>
      <c r="B523">
        <f>ACE_Input!A43</f>
        <v>38</v>
      </c>
      <c r="C523" s="6">
        <f>MOD(Settings!$B$17*(C522),Settings!$B$18)</f>
        <v>2018374412</v>
      </c>
      <c r="D523" s="6">
        <f>MAX(C523,1)/Settings!$B$18</f>
        <v>0.93987882739858652</v>
      </c>
      <c r="E523" s="6">
        <f t="shared" si="17"/>
        <v>5</v>
      </c>
      <c r="F523" s="6">
        <f>ACE_Input!D43</f>
        <v>318</v>
      </c>
      <c r="G523" s="6">
        <f>MOD(Settings!$B$17*(G522),Settings!$B$18)</f>
        <v>56773292</v>
      </c>
      <c r="H523" s="6">
        <f>MAX(G523,1)/Settings!$B$18</f>
        <v>2.6437124249728921E-2</v>
      </c>
      <c r="I523" s="6">
        <f>-ACE_Input!W43*LN(H523)</f>
        <v>14.531944140211415</v>
      </c>
      <c r="J523" s="6">
        <f>-ACE_Input!X43*LN(H523)</f>
        <v>43.595832420634245</v>
      </c>
      <c r="K523" s="6">
        <f>ACE_Input!U43</f>
        <v>300</v>
      </c>
      <c r="L523" s="6">
        <f>K523*ACE_Input!V43</f>
        <v>75</v>
      </c>
    </row>
    <row r="524" spans="1:12" x14ac:dyDescent="0.2">
      <c r="A524">
        <f>5</f>
        <v>5</v>
      </c>
      <c r="B524">
        <f>ACE_Input!A44</f>
        <v>39</v>
      </c>
      <c r="C524" s="6">
        <f>MOD(Settings!$B$17*(C523),Settings!$B$18)</f>
        <v>1167054472</v>
      </c>
      <c r="D524" s="6">
        <f>MAX(C524,1)/Settings!$B$18</f>
        <v>0.54345208804283851</v>
      </c>
      <c r="E524" s="6">
        <f t="shared" si="17"/>
        <v>5</v>
      </c>
      <c r="F524" s="6">
        <f>ACE_Input!D44</f>
        <v>323</v>
      </c>
      <c r="G524" s="6">
        <f>MOD(Settings!$B$17*(G523),Settings!$B$18)</f>
        <v>705979376</v>
      </c>
      <c r="H524" s="6">
        <f>MAX(G524,1)/Settings!$B$18</f>
        <v>0.32874726519395936</v>
      </c>
      <c r="I524" s="6">
        <f>-ACE_Input!W44*LN(H524)</f>
        <v>4.4498640573056347</v>
      </c>
      <c r="J524" s="6">
        <f>-ACE_Input!X44*LN(H524)</f>
        <v>13.349592171916903</v>
      </c>
      <c r="K524" s="6">
        <f>ACE_Input!U44</f>
        <v>300</v>
      </c>
      <c r="L524" s="6">
        <f>K524*ACE_Input!V44</f>
        <v>75</v>
      </c>
    </row>
    <row r="525" spans="1:12" x14ac:dyDescent="0.2">
      <c r="A525">
        <f>5</f>
        <v>5</v>
      </c>
      <c r="B525">
        <f>ACE_Input!A45</f>
        <v>40</v>
      </c>
      <c r="C525" s="6">
        <f>MOD(Settings!$B$17*(C524),Settings!$B$18)</f>
        <v>1716362853</v>
      </c>
      <c r="D525" s="6">
        <f>MAX(C525,1)/Settings!$B$18</f>
        <v>0.79924373598734089</v>
      </c>
      <c r="E525" s="6">
        <f t="shared" si="17"/>
        <v>5</v>
      </c>
      <c r="F525" s="6">
        <f>ACE_Input!D45</f>
        <v>328</v>
      </c>
      <c r="G525" s="6">
        <f>MOD(Settings!$B$17*(G524),Settings!$B$18)</f>
        <v>548222757</v>
      </c>
      <c r="H525" s="6">
        <f>MAX(G525,1)/Settings!$B$18</f>
        <v>0.25528611487489478</v>
      </c>
      <c r="I525" s="6">
        <f>-ACE_Input!W45*LN(H525)</f>
        <v>5.4614813747979012</v>
      </c>
      <c r="J525" s="6">
        <f>-ACE_Input!X45*LN(H525)</f>
        <v>16.384444124393703</v>
      </c>
      <c r="K525" s="6">
        <f>ACE_Input!U45</f>
        <v>300</v>
      </c>
      <c r="L525" s="6">
        <f>K525*ACE_Input!V45</f>
        <v>75</v>
      </c>
    </row>
    <row r="526" spans="1:12" x14ac:dyDescent="0.2">
      <c r="A526">
        <f>5</f>
        <v>5</v>
      </c>
      <c r="B526">
        <f>ACE_Input!A46</f>
        <v>41</v>
      </c>
      <c r="C526" s="6">
        <f>MOD(Settings!$B$17*(C525),Settings!$B$18)</f>
        <v>1910123867</v>
      </c>
      <c r="D526" s="6">
        <f>MAX(C526,1)/Settings!$B$18</f>
        <v>0.88947073923864906</v>
      </c>
      <c r="E526" s="6">
        <f t="shared" si="17"/>
        <v>5</v>
      </c>
      <c r="F526" s="6">
        <f>ACE_Input!D46</f>
        <v>333</v>
      </c>
      <c r="G526" s="6">
        <f>MOD(Settings!$B$17*(G525),Settings!$B$18)</f>
        <v>1275031269</v>
      </c>
      <c r="H526" s="6">
        <f>MAX(G526,1)/Settings!$B$18</f>
        <v>0.59373270235663866</v>
      </c>
      <c r="I526" s="6">
        <f>-ACE_Input!W46*LN(H526)</f>
        <v>2.0853042277227445</v>
      </c>
      <c r="J526" s="6">
        <f>-ACE_Input!X46*LN(H526)</f>
        <v>6.2559126831682335</v>
      </c>
      <c r="K526" s="6">
        <f>ACE_Input!U46</f>
        <v>300</v>
      </c>
      <c r="L526" s="6">
        <f>K526*ACE_Input!V46</f>
        <v>75</v>
      </c>
    </row>
    <row r="527" spans="1:12" x14ac:dyDescent="0.2">
      <c r="A527">
        <f>5</f>
        <v>5</v>
      </c>
      <c r="B527">
        <f>ACE_Input!A47</f>
        <v>42</v>
      </c>
      <c r="C527" s="6">
        <f>MOD(Settings!$B$17*(C526),Settings!$B$18)</f>
        <v>718793666</v>
      </c>
      <c r="D527" s="6">
        <f>MAX(C527,1)/Settings!$B$18</f>
        <v>0.33471438397407272</v>
      </c>
      <c r="E527" s="6">
        <f t="shared" si="17"/>
        <v>5</v>
      </c>
      <c r="F527" s="6">
        <f>ACE_Input!D47</f>
        <v>338</v>
      </c>
      <c r="G527" s="6">
        <f>MOD(Settings!$B$17*(G526),Settings!$B$18)</f>
        <v>1858708317</v>
      </c>
      <c r="H527" s="6">
        <f>MAX(G527,1)/Settings!$B$18</f>
        <v>0.86552850802686465</v>
      </c>
      <c r="I527" s="6">
        <f>-ACE_Input!W47*LN(H527)</f>
        <v>0.57765986676506065</v>
      </c>
      <c r="J527" s="6">
        <f>-ACE_Input!X47*LN(H527)</f>
        <v>1.7329796002951818</v>
      </c>
      <c r="K527" s="6">
        <f>ACE_Input!U47</f>
        <v>300</v>
      </c>
      <c r="L527" s="6">
        <f>K527*ACE_Input!V47</f>
        <v>75</v>
      </c>
    </row>
    <row r="528" spans="1:12" x14ac:dyDescent="0.2">
      <c r="A528">
        <f>5</f>
        <v>5</v>
      </c>
      <c r="B528">
        <f>ACE_Input!A48</f>
        <v>43</v>
      </c>
      <c r="C528" s="6">
        <f>MOD(Settings!$B$17*(C527),Settings!$B$18)</f>
        <v>1169630087</v>
      </c>
      <c r="D528" s="6">
        <f>MAX(C528,1)/Settings!$B$18</f>
        <v>0.54465145223990619</v>
      </c>
      <c r="E528" s="6">
        <f t="shared" si="17"/>
        <v>5</v>
      </c>
      <c r="F528" s="6">
        <f>ACE_Input!D48</f>
        <v>343</v>
      </c>
      <c r="G528" s="6">
        <f>MOD(Settings!$B$17*(G527),Settings!$B$18)</f>
        <v>2013554557</v>
      </c>
      <c r="H528" s="6">
        <f>MAX(G528,1)/Settings!$B$18</f>
        <v>0.93763440751360472</v>
      </c>
      <c r="I528" s="6">
        <f>-ACE_Input!W48*LN(H528)</f>
        <v>0.25758065359708437</v>
      </c>
      <c r="J528" s="6">
        <f>-ACE_Input!X48*LN(H528)</f>
        <v>0.77274196079125312</v>
      </c>
      <c r="K528" s="6">
        <f>ACE_Input!U48</f>
        <v>300</v>
      </c>
      <c r="L528" s="6">
        <f>K528*ACE_Input!V48</f>
        <v>75</v>
      </c>
    </row>
    <row r="529" spans="1:12" x14ac:dyDescent="0.2">
      <c r="A529">
        <f>5</f>
        <v>5</v>
      </c>
      <c r="B529">
        <f>ACE_Input!A49</f>
        <v>44</v>
      </c>
      <c r="C529" s="6">
        <f>MOD(Settings!$B$17*(C528),Settings!$B$18)</f>
        <v>2055051218</v>
      </c>
      <c r="D529" s="6">
        <f>MAX(C529,1)/Settings!$B$18</f>
        <v>0.95695779610283571</v>
      </c>
      <c r="E529" s="6">
        <f t="shared" si="17"/>
        <v>5</v>
      </c>
      <c r="F529" s="6">
        <f>ACE_Input!D49</f>
        <v>348</v>
      </c>
      <c r="G529" s="6">
        <f>MOD(Settings!$B$17*(G528),Settings!$B$18)</f>
        <v>1764130073</v>
      </c>
      <c r="H529" s="6">
        <f>MAX(G529,1)/Settings!$B$18</f>
        <v>0.82148708115401081</v>
      </c>
      <c r="I529" s="6">
        <f>-ACE_Input!W49*LN(H529)</f>
        <v>0.78655627020706309</v>
      </c>
      <c r="J529" s="6">
        <f>-ACE_Input!X49*LN(H529)</f>
        <v>2.3596688106211894</v>
      </c>
      <c r="K529" s="6">
        <f>ACE_Input!U49</f>
        <v>300</v>
      </c>
      <c r="L529" s="6">
        <f>K529*ACE_Input!V49</f>
        <v>75</v>
      </c>
    </row>
    <row r="530" spans="1:12" x14ac:dyDescent="0.2">
      <c r="A530">
        <f>5</f>
        <v>5</v>
      </c>
      <c r="B530">
        <f>ACE_Input!A50</f>
        <v>45</v>
      </c>
      <c r="C530" s="6">
        <f>MOD(Settings!$B$17*(C529),Settings!$B$18)</f>
        <v>1266326225</v>
      </c>
      <c r="D530" s="6">
        <f>MAX(C530,1)/Settings!$B$18</f>
        <v>0.58967910035964055</v>
      </c>
      <c r="E530" s="6">
        <f t="shared" si="17"/>
        <v>6</v>
      </c>
      <c r="F530" s="6">
        <f>ACE_Input!D50</f>
        <v>354</v>
      </c>
      <c r="G530" s="6">
        <f>MOD(Settings!$B$17*(G529),Settings!$B$18)</f>
        <v>1574906429</v>
      </c>
      <c r="H530" s="6">
        <f>MAX(G530,1)/Settings!$B$18</f>
        <v>0.73337295545887804</v>
      </c>
      <c r="I530" s="6">
        <f>-ACE_Input!W50*LN(H530)</f>
        <v>1.2404035983688773</v>
      </c>
      <c r="J530" s="6">
        <f>-ACE_Input!X50*LN(H530)</f>
        <v>3.7212107951066318</v>
      </c>
      <c r="K530" s="6">
        <f>ACE_Input!U50</f>
        <v>300</v>
      </c>
      <c r="L530" s="6">
        <f>K530*ACE_Input!V50</f>
        <v>75</v>
      </c>
    </row>
    <row r="531" spans="1:12" x14ac:dyDescent="0.2">
      <c r="A531">
        <f>5</f>
        <v>5</v>
      </c>
      <c r="B531">
        <f>ACE_Input!A51</f>
        <v>46</v>
      </c>
      <c r="C531" s="6">
        <f>MOD(Settings!$B$17*(C530),Settings!$B$18)</f>
        <v>1581921805</v>
      </c>
      <c r="D531" s="6">
        <f>MAX(C531,1)/Settings!$B$18</f>
        <v>0.73663974447950709</v>
      </c>
      <c r="E531" s="6">
        <f t="shared" si="17"/>
        <v>5</v>
      </c>
      <c r="F531" s="6">
        <f>ACE_Input!D51</f>
        <v>359</v>
      </c>
      <c r="G531" s="6">
        <f>MOD(Settings!$B$17*(G530),Settings!$B$18)</f>
        <v>1716402928</v>
      </c>
      <c r="H531" s="6">
        <f>MAX(G531,1)/Settings!$B$18</f>
        <v>0.7992623973634384</v>
      </c>
      <c r="I531" s="6">
        <f>-ACE_Input!W51*LN(H531)</f>
        <v>0.89626391966557262</v>
      </c>
      <c r="J531" s="6">
        <f>-ACE_Input!X51*LN(H531)</f>
        <v>2.6887917589967181</v>
      </c>
      <c r="K531" s="6">
        <f>ACE_Input!U51</f>
        <v>300</v>
      </c>
      <c r="L531" s="6">
        <f>K531*ACE_Input!V51</f>
        <v>75</v>
      </c>
    </row>
    <row r="532" spans="1:12" x14ac:dyDescent="0.2">
      <c r="A532">
        <f>5</f>
        <v>5</v>
      </c>
      <c r="B532">
        <f>ACE_Input!A52</f>
        <v>47</v>
      </c>
      <c r="C532" s="6">
        <f>MOD(Settings!$B$17*(C531),Settings!$B$18)</f>
        <v>1512226775</v>
      </c>
      <c r="D532" s="6">
        <f>MAX(C532,1)/Settings!$B$18</f>
        <v>0.70418546707564289</v>
      </c>
      <c r="E532" s="6">
        <f t="shared" si="17"/>
        <v>5</v>
      </c>
      <c r="F532" s="6">
        <f>ACE_Input!D52</f>
        <v>364</v>
      </c>
      <c r="G532" s="6">
        <f>MOD(Settings!$B$17*(G531),Settings!$B$18)</f>
        <v>436180745</v>
      </c>
      <c r="H532" s="6">
        <f>MAX(G532,1)/Settings!$B$18</f>
        <v>0.20311248731013037</v>
      </c>
      <c r="I532" s="6">
        <f>-ACE_Input!W52*LN(H532)</f>
        <v>6.3759813149211739</v>
      </c>
      <c r="J532" s="6">
        <f>-ACE_Input!X52*LN(H532)</f>
        <v>19.127943944763523</v>
      </c>
      <c r="K532" s="6">
        <f>ACE_Input!U52</f>
        <v>300</v>
      </c>
      <c r="L532" s="6">
        <f>K532*ACE_Input!V52</f>
        <v>75</v>
      </c>
    </row>
    <row r="533" spans="1:12" x14ac:dyDescent="0.2">
      <c r="A533">
        <f>5</f>
        <v>5</v>
      </c>
      <c r="B533">
        <f>ACE_Input!A53</f>
        <v>48</v>
      </c>
      <c r="C533" s="6">
        <f>MOD(Settings!$B$17*(C532),Settings!$B$18)</f>
        <v>526445180</v>
      </c>
      <c r="D533" s="6">
        <f>MAX(C533,1)/Settings!$B$18</f>
        <v>0.24514514032990911</v>
      </c>
      <c r="E533" s="6">
        <f t="shared" si="17"/>
        <v>5</v>
      </c>
      <c r="F533" s="6">
        <f>ACE_Input!D53</f>
        <v>369</v>
      </c>
      <c r="G533" s="6">
        <f>MOD(Settings!$B$17*(G532),Settings!$B$18)</f>
        <v>1528094004</v>
      </c>
      <c r="H533" s="6">
        <f>MAX(G533,1)/Settings!$B$18</f>
        <v>0.71157422136123027</v>
      </c>
      <c r="I533" s="6">
        <f>-ACE_Input!W53*LN(H533)</f>
        <v>1.3611022006073221</v>
      </c>
      <c r="J533" s="6">
        <f>-ACE_Input!X53*LN(H533)</f>
        <v>4.0833066018219668</v>
      </c>
      <c r="K533" s="6">
        <f>ACE_Input!U53</f>
        <v>300</v>
      </c>
      <c r="L533" s="6">
        <f>K533*ACE_Input!V53</f>
        <v>75</v>
      </c>
    </row>
    <row r="534" spans="1:12" x14ac:dyDescent="0.2">
      <c r="A534">
        <f>5</f>
        <v>5</v>
      </c>
      <c r="B534">
        <f>ACE_Input!A54</f>
        <v>49</v>
      </c>
      <c r="C534" s="6">
        <f>MOD(Settings!$B$17*(C533),Settings!$B$18)</f>
        <v>331514620</v>
      </c>
      <c r="D534" s="6">
        <f>MAX(C534,1)/Settings!$B$18</f>
        <v>0.15437352478242178</v>
      </c>
      <c r="E534" s="6">
        <f t="shared" si="17"/>
        <v>5</v>
      </c>
      <c r="F534" s="6">
        <f>ACE_Input!D54</f>
        <v>374</v>
      </c>
      <c r="G534" s="6">
        <f>MOD(Settings!$B$17*(G533),Settings!$B$18)</f>
        <v>918990755</v>
      </c>
      <c r="H534" s="6">
        <f>MAX(G534,1)/Settings!$B$18</f>
        <v>0.42793841819648559</v>
      </c>
      <c r="I534" s="6">
        <f>-ACE_Input!W54*LN(H534)</f>
        <v>3.3951039058837726</v>
      </c>
      <c r="J534" s="6">
        <f>-ACE_Input!X54*LN(H534)</f>
        <v>10.185311717651318</v>
      </c>
      <c r="K534" s="6">
        <f>ACE_Input!U54</f>
        <v>300</v>
      </c>
      <c r="L534" s="6">
        <f>K534*ACE_Input!V54</f>
        <v>75</v>
      </c>
    </row>
    <row r="535" spans="1:12" x14ac:dyDescent="0.2">
      <c r="A535">
        <f>5</f>
        <v>5</v>
      </c>
      <c r="B535">
        <f>ACE_Input!A55</f>
        <v>50</v>
      </c>
      <c r="C535" s="6">
        <f>MOD(Settings!$B$17*(C534),Settings!$B$18)</f>
        <v>1193638022</v>
      </c>
      <c r="D535" s="6">
        <f>MAX(C535,1)/Settings!$B$18</f>
        <v>0.55583101816281255</v>
      </c>
      <c r="E535" s="6">
        <f t="shared" si="17"/>
        <v>5</v>
      </c>
      <c r="F535" s="6">
        <f>ACE_Input!D55</f>
        <v>379</v>
      </c>
      <c r="G535" s="6">
        <f>MOD(Settings!$B$17*(G534),Settings!$B$18)</f>
        <v>775230061</v>
      </c>
      <c r="H535" s="6">
        <f>MAX(G535,1)/Settings!$B$18</f>
        <v>0.36099462833301843</v>
      </c>
      <c r="I535" s="6">
        <f>-ACE_Input!W55*LN(H535)</f>
        <v>4.0755688028956074</v>
      </c>
      <c r="J535" s="6">
        <f>-ACE_Input!X55*LN(H535)</f>
        <v>12.226706408686823</v>
      </c>
      <c r="K535" s="6">
        <f>ACE_Input!U55</f>
        <v>300</v>
      </c>
      <c r="L535" s="6">
        <f>K535*ACE_Input!V55</f>
        <v>75</v>
      </c>
    </row>
    <row r="536" spans="1:12" x14ac:dyDescent="0.2">
      <c r="A536">
        <f>5</f>
        <v>5</v>
      </c>
      <c r="B536">
        <f>ACE_Input!A56</f>
        <v>51</v>
      </c>
      <c r="C536" s="6">
        <f>MOD(Settings!$B$17*(C535),Settings!$B$18)</f>
        <v>1829489127</v>
      </c>
      <c r="D536" s="6">
        <f>MAX(C536,1)/Settings!$B$18</f>
        <v>0.8519222623910393</v>
      </c>
      <c r="E536" s="6">
        <f t="shared" si="17"/>
        <v>5</v>
      </c>
      <c r="F536" s="6">
        <f>ACE_Input!D56</f>
        <v>384</v>
      </c>
      <c r="G536" s="6">
        <f>MOD(Settings!$B$17*(G535),Settings!$B$18)</f>
        <v>508348878</v>
      </c>
      <c r="H536" s="6">
        <f>MAX(G536,1)/Settings!$B$18</f>
        <v>0.23671839304115549</v>
      </c>
      <c r="I536" s="6">
        <f>-ACE_Input!W56*LN(H536)</f>
        <v>5.7635362374015378</v>
      </c>
      <c r="J536" s="6">
        <f>-ACE_Input!X56*LN(H536)</f>
        <v>17.290608712204612</v>
      </c>
      <c r="K536" s="6">
        <f>ACE_Input!U56</f>
        <v>300</v>
      </c>
      <c r="L536" s="6">
        <f>K536*ACE_Input!V56</f>
        <v>75</v>
      </c>
    </row>
    <row r="537" spans="1:12" x14ac:dyDescent="0.2">
      <c r="A537">
        <f>5</f>
        <v>5</v>
      </c>
      <c r="B537">
        <f>ACE_Input!A57</f>
        <v>52</v>
      </c>
      <c r="C537" s="6">
        <f>MOD(Settings!$B$17*(C536),Settings!$B$18)</f>
        <v>552899743</v>
      </c>
      <c r="D537" s="6">
        <f>MAX(C537,1)/Settings!$B$18</f>
        <v>0.25746400619738924</v>
      </c>
      <c r="E537" s="6">
        <f t="shared" si="17"/>
        <v>5</v>
      </c>
      <c r="F537" s="6">
        <f>ACE_Input!D57</f>
        <v>389</v>
      </c>
      <c r="G537" s="6">
        <f>MOD(Settings!$B$17*(G536),Settings!$B$18)</f>
        <v>1129644780</v>
      </c>
      <c r="H537" s="6">
        <f>MAX(G537,1)/Settings!$B$18</f>
        <v>0.52603184270022052</v>
      </c>
      <c r="I537" s="6">
        <f>-ACE_Input!W57*LN(H537)</f>
        <v>2.5695741224954163</v>
      </c>
      <c r="J537" s="6">
        <f>-ACE_Input!X57*LN(H537)</f>
        <v>7.7087223674862493</v>
      </c>
      <c r="K537" s="6">
        <f>ACE_Input!U57</f>
        <v>300</v>
      </c>
      <c r="L537" s="6">
        <f>K537*ACE_Input!V57</f>
        <v>75</v>
      </c>
    </row>
    <row r="538" spans="1:12" x14ac:dyDescent="0.2">
      <c r="A538">
        <f>5</f>
        <v>5</v>
      </c>
      <c r="B538">
        <f>ACE_Input!A58</f>
        <v>53</v>
      </c>
      <c r="C538" s="6">
        <f>MOD(Settings!$B$17*(C537),Settings!$B$18)</f>
        <v>424240032</v>
      </c>
      <c r="D538" s="6">
        <f>MAX(C538,1)/Settings!$B$18</f>
        <v>0.19755215952058888</v>
      </c>
      <c r="E538" s="6">
        <f t="shared" si="17"/>
        <v>5</v>
      </c>
      <c r="F538" s="6">
        <f>ACE_Input!D58</f>
        <v>394</v>
      </c>
      <c r="G538" s="6">
        <f>MOD(Settings!$B$17*(G537),Settings!$B$18)</f>
        <v>36894333</v>
      </c>
      <c r="H538" s="6">
        <f>MAX(G538,1)/Settings!$B$18</f>
        <v>1.718026260714059E-2</v>
      </c>
      <c r="I538" s="6">
        <f>-ACE_Input!W58*LN(H538)</f>
        <v>16.255976307647405</v>
      </c>
      <c r="J538" s="6">
        <f>-ACE_Input!X58*LN(H538)</f>
        <v>48.767928922942218</v>
      </c>
      <c r="K538" s="6">
        <f>ACE_Input!U58</f>
        <v>300</v>
      </c>
      <c r="L538" s="6">
        <f>K538*ACE_Input!V58</f>
        <v>75</v>
      </c>
    </row>
    <row r="539" spans="1:12" x14ac:dyDescent="0.2">
      <c r="A539">
        <f>5</f>
        <v>5</v>
      </c>
      <c r="B539">
        <f>ACE_Input!A59</f>
        <v>54</v>
      </c>
      <c r="C539" s="6">
        <f>MOD(Settings!$B$17*(C538),Settings!$B$18)</f>
        <v>556509784</v>
      </c>
      <c r="D539" s="6">
        <f>MAX(C539,1)/Settings!$B$18</f>
        <v>0.25914506253746572</v>
      </c>
      <c r="E539" s="6">
        <f t="shared" si="17"/>
        <v>5</v>
      </c>
      <c r="F539" s="6">
        <f>ACE_Input!D59</f>
        <v>399</v>
      </c>
      <c r="G539" s="6">
        <f>MOD(Settings!$B$17*(G538),Settings!$B$18)</f>
        <v>1607764395</v>
      </c>
      <c r="H539" s="6">
        <f>MAX(G539,1)/Settings!$B$18</f>
        <v>0.74867363821187694</v>
      </c>
      <c r="I539" s="6">
        <f>-ACE_Input!W59*LN(H539)</f>
        <v>1.1578084817881038</v>
      </c>
      <c r="J539" s="6">
        <f>-ACE_Input!X59*LN(H539)</f>
        <v>3.4734254453643114</v>
      </c>
      <c r="K539" s="6">
        <f>ACE_Input!U59</f>
        <v>300</v>
      </c>
      <c r="L539" s="6">
        <f>K539*ACE_Input!V59</f>
        <v>75</v>
      </c>
    </row>
    <row r="540" spans="1:12" x14ac:dyDescent="0.2">
      <c r="A540">
        <f>5</f>
        <v>5</v>
      </c>
      <c r="B540">
        <f>ACE_Input!A60</f>
        <v>55</v>
      </c>
      <c r="C540" s="6">
        <f>MOD(Settings!$B$17*(C539),Settings!$B$18)</f>
        <v>968657003</v>
      </c>
      <c r="D540" s="6">
        <f>MAX(C540,1)/Settings!$B$18</f>
        <v>0.45106606718668063</v>
      </c>
      <c r="E540" s="6">
        <f t="shared" si="17"/>
        <v>5</v>
      </c>
      <c r="F540" s="6">
        <f>ACE_Input!D60</f>
        <v>404</v>
      </c>
      <c r="G540" s="6">
        <f>MOD(Settings!$B$17*(G539),Settings!$B$18)</f>
        <v>2056940211</v>
      </c>
      <c r="H540" s="6">
        <f>MAX(G540,1)/Settings!$B$18</f>
        <v>0.95783742701534058</v>
      </c>
      <c r="I540" s="6">
        <f>-ACE_Input!W60*LN(H540)</f>
        <v>0.17230886325416911</v>
      </c>
      <c r="J540" s="6">
        <f>-ACE_Input!X60*LN(H540)</f>
        <v>0.51692658976250727</v>
      </c>
      <c r="K540" s="6">
        <f>ACE_Input!U60</f>
        <v>300</v>
      </c>
      <c r="L540" s="6">
        <f>K540*ACE_Input!V60</f>
        <v>75</v>
      </c>
    </row>
    <row r="541" spans="1:12" x14ac:dyDescent="0.2">
      <c r="A541">
        <f>5</f>
        <v>5</v>
      </c>
      <c r="B541">
        <f>ACE_Input!A61</f>
        <v>56</v>
      </c>
      <c r="C541" s="6">
        <f>MOD(Settings!$B$17*(C540),Settings!$B$18)</f>
        <v>144721514</v>
      </c>
      <c r="D541" s="6">
        <f>MAX(C541,1)/Settings!$B$18</f>
        <v>6.739120654174649E-2</v>
      </c>
      <c r="E541" s="6">
        <f t="shared" si="17"/>
        <v>5</v>
      </c>
      <c r="F541" s="6">
        <f>ACE_Input!D61</f>
        <v>409</v>
      </c>
      <c r="G541" s="6">
        <f>MOD(Settings!$B$17*(G540),Settings!$B$18)</f>
        <v>802376871</v>
      </c>
      <c r="H541" s="6">
        <f>MAX(G541,1)/Settings!$B$18</f>
        <v>0.37363584682980361</v>
      </c>
      <c r="I541" s="6">
        <f>-ACE_Input!W61*LN(H541)</f>
        <v>3.9378945098870326</v>
      </c>
      <c r="J541" s="6">
        <f>-ACE_Input!X61*LN(H541)</f>
        <v>11.813683529661098</v>
      </c>
      <c r="K541" s="6">
        <f>ACE_Input!U61</f>
        <v>300</v>
      </c>
      <c r="L541" s="6">
        <f>K541*ACE_Input!V61</f>
        <v>75</v>
      </c>
    </row>
    <row r="542" spans="1:12" x14ac:dyDescent="0.2">
      <c r="A542">
        <f>5</f>
        <v>5</v>
      </c>
      <c r="B542">
        <f>ACE_Input!A62</f>
        <v>57</v>
      </c>
      <c r="C542" s="6">
        <f>MOD(Settings!$B$17*(C541),Settings!$B$18)</f>
        <v>1382997394</v>
      </c>
      <c r="D542" s="6">
        <f>MAX(C542,1)/Settings!$B$18</f>
        <v>0.64400834713317845</v>
      </c>
      <c r="E542" s="6">
        <f t="shared" si="17"/>
        <v>5</v>
      </c>
      <c r="F542" s="6">
        <f>ACE_Input!D62</f>
        <v>414</v>
      </c>
      <c r="G542" s="6">
        <f>MOD(Settings!$B$17*(G541),Settings!$B$18)</f>
        <v>1498251384</v>
      </c>
      <c r="H542" s="6">
        <f>MAX(G542,1)/Settings!$B$18</f>
        <v>0.69767766850892343</v>
      </c>
      <c r="I542" s="6">
        <f>-ACE_Input!W62*LN(H542)</f>
        <v>1.4399923033845312</v>
      </c>
      <c r="J542" s="6">
        <f>-ACE_Input!X62*LN(H542)</f>
        <v>4.3199769101535939</v>
      </c>
      <c r="K542" s="6">
        <f>ACE_Input!U62</f>
        <v>300</v>
      </c>
      <c r="L542" s="6">
        <f>K542*ACE_Input!V62</f>
        <v>75</v>
      </c>
    </row>
    <row r="543" spans="1:12" x14ac:dyDescent="0.2">
      <c r="A543">
        <f>5</f>
        <v>5</v>
      </c>
      <c r="B543">
        <f>ACE_Input!A63</f>
        <v>58</v>
      </c>
      <c r="C543" s="6">
        <f>MOD(Settings!$B$17*(C542),Settings!$B$18)</f>
        <v>1821689477</v>
      </c>
      <c r="D543" s="6">
        <f>MAX(C543,1)/Settings!$B$18</f>
        <v>0.84829026732979818</v>
      </c>
      <c r="E543" s="6">
        <f t="shared" si="17"/>
        <v>5</v>
      </c>
      <c r="F543" s="6">
        <f>ACE_Input!D63</f>
        <v>419</v>
      </c>
      <c r="G543" s="6">
        <f>MOD(Settings!$B$17*(G542),Settings!$B$18)</f>
        <v>1865249813</v>
      </c>
      <c r="H543" s="6">
        <f>MAX(G543,1)/Settings!$B$18</f>
        <v>0.8685746294765615</v>
      </c>
      <c r="I543" s="6">
        <f>-ACE_Input!W63*LN(H543)</f>
        <v>0.56360707132563215</v>
      </c>
      <c r="J543" s="6">
        <f>-ACE_Input!X63*LN(H543)</f>
        <v>1.6908212139768963</v>
      </c>
      <c r="K543" s="6">
        <f>ACE_Input!U63</f>
        <v>300</v>
      </c>
      <c r="L543" s="6">
        <f>K543*ACE_Input!V63</f>
        <v>75</v>
      </c>
    </row>
    <row r="544" spans="1:12" x14ac:dyDescent="0.2">
      <c r="A544">
        <f>5</f>
        <v>5</v>
      </c>
      <c r="B544">
        <f>ACE_Input!A64</f>
        <v>59</v>
      </c>
      <c r="C544" s="6">
        <f>MOD(Settings!$B$17*(C543),Settings!$B$18)</f>
        <v>460684660</v>
      </c>
      <c r="D544" s="6">
        <f>MAX(C544,1)/Settings!$B$18</f>
        <v>0.21452301191842324</v>
      </c>
      <c r="E544" s="6">
        <f t="shared" si="17"/>
        <v>5</v>
      </c>
      <c r="F544" s="6">
        <f>ACE_Input!D64</f>
        <v>424</v>
      </c>
      <c r="G544" s="6">
        <f>MOD(Settings!$B$17*(G543),Settings!$B$18)</f>
        <v>287328185</v>
      </c>
      <c r="H544" s="6">
        <f>MAX(G544,1)/Settings!$B$18</f>
        <v>0.13379761256920061</v>
      </c>
      <c r="I544" s="6">
        <f>-ACE_Input!W64*LN(H544)</f>
        <v>8.0457078989068762</v>
      </c>
      <c r="J544" s="6">
        <f>-ACE_Input!X64*LN(H544)</f>
        <v>24.137123696720629</v>
      </c>
      <c r="K544" s="6">
        <f>ACE_Input!U64</f>
        <v>300</v>
      </c>
      <c r="L544" s="6">
        <f>K544*ACE_Input!V64</f>
        <v>75</v>
      </c>
    </row>
    <row r="545" spans="1:12" x14ac:dyDescent="0.2">
      <c r="A545">
        <f>5</f>
        <v>5</v>
      </c>
      <c r="B545">
        <f>ACE_Input!A65</f>
        <v>60</v>
      </c>
      <c r="C545" s="6">
        <f>MOD(Settings!$B$17*(C544),Settings!$B$18)</f>
        <v>1048533185</v>
      </c>
      <c r="D545" s="6">
        <f>MAX(C545,1)/Settings!$B$18</f>
        <v>0.48826131293934832</v>
      </c>
      <c r="E545" s="6">
        <f t="shared" si="17"/>
        <v>5</v>
      </c>
      <c r="F545" s="6">
        <f>ACE_Input!D65</f>
        <v>429</v>
      </c>
      <c r="G545" s="6">
        <f>MOD(Settings!$B$17*(G544),Settings!$B$18)</f>
        <v>1581566839</v>
      </c>
      <c r="H545" s="6">
        <f>MAX(G545,1)/Settings!$B$18</f>
        <v>0.73647445055491967</v>
      </c>
      <c r="I545" s="6">
        <f>-ACE_Input!W65*LN(H545)</f>
        <v>1.2235229361372257</v>
      </c>
      <c r="J545" s="6">
        <f>-ACE_Input!X65*LN(H545)</f>
        <v>3.6705688084116774</v>
      </c>
      <c r="K545" s="6">
        <f>ACE_Input!U65</f>
        <v>300</v>
      </c>
      <c r="L545" s="6">
        <f>K545*ACE_Input!V65</f>
        <v>75</v>
      </c>
    </row>
    <row r="546" spans="1:12" x14ac:dyDescent="0.2">
      <c r="A546">
        <f>5</f>
        <v>5</v>
      </c>
      <c r="B546">
        <f>ACE_Input!A66</f>
        <v>61</v>
      </c>
      <c r="C546" s="6">
        <f>MOD(Settings!$B$17*(C545),Settings!$B$18)</f>
        <v>446433013</v>
      </c>
      <c r="D546" s="6">
        <f>MAX(C546,1)/Settings!$B$18</f>
        <v>0.20788657162705743</v>
      </c>
      <c r="E546" s="6">
        <f t="shared" si="17"/>
        <v>5</v>
      </c>
      <c r="F546" s="6">
        <f>ACE_Input!D66</f>
        <v>434</v>
      </c>
      <c r="G546" s="6">
        <f>MOD(Settings!$B$17*(G545),Settings!$B$18)</f>
        <v>1988764154</v>
      </c>
      <c r="H546" s="6">
        <f>MAX(G546,1)/Settings!$B$18</f>
        <v>0.92609047653437149</v>
      </c>
      <c r="I546" s="6">
        <f>-ACE_Input!W66*LN(H546)</f>
        <v>0.3071333690735446</v>
      </c>
      <c r="J546" s="6">
        <f>-ACE_Input!X66*LN(H546)</f>
        <v>0.92140010722063381</v>
      </c>
      <c r="K546" s="6">
        <f>ACE_Input!U66</f>
        <v>300</v>
      </c>
      <c r="L546" s="6">
        <f>K546*ACE_Input!V66</f>
        <v>75</v>
      </c>
    </row>
    <row r="547" spans="1:12" x14ac:dyDescent="0.2">
      <c r="A547">
        <f>5</f>
        <v>5</v>
      </c>
      <c r="B547">
        <f>ACE_Input!A67</f>
        <v>62</v>
      </c>
      <c r="C547" s="6">
        <f>MOD(Settings!$B$17*(C546),Settings!$B$18)</f>
        <v>2039270520</v>
      </c>
      <c r="D547" s="6">
        <f>MAX(C547,1)/Settings!$B$18</f>
        <v>0.94960933595411912</v>
      </c>
      <c r="E547" s="6">
        <f t="shared" si="17"/>
        <v>5</v>
      </c>
      <c r="F547" s="6">
        <f>ACE_Input!D67</f>
        <v>439</v>
      </c>
      <c r="G547" s="6">
        <f>MOD(Settings!$B$17*(G546),Settings!$B$18)</f>
        <v>1723654370</v>
      </c>
      <c r="H547" s="6">
        <f>MAX(G547,1)/Settings!$B$18</f>
        <v>0.80263911318156822</v>
      </c>
      <c r="I547" s="6">
        <f>-ACE_Input!W67*LN(H547)</f>
        <v>0.8794003569693436</v>
      </c>
      <c r="J547" s="6">
        <f>-ACE_Input!X67*LN(H547)</f>
        <v>2.638201070908031</v>
      </c>
      <c r="K547" s="6">
        <f>ACE_Input!U67</f>
        <v>300</v>
      </c>
      <c r="L547" s="6">
        <f>K547*ACE_Input!V67</f>
        <v>75</v>
      </c>
    </row>
    <row r="548" spans="1:12" x14ac:dyDescent="0.2">
      <c r="A548">
        <f>5</f>
        <v>5</v>
      </c>
      <c r="B548">
        <f>ACE_Input!A68</f>
        <v>63</v>
      </c>
      <c r="C548" s="6">
        <f>MOD(Settings!$B$17*(C547),Settings!$B$18)</f>
        <v>180623520</v>
      </c>
      <c r="D548" s="6">
        <f>MAX(C548,1)/Settings!$B$18</f>
        <v>8.4109380880421677E-2</v>
      </c>
      <c r="E548" s="6">
        <f t="shared" si="17"/>
        <v>5</v>
      </c>
      <c r="F548" s="6">
        <f>ACE_Input!D68</f>
        <v>444</v>
      </c>
      <c r="G548" s="6">
        <f>MOD(Settings!$B$17*(G547),Settings!$B$18)</f>
        <v>2052082207</v>
      </c>
      <c r="H548" s="6">
        <f>MAX(G548,1)/Settings!$B$18</f>
        <v>0.95557524261790106</v>
      </c>
      <c r="I548" s="6">
        <f>-ACE_Input!W68*LN(H548)</f>
        <v>0.18176708619730786</v>
      </c>
      <c r="J548" s="6">
        <f>-ACE_Input!X68*LN(H548)</f>
        <v>0.54530125859192358</v>
      </c>
      <c r="K548" s="6">
        <f>ACE_Input!U68</f>
        <v>300</v>
      </c>
      <c r="L548" s="6">
        <f>K548*ACE_Input!V68</f>
        <v>75</v>
      </c>
    </row>
    <row r="549" spans="1:12" x14ac:dyDescent="0.2">
      <c r="A549">
        <f>5</f>
        <v>5</v>
      </c>
      <c r="B549">
        <f>ACE_Input!A69</f>
        <v>64</v>
      </c>
      <c r="C549" s="6">
        <f>MOD(Settings!$B$17*(C548),Settings!$B$18)</f>
        <v>1345107429</v>
      </c>
      <c r="D549" s="6">
        <f>MAX(C549,1)/Settings!$B$18</f>
        <v>0.62636445724701717</v>
      </c>
      <c r="E549" s="6">
        <f t="shared" si="17"/>
        <v>5</v>
      </c>
      <c r="F549" s="6">
        <f>ACE_Input!D69</f>
        <v>449</v>
      </c>
      <c r="G549" s="6">
        <f>MOD(Settings!$B$17*(G548),Settings!$B$18)</f>
        <v>758282229</v>
      </c>
      <c r="H549" s="6">
        <f>MAX(G549,1)/Settings!$B$18</f>
        <v>0.35310267906314818</v>
      </c>
      <c r="I549" s="6">
        <f>-ACE_Input!W69*LN(H549)</f>
        <v>4.1639855552477147</v>
      </c>
      <c r="J549" s="6">
        <f>-ACE_Input!X69*LN(H549)</f>
        <v>12.491956665743144</v>
      </c>
      <c r="K549" s="6">
        <f>ACE_Input!U69</f>
        <v>300</v>
      </c>
      <c r="L549" s="6">
        <f>K549*ACE_Input!V69</f>
        <v>75</v>
      </c>
    </row>
    <row r="550" spans="1:12" x14ac:dyDescent="0.2">
      <c r="A550">
        <f>5</f>
        <v>5</v>
      </c>
      <c r="B550">
        <f>ACE_Input!A70</f>
        <v>65</v>
      </c>
      <c r="C550" s="6">
        <f>MOD(Settings!$B$17*(C549),Settings!$B$18)</f>
        <v>660207234</v>
      </c>
      <c r="D550" s="6">
        <f>MAX(C550,1)/Settings!$B$18</f>
        <v>0.30743295061748149</v>
      </c>
      <c r="E550" s="6">
        <f t="shared" si="17"/>
        <v>5</v>
      </c>
      <c r="F550" s="6">
        <f>ACE_Input!D70</f>
        <v>454</v>
      </c>
      <c r="G550" s="6">
        <f>MOD(Settings!$B$17*(G549),Settings!$B$18)</f>
        <v>1281461505</v>
      </c>
      <c r="H550" s="6">
        <f>MAX(G550,1)/Settings!$B$18</f>
        <v>0.59672701433148567</v>
      </c>
      <c r="I550" s="6">
        <f>-ACE_Input!W70*LN(H550)</f>
        <v>2.0651821303688034</v>
      </c>
      <c r="J550" s="6">
        <f>-ACE_Input!X70*LN(H550)</f>
        <v>6.1955463911064097</v>
      </c>
      <c r="K550" s="6">
        <f>ACE_Input!U70</f>
        <v>300</v>
      </c>
      <c r="L550" s="6">
        <f>K550*ACE_Input!V70</f>
        <v>75</v>
      </c>
    </row>
    <row r="551" spans="1:12" x14ac:dyDescent="0.2">
      <c r="A551">
        <f>5</f>
        <v>5</v>
      </c>
      <c r="B551">
        <f>ACE_Input!A71</f>
        <v>66</v>
      </c>
      <c r="C551" s="6">
        <f>MOD(Settings!$B$17*(C550),Settings!$B$18)</f>
        <v>54977789</v>
      </c>
      <c r="D551" s="6">
        <f>MAX(C551,1)/Settings!$B$18</f>
        <v>2.5601028010994675E-2</v>
      </c>
      <c r="E551" s="6">
        <f t="shared" ref="E551:E582" si="18">F551-F550</f>
        <v>5</v>
      </c>
      <c r="F551" s="6">
        <f>ACE_Input!D71</f>
        <v>459</v>
      </c>
      <c r="G551" s="6">
        <f>MOD(Settings!$B$17*(G550),Settings!$B$18)</f>
        <v>410018772</v>
      </c>
      <c r="H551" s="6">
        <f>MAX(G551,1)/Settings!$B$18</f>
        <v>0.19092986927876709</v>
      </c>
      <c r="I551" s="6">
        <f>-ACE_Input!W71*LN(H551)</f>
        <v>6.6233963796491198</v>
      </c>
      <c r="J551" s="6">
        <f>-ACE_Input!X71*LN(H551)</f>
        <v>19.87018913894736</v>
      </c>
      <c r="K551" s="6">
        <f>ACE_Input!U71</f>
        <v>300</v>
      </c>
      <c r="L551" s="6">
        <f>K551*ACE_Input!V71</f>
        <v>75</v>
      </c>
    </row>
    <row r="552" spans="1:12" x14ac:dyDescent="0.2">
      <c r="A552">
        <f>5</f>
        <v>5</v>
      </c>
      <c r="B552">
        <f>ACE_Input!A72</f>
        <v>67</v>
      </c>
      <c r="C552" s="6">
        <f>MOD(Settings!$B$17*(C551),Settings!$B$18)</f>
        <v>593731513</v>
      </c>
      <c r="D552" s="6">
        <f>MAX(C552,1)/Settings!$B$18</f>
        <v>0.27647778078749674</v>
      </c>
      <c r="E552" s="6">
        <f t="shared" si="18"/>
        <v>15</v>
      </c>
      <c r="F552" s="6">
        <f>ACE_Input!D72</f>
        <v>474</v>
      </c>
      <c r="G552" s="6">
        <f>MOD(Settings!$B$17*(G551),Settings!$B$18)</f>
        <v>2057961428</v>
      </c>
      <c r="H552" s="6">
        <f>MAX(G552,1)/Settings!$B$18</f>
        <v>0.95831296823840262</v>
      </c>
      <c r="I552" s="6">
        <f>-ACE_Input!W72*LN(H552)</f>
        <v>0.17032346071372986</v>
      </c>
      <c r="J552" s="6">
        <f>-ACE_Input!X72*LN(H552)</f>
        <v>0.51097038214118962</v>
      </c>
      <c r="K552" s="6">
        <f>ACE_Input!U72</f>
        <v>300</v>
      </c>
      <c r="L552" s="6">
        <f>K552*ACE_Input!V72</f>
        <v>75</v>
      </c>
    </row>
    <row r="553" spans="1:12" x14ac:dyDescent="0.2">
      <c r="A553">
        <f>5</f>
        <v>5</v>
      </c>
      <c r="B553">
        <f>ACE_Input!A73</f>
        <v>68</v>
      </c>
      <c r="C553" s="6">
        <f>MOD(Settings!$B$17*(C552),Settings!$B$18)</f>
        <v>1636515029</v>
      </c>
      <c r="D553" s="6">
        <f>MAX(C553,1)/Settings!$B$18</f>
        <v>0.76206169545746483</v>
      </c>
      <c r="E553" s="6">
        <f t="shared" si="18"/>
        <v>5</v>
      </c>
      <c r="F553" s="6">
        <f>ACE_Input!D73</f>
        <v>479</v>
      </c>
      <c r="G553" s="6">
        <f>MOD(Settings!$B$17*(G552),Settings!$B$18)</f>
        <v>786101814</v>
      </c>
      <c r="H553" s="6">
        <f>MAX(G553,1)/Settings!$B$18</f>
        <v>0.36605718283264765</v>
      </c>
      <c r="I553" s="6">
        <f>-ACE_Input!W73*LN(H553)</f>
        <v>4.0198628821474696</v>
      </c>
      <c r="J553" s="6">
        <f>-ACE_Input!X73*LN(H553)</f>
        <v>12.059588646442409</v>
      </c>
      <c r="K553" s="6">
        <f>ACE_Input!U73</f>
        <v>300</v>
      </c>
      <c r="L553" s="6">
        <f>K553*ACE_Input!V73</f>
        <v>75</v>
      </c>
    </row>
    <row r="554" spans="1:12" x14ac:dyDescent="0.2">
      <c r="A554">
        <f>5</f>
        <v>5</v>
      </c>
      <c r="B554">
        <f>ACE_Input!A74</f>
        <v>69</v>
      </c>
      <c r="C554" s="6">
        <f>MOD(Settings!$B$17*(C553),Settings!$B$18)</f>
        <v>2085025274</v>
      </c>
      <c r="D554" s="6">
        <f>MAX(C554,1)/Settings!$B$18</f>
        <v>0.97091555361212956</v>
      </c>
      <c r="E554" s="6">
        <f t="shared" si="18"/>
        <v>15</v>
      </c>
      <c r="F554" s="6">
        <f>ACE_Input!D74</f>
        <v>494</v>
      </c>
      <c r="G554" s="6">
        <f>MOD(Settings!$B$17*(G553),Settings!$B$18)</f>
        <v>693791554</v>
      </c>
      <c r="H554" s="6">
        <f>MAX(G554,1)/Settings!$B$18</f>
        <v>0.32307186830931894</v>
      </c>
      <c r="I554" s="6">
        <f>-ACE_Input!W74*LN(H554)</f>
        <v>4.519521912015442</v>
      </c>
      <c r="J554" s="6">
        <f>-ACE_Input!X74*LN(H554)</f>
        <v>13.558565736046326</v>
      </c>
      <c r="K554" s="6">
        <f>ACE_Input!U74</f>
        <v>300</v>
      </c>
      <c r="L554" s="6">
        <f>K554*ACE_Input!V74</f>
        <v>75</v>
      </c>
    </row>
    <row r="555" spans="1:12" x14ac:dyDescent="0.2">
      <c r="A555">
        <f>5</f>
        <v>5</v>
      </c>
      <c r="B555">
        <f>ACE_Input!A75</f>
        <v>70</v>
      </c>
      <c r="C555" s="6">
        <f>MOD(Settings!$B$17*(C554),Settings!$B$18)</f>
        <v>381628372</v>
      </c>
      <c r="D555" s="6">
        <f>MAX(C555,1)/Settings!$B$18</f>
        <v>0.17770955906142927</v>
      </c>
      <c r="E555" s="6">
        <f t="shared" si="18"/>
        <v>5</v>
      </c>
      <c r="F555" s="6">
        <f>ACE_Input!D75</f>
        <v>499</v>
      </c>
      <c r="G555" s="6">
        <f>MOD(Settings!$B$17*(G554),Settings!$B$18)</f>
        <v>1865928515</v>
      </c>
      <c r="H555" s="6">
        <f>MAX(G555,1)/Settings!$B$18</f>
        <v>0.86889067472372705</v>
      </c>
      <c r="I555" s="6">
        <f>-ACE_Input!W75*LN(H555)</f>
        <v>0.56215186988989818</v>
      </c>
      <c r="J555" s="6">
        <f>-ACE_Input!X75*LN(H555)</f>
        <v>1.6864556096696945</v>
      </c>
      <c r="K555" s="6">
        <f>ACE_Input!U75</f>
        <v>300</v>
      </c>
      <c r="L555" s="6">
        <f>K555*ACE_Input!V75</f>
        <v>75</v>
      </c>
    </row>
    <row r="556" spans="1:12" x14ac:dyDescent="0.2">
      <c r="A556">
        <f>5</f>
        <v>5</v>
      </c>
      <c r="B556">
        <f>ACE_Input!A76</f>
        <v>71</v>
      </c>
      <c r="C556" s="6">
        <f>MOD(Settings!$B$17*(C555),Settings!$B$18)</f>
        <v>1641878262</v>
      </c>
      <c r="D556" s="6">
        <f>MAX(C556,1)/Settings!$B$18</f>
        <v>0.76455914544153913</v>
      </c>
      <c r="E556" s="6">
        <f t="shared" si="18"/>
        <v>5</v>
      </c>
      <c r="F556" s="6">
        <f>ACE_Input!D76</f>
        <v>504</v>
      </c>
      <c r="G556" s="6">
        <f>MOD(Settings!$B$17*(G555),Settings!$B$18)</f>
        <v>956854464</v>
      </c>
      <c r="H556" s="6">
        <f>MAX(G556,1)/Settings!$B$18</f>
        <v>0.4455700816798816</v>
      </c>
      <c r="I556" s="6">
        <f>-ACE_Input!W76*LN(H556)</f>
        <v>3.2336029371005428</v>
      </c>
      <c r="J556" s="6">
        <f>-ACE_Input!X76*LN(H556)</f>
        <v>9.7008088113016289</v>
      </c>
      <c r="K556" s="6">
        <f>ACE_Input!U76</f>
        <v>300</v>
      </c>
      <c r="L556" s="6">
        <f>K556*ACE_Input!V76</f>
        <v>75</v>
      </c>
    </row>
    <row r="557" spans="1:12" x14ac:dyDescent="0.2">
      <c r="A557">
        <f>5</f>
        <v>5</v>
      </c>
      <c r="B557">
        <f>ACE_Input!A77</f>
        <v>72</v>
      </c>
      <c r="C557" s="6">
        <f>MOD(Settings!$B$17*(C556),Settings!$B$18)</f>
        <v>2030569131</v>
      </c>
      <c r="D557" s="6">
        <f>MAX(C557,1)/Settings!$B$18</f>
        <v>0.94555743594912689</v>
      </c>
      <c r="E557" s="6">
        <f t="shared" si="18"/>
        <v>5</v>
      </c>
      <c r="F557" s="6">
        <f>ACE_Input!D77</f>
        <v>509</v>
      </c>
      <c r="G557" s="6">
        <f>MOD(Settings!$B$17*(G556),Settings!$B$18)</f>
        <v>1495427712</v>
      </c>
      <c r="H557" s="6">
        <f>MAX(G557,1)/Settings!$B$18</f>
        <v>0.69636279376985633</v>
      </c>
      <c r="I557" s="6">
        <f>-ACE_Input!W77*LN(H557)</f>
        <v>1.4475379961506825</v>
      </c>
      <c r="J557" s="6">
        <f>-ACE_Input!X77*LN(H557)</f>
        <v>4.3426139884520474</v>
      </c>
      <c r="K557" s="6">
        <f>ACE_Input!U77</f>
        <v>300</v>
      </c>
      <c r="L557" s="6">
        <f>K557*ACE_Input!V77</f>
        <v>75</v>
      </c>
    </row>
    <row r="558" spans="1:12" x14ac:dyDescent="0.2">
      <c r="A558">
        <f>5</f>
        <v>5</v>
      </c>
      <c r="B558">
        <f>ACE_Input!A78</f>
        <v>73</v>
      </c>
      <c r="C558" s="6">
        <f>MOD(Settings!$B$17*(C557),Settings!$B$18)</f>
        <v>2112750240</v>
      </c>
      <c r="D558" s="6">
        <f>MAX(C558,1)/Settings!$B$18</f>
        <v>0.98382599697626472</v>
      </c>
      <c r="E558" s="6">
        <f t="shared" si="18"/>
        <v>5</v>
      </c>
      <c r="F558" s="6">
        <f>ACE_Input!D78</f>
        <v>514</v>
      </c>
      <c r="G558" s="6">
        <f>MOD(Settings!$B$17*(G557),Settings!$B$18)</f>
        <v>1652434743</v>
      </c>
      <c r="H558" s="6">
        <f>MAX(G558,1)/Settings!$B$18</f>
        <v>0.76947488997572799</v>
      </c>
      <c r="I558" s="6">
        <f>-ACE_Input!W78*LN(H558)</f>
        <v>1.0481878313844626</v>
      </c>
      <c r="J558" s="6">
        <f>-ACE_Input!X78*LN(H558)</f>
        <v>3.1445634941533878</v>
      </c>
      <c r="K558" s="6">
        <f>ACE_Input!U78</f>
        <v>300</v>
      </c>
      <c r="L558" s="6">
        <f>K558*ACE_Input!V78</f>
        <v>75</v>
      </c>
    </row>
    <row r="559" spans="1:12" x14ac:dyDescent="0.2">
      <c r="A559">
        <f>5</f>
        <v>5</v>
      </c>
      <c r="B559">
        <f>ACE_Input!A79</f>
        <v>74</v>
      </c>
      <c r="C559" s="6">
        <f>MOD(Settings!$B$17*(C558),Settings!$B$18)</f>
        <v>351180535</v>
      </c>
      <c r="D559" s="6">
        <f>MAX(C559,1)/Settings!$B$18</f>
        <v>0.16353118008167072</v>
      </c>
      <c r="E559" s="6">
        <f t="shared" si="18"/>
        <v>5</v>
      </c>
      <c r="F559" s="6">
        <f>ACE_Input!D79</f>
        <v>519</v>
      </c>
      <c r="G559" s="6">
        <f>MOD(Settings!$B$17*(G558),Settings!$B$18)</f>
        <v>1212202597</v>
      </c>
      <c r="H559" s="6">
        <f>MAX(G559,1)/Settings!$B$18</f>
        <v>0.56447582205965918</v>
      </c>
      <c r="I559" s="6">
        <f>-ACE_Input!W79*LN(H559)</f>
        <v>2.2874309081109381</v>
      </c>
      <c r="J559" s="6">
        <f>-ACE_Input!X79*LN(H559)</f>
        <v>6.8622927243328142</v>
      </c>
      <c r="K559" s="6">
        <f>ACE_Input!U79</f>
        <v>300</v>
      </c>
      <c r="L559" s="6">
        <f>K559*ACE_Input!V79</f>
        <v>75</v>
      </c>
    </row>
    <row r="560" spans="1:12" x14ac:dyDescent="0.2">
      <c r="A560">
        <f>5</f>
        <v>5</v>
      </c>
      <c r="B560">
        <f>ACE_Input!A80</f>
        <v>75</v>
      </c>
      <c r="C560" s="6">
        <f>MOD(Settings!$B$17*(C559),Settings!$B$18)</f>
        <v>1006189789</v>
      </c>
      <c r="D560" s="6">
        <f>MAX(C560,1)/Settings!$B$18</f>
        <v>0.46854363263982518</v>
      </c>
      <c r="E560" s="6">
        <f t="shared" si="18"/>
        <v>5</v>
      </c>
      <c r="F560" s="6">
        <f>ACE_Input!D80</f>
        <v>524</v>
      </c>
      <c r="G560" s="6">
        <f>MOD(Settings!$B$17*(G559),Settings!$B$18)</f>
        <v>311688690</v>
      </c>
      <c r="H560" s="6">
        <f>MAX(G560,1)/Settings!$B$18</f>
        <v>0.14514135669224959</v>
      </c>
      <c r="I560" s="6">
        <f>-ACE_Input!W80*LN(H560)</f>
        <v>7.7201885508108274</v>
      </c>
      <c r="J560" s="6">
        <f>-ACE_Input!X80*LN(H560)</f>
        <v>23.160565652432481</v>
      </c>
      <c r="K560" s="6">
        <f>ACE_Input!U80</f>
        <v>300</v>
      </c>
      <c r="L560" s="6">
        <f>K560*ACE_Input!V80</f>
        <v>75</v>
      </c>
    </row>
    <row r="561" spans="1:12" x14ac:dyDescent="0.2">
      <c r="A561">
        <f>5</f>
        <v>5</v>
      </c>
      <c r="B561">
        <f>ACE_Input!A81</f>
        <v>76</v>
      </c>
      <c r="C561" s="6">
        <f>MOD(Settings!$B$17*(C560),Settings!$B$18)</f>
        <v>1745547245</v>
      </c>
      <c r="D561" s="6">
        <f>MAX(C561,1)/Settings!$B$18</f>
        <v>0.81283377754168296</v>
      </c>
      <c r="E561" s="6">
        <f t="shared" si="18"/>
        <v>5</v>
      </c>
      <c r="F561" s="6">
        <f>ACE_Input!D81</f>
        <v>529</v>
      </c>
      <c r="G561" s="6">
        <f>MOD(Settings!$B$17*(G560),Settings!$B$18)</f>
        <v>839197797</v>
      </c>
      <c r="H561" s="6">
        <f>MAX(G561,1)/Settings!$B$18</f>
        <v>0.39078192663881084</v>
      </c>
      <c r="I561" s="6">
        <f>-ACE_Input!W81*LN(H561)</f>
        <v>3.7584224278755545</v>
      </c>
      <c r="J561" s="6">
        <f>-ACE_Input!X81*LN(H561)</f>
        <v>11.275267283626663</v>
      </c>
      <c r="K561" s="6">
        <f>ACE_Input!U81</f>
        <v>300</v>
      </c>
      <c r="L561" s="6">
        <f>K561*ACE_Input!V81</f>
        <v>75</v>
      </c>
    </row>
    <row r="562" spans="1:12" x14ac:dyDescent="0.2">
      <c r="A562">
        <f>5</f>
        <v>5</v>
      </c>
      <c r="B562">
        <f>ACE_Input!A82</f>
        <v>77</v>
      </c>
      <c r="C562" s="6">
        <f>MOD(Settings!$B$17*(C561),Settings!$B$18)</f>
        <v>638445048</v>
      </c>
      <c r="D562" s="6">
        <f>MAX(C562,1)/Settings!$B$18</f>
        <v>0.29729914306537208</v>
      </c>
      <c r="E562" s="6">
        <f t="shared" si="18"/>
        <v>5</v>
      </c>
      <c r="F562" s="6">
        <f>ACE_Input!D82</f>
        <v>534</v>
      </c>
      <c r="G562" s="6">
        <f>MOD(Settings!$B$17*(G561),Settings!$B$18)</f>
        <v>1872264330</v>
      </c>
      <c r="H562" s="6">
        <f>MAX(G562,1)/Settings!$B$18</f>
        <v>0.87184101849414453</v>
      </c>
      <c r="I562" s="6">
        <f>-ACE_Input!W82*LN(H562)</f>
        <v>0.54859275974323263</v>
      </c>
      <c r="J562" s="6">
        <f>-ACE_Input!X82*LN(H562)</f>
        <v>1.645778279229698</v>
      </c>
      <c r="K562" s="6">
        <f>ACE_Input!U82</f>
        <v>300</v>
      </c>
      <c r="L562" s="6">
        <f>K562*ACE_Input!V82</f>
        <v>75</v>
      </c>
    </row>
    <row r="563" spans="1:12" x14ac:dyDescent="0.2">
      <c r="A563">
        <f>5</f>
        <v>5</v>
      </c>
      <c r="B563">
        <f>ACE_Input!A83</f>
        <v>78</v>
      </c>
      <c r="C563" s="6">
        <f>MOD(Settings!$B$17*(C562),Settings!$B$18)</f>
        <v>1517621324</v>
      </c>
      <c r="D563" s="6">
        <f>MAX(C563,1)/Settings!$B$18</f>
        <v>0.7066974997085973</v>
      </c>
      <c r="E563" s="6">
        <f t="shared" si="18"/>
        <v>5</v>
      </c>
      <c r="F563" s="6">
        <f>ACE_Input!D83</f>
        <v>539</v>
      </c>
      <c r="G563" s="6">
        <f>MOD(Settings!$B$17*(G562),Settings!$B$18)</f>
        <v>68714819</v>
      </c>
      <c r="H563" s="6">
        <f>MAX(G563,1)/Settings!$B$18</f>
        <v>3.1997831087558451E-2</v>
      </c>
      <c r="I563" s="6">
        <f>-ACE_Input!W83*LN(H563)</f>
        <v>13.768348627973104</v>
      </c>
      <c r="J563" s="6">
        <f>-ACE_Input!X83*LN(H563)</f>
        <v>41.305045883919313</v>
      </c>
      <c r="K563" s="6">
        <f>ACE_Input!U83</f>
        <v>300</v>
      </c>
      <c r="L563" s="6">
        <f>K563*ACE_Input!V83</f>
        <v>75</v>
      </c>
    </row>
    <row r="564" spans="1:12" x14ac:dyDescent="0.2">
      <c r="A564">
        <f>5</f>
        <v>5</v>
      </c>
      <c r="B564">
        <f>ACE_Input!A84</f>
        <v>79</v>
      </c>
      <c r="C564" s="6">
        <f>MOD(Settings!$B$17*(C563),Settings!$B$18)</f>
        <v>998317049</v>
      </c>
      <c r="D564" s="6">
        <f>MAX(C564,1)/Settings!$B$18</f>
        <v>0.46487760239507891</v>
      </c>
      <c r="E564" s="6">
        <f t="shared" si="18"/>
        <v>5</v>
      </c>
      <c r="F564" s="6">
        <f>ACE_Input!D84</f>
        <v>544</v>
      </c>
      <c r="G564" s="6">
        <f>MOD(Settings!$B$17*(G563),Settings!$B$18)</f>
        <v>1691244494</v>
      </c>
      <c r="H564" s="6">
        <f>MAX(G564,1)/Settings!$B$18</f>
        <v>0.78754708859489631</v>
      </c>
      <c r="I564" s="6">
        <f>-ACE_Input!W84*LN(H564)</f>
        <v>0.95532846011545192</v>
      </c>
      <c r="J564" s="6">
        <f>-ACE_Input!X84*LN(H564)</f>
        <v>2.8659853803463555</v>
      </c>
      <c r="K564" s="6">
        <f>ACE_Input!U84</f>
        <v>300</v>
      </c>
      <c r="L564" s="6">
        <f>K564*ACE_Input!V84</f>
        <v>75</v>
      </c>
    </row>
    <row r="565" spans="1:12" x14ac:dyDescent="0.2">
      <c r="A565">
        <f>5</f>
        <v>5</v>
      </c>
      <c r="B565">
        <f>ACE_Input!A85</f>
        <v>80</v>
      </c>
      <c r="C565" s="6">
        <f>MOD(Settings!$B$17*(C564),Settings!$B$18)</f>
        <v>424908532</v>
      </c>
      <c r="D565" s="6">
        <f>MAX(C565,1)/Settings!$B$18</f>
        <v>0.19786345409129907</v>
      </c>
      <c r="E565" s="6">
        <f t="shared" si="18"/>
        <v>5</v>
      </c>
      <c r="F565" s="6">
        <f>ACE_Input!D85</f>
        <v>549</v>
      </c>
      <c r="G565" s="6">
        <f>MOD(Settings!$B$17*(G564),Settings!$B$18)</f>
        <v>652658966</v>
      </c>
      <c r="H565" s="6">
        <f>MAX(G565,1)/Settings!$B$18</f>
        <v>0.30391801442202088</v>
      </c>
      <c r="I565" s="6">
        <f>-ACE_Input!W85*LN(H565)</f>
        <v>4.7639892133995554</v>
      </c>
      <c r="J565" s="6">
        <f>-ACE_Input!X85*LN(H565)</f>
        <v>14.291967640198667</v>
      </c>
      <c r="K565" s="6">
        <f>ACE_Input!U85</f>
        <v>300</v>
      </c>
      <c r="L565" s="6">
        <f>K565*ACE_Input!V85</f>
        <v>75</v>
      </c>
    </row>
    <row r="566" spans="1:12" x14ac:dyDescent="0.2">
      <c r="A566">
        <f>5</f>
        <v>5</v>
      </c>
      <c r="B566">
        <f>ACE_Input!A86</f>
        <v>81</v>
      </c>
      <c r="C566" s="6">
        <f>MOD(Settings!$B$17*(C565),Settings!$B$18)</f>
        <v>1054571049</v>
      </c>
      <c r="D566" s="6">
        <f>MAX(C566,1)/Settings!$B$18</f>
        <v>0.49107291246348661</v>
      </c>
      <c r="E566" s="6">
        <f t="shared" si="18"/>
        <v>5</v>
      </c>
      <c r="F566" s="6">
        <f>ACE_Input!D86</f>
        <v>554</v>
      </c>
      <c r="G566" s="6">
        <f>MOD(Settings!$B$17*(G565),Settings!$B$18)</f>
        <v>2040256333</v>
      </c>
      <c r="H566" s="6">
        <f>MAX(G566,1)/Settings!$B$18</f>
        <v>0.95006839090495765</v>
      </c>
      <c r="I566" s="6">
        <f>-ACE_Input!W86*LN(H566)</f>
        <v>0.2048852262098628</v>
      </c>
      <c r="J566" s="6">
        <f>-ACE_Input!X86*LN(H566)</f>
        <v>0.61465567862958836</v>
      </c>
      <c r="K566" s="6">
        <f>ACE_Input!U86</f>
        <v>300</v>
      </c>
      <c r="L566" s="6">
        <f>K566*ACE_Input!V86</f>
        <v>75</v>
      </c>
    </row>
    <row r="567" spans="1:12" x14ac:dyDescent="0.2">
      <c r="A567">
        <f>5</f>
        <v>5</v>
      </c>
      <c r="B567">
        <f>ACE_Input!A87</f>
        <v>82</v>
      </c>
      <c r="C567" s="6">
        <f>MOD(Settings!$B$17*(C566),Settings!$B$18)</f>
        <v>993081852</v>
      </c>
      <c r="D567" s="6">
        <f>MAX(C567,1)/Settings!$B$18</f>
        <v>0.4624397738196141</v>
      </c>
      <c r="E567" s="6">
        <f t="shared" si="18"/>
        <v>5</v>
      </c>
      <c r="F567" s="6">
        <f>ACE_Input!D87</f>
        <v>559</v>
      </c>
      <c r="G567" s="6">
        <f>MOD(Settings!$B$17*(G566),Settings!$B$18)</f>
        <v>1716797082</v>
      </c>
      <c r="H567" s="6">
        <f>MAX(G567,1)/Settings!$B$18</f>
        <v>0.79944593962256139</v>
      </c>
      <c r="I567" s="6">
        <f>-ACE_Input!W87*LN(H567)</f>
        <v>0.8953454669087656</v>
      </c>
      <c r="J567" s="6">
        <f>-ACE_Input!X87*LN(H567)</f>
        <v>2.6860364007262967</v>
      </c>
      <c r="K567" s="6">
        <f>ACE_Input!U87</f>
        <v>300</v>
      </c>
      <c r="L567" s="6">
        <f>K567*ACE_Input!V87</f>
        <v>75</v>
      </c>
    </row>
    <row r="568" spans="1:12" x14ac:dyDescent="0.2">
      <c r="A568">
        <f>5</f>
        <v>5</v>
      </c>
      <c r="B568">
        <f>ACE_Input!A88</f>
        <v>83</v>
      </c>
      <c r="C568" s="6">
        <f>MOD(Settings!$B$17*(C567),Settings!$B$18)</f>
        <v>483782080</v>
      </c>
      <c r="D568" s="6">
        <f>MAX(C568,1)/Settings!$B$18</f>
        <v>0.22527858625411923</v>
      </c>
      <c r="E568" s="6">
        <f t="shared" si="18"/>
        <v>5</v>
      </c>
      <c r="F568" s="6">
        <f>ACE_Input!D88</f>
        <v>564</v>
      </c>
      <c r="G568" s="6">
        <f>MOD(Settings!$B$17*(G567),Settings!$B$18)</f>
        <v>618276082</v>
      </c>
      <c r="H568" s="6">
        <f>MAX(G568,1)/Settings!$B$18</f>
        <v>0.28790723638977261</v>
      </c>
      <c r="I568" s="6">
        <f>-ACE_Input!W88*LN(H568)</f>
        <v>4.9804677863962077</v>
      </c>
      <c r="J568" s="6">
        <f>-ACE_Input!X88*LN(H568)</f>
        <v>14.941403359188623</v>
      </c>
      <c r="K568" s="6">
        <f>ACE_Input!U88</f>
        <v>300</v>
      </c>
      <c r="L568" s="6">
        <f>K568*ACE_Input!V88</f>
        <v>75</v>
      </c>
    </row>
    <row r="569" spans="1:12" x14ac:dyDescent="0.2">
      <c r="A569">
        <f>5</f>
        <v>5</v>
      </c>
      <c r="B569">
        <f>ACE_Input!A89</f>
        <v>84</v>
      </c>
      <c r="C569" s="6">
        <f>MOD(Settings!$B$17*(C568),Settings!$B$18)</f>
        <v>552331018</v>
      </c>
      <c r="D569" s="6">
        <f>MAX(C569,1)/Settings!$B$18</f>
        <v>0.2571991729816418</v>
      </c>
      <c r="E569" s="6">
        <f t="shared" si="18"/>
        <v>5</v>
      </c>
      <c r="F569" s="6">
        <f>ACE_Input!D89</f>
        <v>569</v>
      </c>
      <c r="G569" s="6">
        <f>MOD(Settings!$B$17*(G568),Settings!$B$18)</f>
        <v>1840225988</v>
      </c>
      <c r="H569" s="6">
        <f>MAX(G569,1)/Settings!$B$18</f>
        <v>0.8569220029082717</v>
      </c>
      <c r="I569" s="6">
        <f>-ACE_Input!W89*LN(H569)</f>
        <v>0.61763350520730342</v>
      </c>
      <c r="J569" s="6">
        <f>-ACE_Input!X89*LN(H569)</f>
        <v>1.8529005156219103</v>
      </c>
      <c r="K569" s="6">
        <f>ACE_Input!U89</f>
        <v>300</v>
      </c>
      <c r="L569" s="6">
        <f>K569*ACE_Input!V89</f>
        <v>75</v>
      </c>
    </row>
    <row r="570" spans="1:12" x14ac:dyDescent="0.2">
      <c r="A570">
        <f>5</f>
        <v>5</v>
      </c>
      <c r="B570">
        <f>ACE_Input!A90</f>
        <v>85</v>
      </c>
      <c r="C570" s="6">
        <f>MOD(Settings!$B$17*(C569),Settings!$B$18)</f>
        <v>1603097192</v>
      </c>
      <c r="D570" s="6">
        <f>MAX(C570,1)/Settings!$B$18</f>
        <v>0.74650030245375831</v>
      </c>
      <c r="E570" s="6">
        <f t="shared" si="18"/>
        <v>5</v>
      </c>
      <c r="F570" s="6">
        <f>ACE_Input!D90</f>
        <v>574</v>
      </c>
      <c r="G570" s="6">
        <f>MOD(Settings!$B$17*(G569),Settings!$B$18)</f>
        <v>618696222</v>
      </c>
      <c r="H570" s="6">
        <f>MAX(G570,1)/Settings!$B$18</f>
        <v>0.28810287932311318</v>
      </c>
      <c r="I570" s="6">
        <f>-ACE_Input!W90*LN(H570)</f>
        <v>4.9777505710483938</v>
      </c>
      <c r="J570" s="6">
        <f>-ACE_Input!X90*LN(H570)</f>
        <v>14.933251713145182</v>
      </c>
      <c r="K570" s="6">
        <f>ACE_Input!U90</f>
        <v>300</v>
      </c>
      <c r="L570" s="6">
        <f>K570*ACE_Input!V90</f>
        <v>75</v>
      </c>
    </row>
    <row r="571" spans="1:12" x14ac:dyDescent="0.2">
      <c r="A571">
        <f>5</f>
        <v>5</v>
      </c>
      <c r="B571">
        <f>ACE_Input!A91</f>
        <v>86</v>
      </c>
      <c r="C571" s="6">
        <f>MOD(Settings!$B$17*(C570),Settings!$B$18)</f>
        <v>924670682</v>
      </c>
      <c r="D571" s="6">
        <f>MAX(C571,1)/Settings!$B$18</f>
        <v>0.4305833403163512</v>
      </c>
      <c r="E571" s="6">
        <f t="shared" si="18"/>
        <v>5</v>
      </c>
      <c r="F571" s="6">
        <f>ACE_Input!D91</f>
        <v>579</v>
      </c>
      <c r="G571" s="6">
        <f>MOD(Settings!$B$17*(G570),Settings!$B$18)</f>
        <v>311584380</v>
      </c>
      <c r="H571" s="6">
        <f>MAX(G571,1)/Settings!$B$18</f>
        <v>0.1450927835633479</v>
      </c>
      <c r="I571" s="6">
        <f>-ACE_Input!W91*LN(H571)</f>
        <v>7.7215274182317977</v>
      </c>
      <c r="J571" s="6">
        <f>-ACE_Input!X91*LN(H571)</f>
        <v>23.164582254695393</v>
      </c>
      <c r="K571" s="6">
        <f>ACE_Input!U91</f>
        <v>300</v>
      </c>
      <c r="L571" s="6">
        <f>K571*ACE_Input!V91</f>
        <v>75</v>
      </c>
    </row>
    <row r="572" spans="1:12" x14ac:dyDescent="0.2">
      <c r="A572">
        <f>5</f>
        <v>5</v>
      </c>
      <c r="B572">
        <f>ACE_Input!A92</f>
        <v>87</v>
      </c>
      <c r="C572" s="6">
        <f>MOD(Settings!$B$17*(C571),Settings!$B$18)</f>
        <v>1748482682</v>
      </c>
      <c r="D572" s="6">
        <f>MAX(C572,1)/Settings!$B$18</f>
        <v>0.81420069691455021</v>
      </c>
      <c r="E572" s="6">
        <f t="shared" si="18"/>
        <v>5</v>
      </c>
      <c r="F572" s="6">
        <f>ACE_Input!D92</f>
        <v>584</v>
      </c>
      <c r="G572" s="6">
        <f>MOD(Settings!$B$17*(G571),Settings!$B$18)</f>
        <v>1233543274</v>
      </c>
      <c r="H572" s="6">
        <f>MAX(G572,1)/Settings!$B$18</f>
        <v>0.57441334918812537</v>
      </c>
      <c r="I572" s="6">
        <f>-ACE_Input!W92*LN(H572)</f>
        <v>2.2176240851525972</v>
      </c>
      <c r="J572" s="6">
        <f>-ACE_Input!X92*LN(H572)</f>
        <v>6.6528722554577921</v>
      </c>
      <c r="K572" s="6">
        <f>ACE_Input!U92</f>
        <v>300</v>
      </c>
      <c r="L572" s="6">
        <f>K572*ACE_Input!V92</f>
        <v>75</v>
      </c>
    </row>
    <row r="573" spans="1:12" x14ac:dyDescent="0.2">
      <c r="A573">
        <f>5</f>
        <v>5</v>
      </c>
      <c r="B573">
        <f>ACE_Input!A93</f>
        <v>88</v>
      </c>
      <c r="C573" s="6">
        <f>MOD(Settings!$B$17*(C572),Settings!$B$18)</f>
        <v>582210826</v>
      </c>
      <c r="D573" s="6">
        <f>MAX(C573,1)/Settings!$B$18</f>
        <v>0.27111304284590904</v>
      </c>
      <c r="E573" s="6">
        <f t="shared" si="18"/>
        <v>5</v>
      </c>
      <c r="F573" s="6">
        <f>ACE_Input!D93</f>
        <v>589</v>
      </c>
      <c r="G573" s="6">
        <f>MOD(Settings!$B$17*(G572),Settings!$B$18)</f>
        <v>354677980</v>
      </c>
      <c r="H573" s="6">
        <f>MAX(G573,1)/Settings!$B$18</f>
        <v>0.16515980482341713</v>
      </c>
      <c r="I573" s="6">
        <f>-ACE_Input!W93*LN(H573)</f>
        <v>7.2033670388295787</v>
      </c>
      <c r="J573" s="6">
        <f>-ACE_Input!X93*LN(H573)</f>
        <v>21.610101116488735</v>
      </c>
      <c r="K573" s="6">
        <f>ACE_Input!U93</f>
        <v>300</v>
      </c>
      <c r="L573" s="6">
        <f>K573*ACE_Input!V93</f>
        <v>75</v>
      </c>
    </row>
    <row r="574" spans="1:12" x14ac:dyDescent="0.2">
      <c r="A574">
        <f>5</f>
        <v>5</v>
      </c>
      <c r="B574">
        <f>ACE_Input!A94</f>
        <v>89</v>
      </c>
      <c r="C574" s="6">
        <f>MOD(Settings!$B$17*(C573),Settings!$B$18)</f>
        <v>1281856850</v>
      </c>
      <c r="D574" s="6">
        <f>MAX(C574,1)/Settings!$B$18</f>
        <v>0.59691111119320206</v>
      </c>
      <c r="E574" s="6">
        <f t="shared" si="18"/>
        <v>5</v>
      </c>
      <c r="F574" s="6">
        <f>ACE_Input!D94</f>
        <v>594</v>
      </c>
      <c r="G574" s="6">
        <f>MOD(Settings!$B$17*(G573),Settings!$B$18)</f>
        <v>1805689435</v>
      </c>
      <c r="H574" s="6">
        <f>MAX(G574,1)/Settings!$B$18</f>
        <v>0.84083966717163083</v>
      </c>
      <c r="I574" s="6">
        <f>-ACE_Input!W94*LN(H574)</f>
        <v>0.69341713056077259</v>
      </c>
      <c r="J574" s="6">
        <f>-ACE_Input!X94*LN(H574)</f>
        <v>2.0802513916823178</v>
      </c>
      <c r="K574" s="6">
        <f>ACE_Input!U94</f>
        <v>300</v>
      </c>
      <c r="L574" s="6">
        <f>K574*ACE_Input!V94</f>
        <v>75</v>
      </c>
    </row>
    <row r="575" spans="1:12" x14ac:dyDescent="0.2">
      <c r="A575">
        <f>5</f>
        <v>5</v>
      </c>
      <c r="B575">
        <f>ACE_Input!A95</f>
        <v>90</v>
      </c>
      <c r="C575" s="6">
        <f>MOD(Settings!$B$17*(C574),Settings!$B$18)</f>
        <v>612131246</v>
      </c>
      <c r="D575" s="6">
        <f>MAX(C575,1)/Settings!$B$18</f>
        <v>0.28504582414638524</v>
      </c>
      <c r="E575" s="6">
        <f t="shared" si="18"/>
        <v>5</v>
      </c>
      <c r="F575" s="6">
        <f>ACE_Input!D95</f>
        <v>599</v>
      </c>
      <c r="G575" s="6">
        <f>MOD(Settings!$B$17*(G574),Settings!$B$18)</f>
        <v>2130918288</v>
      </c>
      <c r="H575" s="6">
        <f>MAX(G575,1)/Settings!$B$18</f>
        <v>0.99228615359975314</v>
      </c>
      <c r="I575" s="6">
        <f>-ACE_Input!W95*LN(H575)</f>
        <v>3.0975008016596993E-2</v>
      </c>
      <c r="J575" s="6">
        <f>-ACE_Input!X95*LN(H575)</f>
        <v>9.2925024049790972E-2</v>
      </c>
      <c r="K575" s="6">
        <f>ACE_Input!U95</f>
        <v>300</v>
      </c>
      <c r="L575" s="6">
        <f>K575*ACE_Input!V95</f>
        <v>75</v>
      </c>
    </row>
    <row r="576" spans="1:12" x14ac:dyDescent="0.2">
      <c r="A576">
        <f>5</f>
        <v>5</v>
      </c>
      <c r="B576">
        <f>ACE_Input!A96</f>
        <v>91</v>
      </c>
      <c r="C576" s="6">
        <f>MOD(Settings!$B$17*(C575),Settings!$B$18)</f>
        <v>1643182392</v>
      </c>
      <c r="D576" s="6">
        <f>MAX(C576,1)/Settings!$B$18</f>
        <v>0.76516642829643866</v>
      </c>
      <c r="E576" s="6">
        <f t="shared" si="18"/>
        <v>5</v>
      </c>
      <c r="F576" s="6">
        <f>ACE_Input!D96</f>
        <v>604</v>
      </c>
      <c r="G576" s="6">
        <f>MOD(Settings!$B$17*(G575),Settings!$B$18)</f>
        <v>758885397</v>
      </c>
      <c r="H576" s="6">
        <f>MAX(G576,1)/Settings!$B$18</f>
        <v>0.3533835510506218</v>
      </c>
      <c r="I576" s="6">
        <f>-ACE_Input!W96*LN(H576)</f>
        <v>4.16080506011222</v>
      </c>
      <c r="J576" s="6">
        <f>-ACE_Input!X96*LN(H576)</f>
        <v>12.482415180336659</v>
      </c>
      <c r="K576" s="6">
        <f>ACE_Input!U96</f>
        <v>300</v>
      </c>
      <c r="L576" s="6">
        <f>K576*ACE_Input!V96</f>
        <v>75</v>
      </c>
    </row>
    <row r="577" spans="1:12" x14ac:dyDescent="0.2">
      <c r="A577">
        <f>5</f>
        <v>5</v>
      </c>
      <c r="B577">
        <f>ACE_Input!A97</f>
        <v>92</v>
      </c>
      <c r="C577" s="6">
        <f>MOD(Settings!$B$17*(C576),Settings!$B$18)</f>
        <v>326761924</v>
      </c>
      <c r="D577" s="6">
        <f>MAX(C577,1)/Settings!$B$18</f>
        <v>0.15216037824384887</v>
      </c>
      <c r="E577" s="6">
        <f t="shared" si="18"/>
        <v>5</v>
      </c>
      <c r="F577" s="6">
        <f>ACE_Input!D97</f>
        <v>609</v>
      </c>
      <c r="G577" s="6">
        <f>MOD(Settings!$B$17*(G576),Settings!$B$18)</f>
        <v>681487846</v>
      </c>
      <c r="H577" s="6">
        <f>MAX(G577,1)/Settings!$B$18</f>
        <v>0.31734250780071249</v>
      </c>
      <c r="I577" s="6">
        <f>-ACE_Input!W97*LN(H577)</f>
        <v>4.5910944885604055</v>
      </c>
      <c r="J577" s="6">
        <f>-ACE_Input!X97*LN(H577)</f>
        <v>13.773283465681217</v>
      </c>
      <c r="K577" s="6">
        <f>ACE_Input!U97</f>
        <v>300</v>
      </c>
      <c r="L577" s="6">
        <f>K577*ACE_Input!V97</f>
        <v>75</v>
      </c>
    </row>
    <row r="578" spans="1:12" x14ac:dyDescent="0.2">
      <c r="A578">
        <f>5</f>
        <v>5</v>
      </c>
      <c r="B578">
        <f>ACE_Input!A98</f>
        <v>93</v>
      </c>
      <c r="C578" s="6">
        <f>MOD(Settings!$B$17*(C577),Settings!$B$18)</f>
        <v>771971289</v>
      </c>
      <c r="D578" s="6">
        <f>MAX(C578,1)/Settings!$B$18</f>
        <v>0.35947714436774941</v>
      </c>
      <c r="E578" s="6">
        <f t="shared" si="18"/>
        <v>5</v>
      </c>
      <c r="F578" s="6">
        <f>ACE_Input!D98</f>
        <v>614</v>
      </c>
      <c r="G578" s="6">
        <f>MOD(Settings!$B$17*(G577),Settings!$B$18)</f>
        <v>1235938271</v>
      </c>
      <c r="H578" s="6">
        <f>MAX(G578,1)/Settings!$B$18</f>
        <v>0.5755286065747629</v>
      </c>
      <c r="I578" s="6">
        <f>-ACE_Input!W98*LN(H578)</f>
        <v>2.2098653788581535</v>
      </c>
      <c r="J578" s="6">
        <f>-ACE_Input!X98*LN(H578)</f>
        <v>6.6295961365744605</v>
      </c>
      <c r="K578" s="6">
        <f>ACE_Input!U98</f>
        <v>300</v>
      </c>
      <c r="L578" s="6">
        <f>K578*ACE_Input!V98</f>
        <v>75</v>
      </c>
    </row>
    <row r="579" spans="1:12" x14ac:dyDescent="0.2">
      <c r="A579">
        <f>5</f>
        <v>5</v>
      </c>
      <c r="B579">
        <f>ACE_Input!A99</f>
        <v>94</v>
      </c>
      <c r="C579" s="6">
        <f>MOD(Settings!$B$17*(C578),Settings!$B$18)</f>
        <v>1572742696</v>
      </c>
      <c r="D579" s="6">
        <f>MAX(C579,1)/Settings!$B$18</f>
        <v>0.73236538876423862</v>
      </c>
      <c r="E579" s="6">
        <f t="shared" si="18"/>
        <v>5</v>
      </c>
      <c r="F579" s="6">
        <f>ACE_Input!D99</f>
        <v>619</v>
      </c>
      <c r="G579" s="6">
        <f>MOD(Settings!$B$17*(G578),Settings!$B$18)</f>
        <v>1952686913</v>
      </c>
      <c r="H579" s="6">
        <f>MAX(G579,1)/Settings!$B$18</f>
        <v>0.90929070203997697</v>
      </c>
      <c r="I579" s="6">
        <f>-ACE_Input!W99*LN(H579)</f>
        <v>0.38036172682692826</v>
      </c>
      <c r="J579" s="6">
        <f>-ACE_Input!X99*LN(H579)</f>
        <v>1.1410851804807849</v>
      </c>
      <c r="K579" s="6">
        <f>ACE_Input!U99</f>
        <v>300</v>
      </c>
      <c r="L579" s="6">
        <f>K579*ACE_Input!V99</f>
        <v>75</v>
      </c>
    </row>
    <row r="580" spans="1:12" x14ac:dyDescent="0.2">
      <c r="A580">
        <f>5</f>
        <v>5</v>
      </c>
      <c r="B580">
        <f>ACE_Input!A100</f>
        <v>95</v>
      </c>
      <c r="C580" s="6">
        <f>MOD(Settings!$B$17*(C579),Settings!$B$18)</f>
        <v>1857764396</v>
      </c>
      <c r="D580" s="6">
        <f>MAX(C580,1)/Settings!$B$18</f>
        <v>0.86508896055868312</v>
      </c>
      <c r="E580" s="6">
        <f t="shared" si="18"/>
        <v>5</v>
      </c>
      <c r="F580" s="6">
        <f>ACE_Input!D100</f>
        <v>624</v>
      </c>
      <c r="G580" s="6">
        <f>MOD(Settings!$B$17*(G579),Settings!$B$18)</f>
        <v>963853337</v>
      </c>
      <c r="H580" s="6">
        <f>MAX(G580,1)/Settings!$B$18</f>
        <v>0.4488291858922826</v>
      </c>
      <c r="I580" s="6">
        <f>-ACE_Input!W100*LN(H580)</f>
        <v>3.2044515837351497</v>
      </c>
      <c r="J580" s="6">
        <f>-ACE_Input!X100*LN(H580)</f>
        <v>9.6133547512054491</v>
      </c>
      <c r="K580" s="6">
        <f>ACE_Input!U100</f>
        <v>300</v>
      </c>
      <c r="L580" s="6">
        <f>K580*ACE_Input!V100</f>
        <v>75</v>
      </c>
    </row>
    <row r="581" spans="1:12" x14ac:dyDescent="0.2">
      <c r="A581">
        <f>5</f>
        <v>5</v>
      </c>
      <c r="B581">
        <f>ACE_Input!A101</f>
        <v>96</v>
      </c>
      <c r="C581" s="6">
        <f>MOD(Settings!$B$17*(C580),Settings!$B$18)</f>
        <v>1181459839</v>
      </c>
      <c r="D581" s="6">
        <f>MAX(C581,1)/Settings!$B$18</f>
        <v>0.55016010978732266</v>
      </c>
      <c r="E581" s="6">
        <f t="shared" si="18"/>
        <v>5</v>
      </c>
      <c r="F581" s="6">
        <f>ACE_Input!D101</f>
        <v>629</v>
      </c>
      <c r="G581" s="6">
        <f>MOD(Settings!$B$17*(G580),Settings!$B$18)</f>
        <v>1013885638</v>
      </c>
      <c r="H581" s="6">
        <f>MAX(G581,1)/Settings!$B$18</f>
        <v>0.47212729159375993</v>
      </c>
      <c r="I581" s="6">
        <f>-ACE_Input!W101*LN(H581)</f>
        <v>3.0020265767008043</v>
      </c>
      <c r="J581" s="6">
        <f>-ACE_Input!X101*LN(H581)</f>
        <v>9.0060797301024138</v>
      </c>
      <c r="K581" s="6">
        <f>ACE_Input!U101</f>
        <v>300</v>
      </c>
      <c r="L581" s="6">
        <f>K581*ACE_Input!V101</f>
        <v>75</v>
      </c>
    </row>
    <row r="582" spans="1:12" x14ac:dyDescent="0.2">
      <c r="A582">
        <f>5</f>
        <v>5</v>
      </c>
      <c r="B582">
        <f>ACE_Input!A102</f>
        <v>97</v>
      </c>
      <c r="C582" s="6">
        <f>MOD(Settings!$B$17*(C581),Settings!$B$18)</f>
        <v>1161713911</v>
      </c>
      <c r="D582" s="6">
        <f>MAX(C582,1)/Settings!$B$18</f>
        <v>0.54096519553147493</v>
      </c>
      <c r="E582" s="6">
        <f t="shared" si="18"/>
        <v>5</v>
      </c>
      <c r="F582" s="6">
        <f>ACE_Input!D102</f>
        <v>634</v>
      </c>
      <c r="G582" s="6">
        <f>MOD(Settings!$B$17*(G581),Settings!$B$18)</f>
        <v>93178921</v>
      </c>
      <c r="H582" s="6">
        <f>MAX(G582,1)/Settings!$B$18</f>
        <v>4.3389816323011095E-2</v>
      </c>
      <c r="I582" s="6">
        <f>-ACE_Input!W102*LN(H582)</f>
        <v>12.550122049379622</v>
      </c>
      <c r="J582" s="6">
        <f>-ACE_Input!X102*LN(H582)</f>
        <v>37.650366148138865</v>
      </c>
      <c r="K582" s="6">
        <f>ACE_Input!U102</f>
        <v>300</v>
      </c>
      <c r="L582" s="6">
        <f>K582*ACE_Input!V102</f>
        <v>75</v>
      </c>
    </row>
    <row r="583" spans="1:12" x14ac:dyDescent="0.2">
      <c r="A583">
        <f>5</f>
        <v>5</v>
      </c>
      <c r="B583">
        <f>ACE_Input!A103</f>
        <v>98</v>
      </c>
      <c r="C583" s="6">
        <f>MOD(Settings!$B$17*(C582),Settings!$B$18)</f>
        <v>4383653</v>
      </c>
      <c r="D583" s="6">
        <f>MAX(C583,1)/Settings!$B$18</f>
        <v>2.0412975000409866E-3</v>
      </c>
      <c r="E583" s="6">
        <f t="shared" ref="E583:E585" si="19">F583-F582</f>
        <v>5</v>
      </c>
      <c r="F583" s="6">
        <f>ACE_Input!D103</f>
        <v>639</v>
      </c>
      <c r="G583" s="6">
        <f>MOD(Settings!$B$17*(G582),Settings!$B$18)</f>
        <v>542546584</v>
      </c>
      <c r="H583" s="6">
        <f>MAX(G583,1)/Settings!$B$18</f>
        <v>0.25264294084750255</v>
      </c>
      <c r="I583" s="6">
        <f>-ACE_Input!W103*LN(H583)</f>
        <v>5.5031123523034911</v>
      </c>
      <c r="J583" s="6">
        <f>-ACE_Input!X103*LN(H583)</f>
        <v>16.509337056910475</v>
      </c>
      <c r="K583" s="6">
        <f>ACE_Input!U103</f>
        <v>300</v>
      </c>
      <c r="L583" s="6">
        <f>K583*ACE_Input!V103</f>
        <v>75</v>
      </c>
    </row>
    <row r="584" spans="1:12" x14ac:dyDescent="0.2">
      <c r="A584">
        <f>5</f>
        <v>5</v>
      </c>
      <c r="B584">
        <f>ACE_Input!A104</f>
        <v>99</v>
      </c>
      <c r="C584" s="6">
        <f>MOD(Settings!$B$17*(C583),Settings!$B$18)</f>
        <v>661611973</v>
      </c>
      <c r="D584" s="6">
        <f>MAX(C584,1)/Settings!$B$18</f>
        <v>0.30808708318885747</v>
      </c>
      <c r="E584" s="6">
        <f t="shared" si="19"/>
        <v>45</v>
      </c>
      <c r="F584" s="6">
        <f>ACE_Input!D104</f>
        <v>684</v>
      </c>
      <c r="G584" s="6">
        <f>MOD(Settings!$B$17*(G583),Settings!$B$18)</f>
        <v>364872126</v>
      </c>
      <c r="H584" s="6">
        <f>MAX(G584,1)/Settings!$B$18</f>
        <v>0.16990682397499066</v>
      </c>
      <c r="I584" s="6">
        <f>-ACE_Input!W104*LN(H584)</f>
        <v>7.0900203458208164</v>
      </c>
      <c r="J584" s="6">
        <f>-ACE_Input!X104*LN(H584)</f>
        <v>21.270061037462447</v>
      </c>
      <c r="K584" s="6">
        <f>ACE_Input!U104</f>
        <v>300</v>
      </c>
      <c r="L584" s="6">
        <f>K584*ACE_Input!V104</f>
        <v>75</v>
      </c>
    </row>
    <row r="585" spans="1:12" x14ac:dyDescent="0.2">
      <c r="A585">
        <f>5</f>
        <v>5</v>
      </c>
      <c r="B585">
        <f>ACE_Input!A105</f>
        <v>100</v>
      </c>
      <c r="C585" s="6">
        <f>MOD(Settings!$B$17*(C584),Settings!$B$18)</f>
        <v>42106045</v>
      </c>
      <c r="D585" s="6">
        <f>MAX(C585,1)/Settings!$B$18</f>
        <v>1.9607155127267892E-2</v>
      </c>
      <c r="E585" s="6">
        <f t="shared" si="19"/>
        <v>5</v>
      </c>
      <c r="F585" s="6">
        <f>ACE_Input!D105</f>
        <v>689</v>
      </c>
      <c r="G585" s="6">
        <f>MOD(Settings!$B$17*(G584),Settings!$B$18)</f>
        <v>1340009497</v>
      </c>
      <c r="H585" s="6">
        <f>MAX(G585,1)/Settings!$B$18</f>
        <v>0.6239905476681844</v>
      </c>
      <c r="I585" s="6">
        <f>-ACE_Input!W105*LN(H585)</f>
        <v>1.8864802347803769</v>
      </c>
      <c r="J585" s="6">
        <f>-ACE_Input!X105*LN(H585)</f>
        <v>5.6594407043411303</v>
      </c>
      <c r="K585" s="6">
        <f>ACE_Input!U105</f>
        <v>300</v>
      </c>
      <c r="L585" s="6">
        <f>K585*ACE_Input!V105</f>
        <v>75</v>
      </c>
    </row>
    <row r="586" spans="1:12" x14ac:dyDescent="0.2">
      <c r="C586" s="6"/>
      <c r="D586" s="6"/>
      <c r="E586" s="6"/>
      <c r="F586" s="6"/>
      <c r="G586" s="6"/>
      <c r="H586" s="6"/>
      <c r="I586" s="6"/>
      <c r="J586" s="6"/>
      <c r="K586" s="6"/>
      <c r="L586" s="6"/>
    </row>
    <row r="587" spans="1:12" x14ac:dyDescent="0.2">
      <c r="C587" s="6"/>
      <c r="D587" s="6"/>
      <c r="E587" s="6"/>
      <c r="F587" s="6"/>
      <c r="G587" s="6"/>
      <c r="H587" s="6"/>
      <c r="I587" s="6"/>
      <c r="J587" s="6"/>
      <c r="K587" s="6"/>
      <c r="L587" s="6"/>
    </row>
    <row r="588" spans="1:12" x14ac:dyDescent="0.2">
      <c r="C588" s="6"/>
      <c r="D588" s="6"/>
      <c r="E588" s="6"/>
      <c r="F588" s="6"/>
      <c r="G588" s="6"/>
      <c r="H588" s="6"/>
      <c r="I588" s="6"/>
      <c r="J588" s="6"/>
      <c r="K588" s="6"/>
      <c r="L588" s="6"/>
    </row>
    <row r="589" spans="1:12" x14ac:dyDescent="0.2">
      <c r="C589" s="6"/>
      <c r="D589" s="6"/>
      <c r="E589" s="6"/>
      <c r="F589" s="6"/>
      <c r="G589" s="6"/>
      <c r="H589" s="6"/>
      <c r="I589" s="6"/>
      <c r="J589" s="6"/>
      <c r="K589" s="6"/>
      <c r="L589" s="6"/>
    </row>
    <row r="590" spans="1:12" x14ac:dyDescent="0.2">
      <c r="C590" s="6"/>
      <c r="D590" s="6"/>
      <c r="E590" s="6"/>
      <c r="F590" s="6"/>
      <c r="G590" s="6"/>
      <c r="H590" s="6"/>
      <c r="I590" s="6"/>
      <c r="J590" s="6"/>
      <c r="K590" s="6"/>
      <c r="L590" s="6"/>
    </row>
    <row r="591" spans="1:12" x14ac:dyDescent="0.2">
      <c r="C591" s="6"/>
      <c r="D591" s="6"/>
      <c r="E591" s="6"/>
      <c r="F591" s="6"/>
      <c r="G591" s="6"/>
      <c r="H591" s="6"/>
      <c r="I591" s="6"/>
      <c r="J591" s="6"/>
      <c r="K591" s="6"/>
      <c r="L591" s="6"/>
    </row>
    <row r="592" spans="1:12" x14ac:dyDescent="0.2">
      <c r="C592" s="6"/>
      <c r="D592" s="6"/>
      <c r="E592" s="6"/>
      <c r="F592" s="6"/>
      <c r="G592" s="6"/>
      <c r="H592" s="6"/>
      <c r="I592" s="6"/>
      <c r="J592" s="6"/>
      <c r="K592" s="6"/>
      <c r="L592" s="6"/>
    </row>
    <row r="593" spans="1:12" x14ac:dyDescent="0.2">
      <c r="C593" s="6"/>
      <c r="D593" s="6"/>
      <c r="E593" s="6"/>
      <c r="F593" s="6"/>
      <c r="G593" s="6"/>
      <c r="H593" s="6"/>
      <c r="I593" s="6"/>
      <c r="J593" s="6"/>
      <c r="K593" s="6"/>
      <c r="L593" s="6"/>
    </row>
    <row r="594" spans="1:12" x14ac:dyDescent="0.2">
      <c r="C594" s="6"/>
      <c r="D594" s="6"/>
      <c r="E594" s="6"/>
      <c r="F594" s="6"/>
      <c r="G594" s="6"/>
      <c r="H594" s="6"/>
      <c r="I594" s="6"/>
      <c r="J594" s="6"/>
      <c r="K594" s="6"/>
      <c r="L594" s="6"/>
    </row>
    <row r="595" spans="1:12" x14ac:dyDescent="0.2">
      <c r="C595" s="6"/>
      <c r="D595" s="6"/>
      <c r="E595" s="6"/>
      <c r="F595" s="6"/>
      <c r="G595" s="6"/>
      <c r="H595" s="6"/>
      <c r="I595" s="6"/>
      <c r="J595" s="6"/>
      <c r="K595" s="6"/>
      <c r="L595" s="6"/>
    </row>
    <row r="596" spans="1:12" x14ac:dyDescent="0.2">
      <c r="C596" s="6"/>
      <c r="D596" s="6"/>
      <c r="E596" s="6"/>
      <c r="F596" s="6"/>
      <c r="G596" s="6"/>
      <c r="H596" s="6"/>
      <c r="I596" s="6"/>
      <c r="J596" s="6"/>
      <c r="K596" s="6"/>
      <c r="L596" s="6"/>
    </row>
    <row r="597" spans="1:12" x14ac:dyDescent="0.2">
      <c r="C597" s="6"/>
      <c r="D597" s="6"/>
      <c r="E597" s="6"/>
      <c r="F597" s="6"/>
      <c r="G597" s="6"/>
      <c r="H597" s="6"/>
      <c r="I597" s="6"/>
      <c r="J597" s="6"/>
      <c r="K597" s="6"/>
      <c r="L597" s="6"/>
    </row>
    <row r="598" spans="1:12" x14ac:dyDescent="0.2">
      <c r="C598" s="6"/>
      <c r="D598" s="6"/>
      <c r="E598" s="6"/>
      <c r="F598" s="6"/>
      <c r="G598" s="6"/>
      <c r="H598" s="6"/>
      <c r="I598" s="6"/>
      <c r="J598" s="6"/>
      <c r="K598" s="6"/>
      <c r="L598" s="6"/>
    </row>
    <row r="599" spans="1:12" x14ac:dyDescent="0.2">
      <c r="C599" s="6"/>
      <c r="D599" s="6"/>
      <c r="E599" s="6"/>
      <c r="F599" s="6"/>
      <c r="G599" s="6"/>
      <c r="H599" s="6"/>
      <c r="I599" s="6"/>
      <c r="J599" s="6"/>
      <c r="K599" s="6"/>
      <c r="L599" s="6"/>
    </row>
    <row r="600" spans="1:12" x14ac:dyDescent="0.2">
      <c r="C600" s="6"/>
      <c r="D600" s="6"/>
      <c r="E600" s="6"/>
      <c r="F600" s="6"/>
      <c r="G600" s="6"/>
      <c r="H600" s="6"/>
      <c r="I600" s="6"/>
      <c r="J600" s="6"/>
      <c r="K600" s="6"/>
      <c r="L600" s="6"/>
    </row>
    <row r="601" spans="1:12" x14ac:dyDescent="0.2">
      <c r="C601" s="6"/>
      <c r="D601" s="6"/>
      <c r="E601" s="6"/>
      <c r="F601" s="6"/>
      <c r="G601" s="6"/>
      <c r="H601" s="6"/>
      <c r="I601" s="6"/>
      <c r="J601" s="6"/>
      <c r="K601" s="6"/>
      <c r="L601" s="6"/>
    </row>
    <row r="602" spans="1:12" x14ac:dyDescent="0.2">
      <c r="C602" s="6"/>
      <c r="D602" s="6"/>
      <c r="E602" s="6"/>
      <c r="F602" s="6"/>
      <c r="G602" s="6"/>
      <c r="H602" s="6"/>
      <c r="I602" s="6"/>
      <c r="J602" s="6"/>
      <c r="K602" s="6"/>
      <c r="L602" s="6"/>
    </row>
    <row r="603" spans="1:12" x14ac:dyDescent="0.2">
      <c r="C603" s="6"/>
      <c r="D603" s="6"/>
      <c r="E603" s="6"/>
      <c r="F603" s="6"/>
      <c r="G603" s="6"/>
      <c r="H603" s="6"/>
      <c r="I603" s="6"/>
      <c r="J603" s="6"/>
      <c r="K603" s="6"/>
      <c r="L603" s="6"/>
    </row>
    <row r="604" spans="1:12" x14ac:dyDescent="0.2">
      <c r="C604" s="6"/>
      <c r="D604" s="6"/>
      <c r="E604" s="6"/>
      <c r="F604" s="6"/>
      <c r="G604" s="6"/>
      <c r="H604" s="6"/>
      <c r="I604" s="6"/>
      <c r="J604" s="6"/>
      <c r="K604" s="6"/>
      <c r="L604" s="6"/>
    </row>
    <row r="605" spans="1:12" x14ac:dyDescent="0.2">
      <c r="C605" s="6"/>
      <c r="D605" s="6"/>
      <c r="E605" s="6"/>
      <c r="F605" s="6"/>
      <c r="G605" s="6"/>
      <c r="H605" s="6"/>
      <c r="I605" s="6"/>
      <c r="J605" s="6"/>
      <c r="K605" s="6"/>
      <c r="L605" s="6"/>
    </row>
    <row r="606" spans="1:12" x14ac:dyDescent="0.2">
      <c r="A606">
        <f>6</f>
        <v>6</v>
      </c>
      <c r="B606">
        <f>ACE_Input!A6</f>
        <v>1</v>
      </c>
      <c r="C606" s="6">
        <f>MOD(Settings!$B$17*(Settings!$B$15+1000*A606),Settings!$B$18)</f>
        <v>308324415</v>
      </c>
      <c r="D606" s="6">
        <f>MAX(C606,1)/Settings!$B$18</f>
        <v>0.14357474406416282</v>
      </c>
      <c r="E606" s="6">
        <f>F606</f>
        <v>2</v>
      </c>
      <c r="F606" s="6">
        <f>ACE_Input!D6</f>
        <v>2</v>
      </c>
      <c r="G606" s="6">
        <f>MOD(Settings!$B$17*(Settings!$B$16+1000*A606),Settings!$B$18)</f>
        <v>1013815047</v>
      </c>
      <c r="H606" s="6">
        <f>MAX(G606,1)/Settings!$B$18</f>
        <v>0.47209442009781227</v>
      </c>
      <c r="I606" s="6">
        <f>-ACE_Input!W6*LN(H606)</f>
        <v>3.0023050832892797</v>
      </c>
      <c r="J606" s="6">
        <f>-ACE_Input!X6*LN(H606)</f>
        <v>9.0069152498678395</v>
      </c>
      <c r="K606" s="6">
        <f>ACE_Input!U6</f>
        <v>300</v>
      </c>
      <c r="L606" s="6">
        <f>K606*ACE_Input!V6</f>
        <v>75</v>
      </c>
    </row>
    <row r="607" spans="1:12" x14ac:dyDescent="0.2">
      <c r="A607">
        <f>6</f>
        <v>6</v>
      </c>
      <c r="B607">
        <f>ACE_Input!A7</f>
        <v>2</v>
      </c>
      <c r="C607" s="6">
        <f>MOD(Settings!$B$17*(C606),Settings!$B$18)</f>
        <v>130402694</v>
      </c>
      <c r="D607" s="6">
        <f>MAX(C607,1)/Settings!$B$18</f>
        <v>6.0723486384713782E-2</v>
      </c>
      <c r="E607" s="6">
        <f t="shared" ref="E607:E638" si="20">F607-F606</f>
        <v>5</v>
      </c>
      <c r="F607" s="6">
        <f>ACE_Input!D7</f>
        <v>7</v>
      </c>
      <c r="G607" s="6">
        <f>MOD(Settings!$B$17*(G606),Settings!$B$18)</f>
        <v>1054239631</v>
      </c>
      <c r="H607" s="6">
        <f>MAX(G607,1)/Settings!$B$18</f>
        <v>0.49091858393089782</v>
      </c>
      <c r="I607" s="6">
        <f>-ACE_Input!W7*LN(H607)</f>
        <v>2.8459079271123899</v>
      </c>
      <c r="J607" s="6">
        <f>-ACE_Input!X7*LN(H607)</f>
        <v>8.5377237813371707</v>
      </c>
      <c r="K607" s="6">
        <f>ACE_Input!U7</f>
        <v>300</v>
      </c>
      <c r="L607" s="6">
        <f>K607*ACE_Input!V7</f>
        <v>75</v>
      </c>
    </row>
    <row r="608" spans="1:12" x14ac:dyDescent="0.2">
      <c r="A608">
        <f>6</f>
        <v>6</v>
      </c>
      <c r="B608">
        <f>ACE_Input!A8</f>
        <v>3</v>
      </c>
      <c r="C608" s="6">
        <f>MOD(Settings!$B$17*(C607),Settings!$B$18)</f>
        <v>1244758118</v>
      </c>
      <c r="D608" s="6">
        <f>MAX(C608,1)/Settings!$B$18</f>
        <v>0.57963566788455267</v>
      </c>
      <c r="E608" s="6">
        <f t="shared" si="20"/>
        <v>25</v>
      </c>
      <c r="F608" s="6">
        <f>ACE_Input!D8</f>
        <v>32</v>
      </c>
      <c r="G608" s="6">
        <f>MOD(Settings!$B$17*(G607),Settings!$B$18)</f>
        <v>1865390467</v>
      </c>
      <c r="H608" s="6">
        <f>MAX(G608,1)/Settings!$B$18</f>
        <v>0.86864012659929701</v>
      </c>
      <c r="I608" s="6">
        <f>-ACE_Input!W8*LN(H608)</f>
        <v>0.56330545232297302</v>
      </c>
      <c r="J608" s="6">
        <f>-ACE_Input!X8*LN(H608)</f>
        <v>1.6899163569689191</v>
      </c>
      <c r="K608" s="6">
        <f>ACE_Input!U8</f>
        <v>300</v>
      </c>
      <c r="L608" s="6">
        <f>K608*ACE_Input!V8</f>
        <v>75</v>
      </c>
    </row>
    <row r="609" spans="1:12" x14ac:dyDescent="0.2">
      <c r="A609">
        <f>6</f>
        <v>6</v>
      </c>
      <c r="B609">
        <f>ACE_Input!A9</f>
        <v>4</v>
      </c>
      <c r="C609" s="6">
        <f>MOD(Settings!$B$17*(C608),Settings!$B$18)</f>
        <v>2011483799</v>
      </c>
      <c r="D609" s="6">
        <f>MAX(C609,1)/Settings!$B$18</f>
        <v>0.93667013567717283</v>
      </c>
      <c r="E609" s="6">
        <f t="shared" si="20"/>
        <v>5</v>
      </c>
      <c r="F609" s="6">
        <f>ACE_Input!D9</f>
        <v>37</v>
      </c>
      <c r="G609" s="6">
        <f>MOD(Settings!$B$17*(G608),Settings!$B$18)</f>
        <v>503816316</v>
      </c>
      <c r="H609" s="6">
        <f>MAX(G609,1)/Settings!$B$18</f>
        <v>0.2346077543844505</v>
      </c>
      <c r="I609" s="6">
        <f>-ACE_Input!W9*LN(H609)</f>
        <v>5.7993611586674501</v>
      </c>
      <c r="J609" s="6">
        <f>-ACE_Input!X9*LN(H609)</f>
        <v>17.398083476002348</v>
      </c>
      <c r="K609" s="6">
        <f>ACE_Input!U9</f>
        <v>300</v>
      </c>
      <c r="L609" s="6">
        <f>K609*ACE_Input!V9</f>
        <v>75</v>
      </c>
    </row>
    <row r="610" spans="1:12" x14ac:dyDescent="0.2">
      <c r="A610">
        <f>6</f>
        <v>6</v>
      </c>
      <c r="B610">
        <f>ACE_Input!A10</f>
        <v>5</v>
      </c>
      <c r="C610" s="6">
        <f>MOD(Settings!$B$17*(C609),Settings!$B$18)</f>
        <v>1320638719</v>
      </c>
      <c r="D610" s="6">
        <f>MAX(C610,1)/Settings!$B$18</f>
        <v>0.61497032624435155</v>
      </c>
      <c r="E610" s="6">
        <f t="shared" si="20"/>
        <v>5</v>
      </c>
      <c r="F610" s="6">
        <f>ACE_Input!D10</f>
        <v>42</v>
      </c>
      <c r="G610" s="6">
        <f>MOD(Settings!$B$17*(G609),Settings!$B$18)</f>
        <v>112802891</v>
      </c>
      <c r="H610" s="6">
        <f>MAX(G610,1)/Settings!$B$18</f>
        <v>5.252793945955482E-2</v>
      </c>
      <c r="I610" s="6">
        <f>-ACE_Input!W10*LN(H610)</f>
        <v>11.785640283040859</v>
      </c>
      <c r="J610" s="6">
        <f>-ACE_Input!X10*LN(H610)</f>
        <v>35.356920849122574</v>
      </c>
      <c r="K610" s="6">
        <f>ACE_Input!U10</f>
        <v>300</v>
      </c>
      <c r="L610" s="6">
        <f>K610*ACE_Input!V10</f>
        <v>75</v>
      </c>
    </row>
    <row r="611" spans="1:12" x14ac:dyDescent="0.2">
      <c r="A611">
        <f>6</f>
        <v>6</v>
      </c>
      <c r="B611">
        <f>ACE_Input!A11</f>
        <v>6</v>
      </c>
      <c r="C611" s="6">
        <f>MOD(Settings!$B$17*(C610),Settings!$B$18)</f>
        <v>1731458488</v>
      </c>
      <c r="D611" s="6">
        <f>MAX(C611,1)/Settings!$B$18</f>
        <v>0.80627318881744203</v>
      </c>
      <c r="E611" s="6">
        <f t="shared" si="20"/>
        <v>5</v>
      </c>
      <c r="F611" s="6">
        <f>ACE_Input!D11</f>
        <v>47</v>
      </c>
      <c r="G611" s="6">
        <f>MOD(Settings!$B$17*(G610),Settings!$B$18)</f>
        <v>1797612383</v>
      </c>
      <c r="H611" s="6">
        <f>MAX(G611,1)/Settings!$B$18</f>
        <v>0.83707849673790791</v>
      </c>
      <c r="I611" s="6">
        <f>-ACE_Input!W11*LN(H611)</f>
        <v>0.71134971780677103</v>
      </c>
      <c r="J611" s="6">
        <f>-ACE_Input!X11*LN(H611)</f>
        <v>2.134049153420313</v>
      </c>
      <c r="K611" s="6">
        <f>ACE_Input!U11</f>
        <v>300</v>
      </c>
      <c r="L611" s="6">
        <f>K611*ACE_Input!V11</f>
        <v>75</v>
      </c>
    </row>
    <row r="612" spans="1:12" x14ac:dyDescent="0.2">
      <c r="A612">
        <f>6</f>
        <v>6</v>
      </c>
      <c r="B612">
        <f>ACE_Input!A12</f>
        <v>7</v>
      </c>
      <c r="C612" s="6">
        <f>MOD(Settings!$B$17*(C611),Settings!$B$18)</f>
        <v>71907319</v>
      </c>
      <c r="D612" s="6">
        <f>MAX(C612,1)/Settings!$B$18</f>
        <v>3.3484454747980674E-2</v>
      </c>
      <c r="E612" s="6">
        <f t="shared" si="20"/>
        <v>5</v>
      </c>
      <c r="F612" s="6">
        <f>ACE_Input!D12</f>
        <v>52</v>
      </c>
      <c r="G612" s="6">
        <f>MOD(Settings!$B$17*(G611),Settings!$B$18)</f>
        <v>1671375085</v>
      </c>
      <c r="H612" s="6">
        <f>MAX(G612,1)/Settings!$B$18</f>
        <v>0.77829467401760377</v>
      </c>
      <c r="I612" s="6">
        <f>-ACE_Input!W12*LN(H612)</f>
        <v>1.0026002725488405</v>
      </c>
      <c r="J612" s="6">
        <f>-ACE_Input!X12*LN(H612)</f>
        <v>3.0078008176465216</v>
      </c>
      <c r="K612" s="6">
        <f>ACE_Input!U12</f>
        <v>300</v>
      </c>
      <c r="L612" s="6">
        <f>K612*ACE_Input!V12</f>
        <v>75</v>
      </c>
    </row>
    <row r="613" spans="1:12" x14ac:dyDescent="0.2">
      <c r="A613">
        <f>6</f>
        <v>6</v>
      </c>
      <c r="B613">
        <f>ACE_Input!A13</f>
        <v>8</v>
      </c>
      <c r="C613" s="6">
        <f>MOD(Settings!$B$17*(C612),Settings!$B$18)</f>
        <v>1660500819</v>
      </c>
      <c r="D613" s="6">
        <f>MAX(C613,1)/Settings!$B$18</f>
        <v>0.7732309493111591</v>
      </c>
      <c r="E613" s="6">
        <f t="shared" si="20"/>
        <v>5</v>
      </c>
      <c r="F613" s="6">
        <f>ACE_Input!D13</f>
        <v>57</v>
      </c>
      <c r="G613" s="6">
        <f>MOD(Settings!$B$17*(G612),Settings!$B$18)</f>
        <v>1714950835</v>
      </c>
      <c r="H613" s="6">
        <f>MAX(G613,1)/Settings!$B$18</f>
        <v>0.79858621386745299</v>
      </c>
      <c r="I613" s="6">
        <f>-ACE_Input!W13*LN(H613)</f>
        <v>0.89964938951095008</v>
      </c>
      <c r="J613" s="6">
        <f>-ACE_Input!X13*LN(H613)</f>
        <v>2.6989481685328505</v>
      </c>
      <c r="K613" s="6">
        <f>ACE_Input!U13</f>
        <v>300</v>
      </c>
      <c r="L613" s="6">
        <f>K613*ACE_Input!V13</f>
        <v>75</v>
      </c>
    </row>
    <row r="614" spans="1:12" x14ac:dyDescent="0.2">
      <c r="A614">
        <f>6</f>
        <v>6</v>
      </c>
      <c r="B614">
        <f>ACE_Input!A14</f>
        <v>9</v>
      </c>
      <c r="C614" s="6">
        <f>MOD(Settings!$B$17*(C613),Settings!$B$18)</f>
        <v>1487272168</v>
      </c>
      <c r="D614" s="6">
        <f>MAX(C614,1)/Settings!$B$18</f>
        <v>0.69256507265035294</v>
      </c>
      <c r="E614" s="6">
        <f t="shared" si="20"/>
        <v>115</v>
      </c>
      <c r="F614" s="6">
        <f>ACE_Input!D14</f>
        <v>172</v>
      </c>
      <c r="G614" s="6">
        <f>MOD(Settings!$B$17*(G613),Settings!$B$18)</f>
        <v>1800657458</v>
      </c>
      <c r="H614" s="6">
        <f>MAX(G614,1)/Settings!$B$18</f>
        <v>0.83849647028301677</v>
      </c>
      <c r="I614" s="6">
        <f>-ACE_Input!W14*LN(H614)</f>
        <v>0.70457962915533912</v>
      </c>
      <c r="J614" s="6">
        <f>-ACE_Input!X14*LN(H614)</f>
        <v>2.1137388874660172</v>
      </c>
      <c r="K614" s="6">
        <f>ACE_Input!U14</f>
        <v>300</v>
      </c>
      <c r="L614" s="6">
        <f>K614*ACE_Input!V14</f>
        <v>75</v>
      </c>
    </row>
    <row r="615" spans="1:12" x14ac:dyDescent="0.2">
      <c r="A615">
        <f>6</f>
        <v>6</v>
      </c>
      <c r="B615">
        <f>ACE_Input!A15</f>
        <v>10</v>
      </c>
      <c r="C615" s="6">
        <f>MOD(Settings!$B$17*(C614),Settings!$B$18)</f>
        <v>2021160143</v>
      </c>
      <c r="D615" s="6">
        <f>MAX(C615,1)/Settings!$B$18</f>
        <v>0.94117603448274356</v>
      </c>
      <c r="E615" s="6">
        <f t="shared" si="20"/>
        <v>5</v>
      </c>
      <c r="F615" s="6">
        <f>ACE_Input!D15</f>
        <v>177</v>
      </c>
      <c r="G615" s="6">
        <f>MOD(Settings!$B$17*(G614),Settings!$B$18)</f>
        <v>1310343082</v>
      </c>
      <c r="H615" s="6">
        <f>MAX(G615,1)/Settings!$B$18</f>
        <v>0.61017604666304592</v>
      </c>
      <c r="I615" s="6">
        <f>-ACE_Input!W15*LN(H615)</f>
        <v>1.9760310494604096</v>
      </c>
      <c r="J615" s="6">
        <f>-ACE_Input!X15*LN(H615)</f>
        <v>5.9280931483812287</v>
      </c>
      <c r="K615" s="6">
        <f>ACE_Input!U15</f>
        <v>300</v>
      </c>
      <c r="L615" s="6">
        <f>K615*ACE_Input!V15</f>
        <v>75</v>
      </c>
    </row>
    <row r="616" spans="1:12" x14ac:dyDescent="0.2">
      <c r="A616">
        <f>6</f>
        <v>6</v>
      </c>
      <c r="B616">
        <f>ACE_Input!A16</f>
        <v>11</v>
      </c>
      <c r="C616" s="6">
        <f>MOD(Settings!$B$17*(C615),Settings!$B$18)</f>
        <v>742195155</v>
      </c>
      <c r="D616" s="6">
        <f>MAX(C616,1)/Settings!$B$18</f>
        <v>0.345611551471805</v>
      </c>
      <c r="E616" s="6">
        <f t="shared" si="20"/>
        <v>5</v>
      </c>
      <c r="F616" s="6">
        <f>ACE_Input!D16</f>
        <v>182</v>
      </c>
      <c r="G616" s="6">
        <f>MOD(Settings!$B$17*(G615),Settings!$B$18)</f>
        <v>491379189</v>
      </c>
      <c r="H616" s="6">
        <f>MAX(G616,1)/Settings!$B$18</f>
        <v>0.22881626581252379</v>
      </c>
      <c r="I616" s="6">
        <f>-ACE_Input!W16*LN(H616)</f>
        <v>5.8993437206617818</v>
      </c>
      <c r="J616" s="6">
        <f>-ACE_Input!X16*LN(H616)</f>
        <v>17.698031161985345</v>
      </c>
      <c r="K616" s="6">
        <f>ACE_Input!U16</f>
        <v>300</v>
      </c>
      <c r="L616" s="6">
        <f>K616*ACE_Input!V16</f>
        <v>75</v>
      </c>
    </row>
    <row r="617" spans="1:12" x14ac:dyDescent="0.2">
      <c r="A617">
        <f>6</f>
        <v>6</v>
      </c>
      <c r="B617">
        <f>ACE_Input!A17</f>
        <v>12</v>
      </c>
      <c r="C617" s="6">
        <f>MOD(Settings!$B$17*(C616),Settings!$B$18)</f>
        <v>1488948309</v>
      </c>
      <c r="D617" s="6">
        <f>MAX(C617,1)/Settings!$B$18</f>
        <v>0.69334558662648571</v>
      </c>
      <c r="E617" s="6">
        <f t="shared" si="20"/>
        <v>5</v>
      </c>
      <c r="F617" s="6">
        <f>ACE_Input!D17</f>
        <v>187</v>
      </c>
      <c r="G617" s="6">
        <f>MOD(Settings!$B$17*(G616),Settings!$B$18)</f>
        <v>1535406808</v>
      </c>
      <c r="H617" s="6">
        <f>MAX(G617,1)/Settings!$B$18</f>
        <v>0.71497951108728508</v>
      </c>
      <c r="I617" s="6">
        <f>-ACE_Input!W17*LN(H617)</f>
        <v>1.3420055700827769</v>
      </c>
      <c r="J617" s="6">
        <f>-ACE_Input!X17*LN(H617)</f>
        <v>4.0260167102483306</v>
      </c>
      <c r="K617" s="6">
        <f>ACE_Input!U17</f>
        <v>300</v>
      </c>
      <c r="L617" s="6">
        <f>K617*ACE_Input!V17</f>
        <v>75</v>
      </c>
    </row>
    <row r="618" spans="1:12" x14ac:dyDescent="0.2">
      <c r="A618">
        <f>6</f>
        <v>6</v>
      </c>
      <c r="B618">
        <f>ACE_Input!A18</f>
        <v>13</v>
      </c>
      <c r="C618" s="6">
        <f>MOD(Settings!$B$17*(C617),Settings!$B$18)</f>
        <v>127290872</v>
      </c>
      <c r="D618" s="6">
        <f>MAX(C618,1)/Settings!$B$18</f>
        <v>5.9274431345646472E-2</v>
      </c>
      <c r="E618" s="6">
        <f t="shared" si="20"/>
        <v>5</v>
      </c>
      <c r="F618" s="6">
        <f>ACE_Input!D18</f>
        <v>192</v>
      </c>
      <c r="G618" s="6">
        <f>MOD(Settings!$B$17*(G617),Settings!$B$18)</f>
        <v>1418719704</v>
      </c>
      <c r="H618" s="6">
        <f>MAX(G618,1)/Settings!$B$18</f>
        <v>0.6606428440011306</v>
      </c>
      <c r="I618" s="6">
        <f>-ACE_Input!W18*LN(H618)</f>
        <v>1.6581676477418681</v>
      </c>
      <c r="J618" s="6">
        <f>-ACE_Input!X18*LN(H618)</f>
        <v>4.9745029432256045</v>
      </c>
      <c r="K618" s="6">
        <f>ACE_Input!U18</f>
        <v>300</v>
      </c>
      <c r="L618" s="6">
        <f>K618*ACE_Input!V18</f>
        <v>75</v>
      </c>
    </row>
    <row r="619" spans="1:12" x14ac:dyDescent="0.2">
      <c r="A619">
        <f>6</f>
        <v>6</v>
      </c>
      <c r="B619">
        <f>ACE_Input!A19</f>
        <v>14</v>
      </c>
      <c r="C619" s="6">
        <f>MOD(Settings!$B$17*(C618),Settings!$B$18)</f>
        <v>483973292</v>
      </c>
      <c r="D619" s="6">
        <f>MAX(C619,1)/Settings!$B$18</f>
        <v>0.22536762628022936</v>
      </c>
      <c r="E619" s="6">
        <f t="shared" si="20"/>
        <v>5</v>
      </c>
      <c r="F619" s="6">
        <f>ACE_Input!D19</f>
        <v>197</v>
      </c>
      <c r="G619" s="6">
        <f>MOD(Settings!$B$17*(G618),Settings!$B$18)</f>
        <v>911132487</v>
      </c>
      <c r="H619" s="6">
        <f>MAX(G619,1)/Settings!$B$18</f>
        <v>0.42427912700189235</v>
      </c>
      <c r="I619" s="6">
        <f>-ACE_Input!W19*LN(H619)</f>
        <v>3.4294548877839746</v>
      </c>
      <c r="J619" s="6">
        <f>-ACE_Input!X19*LN(H619)</f>
        <v>10.288364663351924</v>
      </c>
      <c r="K619" s="6">
        <f>ACE_Input!U19</f>
        <v>300</v>
      </c>
      <c r="L619" s="6">
        <f>K619*ACE_Input!V19</f>
        <v>75</v>
      </c>
    </row>
    <row r="620" spans="1:12" x14ac:dyDescent="0.2">
      <c r="A620">
        <f>6</f>
        <v>6</v>
      </c>
      <c r="B620">
        <f>ACE_Input!A20</f>
        <v>15</v>
      </c>
      <c r="C620" s="6">
        <f>MOD(Settings!$B$17*(C619),Settings!$B$18)</f>
        <v>1618547455</v>
      </c>
      <c r="D620" s="6">
        <f>MAX(C620,1)/Settings!$B$18</f>
        <v>0.75369489181493166</v>
      </c>
      <c r="E620" s="6">
        <f t="shared" si="20"/>
        <v>5</v>
      </c>
      <c r="F620" s="6">
        <f>ACE_Input!D20</f>
        <v>202</v>
      </c>
      <c r="G620" s="6">
        <f>MOD(Settings!$B$17*(G619),Settings!$B$18)</f>
        <v>1845305899</v>
      </c>
      <c r="H620" s="6">
        <f>MAX(G620,1)/Settings!$B$18</f>
        <v>0.859287520805042</v>
      </c>
      <c r="I620" s="6">
        <f>-ACE_Input!W20*LN(H620)</f>
        <v>0.60660678912349486</v>
      </c>
      <c r="J620" s="6">
        <f>-ACE_Input!X20*LN(H620)</f>
        <v>1.8198203673704847</v>
      </c>
      <c r="K620" s="6">
        <f>ACE_Input!U20</f>
        <v>300</v>
      </c>
      <c r="L620" s="6">
        <f>K620*ACE_Input!V20</f>
        <v>75</v>
      </c>
    </row>
    <row r="621" spans="1:12" x14ac:dyDescent="0.2">
      <c r="A621">
        <f>6</f>
        <v>6</v>
      </c>
      <c r="B621">
        <f>ACE_Input!A21</f>
        <v>16</v>
      </c>
      <c r="C621" s="6">
        <f>MOD(Settings!$B$17*(C620),Settings!$B$18)</f>
        <v>751719636</v>
      </c>
      <c r="D621" s="6">
        <f>MAX(C621,1)/Settings!$B$18</f>
        <v>0.3500467335572684</v>
      </c>
      <c r="E621" s="6">
        <f t="shared" si="20"/>
        <v>5</v>
      </c>
      <c r="F621" s="6">
        <f>ACE_Input!D21</f>
        <v>207</v>
      </c>
      <c r="G621" s="6">
        <f>MOD(Settings!$B$17*(G620),Settings!$B$18)</f>
        <v>97414519</v>
      </c>
      <c r="H621" s="6">
        <f>MAX(G621,1)/Settings!$B$18</f>
        <v>4.5362170341127633E-2</v>
      </c>
      <c r="I621" s="6">
        <f>-ACE_Input!W21*LN(H621)</f>
        <v>12.372307094722599</v>
      </c>
      <c r="J621" s="6">
        <f>-ACE_Input!X21*LN(H621)</f>
        <v>37.116921284167795</v>
      </c>
      <c r="K621" s="6">
        <f>ACE_Input!U21</f>
        <v>300</v>
      </c>
      <c r="L621" s="6">
        <f>K621*ACE_Input!V21</f>
        <v>75</v>
      </c>
    </row>
    <row r="622" spans="1:12" x14ac:dyDescent="0.2">
      <c r="A622">
        <f>6</f>
        <v>6</v>
      </c>
      <c r="B622">
        <f>ACE_Input!A22</f>
        <v>17</v>
      </c>
      <c r="C622" s="6">
        <f>MOD(Settings!$B$17*(C621),Settings!$B$18)</f>
        <v>505626951</v>
      </c>
      <c r="D622" s="6">
        <f>MAX(C622,1)/Settings!$B$18</f>
        <v>0.23545089700978758</v>
      </c>
      <c r="E622" s="6">
        <f t="shared" si="20"/>
        <v>5</v>
      </c>
      <c r="F622" s="6">
        <f>ACE_Input!D22</f>
        <v>212</v>
      </c>
      <c r="G622" s="6">
        <f>MOD(Settings!$B$17*(G621),Settings!$B$18)</f>
        <v>863281819</v>
      </c>
      <c r="H622" s="6">
        <f>MAX(G622,1)/Settings!$B$18</f>
        <v>0.40199692333210119</v>
      </c>
      <c r="I622" s="6">
        <f>-ACE_Input!W22*LN(H622)</f>
        <v>3.6452433751805473</v>
      </c>
      <c r="J622" s="6">
        <f>-ACE_Input!X22*LN(H622)</f>
        <v>10.935730125541642</v>
      </c>
      <c r="K622" s="6">
        <f>ACE_Input!U22</f>
        <v>300</v>
      </c>
      <c r="L622" s="6">
        <f>K622*ACE_Input!V22</f>
        <v>75</v>
      </c>
    </row>
    <row r="623" spans="1:12" x14ac:dyDescent="0.2">
      <c r="A623">
        <f>6</f>
        <v>6</v>
      </c>
      <c r="B623">
        <f>ACE_Input!A23</f>
        <v>18</v>
      </c>
      <c r="C623" s="6">
        <f>MOD(Settings!$B$17*(C622),Settings!$B$18)</f>
        <v>479374278</v>
      </c>
      <c r="D623" s="6">
        <f>MAX(C623,1)/Settings!$B$18</f>
        <v>0.22322604349964581</v>
      </c>
      <c r="E623" s="6">
        <f t="shared" si="20"/>
        <v>5</v>
      </c>
      <c r="F623" s="6">
        <f>ACE_Input!D23</f>
        <v>217</v>
      </c>
      <c r="G623" s="6">
        <f>MOD(Settings!$B$17*(G622),Settings!$B$18)</f>
        <v>778012801</v>
      </c>
      <c r="H623" s="6">
        <f>MAX(G623,1)/Settings!$B$18</f>
        <v>0.36229044262426463</v>
      </c>
      <c r="I623" s="6">
        <f>-ACE_Input!W23*LN(H623)</f>
        <v>4.0612362446313286</v>
      </c>
      <c r="J623" s="6">
        <f>-ACE_Input!X23*LN(H623)</f>
        <v>12.183708733893987</v>
      </c>
      <c r="K623" s="6">
        <f>ACE_Input!U23</f>
        <v>300</v>
      </c>
      <c r="L623" s="6">
        <f>K623*ACE_Input!V23</f>
        <v>75</v>
      </c>
    </row>
    <row r="624" spans="1:12" x14ac:dyDescent="0.2">
      <c r="A624">
        <f>6</f>
        <v>6</v>
      </c>
      <c r="B624">
        <f>ACE_Input!A24</f>
        <v>19</v>
      </c>
      <c r="C624" s="6">
        <f>MOD(Settings!$B$17*(C623),Settings!$B$18)</f>
        <v>1632330449</v>
      </c>
      <c r="D624" s="6">
        <f>MAX(C624,1)/Settings!$B$18</f>
        <v>0.76011309854691522</v>
      </c>
      <c r="E624" s="6">
        <f t="shared" si="20"/>
        <v>5</v>
      </c>
      <c r="F624" s="6">
        <f>ACE_Input!D24</f>
        <v>222</v>
      </c>
      <c r="G624" s="6">
        <f>MOD(Settings!$B$17*(G623),Settings!$B$18)</f>
        <v>33219824</v>
      </c>
      <c r="H624" s="6">
        <f>MAX(G624,1)/Settings!$B$18</f>
        <v>1.5469186015179933E-2</v>
      </c>
      <c r="I624" s="6">
        <f>-ACE_Input!W24*LN(H624)</f>
        <v>16.675620931082001</v>
      </c>
      <c r="J624" s="6">
        <f>-ACE_Input!X24*LN(H624)</f>
        <v>50.026862793246003</v>
      </c>
      <c r="K624" s="6">
        <f>ACE_Input!U24</f>
        <v>300</v>
      </c>
      <c r="L624" s="6">
        <f>K624*ACE_Input!V24</f>
        <v>75</v>
      </c>
    </row>
    <row r="625" spans="1:12" x14ac:dyDescent="0.2">
      <c r="A625">
        <f>6</f>
        <v>6</v>
      </c>
      <c r="B625">
        <f>ACE_Input!A25</f>
        <v>20</v>
      </c>
      <c r="C625" s="6">
        <f>MOD(Settings!$B$17*(C624),Settings!$B$18)</f>
        <v>474265918</v>
      </c>
      <c r="D625" s="6">
        <f>MAX(C625,1)/Settings!$B$18</f>
        <v>0.22084727800490672</v>
      </c>
      <c r="E625" s="6">
        <f t="shared" si="20"/>
        <v>5</v>
      </c>
      <c r="F625" s="6">
        <f>ACE_Input!D25</f>
        <v>227</v>
      </c>
      <c r="G625" s="6">
        <f>MOD(Settings!$B$17*(G624),Settings!$B$18)</f>
        <v>2127317395</v>
      </c>
      <c r="H625" s="6">
        <f>MAX(G625,1)/Settings!$B$18</f>
        <v>0.99060935712913489</v>
      </c>
      <c r="I625" s="6">
        <f>-ACE_Input!W25*LN(H625)</f>
        <v>3.7740051807287331E-2</v>
      </c>
      <c r="J625" s="6">
        <f>-ACE_Input!X25*LN(H625)</f>
        <v>0.11322015542186199</v>
      </c>
      <c r="K625" s="6">
        <f>ACE_Input!U25</f>
        <v>300</v>
      </c>
      <c r="L625" s="6">
        <f>K625*ACE_Input!V25</f>
        <v>75</v>
      </c>
    </row>
    <row r="626" spans="1:12" x14ac:dyDescent="0.2">
      <c r="A626">
        <f>6</f>
        <v>6</v>
      </c>
      <c r="B626">
        <f>ACE_Input!A26</f>
        <v>21</v>
      </c>
      <c r="C626" s="6">
        <f>MOD(Settings!$B$17*(C625),Settings!$B$18)</f>
        <v>1675469809</v>
      </c>
      <c r="D626" s="6">
        <f>MAX(C626,1)/Settings!$B$18</f>
        <v>0.78020142846750162</v>
      </c>
      <c r="E626" s="6">
        <f t="shared" si="20"/>
        <v>5</v>
      </c>
      <c r="F626" s="6">
        <f>ACE_Input!D26</f>
        <v>232</v>
      </c>
      <c r="G626" s="6">
        <f>MOD(Settings!$B$17*(G625),Settings!$B$18)</f>
        <v>368218862</v>
      </c>
      <c r="H626" s="6">
        <f>MAX(G626,1)/Settings!$B$18</f>
        <v>0.17146526936975554</v>
      </c>
      <c r="I626" s="6">
        <f>-ACE_Input!W26*LN(H626)</f>
        <v>7.0534981753911241</v>
      </c>
      <c r="J626" s="6">
        <f>-ACE_Input!X26*LN(H626)</f>
        <v>21.160494526173373</v>
      </c>
      <c r="K626" s="6">
        <f>ACE_Input!U26</f>
        <v>300</v>
      </c>
      <c r="L626" s="6">
        <f>K626*ACE_Input!V26</f>
        <v>75</v>
      </c>
    </row>
    <row r="627" spans="1:12" x14ac:dyDescent="0.2">
      <c r="A627">
        <f>6</f>
        <v>6</v>
      </c>
      <c r="B627">
        <f>ACE_Input!A27</f>
        <v>22</v>
      </c>
      <c r="C627" s="6">
        <f>MOD(Settings!$B$17*(C626),Settings!$B$18)</f>
        <v>1815500399</v>
      </c>
      <c r="D627" s="6">
        <f>MAX(C627,1)/Settings!$B$18</f>
        <v>0.84540825329972813</v>
      </c>
      <c r="E627" s="6">
        <f t="shared" si="20"/>
        <v>5</v>
      </c>
      <c r="F627" s="6">
        <f>ACE_Input!D27</f>
        <v>237</v>
      </c>
      <c r="G627" s="6">
        <f>MOD(Settings!$B$17*(G626),Settings!$B$18)</f>
        <v>1754026627</v>
      </c>
      <c r="H627" s="6">
        <f>MAX(G627,1)/Settings!$B$18</f>
        <v>0.81678229748121567</v>
      </c>
      <c r="I627" s="6">
        <f>-ACE_Input!W27*LN(H627)</f>
        <v>0.8095307415268258</v>
      </c>
      <c r="J627" s="6">
        <f>-ACE_Input!X27*LN(H627)</f>
        <v>2.4285922245804774</v>
      </c>
      <c r="K627" s="6">
        <f>ACE_Input!U27</f>
        <v>300</v>
      </c>
      <c r="L627" s="6">
        <f>K627*ACE_Input!V27</f>
        <v>75</v>
      </c>
    </row>
    <row r="628" spans="1:12" x14ac:dyDescent="0.2">
      <c r="A628">
        <f>6</f>
        <v>6</v>
      </c>
      <c r="B628">
        <f>ACE_Input!A28</f>
        <v>23</v>
      </c>
      <c r="C628" s="6">
        <f>MOD(Settings!$B$17*(C627),Settings!$B$18)</f>
        <v>1667549417</v>
      </c>
      <c r="D628" s="6">
        <f>MAX(C628,1)/Settings!$B$18</f>
        <v>0.77651320853108219</v>
      </c>
      <c r="E628" s="6">
        <f t="shared" si="20"/>
        <v>5</v>
      </c>
      <c r="F628" s="6">
        <f>ACE_Input!D28</f>
        <v>242</v>
      </c>
      <c r="G628" s="6">
        <f>MOD(Settings!$B$17*(G627),Settings!$B$18)</f>
        <v>1417497620</v>
      </c>
      <c r="H628" s="6">
        <f>MAX(G628,1)/Settings!$B$18</f>
        <v>0.6600737667922274</v>
      </c>
      <c r="I628" s="6">
        <f>-ACE_Input!W28*LN(H628)</f>
        <v>1.6616147293608692</v>
      </c>
      <c r="J628" s="6">
        <f>-ACE_Input!X28*LN(H628)</f>
        <v>4.984844188082608</v>
      </c>
      <c r="K628" s="6">
        <f>ACE_Input!U28</f>
        <v>300</v>
      </c>
      <c r="L628" s="6">
        <f>K628*ACE_Input!V28</f>
        <v>75</v>
      </c>
    </row>
    <row r="629" spans="1:12" x14ac:dyDescent="0.2">
      <c r="A629">
        <f>6</f>
        <v>6</v>
      </c>
      <c r="B629">
        <f>ACE_Input!A29</f>
        <v>24</v>
      </c>
      <c r="C629" s="6">
        <f>MOD(Settings!$B$17*(C628),Settings!$B$18)</f>
        <v>1841458169</v>
      </c>
      <c r="D629" s="6">
        <f>MAX(C629,1)/Settings!$B$18</f>
        <v>0.85749578189919506</v>
      </c>
      <c r="E629" s="6">
        <f t="shared" si="20"/>
        <v>5</v>
      </c>
      <c r="F629" s="6">
        <f>ACE_Input!D29</f>
        <v>247</v>
      </c>
      <c r="G629" s="6">
        <f>MOD(Settings!$B$17*(G628),Settings!$B$18)</f>
        <v>1846403169</v>
      </c>
      <c r="H629" s="6">
        <f>MAX(G629,1)/Settings!$B$18</f>
        <v>0.85979847696600409</v>
      </c>
      <c r="I629" s="6">
        <f>-ACE_Input!W29*LN(H629)</f>
        <v>0.60422898521294688</v>
      </c>
      <c r="J629" s="6">
        <f>-ACE_Input!X29*LN(H629)</f>
        <v>1.8126869556388407</v>
      </c>
      <c r="K629" s="6">
        <f>ACE_Input!U29</f>
        <v>300</v>
      </c>
      <c r="L629" s="6">
        <f>K629*ACE_Input!V29</f>
        <v>75</v>
      </c>
    </row>
    <row r="630" spans="1:12" x14ac:dyDescent="0.2">
      <c r="A630">
        <f>6</f>
        <v>6</v>
      </c>
      <c r="B630">
        <f>ACE_Input!A30</f>
        <v>25</v>
      </c>
      <c r="C630" s="6">
        <f>MOD(Settings!$B$17*(C629),Settings!$B$18)</f>
        <v>2000609466</v>
      </c>
      <c r="D630" s="6">
        <f>MAX(C630,1)/Settings!$B$18</f>
        <v>0.9316063797714218</v>
      </c>
      <c r="E630" s="6">
        <f t="shared" si="20"/>
        <v>5</v>
      </c>
      <c r="F630" s="6">
        <f>ACE_Input!D30</f>
        <v>252</v>
      </c>
      <c r="G630" s="6">
        <f>MOD(Settings!$B$17*(G629),Settings!$B$18)</f>
        <v>1359362233</v>
      </c>
      <c r="H630" s="6">
        <f>MAX(G630,1)/Settings!$B$18</f>
        <v>0.63300236763106765</v>
      </c>
      <c r="I630" s="6">
        <f>-ACE_Input!W30*LN(H630)</f>
        <v>1.8291244660460628</v>
      </c>
      <c r="J630" s="6">
        <f>-ACE_Input!X30*LN(H630)</f>
        <v>5.4873733981381889</v>
      </c>
      <c r="K630" s="6">
        <f>ACE_Input!U30</f>
        <v>300</v>
      </c>
      <c r="L630" s="6">
        <f>K630*ACE_Input!V30</f>
        <v>75</v>
      </c>
    </row>
    <row r="631" spans="1:12" x14ac:dyDescent="0.2">
      <c r="A631">
        <f>6</f>
        <v>6</v>
      </c>
      <c r="B631">
        <f>ACE_Input!A31</f>
        <v>26</v>
      </c>
      <c r="C631" s="6">
        <f>MOD(Settings!$B$17*(C630),Settings!$B$18)</f>
        <v>1091833983</v>
      </c>
      <c r="D631" s="6">
        <f>MAX(C631,1)/Settings!$B$18</f>
        <v>0.50842481828687003</v>
      </c>
      <c r="E631" s="6">
        <f t="shared" si="20"/>
        <v>5</v>
      </c>
      <c r="F631" s="6">
        <f>ACE_Input!D31</f>
        <v>257</v>
      </c>
      <c r="G631" s="6">
        <f>MOD(Settings!$B$17*(G630),Settings!$B$18)</f>
        <v>1870013245</v>
      </c>
      <c r="H631" s="6">
        <f>MAX(G631,1)/Settings!$B$18</f>
        <v>0.87079277535471733</v>
      </c>
      <c r="I631" s="6">
        <f>-ACE_Input!W31*LN(H631)</f>
        <v>0.55340498486847933</v>
      </c>
      <c r="J631" s="6">
        <f>-ACE_Input!X31*LN(H631)</f>
        <v>1.6602149546054381</v>
      </c>
      <c r="K631" s="6">
        <f>ACE_Input!U31</f>
        <v>300</v>
      </c>
      <c r="L631" s="6">
        <f>K631*ACE_Input!V31</f>
        <v>75</v>
      </c>
    </row>
    <row r="632" spans="1:12" x14ac:dyDescent="0.2">
      <c r="A632">
        <f>6</f>
        <v>6</v>
      </c>
      <c r="B632">
        <f>ACE_Input!A32</f>
        <v>27</v>
      </c>
      <c r="C632" s="6">
        <f>MOD(Settings!$B$17*(C631),Settings!$B$18)</f>
        <v>205988666</v>
      </c>
      <c r="D632" s="6">
        <f>MAX(C632,1)/Settings!$B$18</f>
        <v>9.5920947425030614E-2</v>
      </c>
      <c r="E632" s="6">
        <f t="shared" si="20"/>
        <v>5</v>
      </c>
      <c r="F632" s="6">
        <f>ACE_Input!D32</f>
        <v>262</v>
      </c>
      <c r="G632" s="6">
        <f>MOD(Settings!$B$17*(G631),Settings!$B$18)</f>
        <v>889434870</v>
      </c>
      <c r="H632" s="6">
        <f>MAX(G632,1)/Settings!$B$18</f>
        <v>0.41417538673345716</v>
      </c>
      <c r="I632" s="6">
        <f>-ACE_Input!W32*LN(H632)</f>
        <v>3.5258630216555402</v>
      </c>
      <c r="J632" s="6">
        <f>-ACE_Input!X32*LN(H632)</f>
        <v>10.57758906496662</v>
      </c>
      <c r="K632" s="6">
        <f>ACE_Input!U32</f>
        <v>300</v>
      </c>
      <c r="L632" s="6">
        <f>K632*ACE_Input!V32</f>
        <v>75</v>
      </c>
    </row>
    <row r="633" spans="1:12" x14ac:dyDescent="0.2">
      <c r="A633">
        <f>6</f>
        <v>6</v>
      </c>
      <c r="B633">
        <f>ACE_Input!A33</f>
        <v>28</v>
      </c>
      <c r="C633" s="6">
        <f>MOD(Settings!$B$17*(C632),Settings!$B$18)</f>
        <v>307870498</v>
      </c>
      <c r="D633" s="6">
        <f>MAX(C633,1)/Settings!$B$18</f>
        <v>0.14336337248951353</v>
      </c>
      <c r="E633" s="6">
        <f t="shared" si="20"/>
        <v>6</v>
      </c>
      <c r="F633" s="6">
        <f>ACE_Input!D33</f>
        <v>268</v>
      </c>
      <c r="G633" s="6">
        <f>MOD(Settings!$B$17*(G632),Settings!$B$18)</f>
        <v>98193323</v>
      </c>
      <c r="H633" s="6">
        <f>MAX(G633,1)/Settings!$B$18</f>
        <v>4.5724829214496922E-2</v>
      </c>
      <c r="I633" s="6">
        <f>-ACE_Input!W33*LN(H633)</f>
        <v>12.340455279078634</v>
      </c>
      <c r="J633" s="6">
        <f>-ACE_Input!X33*LN(H633)</f>
        <v>37.021365837235905</v>
      </c>
      <c r="K633" s="6">
        <f>ACE_Input!U33</f>
        <v>300</v>
      </c>
      <c r="L633" s="6">
        <f>K633*ACE_Input!V33</f>
        <v>75</v>
      </c>
    </row>
    <row r="634" spans="1:12" x14ac:dyDescent="0.2">
      <c r="A634">
        <f>6</f>
        <v>6</v>
      </c>
      <c r="B634">
        <f>ACE_Input!A34</f>
        <v>29</v>
      </c>
      <c r="C634" s="6">
        <f>MOD(Settings!$B$17*(C633),Settings!$B$18)</f>
        <v>1091354263</v>
      </c>
      <c r="D634" s="6">
        <f>MAX(C634,1)/Settings!$B$18</f>
        <v>0.50820143125401873</v>
      </c>
      <c r="E634" s="6">
        <f t="shared" si="20"/>
        <v>5</v>
      </c>
      <c r="F634" s="6">
        <f>ACE_Input!D34</f>
        <v>273</v>
      </c>
      <c r="G634" s="6">
        <f>MOD(Settings!$B$17*(G633),Settings!$B$18)</f>
        <v>1067738765</v>
      </c>
      <c r="H634" s="6">
        <f>MAX(G634,1)/Settings!$B$18</f>
        <v>0.49720460804980465</v>
      </c>
      <c r="I634" s="6">
        <f>-ACE_Input!W34*LN(H634)</f>
        <v>2.7950146055524683</v>
      </c>
      <c r="J634" s="6">
        <f>-ACE_Input!X34*LN(H634)</f>
        <v>8.3850438166574044</v>
      </c>
      <c r="K634" s="6">
        <f>ACE_Input!U34</f>
        <v>300</v>
      </c>
      <c r="L634" s="6">
        <f>K634*ACE_Input!V34</f>
        <v>75</v>
      </c>
    </row>
    <row r="635" spans="1:12" x14ac:dyDescent="0.2">
      <c r="A635">
        <f>6</f>
        <v>6</v>
      </c>
      <c r="B635">
        <f>ACE_Input!A35</f>
        <v>30</v>
      </c>
      <c r="C635" s="6">
        <f>MOD(Settings!$B$17*(C634),Settings!$B$18)</f>
        <v>733269214</v>
      </c>
      <c r="D635" s="6">
        <f>MAX(C635,1)/Settings!$B$18</f>
        <v>0.34145508629337656</v>
      </c>
      <c r="E635" s="6">
        <f t="shared" si="20"/>
        <v>5</v>
      </c>
      <c r="F635" s="6">
        <f>ACE_Input!D35</f>
        <v>278</v>
      </c>
      <c r="G635" s="6">
        <f>MOD(Settings!$B$17*(G634),Settings!$B$18)</f>
        <v>1112069023</v>
      </c>
      <c r="H635" s="6">
        <f>MAX(G635,1)/Settings!$B$18</f>
        <v>0.51784749306638145</v>
      </c>
      <c r="I635" s="6">
        <f>-ACE_Input!W35*LN(H635)</f>
        <v>2.6322979800040138</v>
      </c>
      <c r="J635" s="6">
        <f>-ACE_Input!X35*LN(H635)</f>
        <v>7.8968939400120419</v>
      </c>
      <c r="K635" s="6">
        <f>ACE_Input!U35</f>
        <v>300</v>
      </c>
      <c r="L635" s="6">
        <f>K635*ACE_Input!V35</f>
        <v>75</v>
      </c>
    </row>
    <row r="636" spans="1:12" x14ac:dyDescent="0.2">
      <c r="A636">
        <f>6</f>
        <v>6</v>
      </c>
      <c r="B636">
        <f>ACE_Input!A36</f>
        <v>31</v>
      </c>
      <c r="C636" s="6">
        <f>MOD(Settings!$B$17*(C635),Settings!$B$18)</f>
        <v>1794513212</v>
      </c>
      <c r="D636" s="6">
        <f>MAX(C636,1)/Settings!$B$18</f>
        <v>0.83563533277978908</v>
      </c>
      <c r="E636" s="6">
        <f t="shared" si="20"/>
        <v>5</v>
      </c>
      <c r="F636" s="6">
        <f>ACE_Input!D36</f>
        <v>283</v>
      </c>
      <c r="G636" s="6">
        <f>MOD(Settings!$B$17*(G635),Settings!$B$18)</f>
        <v>993889720</v>
      </c>
      <c r="H636" s="6">
        <f>MAX(G636,1)/Settings!$B$18</f>
        <v>0.46281596667264402</v>
      </c>
      <c r="I636" s="6">
        <f>-ACE_Input!W36*LN(H636)</f>
        <v>3.0817031364030636</v>
      </c>
      <c r="J636" s="6">
        <f>-ACE_Input!X36*LN(H636)</f>
        <v>9.2451094092091903</v>
      </c>
      <c r="K636" s="6">
        <f>ACE_Input!U36</f>
        <v>300</v>
      </c>
      <c r="L636" s="6">
        <f>K636*ACE_Input!V36</f>
        <v>75</v>
      </c>
    </row>
    <row r="637" spans="1:12" x14ac:dyDescent="0.2">
      <c r="A637">
        <f>6</f>
        <v>6</v>
      </c>
      <c r="B637">
        <f>ACE_Input!A37</f>
        <v>32</v>
      </c>
      <c r="C637" s="6">
        <f>MOD(Settings!$B$17*(C636),Settings!$B$18)</f>
        <v>1123215616</v>
      </c>
      <c r="D637" s="6">
        <f>MAX(C637,1)/Settings!$B$18</f>
        <v>0.52303802991427395</v>
      </c>
      <c r="E637" s="6">
        <f t="shared" si="20"/>
        <v>5</v>
      </c>
      <c r="F637" s="6">
        <f>ACE_Input!D37</f>
        <v>288</v>
      </c>
      <c r="G637" s="6">
        <f>MOD(Settings!$B$17*(G636),Settings!$B$18)</f>
        <v>1176717674</v>
      </c>
      <c r="H637" s="6">
        <f>MAX(G637,1)/Settings!$B$18</f>
        <v>0.54795186712776867</v>
      </c>
      <c r="I637" s="6">
        <f>-ACE_Input!W37*LN(H637)</f>
        <v>2.4062713184007158</v>
      </c>
      <c r="J637" s="6">
        <f>-ACE_Input!X37*LN(H637)</f>
        <v>7.2188139552021475</v>
      </c>
      <c r="K637" s="6">
        <f>ACE_Input!U37</f>
        <v>300</v>
      </c>
      <c r="L637" s="6">
        <f>K637*ACE_Input!V37</f>
        <v>75</v>
      </c>
    </row>
    <row r="638" spans="1:12" x14ac:dyDescent="0.2">
      <c r="A638">
        <f>6</f>
        <v>6</v>
      </c>
      <c r="B638">
        <f>ACE_Input!A38</f>
        <v>33</v>
      </c>
      <c r="C638" s="6">
        <f>MOD(Settings!$B$17*(C637),Settings!$B$18)</f>
        <v>1503600982</v>
      </c>
      <c r="D638" s="6">
        <f>MAX(C638,1)/Settings!$B$18</f>
        <v>0.70016876920134241</v>
      </c>
      <c r="E638" s="6">
        <f t="shared" si="20"/>
        <v>5</v>
      </c>
      <c r="F638" s="6">
        <f>ACE_Input!D38</f>
        <v>293</v>
      </c>
      <c r="G638" s="6">
        <f>MOD(Settings!$B$17*(G637),Settings!$B$18)</f>
        <v>917041695</v>
      </c>
      <c r="H638" s="6">
        <f>MAX(G638,1)/Settings!$B$18</f>
        <v>0.42703081640742291</v>
      </c>
      <c r="I638" s="6">
        <f>-ACE_Input!W38*LN(H638)</f>
        <v>3.4035963951407671</v>
      </c>
      <c r="J638" s="6">
        <f>-ACE_Input!X38*LN(H638)</f>
        <v>10.210789185422302</v>
      </c>
      <c r="K638" s="6">
        <f>ACE_Input!U38</f>
        <v>300</v>
      </c>
      <c r="L638" s="6">
        <f>K638*ACE_Input!V38</f>
        <v>75</v>
      </c>
    </row>
    <row r="639" spans="1:12" x14ac:dyDescent="0.2">
      <c r="A639">
        <f>6</f>
        <v>6</v>
      </c>
      <c r="B639">
        <f>ACE_Input!A39</f>
        <v>34</v>
      </c>
      <c r="C639" s="6">
        <f>MOD(Settings!$B$17*(C638),Settings!$B$18)</f>
        <v>1581630225</v>
      </c>
      <c r="D639" s="6">
        <f>MAX(C639,1)/Settings!$B$18</f>
        <v>0.73650396696129072</v>
      </c>
      <c r="E639" s="6">
        <f t="shared" ref="E639:E670" si="21">F639-F638</f>
        <v>5</v>
      </c>
      <c r="F639" s="6">
        <f>ACE_Input!D39</f>
        <v>298</v>
      </c>
      <c r="G639" s="6">
        <f>MOD(Settings!$B$17*(G638),Settings!$B$18)</f>
        <v>229633346</v>
      </c>
      <c r="H639" s="6">
        <f>MAX(G639,1)/Settings!$B$18</f>
        <v>0.10693135955693729</v>
      </c>
      <c r="I639" s="6">
        <f>-ACE_Input!W39*LN(H639)</f>
        <v>8.942272599347719</v>
      </c>
      <c r="J639" s="6">
        <f>-ACE_Input!X39*LN(H639)</f>
        <v>26.826817798043159</v>
      </c>
      <c r="K639" s="6">
        <f>ACE_Input!U39</f>
        <v>300</v>
      </c>
      <c r="L639" s="6">
        <f>K639*ACE_Input!V39</f>
        <v>75</v>
      </c>
    </row>
    <row r="640" spans="1:12" x14ac:dyDescent="0.2">
      <c r="A640">
        <f>6</f>
        <v>6</v>
      </c>
      <c r="B640">
        <f>ACE_Input!A40</f>
        <v>35</v>
      </c>
      <c r="C640" s="6">
        <f>MOD(Settings!$B$17*(C639),Settings!$B$18)</f>
        <v>906609009</v>
      </c>
      <c r="D640" s="6">
        <f>MAX(C640,1)/Settings!$B$18</f>
        <v>0.42217271841232323</v>
      </c>
      <c r="E640" s="6">
        <f t="shared" si="21"/>
        <v>5</v>
      </c>
      <c r="F640" s="6">
        <f>ACE_Input!D40</f>
        <v>303</v>
      </c>
      <c r="G640" s="6">
        <f>MOD(Settings!$B$17*(G639),Settings!$B$18)</f>
        <v>419532563</v>
      </c>
      <c r="H640" s="6">
        <f>MAX(G640,1)/Settings!$B$18</f>
        <v>0.19536007344506684</v>
      </c>
      <c r="I640" s="6">
        <f>-ACE_Input!W40*LN(H640)</f>
        <v>6.5316435706900053</v>
      </c>
      <c r="J640" s="6">
        <f>-ACE_Input!X40*LN(H640)</f>
        <v>19.594930712070017</v>
      </c>
      <c r="K640" s="6">
        <f>ACE_Input!U40</f>
        <v>300</v>
      </c>
      <c r="L640" s="6">
        <f>K640*ACE_Input!V40</f>
        <v>75</v>
      </c>
    </row>
    <row r="641" spans="1:12" x14ac:dyDescent="0.2">
      <c r="A641">
        <f>6</f>
        <v>6</v>
      </c>
      <c r="B641">
        <f>ACE_Input!A41</f>
        <v>36</v>
      </c>
      <c r="C641" s="6">
        <f>MOD(Settings!$B$17*(C640),Settings!$B$18)</f>
        <v>981138798</v>
      </c>
      <c r="D641" s="6">
        <f>MAX(C641,1)/Settings!$B$18</f>
        <v>0.45687835591699849</v>
      </c>
      <c r="E641" s="6">
        <f t="shared" si="21"/>
        <v>5</v>
      </c>
      <c r="F641" s="6">
        <f>ACE_Input!D41</f>
        <v>308</v>
      </c>
      <c r="G641" s="6">
        <f>MOD(Settings!$B$17*(G640),Settings!$B$18)</f>
        <v>894973240</v>
      </c>
      <c r="H641" s="6">
        <f>MAX(G641,1)/Settings!$B$18</f>
        <v>0.41675439123844465</v>
      </c>
      <c r="I641" s="6">
        <f>-ACE_Input!W41*LN(H641)</f>
        <v>3.5010328821674075</v>
      </c>
      <c r="J641" s="6">
        <f>-ACE_Input!X41*LN(H641)</f>
        <v>10.503098646502222</v>
      </c>
      <c r="K641" s="6">
        <f>ACE_Input!U41</f>
        <v>300</v>
      </c>
      <c r="L641" s="6">
        <f>K641*ACE_Input!V41</f>
        <v>75</v>
      </c>
    </row>
    <row r="642" spans="1:12" x14ac:dyDescent="0.2">
      <c r="A642">
        <f>6</f>
        <v>6</v>
      </c>
      <c r="B642">
        <f>ACE_Input!A42</f>
        <v>37</v>
      </c>
      <c r="C642" s="6">
        <f>MOD(Settings!$B$17*(C641),Settings!$B$18)</f>
        <v>1620336320</v>
      </c>
      <c r="D642" s="6">
        <f>MAX(C642,1)/Settings!$B$18</f>
        <v>0.75452789699403933</v>
      </c>
      <c r="E642" s="6">
        <f t="shared" si="21"/>
        <v>5</v>
      </c>
      <c r="F642" s="6">
        <f>ACE_Input!D42</f>
        <v>313</v>
      </c>
      <c r="G642" s="6">
        <f>MOD(Settings!$B$17*(G641),Settings!$B$18)</f>
        <v>839781092</v>
      </c>
      <c r="H642" s="6">
        <f>MAX(G642,1)/Settings!$B$18</f>
        <v>0.39105354453951752</v>
      </c>
      <c r="I642" s="6">
        <f>-ACE_Input!W42*LN(H642)</f>
        <v>3.7556431432649457</v>
      </c>
      <c r="J642" s="6">
        <f>-ACE_Input!X42*LN(H642)</f>
        <v>11.266929429794837</v>
      </c>
      <c r="K642" s="6">
        <f>ACE_Input!U42</f>
        <v>300</v>
      </c>
      <c r="L642" s="6">
        <f>K642*ACE_Input!V42</f>
        <v>75</v>
      </c>
    </row>
    <row r="643" spans="1:12" x14ac:dyDescent="0.2">
      <c r="A643">
        <f>6</f>
        <v>6</v>
      </c>
      <c r="B643">
        <f>ACE_Input!A43</f>
        <v>38</v>
      </c>
      <c r="C643" s="6">
        <f>MOD(Settings!$B$17*(C642),Settings!$B$18)</f>
        <v>752402633</v>
      </c>
      <c r="D643" s="6">
        <f>MAX(C643,1)/Settings!$B$18</f>
        <v>0.35036477881966382</v>
      </c>
      <c r="E643" s="6">
        <f t="shared" si="21"/>
        <v>5</v>
      </c>
      <c r="F643" s="6">
        <f>ACE_Input!D43</f>
        <v>318</v>
      </c>
      <c r="G643" s="6">
        <f>MOD(Settings!$B$17*(G642),Settings!$B$18)</f>
        <v>938285160</v>
      </c>
      <c r="H643" s="6">
        <f>MAX(G643,1)/Settings!$B$18</f>
        <v>0.43692307567080624</v>
      </c>
      <c r="I643" s="6">
        <f>-ACE_Input!W43*LN(H643)</f>
        <v>3.311992510378357</v>
      </c>
      <c r="J643" s="6">
        <f>-ACE_Input!X43*LN(H643)</f>
        <v>9.9359775311350713</v>
      </c>
      <c r="K643" s="6">
        <f>ACE_Input!U43</f>
        <v>300</v>
      </c>
      <c r="L643" s="6">
        <f>K643*ACE_Input!V43</f>
        <v>75</v>
      </c>
    </row>
    <row r="644" spans="1:12" x14ac:dyDescent="0.2">
      <c r="A644">
        <f>6</f>
        <v>6</v>
      </c>
      <c r="B644">
        <f>ACE_Input!A44</f>
        <v>39</v>
      </c>
      <c r="C644" s="6">
        <f>MOD(Settings!$B$17*(C643),Settings!$B$18)</f>
        <v>1247339295</v>
      </c>
      <c r="D644" s="6">
        <f>MAX(C644,1)/Settings!$B$18</f>
        <v>0.58083762208970158</v>
      </c>
      <c r="E644" s="6">
        <f t="shared" si="21"/>
        <v>5</v>
      </c>
      <c r="F644" s="6">
        <f>ACE_Input!D44</f>
        <v>323</v>
      </c>
      <c r="G644" s="6">
        <f>MOD(Settings!$B$17*(G643),Settings!$B$18)</f>
        <v>786264199</v>
      </c>
      <c r="H644" s="6">
        <f>MAX(G644,1)/Settings!$B$18</f>
        <v>0.36613279924082237</v>
      </c>
      <c r="I644" s="6">
        <f>-ACE_Input!W44*LN(H644)</f>
        <v>4.0190366877411554</v>
      </c>
      <c r="J644" s="6">
        <f>-ACE_Input!X44*LN(H644)</f>
        <v>12.057110063223465</v>
      </c>
      <c r="K644" s="6">
        <f>ACE_Input!U44</f>
        <v>300</v>
      </c>
      <c r="L644" s="6">
        <f>K644*ACE_Input!V44</f>
        <v>75</v>
      </c>
    </row>
    <row r="645" spans="1:12" x14ac:dyDescent="0.2">
      <c r="A645">
        <f>6</f>
        <v>6</v>
      </c>
      <c r="B645">
        <f>ACE_Input!A45</f>
        <v>40</v>
      </c>
      <c r="C645" s="6">
        <f>MOD(Settings!$B$17*(C644),Settings!$B$18)</f>
        <v>296169051</v>
      </c>
      <c r="D645" s="6">
        <f>MAX(C645,1)/Settings!$B$18</f>
        <v>0.13791446161359291</v>
      </c>
      <c r="E645" s="6">
        <f t="shared" si="21"/>
        <v>5</v>
      </c>
      <c r="F645" s="6">
        <f>ACE_Input!D45</f>
        <v>328</v>
      </c>
      <c r="G645" s="6">
        <f>MOD(Settings!$B$17*(G644),Settings!$B$18)</f>
        <v>1275512602</v>
      </c>
      <c r="H645" s="6">
        <f>MAX(G645,1)/Settings!$B$18</f>
        <v>0.59395684050114683</v>
      </c>
      <c r="I645" s="6">
        <f>-ACE_Input!W45*LN(H645)</f>
        <v>2.0837944853930801</v>
      </c>
      <c r="J645" s="6">
        <f>-ACE_Input!X45*LN(H645)</f>
        <v>6.2513834561792407</v>
      </c>
      <c r="K645" s="6">
        <f>ACE_Input!U45</f>
        <v>300</v>
      </c>
      <c r="L645" s="6">
        <f>K645*ACE_Input!V45</f>
        <v>75</v>
      </c>
    </row>
    <row r="646" spans="1:12" x14ac:dyDescent="0.2">
      <c r="A646">
        <f>6</f>
        <v>6</v>
      </c>
      <c r="B646">
        <f>ACE_Input!A46</f>
        <v>41</v>
      </c>
      <c r="C646" s="6">
        <f>MOD(Settings!$B$17*(C645),Settings!$B$18)</f>
        <v>1993630058</v>
      </c>
      <c r="D646" s="6">
        <f>MAX(C646,1)/Settings!$B$18</f>
        <v>0.92835633965598252</v>
      </c>
      <c r="E646" s="6">
        <f t="shared" si="21"/>
        <v>5</v>
      </c>
      <c r="F646" s="6">
        <f>ACE_Input!D46</f>
        <v>333</v>
      </c>
      <c r="G646" s="6">
        <f>MOD(Settings!$B$17*(G645),Settings!$B$18)</f>
        <v>1358537460</v>
      </c>
      <c r="H646" s="6">
        <f>MAX(G646,1)/Settings!$B$18</f>
        <v>0.63261830277397213</v>
      </c>
      <c r="I646" s="6">
        <f>-ACE_Input!W46*LN(H646)</f>
        <v>1.8315521436456192</v>
      </c>
      <c r="J646" s="6">
        <f>-ACE_Input!X46*LN(H646)</f>
        <v>5.4946564309368577</v>
      </c>
      <c r="K646" s="6">
        <f>ACE_Input!U46</f>
        <v>300</v>
      </c>
      <c r="L646" s="6">
        <f>K646*ACE_Input!V46</f>
        <v>75</v>
      </c>
    </row>
    <row r="647" spans="1:12" x14ac:dyDescent="0.2">
      <c r="A647">
        <f>6</f>
        <v>6</v>
      </c>
      <c r="B647">
        <f>ACE_Input!A47</f>
        <v>42</v>
      </c>
      <c r="C647" s="6">
        <f>MOD(Settings!$B$17*(C646),Settings!$B$18)</f>
        <v>1900524312</v>
      </c>
      <c r="D647" s="6">
        <f>MAX(C647,1)/Settings!$B$18</f>
        <v>0.88500059809768605</v>
      </c>
      <c r="E647" s="6">
        <f t="shared" si="21"/>
        <v>5</v>
      </c>
      <c r="F647" s="6">
        <f>ACE_Input!D47</f>
        <v>338</v>
      </c>
      <c r="G647" s="6">
        <f>MOD(Settings!$B$17*(G646),Settings!$B$18)</f>
        <v>892955316</v>
      </c>
      <c r="H647" s="6">
        <f>MAX(G647,1)/Settings!$B$18</f>
        <v>0.41581472215047793</v>
      </c>
      <c r="I647" s="6">
        <f>-ACE_Input!W47*LN(H647)</f>
        <v>3.510061989510898</v>
      </c>
      <c r="J647" s="6">
        <f>-ACE_Input!X47*LN(H647)</f>
        <v>10.530185968532694</v>
      </c>
      <c r="K647" s="6">
        <f>ACE_Input!U47</f>
        <v>300</v>
      </c>
      <c r="L647" s="6">
        <f>K647*ACE_Input!V47</f>
        <v>75</v>
      </c>
    </row>
    <row r="648" spans="1:12" x14ac:dyDescent="0.2">
      <c r="A648">
        <f>6</f>
        <v>6</v>
      </c>
      <c r="B648">
        <f>ACE_Input!A48</f>
        <v>43</v>
      </c>
      <c r="C648" s="6">
        <f>MOD(Settings!$B$17*(C647),Settings!$B$18)</f>
        <v>440346306</v>
      </c>
      <c r="D648" s="6">
        <f>MAX(C648,1)/Settings!$B$18</f>
        <v>0.20505222780865257</v>
      </c>
      <c r="E648" s="6">
        <f t="shared" si="21"/>
        <v>5</v>
      </c>
      <c r="F648" s="6">
        <f>ACE_Input!D48</f>
        <v>343</v>
      </c>
      <c r="G648" s="6">
        <f>MOD(Settings!$B$17*(G647),Settings!$B$18)</f>
        <v>1284270776</v>
      </c>
      <c r="H648" s="6">
        <f>MAX(G648,1)/Settings!$B$18</f>
        <v>0.59803518308235104</v>
      </c>
      <c r="I648" s="6">
        <f>-ACE_Input!W48*LN(H648)</f>
        <v>2.0564227687052816</v>
      </c>
      <c r="J648" s="6">
        <f>-ACE_Input!X48*LN(H648)</f>
        <v>6.1692683061158444</v>
      </c>
      <c r="K648" s="6">
        <f>ACE_Input!U48</f>
        <v>300</v>
      </c>
      <c r="L648" s="6">
        <f>K648*ACE_Input!V48</f>
        <v>75</v>
      </c>
    </row>
    <row r="649" spans="1:12" x14ac:dyDescent="0.2">
      <c r="A649">
        <f>6</f>
        <v>6</v>
      </c>
      <c r="B649">
        <f>ACE_Input!A49</f>
        <v>44</v>
      </c>
      <c r="C649" s="6">
        <f>MOD(Settings!$B$17*(C648),Settings!$B$18)</f>
        <v>671717380</v>
      </c>
      <c r="D649" s="6">
        <f>MAX(C649,1)/Settings!$B$18</f>
        <v>0.31279278002343736</v>
      </c>
      <c r="E649" s="6">
        <f t="shared" si="21"/>
        <v>5</v>
      </c>
      <c r="F649" s="6">
        <f>ACE_Input!D49</f>
        <v>348</v>
      </c>
      <c r="G649" s="6">
        <f>MOD(Settings!$B$17*(G648),Settings!$B$18)</f>
        <v>380796235</v>
      </c>
      <c r="H649" s="6">
        <f>MAX(G649,1)/Settings!$B$18</f>
        <v>0.17732206507461243</v>
      </c>
      <c r="I649" s="6">
        <f>-ACE_Input!W49*LN(H649)</f>
        <v>6.9191504925594733</v>
      </c>
      <c r="J649" s="6">
        <f>-ACE_Input!X49*LN(H649)</f>
        <v>20.757451477678419</v>
      </c>
      <c r="K649" s="6">
        <f>ACE_Input!U49</f>
        <v>300</v>
      </c>
      <c r="L649" s="6">
        <f>K649*ACE_Input!V49</f>
        <v>75</v>
      </c>
    </row>
    <row r="650" spans="1:12" x14ac:dyDescent="0.2">
      <c r="A650">
        <f>6</f>
        <v>6</v>
      </c>
      <c r="B650">
        <f>ACE_Input!A50</f>
        <v>45</v>
      </c>
      <c r="C650" s="6">
        <f>MOD(Settings!$B$17*(C649),Settings!$B$18)</f>
        <v>232473381</v>
      </c>
      <c r="D650" s="6">
        <f>MAX(C650,1)/Settings!$B$18</f>
        <v>0.10825385391165217</v>
      </c>
      <c r="E650" s="6">
        <f t="shared" si="21"/>
        <v>6</v>
      </c>
      <c r="F650" s="6">
        <f>ACE_Input!D50</f>
        <v>354</v>
      </c>
      <c r="G650" s="6">
        <f>MOD(Settings!$B$17*(G649),Settings!$B$18)</f>
        <v>541053585</v>
      </c>
      <c r="H650" s="6">
        <f>MAX(G650,1)/Settings!$B$18</f>
        <v>0.25194770901088964</v>
      </c>
      <c r="I650" s="6">
        <f>-ACE_Input!W50*LN(H650)</f>
        <v>5.5141348677106921</v>
      </c>
      <c r="J650" s="6">
        <f>-ACE_Input!X50*LN(H650)</f>
        <v>16.542404603132077</v>
      </c>
      <c r="K650" s="6">
        <f>ACE_Input!U50</f>
        <v>300</v>
      </c>
      <c r="L650" s="6">
        <f>K650*ACE_Input!V50</f>
        <v>75</v>
      </c>
    </row>
    <row r="651" spans="1:12" x14ac:dyDescent="0.2">
      <c r="A651">
        <f>6</f>
        <v>6</v>
      </c>
      <c r="B651">
        <f>ACE_Input!A51</f>
        <v>46</v>
      </c>
      <c r="C651" s="6">
        <f>MOD(Settings!$B$17*(C650),Settings!$B$18)</f>
        <v>907360574</v>
      </c>
      <c r="D651" s="6">
        <f>MAX(C651,1)/Settings!$B$18</f>
        <v>0.42252269313788166</v>
      </c>
      <c r="E651" s="6">
        <f t="shared" si="21"/>
        <v>5</v>
      </c>
      <c r="F651" s="6">
        <f>ACE_Input!D51</f>
        <v>359</v>
      </c>
      <c r="G651" s="6">
        <f>MOD(Settings!$B$17*(G650),Settings!$B$18)</f>
        <v>1041841697</v>
      </c>
      <c r="H651" s="6">
        <f>MAX(G651,1)/Settings!$B$18</f>
        <v>0.48514534602181303</v>
      </c>
      <c r="I651" s="6">
        <f>-ACE_Input!W51*LN(H651)</f>
        <v>2.8932270016851538</v>
      </c>
      <c r="J651" s="6">
        <f>-ACE_Input!X51*LN(H651)</f>
        <v>8.6796810050554605</v>
      </c>
      <c r="K651" s="6">
        <f>ACE_Input!U51</f>
        <v>300</v>
      </c>
      <c r="L651" s="6">
        <f>K651*ACE_Input!V51</f>
        <v>75</v>
      </c>
    </row>
    <row r="652" spans="1:12" x14ac:dyDescent="0.2">
      <c r="A652">
        <f>6</f>
        <v>6</v>
      </c>
      <c r="B652">
        <f>ACE_Input!A52</f>
        <v>47</v>
      </c>
      <c r="C652" s="6">
        <f>MOD(Settings!$B$17*(C651),Settings!$B$18)</f>
        <v>727789871</v>
      </c>
      <c r="D652" s="6">
        <f>MAX(C652,1)/Settings!$B$18</f>
        <v>0.33890356837720775</v>
      </c>
      <c r="E652" s="6">
        <f t="shared" si="21"/>
        <v>5</v>
      </c>
      <c r="F652" s="6">
        <f>ACE_Input!D52</f>
        <v>364</v>
      </c>
      <c r="G652" s="6">
        <f>MOD(Settings!$B$17*(G651),Settings!$B$18)</f>
        <v>1799227488</v>
      </c>
      <c r="H652" s="6">
        <f>MAX(G652,1)/Settings!$B$18</f>
        <v>0.83783058861169524</v>
      </c>
      <c r="I652" s="6">
        <f>-ACE_Input!W52*LN(H652)</f>
        <v>0.70775744199471913</v>
      </c>
      <c r="J652" s="6">
        <f>-ACE_Input!X52*LN(H652)</f>
        <v>2.1232723259841575</v>
      </c>
      <c r="K652" s="6">
        <f>ACE_Input!U52</f>
        <v>300</v>
      </c>
      <c r="L652" s="6">
        <f>K652*ACE_Input!V52</f>
        <v>75</v>
      </c>
    </row>
    <row r="653" spans="1:12" x14ac:dyDescent="0.2">
      <c r="A653">
        <f>6</f>
        <v>6</v>
      </c>
      <c r="B653">
        <f>ACE_Input!A53</f>
        <v>48</v>
      </c>
      <c r="C653" s="6">
        <f>MOD(Settings!$B$17*(C652),Settings!$B$18)</f>
        <v>2044992232</v>
      </c>
      <c r="D653" s="6">
        <f>MAX(C653,1)/Settings!$B$18</f>
        <v>0.95227371573088393</v>
      </c>
      <c r="E653" s="6">
        <f t="shared" si="21"/>
        <v>5</v>
      </c>
      <c r="F653" s="6">
        <f>ACE_Input!D53</f>
        <v>369</v>
      </c>
      <c r="G653" s="6">
        <f>MOD(Settings!$B$17*(G652),Settings!$B$18)</f>
        <v>899157409</v>
      </c>
      <c r="H653" s="6">
        <f>MAX(G653,1)/Settings!$B$18</f>
        <v>0.41870279676220512</v>
      </c>
      <c r="I653" s="6">
        <f>-ACE_Input!W53*LN(H653)</f>
        <v>3.4823757053866529</v>
      </c>
      <c r="J653" s="6">
        <f>-ACE_Input!X53*LN(H653)</f>
        <v>10.447127116159958</v>
      </c>
      <c r="K653" s="6">
        <f>ACE_Input!U53</f>
        <v>300</v>
      </c>
      <c r="L653" s="6">
        <f>K653*ACE_Input!V53</f>
        <v>75</v>
      </c>
    </row>
    <row r="654" spans="1:12" x14ac:dyDescent="0.2">
      <c r="A654">
        <f>6</f>
        <v>6</v>
      </c>
      <c r="B654">
        <f>ACE_Input!A54</f>
        <v>49</v>
      </c>
      <c r="C654" s="6">
        <f>MOD(Settings!$B$17*(C653),Settings!$B$18)</f>
        <v>1856156636</v>
      </c>
      <c r="D654" s="6">
        <f>MAX(C654,1)/Settings!$B$18</f>
        <v>0.86434028896705262</v>
      </c>
      <c r="E654" s="6">
        <f t="shared" si="21"/>
        <v>5</v>
      </c>
      <c r="F654" s="6">
        <f>ACE_Input!D54</f>
        <v>374</v>
      </c>
      <c r="G654" s="6">
        <f>MOD(Settings!$B$17*(G653),Settings!$B$18)</f>
        <v>296149124</v>
      </c>
      <c r="H654" s="6">
        <f>MAX(G654,1)/Settings!$B$18</f>
        <v>0.1379051823811164</v>
      </c>
      <c r="I654" s="6">
        <f>-ACE_Input!W54*LN(H654)</f>
        <v>7.9247556566810511</v>
      </c>
      <c r="J654" s="6">
        <f>-ACE_Input!X54*LN(H654)</f>
        <v>23.774266970043154</v>
      </c>
      <c r="K654" s="6">
        <f>ACE_Input!U54</f>
        <v>300</v>
      </c>
      <c r="L654" s="6">
        <f>K654*ACE_Input!V54</f>
        <v>75</v>
      </c>
    </row>
    <row r="655" spans="1:12" x14ac:dyDescent="0.2">
      <c r="A655">
        <f>6</f>
        <v>6</v>
      </c>
      <c r="B655">
        <f>ACE_Input!A55</f>
        <v>50</v>
      </c>
      <c r="C655" s="6">
        <f>MOD(Settings!$B$17*(C654),Settings!$B$18)</f>
        <v>2077124930</v>
      </c>
      <c r="D655" s="6">
        <f>MAX(C655,1)/Settings!$B$18</f>
        <v>0.96723666925320251</v>
      </c>
      <c r="E655" s="6">
        <f t="shared" si="21"/>
        <v>5</v>
      </c>
      <c r="F655" s="6">
        <f>ACE_Input!D55</f>
        <v>379</v>
      </c>
      <c r="G655" s="6">
        <f>MOD(Settings!$B$17*(G654),Settings!$B$18)</f>
        <v>1658716969</v>
      </c>
      <c r="H655" s="6">
        <f>MAX(G655,1)/Settings!$B$18</f>
        <v>0.77240027942340839</v>
      </c>
      <c r="I655" s="6">
        <f>-ACE_Input!W55*LN(H655)</f>
        <v>1.0330094666714533</v>
      </c>
      <c r="J655" s="6">
        <f>-ACE_Input!X55*LN(H655)</f>
        <v>3.09902840001436</v>
      </c>
      <c r="K655" s="6">
        <f>ACE_Input!U55</f>
        <v>300</v>
      </c>
      <c r="L655" s="6">
        <f>K655*ACE_Input!V55</f>
        <v>75</v>
      </c>
    </row>
    <row r="656" spans="1:12" x14ac:dyDescent="0.2">
      <c r="A656">
        <f>6</f>
        <v>6</v>
      </c>
      <c r="B656">
        <f>ACE_Input!A56</f>
        <v>51</v>
      </c>
      <c r="C656" s="6">
        <f>MOD(Settings!$B$17*(C655),Settings!$B$18)</f>
        <v>744532878</v>
      </c>
      <c r="D656" s="6">
        <f>MAX(C656,1)/Settings!$B$18</f>
        <v>0.34670013857386084</v>
      </c>
      <c r="E656" s="6">
        <f t="shared" si="21"/>
        <v>5</v>
      </c>
      <c r="F656" s="6">
        <f>ACE_Input!D56</f>
        <v>384</v>
      </c>
      <c r="G656" s="6">
        <f>MOD(Settings!$B$17*(G655),Settings!$B$18)</f>
        <v>1570876276</v>
      </c>
      <c r="H656" s="6">
        <f>MAX(G656,1)/Settings!$B$18</f>
        <v>0.73149626922397704</v>
      </c>
      <c r="I656" s="6">
        <f>-ACE_Input!W56*LN(H656)</f>
        <v>1.2506526348289766</v>
      </c>
      <c r="J656" s="6">
        <f>-ACE_Input!X56*LN(H656)</f>
        <v>3.7519579044869298</v>
      </c>
      <c r="K656" s="6">
        <f>ACE_Input!U56</f>
        <v>300</v>
      </c>
      <c r="L656" s="6">
        <f>K656*ACE_Input!V56</f>
        <v>75</v>
      </c>
    </row>
    <row r="657" spans="1:12" x14ac:dyDescent="0.2">
      <c r="A657">
        <f>6</f>
        <v>6</v>
      </c>
      <c r="B657">
        <f>ACE_Input!A57</f>
        <v>52</v>
      </c>
      <c r="C657" s="6">
        <f>MOD(Settings!$B$17*(C656),Settings!$B$18)</f>
        <v>2124353124</v>
      </c>
      <c r="D657" s="6">
        <f>MAX(C657,1)/Settings!$B$18</f>
        <v>0.98922901087870307</v>
      </c>
      <c r="E657" s="6">
        <f t="shared" si="21"/>
        <v>5</v>
      </c>
      <c r="F657" s="6">
        <f>ACE_Input!D57</f>
        <v>389</v>
      </c>
      <c r="G657" s="6">
        <f>MOD(Settings!$B$17*(G656),Settings!$B$18)</f>
        <v>553614514</v>
      </c>
      <c r="H657" s="6">
        <f>MAX(G657,1)/Settings!$B$18</f>
        <v>0.25779684738153447</v>
      </c>
      <c r="I657" s="6">
        <f>-ACE_Input!W57*LN(H657)</f>
        <v>5.4223336699321294</v>
      </c>
      <c r="J657" s="6">
        <f>-ACE_Input!X57*LN(H657)</f>
        <v>16.267001009796388</v>
      </c>
      <c r="K657" s="6">
        <f>ACE_Input!U57</f>
        <v>300</v>
      </c>
      <c r="L657" s="6">
        <f>K657*ACE_Input!V57</f>
        <v>75</v>
      </c>
    </row>
    <row r="658" spans="1:12" x14ac:dyDescent="0.2">
      <c r="A658">
        <f>6</f>
        <v>6</v>
      </c>
      <c r="B658">
        <f>ACE_Input!A58</f>
        <v>53</v>
      </c>
      <c r="C658" s="6">
        <f>MOD(Settings!$B$17*(C657),Settings!$B$18)</f>
        <v>2087323693</v>
      </c>
      <c r="D658" s="6">
        <f>MAX(C658,1)/Settings!$B$18</f>
        <v>0.9719858383629405</v>
      </c>
      <c r="E658" s="6">
        <f t="shared" si="21"/>
        <v>5</v>
      </c>
      <c r="F658" s="6">
        <f>ACE_Input!D58</f>
        <v>394</v>
      </c>
      <c r="G658" s="6">
        <f>MOD(Settings!$B$17*(G657),Settings!$B$18)</f>
        <v>1699977994</v>
      </c>
      <c r="H658" s="6">
        <f>MAX(G658,1)/Settings!$B$18</f>
        <v>0.79161394144949226</v>
      </c>
      <c r="I658" s="6">
        <f>-ACE_Input!W58*LN(H658)</f>
        <v>0.9347258146949099</v>
      </c>
      <c r="J658" s="6">
        <f>-ACE_Input!X58*LN(H658)</f>
        <v>2.8041774440847296</v>
      </c>
      <c r="K658" s="6">
        <f>ACE_Input!U58</f>
        <v>300</v>
      </c>
      <c r="L658" s="6">
        <f>K658*ACE_Input!V58</f>
        <v>75</v>
      </c>
    </row>
    <row r="659" spans="1:12" x14ac:dyDescent="0.2">
      <c r="A659">
        <f>6</f>
        <v>6</v>
      </c>
      <c r="B659">
        <f>ACE_Input!A59</f>
        <v>54</v>
      </c>
      <c r="C659" s="6">
        <f>MOD(Settings!$B$17*(C658),Settings!$B$18)</f>
        <v>356450859</v>
      </c>
      <c r="D659" s="6">
        <f>MAX(C659,1)/Settings!$B$18</f>
        <v>0.16598536594118241</v>
      </c>
      <c r="E659" s="6">
        <f t="shared" si="21"/>
        <v>5</v>
      </c>
      <c r="F659" s="6">
        <f>ACE_Input!D59</f>
        <v>399</v>
      </c>
      <c r="G659" s="6">
        <f>MOD(Settings!$B$17*(G658),Settings!$B$18)</f>
        <v>1407705470</v>
      </c>
      <c r="H659" s="6">
        <f>MAX(G659,1)/Settings!$B$18</f>
        <v>0.65551394161559362</v>
      </c>
      <c r="I659" s="6">
        <f>-ACE_Input!W59*LN(H659)</f>
        <v>1.6893428293235322</v>
      </c>
      <c r="J659" s="6">
        <f>-ACE_Input!X59*LN(H659)</f>
        <v>5.0680284879705964</v>
      </c>
      <c r="K659" s="6">
        <f>ACE_Input!U59</f>
        <v>300</v>
      </c>
      <c r="L659" s="6">
        <f>K659*ACE_Input!V59</f>
        <v>75</v>
      </c>
    </row>
    <row r="660" spans="1:12" x14ac:dyDescent="0.2">
      <c r="A660">
        <f>6</f>
        <v>6</v>
      </c>
      <c r="B660">
        <f>ACE_Input!A60</f>
        <v>55</v>
      </c>
      <c r="C660" s="6">
        <f>MOD(Settings!$B$17*(C659),Settings!$B$18)</f>
        <v>1537695730</v>
      </c>
      <c r="D660" s="6">
        <f>MAX(C660,1)/Settings!$B$18</f>
        <v>0.71604537345284847</v>
      </c>
      <c r="E660" s="6">
        <f t="shared" si="21"/>
        <v>5</v>
      </c>
      <c r="F660" s="6">
        <f>ACE_Input!D60</f>
        <v>404</v>
      </c>
      <c r="G660" s="6">
        <f>MOD(Settings!$B$17*(G659),Settings!$B$18)</f>
        <v>478495291</v>
      </c>
      <c r="H660" s="6">
        <f>MAX(G660,1)/Settings!$B$18</f>
        <v>0.22281673328150842</v>
      </c>
      <c r="I660" s="6">
        <f>-ACE_Input!W60*LN(H660)</f>
        <v>6.0056226770164356</v>
      </c>
      <c r="J660" s="6">
        <f>-ACE_Input!X60*LN(H660)</f>
        <v>18.016868031049306</v>
      </c>
      <c r="K660" s="6">
        <f>ACE_Input!U60</f>
        <v>300</v>
      </c>
      <c r="L660" s="6">
        <f>K660*ACE_Input!V60</f>
        <v>75</v>
      </c>
    </row>
    <row r="661" spans="1:12" x14ac:dyDescent="0.2">
      <c r="A661">
        <f>6</f>
        <v>6</v>
      </c>
      <c r="B661">
        <f>ACE_Input!A61</f>
        <v>56</v>
      </c>
      <c r="C661" s="6">
        <f>MOD(Settings!$B$17*(C660),Settings!$B$18)</f>
        <v>1233926112</v>
      </c>
      <c r="D661" s="6">
        <f>MAX(C661,1)/Settings!$B$18</f>
        <v>0.57459162202411873</v>
      </c>
      <c r="E661" s="6">
        <f t="shared" si="21"/>
        <v>5</v>
      </c>
      <c r="F661" s="6">
        <f>ACE_Input!D61</f>
        <v>409</v>
      </c>
      <c r="G661" s="6">
        <f>MOD(Settings!$B$17*(G660),Settings!$B$18)</f>
        <v>1891581469</v>
      </c>
      <c r="H661" s="6">
        <f>MAX(G661,1)/Settings!$B$18</f>
        <v>0.88083626231217582</v>
      </c>
      <c r="I661" s="6">
        <f>-ACE_Input!W61*LN(H661)</f>
        <v>0.50753409870092892</v>
      </c>
      <c r="J661" s="6">
        <f>-ACE_Input!X61*LN(H661)</f>
        <v>1.5226022961027867</v>
      </c>
      <c r="K661" s="6">
        <f>ACE_Input!U61</f>
        <v>300</v>
      </c>
      <c r="L661" s="6">
        <f>K661*ACE_Input!V61</f>
        <v>75</v>
      </c>
    </row>
    <row r="662" spans="1:12" x14ac:dyDescent="0.2">
      <c r="A662">
        <f>6</f>
        <v>6</v>
      </c>
      <c r="B662">
        <f>ACE_Input!A62</f>
        <v>57</v>
      </c>
      <c r="C662" s="6">
        <f>MOD(Settings!$B$17*(C661),Settings!$B$18)</f>
        <v>346585305</v>
      </c>
      <c r="D662" s="6">
        <f>MAX(C662,1)/Settings!$B$18</f>
        <v>0.16139135936339916</v>
      </c>
      <c r="E662" s="6">
        <f t="shared" si="21"/>
        <v>5</v>
      </c>
      <c r="F662" s="6">
        <f>ACE_Input!D62</f>
        <v>414</v>
      </c>
      <c r="G662" s="6">
        <f>MOD(Settings!$B$17*(G661),Settings!$B$18)</f>
        <v>461839295</v>
      </c>
      <c r="H662" s="6">
        <f>MAX(G662,1)/Settings!$B$18</f>
        <v>0.21506068073914417</v>
      </c>
      <c r="I662" s="6">
        <f>-ACE_Input!W62*LN(H662)</f>
        <v>6.1473402187181643</v>
      </c>
      <c r="J662" s="6">
        <f>-ACE_Input!X62*LN(H662)</f>
        <v>18.442020656154494</v>
      </c>
      <c r="K662" s="6">
        <f>ACE_Input!U62</f>
        <v>300</v>
      </c>
      <c r="L662" s="6">
        <f>K662*ACE_Input!V62</f>
        <v>75</v>
      </c>
    </row>
    <row r="663" spans="1:12" x14ac:dyDescent="0.2">
      <c r="A663">
        <f>6</f>
        <v>6</v>
      </c>
      <c r="B663">
        <f>ACE_Input!A63</f>
        <v>58</v>
      </c>
      <c r="C663" s="6">
        <f>MOD(Settings!$B$17*(C662),Settings!$B$18)</f>
        <v>1083570471</v>
      </c>
      <c r="D663" s="6">
        <f>MAX(C663,1)/Settings!$B$18</f>
        <v>0.50457682064947529</v>
      </c>
      <c r="E663" s="6">
        <f t="shared" si="21"/>
        <v>5</v>
      </c>
      <c r="F663" s="6">
        <f>ACE_Input!D63</f>
        <v>419</v>
      </c>
      <c r="G663" s="6">
        <f>MOD(Settings!$B$17*(G662),Settings!$B$18)</f>
        <v>1127130807</v>
      </c>
      <c r="H663" s="6">
        <f>MAX(G663,1)/Settings!$B$18</f>
        <v>0.5248611827962385</v>
      </c>
      <c r="I663" s="6">
        <f>-ACE_Input!W63*LN(H663)</f>
        <v>2.5784858603017407</v>
      </c>
      <c r="J663" s="6">
        <f>-ACE_Input!X63*LN(H663)</f>
        <v>7.735457580905222</v>
      </c>
      <c r="K663" s="6">
        <f>ACE_Input!U63</f>
        <v>300</v>
      </c>
      <c r="L663" s="6">
        <f>K663*ACE_Input!V63</f>
        <v>75</v>
      </c>
    </row>
    <row r="664" spans="1:12" x14ac:dyDescent="0.2">
      <c r="A664">
        <f>6</f>
        <v>6</v>
      </c>
      <c r="B664">
        <f>ACE_Input!A64</f>
        <v>59</v>
      </c>
      <c r="C664" s="6">
        <f>MOD(Settings!$B$17*(C663),Settings!$B$18)</f>
        <v>907579537</v>
      </c>
      <c r="D664" s="6">
        <f>MAX(C664,1)/Settings!$B$18</f>
        <v>0.42262465573038194</v>
      </c>
      <c r="E664" s="6">
        <f t="shared" si="21"/>
        <v>5</v>
      </c>
      <c r="F664" s="6">
        <f>ACE_Input!D64</f>
        <v>424</v>
      </c>
      <c r="G664" s="6">
        <f>MOD(Settings!$B$17*(G663),Settings!$B$18)</f>
        <v>734223062</v>
      </c>
      <c r="H664" s="6">
        <f>MAX(G664,1)/Settings!$B$18</f>
        <v>0.34189925638115931</v>
      </c>
      <c r="I664" s="6">
        <f>-ACE_Input!W64*LN(H664)</f>
        <v>4.2929566291971817</v>
      </c>
      <c r="J664" s="6">
        <f>-ACE_Input!X64*LN(H664)</f>
        <v>12.878869887591545</v>
      </c>
      <c r="K664" s="6">
        <f>ACE_Input!U64</f>
        <v>300</v>
      </c>
      <c r="L664" s="6">
        <f>K664*ACE_Input!V64</f>
        <v>75</v>
      </c>
    </row>
    <row r="665" spans="1:12" x14ac:dyDescent="0.2">
      <c r="A665">
        <f>6</f>
        <v>6</v>
      </c>
      <c r="B665">
        <f>ACE_Input!A65</f>
        <v>60</v>
      </c>
      <c r="C665" s="6">
        <f>MOD(Settings!$B$17*(C664),Settings!$B$18)</f>
        <v>112933718</v>
      </c>
      <c r="D665" s="6">
        <f>MAX(C665,1)/Settings!$B$18</f>
        <v>5.2588860528817803E-2</v>
      </c>
      <c r="E665" s="6">
        <f t="shared" si="21"/>
        <v>5</v>
      </c>
      <c r="F665" s="6">
        <f>ACE_Input!D65</f>
        <v>429</v>
      </c>
      <c r="G665" s="6">
        <f>MOD(Settings!$B$17*(G664),Settings!$B$18)</f>
        <v>645967372</v>
      </c>
      <c r="H665" s="6">
        <f>MAX(G665,1)/Settings!$B$18</f>
        <v>0.30080199814438913</v>
      </c>
      <c r="I665" s="6">
        <f>-ACE_Input!W65*LN(H665)</f>
        <v>4.8052121766450568</v>
      </c>
      <c r="J665" s="6">
        <f>-ACE_Input!X65*LN(H665)</f>
        <v>14.415636529935171</v>
      </c>
      <c r="K665" s="6">
        <f>ACE_Input!U65</f>
        <v>300</v>
      </c>
      <c r="L665" s="6">
        <f>K665*ACE_Input!V65</f>
        <v>75</v>
      </c>
    </row>
    <row r="666" spans="1:12" x14ac:dyDescent="0.2">
      <c r="A666">
        <f>6</f>
        <v>6</v>
      </c>
      <c r="B666">
        <f>ACE_Input!A66</f>
        <v>61</v>
      </c>
      <c r="C666" s="6">
        <f>MOD(Settings!$B$17*(C665),Settings!$B$18)</f>
        <v>1848938125</v>
      </c>
      <c r="D666" s="6">
        <f>MAX(C666,1)/Settings!$B$18</f>
        <v>0.86097890784078224</v>
      </c>
      <c r="E666" s="6">
        <f t="shared" si="21"/>
        <v>5</v>
      </c>
      <c r="F666" s="6">
        <f>ACE_Input!D66</f>
        <v>434</v>
      </c>
      <c r="G666" s="6">
        <f>MOD(Settings!$B$17*(G665),Settings!$B$18)</f>
        <v>1243785619</v>
      </c>
      <c r="H666" s="6">
        <f>MAX(G666,1)/Settings!$B$18</f>
        <v>0.57918281274809635</v>
      </c>
      <c r="I666" s="6">
        <f>-ACE_Input!W66*LN(H666)</f>
        <v>2.1845484498947112</v>
      </c>
      <c r="J666" s="6">
        <f>-ACE_Input!X66*LN(H666)</f>
        <v>6.5536453496841336</v>
      </c>
      <c r="K666" s="6">
        <f>ACE_Input!U66</f>
        <v>300</v>
      </c>
      <c r="L666" s="6">
        <f>K666*ACE_Input!V66</f>
        <v>75</v>
      </c>
    </row>
    <row r="667" spans="1:12" x14ac:dyDescent="0.2">
      <c r="A667">
        <f>6</f>
        <v>6</v>
      </c>
      <c r="B667">
        <f>ACE_Input!A67</f>
        <v>62</v>
      </c>
      <c r="C667" s="6">
        <f>MOD(Settings!$B$17*(C666),Settings!$B$18)</f>
        <v>1014694785</v>
      </c>
      <c r="D667" s="6">
        <f>MAX(C667,1)/Settings!$B$18</f>
        <v>0.4725040800275766</v>
      </c>
      <c r="E667" s="6">
        <f t="shared" si="21"/>
        <v>5</v>
      </c>
      <c r="F667" s="6">
        <f>ACE_Input!D67</f>
        <v>439</v>
      </c>
      <c r="G667" s="6">
        <f>MOD(Settings!$B$17*(G666),Settings!$B$18)</f>
        <v>699078635</v>
      </c>
      <c r="H667" s="6">
        <f>MAX(G667,1)/Settings!$B$18</f>
        <v>0.3255338572550257</v>
      </c>
      <c r="I667" s="6">
        <f>-ACE_Input!W67*LN(H667)</f>
        <v>4.4891552263933798</v>
      </c>
      <c r="J667" s="6">
        <f>-ACE_Input!X67*LN(H667)</f>
        <v>13.46746567918014</v>
      </c>
      <c r="K667" s="6">
        <f>ACE_Input!U67</f>
        <v>300</v>
      </c>
      <c r="L667" s="6">
        <f>K667*ACE_Input!V67</f>
        <v>75</v>
      </c>
    </row>
    <row r="668" spans="1:12" x14ac:dyDescent="0.2">
      <c r="A668">
        <f>6</f>
        <v>6</v>
      </c>
      <c r="B668">
        <f>ACE_Input!A68</f>
        <v>63</v>
      </c>
      <c r="C668" s="6">
        <f>MOD(Settings!$B$17*(C667),Settings!$B$18)</f>
        <v>807610668</v>
      </c>
      <c r="D668" s="6">
        <f>MAX(C668,1)/Settings!$B$18</f>
        <v>0.37607302347946586</v>
      </c>
      <c r="E668" s="6">
        <f t="shared" si="21"/>
        <v>5</v>
      </c>
      <c r="F668" s="6">
        <f>ACE_Input!D68</f>
        <v>444</v>
      </c>
      <c r="G668" s="6">
        <f>MOD(Settings!$B$17*(G667),Settings!$B$18)</f>
        <v>531585708</v>
      </c>
      <c r="H668" s="6">
        <f>MAX(G668,1)/Settings!$B$18</f>
        <v>0.24753888521694525</v>
      </c>
      <c r="I668" s="6">
        <f>-ACE_Input!W68*LN(H668)</f>
        <v>5.5847503893061212</v>
      </c>
      <c r="J668" s="6">
        <f>-ACE_Input!X68*LN(H668)</f>
        <v>16.754251167918362</v>
      </c>
      <c r="K668" s="6">
        <f>ACE_Input!U68</f>
        <v>300</v>
      </c>
      <c r="L668" s="6">
        <f>K668*ACE_Input!V68</f>
        <v>75</v>
      </c>
    </row>
    <row r="669" spans="1:12" x14ac:dyDescent="0.2">
      <c r="A669">
        <f>6</f>
        <v>6</v>
      </c>
      <c r="B669">
        <f>ACE_Input!A69</f>
        <v>64</v>
      </c>
      <c r="C669" s="6">
        <f>MOD(Settings!$B$17*(C668),Settings!$B$18)</f>
        <v>1415848036</v>
      </c>
      <c r="D669" s="6">
        <f>MAX(C669,1)/Settings!$B$18</f>
        <v>0.65930561938290744</v>
      </c>
      <c r="E669" s="6">
        <f t="shared" si="21"/>
        <v>5</v>
      </c>
      <c r="F669" s="6">
        <f>ACE_Input!D69</f>
        <v>449</v>
      </c>
      <c r="G669" s="6">
        <f>MOD(Settings!$B$17*(G668),Settings!$B$18)</f>
        <v>829022836</v>
      </c>
      <c r="H669" s="6">
        <f>MAX(G669,1)/Settings!$B$18</f>
        <v>0.38604384119903845</v>
      </c>
      <c r="I669" s="6">
        <f>-ACE_Input!W69*LN(H669)</f>
        <v>3.8072173509238989</v>
      </c>
      <c r="J669" s="6">
        <f>-ACE_Input!X69*LN(H669)</f>
        <v>11.421652052771696</v>
      </c>
      <c r="K669" s="6">
        <f>ACE_Input!U69</f>
        <v>300</v>
      </c>
      <c r="L669" s="6">
        <f>K669*ACE_Input!V69</f>
        <v>75</v>
      </c>
    </row>
    <row r="670" spans="1:12" x14ac:dyDescent="0.2">
      <c r="A670">
        <f>6</f>
        <v>6</v>
      </c>
      <c r="B670">
        <f>ACE_Input!A70</f>
        <v>65</v>
      </c>
      <c r="C670" s="6">
        <f>MOD(Settings!$B$17*(C669),Settings!$B$18)</f>
        <v>2039132292</v>
      </c>
      <c r="D670" s="6">
        <f>MAX(C670,1)/Settings!$B$18</f>
        <v>0.94954496852566717</v>
      </c>
      <c r="E670" s="6">
        <f t="shared" si="21"/>
        <v>5</v>
      </c>
      <c r="F670" s="6">
        <f>ACE_Input!D70</f>
        <v>454</v>
      </c>
      <c r="G670" s="6">
        <f>MOD(Settings!$B$17*(G669),Settings!$B$18)</f>
        <v>512902916</v>
      </c>
      <c r="H670" s="6">
        <f>MAX(G670,1)/Settings!$B$18</f>
        <v>0.23883903223967134</v>
      </c>
      <c r="I670" s="6">
        <f>-ACE_Input!W70*LN(H670)</f>
        <v>5.7278618369221288</v>
      </c>
      <c r="J670" s="6">
        <f>-ACE_Input!X70*LN(H670)</f>
        <v>17.183585510766385</v>
      </c>
      <c r="K670" s="6">
        <f>ACE_Input!U70</f>
        <v>300</v>
      </c>
      <c r="L670" s="6">
        <f>K670*ACE_Input!V70</f>
        <v>75</v>
      </c>
    </row>
    <row r="671" spans="1:12" x14ac:dyDescent="0.2">
      <c r="A671">
        <f>6</f>
        <v>6</v>
      </c>
      <c r="B671">
        <f>ACE_Input!A71</f>
        <v>66</v>
      </c>
      <c r="C671" s="6">
        <f>MOD(Settings!$B$17*(C670),Settings!$B$18)</f>
        <v>4909171</v>
      </c>
      <c r="D671" s="6">
        <f>MAX(C671,1)/Settings!$B$18</f>
        <v>2.2860108885383286E-3</v>
      </c>
      <c r="E671" s="6">
        <f t="shared" ref="E671:E702" si="22">F671-F670</f>
        <v>5</v>
      </c>
      <c r="F671" s="6">
        <f>ACE_Input!D71</f>
        <v>459</v>
      </c>
      <c r="G671" s="6">
        <f>MOD(Settings!$B$17*(G670),Settings!$B$18)</f>
        <v>359950154</v>
      </c>
      <c r="H671" s="6">
        <f>MAX(G671,1)/Settings!$B$18</f>
        <v>0.16761485215631075</v>
      </c>
      <c r="I671" s="6">
        <f>-ACE_Input!W71*LN(H671)</f>
        <v>7.1443459127037965</v>
      </c>
      <c r="J671" s="6">
        <f>-ACE_Input!X71*LN(H671)</f>
        <v>21.433037738111388</v>
      </c>
      <c r="K671" s="6">
        <f>ACE_Input!U71</f>
        <v>300</v>
      </c>
      <c r="L671" s="6">
        <f>K671*ACE_Input!V71</f>
        <v>75</v>
      </c>
    </row>
    <row r="672" spans="1:12" x14ac:dyDescent="0.2">
      <c r="A672">
        <f>6</f>
        <v>6</v>
      </c>
      <c r="B672">
        <f>ACE_Input!A72</f>
        <v>67</v>
      </c>
      <c r="C672" s="6">
        <f>MOD(Settings!$B$17*(C671),Settings!$B$18)</f>
        <v>904058411</v>
      </c>
      <c r="D672" s="6">
        <f>MAX(C672,1)/Settings!$B$18</f>
        <v>0.42098500366368563</v>
      </c>
      <c r="E672" s="6">
        <f t="shared" si="22"/>
        <v>15</v>
      </c>
      <c r="F672" s="6">
        <f>ACE_Input!D72</f>
        <v>474</v>
      </c>
      <c r="G672" s="6">
        <f>MOD(Settings!$B$17*(G671),Settings!$B$18)</f>
        <v>220804679</v>
      </c>
      <c r="H672" s="6">
        <f>MAX(G672,1)/Settings!$B$18</f>
        <v>0.10282019111459152</v>
      </c>
      <c r="I672" s="6">
        <f>-ACE_Input!W72*LN(H672)</f>
        <v>9.0990941345070766</v>
      </c>
      <c r="J672" s="6">
        <f>-ACE_Input!X72*LN(H672)</f>
        <v>27.29728240352123</v>
      </c>
      <c r="K672" s="6">
        <f>ACE_Input!U72</f>
        <v>300</v>
      </c>
      <c r="L672" s="6">
        <f>K672*ACE_Input!V72</f>
        <v>75</v>
      </c>
    </row>
    <row r="673" spans="1:12" x14ac:dyDescent="0.2">
      <c r="A673">
        <f>6</f>
        <v>6</v>
      </c>
      <c r="B673">
        <f>ACE_Input!A73</f>
        <v>68</v>
      </c>
      <c r="C673" s="6">
        <f>MOD(Settings!$B$17*(C672),Settings!$B$18)</f>
        <v>1062911152</v>
      </c>
      <c r="D673" s="6">
        <f>MAX(C673,1)/Settings!$B$18</f>
        <v>0.49495657556455425</v>
      </c>
      <c r="E673" s="6">
        <f t="shared" si="22"/>
        <v>5</v>
      </c>
      <c r="F673" s="6">
        <f>ACE_Input!D73</f>
        <v>479</v>
      </c>
      <c r="G673" s="6">
        <f>MOD(Settings!$B$17*(G672),Settings!$B$18)</f>
        <v>212497937</v>
      </c>
      <c r="H673" s="6">
        <f>MAX(G673,1)/Settings!$B$18</f>
        <v>9.8952062939737018E-2</v>
      </c>
      <c r="I673" s="6">
        <f>-ACE_Input!W73*LN(H673)</f>
        <v>9.2524790353852691</v>
      </c>
      <c r="J673" s="6">
        <f>-ACE_Input!X73*LN(H673)</f>
        <v>27.757437106155805</v>
      </c>
      <c r="K673" s="6">
        <f>ACE_Input!U73</f>
        <v>300</v>
      </c>
      <c r="L673" s="6">
        <f>K673*ACE_Input!V73</f>
        <v>75</v>
      </c>
    </row>
    <row r="674" spans="1:12" x14ac:dyDescent="0.2">
      <c r="A674">
        <f>6</f>
        <v>6</v>
      </c>
      <c r="B674">
        <f>ACE_Input!A74</f>
        <v>69</v>
      </c>
      <c r="C674" s="6">
        <f>MOD(Settings!$B$17*(C673),Settings!$B$18)</f>
        <v>1578755918</v>
      </c>
      <c r="D674" s="6">
        <f>MAX(C674,1)/Settings!$B$18</f>
        <v>0.7351655134629298</v>
      </c>
      <c r="E674" s="6">
        <f t="shared" si="22"/>
        <v>15</v>
      </c>
      <c r="F674" s="6">
        <f>ACE_Input!D74</f>
        <v>494</v>
      </c>
      <c r="G674" s="6">
        <f>MOD(Settings!$B$17*(G673),Settings!$B$18)</f>
        <v>187522198</v>
      </c>
      <c r="H674" s="6">
        <f>MAX(G674,1)/Settings!$B$18</f>
        <v>8.7321828160119158E-2</v>
      </c>
      <c r="I674" s="6">
        <f>-ACE_Input!W74*LN(H674)</f>
        <v>9.7526192447681375</v>
      </c>
      <c r="J674" s="6">
        <f>-ACE_Input!X74*LN(H674)</f>
        <v>29.257857734304412</v>
      </c>
      <c r="K674" s="6">
        <f>ACE_Input!U74</f>
        <v>300</v>
      </c>
      <c r="L674" s="6">
        <f>K674*ACE_Input!V74</f>
        <v>75</v>
      </c>
    </row>
    <row r="675" spans="1:12" x14ac:dyDescent="0.2">
      <c r="A675">
        <f>6</f>
        <v>6</v>
      </c>
      <c r="B675">
        <f>ACE_Input!A75</f>
        <v>70</v>
      </c>
      <c r="C675" s="6">
        <f>MOD(Settings!$B$17*(C674),Settings!$B$18)</f>
        <v>1990255141</v>
      </c>
      <c r="D675" s="6">
        <f>MAX(C675,1)/Settings!$B$18</f>
        <v>0.92678477146047389</v>
      </c>
      <c r="E675" s="6">
        <f t="shared" si="22"/>
        <v>5</v>
      </c>
      <c r="F675" s="6">
        <f>ACE_Input!D75</f>
        <v>499</v>
      </c>
      <c r="G675" s="6">
        <f>MOD(Settings!$B$17*(G674),Settings!$B$18)</f>
        <v>1327071637</v>
      </c>
      <c r="H675" s="6">
        <f>MAX(G675,1)/Settings!$B$18</f>
        <v>0.61796588712277167</v>
      </c>
      <c r="I675" s="6">
        <f>-ACE_Input!W75*LN(H675)</f>
        <v>1.9252880875136973</v>
      </c>
      <c r="J675" s="6">
        <f>-ACE_Input!X75*LN(H675)</f>
        <v>5.7758642625410914</v>
      </c>
      <c r="K675" s="6">
        <f>ACE_Input!U75</f>
        <v>300</v>
      </c>
      <c r="L675" s="6">
        <f>K675*ACE_Input!V75</f>
        <v>75</v>
      </c>
    </row>
    <row r="676" spans="1:12" x14ac:dyDescent="0.2">
      <c r="A676">
        <f>6</f>
        <v>6</v>
      </c>
      <c r="B676">
        <f>ACE_Input!A76</f>
        <v>71</v>
      </c>
      <c r="C676" s="6">
        <f>MOD(Settings!$B$17*(C675),Settings!$B$18)</f>
        <v>1012869115</v>
      </c>
      <c r="D676" s="6">
        <f>MAX(C676,1)/Settings!$B$18</f>
        <v>0.47165393618478157</v>
      </c>
      <c r="E676" s="6">
        <f t="shared" si="22"/>
        <v>5</v>
      </c>
      <c r="F676" s="6">
        <f>ACE_Input!D76</f>
        <v>504</v>
      </c>
      <c r="G676" s="6">
        <f>MOD(Settings!$B$17*(G675),Settings!$B$18)</f>
        <v>327845317</v>
      </c>
      <c r="H676" s="6">
        <f>MAX(G676,1)/Settings!$B$18</f>
        <v>0.15266487242312399</v>
      </c>
      <c r="I676" s="6">
        <f>-ACE_Input!W76*LN(H676)</f>
        <v>7.5180405451683434</v>
      </c>
      <c r="J676" s="6">
        <f>-ACE_Input!X76*LN(H676)</f>
        <v>22.55412163550503</v>
      </c>
      <c r="K676" s="6">
        <f>ACE_Input!U76</f>
        <v>300</v>
      </c>
      <c r="L676" s="6">
        <f>K676*ACE_Input!V76</f>
        <v>75</v>
      </c>
    </row>
    <row r="677" spans="1:12" x14ac:dyDescent="0.2">
      <c r="A677">
        <f>6</f>
        <v>6</v>
      </c>
      <c r="B677">
        <f>ACE_Input!A77</f>
        <v>72</v>
      </c>
      <c r="C677" s="6">
        <f>MOD(Settings!$B$17*(C676),Settings!$B$18)</f>
        <v>188346036</v>
      </c>
      <c r="D677" s="6">
        <f>MAX(C677,1)/Settings!$B$18</f>
        <v>8.770545762391084E-2</v>
      </c>
      <c r="E677" s="6">
        <f t="shared" si="22"/>
        <v>5</v>
      </c>
      <c r="F677" s="6">
        <f>ACE_Input!D77</f>
        <v>509</v>
      </c>
      <c r="G677" s="6">
        <f>MOD(Settings!$B$17*(G676),Settings!$B$18)</f>
        <v>1800688264</v>
      </c>
      <c r="H677" s="6">
        <f>MAX(G677,1)/Settings!$B$18</f>
        <v>0.83851081544464023</v>
      </c>
      <c r="I677" s="6">
        <f>-ACE_Input!W77*LN(H677)</f>
        <v>0.70451119695831343</v>
      </c>
      <c r="J677" s="6">
        <f>-ACE_Input!X77*LN(H677)</f>
        <v>2.1135335908749404</v>
      </c>
      <c r="K677" s="6">
        <f>ACE_Input!U77</f>
        <v>300</v>
      </c>
      <c r="L677" s="6">
        <f>K677*ACE_Input!V77</f>
        <v>75</v>
      </c>
    </row>
    <row r="678" spans="1:12" x14ac:dyDescent="0.2">
      <c r="A678">
        <f>6</f>
        <v>6</v>
      </c>
      <c r="B678">
        <f>ACE_Input!A78</f>
        <v>73</v>
      </c>
      <c r="C678" s="6">
        <f>MOD(Settings!$B$17*(C677),Settings!$B$18)</f>
        <v>140931374</v>
      </c>
      <c r="D678" s="6">
        <f>MAX(C678,1)/Settings!$B$18</f>
        <v>6.5626285069448079E-2</v>
      </c>
      <c r="E678" s="6">
        <f t="shared" si="22"/>
        <v>5</v>
      </c>
      <c r="F678" s="6">
        <f>ACE_Input!D78</f>
        <v>514</v>
      </c>
      <c r="G678" s="6">
        <f>MOD(Settings!$B$17*(G677),Settings!$B$18)</f>
        <v>1828099524</v>
      </c>
      <c r="H678" s="6">
        <f>MAX(G678,1)/Settings!$B$18</f>
        <v>0.85127517806891129</v>
      </c>
      <c r="I678" s="6">
        <f>-ACE_Input!W78*LN(H678)</f>
        <v>0.64407937677997074</v>
      </c>
      <c r="J678" s="6">
        <f>-ACE_Input!X78*LN(H678)</f>
        <v>1.9322381303399121</v>
      </c>
      <c r="K678" s="6">
        <f>ACE_Input!U78</f>
        <v>300</v>
      </c>
      <c r="L678" s="6">
        <f>K678*ACE_Input!V78</f>
        <v>75</v>
      </c>
    </row>
    <row r="679" spans="1:12" x14ac:dyDescent="0.2">
      <c r="A679">
        <f>6</f>
        <v>6</v>
      </c>
      <c r="B679">
        <f>ACE_Input!A79</f>
        <v>74</v>
      </c>
      <c r="C679" s="6">
        <f>MOD(Settings!$B$17*(C678),Settings!$B$18)</f>
        <v>2106623824</v>
      </c>
      <c r="D679" s="6">
        <f>MAX(C679,1)/Settings!$B$18</f>
        <v>0.9809731622137936</v>
      </c>
      <c r="E679" s="6">
        <f t="shared" si="22"/>
        <v>5</v>
      </c>
      <c r="F679" s="6">
        <f>ACE_Input!D79</f>
        <v>519</v>
      </c>
      <c r="G679" s="6">
        <f>MOD(Settings!$B$17*(G678),Settings!$B$18)</f>
        <v>820162239</v>
      </c>
      <c r="H679" s="6">
        <f>MAX(G679,1)/Settings!$B$18</f>
        <v>0.38191780419178206</v>
      </c>
      <c r="I679" s="6">
        <f>-ACE_Input!W79*LN(H679)</f>
        <v>3.8501994632050338</v>
      </c>
      <c r="J679" s="6">
        <f>-ACE_Input!X79*LN(H679)</f>
        <v>11.550598389615102</v>
      </c>
      <c r="K679" s="6">
        <f>ACE_Input!U79</f>
        <v>300</v>
      </c>
      <c r="L679" s="6">
        <f>K679*ACE_Input!V79</f>
        <v>75</v>
      </c>
    </row>
    <row r="680" spans="1:12" x14ac:dyDescent="0.2">
      <c r="A680">
        <f>6</f>
        <v>6</v>
      </c>
      <c r="B680">
        <f>ACE_Input!A80</f>
        <v>75</v>
      </c>
      <c r="C680" s="6">
        <f>MOD(Settings!$B$17*(C679),Settings!$B$18)</f>
        <v>463721879</v>
      </c>
      <c r="D680" s="6">
        <f>MAX(C680,1)/Settings!$B$18</f>
        <v>0.21593732722845735</v>
      </c>
      <c r="E680" s="6">
        <f t="shared" si="22"/>
        <v>5</v>
      </c>
      <c r="F680" s="6">
        <f>ACE_Input!D80</f>
        <v>524</v>
      </c>
      <c r="G680" s="6">
        <f>MOD(Settings!$B$17*(G679),Settings!$B$18)</f>
        <v>1916704427</v>
      </c>
      <c r="H680" s="6">
        <f>MAX(G680,1)/Settings!$B$18</f>
        <v>0.89253505128088173</v>
      </c>
      <c r="I680" s="6">
        <f>-ACE_Input!W80*LN(H680)</f>
        <v>0.45475797182267025</v>
      </c>
      <c r="J680" s="6">
        <f>-ACE_Input!X80*LN(H680)</f>
        <v>1.3642739154680108</v>
      </c>
      <c r="K680" s="6">
        <f>ACE_Input!U80</f>
        <v>300</v>
      </c>
      <c r="L680" s="6">
        <f>K680*ACE_Input!V80</f>
        <v>75</v>
      </c>
    </row>
    <row r="681" spans="1:12" x14ac:dyDescent="0.2">
      <c r="A681">
        <f>6</f>
        <v>6</v>
      </c>
      <c r="B681">
        <f>ACE_Input!A81</f>
        <v>76</v>
      </c>
      <c r="C681" s="6">
        <f>MOD(Settings!$B$17*(C680),Settings!$B$18)</f>
        <v>555465390</v>
      </c>
      <c r="D681" s="6">
        <f>MAX(C681,1)/Settings!$B$18</f>
        <v>0.25865872868274281</v>
      </c>
      <c r="E681" s="6">
        <f t="shared" si="22"/>
        <v>5</v>
      </c>
      <c r="F681" s="6">
        <f>ACE_Input!D81</f>
        <v>529</v>
      </c>
      <c r="G681" s="6">
        <f>MOD(Settings!$B$17*(G680),Settings!$B$18)</f>
        <v>1796599589</v>
      </c>
      <c r="H681" s="6">
        <f>MAX(G681,1)/Settings!$B$18</f>
        <v>0.83660687777987075</v>
      </c>
      <c r="I681" s="6">
        <f>-ACE_Input!W81*LN(H681)</f>
        <v>0.71360399559493959</v>
      </c>
      <c r="J681" s="6">
        <f>-ACE_Input!X81*LN(H681)</f>
        <v>2.1408119867848185</v>
      </c>
      <c r="K681" s="6">
        <f>ACE_Input!U81</f>
        <v>300</v>
      </c>
      <c r="L681" s="6">
        <f>K681*ACE_Input!V81</f>
        <v>75</v>
      </c>
    </row>
    <row r="682" spans="1:12" x14ac:dyDescent="0.2">
      <c r="A682">
        <f>6</f>
        <v>6</v>
      </c>
      <c r="B682">
        <f>ACE_Input!A82</f>
        <v>77</v>
      </c>
      <c r="C682" s="6">
        <f>MOD(Settings!$B$17*(C681),Settings!$B$18)</f>
        <v>595396221</v>
      </c>
      <c r="D682" s="6">
        <f>MAX(C682,1)/Settings!$B$18</f>
        <v>0.27725297085812917</v>
      </c>
      <c r="E682" s="6">
        <f t="shared" si="22"/>
        <v>5</v>
      </c>
      <c r="F682" s="6">
        <f>ACE_Input!D82</f>
        <v>534</v>
      </c>
      <c r="G682" s="6">
        <f>MOD(Settings!$B$17*(G681),Settings!$B$18)</f>
        <v>1829215503</v>
      </c>
      <c r="H682" s="6">
        <f>MAX(G682,1)/Settings!$B$18</f>
        <v>0.85179484628690172</v>
      </c>
      <c r="I682" s="6">
        <f>-ACE_Input!W82*LN(H682)</f>
        <v>0.64163828756255969</v>
      </c>
      <c r="J682" s="6">
        <f>-ACE_Input!X82*LN(H682)</f>
        <v>1.9249148626876791</v>
      </c>
      <c r="K682" s="6">
        <f>ACE_Input!U82</f>
        <v>300</v>
      </c>
      <c r="L682" s="6">
        <f>K682*ACE_Input!V82</f>
        <v>75</v>
      </c>
    </row>
    <row r="683" spans="1:12" x14ac:dyDescent="0.2">
      <c r="A683">
        <f>6</f>
        <v>6</v>
      </c>
      <c r="B683">
        <f>ACE_Input!A83</f>
        <v>78</v>
      </c>
      <c r="C683" s="6">
        <f>MOD(Settings!$B$17*(C682),Settings!$B$18)</f>
        <v>1697974974</v>
      </c>
      <c r="D683" s="6">
        <f>MAX(C683,1)/Settings!$B$18</f>
        <v>0.79068121257735469</v>
      </c>
      <c r="E683" s="6">
        <f t="shared" si="22"/>
        <v>5</v>
      </c>
      <c r="F683" s="6">
        <f>ACE_Input!D83</f>
        <v>539</v>
      </c>
      <c r="G683" s="6">
        <f>MOD(Settings!$B$17*(G682),Settings!$B$18)</f>
        <v>249068469</v>
      </c>
      <c r="H683" s="6">
        <f>MAX(G683,1)/Settings!$B$18</f>
        <v>0.11598154395631587</v>
      </c>
      <c r="I683" s="6">
        <f>-ACE_Input!W83*LN(H683)</f>
        <v>8.6172968174359674</v>
      </c>
      <c r="J683" s="6">
        <f>-ACE_Input!X83*LN(H683)</f>
        <v>25.851890452307902</v>
      </c>
      <c r="K683" s="6">
        <f>ACE_Input!U83</f>
        <v>300</v>
      </c>
      <c r="L683" s="6">
        <f>K683*ACE_Input!V83</f>
        <v>75</v>
      </c>
    </row>
    <row r="684" spans="1:12" x14ac:dyDescent="0.2">
      <c r="A684">
        <f>6</f>
        <v>6</v>
      </c>
      <c r="B684">
        <f>ACE_Input!A84</f>
        <v>79</v>
      </c>
      <c r="C684" s="6">
        <f>MOD(Settings!$B$17*(C683),Settings!$B$18)</f>
        <v>2102686682</v>
      </c>
      <c r="D684" s="6">
        <f>MAX(C684,1)/Settings!$B$18</f>
        <v>0.97913978760090647</v>
      </c>
      <c r="E684" s="6">
        <f t="shared" si="22"/>
        <v>5</v>
      </c>
      <c r="F684" s="6">
        <f>ACE_Input!D84</f>
        <v>544</v>
      </c>
      <c r="G684" s="6">
        <f>MOD(Settings!$B$17*(G683),Settings!$B$18)</f>
        <v>648130480</v>
      </c>
      <c r="H684" s="6">
        <f>MAX(G684,1)/Settings!$B$18</f>
        <v>0.30180927380072387</v>
      </c>
      <c r="I684" s="6">
        <f>-ACE_Input!W84*LN(H684)</f>
        <v>4.7918400192848365</v>
      </c>
      <c r="J684" s="6">
        <f>-ACE_Input!X84*LN(H684)</f>
        <v>14.375520057854509</v>
      </c>
      <c r="K684" s="6">
        <f>ACE_Input!U84</f>
        <v>300</v>
      </c>
      <c r="L684" s="6">
        <f>K684*ACE_Input!V84</f>
        <v>75</v>
      </c>
    </row>
    <row r="685" spans="1:12" x14ac:dyDescent="0.2">
      <c r="A685">
        <f>6</f>
        <v>6</v>
      </c>
      <c r="B685">
        <f>ACE_Input!A85</f>
        <v>80</v>
      </c>
      <c r="C685" s="6">
        <f>MOD(Settings!$B$17*(C684),Settings!$B$18)</f>
        <v>864169342</v>
      </c>
      <c r="D685" s="6">
        <f>MAX(C685,1)/Settings!$B$18</f>
        <v>0.40241020843498881</v>
      </c>
      <c r="E685" s="6">
        <f t="shared" si="22"/>
        <v>5</v>
      </c>
      <c r="F685" s="6">
        <f>ACE_Input!D85</f>
        <v>549</v>
      </c>
      <c r="G685" s="6">
        <f>MOD(Settings!$B$17*(G684),Settings!$B$18)</f>
        <v>1091919776</v>
      </c>
      <c r="H685" s="6">
        <f>MAX(G685,1)/Settings!$B$18</f>
        <v>0.50846476876571067</v>
      </c>
      <c r="I685" s="6">
        <f>-ACE_Input!W85*LN(H685)</f>
        <v>2.7054374020947365</v>
      </c>
      <c r="J685" s="6">
        <f>-ACE_Input!X85*LN(H685)</f>
        <v>8.1163122062842099</v>
      </c>
      <c r="K685" s="6">
        <f>ACE_Input!U85</f>
        <v>300</v>
      </c>
      <c r="L685" s="6">
        <f>K685*ACE_Input!V85</f>
        <v>75</v>
      </c>
    </row>
    <row r="686" spans="1:12" x14ac:dyDescent="0.2">
      <c r="A686">
        <f>6</f>
        <v>6</v>
      </c>
      <c r="B686">
        <f>ACE_Input!A86</f>
        <v>81</v>
      </c>
      <c r="C686" s="6">
        <f>MOD(Settings!$B$17*(C685),Settings!$B$18)</f>
        <v>662226333</v>
      </c>
      <c r="D686" s="6">
        <f>MAX(C686,1)/Settings!$B$18</f>
        <v>0.30837316685746108</v>
      </c>
      <c r="E686" s="6">
        <f t="shared" si="22"/>
        <v>5</v>
      </c>
      <c r="F686" s="6">
        <f>ACE_Input!D86</f>
        <v>554</v>
      </c>
      <c r="G686" s="6">
        <f>MOD(Settings!$B$17*(G685),Settings!$B$18)</f>
        <v>1647911617</v>
      </c>
      <c r="H686" s="6">
        <f>MAX(G686,1)/Settings!$B$18</f>
        <v>0.76736864529893201</v>
      </c>
      <c r="I686" s="6">
        <f>-ACE_Input!W86*LN(H686)</f>
        <v>1.0591518414331276</v>
      </c>
      <c r="J686" s="6">
        <f>-ACE_Input!X86*LN(H686)</f>
        <v>3.1774555242993827</v>
      </c>
      <c r="K686" s="6">
        <f>ACE_Input!U86</f>
        <v>300</v>
      </c>
      <c r="L686" s="6">
        <f>K686*ACE_Input!V86</f>
        <v>75</v>
      </c>
    </row>
    <row r="687" spans="1:12" x14ac:dyDescent="0.2">
      <c r="A687">
        <f>6</f>
        <v>6</v>
      </c>
      <c r="B687">
        <f>ACE_Input!A87</f>
        <v>82</v>
      </c>
      <c r="C687" s="6">
        <f>MOD(Settings!$B$17*(C686),Settings!$B$18)</f>
        <v>1777719977</v>
      </c>
      <c r="D687" s="6">
        <f>MAX(C687,1)/Settings!$B$18</f>
        <v>0.82781537334798616</v>
      </c>
      <c r="E687" s="6">
        <f t="shared" si="22"/>
        <v>5</v>
      </c>
      <c r="F687" s="6">
        <f>ACE_Input!D87</f>
        <v>559</v>
      </c>
      <c r="G687" s="6">
        <f>MOD(Settings!$B$17*(G686),Settings!$B$18)</f>
        <v>353951560</v>
      </c>
      <c r="H687" s="6">
        <f>MAX(G687,1)/Settings!$B$18</f>
        <v>0.16482153915093353</v>
      </c>
      <c r="I687" s="6">
        <f>-ACE_Input!W87*LN(H687)</f>
        <v>7.2115678852628315</v>
      </c>
      <c r="J687" s="6">
        <f>-ACE_Input!X87*LN(H687)</f>
        <v>21.634703655788496</v>
      </c>
      <c r="K687" s="6">
        <f>ACE_Input!U87</f>
        <v>300</v>
      </c>
      <c r="L687" s="6">
        <f>K687*ACE_Input!V87</f>
        <v>75</v>
      </c>
    </row>
    <row r="688" spans="1:12" x14ac:dyDescent="0.2">
      <c r="A688">
        <f>6</f>
        <v>6</v>
      </c>
      <c r="B688">
        <f>ACE_Input!A88</f>
        <v>83</v>
      </c>
      <c r="C688" s="6">
        <f>MOD(Settings!$B$17*(C687),Settings!$B$18)</f>
        <v>199672728</v>
      </c>
      <c r="D688" s="6">
        <f>MAX(C688,1)/Settings!$B$18</f>
        <v>9.2979859604025189E-2</v>
      </c>
      <c r="E688" s="6">
        <f t="shared" si="22"/>
        <v>5</v>
      </c>
      <c r="F688" s="6">
        <f>ACE_Input!D88</f>
        <v>564</v>
      </c>
      <c r="G688" s="6">
        <f>MOD(Settings!$B$17*(G687),Settings!$B$18)</f>
        <v>334166730</v>
      </c>
      <c r="H688" s="6">
        <f>MAX(G688,1)/Settings!$B$18</f>
        <v>0.1556085097396786</v>
      </c>
      <c r="I688" s="6">
        <f>-ACE_Input!W88*LN(H688)</f>
        <v>7.4416479155583524</v>
      </c>
      <c r="J688" s="6">
        <f>-ACE_Input!X88*LN(H688)</f>
        <v>22.324943746675057</v>
      </c>
      <c r="K688" s="6">
        <f>ACE_Input!U88</f>
        <v>300</v>
      </c>
      <c r="L688" s="6">
        <f>K688*ACE_Input!V88</f>
        <v>75</v>
      </c>
    </row>
    <row r="689" spans="1:12" x14ac:dyDescent="0.2">
      <c r="A689">
        <f>6</f>
        <v>6</v>
      </c>
      <c r="B689">
        <f>ACE_Input!A89</f>
        <v>84</v>
      </c>
      <c r="C689" s="6">
        <f>MOD(Settings!$B$17*(C688),Settings!$B$18)</f>
        <v>1530082882</v>
      </c>
      <c r="D689" s="6">
        <f>MAX(C689,1)/Settings!$B$18</f>
        <v>0.71250036485143953</v>
      </c>
      <c r="E689" s="6">
        <f t="shared" si="22"/>
        <v>5</v>
      </c>
      <c r="F689" s="6">
        <f>ACE_Input!D89</f>
        <v>569</v>
      </c>
      <c r="G689" s="6">
        <f>MOD(Settings!$B$17*(G688),Settings!$B$18)</f>
        <v>670494205</v>
      </c>
      <c r="H689" s="6">
        <f>MAX(G689,1)/Settings!$B$18</f>
        <v>0.31222319477806948</v>
      </c>
      <c r="I689" s="6">
        <f>-ACE_Input!W89*LN(H689)</f>
        <v>4.6561479161914514</v>
      </c>
      <c r="J689" s="6">
        <f>-ACE_Input!X89*LN(H689)</f>
        <v>13.968443748574355</v>
      </c>
      <c r="K689" s="6">
        <f>ACE_Input!U89</f>
        <v>300</v>
      </c>
      <c r="L689" s="6">
        <f>K689*ACE_Input!V89</f>
        <v>75</v>
      </c>
    </row>
    <row r="690" spans="1:12" x14ac:dyDescent="0.2">
      <c r="A690">
        <f>6</f>
        <v>6</v>
      </c>
      <c r="B690">
        <f>ACE_Input!A90</f>
        <v>85</v>
      </c>
      <c r="C690" s="6">
        <f>MOD(Settings!$B$17*(C689),Settings!$B$18)</f>
        <v>2133808596</v>
      </c>
      <c r="D690" s="6">
        <f>MAX(C690,1)/Settings!$B$18</f>
        <v>0.99363205814437572</v>
      </c>
      <c r="E690" s="6">
        <f t="shared" si="22"/>
        <v>5</v>
      </c>
      <c r="F690" s="6">
        <f>ACE_Input!D90</f>
        <v>574</v>
      </c>
      <c r="G690" s="6">
        <f>MOD(Settings!$B$17*(G689),Settings!$B$18)</f>
        <v>1149407626</v>
      </c>
      <c r="H690" s="6">
        <f>MAX(G690,1)/Settings!$B$18</f>
        <v>0.53523463501373059</v>
      </c>
      <c r="I690" s="6">
        <f>-ACE_Input!W90*LN(H690)</f>
        <v>2.5002002324430923</v>
      </c>
      <c r="J690" s="6">
        <f>-ACE_Input!X90*LN(H690)</f>
        <v>7.5006006973292774</v>
      </c>
      <c r="K690" s="6">
        <f>ACE_Input!U90</f>
        <v>300</v>
      </c>
      <c r="L690" s="6">
        <f>K690*ACE_Input!V90</f>
        <v>75</v>
      </c>
    </row>
    <row r="691" spans="1:12" x14ac:dyDescent="0.2">
      <c r="A691">
        <f>6</f>
        <v>6</v>
      </c>
      <c r="B691">
        <f>ACE_Input!A91</f>
        <v>86</v>
      </c>
      <c r="C691" s="6">
        <f>MOD(Settings!$B$17*(C690),Settings!$B$18)</f>
        <v>2091651719</v>
      </c>
      <c r="D691" s="6">
        <f>MAX(C691,1)/Settings!$B$18</f>
        <v>0.97400123252254034</v>
      </c>
      <c r="E691" s="6">
        <f t="shared" si="22"/>
        <v>5</v>
      </c>
      <c r="F691" s="6">
        <f>ACE_Input!D91</f>
        <v>579</v>
      </c>
      <c r="G691" s="6">
        <f>MOD(Settings!$B$17*(G690),Settings!$B$18)</f>
        <v>1478565417</v>
      </c>
      <c r="H691" s="6">
        <f>MAX(G691,1)/Settings!$B$18</f>
        <v>0.68851067576953706</v>
      </c>
      <c r="I691" s="6">
        <f>-ACE_Input!W91*LN(H691)</f>
        <v>1.4928978203821368</v>
      </c>
      <c r="J691" s="6">
        <f>-ACE_Input!X91*LN(H691)</f>
        <v>4.4786934611464106</v>
      </c>
      <c r="K691" s="6">
        <f>ACE_Input!U91</f>
        <v>300</v>
      </c>
      <c r="L691" s="6">
        <f>K691*ACE_Input!V91</f>
        <v>75</v>
      </c>
    </row>
    <row r="692" spans="1:12" x14ac:dyDescent="0.2">
      <c r="A692">
        <f>6</f>
        <v>6</v>
      </c>
      <c r="B692">
        <f>ACE_Input!A92</f>
        <v>87</v>
      </c>
      <c r="C692" s="6">
        <f>MOD(Settings!$B$17*(C691),Settings!$B$18)</f>
        <v>83139843</v>
      </c>
      <c r="D692" s="6">
        <f>MAX(C692,1)/Settings!$B$18</f>
        <v>3.8715006335971414E-2</v>
      </c>
      <c r="E692" s="6">
        <f t="shared" si="22"/>
        <v>5</v>
      </c>
      <c r="F692" s="6">
        <f>ACE_Input!D92</f>
        <v>584</v>
      </c>
      <c r="G692" s="6">
        <f>MOD(Settings!$B$17*(G691),Settings!$B$18)</f>
        <v>1715684082</v>
      </c>
      <c r="H692" s="6">
        <f>MAX(G692,1)/Settings!$B$18</f>
        <v>0.79892765860954651</v>
      </c>
      <c r="I692" s="6">
        <f>-ACE_Input!W92*LN(H692)</f>
        <v>0.89793950891122309</v>
      </c>
      <c r="J692" s="6">
        <f>-ACE_Input!X92*LN(H692)</f>
        <v>2.6938185267336694</v>
      </c>
      <c r="K692" s="6">
        <f>ACE_Input!U92</f>
        <v>300</v>
      </c>
      <c r="L692" s="6">
        <f>K692*ACE_Input!V92</f>
        <v>75</v>
      </c>
    </row>
    <row r="693" spans="1:12" x14ac:dyDescent="0.2">
      <c r="A693">
        <f>6</f>
        <v>6</v>
      </c>
      <c r="B693">
        <f>ACE_Input!A93</f>
        <v>88</v>
      </c>
      <c r="C693" s="6">
        <f>MOD(Settings!$B$17*(C692),Settings!$B$18)</f>
        <v>1466970751</v>
      </c>
      <c r="D693" s="6">
        <f>MAX(C693,1)/Settings!$B$18</f>
        <v>0.68311148867155957</v>
      </c>
      <c r="E693" s="6">
        <f t="shared" si="22"/>
        <v>5</v>
      </c>
      <c r="F693" s="6">
        <f>ACE_Input!D93</f>
        <v>589</v>
      </c>
      <c r="G693" s="6">
        <f>MOD(Settings!$B$17*(G692),Settings!$B$18)</f>
        <v>1239437905</v>
      </c>
      <c r="H693" s="6">
        <f>MAX(G693,1)/Settings!$B$18</f>
        <v>0.57715825064906767</v>
      </c>
      <c r="I693" s="6">
        <f>-ACE_Input!W93*LN(H693)</f>
        <v>2.1985551420849698</v>
      </c>
      <c r="J693" s="6">
        <f>-ACE_Input!X93*LN(H693)</f>
        <v>6.595665426254909</v>
      </c>
      <c r="K693" s="6">
        <f>ACE_Input!U93</f>
        <v>300</v>
      </c>
      <c r="L693" s="6">
        <f>K693*ACE_Input!V93</f>
        <v>75</v>
      </c>
    </row>
    <row r="694" spans="1:12" x14ac:dyDescent="0.2">
      <c r="A694">
        <f>6</f>
        <v>6</v>
      </c>
      <c r="B694">
        <f>ACE_Input!A94</f>
        <v>89</v>
      </c>
      <c r="C694" s="6">
        <f>MOD(Settings!$B$17*(C693),Settings!$B$18)</f>
        <v>117660850</v>
      </c>
      <c r="D694" s="6">
        <f>MAX(C694,1)/Settings!$B$18</f>
        <v>5.4790102902236446E-2</v>
      </c>
      <c r="E694" s="6">
        <f t="shared" si="22"/>
        <v>5</v>
      </c>
      <c r="F694" s="6">
        <f>ACE_Input!D94</f>
        <v>594</v>
      </c>
      <c r="G694" s="6">
        <f>MOD(Settings!$B$17*(G693),Settings!$B$18)</f>
        <v>641493435</v>
      </c>
      <c r="H694" s="6">
        <f>MAX(G694,1)/Settings!$B$18</f>
        <v>0.29871865888066529</v>
      </c>
      <c r="I694" s="6">
        <f>-ACE_Input!W94*LN(H694)</f>
        <v>4.8330123550080479</v>
      </c>
      <c r="J694" s="6">
        <f>-ACE_Input!X94*LN(H694)</f>
        <v>14.499037065024144</v>
      </c>
      <c r="K694" s="6">
        <f>ACE_Input!U94</f>
        <v>300</v>
      </c>
      <c r="L694" s="6">
        <f>K694*ACE_Input!V94</f>
        <v>75</v>
      </c>
    </row>
    <row r="695" spans="1:12" x14ac:dyDescent="0.2">
      <c r="A695">
        <f>6</f>
        <v>6</v>
      </c>
      <c r="B695">
        <f>ACE_Input!A95</f>
        <v>90</v>
      </c>
      <c r="C695" s="6">
        <f>MOD(Settings!$B$17*(C694),Settings!$B$18)</f>
        <v>1840950710</v>
      </c>
      <c r="D695" s="6">
        <f>MAX(C695,1)/Settings!$B$18</f>
        <v>0.85725947788788914</v>
      </c>
      <c r="E695" s="6">
        <f t="shared" si="22"/>
        <v>5</v>
      </c>
      <c r="F695" s="6">
        <f>ACE_Input!D95</f>
        <v>599</v>
      </c>
      <c r="G695" s="6">
        <f>MOD(Settings!$B$17*(G694),Settings!$B$18)</f>
        <v>1212254105</v>
      </c>
      <c r="H695" s="6">
        <f>MAX(G695,1)/Settings!$B$18</f>
        <v>0.56449980734125704</v>
      </c>
      <c r="I695" s="6">
        <f>-ACE_Input!W95*LN(H695)</f>
        <v>2.2872609467337264</v>
      </c>
      <c r="J695" s="6">
        <f>-ACE_Input!X95*LN(H695)</f>
        <v>6.8617828402011796</v>
      </c>
      <c r="K695" s="6">
        <f>ACE_Input!U95</f>
        <v>300</v>
      </c>
      <c r="L695" s="6">
        <f>K695*ACE_Input!V95</f>
        <v>75</v>
      </c>
    </row>
    <row r="696" spans="1:12" x14ac:dyDescent="0.2">
      <c r="A696">
        <f>6</f>
        <v>6</v>
      </c>
      <c r="B696">
        <f>ACE_Input!A96</f>
        <v>91</v>
      </c>
      <c r="C696" s="6">
        <f>MOD(Settings!$B$17*(C695),Settings!$B$18)</f>
        <v>2061680641</v>
      </c>
      <c r="D696" s="6">
        <f>MAX(C696,1)/Settings!$B$18</f>
        <v>0.96004486175256076</v>
      </c>
      <c r="E696" s="6">
        <f t="shared" si="22"/>
        <v>5</v>
      </c>
      <c r="F696" s="6">
        <f>ACE_Input!D96</f>
        <v>604</v>
      </c>
      <c r="G696" s="6">
        <f>MOD(Settings!$B$17*(G695),Settings!$B$18)</f>
        <v>1177383646</v>
      </c>
      <c r="H696" s="6">
        <f>MAX(G696,1)/Settings!$B$18</f>
        <v>0.5482619845067439</v>
      </c>
      <c r="I696" s="6">
        <f>-ACE_Input!W96*LN(H696)</f>
        <v>2.4040081294305278</v>
      </c>
      <c r="J696" s="6">
        <f>-ACE_Input!X96*LN(H696)</f>
        <v>7.2120243882915833</v>
      </c>
      <c r="K696" s="6">
        <f>ACE_Input!U96</f>
        <v>300</v>
      </c>
      <c r="L696" s="6">
        <f>K696*ACE_Input!V96</f>
        <v>75</v>
      </c>
    </row>
    <row r="697" spans="1:12" x14ac:dyDescent="0.2">
      <c r="A697">
        <f>6</f>
        <v>6</v>
      </c>
      <c r="B697">
        <f>ACE_Input!A97</f>
        <v>92</v>
      </c>
      <c r="C697" s="6">
        <f>MOD(Settings!$B$17*(C696),Settings!$B$18)</f>
        <v>1017888942</v>
      </c>
      <c r="D697" s="6">
        <f>MAX(C697,1)/Settings!$B$18</f>
        <v>0.47399147528875224</v>
      </c>
      <c r="E697" s="6">
        <f t="shared" si="22"/>
        <v>5</v>
      </c>
      <c r="F697" s="6">
        <f>ACE_Input!D97</f>
        <v>609</v>
      </c>
      <c r="G697" s="6">
        <f>MOD(Settings!$B$17*(G696),Settings!$B$18)</f>
        <v>1372614864</v>
      </c>
      <c r="H697" s="6">
        <f>MAX(G697,1)/Settings!$B$18</f>
        <v>0.63917360484561581</v>
      </c>
      <c r="I697" s="6">
        <f>-ACE_Input!W97*LN(H697)</f>
        <v>1.7903167177159116</v>
      </c>
      <c r="J697" s="6">
        <f>-ACE_Input!X97*LN(H697)</f>
        <v>5.3709501531477351</v>
      </c>
      <c r="K697" s="6">
        <f>ACE_Input!U97</f>
        <v>300</v>
      </c>
      <c r="L697" s="6">
        <f>K697*ACE_Input!V97</f>
        <v>75</v>
      </c>
    </row>
    <row r="698" spans="1:12" x14ac:dyDescent="0.2">
      <c r="A698">
        <f>6</f>
        <v>6</v>
      </c>
      <c r="B698">
        <f>ACE_Input!A98</f>
        <v>93</v>
      </c>
      <c r="C698" s="6">
        <f>MOD(Settings!$B$17*(C697),Settings!$B$18)</f>
        <v>804716192</v>
      </c>
      <c r="D698" s="6">
        <f>MAX(C698,1)/Settings!$B$18</f>
        <v>0.3747251780585969</v>
      </c>
      <c r="E698" s="6">
        <f t="shared" si="22"/>
        <v>5</v>
      </c>
      <c r="F698" s="6">
        <f>ACE_Input!D98</f>
        <v>614</v>
      </c>
      <c r="G698" s="6">
        <f>MOD(Settings!$B$17*(G697),Settings!$B$18)</f>
        <v>1268683174</v>
      </c>
      <c r="H698" s="6">
        <f>MAX(G698,1)/Settings!$B$18</f>
        <v>0.59077664026561039</v>
      </c>
      <c r="I698" s="6">
        <f>-ACE_Input!W98*LN(H698)</f>
        <v>2.10526907305736</v>
      </c>
      <c r="J698" s="6">
        <f>-ACE_Input!X98*LN(H698)</f>
        <v>6.31580721917208</v>
      </c>
      <c r="K698" s="6">
        <f>ACE_Input!U98</f>
        <v>300</v>
      </c>
      <c r="L698" s="6">
        <f>K698*ACE_Input!V98</f>
        <v>75</v>
      </c>
    </row>
    <row r="699" spans="1:12" x14ac:dyDescent="0.2">
      <c r="A699">
        <f>6</f>
        <v>6</v>
      </c>
      <c r="B699">
        <f>ACE_Input!A99</f>
        <v>94</v>
      </c>
      <c r="C699" s="6">
        <f>MOD(Settings!$B$17*(C698),Settings!$B$18)</f>
        <v>13030138</v>
      </c>
      <c r="D699" s="6">
        <f>MAX(C699,1)/Settings!$B$18</f>
        <v>6.0676308377029522E-3</v>
      </c>
      <c r="E699" s="6">
        <f t="shared" si="22"/>
        <v>5</v>
      </c>
      <c r="F699" s="6">
        <f>ACE_Input!D99</f>
        <v>619</v>
      </c>
      <c r="G699" s="6">
        <f>MOD(Settings!$B$17*(G698),Settings!$B$18)</f>
        <v>392974355</v>
      </c>
      <c r="H699" s="6">
        <f>MAX(G699,1)/Settings!$B$18</f>
        <v>0.18299294411344125</v>
      </c>
      <c r="I699" s="6">
        <f>-ACE_Input!W99*LN(H699)</f>
        <v>6.7932307345647942</v>
      </c>
      <c r="J699" s="6">
        <f>-ACE_Input!X99*LN(H699)</f>
        <v>20.379692203694383</v>
      </c>
      <c r="K699" s="6">
        <f>ACE_Input!U99</f>
        <v>300</v>
      </c>
      <c r="L699" s="6">
        <f>K699*ACE_Input!V99</f>
        <v>75</v>
      </c>
    </row>
    <row r="700" spans="1:12" x14ac:dyDescent="0.2">
      <c r="A700">
        <f>6</f>
        <v>6</v>
      </c>
      <c r="B700">
        <f>ACE_Input!A100</f>
        <v>95</v>
      </c>
      <c r="C700" s="6">
        <f>MOD(Settings!$B$17*(C699),Settings!$B$18)</f>
        <v>2101681019</v>
      </c>
      <c r="D700" s="6">
        <f>MAX(C700,1)/Settings!$B$18</f>
        <v>0.97867148927351066</v>
      </c>
      <c r="E700" s="6">
        <f t="shared" si="22"/>
        <v>5</v>
      </c>
      <c r="F700" s="6">
        <f>ACE_Input!D100</f>
        <v>624</v>
      </c>
      <c r="G700" s="6">
        <f>MOD(Settings!$B$17*(G699),Settings!$B$18)</f>
        <v>1207769960</v>
      </c>
      <c r="H700" s="6">
        <f>MAX(G700,1)/Settings!$B$18</f>
        <v>0.56241171460711015</v>
      </c>
      <c r="I700" s="6">
        <f>-ACE_Input!W100*LN(H700)</f>
        <v>2.302084436125472</v>
      </c>
      <c r="J700" s="6">
        <f>-ACE_Input!X100*LN(H700)</f>
        <v>6.9062533083764155</v>
      </c>
      <c r="K700" s="6">
        <f>ACE_Input!U100</f>
        <v>300</v>
      </c>
      <c r="L700" s="6">
        <f>K700*ACE_Input!V100</f>
        <v>75</v>
      </c>
    </row>
    <row r="701" spans="1:12" x14ac:dyDescent="0.2">
      <c r="A701">
        <f>6</f>
        <v>6</v>
      </c>
      <c r="B701">
        <f>ACE_Input!A101</f>
        <v>96</v>
      </c>
      <c r="C701" s="6">
        <f>MOD(Settings!$B$17*(C700),Settings!$B$18)</f>
        <v>1141860477</v>
      </c>
      <c r="D701" s="6">
        <f>MAX(C701,1)/Settings!$B$18</f>
        <v>0.53172021989325069</v>
      </c>
      <c r="E701" s="6">
        <f t="shared" si="22"/>
        <v>5</v>
      </c>
      <c r="F701" s="6">
        <f>ACE_Input!D101</f>
        <v>629</v>
      </c>
      <c r="G701" s="6">
        <f>MOD(Settings!$B$17*(G700),Settings!$B$18)</f>
        <v>974286276</v>
      </c>
      <c r="H701" s="6">
        <f>MAX(G701,1)/Settings!$B$18</f>
        <v>0.45368740169968802</v>
      </c>
      <c r="I701" s="6">
        <f>-ACE_Input!W101*LN(H701)</f>
        <v>3.1613874424270056</v>
      </c>
      <c r="J701" s="6">
        <f>-ACE_Input!X101*LN(H701)</f>
        <v>9.484162327281016</v>
      </c>
      <c r="K701" s="6">
        <f>ACE_Input!U101</f>
        <v>300</v>
      </c>
      <c r="L701" s="6">
        <f>K701*ACE_Input!V101</f>
        <v>75</v>
      </c>
    </row>
    <row r="702" spans="1:12" x14ac:dyDescent="0.2">
      <c r="A702">
        <f>6</f>
        <v>6</v>
      </c>
      <c r="B702">
        <f>ACE_Input!A102</f>
        <v>97</v>
      </c>
      <c r="C702" s="6">
        <f>MOD(Settings!$B$17*(C701),Settings!$B$18)</f>
        <v>1335167347</v>
      </c>
      <c r="D702" s="6">
        <f>MAX(C702,1)/Settings!$B$18</f>
        <v>0.6217357458647973</v>
      </c>
      <c r="E702" s="6">
        <f t="shared" si="22"/>
        <v>5</v>
      </c>
      <c r="F702" s="6">
        <f>ACE_Input!D102</f>
        <v>634</v>
      </c>
      <c r="G702" s="6">
        <f>MOD(Settings!$B$17*(G701),Settings!$B$18)</f>
        <v>266632357</v>
      </c>
      <c r="H702" s="6">
        <f>MAX(G702,1)/Settings!$B$18</f>
        <v>0.12416036665633338</v>
      </c>
      <c r="I702" s="6">
        <f>-ACE_Input!W102*LN(H702)</f>
        <v>8.3447250778244815</v>
      </c>
      <c r="J702" s="6">
        <f>-ACE_Input!X102*LN(H702)</f>
        <v>25.034175233473444</v>
      </c>
      <c r="K702" s="6">
        <f>ACE_Input!U102</f>
        <v>300</v>
      </c>
      <c r="L702" s="6">
        <f>K702*ACE_Input!V102</f>
        <v>75</v>
      </c>
    </row>
    <row r="703" spans="1:12" x14ac:dyDescent="0.2">
      <c r="A703">
        <f>6</f>
        <v>6</v>
      </c>
      <c r="B703">
        <f>ACE_Input!A103</f>
        <v>98</v>
      </c>
      <c r="C703" s="6">
        <f>MOD(Settings!$B$17*(C702),Settings!$B$18)</f>
        <v>1100973526</v>
      </c>
      <c r="D703" s="6">
        <f>MAX(C703,1)/Settings!$B$18</f>
        <v>0.51268074964763632</v>
      </c>
      <c r="E703" s="6">
        <f t="shared" ref="E703:E705" si="23">F703-F702</f>
        <v>5</v>
      </c>
      <c r="F703" s="6">
        <f>ACE_Input!D103</f>
        <v>639</v>
      </c>
      <c r="G703" s="6">
        <f>MOD(Settings!$B$17*(G702),Settings!$B$18)</f>
        <v>1639136457</v>
      </c>
      <c r="H703" s="6">
        <f>MAX(G703,1)/Settings!$B$18</f>
        <v>0.76328239299509781</v>
      </c>
      <c r="I703" s="6">
        <f>-ACE_Input!W103*LN(H703)</f>
        <v>1.0805088295853433</v>
      </c>
      <c r="J703" s="6">
        <f>-ACE_Input!X103*LN(H703)</f>
        <v>3.2415264887560298</v>
      </c>
      <c r="K703" s="6">
        <f>ACE_Input!U103</f>
        <v>300</v>
      </c>
      <c r="L703" s="6">
        <f>K703*ACE_Input!V103</f>
        <v>75</v>
      </c>
    </row>
    <row r="704" spans="1:12" x14ac:dyDescent="0.2">
      <c r="A704">
        <f>6</f>
        <v>6</v>
      </c>
      <c r="B704">
        <f>ACE_Input!A104</f>
        <v>99</v>
      </c>
      <c r="C704" s="6">
        <f>MOD(Settings!$B$17*(C703),Settings!$B$18)</f>
        <v>1342948930</v>
      </c>
      <c r="D704" s="6">
        <f>MAX(C704,1)/Settings!$B$18</f>
        <v>0.62535932782355663</v>
      </c>
      <c r="E704" s="6">
        <f t="shared" si="23"/>
        <v>45</v>
      </c>
      <c r="F704" s="6">
        <f>ACE_Input!D104</f>
        <v>684</v>
      </c>
      <c r="G704" s="6">
        <f>MOD(Settings!$B$17*(G703),Settings!$B$18)</f>
        <v>1046209083</v>
      </c>
      <c r="H704" s="6">
        <f>MAX(G704,1)/Settings!$B$18</f>
        <v>0.48717906860968985</v>
      </c>
      <c r="I704" s="6">
        <f>-ACE_Input!W104*LN(H704)</f>
        <v>2.876494104532636</v>
      </c>
      <c r="J704" s="6">
        <f>-ACE_Input!X104*LN(H704)</f>
        <v>8.629482313597908</v>
      </c>
      <c r="K704" s="6">
        <f>ACE_Input!U104</f>
        <v>300</v>
      </c>
      <c r="L704" s="6">
        <f>K704*ACE_Input!V104</f>
        <v>75</v>
      </c>
    </row>
    <row r="705" spans="1:12" x14ac:dyDescent="0.2">
      <c r="A705">
        <f>6</f>
        <v>6</v>
      </c>
      <c r="B705">
        <f>ACE_Input!A105</f>
        <v>100</v>
      </c>
      <c r="C705" s="6">
        <f>MOD(Settings!$B$17*(C704),Settings!$B$18)</f>
        <v>889536540</v>
      </c>
      <c r="D705" s="6">
        <f>MAX(C705,1)/Settings!$B$18</f>
        <v>0.41422273051655978</v>
      </c>
      <c r="E705" s="6">
        <f t="shared" si="23"/>
        <v>5</v>
      </c>
      <c r="F705" s="6">
        <f>ACE_Input!D105</f>
        <v>689</v>
      </c>
      <c r="G705" s="6">
        <f>MOD(Settings!$B$17*(G704),Settings!$B$18)</f>
        <v>39956345</v>
      </c>
      <c r="H705" s="6">
        <f>MAX(G705,1)/Settings!$B$18</f>
        <v>1.8606123057476304E-2</v>
      </c>
      <c r="I705" s="6">
        <f>-ACE_Input!W105*LN(H705)</f>
        <v>15.937058223191181</v>
      </c>
      <c r="J705" s="6">
        <f>-ACE_Input!X105*LN(H705)</f>
        <v>47.811174669573546</v>
      </c>
      <c r="K705" s="6">
        <f>ACE_Input!U105</f>
        <v>300</v>
      </c>
      <c r="L705" s="6">
        <f>K705*ACE_Input!V105</f>
        <v>75</v>
      </c>
    </row>
    <row r="706" spans="1:12" x14ac:dyDescent="0.2">
      <c r="C706" s="6"/>
      <c r="D706" s="6"/>
      <c r="E706" s="6"/>
      <c r="F706" s="6"/>
      <c r="G706" s="6"/>
      <c r="H706" s="6"/>
      <c r="I706" s="6"/>
      <c r="J706" s="6"/>
      <c r="K706" s="6"/>
      <c r="L706" s="6"/>
    </row>
    <row r="707" spans="1:12" x14ac:dyDescent="0.2">
      <c r="C707" s="6"/>
      <c r="D707" s="6"/>
      <c r="E707" s="6"/>
      <c r="F707" s="6"/>
      <c r="G707" s="6"/>
      <c r="H707" s="6"/>
      <c r="I707" s="6"/>
      <c r="J707" s="6"/>
      <c r="K707" s="6"/>
      <c r="L707" s="6"/>
    </row>
    <row r="708" spans="1:12" x14ac:dyDescent="0.2">
      <c r="C708" s="6"/>
      <c r="D708" s="6"/>
      <c r="E708" s="6"/>
      <c r="F708" s="6"/>
      <c r="G708" s="6"/>
      <c r="H708" s="6"/>
      <c r="I708" s="6"/>
      <c r="J708" s="6"/>
      <c r="K708" s="6"/>
      <c r="L708" s="6"/>
    </row>
    <row r="709" spans="1:12" x14ac:dyDescent="0.2">
      <c r="C709" s="6"/>
      <c r="D709" s="6"/>
      <c r="E709" s="6"/>
      <c r="F709" s="6"/>
      <c r="G709" s="6"/>
      <c r="H709" s="6"/>
      <c r="I709" s="6"/>
      <c r="J709" s="6"/>
      <c r="K709" s="6"/>
      <c r="L709" s="6"/>
    </row>
    <row r="710" spans="1:12" x14ac:dyDescent="0.2">
      <c r="C710" s="6"/>
      <c r="D710" s="6"/>
      <c r="E710" s="6"/>
      <c r="F710" s="6"/>
      <c r="G710" s="6"/>
      <c r="H710" s="6"/>
      <c r="I710" s="6"/>
      <c r="J710" s="6"/>
      <c r="K710" s="6"/>
      <c r="L710" s="6"/>
    </row>
    <row r="711" spans="1:12" x14ac:dyDescent="0.2">
      <c r="C711" s="6"/>
      <c r="D711" s="6"/>
      <c r="E711" s="6"/>
      <c r="F711" s="6"/>
      <c r="G711" s="6"/>
      <c r="H711" s="6"/>
      <c r="I711" s="6"/>
      <c r="J711" s="6"/>
      <c r="K711" s="6"/>
      <c r="L711" s="6"/>
    </row>
    <row r="712" spans="1:12" x14ac:dyDescent="0.2">
      <c r="C712" s="6"/>
      <c r="D712" s="6"/>
      <c r="E712" s="6"/>
      <c r="F712" s="6"/>
      <c r="G712" s="6"/>
      <c r="H712" s="6"/>
      <c r="I712" s="6"/>
      <c r="J712" s="6"/>
      <c r="K712" s="6"/>
      <c r="L712" s="6"/>
    </row>
    <row r="713" spans="1:12" x14ac:dyDescent="0.2">
      <c r="C713" s="6"/>
      <c r="D713" s="6"/>
      <c r="E713" s="6"/>
      <c r="F713" s="6"/>
      <c r="G713" s="6"/>
      <c r="H713" s="6"/>
      <c r="I713" s="6"/>
      <c r="J713" s="6"/>
      <c r="K713" s="6"/>
      <c r="L713" s="6"/>
    </row>
    <row r="714" spans="1:12" x14ac:dyDescent="0.2">
      <c r="C714" s="6"/>
      <c r="D714" s="6"/>
      <c r="E714" s="6"/>
      <c r="F714" s="6"/>
      <c r="G714" s="6"/>
      <c r="H714" s="6"/>
      <c r="I714" s="6"/>
      <c r="J714" s="6"/>
      <c r="K714" s="6"/>
      <c r="L714" s="6"/>
    </row>
    <row r="715" spans="1:12" x14ac:dyDescent="0.2">
      <c r="C715" s="6"/>
      <c r="D715" s="6"/>
      <c r="E715" s="6"/>
      <c r="F715" s="6"/>
      <c r="G715" s="6"/>
      <c r="H715" s="6"/>
      <c r="I715" s="6"/>
      <c r="J715" s="6"/>
      <c r="K715" s="6"/>
      <c r="L715" s="6"/>
    </row>
    <row r="716" spans="1:12" x14ac:dyDescent="0.2">
      <c r="C716" s="6"/>
      <c r="D716" s="6"/>
      <c r="E716" s="6"/>
      <c r="F716" s="6"/>
      <c r="G716" s="6"/>
      <c r="H716" s="6"/>
      <c r="I716" s="6"/>
      <c r="J716" s="6"/>
      <c r="K716" s="6"/>
      <c r="L716" s="6"/>
    </row>
    <row r="717" spans="1:12" x14ac:dyDescent="0.2">
      <c r="C717" s="6"/>
      <c r="D717" s="6"/>
      <c r="E717" s="6"/>
      <c r="F717" s="6"/>
      <c r="G717" s="6"/>
      <c r="H717" s="6"/>
      <c r="I717" s="6"/>
      <c r="J717" s="6"/>
      <c r="K717" s="6"/>
      <c r="L717" s="6"/>
    </row>
    <row r="718" spans="1:12" x14ac:dyDescent="0.2">
      <c r="C718" s="6"/>
      <c r="D718" s="6"/>
      <c r="E718" s="6"/>
      <c r="F718" s="6"/>
      <c r="G718" s="6"/>
      <c r="H718" s="6"/>
      <c r="I718" s="6"/>
      <c r="J718" s="6"/>
      <c r="K718" s="6"/>
      <c r="L718" s="6"/>
    </row>
    <row r="719" spans="1:12" x14ac:dyDescent="0.2">
      <c r="C719" s="6"/>
      <c r="D719" s="6"/>
      <c r="E719" s="6"/>
      <c r="F719" s="6"/>
      <c r="G719" s="6"/>
      <c r="H719" s="6"/>
      <c r="I719" s="6"/>
      <c r="J719" s="6"/>
      <c r="K719" s="6"/>
      <c r="L719" s="6"/>
    </row>
    <row r="720" spans="1:12" x14ac:dyDescent="0.2">
      <c r="C720" s="6"/>
      <c r="D720" s="6"/>
      <c r="E720" s="6"/>
      <c r="F720" s="6"/>
      <c r="G720" s="6"/>
      <c r="H720" s="6"/>
      <c r="I720" s="6"/>
      <c r="J720" s="6"/>
      <c r="K720" s="6"/>
      <c r="L720" s="6"/>
    </row>
    <row r="721" spans="1:12" x14ac:dyDescent="0.2">
      <c r="C721" s="6"/>
      <c r="D721" s="6"/>
      <c r="E721" s="6"/>
      <c r="F721" s="6"/>
      <c r="G721" s="6"/>
      <c r="H721" s="6"/>
      <c r="I721" s="6"/>
      <c r="J721" s="6"/>
      <c r="K721" s="6"/>
      <c r="L721" s="6"/>
    </row>
    <row r="722" spans="1:12" x14ac:dyDescent="0.2">
      <c r="C722" s="6"/>
      <c r="D722" s="6"/>
      <c r="E722" s="6"/>
      <c r="F722" s="6"/>
      <c r="G722" s="6"/>
      <c r="H722" s="6"/>
      <c r="I722" s="6"/>
      <c r="J722" s="6"/>
      <c r="K722" s="6"/>
      <c r="L722" s="6"/>
    </row>
    <row r="723" spans="1:12" x14ac:dyDescent="0.2">
      <c r="C723" s="6"/>
      <c r="D723" s="6"/>
      <c r="E723" s="6"/>
      <c r="F723" s="6"/>
      <c r="G723" s="6"/>
      <c r="H723" s="6"/>
      <c r="I723" s="6"/>
      <c r="J723" s="6"/>
      <c r="K723" s="6"/>
      <c r="L723" s="6"/>
    </row>
    <row r="724" spans="1:12" x14ac:dyDescent="0.2">
      <c r="C724" s="6"/>
      <c r="D724" s="6"/>
      <c r="E724" s="6"/>
      <c r="F724" s="6"/>
      <c r="G724" s="6"/>
      <c r="H724" s="6"/>
      <c r="I724" s="6"/>
      <c r="J724" s="6"/>
      <c r="K724" s="6"/>
      <c r="L724" s="6"/>
    </row>
    <row r="725" spans="1:12" x14ac:dyDescent="0.2">
      <c r="C725" s="6"/>
      <c r="D725" s="6"/>
      <c r="E725" s="6"/>
      <c r="F725" s="6"/>
      <c r="G725" s="6"/>
      <c r="H725" s="6"/>
      <c r="I725" s="6"/>
      <c r="J725" s="6"/>
      <c r="K725" s="6"/>
      <c r="L725" s="6"/>
    </row>
    <row r="726" spans="1:12" x14ac:dyDescent="0.2">
      <c r="A726">
        <f>7</f>
        <v>7</v>
      </c>
      <c r="B726">
        <f>ACE_Input!A6</f>
        <v>1</v>
      </c>
      <c r="C726" s="6">
        <f>MOD(Settings!$B$17*(Settings!$B$15+1000*A726),Settings!$B$18)</f>
        <v>325131415</v>
      </c>
      <c r="D726" s="6">
        <f>MAX(C726,1)/Settings!$B$18</f>
        <v>0.15140111332358844</v>
      </c>
      <c r="E726" s="6">
        <f>F726</f>
        <v>2</v>
      </c>
      <c r="F726" s="6">
        <f>ACE_Input!D6</f>
        <v>2</v>
      </c>
      <c r="G726" s="6">
        <f>MOD(Settings!$B$17*(Settings!$B$16+1000*A726),Settings!$B$18)</f>
        <v>1030622047</v>
      </c>
      <c r="H726" s="6">
        <f>MAX(G726,1)/Settings!$B$18</f>
        <v>0.47992078935723786</v>
      </c>
      <c r="I726" s="6">
        <f>-ACE_Input!W6*LN(H726)</f>
        <v>2.9365368434811137</v>
      </c>
      <c r="J726" s="6">
        <f>-ACE_Input!X6*LN(H726)</f>
        <v>8.8096105304433401</v>
      </c>
      <c r="K726" s="6">
        <f>ACE_Input!U6</f>
        <v>300</v>
      </c>
      <c r="L726" s="6">
        <f>K726*ACE_Input!V6</f>
        <v>75</v>
      </c>
    </row>
    <row r="727" spans="1:12" x14ac:dyDescent="0.2">
      <c r="A727">
        <f>7</f>
        <v>7</v>
      </c>
      <c r="B727">
        <f>ACE_Input!A7</f>
        <v>2</v>
      </c>
      <c r="C727" s="6">
        <f>MOD(Settings!$B$17*(C726),Settings!$B$18)</f>
        <v>1285293937</v>
      </c>
      <c r="D727" s="6">
        <f>MAX(C727,1)/Settings!$B$18</f>
        <v>0.59851162955095605</v>
      </c>
      <c r="E727" s="6">
        <f t="shared" ref="E727:E758" si="24">F727-F726</f>
        <v>5</v>
      </c>
      <c r="F727" s="6">
        <f>ACE_Input!D7</f>
        <v>7</v>
      </c>
      <c r="G727" s="6">
        <f>MOD(Settings!$B$17*(G726),Settings!$B$18)</f>
        <v>61647227</v>
      </c>
      <c r="H727" s="6">
        <f>MAX(G727,1)/Settings!$B$18</f>
        <v>2.8706727097140033E-2</v>
      </c>
      <c r="I727" s="6">
        <f>-ACE_Input!W7*LN(H727)</f>
        <v>14.202495160215536</v>
      </c>
      <c r="J727" s="6">
        <f>-ACE_Input!X7*LN(H727)</f>
        <v>42.607485480646609</v>
      </c>
      <c r="K727" s="6">
        <f>ACE_Input!U7</f>
        <v>300</v>
      </c>
      <c r="L727" s="6">
        <f>K727*ACE_Input!V7</f>
        <v>75</v>
      </c>
    </row>
    <row r="728" spans="1:12" x14ac:dyDescent="0.2">
      <c r="A728">
        <f>7</f>
        <v>7</v>
      </c>
      <c r="B728">
        <f>ACE_Input!A8</f>
        <v>3</v>
      </c>
      <c r="C728" s="6">
        <f>MOD(Settings!$B$17*(C727),Settings!$B$18)</f>
        <v>397193986</v>
      </c>
      <c r="D728" s="6">
        <f>MAX(C728,1)/Settings!$B$18</f>
        <v>0.18495786291777988</v>
      </c>
      <c r="E728" s="6">
        <f t="shared" si="24"/>
        <v>25</v>
      </c>
      <c r="F728" s="6">
        <f>ACE_Input!D8</f>
        <v>32</v>
      </c>
      <c r="G728" s="6">
        <f>MOD(Settings!$B$17*(G727),Settings!$B$18)</f>
        <v>1017826335</v>
      </c>
      <c r="H728" s="6">
        <f>MAX(G728,1)/Settings!$B$18</f>
        <v>0.47396232163252416</v>
      </c>
      <c r="I728" s="6">
        <f>-ACE_Input!W8*LN(H728)</f>
        <v>2.9865098026932735</v>
      </c>
      <c r="J728" s="6">
        <f>-ACE_Input!X8*LN(H728)</f>
        <v>8.9595294080798205</v>
      </c>
      <c r="K728" s="6">
        <f>ACE_Input!U8</f>
        <v>300</v>
      </c>
      <c r="L728" s="6">
        <f>K728*ACE_Input!V8</f>
        <v>75</v>
      </c>
    </row>
    <row r="729" spans="1:12" x14ac:dyDescent="0.2">
      <c r="A729">
        <f>7</f>
        <v>7</v>
      </c>
      <c r="B729">
        <f>ACE_Input!A9</f>
        <v>4</v>
      </c>
      <c r="C729" s="6">
        <f>MOD(Settings!$B$17*(C728),Settings!$B$18)</f>
        <v>1260147826</v>
      </c>
      <c r="D729" s="6">
        <f>MAX(C729,1)/Settings!$B$18</f>
        <v>0.58680205912646</v>
      </c>
      <c r="E729" s="6">
        <f t="shared" si="24"/>
        <v>5</v>
      </c>
      <c r="F729" s="6">
        <f>ACE_Input!D9</f>
        <v>37</v>
      </c>
      <c r="G729" s="6">
        <f>MOD(Settings!$B$17*(G728),Settings!$B$18)</f>
        <v>1899963990</v>
      </c>
      <c r="H729" s="6">
        <f>MAX(G729,1)/Settings!$B$18</f>
        <v>0.88473967783373764</v>
      </c>
      <c r="I729" s="6">
        <f>-ACE_Input!W9*LN(H729)</f>
        <v>0.48984730634007895</v>
      </c>
      <c r="J729" s="6">
        <f>-ACE_Input!X9*LN(H729)</f>
        <v>1.4695419190202368</v>
      </c>
      <c r="K729" s="6">
        <f>ACE_Input!U9</f>
        <v>300</v>
      </c>
      <c r="L729" s="6">
        <f>K729*ACE_Input!V9</f>
        <v>75</v>
      </c>
    </row>
    <row r="730" spans="1:12" x14ac:dyDescent="0.2">
      <c r="A730">
        <f>7</f>
        <v>7</v>
      </c>
      <c r="B730">
        <f>ACE_Input!A10</f>
        <v>5</v>
      </c>
      <c r="C730" s="6">
        <f>MOD(Settings!$B$17*(C729),Settings!$B$18)</f>
        <v>820784868</v>
      </c>
      <c r="D730" s="6">
        <f>MAX(C730,1)/Settings!$B$18</f>
        <v>0.3822077384135722</v>
      </c>
      <c r="E730" s="6">
        <f t="shared" si="24"/>
        <v>5</v>
      </c>
      <c r="F730" s="6">
        <f>ACE_Input!D10</f>
        <v>42</v>
      </c>
      <c r="G730" s="6">
        <f>MOD(Settings!$B$17*(G729),Settings!$B$18)</f>
        <v>1760432687</v>
      </c>
      <c r="H730" s="6">
        <f>MAX(G730,1)/Settings!$B$18</f>
        <v>0.8197653516287754</v>
      </c>
      <c r="I730" s="6">
        <f>-ACE_Input!W10*LN(H730)</f>
        <v>0.7949485448988407</v>
      </c>
      <c r="J730" s="6">
        <f>-ACE_Input!X10*LN(H730)</f>
        <v>2.3848456346965223</v>
      </c>
      <c r="K730" s="6">
        <f>ACE_Input!U10</f>
        <v>300</v>
      </c>
      <c r="L730" s="6">
        <f>K730*ACE_Input!V10</f>
        <v>75</v>
      </c>
    </row>
    <row r="731" spans="1:12" x14ac:dyDescent="0.2">
      <c r="A731">
        <f>7</f>
        <v>7</v>
      </c>
      <c r="B731">
        <f>ACE_Input!A11</f>
        <v>6</v>
      </c>
      <c r="C731" s="6">
        <f>MOD(Settings!$B$17*(C730),Settings!$B$18)</f>
        <v>1643811795</v>
      </c>
      <c r="D731" s="6">
        <f>MAX(C731,1)/Settings!$B$18</f>
        <v>0.76545951690779046</v>
      </c>
      <c r="E731" s="6">
        <f t="shared" si="24"/>
        <v>5</v>
      </c>
      <c r="F731" s="6">
        <f>ACE_Input!D11</f>
        <v>47</v>
      </c>
      <c r="G731" s="6">
        <f>MOD(Settings!$B$17*(G730),Settings!$B$18)</f>
        <v>1709965690</v>
      </c>
      <c r="H731" s="6">
        <f>MAX(G731,1)/Settings!$B$18</f>
        <v>0.79626482482825633</v>
      </c>
      <c r="I731" s="6">
        <f>-ACE_Input!W11*LN(H731)</f>
        <v>0.91129381584176128</v>
      </c>
      <c r="J731" s="6">
        <f>-ACE_Input!X11*LN(H731)</f>
        <v>2.7338814475252837</v>
      </c>
      <c r="K731" s="6">
        <f>ACE_Input!U11</f>
        <v>300</v>
      </c>
      <c r="L731" s="6">
        <f>K731*ACE_Input!V11</f>
        <v>75</v>
      </c>
    </row>
    <row r="732" spans="1:12" x14ac:dyDescent="0.2">
      <c r="A732">
        <f>7</f>
        <v>7</v>
      </c>
      <c r="B732">
        <f>ACE_Input!A12</f>
        <v>7</v>
      </c>
      <c r="C732" s="6">
        <f>MOD(Settings!$B$17*(C731),Settings!$B$18)</f>
        <v>167719910</v>
      </c>
      <c r="D732" s="6">
        <f>MAX(C732,1)/Settings!$B$18</f>
        <v>7.8100669234106634E-2</v>
      </c>
      <c r="E732" s="6">
        <f t="shared" si="24"/>
        <v>5</v>
      </c>
      <c r="F732" s="6">
        <f>ACE_Input!D12</f>
        <v>52</v>
      </c>
      <c r="G732" s="6">
        <f>MOD(Settings!$B$17*(G731),Settings!$B$18)</f>
        <v>1767187676</v>
      </c>
      <c r="H732" s="6">
        <f>MAX(G732,1)/Settings!$B$18</f>
        <v>0.82291088850372973</v>
      </c>
      <c r="I732" s="6">
        <f>-ACE_Input!W12*LN(H732)</f>
        <v>0.77962944236221587</v>
      </c>
      <c r="J732" s="6">
        <f>-ACE_Input!X12*LN(H732)</f>
        <v>2.3388883270866474</v>
      </c>
      <c r="K732" s="6">
        <f>ACE_Input!U12</f>
        <v>300</v>
      </c>
      <c r="L732" s="6">
        <f>K732*ACE_Input!V12</f>
        <v>75</v>
      </c>
    </row>
    <row r="733" spans="1:12" x14ac:dyDescent="0.2">
      <c r="A733">
        <f>7</f>
        <v>7</v>
      </c>
      <c r="B733">
        <f>ACE_Input!A13</f>
        <v>8</v>
      </c>
      <c r="C733" s="6">
        <f>MOD(Settings!$B$17*(C732),Settings!$B$18)</f>
        <v>1369982506</v>
      </c>
      <c r="D733" s="6">
        <f>MAX(C733,1)/Settings!$B$18</f>
        <v>0.63794781763011021</v>
      </c>
      <c r="E733" s="6">
        <f t="shared" si="24"/>
        <v>5</v>
      </c>
      <c r="F733" s="6">
        <f>ACE_Input!D13</f>
        <v>57</v>
      </c>
      <c r="G733" s="6">
        <f>MOD(Settings!$B$17*(G732),Settings!$B$18)</f>
        <v>1424432522</v>
      </c>
      <c r="H733" s="6">
        <f>MAX(G733,1)/Settings!$B$18</f>
        <v>0.66330308218640421</v>
      </c>
      <c r="I733" s="6">
        <f>-ACE_Input!W13*LN(H733)</f>
        <v>1.6420930228630035</v>
      </c>
      <c r="J733" s="6">
        <f>-ACE_Input!X13*LN(H733)</f>
        <v>4.926279068589011</v>
      </c>
      <c r="K733" s="6">
        <f>ACE_Input!U13</f>
        <v>300</v>
      </c>
      <c r="L733" s="6">
        <f>K733*ACE_Input!V13</f>
        <v>75</v>
      </c>
    </row>
    <row r="734" spans="1:12" x14ac:dyDescent="0.2">
      <c r="A734">
        <f>7</f>
        <v>7</v>
      </c>
      <c r="B734">
        <f>ACE_Input!A14</f>
        <v>9</v>
      </c>
      <c r="C734" s="6">
        <f>MOD(Settings!$B$17*(C733),Settings!$B$18)</f>
        <v>2123798855</v>
      </c>
      <c r="D734" s="6">
        <f>MAX(C734,1)/Settings!$B$18</f>
        <v>0.98897090926252817</v>
      </c>
      <c r="E734" s="6">
        <f t="shared" si="24"/>
        <v>115</v>
      </c>
      <c r="F734" s="6">
        <f>ACE_Input!D14</f>
        <v>172</v>
      </c>
      <c r="G734" s="6">
        <f>MOD(Settings!$B$17*(G733),Settings!$B$18)</f>
        <v>289700498</v>
      </c>
      <c r="H734" s="6">
        <f>MAX(G734,1)/Settings!$B$18</f>
        <v>0.13490230689519192</v>
      </c>
      <c r="I734" s="6">
        <f>-ACE_Input!W14*LN(H734)</f>
        <v>8.0128176605394668</v>
      </c>
      <c r="J734" s="6">
        <f>-ACE_Input!X14*LN(H734)</f>
        <v>24.038452981618398</v>
      </c>
      <c r="K734" s="6">
        <f>ACE_Input!U14</f>
        <v>300</v>
      </c>
      <c r="L734" s="6">
        <f>K734*ACE_Input!V14</f>
        <v>75</v>
      </c>
    </row>
    <row r="735" spans="1:12" x14ac:dyDescent="0.2">
      <c r="A735">
        <f>7</f>
        <v>7</v>
      </c>
      <c r="B735">
        <f>ACE_Input!A15</f>
        <v>10</v>
      </c>
      <c r="C735" s="6">
        <f>MOD(Settings!$B$17*(C734),Settings!$B$18)</f>
        <v>1361659198</v>
      </c>
      <c r="D735" s="6">
        <f>MAX(C735,1)/Settings!$B$18</f>
        <v>0.63407197531036663</v>
      </c>
      <c r="E735" s="6">
        <f t="shared" si="24"/>
        <v>5</v>
      </c>
      <c r="F735" s="6">
        <f>ACE_Input!D15</f>
        <v>177</v>
      </c>
      <c r="G735" s="6">
        <f>MOD(Settings!$B$17*(G734),Settings!$B$18)</f>
        <v>650842137</v>
      </c>
      <c r="H735" s="6">
        <f>MAX(G735,1)/Settings!$B$18</f>
        <v>0.30307198749066888</v>
      </c>
      <c r="I735" s="6">
        <f>-ACE_Input!W15*LN(H735)</f>
        <v>4.7751396768542413</v>
      </c>
      <c r="J735" s="6">
        <f>-ACE_Input!X15*LN(H735)</f>
        <v>14.325419030562724</v>
      </c>
      <c r="K735" s="6">
        <f>ACE_Input!U15</f>
        <v>300</v>
      </c>
      <c r="L735" s="6">
        <f>K735*ACE_Input!V15</f>
        <v>75</v>
      </c>
    </row>
    <row r="736" spans="1:12" x14ac:dyDescent="0.2">
      <c r="A736">
        <f>7</f>
        <v>7</v>
      </c>
      <c r="B736">
        <f>ACE_Input!A16</f>
        <v>11</v>
      </c>
      <c r="C736" s="6">
        <f>MOD(Settings!$B$17*(C735),Settings!$B$18)</f>
        <v>1820398354</v>
      </c>
      <c r="D736" s="6">
        <f>MAX(C736,1)/Settings!$B$18</f>
        <v>0.84768904133126566</v>
      </c>
      <c r="E736" s="6">
        <f t="shared" si="24"/>
        <v>5</v>
      </c>
      <c r="F736" s="6">
        <f>ACE_Input!D16</f>
        <v>182</v>
      </c>
      <c r="G736" s="6">
        <f>MOD(Settings!$B$17*(G735),Settings!$B$18)</f>
        <v>1569582388</v>
      </c>
      <c r="H736" s="6">
        <f>MAX(G736,1)/Settings!$B$18</f>
        <v>0.73089375567198445</v>
      </c>
      <c r="I736" s="6">
        <f>-ACE_Input!W16*LN(H736)</f>
        <v>1.2539486834935727</v>
      </c>
      <c r="J736" s="6">
        <f>-ACE_Input!X16*LN(H736)</f>
        <v>3.7618460504807181</v>
      </c>
      <c r="K736" s="6">
        <f>ACE_Input!U16</f>
        <v>300</v>
      </c>
      <c r="L736" s="6">
        <f>K736*ACE_Input!V16</f>
        <v>75</v>
      </c>
    </row>
    <row r="737" spans="1:12" x14ac:dyDescent="0.2">
      <c r="A737">
        <f>7</f>
        <v>7</v>
      </c>
      <c r="B737">
        <f>ACE_Input!A17</f>
        <v>12</v>
      </c>
      <c r="C737" s="6">
        <f>MOD(Settings!$B$17*(C736),Settings!$B$18)</f>
        <v>235616869</v>
      </c>
      <c r="D737" s="6">
        <f>MAX(C737,1)/Settings!$B$18</f>
        <v>0.10971765458105023</v>
      </c>
      <c r="E737" s="6">
        <f t="shared" si="24"/>
        <v>5</v>
      </c>
      <c r="F737" s="6">
        <f>ACE_Input!D17</f>
        <v>187</v>
      </c>
      <c r="G737" s="6">
        <f>MOD(Settings!$B$17*(G736),Settings!$B$18)</f>
        <v>282075368</v>
      </c>
      <c r="H737" s="6">
        <f>MAX(G737,1)/Settings!$B$18</f>
        <v>0.13135157904184963</v>
      </c>
      <c r="I737" s="6">
        <f>-ACE_Input!W17*LN(H737)</f>
        <v>8.1195109651485762</v>
      </c>
      <c r="J737" s="6">
        <f>-ACE_Input!X17*LN(H737)</f>
        <v>24.358532895445727</v>
      </c>
      <c r="K737" s="6">
        <f>ACE_Input!U17</f>
        <v>300</v>
      </c>
      <c r="L737" s="6">
        <f>K737*ACE_Input!V17</f>
        <v>75</v>
      </c>
    </row>
    <row r="738" spans="1:12" x14ac:dyDescent="0.2">
      <c r="A738">
        <f>7</f>
        <v>7</v>
      </c>
      <c r="B738">
        <f>ACE_Input!A18</f>
        <v>13</v>
      </c>
      <c r="C738" s="6">
        <f>MOD(Settings!$B$17*(C737),Settings!$B$18)</f>
        <v>52872215</v>
      </c>
      <c r="D738" s="6">
        <f>MAX(C738,1)/Settings!$B$18</f>
        <v>2.4620543711176394E-2</v>
      </c>
      <c r="E738" s="6">
        <f t="shared" si="24"/>
        <v>5</v>
      </c>
      <c r="F738" s="6">
        <f>ACE_Input!D18</f>
        <v>192</v>
      </c>
      <c r="G738" s="6">
        <f>MOD(Settings!$B$17*(G737),Settings!$B$18)</f>
        <v>1344301047</v>
      </c>
      <c r="H738" s="6">
        <f>MAX(G738,1)/Settings!$B$18</f>
        <v>0.62598895636666052</v>
      </c>
      <c r="I738" s="6">
        <f>-ACE_Input!W18*LN(H738)</f>
        <v>1.8736901984978298</v>
      </c>
      <c r="J738" s="6">
        <f>-ACE_Input!X18*LN(H738)</f>
        <v>5.6210705954934896</v>
      </c>
      <c r="K738" s="6">
        <f>ACE_Input!U18</f>
        <v>300</v>
      </c>
      <c r="L738" s="6">
        <f>K738*ACE_Input!V18</f>
        <v>75</v>
      </c>
    </row>
    <row r="739" spans="1:12" x14ac:dyDescent="0.2">
      <c r="A739">
        <f>7</f>
        <v>7</v>
      </c>
      <c r="B739">
        <f>ACE_Input!A19</f>
        <v>14</v>
      </c>
      <c r="C739" s="6">
        <f>MOD(Settings!$B$17*(C738),Settings!$B$18)</f>
        <v>1712571294</v>
      </c>
      <c r="D739" s="6">
        <f>MAX(C739,1)/Settings!$B$18</f>
        <v>0.79747815374167552</v>
      </c>
      <c r="E739" s="6">
        <f t="shared" si="24"/>
        <v>5</v>
      </c>
      <c r="F739" s="6">
        <f>ACE_Input!D19</f>
        <v>197</v>
      </c>
      <c r="G739" s="6">
        <f>MOD(Settings!$B$17*(G738),Settings!$B$18)</f>
        <v>2139730489</v>
      </c>
      <c r="H739" s="6">
        <f>MAX(G739,1)/Settings!$B$18</f>
        <v>0.99638965446333849</v>
      </c>
      <c r="I739" s="6">
        <f>-ACE_Input!W19*LN(H739)</f>
        <v>1.446751425268241E-2</v>
      </c>
      <c r="J739" s="6">
        <f>-ACE_Input!X19*LN(H739)</f>
        <v>4.3402542758047231E-2</v>
      </c>
      <c r="K739" s="6">
        <f>ACE_Input!U19</f>
        <v>300</v>
      </c>
      <c r="L739" s="6">
        <f>K739*ACE_Input!V19</f>
        <v>75</v>
      </c>
    </row>
    <row r="740" spans="1:12" x14ac:dyDescent="0.2">
      <c r="A740">
        <f>7</f>
        <v>7</v>
      </c>
      <c r="B740">
        <f>ACE_Input!A20</f>
        <v>15</v>
      </c>
      <c r="C740" s="6">
        <f>MOD(Settings!$B$17*(C739),Settings!$B$18)</f>
        <v>462417517</v>
      </c>
      <c r="D740" s="6">
        <f>MAX(C740,1)/Settings!$B$18</f>
        <v>0.21532993634013922</v>
      </c>
      <c r="E740" s="6">
        <f t="shared" si="24"/>
        <v>5</v>
      </c>
      <c r="F740" s="6">
        <f>ACE_Input!D20</f>
        <v>202</v>
      </c>
      <c r="G740" s="6">
        <f>MOD(Settings!$B$17*(G739),Settings!$B$18)</f>
        <v>689175961</v>
      </c>
      <c r="H740" s="6">
        <f>MAX(G740,1)/Settings!$B$18</f>
        <v>0.32092256533024954</v>
      </c>
      <c r="I740" s="6">
        <f>-ACE_Input!W20*LN(H740)</f>
        <v>4.5462216578136703</v>
      </c>
      <c r="J740" s="6">
        <f>-ACE_Input!X20*LN(H740)</f>
        <v>13.63866497344101</v>
      </c>
      <c r="K740" s="6">
        <f>ACE_Input!U20</f>
        <v>300</v>
      </c>
      <c r="L740" s="6">
        <f>K740*ACE_Input!V20</f>
        <v>75</v>
      </c>
    </row>
    <row r="741" spans="1:12" x14ac:dyDescent="0.2">
      <c r="A741">
        <f>7</f>
        <v>7</v>
      </c>
      <c r="B741">
        <f>ACE_Input!A21</f>
        <v>16</v>
      </c>
      <c r="C741" s="6">
        <f>MOD(Settings!$B$17*(C740),Settings!$B$18)</f>
        <v>107889726</v>
      </c>
      <c r="D741" s="6">
        <f>MAX(C741,1)/Settings!$B$18</f>
        <v>5.0240068719834122E-2</v>
      </c>
      <c r="E741" s="6">
        <f t="shared" si="24"/>
        <v>5</v>
      </c>
      <c r="F741" s="6">
        <f>ACE_Input!D21</f>
        <v>207</v>
      </c>
      <c r="G741" s="6">
        <f>MOD(Settings!$B$17*(G740),Settings!$B$18)</f>
        <v>1601068256</v>
      </c>
      <c r="H741" s="6">
        <f>MAX(G741,1)/Settings!$B$18</f>
        <v>0.74555550550369332</v>
      </c>
      <c r="I741" s="6">
        <f>-ACE_Input!W21*LN(H741)</f>
        <v>1.1745027739451062</v>
      </c>
      <c r="J741" s="6">
        <f>-ACE_Input!X21*LN(H741)</f>
        <v>3.5235083218353185</v>
      </c>
      <c r="K741" s="6">
        <f>ACE_Input!U21</f>
        <v>300</v>
      </c>
      <c r="L741" s="6">
        <f>K741*ACE_Input!V21</f>
        <v>75</v>
      </c>
    </row>
    <row r="742" spans="1:12" x14ac:dyDescent="0.2">
      <c r="A742">
        <f>7</f>
        <v>7</v>
      </c>
      <c r="B742">
        <f>ACE_Input!A22</f>
        <v>17</v>
      </c>
      <c r="C742" s="6">
        <f>MOD(Settings!$B$17*(C741),Settings!$B$18)</f>
        <v>826426814</v>
      </c>
      <c r="D742" s="6">
        <f>MAX(C742,1)/Settings!$B$18</f>
        <v>0.38483497425207636</v>
      </c>
      <c r="E742" s="6">
        <f t="shared" si="24"/>
        <v>5</v>
      </c>
      <c r="F742" s="6">
        <f>ACE_Input!D22</f>
        <v>212</v>
      </c>
      <c r="G742" s="6">
        <f>MOD(Settings!$B$17*(G741),Settings!$B$18)</f>
        <v>1184081682</v>
      </c>
      <c r="H742" s="6">
        <f>MAX(G742,1)/Settings!$B$18</f>
        <v>0.55138100057438999</v>
      </c>
      <c r="I742" s="6">
        <f>-ACE_Input!W22*LN(H742)</f>
        <v>2.3813169507532685</v>
      </c>
      <c r="J742" s="6">
        <f>-ACE_Input!X22*LN(H742)</f>
        <v>7.1439508522598061</v>
      </c>
      <c r="K742" s="6">
        <f>ACE_Input!U22</f>
        <v>300</v>
      </c>
      <c r="L742" s="6">
        <f>K742*ACE_Input!V22</f>
        <v>75</v>
      </c>
    </row>
    <row r="743" spans="1:12" x14ac:dyDescent="0.2">
      <c r="A743">
        <f>7</f>
        <v>7</v>
      </c>
      <c r="B743">
        <f>ACE_Input!A23</f>
        <v>18</v>
      </c>
      <c r="C743" s="6">
        <f>MOD(Settings!$B$17*(C742),Settings!$B$18)</f>
        <v>1978717749</v>
      </c>
      <c r="D743" s="6">
        <f>MAX(C743,1)/Settings!$B$18</f>
        <v>0.9214122546470781</v>
      </c>
      <c r="E743" s="6">
        <f t="shared" si="24"/>
        <v>5</v>
      </c>
      <c r="F743" s="6">
        <f>ACE_Input!D23</f>
        <v>217</v>
      </c>
      <c r="G743" s="6">
        <f>MOD(Settings!$B$17*(G742),Settings!$B$18)</f>
        <v>129872625</v>
      </c>
      <c r="H743" s="6">
        <f>MAX(G743,1)/Settings!$B$18</f>
        <v>6.047665377169692E-2</v>
      </c>
      <c r="I743" s="6">
        <f>-ACE_Input!W23*LN(H743)</f>
        <v>11.221991505961713</v>
      </c>
      <c r="J743" s="6">
        <f>-ACE_Input!X23*LN(H743)</f>
        <v>33.66597451788514</v>
      </c>
      <c r="K743" s="6">
        <f>ACE_Input!U23</f>
        <v>300</v>
      </c>
      <c r="L743" s="6">
        <f>K743*ACE_Input!V23</f>
        <v>75</v>
      </c>
    </row>
    <row r="744" spans="1:12" x14ac:dyDescent="0.2">
      <c r="A744">
        <f>7</f>
        <v>7</v>
      </c>
      <c r="B744">
        <f>ACE_Input!A24</f>
        <v>19</v>
      </c>
      <c r="C744" s="6">
        <f>MOD(Settings!$B$17*(C743),Settings!$B$18)</f>
        <v>377450001</v>
      </c>
      <c r="D744" s="6">
        <f>MAX(C744,1)/Settings!$B$18</f>
        <v>0.17576385344181389</v>
      </c>
      <c r="E744" s="6">
        <f t="shared" si="24"/>
        <v>5</v>
      </c>
      <c r="F744" s="6">
        <f>ACE_Input!D24</f>
        <v>222</v>
      </c>
      <c r="G744" s="6">
        <f>MOD(Settings!$B$17*(G743),Settings!$B$18)</f>
        <v>925823023</v>
      </c>
      <c r="H744" s="6">
        <f>MAX(G744,1)/Settings!$B$18</f>
        <v>0.43111994091007855</v>
      </c>
      <c r="I744" s="6">
        <f>-ACE_Input!W24*LN(H744)</f>
        <v>3.3654757696733197</v>
      </c>
      <c r="J744" s="6">
        <f>-ACE_Input!X24*LN(H744)</f>
        <v>10.096427309019958</v>
      </c>
      <c r="K744" s="6">
        <f>ACE_Input!U24</f>
        <v>300</v>
      </c>
      <c r="L744" s="6">
        <f>K744*ACE_Input!V24</f>
        <v>75</v>
      </c>
    </row>
    <row r="745" spans="1:12" x14ac:dyDescent="0.2">
      <c r="A745">
        <f>7</f>
        <v>7</v>
      </c>
      <c r="B745">
        <f>ACE_Input!A25</f>
        <v>20</v>
      </c>
      <c r="C745" s="6">
        <f>MOD(Settings!$B$17*(C744),Settings!$B$18)</f>
        <v>135473569</v>
      </c>
      <c r="D745" s="6">
        <f>MAX(C745,1)/Settings!$B$18</f>
        <v>6.3084796566089993E-2</v>
      </c>
      <c r="E745" s="6">
        <f t="shared" si="24"/>
        <v>5</v>
      </c>
      <c r="F745" s="6">
        <f>ACE_Input!D25</f>
        <v>227</v>
      </c>
      <c r="G745" s="6">
        <f>MOD(Settings!$B$17*(G744),Settings!$B$18)</f>
        <v>1788525046</v>
      </c>
      <c r="H745" s="6">
        <f>MAX(G745,1)/Settings!$B$18</f>
        <v>0.83284687569031812</v>
      </c>
      <c r="I745" s="6">
        <f>-ACE_Input!W25*LN(H745)</f>
        <v>0.73162190565382534</v>
      </c>
      <c r="J745" s="6">
        <f>-ACE_Input!X25*LN(H745)</f>
        <v>2.194865716961476</v>
      </c>
      <c r="K745" s="6">
        <f>ACE_Input!U25</f>
        <v>300</v>
      </c>
      <c r="L745" s="6">
        <f>K745*ACE_Input!V25</f>
        <v>75</v>
      </c>
    </row>
    <row r="746" spans="1:12" x14ac:dyDescent="0.2">
      <c r="A746">
        <f>7</f>
        <v>7</v>
      </c>
      <c r="B746">
        <f>ACE_Input!A26</f>
        <v>21</v>
      </c>
      <c r="C746" s="6">
        <f>MOD(Settings!$B$17*(C745),Settings!$B$18)</f>
        <v>571608363</v>
      </c>
      <c r="D746" s="6">
        <f>MAX(C746,1)/Settings!$B$18</f>
        <v>0.26617588627439731</v>
      </c>
      <c r="E746" s="6">
        <f t="shared" si="24"/>
        <v>5</v>
      </c>
      <c r="F746" s="6">
        <f>ACE_Input!D26</f>
        <v>232</v>
      </c>
      <c r="G746" s="6">
        <f>MOD(Settings!$B$17*(G745),Settings!$B$18)</f>
        <v>1411841063</v>
      </c>
      <c r="H746" s="6">
        <f>MAX(G746,1)/Settings!$B$18</f>
        <v>0.65743972717665122</v>
      </c>
      <c r="I746" s="6">
        <f>-ACE_Input!W26*LN(H746)</f>
        <v>1.6776087553017867</v>
      </c>
      <c r="J746" s="6">
        <f>-ACE_Input!X26*LN(H746)</f>
        <v>5.03282626590536</v>
      </c>
      <c r="K746" s="6">
        <f>ACE_Input!U26</f>
        <v>300</v>
      </c>
      <c r="L746" s="6">
        <f>K746*ACE_Input!V26</f>
        <v>75</v>
      </c>
    </row>
    <row r="747" spans="1:12" x14ac:dyDescent="0.2">
      <c r="A747">
        <f>7</f>
        <v>7</v>
      </c>
      <c r="B747">
        <f>ACE_Input!A27</f>
        <v>22</v>
      </c>
      <c r="C747" s="6">
        <f>MOD(Settings!$B$17*(C746),Settings!$B$18)</f>
        <v>1327403910</v>
      </c>
      <c r="D747" s="6">
        <f>MAX(C747,1)/Settings!$B$18</f>
        <v>0.61812061379576133</v>
      </c>
      <c r="E747" s="6">
        <f t="shared" si="24"/>
        <v>5</v>
      </c>
      <c r="F747" s="6">
        <f>ACE_Input!D27</f>
        <v>237</v>
      </c>
      <c r="G747" s="6">
        <f>MOD(Settings!$B$17*(G746),Settings!$B$18)</f>
        <v>1265930138</v>
      </c>
      <c r="H747" s="6">
        <f>MAX(G747,1)/Settings!$B$18</f>
        <v>0.58949465797724887</v>
      </c>
      <c r="I747" s="6">
        <f>-ACE_Input!W27*LN(H747)</f>
        <v>2.1139584840049754</v>
      </c>
      <c r="J747" s="6">
        <f>-ACE_Input!X27*LN(H747)</f>
        <v>6.3418754520149268</v>
      </c>
      <c r="K747" s="6">
        <f>ACE_Input!U27</f>
        <v>300</v>
      </c>
      <c r="L747" s="6">
        <f>K747*ACE_Input!V27</f>
        <v>75</v>
      </c>
    </row>
    <row r="748" spans="1:12" x14ac:dyDescent="0.2">
      <c r="A748">
        <f>7</f>
        <v>7</v>
      </c>
      <c r="B748">
        <f>ACE_Input!A28</f>
        <v>23</v>
      </c>
      <c r="C748" s="6">
        <f>MOD(Settings!$B$17*(C747),Settings!$B$18)</f>
        <v>1617390334</v>
      </c>
      <c r="D748" s="6">
        <f>MAX(C748,1)/Settings!$B$18</f>
        <v>0.75315606536024993</v>
      </c>
      <c r="E748" s="6">
        <f t="shared" si="24"/>
        <v>5</v>
      </c>
      <c r="F748" s="6">
        <f>ACE_Input!D28</f>
        <v>242</v>
      </c>
      <c r="G748" s="6">
        <f>MOD(Settings!$B$17*(G747),Settings!$B$18)</f>
        <v>1367338537</v>
      </c>
      <c r="H748" s="6">
        <f>MAX(G748,1)/Settings!$B$18</f>
        <v>0.63671662362139514</v>
      </c>
      <c r="I748" s="6">
        <f>-ACE_Input!W28*LN(H748)</f>
        <v>1.8057223330674412</v>
      </c>
      <c r="J748" s="6">
        <f>-ACE_Input!X28*LN(H748)</f>
        <v>5.4171669992023235</v>
      </c>
      <c r="K748" s="6">
        <f>ACE_Input!U28</f>
        <v>300</v>
      </c>
      <c r="L748" s="6">
        <f>K748*ACE_Input!V28</f>
        <v>75</v>
      </c>
    </row>
    <row r="749" spans="1:12" x14ac:dyDescent="0.2">
      <c r="A749">
        <f>7</f>
        <v>7</v>
      </c>
      <c r="B749">
        <f>ACE_Input!A29</f>
        <v>24</v>
      </c>
      <c r="C749" s="6">
        <f>MOD(Settings!$B$17*(C748),Settings!$B$18)</f>
        <v>631339812</v>
      </c>
      <c r="D749" s="6">
        <f>MAX(C749,1)/Settings!$B$18</f>
        <v>0.29399050972144608</v>
      </c>
      <c r="E749" s="6">
        <f t="shared" si="24"/>
        <v>5</v>
      </c>
      <c r="F749" s="6">
        <f>ACE_Input!D29</f>
        <v>247</v>
      </c>
      <c r="G749" s="6">
        <f>MOD(Settings!$B$17*(G748),Settings!$B$18)</f>
        <v>636284812</v>
      </c>
      <c r="H749" s="6">
        <f>MAX(G749,1)/Settings!$B$18</f>
        <v>0.29629320478825516</v>
      </c>
      <c r="I749" s="6">
        <f>-ACE_Input!W29*LN(H749)</f>
        <v>4.8656230328742591</v>
      </c>
      <c r="J749" s="6">
        <f>-ACE_Input!X29*LN(H749)</f>
        <v>14.596869098622777</v>
      </c>
      <c r="K749" s="6">
        <f>ACE_Input!U29</f>
        <v>300</v>
      </c>
      <c r="L749" s="6">
        <f>K749*ACE_Input!V29</f>
        <v>75</v>
      </c>
    </row>
    <row r="750" spans="1:12" x14ac:dyDescent="0.2">
      <c r="A750">
        <f>7</f>
        <v>7</v>
      </c>
      <c r="B750">
        <f>ACE_Input!A30</f>
        <v>25</v>
      </c>
      <c r="C750" s="6">
        <f>MOD(Settings!$B$17*(C749),Settings!$B$18)</f>
        <v>211520457</v>
      </c>
      <c r="D750" s="6">
        <f>MAX(C750,1)/Settings!$B$18</f>
        <v>9.8496888344407493E-2</v>
      </c>
      <c r="E750" s="6">
        <f t="shared" si="24"/>
        <v>5</v>
      </c>
      <c r="F750" s="6">
        <f>ACE_Input!D30</f>
        <v>252</v>
      </c>
      <c r="G750" s="6">
        <f>MOD(Settings!$B$17*(G749),Settings!$B$18)</f>
        <v>1717756871</v>
      </c>
      <c r="H750" s="6">
        <f>MAX(G750,1)/Settings!$B$18</f>
        <v>0.79989287620405336</v>
      </c>
      <c r="I750" s="6">
        <f>-ACE_Input!W30*LN(H750)</f>
        <v>0.89310986010073523</v>
      </c>
      <c r="J750" s="6">
        <f>-ACE_Input!X30*LN(H750)</f>
        <v>2.6793295803022055</v>
      </c>
      <c r="K750" s="6">
        <f>ACE_Input!U30</f>
        <v>300</v>
      </c>
      <c r="L750" s="6">
        <f>K750*ACE_Input!V30</f>
        <v>75</v>
      </c>
    </row>
    <row r="751" spans="1:12" x14ac:dyDescent="0.2">
      <c r="A751">
        <f>7</f>
        <v>7</v>
      </c>
      <c r="B751">
        <f>ACE_Input!A31</f>
        <v>26</v>
      </c>
      <c r="C751" s="6">
        <f>MOD(Settings!$B$17*(C750),Settings!$B$18)</f>
        <v>938885014</v>
      </c>
      <c r="D751" s="6">
        <f>MAX(C751,1)/Settings!$B$18</f>
        <v>0.43720240445677305</v>
      </c>
      <c r="E751" s="6">
        <f t="shared" si="24"/>
        <v>5</v>
      </c>
      <c r="F751" s="6">
        <f>ACE_Input!D31</f>
        <v>257</v>
      </c>
      <c r="G751" s="6">
        <f>MOD(Settings!$B$17*(G750),Settings!$B$18)</f>
        <v>1717064276</v>
      </c>
      <c r="H751" s="6">
        <f>MAX(G751,1)/Settings!$B$18</f>
        <v>0.79957036152462024</v>
      </c>
      <c r="I751" s="6">
        <f>-ACE_Input!W31*LN(H751)</f>
        <v>0.89472297468165973</v>
      </c>
      <c r="J751" s="6">
        <f>-ACE_Input!X31*LN(H751)</f>
        <v>2.6841689240449793</v>
      </c>
      <c r="K751" s="6">
        <f>ACE_Input!U31</f>
        <v>300</v>
      </c>
      <c r="L751" s="6">
        <f>K751*ACE_Input!V31</f>
        <v>75</v>
      </c>
    </row>
    <row r="752" spans="1:12" x14ac:dyDescent="0.2">
      <c r="A752">
        <f>7</f>
        <v>7</v>
      </c>
      <c r="B752">
        <f>ACE_Input!A32</f>
        <v>27</v>
      </c>
      <c r="C752" s="6">
        <f>MOD(Settings!$B$17*(C751),Settings!$B$18)</f>
        <v>130592142</v>
      </c>
      <c r="D752" s="6">
        <f>MAX(C752,1)/Settings!$B$18</f>
        <v>6.0811704984312737E-2</v>
      </c>
      <c r="E752" s="6">
        <f t="shared" si="24"/>
        <v>5</v>
      </c>
      <c r="F752" s="6">
        <f>ACE_Input!D32</f>
        <v>262</v>
      </c>
      <c r="G752" s="6">
        <f>MOD(Settings!$B$17*(G751),Settings!$B$18)</f>
        <v>814038346</v>
      </c>
      <c r="H752" s="6">
        <f>MAX(G752,1)/Settings!$B$18</f>
        <v>0.37906614429273927</v>
      </c>
      <c r="I752" s="6">
        <f>-ACE_Input!W32*LN(H752)</f>
        <v>3.8801782637090918</v>
      </c>
      <c r="J752" s="6">
        <f>-ACE_Input!X32*LN(H752)</f>
        <v>11.640534791127276</v>
      </c>
      <c r="K752" s="6">
        <f>ACE_Input!U32</f>
        <v>300</v>
      </c>
      <c r="L752" s="6">
        <f>K752*ACE_Input!V32</f>
        <v>75</v>
      </c>
    </row>
    <row r="753" spans="1:12" x14ac:dyDescent="0.2">
      <c r="A753">
        <f>7</f>
        <v>7</v>
      </c>
      <c r="B753">
        <f>ACE_Input!A33</f>
        <v>28</v>
      </c>
      <c r="C753" s="6">
        <f>MOD(Settings!$B$17*(C752),Settings!$B$18)</f>
        <v>133843360</v>
      </c>
      <c r="D753" s="6">
        <f>MAX(C753,1)/Settings!$B$18</f>
        <v>6.2325671344215829E-2</v>
      </c>
      <c r="E753" s="6">
        <f t="shared" si="24"/>
        <v>6</v>
      </c>
      <c r="F753" s="6">
        <f>ACE_Input!D33</f>
        <v>268</v>
      </c>
      <c r="G753" s="6">
        <f>MOD(Settings!$B$17*(G752),Settings!$B$18)</f>
        <v>2071649832</v>
      </c>
      <c r="H753" s="6">
        <f>MAX(G753,1)/Settings!$B$18</f>
        <v>0.96468712806919921</v>
      </c>
      <c r="I753" s="6">
        <f>-ACE_Input!W33*LN(H753)</f>
        <v>0.1438057993244187</v>
      </c>
      <c r="J753" s="6">
        <f>-ACE_Input!X33*LN(H753)</f>
        <v>0.43141739797325607</v>
      </c>
      <c r="K753" s="6">
        <f>ACE_Input!U33</f>
        <v>300</v>
      </c>
      <c r="L753" s="6">
        <f>K753*ACE_Input!V33</f>
        <v>75</v>
      </c>
    </row>
    <row r="754" spans="1:12" x14ac:dyDescent="0.2">
      <c r="A754">
        <f>7</f>
        <v>7</v>
      </c>
      <c r="B754">
        <f>ACE_Input!A34</f>
        <v>29</v>
      </c>
      <c r="C754" s="6">
        <f>MOD(Settings!$B$17*(C753),Settings!$B$18)</f>
        <v>1089973111</v>
      </c>
      <c r="D754" s="6">
        <f>MAX(C754,1)/Settings!$B$18</f>
        <v>0.50755828223543165</v>
      </c>
      <c r="E754" s="6">
        <f t="shared" si="24"/>
        <v>5</v>
      </c>
      <c r="F754" s="6">
        <f>ACE_Input!D34</f>
        <v>273</v>
      </c>
      <c r="G754" s="6">
        <f>MOD(Settings!$B$17*(G753),Settings!$B$18)</f>
        <v>1066357613</v>
      </c>
      <c r="H754" s="6">
        <f>MAX(G754,1)/Settings!$B$18</f>
        <v>0.49656145903121746</v>
      </c>
      <c r="I754" s="6">
        <f>-ACE_Input!W34*LN(H754)</f>
        <v>2.8001920744130815</v>
      </c>
      <c r="J754" s="6">
        <f>-ACE_Input!X34*LN(H754)</f>
        <v>8.4005762232392449</v>
      </c>
      <c r="K754" s="6">
        <f>ACE_Input!U34</f>
        <v>300</v>
      </c>
      <c r="L754" s="6">
        <f>K754*ACE_Input!V34</f>
        <v>75</v>
      </c>
    </row>
    <row r="755" spans="1:12" x14ac:dyDescent="0.2">
      <c r="A755">
        <f>7</f>
        <v>7</v>
      </c>
      <c r="B755">
        <f>ACE_Input!A35</f>
        <v>30</v>
      </c>
      <c r="C755" s="6">
        <f>MOD(Settings!$B$17*(C754),Settings!$B$18)</f>
        <v>1142567667</v>
      </c>
      <c r="D755" s="6">
        <f>MAX(C755,1)/Settings!$B$18</f>
        <v>0.53204953089917517</v>
      </c>
      <c r="E755" s="6">
        <f t="shared" si="24"/>
        <v>5</v>
      </c>
      <c r="F755" s="6">
        <f>ACE_Input!D35</f>
        <v>278</v>
      </c>
      <c r="G755" s="6">
        <f>MOD(Settings!$B$17*(G754),Settings!$B$18)</f>
        <v>1521367476</v>
      </c>
      <c r="H755" s="6">
        <f>MAX(G755,1)/Settings!$B$18</f>
        <v>0.70844193767218011</v>
      </c>
      <c r="I755" s="6">
        <f>-ACE_Input!W35*LN(H755)</f>
        <v>1.378748697088513</v>
      </c>
      <c r="J755" s="6">
        <f>-ACE_Input!X35*LN(H755)</f>
        <v>4.136246091265539</v>
      </c>
      <c r="K755" s="6">
        <f>ACE_Input!U35</f>
        <v>300</v>
      </c>
      <c r="L755" s="6">
        <f>K755*ACE_Input!V35</f>
        <v>75</v>
      </c>
    </row>
    <row r="756" spans="1:12" x14ac:dyDescent="0.2">
      <c r="A756">
        <f>7</f>
        <v>7</v>
      </c>
      <c r="B756">
        <f>ACE_Input!A36</f>
        <v>31</v>
      </c>
      <c r="C756" s="6">
        <f>MOD(Settings!$B$17*(C755),Settings!$B$18)</f>
        <v>336007795</v>
      </c>
      <c r="D756" s="6">
        <f>MAX(C756,1)/Settings!$B$18</f>
        <v>0.15646582243799503</v>
      </c>
      <c r="E756" s="6">
        <f t="shared" si="24"/>
        <v>5</v>
      </c>
      <c r="F756" s="6">
        <f>ACE_Input!D36</f>
        <v>283</v>
      </c>
      <c r="G756" s="6">
        <f>MOD(Settings!$B$17*(G755),Settings!$B$18)</f>
        <v>1682867950</v>
      </c>
      <c r="H756" s="6">
        <f>MAX(G756,1)/Settings!$B$18</f>
        <v>0.78364645633084995</v>
      </c>
      <c r="I756" s="6">
        <f>-ACE_Input!W36*LN(H756)</f>
        <v>0.97518923558878867</v>
      </c>
      <c r="J756" s="6">
        <f>-ACE_Input!X36*LN(H756)</f>
        <v>2.9255677067663659</v>
      </c>
      <c r="K756" s="6">
        <f>ACE_Input!U36</f>
        <v>300</v>
      </c>
      <c r="L756" s="6">
        <f>K756*ACE_Input!V36</f>
        <v>75</v>
      </c>
    </row>
    <row r="757" spans="1:12" x14ac:dyDescent="0.2">
      <c r="A757">
        <f>7</f>
        <v>7</v>
      </c>
      <c r="B757">
        <f>ACE_Input!A37</f>
        <v>32</v>
      </c>
      <c r="C757" s="6">
        <f>MOD(Settings!$B$17*(C756),Settings!$B$18)</f>
        <v>1548502602</v>
      </c>
      <c r="D757" s="6">
        <f>MAX(C757,1)/Settings!$B$18</f>
        <v>0.72107771538248178</v>
      </c>
      <c r="E757" s="6">
        <f t="shared" si="24"/>
        <v>5</v>
      </c>
      <c r="F757" s="6">
        <f>ACE_Input!D37</f>
        <v>288</v>
      </c>
      <c r="G757" s="6">
        <f>MOD(Settings!$B$17*(G756),Settings!$B$18)</f>
        <v>1602004660</v>
      </c>
      <c r="H757" s="6">
        <f>MAX(G757,1)/Settings!$B$18</f>
        <v>0.74599155259597649</v>
      </c>
      <c r="I757" s="6">
        <f>-ACE_Input!W37*LN(H757)</f>
        <v>1.1721640097615014</v>
      </c>
      <c r="J757" s="6">
        <f>-ACE_Input!X37*LN(H757)</f>
        <v>3.5164920292845041</v>
      </c>
      <c r="K757" s="6">
        <f>ACE_Input!U37</f>
        <v>300</v>
      </c>
      <c r="L757" s="6">
        <f>K757*ACE_Input!V37</f>
        <v>75</v>
      </c>
    </row>
    <row r="758" spans="1:12" x14ac:dyDescent="0.2">
      <c r="A758">
        <f>7</f>
        <v>7</v>
      </c>
      <c r="B758">
        <f>ACE_Input!A38</f>
        <v>33</v>
      </c>
      <c r="C758" s="6">
        <f>MOD(Settings!$B$17*(C757),Settings!$B$18)</f>
        <v>328913821</v>
      </c>
      <c r="D758" s="6">
        <f>MAX(C758,1)/Settings!$B$18</f>
        <v>0.15316243337148913</v>
      </c>
      <c r="E758" s="6">
        <f t="shared" si="24"/>
        <v>5</v>
      </c>
      <c r="F758" s="6">
        <f>ACE_Input!D38</f>
        <v>293</v>
      </c>
      <c r="G758" s="6">
        <f>MOD(Settings!$B$17*(G757),Settings!$B$18)</f>
        <v>1889838181</v>
      </c>
      <c r="H758" s="6">
        <f>MAX(G758,1)/Settings!$B$18</f>
        <v>0.88002448057756966</v>
      </c>
      <c r="I758" s="6">
        <f>-ACE_Input!W38*LN(H758)</f>
        <v>0.51122221223469699</v>
      </c>
      <c r="J758" s="6">
        <f>-ACE_Input!X38*LN(H758)</f>
        <v>1.533666636704091</v>
      </c>
      <c r="K758" s="6">
        <f>ACE_Input!U38</f>
        <v>300</v>
      </c>
      <c r="L758" s="6">
        <f>K758*ACE_Input!V38</f>
        <v>75</v>
      </c>
    </row>
    <row r="759" spans="1:12" x14ac:dyDescent="0.2">
      <c r="A759">
        <f>7</f>
        <v>7</v>
      </c>
      <c r="B759">
        <f>ACE_Input!A39</f>
        <v>34</v>
      </c>
      <c r="C759" s="6">
        <f>MOD(Settings!$B$17*(C758),Settings!$B$18)</f>
        <v>431682169</v>
      </c>
      <c r="D759" s="6">
        <f>MAX(C759,1)/Settings!$B$18</f>
        <v>0.2010176746179432</v>
      </c>
      <c r="E759" s="6">
        <f t="shared" ref="E759:E790" si="25">F759-F758</f>
        <v>5</v>
      </c>
      <c r="F759" s="6">
        <f>ACE_Input!D39</f>
        <v>298</v>
      </c>
      <c r="G759" s="6">
        <f>MOD(Settings!$B$17*(G758),Settings!$B$18)</f>
        <v>1227168937</v>
      </c>
      <c r="H759" s="6">
        <f>MAX(G759,1)/Settings!$B$18</f>
        <v>0.57144506721358979</v>
      </c>
      <c r="I759" s="6">
        <f>-ACE_Input!W39*LN(H759)</f>
        <v>2.2383476829132096</v>
      </c>
      <c r="J759" s="6">
        <f>-ACE_Input!X39*LN(H759)</f>
        <v>6.7150430487396289</v>
      </c>
      <c r="K759" s="6">
        <f>ACE_Input!U39</f>
        <v>300</v>
      </c>
      <c r="L759" s="6">
        <f>K759*ACE_Input!V39</f>
        <v>75</v>
      </c>
    </row>
    <row r="760" spans="1:12" x14ac:dyDescent="0.2">
      <c r="A760">
        <f>7</f>
        <v>7</v>
      </c>
      <c r="B760">
        <f>ACE_Input!A40</f>
        <v>35</v>
      </c>
      <c r="C760" s="6">
        <f>MOD(Settings!$B$17*(C759),Settings!$B$18)</f>
        <v>1082454817</v>
      </c>
      <c r="D760" s="6">
        <f>MAX(C760,1)/Settings!$B$18</f>
        <v>0.50405730377140334</v>
      </c>
      <c r="E760" s="6">
        <f t="shared" si="25"/>
        <v>5</v>
      </c>
      <c r="F760" s="6">
        <f>ACE_Input!D40</f>
        <v>303</v>
      </c>
      <c r="G760" s="6">
        <f>MOD(Settings!$B$17*(G759),Settings!$B$18)</f>
        <v>595378371</v>
      </c>
      <c r="H760" s="6">
        <f>MAX(G760,1)/Settings!$B$18</f>
        <v>0.27724465880414689</v>
      </c>
      <c r="I760" s="6">
        <f>-ACE_Input!W40*LN(H760)</f>
        <v>5.1314196713825142</v>
      </c>
      <c r="J760" s="6">
        <f>-ACE_Input!X40*LN(H760)</f>
        <v>15.394259014147543</v>
      </c>
      <c r="K760" s="6">
        <f>ACE_Input!U40</f>
        <v>300</v>
      </c>
      <c r="L760" s="6">
        <f>K760*ACE_Input!V40</f>
        <v>75</v>
      </c>
    </row>
    <row r="761" spans="1:12" x14ac:dyDescent="0.2">
      <c r="A761">
        <f>7</f>
        <v>7</v>
      </c>
      <c r="B761">
        <f>ACE_Input!A41</f>
        <v>36</v>
      </c>
      <c r="C761" s="6">
        <f>MOD(Settings!$B$17*(C760),Settings!$B$18)</f>
        <v>1484135582</v>
      </c>
      <c r="D761" s="6">
        <f>MAX(C761,1)/Settings!$B$18</f>
        <v>0.69110448597516139</v>
      </c>
      <c r="E761" s="6">
        <f t="shared" si="25"/>
        <v>5</v>
      </c>
      <c r="F761" s="6">
        <f>ACE_Input!D41</f>
        <v>308</v>
      </c>
      <c r="G761" s="6">
        <f>MOD(Settings!$B$17*(G760),Settings!$B$18)</f>
        <v>1397970024</v>
      </c>
      <c r="H761" s="6">
        <f>MAX(G761,1)/Settings!$B$18</f>
        <v>0.65098052129660755</v>
      </c>
      <c r="I761" s="6">
        <f>-ACE_Input!W41*LN(H761)</f>
        <v>1.717102233698335</v>
      </c>
      <c r="J761" s="6">
        <f>-ACE_Input!X41*LN(H761)</f>
        <v>5.1513067010950051</v>
      </c>
      <c r="K761" s="6">
        <f>ACE_Input!U41</f>
        <v>300</v>
      </c>
      <c r="L761" s="6">
        <f>K761*ACE_Input!V41</f>
        <v>75</v>
      </c>
    </row>
    <row r="762" spans="1:12" x14ac:dyDescent="0.2">
      <c r="A762">
        <f>7</f>
        <v>7</v>
      </c>
      <c r="B762">
        <f>ACE_Input!A42</f>
        <v>37</v>
      </c>
      <c r="C762" s="6">
        <f>MOD(Settings!$B$17*(C761),Settings!$B$18)</f>
        <v>844166769</v>
      </c>
      <c r="D762" s="6">
        <f>MAX(C762,1)/Settings!$B$18</f>
        <v>0.39309578453800442</v>
      </c>
      <c r="E762" s="6">
        <f t="shared" si="25"/>
        <v>5</v>
      </c>
      <c r="F762" s="6">
        <f>ACE_Input!D42</f>
        <v>313</v>
      </c>
      <c r="G762" s="6">
        <f>MOD(Settings!$B$17*(G761),Settings!$B$18)</f>
        <v>63611541</v>
      </c>
      <c r="H762" s="6">
        <f>MAX(G762,1)/Settings!$B$18</f>
        <v>2.9621432083482589E-2</v>
      </c>
      <c r="I762" s="6">
        <f>-ACE_Input!W42*LN(H762)</f>
        <v>14.077028491121707</v>
      </c>
      <c r="J762" s="6">
        <f>-ACE_Input!X42*LN(H762)</f>
        <v>42.23108547336512</v>
      </c>
      <c r="K762" s="6">
        <f>ACE_Input!U42</f>
        <v>300</v>
      </c>
      <c r="L762" s="6">
        <f>K762*ACE_Input!V42</f>
        <v>75</v>
      </c>
    </row>
    <row r="763" spans="1:12" x14ac:dyDescent="0.2">
      <c r="A763">
        <f>7</f>
        <v>7</v>
      </c>
      <c r="B763">
        <f>ACE_Input!A43</f>
        <v>38</v>
      </c>
      <c r="C763" s="6">
        <f>MOD(Settings!$B$17*(C762),Settings!$B$18)</f>
        <v>1633914501</v>
      </c>
      <c r="D763" s="6">
        <f>MAX(C763,1)/Settings!$B$18</f>
        <v>0.76085073024074112</v>
      </c>
      <c r="E763" s="6">
        <f t="shared" si="25"/>
        <v>5</v>
      </c>
      <c r="F763" s="6">
        <f>ACE_Input!D43</f>
        <v>318</v>
      </c>
      <c r="G763" s="6">
        <f>MOD(Settings!$B$17*(G762),Settings!$B$18)</f>
        <v>1819797028</v>
      </c>
      <c r="H763" s="6">
        <f>MAX(G763,1)/Settings!$B$18</f>
        <v>0.84740902709188359</v>
      </c>
      <c r="I763" s="6">
        <f>-ACE_Input!W43*LN(H763)</f>
        <v>0.66228715261444793</v>
      </c>
      <c r="J763" s="6">
        <f>-ACE_Input!X43*LN(H763)</f>
        <v>1.9868614578433439</v>
      </c>
      <c r="K763" s="6">
        <f>ACE_Input!U43</f>
        <v>300</v>
      </c>
      <c r="L763" s="6">
        <f>K763*ACE_Input!V43</f>
        <v>75</v>
      </c>
    </row>
    <row r="764" spans="1:12" x14ac:dyDescent="0.2">
      <c r="A764">
        <f>7</f>
        <v>7</v>
      </c>
      <c r="B764">
        <f>ACE_Input!A44</f>
        <v>39</v>
      </c>
      <c r="C764" s="6">
        <f>MOD(Settings!$B$17*(C763),Settings!$B$18)</f>
        <v>1327624118</v>
      </c>
      <c r="D764" s="6">
        <f>MAX(C764,1)/Settings!$B$18</f>
        <v>0.61822315613656453</v>
      </c>
      <c r="E764" s="6">
        <f t="shared" si="25"/>
        <v>5</v>
      </c>
      <c r="F764" s="6">
        <f>ACE_Input!D44</f>
        <v>323</v>
      </c>
      <c r="G764" s="6">
        <f>MOD(Settings!$B$17*(G763),Settings!$B$18)</f>
        <v>866549022</v>
      </c>
      <c r="H764" s="6">
        <f>MAX(G764,1)/Settings!$B$18</f>
        <v>0.40351833328768533</v>
      </c>
      <c r="I764" s="6">
        <f>-ACE_Input!W44*LN(H764)</f>
        <v>3.6301334265883565</v>
      </c>
      <c r="J764" s="6">
        <f>-ACE_Input!X44*LN(H764)</f>
        <v>10.890400279765069</v>
      </c>
      <c r="K764" s="6">
        <f>ACE_Input!U44</f>
        <v>300</v>
      </c>
      <c r="L764" s="6">
        <f>K764*ACE_Input!V44</f>
        <v>75</v>
      </c>
    </row>
    <row r="765" spans="1:12" x14ac:dyDescent="0.2">
      <c r="A765">
        <f>7</f>
        <v>7</v>
      </c>
      <c r="B765">
        <f>ACE_Input!A45</f>
        <v>40</v>
      </c>
      <c r="C765" s="6">
        <f>MOD(Settings!$B$17*(C764),Settings!$B$18)</f>
        <v>1023458896</v>
      </c>
      <c r="D765" s="6">
        <f>MAX(C765,1)/Settings!$B$18</f>
        <v>0.47658518723984489</v>
      </c>
      <c r="E765" s="6">
        <f t="shared" si="25"/>
        <v>5</v>
      </c>
      <c r="F765" s="6">
        <f>ACE_Input!D45</f>
        <v>328</v>
      </c>
      <c r="G765" s="6">
        <f>MOD(Settings!$B$17*(G764),Settings!$B$18)</f>
        <v>2002802447</v>
      </c>
      <c r="H765" s="6">
        <f>MAX(G765,1)/Settings!$B$18</f>
        <v>0.93262756612739883</v>
      </c>
      <c r="I765" s="6">
        <f>-ACE_Input!W45*LN(H765)</f>
        <v>0.2789973467353245</v>
      </c>
      <c r="J765" s="6">
        <f>-ACE_Input!X45*LN(H765)</f>
        <v>0.83699204020597351</v>
      </c>
      <c r="K765" s="6">
        <f>ACE_Input!U45</f>
        <v>300</v>
      </c>
      <c r="L765" s="6">
        <f>K765*ACE_Input!V45</f>
        <v>75</v>
      </c>
    </row>
    <row r="766" spans="1:12" x14ac:dyDescent="0.2">
      <c r="A766">
        <f>7</f>
        <v>7</v>
      </c>
      <c r="B766">
        <f>ACE_Input!A46</f>
        <v>41</v>
      </c>
      <c r="C766" s="6">
        <f>MOD(Settings!$B$17*(C765),Settings!$B$18)</f>
        <v>2077136249</v>
      </c>
      <c r="D766" s="6">
        <f>MAX(C766,1)/Settings!$B$18</f>
        <v>0.96724194007331599</v>
      </c>
      <c r="E766" s="6">
        <f t="shared" si="25"/>
        <v>5</v>
      </c>
      <c r="F766" s="6">
        <f>ACE_Input!D46</f>
        <v>333</v>
      </c>
      <c r="G766" s="6">
        <f>MOD(Settings!$B$17*(G765),Settings!$B$18)</f>
        <v>1442043651</v>
      </c>
      <c r="H766" s="6">
        <f>MAX(G766,1)/Settings!$B$18</f>
        <v>0.67150390319130571</v>
      </c>
      <c r="I766" s="6">
        <f>-ACE_Input!W46*LN(H766)</f>
        <v>1.5929418015618315</v>
      </c>
      <c r="J766" s="6">
        <f>-ACE_Input!X46*LN(H766)</f>
        <v>4.7788254046854943</v>
      </c>
      <c r="K766" s="6">
        <f>ACE_Input!U46</f>
        <v>300</v>
      </c>
      <c r="L766" s="6">
        <f>K766*ACE_Input!V46</f>
        <v>75</v>
      </c>
    </row>
    <row r="767" spans="1:12" x14ac:dyDescent="0.2">
      <c r="A767">
        <f>7</f>
        <v>7</v>
      </c>
      <c r="B767">
        <f>ACE_Input!A47</f>
        <v>42</v>
      </c>
      <c r="C767" s="6">
        <f>MOD(Settings!$B$17*(C766),Settings!$B$18)</f>
        <v>934771311</v>
      </c>
      <c r="D767" s="6">
        <f>MAX(C767,1)/Settings!$B$18</f>
        <v>0.43528681222129928</v>
      </c>
      <c r="E767" s="6">
        <f t="shared" si="25"/>
        <v>5</v>
      </c>
      <c r="F767" s="6">
        <f>ACE_Input!D47</f>
        <v>338</v>
      </c>
      <c r="G767" s="6">
        <f>MOD(Settings!$B$17*(G766),Settings!$B$18)</f>
        <v>2074685962</v>
      </c>
      <c r="H767" s="6">
        <f>MAX(G767,1)/Settings!$B$18</f>
        <v>0.96610093627409122</v>
      </c>
      <c r="I767" s="6">
        <f>-ACE_Input!W47*LN(H767)</f>
        <v>0.13794784532651524</v>
      </c>
      <c r="J767" s="6">
        <f>-ACE_Input!X47*LN(H767)</f>
        <v>0.41384353597954571</v>
      </c>
      <c r="K767" s="6">
        <f>ACE_Input!U47</f>
        <v>300</v>
      </c>
      <c r="L767" s="6">
        <f>K767*ACE_Input!V47</f>
        <v>75</v>
      </c>
    </row>
    <row r="768" spans="1:12" x14ac:dyDescent="0.2">
      <c r="A768">
        <f>7</f>
        <v>7</v>
      </c>
      <c r="B768">
        <f>ACE_Input!A48</f>
        <v>43</v>
      </c>
      <c r="C768" s="6">
        <f>MOD(Settings!$B$17*(C767),Settings!$B$18)</f>
        <v>1858546172</v>
      </c>
      <c r="D768" s="6">
        <f>MAX(C768,1)/Settings!$B$18</f>
        <v>0.86545300337739894</v>
      </c>
      <c r="E768" s="6">
        <f t="shared" si="25"/>
        <v>5</v>
      </c>
      <c r="F768" s="6">
        <f>ACE_Input!D48</f>
        <v>343</v>
      </c>
      <c r="G768" s="6">
        <f>MOD(Settings!$B$17*(G767),Settings!$B$18)</f>
        <v>554986995</v>
      </c>
      <c r="H768" s="6">
        <f>MAX(G768,1)/Settings!$B$18</f>
        <v>0.25843595865109747</v>
      </c>
      <c r="I768" s="6">
        <f>-ACE_Input!W48*LN(H768)</f>
        <v>5.4124294315556432</v>
      </c>
      <c r="J768" s="6">
        <f>-ACE_Input!X48*LN(H768)</f>
        <v>16.237288294666929</v>
      </c>
      <c r="K768" s="6">
        <f>ACE_Input!U48</f>
        <v>300</v>
      </c>
      <c r="L768" s="6">
        <f>K768*ACE_Input!V48</f>
        <v>75</v>
      </c>
    </row>
    <row r="769" spans="1:12" x14ac:dyDescent="0.2">
      <c r="A769">
        <f>7</f>
        <v>7</v>
      </c>
      <c r="B769">
        <f>ACE_Input!A49</f>
        <v>44</v>
      </c>
      <c r="C769" s="6">
        <f>MOD(Settings!$B$17*(C768),Settings!$B$18)</f>
        <v>1435867189</v>
      </c>
      <c r="D769" s="6">
        <f>MAX(C769,1)/Settings!$B$18</f>
        <v>0.668627763944039</v>
      </c>
      <c r="E769" s="6">
        <f t="shared" si="25"/>
        <v>5</v>
      </c>
      <c r="F769" s="6">
        <f>ACE_Input!D49</f>
        <v>348</v>
      </c>
      <c r="G769" s="6">
        <f>MOD(Settings!$B$17*(G768),Settings!$B$18)</f>
        <v>1144946044</v>
      </c>
      <c r="H769" s="6">
        <f>MAX(G769,1)/Settings!$B$18</f>
        <v>0.5331570489952141</v>
      </c>
      <c r="I769" s="6">
        <f>-ACE_Input!W49*LN(H769)</f>
        <v>2.5157569887778566</v>
      </c>
      <c r="J769" s="6">
        <f>-ACE_Input!X49*LN(H769)</f>
        <v>7.5472709663335698</v>
      </c>
      <c r="K769" s="6">
        <f>ACE_Input!U49</f>
        <v>300</v>
      </c>
      <c r="L769" s="6">
        <f>K769*ACE_Input!V49</f>
        <v>75</v>
      </c>
    </row>
    <row r="770" spans="1:12" x14ac:dyDescent="0.2">
      <c r="A770">
        <f>7</f>
        <v>7</v>
      </c>
      <c r="B770">
        <f>ACE_Input!A50</f>
        <v>45</v>
      </c>
      <c r="C770" s="6">
        <f>MOD(Settings!$B$17*(C769),Settings!$B$18)</f>
        <v>1346104184</v>
      </c>
      <c r="D770" s="6">
        <f>MAX(C770,1)/Settings!$B$18</f>
        <v>0.62682860746366376</v>
      </c>
      <c r="E770" s="6">
        <f t="shared" si="25"/>
        <v>6</v>
      </c>
      <c r="F770" s="6">
        <f>ACE_Input!D50</f>
        <v>354</v>
      </c>
      <c r="G770" s="6">
        <f>MOD(Settings!$B$17*(G769),Settings!$B$18)</f>
        <v>1654684388</v>
      </c>
      <c r="H770" s="6">
        <f>MAX(G770,1)/Settings!$B$18</f>
        <v>0.77052246256290113</v>
      </c>
      <c r="I770" s="6">
        <f>-ACE_Input!W50*LN(H770)</f>
        <v>1.0427458856718801</v>
      </c>
      <c r="J770" s="6">
        <f>-ACE_Input!X50*LN(H770)</f>
        <v>3.1282376570156405</v>
      </c>
      <c r="K770" s="6">
        <f>ACE_Input!U50</f>
        <v>300</v>
      </c>
      <c r="L770" s="6">
        <f>K770*ACE_Input!V50</f>
        <v>75</v>
      </c>
    </row>
    <row r="771" spans="1:12" x14ac:dyDescent="0.2">
      <c r="A771">
        <f>7</f>
        <v>7</v>
      </c>
      <c r="B771">
        <f>ACE_Input!A51</f>
        <v>46</v>
      </c>
      <c r="C771" s="6">
        <f>MOD(Settings!$B$17*(C770),Settings!$B$18)</f>
        <v>232799343</v>
      </c>
      <c r="D771" s="6">
        <f>MAX(C771,1)/Settings!$B$18</f>
        <v>0.10840564179625625</v>
      </c>
      <c r="E771" s="6">
        <f t="shared" si="25"/>
        <v>5</v>
      </c>
      <c r="F771" s="6">
        <f>ACE_Input!D51</f>
        <v>359</v>
      </c>
      <c r="G771" s="6">
        <f>MOD(Settings!$B$17*(G770),Settings!$B$18)</f>
        <v>367280466</v>
      </c>
      <c r="H771" s="6">
        <f>MAX(G771,1)/Settings!$B$18</f>
        <v>0.17102829468018763</v>
      </c>
      <c r="I771" s="6">
        <f>-ACE_Input!W51*LN(H771)</f>
        <v>7.0637050808058026</v>
      </c>
      <c r="J771" s="6">
        <f>-ACE_Input!X51*LN(H771)</f>
        <v>21.191115242417407</v>
      </c>
      <c r="K771" s="6">
        <f>ACE_Input!U51</f>
        <v>300</v>
      </c>
      <c r="L771" s="6">
        <f>K771*ACE_Input!V51</f>
        <v>75</v>
      </c>
    </row>
    <row r="772" spans="1:12" x14ac:dyDescent="0.2">
      <c r="A772">
        <f>7</f>
        <v>7</v>
      </c>
      <c r="B772">
        <f>ACE_Input!A52</f>
        <v>47</v>
      </c>
      <c r="C772" s="6">
        <f>MOD(Settings!$B$17*(C771),Settings!$B$18)</f>
        <v>2090836614</v>
      </c>
      <c r="D772" s="6">
        <f>MAX(C772,1)/Settings!$B$18</f>
        <v>0.97362166967877262</v>
      </c>
      <c r="E772" s="6">
        <f t="shared" si="25"/>
        <v>5</v>
      </c>
      <c r="F772" s="6">
        <f>ACE_Input!D52</f>
        <v>364</v>
      </c>
      <c r="G772" s="6">
        <f>MOD(Settings!$B$17*(G771),Settings!$B$18)</f>
        <v>1014790584</v>
      </c>
      <c r="H772" s="6">
        <f>MAX(G772,1)/Settings!$B$18</f>
        <v>0.47254868991326016</v>
      </c>
      <c r="I772" s="6">
        <f>-ACE_Input!W52*LN(H772)</f>
        <v>2.9984579596875625</v>
      </c>
      <c r="J772" s="6">
        <f>-ACE_Input!X52*LN(H772)</f>
        <v>8.9953738790626865</v>
      </c>
      <c r="K772" s="6">
        <f>ACE_Input!U52</f>
        <v>300</v>
      </c>
      <c r="L772" s="6">
        <f>K772*ACE_Input!V52</f>
        <v>75</v>
      </c>
    </row>
    <row r="773" spans="1:12" x14ac:dyDescent="0.2">
      <c r="A773">
        <f>7</f>
        <v>7</v>
      </c>
      <c r="B773">
        <f>ACE_Input!A53</f>
        <v>48</v>
      </c>
      <c r="C773" s="6">
        <f>MOD(Settings!$B$17*(C772),Settings!$B$18)</f>
        <v>1416055637</v>
      </c>
      <c r="D773" s="6">
        <f>MAX(C773,1)/Settings!$B$18</f>
        <v>0.65940229113185889</v>
      </c>
      <c r="E773" s="6">
        <f t="shared" si="25"/>
        <v>5</v>
      </c>
      <c r="F773" s="6">
        <f>ACE_Input!D53</f>
        <v>369</v>
      </c>
      <c r="G773" s="6">
        <f>MOD(Settings!$B$17*(G772),Settings!$B$18)</f>
        <v>270220814</v>
      </c>
      <c r="H773" s="6">
        <f>MAX(G773,1)/Settings!$B$18</f>
        <v>0.12583137216317997</v>
      </c>
      <c r="I773" s="6">
        <f>-ACE_Input!W53*LN(H773)</f>
        <v>8.2912503381631772</v>
      </c>
      <c r="J773" s="6">
        <f>-ACE_Input!X53*LN(H773)</f>
        <v>24.873751014489532</v>
      </c>
      <c r="K773" s="6">
        <f>ACE_Input!U53</f>
        <v>300</v>
      </c>
      <c r="L773" s="6">
        <f>K773*ACE_Input!V53</f>
        <v>75</v>
      </c>
    </row>
    <row r="774" spans="1:12" x14ac:dyDescent="0.2">
      <c r="A774">
        <f>7</f>
        <v>7</v>
      </c>
      <c r="B774">
        <f>ACE_Input!A54</f>
        <v>49</v>
      </c>
      <c r="C774" s="6">
        <f>MOD(Settings!$B$17*(C773),Settings!$B$18)</f>
        <v>1233315005</v>
      </c>
      <c r="D774" s="6">
        <f>MAX(C774,1)/Settings!$B$18</f>
        <v>0.5743070531516834</v>
      </c>
      <c r="E774" s="6">
        <f t="shared" si="25"/>
        <v>5</v>
      </c>
      <c r="F774" s="6">
        <f>ACE_Input!D54</f>
        <v>374</v>
      </c>
      <c r="G774" s="6">
        <f>MOD(Settings!$B$17*(G773),Settings!$B$18)</f>
        <v>1820791140</v>
      </c>
      <c r="H774" s="6">
        <f>MAX(G774,1)/Settings!$B$18</f>
        <v>0.84787194656574727</v>
      </c>
      <c r="I774" s="6">
        <f>-ACE_Input!W54*LN(H774)</f>
        <v>0.66010264400466589</v>
      </c>
      <c r="J774" s="6">
        <f>-ACE_Input!X54*LN(H774)</f>
        <v>1.9803079320139978</v>
      </c>
      <c r="K774" s="6">
        <f>ACE_Input!U54</f>
        <v>300</v>
      </c>
      <c r="L774" s="6">
        <f>K774*ACE_Input!V54</f>
        <v>75</v>
      </c>
    </row>
    <row r="775" spans="1:12" x14ac:dyDescent="0.2">
      <c r="A775">
        <f>7</f>
        <v>7</v>
      </c>
      <c r="B775">
        <f>ACE_Input!A55</f>
        <v>50</v>
      </c>
      <c r="C775" s="6">
        <f>MOD(Settings!$B$17*(C774),Settings!$B$18)</f>
        <v>813128191</v>
      </c>
      <c r="D775" s="6">
        <f>MAX(C775,1)/Settings!$B$18</f>
        <v>0.37864232034359235</v>
      </c>
      <c r="E775" s="6">
        <f t="shared" si="25"/>
        <v>5</v>
      </c>
      <c r="F775" s="6">
        <f>ACE_Input!D55</f>
        <v>379</v>
      </c>
      <c r="G775" s="6">
        <f>MOD(Settings!$B$17*(G774),Settings!$B$18)</f>
        <v>394720230</v>
      </c>
      <c r="H775" s="6">
        <f>MAX(G775,1)/Settings!$B$18</f>
        <v>0.18380593051379823</v>
      </c>
      <c r="I775" s="6">
        <f>-ACE_Input!W55*LN(H775)</f>
        <v>6.7754992138238563</v>
      </c>
      <c r="J775" s="6">
        <f>-ACE_Input!X55*LN(H775)</f>
        <v>20.326497641471569</v>
      </c>
      <c r="K775" s="6">
        <f>ACE_Input!U55</f>
        <v>300</v>
      </c>
      <c r="L775" s="6">
        <f>K775*ACE_Input!V55</f>
        <v>75</v>
      </c>
    </row>
    <row r="776" spans="1:12" x14ac:dyDescent="0.2">
      <c r="A776">
        <f>7</f>
        <v>7</v>
      </c>
      <c r="B776">
        <f>ACE_Input!A56</f>
        <v>51</v>
      </c>
      <c r="C776" s="6">
        <f>MOD(Settings!$B$17*(C775),Settings!$B$18)</f>
        <v>1807060276</v>
      </c>
      <c r="D776" s="6">
        <f>MAX(C776,1)/Settings!$B$18</f>
        <v>0.84147801475668238</v>
      </c>
      <c r="E776" s="6">
        <f t="shared" si="25"/>
        <v>5</v>
      </c>
      <c r="F776" s="6">
        <f>ACE_Input!D56</f>
        <v>384</v>
      </c>
      <c r="G776" s="6">
        <f>MOD(Settings!$B$17*(G775),Settings!$B$18)</f>
        <v>485920027</v>
      </c>
      <c r="H776" s="6">
        <f>MAX(G776,1)/Settings!$B$18</f>
        <v>0.22627414540679852</v>
      </c>
      <c r="I776" s="6">
        <f>-ACE_Input!W56*LN(H776)</f>
        <v>5.9440319282649208</v>
      </c>
      <c r="J776" s="6">
        <f>-ACE_Input!X56*LN(H776)</f>
        <v>17.832095784794763</v>
      </c>
      <c r="K776" s="6">
        <f>ACE_Input!U56</f>
        <v>300</v>
      </c>
      <c r="L776" s="6">
        <f>K776*ACE_Input!V56</f>
        <v>75</v>
      </c>
    </row>
    <row r="777" spans="1:12" x14ac:dyDescent="0.2">
      <c r="A777">
        <f>7</f>
        <v>7</v>
      </c>
      <c r="B777">
        <f>ACE_Input!A57</f>
        <v>52</v>
      </c>
      <c r="C777" s="6">
        <f>MOD(Settings!$B$17*(C776),Settings!$B$18)</f>
        <v>1548322858</v>
      </c>
      <c r="D777" s="6">
        <f>MAX(C777,1)/Settings!$B$18</f>
        <v>0.72099401556001697</v>
      </c>
      <c r="E777" s="6">
        <f t="shared" si="25"/>
        <v>5</v>
      </c>
      <c r="F777" s="6">
        <f>ACE_Input!D57</f>
        <v>389</v>
      </c>
      <c r="G777" s="6">
        <f>MOD(Settings!$B$17*(G776),Settings!$B$18)</f>
        <v>2125067895</v>
      </c>
      <c r="H777" s="6">
        <f>MAX(G777,1)/Settings!$B$18</f>
        <v>0.9895618520628483</v>
      </c>
      <c r="I777" s="6">
        <f>-ACE_Input!W57*LN(H777)</f>
        <v>4.1972029968103605E-2</v>
      </c>
      <c r="J777" s="6">
        <f>-ACE_Input!X57*LN(H777)</f>
        <v>0.1259160899043108</v>
      </c>
      <c r="K777" s="6">
        <f>ACE_Input!U57</f>
        <v>300</v>
      </c>
      <c r="L777" s="6">
        <f>K777*ACE_Input!V57</f>
        <v>75</v>
      </c>
    </row>
    <row r="778" spans="1:12" x14ac:dyDescent="0.2">
      <c r="A778">
        <f>7</f>
        <v>7</v>
      </c>
      <c r="B778">
        <f>ACE_Input!A58</f>
        <v>53</v>
      </c>
      <c r="C778" s="6">
        <f>MOD(Settings!$B$17*(C777),Settings!$B$18)</f>
        <v>1602923707</v>
      </c>
      <c r="D778" s="6">
        <f>MAX(C778,1)/Settings!$B$18</f>
        <v>0.74641951720529209</v>
      </c>
      <c r="E778" s="6">
        <f t="shared" si="25"/>
        <v>5</v>
      </c>
      <c r="F778" s="6">
        <f>ACE_Input!D58</f>
        <v>394</v>
      </c>
      <c r="G778" s="6">
        <f>MOD(Settings!$B$17*(G777),Settings!$B$18)</f>
        <v>1215578008</v>
      </c>
      <c r="H778" s="6">
        <f>MAX(G778,1)/Settings!$B$18</f>
        <v>0.56604762029184386</v>
      </c>
      <c r="I778" s="6">
        <f>-ACE_Input!W58*LN(H778)</f>
        <v>2.2763082781073742</v>
      </c>
      <c r="J778" s="6">
        <f>-ACE_Input!X58*LN(H778)</f>
        <v>6.8289248343221232</v>
      </c>
      <c r="K778" s="6">
        <f>ACE_Input!U58</f>
        <v>300</v>
      </c>
      <c r="L778" s="6">
        <f>K778*ACE_Input!V58</f>
        <v>75</v>
      </c>
    </row>
    <row r="779" spans="1:12" x14ac:dyDescent="0.2">
      <c r="A779">
        <f>7</f>
        <v>7</v>
      </c>
      <c r="B779">
        <f>ACE_Input!A59</f>
        <v>54</v>
      </c>
      <c r="C779" s="6">
        <f>MOD(Settings!$B$17*(C778),Settings!$B$18)</f>
        <v>156391934</v>
      </c>
      <c r="D779" s="6">
        <f>MAX(C779,1)/Settings!$B$18</f>
        <v>7.2825669344899091E-2</v>
      </c>
      <c r="E779" s="6">
        <f t="shared" si="25"/>
        <v>5</v>
      </c>
      <c r="F779" s="6">
        <f>ACE_Input!D59</f>
        <v>399</v>
      </c>
      <c r="G779" s="6">
        <f>MOD(Settings!$B$17*(G778),Settings!$B$18)</f>
        <v>1207646545</v>
      </c>
      <c r="H779" s="6">
        <f>MAX(G779,1)/Settings!$B$18</f>
        <v>0.56235424501931031</v>
      </c>
      <c r="I779" s="6">
        <f>-ACE_Input!W59*LN(H779)</f>
        <v>2.3024931937864448</v>
      </c>
      <c r="J779" s="6">
        <f>-ACE_Input!X59*LN(H779)</f>
        <v>6.9074795813593344</v>
      </c>
      <c r="K779" s="6">
        <f>ACE_Input!U59</f>
        <v>300</v>
      </c>
      <c r="L779" s="6">
        <f>K779*ACE_Input!V59</f>
        <v>75</v>
      </c>
    </row>
    <row r="780" spans="1:12" x14ac:dyDescent="0.2">
      <c r="A780">
        <f>7</f>
        <v>7</v>
      </c>
      <c r="B780">
        <f>ACE_Input!A60</f>
        <v>55</v>
      </c>
      <c r="C780" s="6">
        <f>MOD(Settings!$B$17*(C779),Settings!$B$18)</f>
        <v>2106734457</v>
      </c>
      <c r="D780" s="6">
        <f>MAX(C780,1)/Settings!$B$18</f>
        <v>0.9810246797190163</v>
      </c>
      <c r="E780" s="6">
        <f t="shared" si="25"/>
        <v>5</v>
      </c>
      <c r="F780" s="6">
        <f>ACE_Input!D60</f>
        <v>404</v>
      </c>
      <c r="G780" s="6">
        <f>MOD(Settings!$B$17*(G779),Settings!$B$18)</f>
        <v>1047534018</v>
      </c>
      <c r="H780" s="6">
        <f>MAX(G780,1)/Settings!$B$18</f>
        <v>0.48779603954767625</v>
      </c>
      <c r="I780" s="6">
        <f>-ACE_Input!W60*LN(H780)</f>
        <v>2.8714316489669209</v>
      </c>
      <c r="J780" s="6">
        <f>-ACE_Input!X60*LN(H780)</f>
        <v>8.6142949469007633</v>
      </c>
      <c r="K780" s="6">
        <f>ACE_Input!U60</f>
        <v>300</v>
      </c>
      <c r="L780" s="6">
        <f>K780*ACE_Input!V60</f>
        <v>75</v>
      </c>
    </row>
    <row r="781" spans="1:12" x14ac:dyDescent="0.2">
      <c r="A781">
        <f>7</f>
        <v>7</v>
      </c>
      <c r="B781">
        <f>ACE_Input!A61</f>
        <v>56</v>
      </c>
      <c r="C781" s="6">
        <f>MOD(Settings!$B$17*(C780),Settings!$B$18)</f>
        <v>175647063</v>
      </c>
      <c r="D781" s="6">
        <f>MAX(C781,1)/Settings!$B$18</f>
        <v>8.1792037506490958E-2</v>
      </c>
      <c r="E781" s="6">
        <f t="shared" si="25"/>
        <v>5</v>
      </c>
      <c r="F781" s="6">
        <f>ACE_Input!D61</f>
        <v>409</v>
      </c>
      <c r="G781" s="6">
        <f>MOD(Settings!$B$17*(G780),Settings!$B$18)</f>
        <v>833302420</v>
      </c>
      <c r="H781" s="6">
        <f>MAX(G781,1)/Settings!$B$18</f>
        <v>0.38803667779454809</v>
      </c>
      <c r="I781" s="6">
        <f>-ACE_Input!W61*LN(H781)</f>
        <v>3.7866216537130413</v>
      </c>
      <c r="J781" s="6">
        <f>-ACE_Input!X61*LN(H781)</f>
        <v>11.359864961139124</v>
      </c>
      <c r="K781" s="6">
        <f>ACE_Input!U61</f>
        <v>300</v>
      </c>
      <c r="L781" s="6">
        <f>K781*ACE_Input!V61</f>
        <v>75</v>
      </c>
    </row>
    <row r="782" spans="1:12" x14ac:dyDescent="0.2">
      <c r="A782">
        <f>7</f>
        <v>7</v>
      </c>
      <c r="B782">
        <f>ACE_Input!A62</f>
        <v>57</v>
      </c>
      <c r="C782" s="6">
        <f>MOD(Settings!$B$17*(C781),Settings!$B$18)</f>
        <v>1457656863</v>
      </c>
      <c r="D782" s="6">
        <f>MAX(C782,1)/Settings!$B$18</f>
        <v>0.67877437159361986</v>
      </c>
      <c r="E782" s="6">
        <f t="shared" si="25"/>
        <v>5</v>
      </c>
      <c r="F782" s="6">
        <f>ACE_Input!D62</f>
        <v>414</v>
      </c>
      <c r="G782" s="6">
        <f>MOD(Settings!$B$17*(G781),Settings!$B$18)</f>
        <v>1572910853</v>
      </c>
      <c r="H782" s="6">
        <f>MAX(G782,1)/Settings!$B$18</f>
        <v>0.73244369296936496</v>
      </c>
      <c r="I782" s="6">
        <f>-ACE_Input!W62*LN(H782)</f>
        <v>1.2454752428477394</v>
      </c>
      <c r="J782" s="6">
        <f>-ACE_Input!X62*LN(H782)</f>
        <v>3.7364257285432183</v>
      </c>
      <c r="K782" s="6">
        <f>ACE_Input!U62</f>
        <v>300</v>
      </c>
      <c r="L782" s="6">
        <f>K782*ACE_Input!V62</f>
        <v>75</v>
      </c>
    </row>
    <row r="783" spans="1:12" x14ac:dyDescent="0.2">
      <c r="A783">
        <f>7</f>
        <v>7</v>
      </c>
      <c r="B783">
        <f>ACE_Input!A63</f>
        <v>58</v>
      </c>
      <c r="C783" s="6">
        <f>MOD(Settings!$B$17*(C782),Settings!$B$18)</f>
        <v>345451465</v>
      </c>
      <c r="D783" s="6">
        <f>MAX(C783,1)/Settings!$B$18</f>
        <v>0.16086337396915229</v>
      </c>
      <c r="E783" s="6">
        <f t="shared" si="25"/>
        <v>5</v>
      </c>
      <c r="F783" s="6">
        <f>ACE_Input!D63</f>
        <v>419</v>
      </c>
      <c r="G783" s="6">
        <f>MOD(Settings!$B$17*(G782),Settings!$B$18)</f>
        <v>389011801</v>
      </c>
      <c r="H783" s="6">
        <f>MAX(G783,1)/Settings!$B$18</f>
        <v>0.18114773611591559</v>
      </c>
      <c r="I783" s="6">
        <f>-ACE_Input!W63*LN(H783)</f>
        <v>6.8337694360365902</v>
      </c>
      <c r="J783" s="6">
        <f>-ACE_Input!X63*LN(H783)</f>
        <v>20.50130830810977</v>
      </c>
      <c r="K783" s="6">
        <f>ACE_Input!U63</f>
        <v>300</v>
      </c>
      <c r="L783" s="6">
        <f>K783*ACE_Input!V63</f>
        <v>75</v>
      </c>
    </row>
    <row r="784" spans="1:12" x14ac:dyDescent="0.2">
      <c r="A784">
        <f>7</f>
        <v>7</v>
      </c>
      <c r="B784">
        <f>ACE_Input!A64</f>
        <v>59</v>
      </c>
      <c r="C784" s="6">
        <f>MOD(Settings!$B$17*(C783),Settings!$B$18)</f>
        <v>1354474414</v>
      </c>
      <c r="D784" s="6">
        <f>MAX(C784,1)/Settings!$B$18</f>
        <v>0.63072629954234061</v>
      </c>
      <c r="E784" s="6">
        <f t="shared" si="25"/>
        <v>5</v>
      </c>
      <c r="F784" s="6">
        <f>ACE_Input!D64</f>
        <v>424</v>
      </c>
      <c r="G784" s="6">
        <f>MOD(Settings!$B$17*(G783),Settings!$B$18)</f>
        <v>1181117939</v>
      </c>
      <c r="H784" s="6">
        <f>MAX(G784,1)/Settings!$B$18</f>
        <v>0.55000090019311798</v>
      </c>
      <c r="I784" s="6">
        <f>-ACE_Input!W64*LN(H784)</f>
        <v>2.3913414561687998</v>
      </c>
      <c r="J784" s="6">
        <f>-ACE_Input!X64*LN(H784)</f>
        <v>7.1740243685063998</v>
      </c>
      <c r="K784" s="6">
        <f>ACE_Input!U64</f>
        <v>300</v>
      </c>
      <c r="L784" s="6">
        <f>K784*ACE_Input!V64</f>
        <v>75</v>
      </c>
    </row>
    <row r="785" spans="1:12" x14ac:dyDescent="0.2">
      <c r="A785">
        <f>7</f>
        <v>7</v>
      </c>
      <c r="B785">
        <f>ACE_Input!A65</f>
        <v>60</v>
      </c>
      <c r="C785" s="6">
        <f>MOD(Settings!$B$17*(C784),Settings!$B$18)</f>
        <v>1324817898</v>
      </c>
      <c r="D785" s="6">
        <f>MAX(C785,1)/Settings!$B$18</f>
        <v>0.6169164081182873</v>
      </c>
      <c r="E785" s="6">
        <f t="shared" si="25"/>
        <v>5</v>
      </c>
      <c r="F785" s="6">
        <f>ACE_Input!D65</f>
        <v>429</v>
      </c>
      <c r="G785" s="6">
        <f>MOD(Settings!$B$17*(G784),Settings!$B$18)</f>
        <v>1857851552</v>
      </c>
      <c r="H785" s="6">
        <f>MAX(G785,1)/Settings!$B$18</f>
        <v>0.86512954573385858</v>
      </c>
      <c r="I785" s="6">
        <f>-ACE_Input!W65*LN(H785)</f>
        <v>0.57950407763828959</v>
      </c>
      <c r="J785" s="6">
        <f>-ACE_Input!X65*LN(H785)</f>
        <v>1.7385122329148688</v>
      </c>
      <c r="K785" s="6">
        <f>ACE_Input!U65</f>
        <v>300</v>
      </c>
      <c r="L785" s="6">
        <f>K785*ACE_Input!V65</f>
        <v>75</v>
      </c>
    </row>
    <row r="786" spans="1:12" x14ac:dyDescent="0.2">
      <c r="A786">
        <f>7</f>
        <v>7</v>
      </c>
      <c r="B786">
        <f>ACE_Input!A66</f>
        <v>61</v>
      </c>
      <c r="C786" s="6">
        <f>MOD(Settings!$B$17*(C785),Settings!$B$18)</f>
        <v>1103959590</v>
      </c>
      <c r="D786" s="6">
        <f>MAX(C786,1)/Settings!$B$18</f>
        <v>0.5140712440545071</v>
      </c>
      <c r="E786" s="6">
        <f t="shared" si="25"/>
        <v>5</v>
      </c>
      <c r="F786" s="6">
        <f>ACE_Input!D66</f>
        <v>434</v>
      </c>
      <c r="G786" s="6">
        <f>MOD(Settings!$B$17*(G785),Settings!$B$18)</f>
        <v>498807084</v>
      </c>
      <c r="H786" s="6">
        <f>MAX(G786,1)/Settings!$B$18</f>
        <v>0.23227514896182117</v>
      </c>
      <c r="I786" s="6">
        <f>-ACE_Input!W66*LN(H786)</f>
        <v>5.83933049255333</v>
      </c>
      <c r="J786" s="6">
        <f>-ACE_Input!X66*LN(H786)</f>
        <v>17.51799147765999</v>
      </c>
      <c r="K786" s="6">
        <f>ACE_Input!U66</f>
        <v>300</v>
      </c>
      <c r="L786" s="6">
        <f>K786*ACE_Input!V66</f>
        <v>75</v>
      </c>
    </row>
    <row r="787" spans="1:12" x14ac:dyDescent="0.2">
      <c r="A787">
        <f>7</f>
        <v>7</v>
      </c>
      <c r="B787">
        <f>ACE_Input!A67</f>
        <v>62</v>
      </c>
      <c r="C787" s="6">
        <f>MOD(Settings!$B$17*(C786),Settings!$B$18)</f>
        <v>2137602697</v>
      </c>
      <c r="D787" s="6">
        <f>MAX(C787,1)/Settings!$B$18</f>
        <v>0.99539882410103397</v>
      </c>
      <c r="E787" s="6">
        <f t="shared" si="25"/>
        <v>5</v>
      </c>
      <c r="F787" s="6">
        <f>ACE_Input!D67</f>
        <v>439</v>
      </c>
      <c r="G787" s="6">
        <f>MOD(Settings!$B$17*(G786),Settings!$B$18)</f>
        <v>1821986547</v>
      </c>
      <c r="H787" s="6">
        <f>MAX(G787,1)/Settings!$B$18</f>
        <v>0.84842860132848308</v>
      </c>
      <c r="I787" s="6">
        <f>-ACE_Input!W67*LN(H787)</f>
        <v>0.65747737912028692</v>
      </c>
      <c r="J787" s="6">
        <f>-ACE_Input!X67*LN(H787)</f>
        <v>1.9724321373608609</v>
      </c>
      <c r="K787" s="6">
        <f>ACE_Input!U67</f>
        <v>300</v>
      </c>
      <c r="L787" s="6">
        <f>K787*ACE_Input!V67</f>
        <v>75</v>
      </c>
    </row>
    <row r="788" spans="1:12" x14ac:dyDescent="0.2">
      <c r="A788">
        <f>7</f>
        <v>7</v>
      </c>
      <c r="B788">
        <f>ACE_Input!A68</f>
        <v>63</v>
      </c>
      <c r="C788" s="6">
        <f>MOD(Settings!$B$17*(C787),Settings!$B$18)</f>
        <v>1434597816</v>
      </c>
      <c r="D788" s="6">
        <f>MAX(C788,1)/Settings!$B$18</f>
        <v>0.66803666607851009</v>
      </c>
      <c r="E788" s="6">
        <f t="shared" si="25"/>
        <v>5</v>
      </c>
      <c r="F788" s="6">
        <f>ACE_Input!D68</f>
        <v>444</v>
      </c>
      <c r="G788" s="6">
        <f>MOD(Settings!$B$17*(G787),Settings!$B$18)</f>
        <v>1158572856</v>
      </c>
      <c r="H788" s="6">
        <f>MAX(G788,1)/Settings!$B$18</f>
        <v>0.53950252781598951</v>
      </c>
      <c r="I788" s="6">
        <f>-ACE_Input!W68*LN(H788)</f>
        <v>2.4684312352631865</v>
      </c>
      <c r="J788" s="6">
        <f>-ACE_Input!X68*LN(H788)</f>
        <v>7.4052937057895596</v>
      </c>
      <c r="K788" s="6">
        <f>ACE_Input!U68</f>
        <v>300</v>
      </c>
      <c r="L788" s="6">
        <f>K788*ACE_Input!V68</f>
        <v>75</v>
      </c>
    </row>
    <row r="789" spans="1:12" x14ac:dyDescent="0.2">
      <c r="A789">
        <f>7</f>
        <v>7</v>
      </c>
      <c r="B789">
        <f>ACE_Input!A69</f>
        <v>64</v>
      </c>
      <c r="C789" s="6">
        <f>MOD(Settings!$B$17*(C788),Settings!$B$18)</f>
        <v>1486588643</v>
      </c>
      <c r="D789" s="6">
        <f>MAX(C789,1)/Settings!$B$18</f>
        <v>0.6922467815187977</v>
      </c>
      <c r="E789" s="6">
        <f t="shared" si="25"/>
        <v>5</v>
      </c>
      <c r="F789" s="6">
        <f>ACE_Input!D69</f>
        <v>449</v>
      </c>
      <c r="G789" s="6">
        <f>MOD(Settings!$B$17*(G788),Settings!$B$18)</f>
        <v>899763443</v>
      </c>
      <c r="H789" s="6">
        <f>MAX(G789,1)/Settings!$B$18</f>
        <v>0.41898500333492877</v>
      </c>
      <c r="I789" s="6">
        <f>-ACE_Input!W69*LN(H789)</f>
        <v>3.4796806050557936</v>
      </c>
      <c r="J789" s="6">
        <f>-ACE_Input!X69*LN(H789)</f>
        <v>10.43904181516738</v>
      </c>
      <c r="K789" s="6">
        <f>ACE_Input!U69</f>
        <v>300</v>
      </c>
      <c r="L789" s="6">
        <f>K789*ACE_Input!V69</f>
        <v>75</v>
      </c>
    </row>
    <row r="790" spans="1:12" x14ac:dyDescent="0.2">
      <c r="A790">
        <f>7</f>
        <v>7</v>
      </c>
      <c r="B790">
        <f>ACE_Input!A70</f>
        <v>65</v>
      </c>
      <c r="C790" s="6">
        <f>MOD(Settings!$B$17*(C789),Settings!$B$18)</f>
        <v>1270573703</v>
      </c>
      <c r="D790" s="6">
        <f>MAX(C790,1)/Settings!$B$18</f>
        <v>0.59165698643385289</v>
      </c>
      <c r="E790" s="6">
        <f t="shared" si="25"/>
        <v>5</v>
      </c>
      <c r="F790" s="6">
        <f>ACE_Input!D70</f>
        <v>454</v>
      </c>
      <c r="G790" s="6">
        <f>MOD(Settings!$B$17*(G789),Settings!$B$18)</f>
        <v>1891827974</v>
      </c>
      <c r="H790" s="6">
        <f>MAX(G790,1)/Settings!$B$18</f>
        <v>0.88095105014785713</v>
      </c>
      <c r="I790" s="6">
        <f>-ACE_Input!W70*LN(H790)</f>
        <v>0.50701286513303145</v>
      </c>
      <c r="J790" s="6">
        <f>-ACE_Input!X70*LN(H790)</f>
        <v>1.5210385953990944</v>
      </c>
      <c r="K790" s="6">
        <f>ACE_Input!U70</f>
        <v>300</v>
      </c>
      <c r="L790" s="6">
        <f>K790*ACE_Input!V70</f>
        <v>75</v>
      </c>
    </row>
    <row r="791" spans="1:12" x14ac:dyDescent="0.2">
      <c r="A791">
        <f>7</f>
        <v>7</v>
      </c>
      <c r="B791">
        <f>ACE_Input!A71</f>
        <v>66</v>
      </c>
      <c r="C791" s="6">
        <f>MOD(Settings!$B$17*(C790),Settings!$B$18)</f>
        <v>2102324200</v>
      </c>
      <c r="D791" s="6">
        <f>MAX(C791,1)/Settings!$B$18</f>
        <v>0.97897099376608199</v>
      </c>
      <c r="E791" s="6">
        <f t="shared" ref="E791:E822" si="26">F791-F790</f>
        <v>5</v>
      </c>
      <c r="F791" s="6">
        <f>ACE_Input!D71</f>
        <v>459</v>
      </c>
      <c r="G791" s="6">
        <f>MOD(Settings!$B$17*(G790),Settings!$B$18)</f>
        <v>309881536</v>
      </c>
      <c r="H791" s="6">
        <f>MAX(G791,1)/Settings!$B$18</f>
        <v>0.14429983503385441</v>
      </c>
      <c r="I791" s="6">
        <f>-ACE_Input!W71*LN(H791)</f>
        <v>7.7434478256779897</v>
      </c>
      <c r="J791" s="6">
        <f>-ACE_Input!X71*LN(H791)</f>
        <v>23.230343477033969</v>
      </c>
      <c r="K791" s="6">
        <f>ACE_Input!U71</f>
        <v>300</v>
      </c>
      <c r="L791" s="6">
        <f>K791*ACE_Input!V71</f>
        <v>75</v>
      </c>
    </row>
    <row r="792" spans="1:12" x14ac:dyDescent="0.2">
      <c r="A792">
        <f>7</f>
        <v>7</v>
      </c>
      <c r="B792">
        <f>ACE_Input!A72</f>
        <v>67</v>
      </c>
      <c r="C792" s="6">
        <f>MOD(Settings!$B$17*(C791),Settings!$B$18)</f>
        <v>1214385309</v>
      </c>
      <c r="D792" s="6">
        <f>MAX(C792,1)/Settings!$B$18</f>
        <v>0.56549222653987452</v>
      </c>
      <c r="E792" s="6">
        <f t="shared" si="26"/>
        <v>15</v>
      </c>
      <c r="F792" s="6">
        <f>ACE_Input!D72</f>
        <v>474</v>
      </c>
      <c r="G792" s="6">
        <f>MOD(Settings!$B$17*(G791),Settings!$B$18)</f>
        <v>531131577</v>
      </c>
      <c r="H792" s="6">
        <f>MAX(G792,1)/Settings!$B$18</f>
        <v>0.24732741399078043</v>
      </c>
      <c r="I792" s="6">
        <f>-ACE_Input!W72*LN(H792)</f>
        <v>5.5881690296843516</v>
      </c>
      <c r="J792" s="6">
        <f>-ACE_Input!X72*LN(H792)</f>
        <v>16.764507089053055</v>
      </c>
      <c r="K792" s="6">
        <f>ACE_Input!U72</f>
        <v>300</v>
      </c>
      <c r="L792" s="6">
        <f>K792*ACE_Input!V72</f>
        <v>75</v>
      </c>
    </row>
    <row r="793" spans="1:12" x14ac:dyDescent="0.2">
      <c r="A793">
        <f>7</f>
        <v>7</v>
      </c>
      <c r="B793">
        <f>ACE_Input!A73</f>
        <v>68</v>
      </c>
      <c r="C793" s="6">
        <f>MOD(Settings!$B$17*(C792),Settings!$B$18)</f>
        <v>489307275</v>
      </c>
      <c r="D793" s="6">
        <f>MAX(C793,1)/Settings!$B$18</f>
        <v>0.22785145567164358</v>
      </c>
      <c r="E793" s="6">
        <f t="shared" si="26"/>
        <v>5</v>
      </c>
      <c r="F793" s="6">
        <f>ACE_Input!D73</f>
        <v>479</v>
      </c>
      <c r="G793" s="6">
        <f>MOD(Settings!$B$17*(G792),Settings!$B$18)</f>
        <v>1786377707</v>
      </c>
      <c r="H793" s="6">
        <f>MAX(G793,1)/Settings!$B$18</f>
        <v>0.83184694304682638</v>
      </c>
      <c r="I793" s="6">
        <f>-ACE_Input!W73*LN(H793)</f>
        <v>0.73642727107296579</v>
      </c>
      <c r="J793" s="6">
        <f>-ACE_Input!X73*LN(H793)</f>
        <v>2.2092818132188974</v>
      </c>
      <c r="K793" s="6">
        <f>ACE_Input!U73</f>
        <v>300</v>
      </c>
      <c r="L793" s="6">
        <f>K793*ACE_Input!V73</f>
        <v>75</v>
      </c>
    </row>
    <row r="794" spans="1:12" x14ac:dyDescent="0.2">
      <c r="A794">
        <f>7</f>
        <v>7</v>
      </c>
      <c r="B794">
        <f>ACE_Input!A74</f>
        <v>69</v>
      </c>
      <c r="C794" s="6">
        <f>MOD(Settings!$B$17*(C793),Settings!$B$18)</f>
        <v>1072486562</v>
      </c>
      <c r="D794" s="6">
        <f>MAX(C794,1)/Settings!$B$18</f>
        <v>0.49941547331372999</v>
      </c>
      <c r="E794" s="6">
        <f t="shared" si="26"/>
        <v>15</v>
      </c>
      <c r="F794" s="6">
        <f>ACE_Input!D74</f>
        <v>494</v>
      </c>
      <c r="G794" s="6">
        <f>MOD(Settings!$B$17*(G793),Settings!$B$18)</f>
        <v>1828736489</v>
      </c>
      <c r="H794" s="6">
        <f>MAX(G794,1)/Settings!$B$18</f>
        <v>0.85157178801091937</v>
      </c>
      <c r="I794" s="6">
        <f>-ACE_Input!W74*LN(H794)</f>
        <v>0.64268589891183014</v>
      </c>
      <c r="J794" s="6">
        <f>-ACE_Input!X74*LN(H794)</f>
        <v>1.9280576967354905</v>
      </c>
      <c r="K794" s="6">
        <f>ACE_Input!U74</f>
        <v>300</v>
      </c>
      <c r="L794" s="6">
        <f>K794*ACE_Input!V74</f>
        <v>75</v>
      </c>
    </row>
    <row r="795" spans="1:12" x14ac:dyDescent="0.2">
      <c r="A795">
        <f>7</f>
        <v>7</v>
      </c>
      <c r="B795">
        <f>ACE_Input!A75</f>
        <v>70</v>
      </c>
      <c r="C795" s="6">
        <f>MOD(Settings!$B$17*(C794),Settings!$B$18)</f>
        <v>1451398263</v>
      </c>
      <c r="D795" s="6">
        <f>MAX(C795,1)/Settings!$B$18</f>
        <v>0.67585998385951851</v>
      </c>
      <c r="E795" s="6">
        <f t="shared" si="26"/>
        <v>5</v>
      </c>
      <c r="F795" s="6">
        <f>ACE_Input!D75</f>
        <v>499</v>
      </c>
      <c r="G795" s="6">
        <f>MOD(Settings!$B$17*(G794),Settings!$B$18)</f>
        <v>788214759</v>
      </c>
      <c r="H795" s="6">
        <f>MAX(G795,1)/Settings!$B$18</f>
        <v>0.36704109952181629</v>
      </c>
      <c r="I795" s="6">
        <f>-ACE_Input!W75*LN(H795)</f>
        <v>4.0091257975994701</v>
      </c>
      <c r="J795" s="6">
        <f>-ACE_Input!X75*LN(H795)</f>
        <v>12.02737739279841</v>
      </c>
      <c r="K795" s="6">
        <f>ACE_Input!U75</f>
        <v>300</v>
      </c>
      <c r="L795" s="6">
        <f>K795*ACE_Input!V75</f>
        <v>75</v>
      </c>
    </row>
    <row r="796" spans="1:12" x14ac:dyDescent="0.2">
      <c r="A796">
        <f>7</f>
        <v>7</v>
      </c>
      <c r="B796">
        <f>ACE_Input!A76</f>
        <v>71</v>
      </c>
      <c r="C796" s="6">
        <f>MOD(Settings!$B$17*(C795),Settings!$B$18)</f>
        <v>383859968</v>
      </c>
      <c r="D796" s="6">
        <f>MAX(C796,1)/Settings!$B$18</f>
        <v>0.17874872692802396</v>
      </c>
      <c r="E796" s="6">
        <f t="shared" si="26"/>
        <v>5</v>
      </c>
      <c r="F796" s="6">
        <f>ACE_Input!D76</f>
        <v>504</v>
      </c>
      <c r="G796" s="6">
        <f>MOD(Settings!$B$17*(G795),Settings!$B$18)</f>
        <v>1846319817</v>
      </c>
      <c r="H796" s="6">
        <f>MAX(G796,1)/Settings!$B$18</f>
        <v>0.85975966316636632</v>
      </c>
      <c r="I796" s="6">
        <f>-ACE_Input!W76*LN(H796)</f>
        <v>0.60440956090265918</v>
      </c>
      <c r="J796" s="6">
        <f>-ACE_Input!X76*LN(H796)</f>
        <v>1.8132286827079775</v>
      </c>
      <c r="K796" s="6">
        <f>ACE_Input!U76</f>
        <v>300</v>
      </c>
      <c r="L796" s="6">
        <f>K796*ACE_Input!V76</f>
        <v>75</v>
      </c>
    </row>
    <row r="797" spans="1:12" x14ac:dyDescent="0.2">
      <c r="A797">
        <f>7</f>
        <v>7</v>
      </c>
      <c r="B797">
        <f>ACE_Input!A77</f>
        <v>72</v>
      </c>
      <c r="C797" s="6">
        <f>MOD(Settings!$B$17*(C796),Settings!$B$18)</f>
        <v>493606588</v>
      </c>
      <c r="D797" s="6">
        <f>MAX(C797,1)/Settings!$B$18</f>
        <v>0.22985347929869474</v>
      </c>
      <c r="E797" s="6">
        <f t="shared" si="26"/>
        <v>5</v>
      </c>
      <c r="F797" s="6">
        <f>ACE_Input!D77</f>
        <v>509</v>
      </c>
      <c r="G797" s="6">
        <f>MOD(Settings!$B$17*(G796),Settings!$B$18)</f>
        <v>2105948816</v>
      </c>
      <c r="H797" s="6">
        <f>MAX(G797,1)/Settings!$B$18</f>
        <v>0.98065883711942414</v>
      </c>
      <c r="I797" s="6">
        <f>-ACE_Input!W77*LN(H797)</f>
        <v>7.812260169372022E-2</v>
      </c>
      <c r="J797" s="6">
        <f>-ACE_Input!X77*LN(H797)</f>
        <v>0.23436780508116067</v>
      </c>
      <c r="K797" s="6">
        <f>ACE_Input!U77</f>
        <v>300</v>
      </c>
      <c r="L797" s="6">
        <f>K797*ACE_Input!V77</f>
        <v>75</v>
      </c>
    </row>
    <row r="798" spans="1:12" x14ac:dyDescent="0.2">
      <c r="A798">
        <f>7</f>
        <v>7</v>
      </c>
      <c r="B798">
        <f>ACE_Input!A78</f>
        <v>73</v>
      </c>
      <c r="C798" s="6">
        <f>MOD(Settings!$B$17*(C797),Settings!$B$18)</f>
        <v>316596155</v>
      </c>
      <c r="D798" s="6">
        <f>MAX(C798,1)/Settings!$B$18</f>
        <v>0.14742657316263139</v>
      </c>
      <c r="E798" s="6">
        <f t="shared" si="26"/>
        <v>5</v>
      </c>
      <c r="F798" s="6">
        <f>ACE_Input!D78</f>
        <v>514</v>
      </c>
      <c r="G798" s="6">
        <f>MOD(Settings!$B$17*(G797),Settings!$B$18)</f>
        <v>2003764305</v>
      </c>
      <c r="H798" s="6">
        <f>MAX(G798,1)/Settings!$B$18</f>
        <v>0.93307546616209458</v>
      </c>
      <c r="I798" s="6">
        <f>-ACE_Input!W78*LN(H798)</f>
        <v>0.27707678366371569</v>
      </c>
      <c r="J798" s="6">
        <f>-ACE_Input!X78*LN(H798)</f>
        <v>0.83123035099114706</v>
      </c>
      <c r="K798" s="6">
        <f>ACE_Input!U78</f>
        <v>300</v>
      </c>
      <c r="L798" s="6">
        <f>K798*ACE_Input!V78</f>
        <v>75</v>
      </c>
    </row>
    <row r="799" spans="1:12" x14ac:dyDescent="0.2">
      <c r="A799">
        <f>7</f>
        <v>7</v>
      </c>
      <c r="B799">
        <f>ACE_Input!A79</f>
        <v>74</v>
      </c>
      <c r="C799" s="6">
        <f>MOD(Settings!$B$17*(C798),Settings!$B$18)</f>
        <v>1714583466</v>
      </c>
      <c r="D799" s="6">
        <f>MAX(C799,1)/Settings!$B$18</f>
        <v>0.79841514434591643</v>
      </c>
      <c r="E799" s="6">
        <f t="shared" si="26"/>
        <v>5</v>
      </c>
      <c r="F799" s="6">
        <f>ACE_Input!D79</f>
        <v>519</v>
      </c>
      <c r="G799" s="6">
        <f>MOD(Settings!$B$17*(G798),Settings!$B$18)</f>
        <v>428121881</v>
      </c>
      <c r="H799" s="6">
        <f>MAX(G799,1)/Settings!$B$18</f>
        <v>0.19935978632390489</v>
      </c>
      <c r="I799" s="6">
        <f>-ACE_Input!W79*LN(H799)</f>
        <v>6.450576460775566</v>
      </c>
      <c r="J799" s="6">
        <f>-ACE_Input!X79*LN(H799)</f>
        <v>19.351729382326699</v>
      </c>
      <c r="K799" s="6">
        <f>ACE_Input!U79</f>
        <v>300</v>
      </c>
      <c r="L799" s="6">
        <f>K799*ACE_Input!V79</f>
        <v>75</v>
      </c>
    </row>
    <row r="800" spans="1:12" x14ac:dyDescent="0.2">
      <c r="A800">
        <f>7</f>
        <v>7</v>
      </c>
      <c r="B800">
        <f>ACE_Input!A80</f>
        <v>75</v>
      </c>
      <c r="C800" s="6">
        <f>MOD(Settings!$B$17*(C799),Settings!$B$18)</f>
        <v>2068737616</v>
      </c>
      <c r="D800" s="6">
        <f>MAX(C800,1)/Settings!$B$18</f>
        <v>0.96333102181708952</v>
      </c>
      <c r="E800" s="6">
        <f t="shared" si="26"/>
        <v>5</v>
      </c>
      <c r="F800" s="6">
        <f>ACE_Input!D80</f>
        <v>524</v>
      </c>
      <c r="G800" s="6">
        <f>MOD(Settings!$B$17*(G799),Settings!$B$18)</f>
        <v>1374236517</v>
      </c>
      <c r="H800" s="6">
        <f>MAX(G800,1)/Settings!$B$18</f>
        <v>0.63992874586951398</v>
      </c>
      <c r="I800" s="6">
        <f>-ACE_Input!W80*LN(H800)</f>
        <v>1.7855937736218328</v>
      </c>
      <c r="J800" s="6">
        <f>-ACE_Input!X80*LN(H800)</f>
        <v>5.3567813208654984</v>
      </c>
      <c r="K800" s="6">
        <f>ACE_Input!U80</f>
        <v>300</v>
      </c>
      <c r="L800" s="6">
        <f>K800*ACE_Input!V80</f>
        <v>75</v>
      </c>
    </row>
    <row r="801" spans="1:12" x14ac:dyDescent="0.2">
      <c r="A801">
        <f>7</f>
        <v>7</v>
      </c>
      <c r="B801">
        <f>ACE_Input!A81</f>
        <v>76</v>
      </c>
      <c r="C801" s="6">
        <f>MOD(Settings!$B$17*(C800),Settings!$B$18)</f>
        <v>1512867182</v>
      </c>
      <c r="D801" s="6">
        <f>MAX(C801,1)/Settings!$B$18</f>
        <v>0.70448367982380267</v>
      </c>
      <c r="E801" s="6">
        <f t="shared" si="26"/>
        <v>5</v>
      </c>
      <c r="F801" s="6">
        <f>ACE_Input!D81</f>
        <v>529</v>
      </c>
      <c r="G801" s="6">
        <f>MOD(Settings!$B$17*(G800),Settings!$B$18)</f>
        <v>606517734</v>
      </c>
      <c r="H801" s="6">
        <f>MAX(G801,1)/Settings!$B$18</f>
        <v>0.28243182892093055</v>
      </c>
      <c r="I801" s="6">
        <f>-ACE_Input!W81*LN(H801)</f>
        <v>5.0572722842826812</v>
      </c>
      <c r="J801" s="6">
        <f>-ACE_Input!X81*LN(H801)</f>
        <v>15.171816852848043</v>
      </c>
      <c r="K801" s="6">
        <f>ACE_Input!U81</f>
        <v>300</v>
      </c>
      <c r="L801" s="6">
        <f>K801*ACE_Input!V81</f>
        <v>75</v>
      </c>
    </row>
    <row r="802" spans="1:12" x14ac:dyDescent="0.2">
      <c r="A802">
        <f>7</f>
        <v>7</v>
      </c>
      <c r="B802">
        <f>ACE_Input!A82</f>
        <v>77</v>
      </c>
      <c r="C802" s="6">
        <f>MOD(Settings!$B$17*(C801),Settings!$B$18)</f>
        <v>552347394</v>
      </c>
      <c r="D802" s="6">
        <f>MAX(C802,1)/Settings!$B$18</f>
        <v>0.2572067986508863</v>
      </c>
      <c r="E802" s="6">
        <f t="shared" si="26"/>
        <v>5</v>
      </c>
      <c r="F802" s="6">
        <f>ACE_Input!D82</f>
        <v>534</v>
      </c>
      <c r="G802" s="6">
        <f>MOD(Settings!$B$17*(G801),Settings!$B$18)</f>
        <v>1786166676</v>
      </c>
      <c r="H802" s="6">
        <f>MAX(G802,1)/Settings!$B$18</f>
        <v>0.8317486740796588</v>
      </c>
      <c r="I802" s="6">
        <f>-ACE_Input!W82*LN(H802)</f>
        <v>0.73689983287233685</v>
      </c>
      <c r="J802" s="6">
        <f>-ACE_Input!X82*LN(H802)</f>
        <v>2.2106994986170108</v>
      </c>
      <c r="K802" s="6">
        <f>ACE_Input!U82</f>
        <v>300</v>
      </c>
      <c r="L802" s="6">
        <f>K802*ACE_Input!V82</f>
        <v>75</v>
      </c>
    </row>
    <row r="803" spans="1:12" x14ac:dyDescent="0.2">
      <c r="A803">
        <f>7</f>
        <v>7</v>
      </c>
      <c r="B803">
        <f>ACE_Input!A83</f>
        <v>78</v>
      </c>
      <c r="C803" s="6">
        <f>MOD(Settings!$B$17*(C802),Settings!$B$18)</f>
        <v>1878328624</v>
      </c>
      <c r="D803" s="6">
        <f>MAX(C803,1)/Settings!$B$18</f>
        <v>0.87466492544611218</v>
      </c>
      <c r="E803" s="6">
        <f t="shared" si="26"/>
        <v>5</v>
      </c>
      <c r="F803" s="6">
        <f>ACE_Input!D83</f>
        <v>539</v>
      </c>
      <c r="G803" s="6">
        <f>MOD(Settings!$B$17*(G802),Settings!$B$18)</f>
        <v>429422119</v>
      </c>
      <c r="H803" s="6">
        <f>MAX(G803,1)/Settings!$B$18</f>
        <v>0.19996525682507327</v>
      </c>
      <c r="I803" s="6">
        <f>-ACE_Input!W83*LN(H803)</f>
        <v>6.4384465735963365</v>
      </c>
      <c r="J803" s="6">
        <f>-ACE_Input!X83*LN(H803)</f>
        <v>19.315339720789009</v>
      </c>
      <c r="K803" s="6">
        <f>ACE_Input!U83</f>
        <v>300</v>
      </c>
      <c r="L803" s="6">
        <f>K803*ACE_Input!V83</f>
        <v>75</v>
      </c>
    </row>
    <row r="804" spans="1:12" x14ac:dyDescent="0.2">
      <c r="A804">
        <f>7</f>
        <v>7</v>
      </c>
      <c r="B804">
        <f>ACE_Input!A84</f>
        <v>79</v>
      </c>
      <c r="C804" s="6">
        <f>MOD(Settings!$B$17*(C803),Settings!$B$18)</f>
        <v>1059572668</v>
      </c>
      <c r="D804" s="6">
        <f>MAX(C804,1)/Settings!$B$18</f>
        <v>0.49340197280673403</v>
      </c>
      <c r="E804" s="6">
        <f t="shared" si="26"/>
        <v>5</v>
      </c>
      <c r="F804" s="6">
        <f>ACE_Input!D84</f>
        <v>544</v>
      </c>
      <c r="G804" s="6">
        <f>MOD(Settings!$B$17*(G803),Settings!$B$18)</f>
        <v>1752500113</v>
      </c>
      <c r="H804" s="6">
        <f>MAX(G804,1)/Settings!$B$18</f>
        <v>0.81607145900655143</v>
      </c>
      <c r="I804" s="6">
        <f>-ACE_Input!W84*LN(H804)</f>
        <v>0.81301342216124328</v>
      </c>
      <c r="J804" s="6">
        <f>-ACE_Input!X84*LN(H804)</f>
        <v>2.4390402664837296</v>
      </c>
      <c r="K804" s="6">
        <f>ACE_Input!U84</f>
        <v>300</v>
      </c>
      <c r="L804" s="6">
        <f>K804*ACE_Input!V84</f>
        <v>75</v>
      </c>
    </row>
    <row r="805" spans="1:12" x14ac:dyDescent="0.2">
      <c r="A805">
        <f>7</f>
        <v>7</v>
      </c>
      <c r="B805">
        <f>ACE_Input!A85</f>
        <v>80</v>
      </c>
      <c r="C805" s="6">
        <f>MOD(Settings!$B$17*(C804),Settings!$B$18)</f>
        <v>1303430152</v>
      </c>
      <c r="D805" s="6">
        <f>MAX(C805,1)/Settings!$B$18</f>
        <v>0.60695696277867861</v>
      </c>
      <c r="E805" s="6">
        <f t="shared" si="26"/>
        <v>5</v>
      </c>
      <c r="F805" s="6">
        <f>ACE_Input!D85</f>
        <v>549</v>
      </c>
      <c r="G805" s="6">
        <f>MOD(Settings!$B$17*(G804),Settings!$B$18)</f>
        <v>1531180586</v>
      </c>
      <c r="H805" s="6">
        <f>MAX(G805,1)/Settings!$B$18</f>
        <v>0.71301152310940041</v>
      </c>
      <c r="I805" s="6">
        <f>-ACE_Input!W85*LN(H805)</f>
        <v>1.3530307890187059</v>
      </c>
      <c r="J805" s="6">
        <f>-ACE_Input!X85*LN(H805)</f>
        <v>4.0590923670561176</v>
      </c>
      <c r="K805" s="6">
        <f>ACE_Input!U85</f>
        <v>300</v>
      </c>
      <c r="L805" s="6">
        <f>K805*ACE_Input!V85</f>
        <v>75</v>
      </c>
    </row>
    <row r="806" spans="1:12" x14ac:dyDescent="0.2">
      <c r="A806">
        <f>7</f>
        <v>7</v>
      </c>
      <c r="B806">
        <f>ACE_Input!A86</f>
        <v>81</v>
      </c>
      <c r="C806" s="6">
        <f>MOD(Settings!$B$17*(C805),Settings!$B$18)</f>
        <v>269881617</v>
      </c>
      <c r="D806" s="6">
        <f>MAX(C806,1)/Settings!$B$18</f>
        <v>0.12567342125143549</v>
      </c>
      <c r="E806" s="6">
        <f t="shared" si="26"/>
        <v>5</v>
      </c>
      <c r="F806" s="6">
        <f>ACE_Input!D86</f>
        <v>554</v>
      </c>
      <c r="G806" s="6">
        <f>MOD(Settings!$B$17*(G805),Settings!$B$18)</f>
        <v>1255566901</v>
      </c>
      <c r="H806" s="6">
        <f>MAX(G806,1)/Settings!$B$18</f>
        <v>0.58466889969290647</v>
      </c>
      <c r="I806" s="6">
        <f>-ACE_Input!W86*LN(H806)</f>
        <v>2.1468383016411701</v>
      </c>
      <c r="J806" s="6">
        <f>-ACE_Input!X86*LN(H806)</f>
        <v>6.4405149049235106</v>
      </c>
      <c r="K806" s="6">
        <f>ACE_Input!U86</f>
        <v>300</v>
      </c>
      <c r="L806" s="6">
        <f>K806*ACE_Input!V86</f>
        <v>75</v>
      </c>
    </row>
    <row r="807" spans="1:12" x14ac:dyDescent="0.2">
      <c r="A807">
        <f>7</f>
        <v>7</v>
      </c>
      <c r="B807">
        <f>ACE_Input!A87</f>
        <v>82</v>
      </c>
      <c r="C807" s="6">
        <f>MOD(Settings!$B$17*(C806),Settings!$B$18)</f>
        <v>414874455</v>
      </c>
      <c r="D807" s="6">
        <f>MAX(C807,1)/Settings!$B$18</f>
        <v>0.19319097287635831</v>
      </c>
      <c r="E807" s="6">
        <f t="shared" si="26"/>
        <v>5</v>
      </c>
      <c r="F807" s="6">
        <f>ACE_Input!D87</f>
        <v>559</v>
      </c>
      <c r="G807" s="6">
        <f>MOD(Settings!$B$17*(G806),Settings!$B$18)</f>
        <v>1138589685</v>
      </c>
      <c r="H807" s="6">
        <f>MAX(G807,1)/Settings!$B$18</f>
        <v>0.53019713867930562</v>
      </c>
      <c r="I807" s="6">
        <f>-ACE_Input!W87*LN(H807)</f>
        <v>2.5380255272943266</v>
      </c>
      <c r="J807" s="6">
        <f>-ACE_Input!X87*LN(H807)</f>
        <v>7.6140765818829799</v>
      </c>
      <c r="K807" s="6">
        <f>ACE_Input!U87</f>
        <v>300</v>
      </c>
      <c r="L807" s="6">
        <f>K807*ACE_Input!V87</f>
        <v>75</v>
      </c>
    </row>
    <row r="808" spans="1:12" x14ac:dyDescent="0.2">
      <c r="A808">
        <f>7</f>
        <v>7</v>
      </c>
      <c r="B808">
        <f>ACE_Input!A88</f>
        <v>83</v>
      </c>
      <c r="C808" s="6">
        <f>MOD(Settings!$B$17*(C807),Settings!$B$18)</f>
        <v>2063047023</v>
      </c>
      <c r="D808" s="6">
        <f>MAX(C808,1)/Settings!$B$18</f>
        <v>0.9606811329539312</v>
      </c>
      <c r="E808" s="6">
        <f t="shared" si="26"/>
        <v>5</v>
      </c>
      <c r="F808" s="6">
        <f>ACE_Input!D88</f>
        <v>564</v>
      </c>
      <c r="G808" s="6">
        <f>MOD(Settings!$B$17*(G807),Settings!$B$18)</f>
        <v>50057378</v>
      </c>
      <c r="H808" s="6">
        <f>MAX(G808,1)/Settings!$B$18</f>
        <v>2.330978308958457E-2</v>
      </c>
      <c r="I808" s="6">
        <f>-ACE_Input!W88*LN(H808)</f>
        <v>15.035528525775579</v>
      </c>
      <c r="J808" s="6">
        <f>-ACE_Input!X88*LN(H808)</f>
        <v>45.10658557732674</v>
      </c>
      <c r="K808" s="6">
        <f>ACE_Input!U88</f>
        <v>300</v>
      </c>
      <c r="L808" s="6">
        <f>K808*ACE_Input!V88</f>
        <v>75</v>
      </c>
    </row>
    <row r="809" spans="1:12" x14ac:dyDescent="0.2">
      <c r="A809">
        <f>7</f>
        <v>7</v>
      </c>
      <c r="B809">
        <f>ACE_Input!A89</f>
        <v>84</v>
      </c>
      <c r="C809" s="6">
        <f>MOD(Settings!$B$17*(C808),Settings!$B$18)</f>
        <v>360351099</v>
      </c>
      <c r="D809" s="6">
        <f>MAX(C809,1)/Settings!$B$18</f>
        <v>0.16780155672123728</v>
      </c>
      <c r="E809" s="6">
        <f t="shared" si="26"/>
        <v>5</v>
      </c>
      <c r="F809" s="6">
        <f>ACE_Input!D89</f>
        <v>569</v>
      </c>
      <c r="G809" s="6">
        <f>MOD(Settings!$B$17*(G808),Settings!$B$18)</f>
        <v>1648246069</v>
      </c>
      <c r="H809" s="6">
        <f>MAX(G809,1)/Settings!$B$18</f>
        <v>0.76752438664786726</v>
      </c>
      <c r="I809" s="6">
        <f>-ACE_Input!W89*LN(H809)</f>
        <v>1.0583401035661717</v>
      </c>
      <c r="J809" s="6">
        <f>-ACE_Input!X89*LN(H809)</f>
        <v>3.1750203106985149</v>
      </c>
      <c r="K809" s="6">
        <f>ACE_Input!U89</f>
        <v>300</v>
      </c>
      <c r="L809" s="6">
        <f>K809*ACE_Input!V89</f>
        <v>75</v>
      </c>
    </row>
    <row r="810" spans="1:12" x14ac:dyDescent="0.2">
      <c r="A810">
        <f>7</f>
        <v>7</v>
      </c>
      <c r="B810">
        <f>ACE_Input!A90</f>
        <v>85</v>
      </c>
      <c r="C810" s="6">
        <f>MOD(Settings!$B$17*(C809),Settings!$B$18)</f>
        <v>517036353</v>
      </c>
      <c r="D810" s="6">
        <f>MAX(C810,1)/Settings!$B$18</f>
        <v>0.2407638138349931</v>
      </c>
      <c r="E810" s="6">
        <f t="shared" si="26"/>
        <v>5</v>
      </c>
      <c r="F810" s="6">
        <f>ACE_Input!D90</f>
        <v>574</v>
      </c>
      <c r="G810" s="6">
        <f>MOD(Settings!$B$17*(G809),Settings!$B$18)</f>
        <v>1680119030</v>
      </c>
      <c r="H810" s="6">
        <f>MAX(G810,1)/Settings!$B$18</f>
        <v>0.78236639070434788</v>
      </c>
      <c r="I810" s="6">
        <f>-ACE_Input!W90*LN(H810)</f>
        <v>0.98172847140166208</v>
      </c>
      <c r="J810" s="6">
        <f>-ACE_Input!X90*LN(H810)</f>
        <v>2.9451854142049863</v>
      </c>
      <c r="K810" s="6">
        <f>ACE_Input!U90</f>
        <v>300</v>
      </c>
      <c r="L810" s="6">
        <f>K810*ACE_Input!V90</f>
        <v>75</v>
      </c>
    </row>
    <row r="811" spans="1:12" x14ac:dyDescent="0.2">
      <c r="A811">
        <f>7</f>
        <v>7</v>
      </c>
      <c r="B811">
        <f>ACE_Input!A91</f>
        <v>86</v>
      </c>
      <c r="C811" s="6">
        <f>MOD(Settings!$B$17*(C810),Settings!$B$18)</f>
        <v>1111149109</v>
      </c>
      <c r="D811" s="6">
        <f>MAX(C811,1)/Settings!$B$18</f>
        <v>0.51741912472872953</v>
      </c>
      <c r="E811" s="6">
        <f t="shared" si="26"/>
        <v>5</v>
      </c>
      <c r="F811" s="6">
        <f>ACE_Input!D91</f>
        <v>579</v>
      </c>
      <c r="G811" s="6">
        <f>MOD(Settings!$B$17*(G810),Settings!$B$18)</f>
        <v>498062807</v>
      </c>
      <c r="H811" s="6">
        <f>MAX(G811,1)/Settings!$B$18</f>
        <v>0.23192856797572625</v>
      </c>
      <c r="I811" s="6">
        <f>-ACE_Input!W91*LN(H811)</f>
        <v>5.8453034055283473</v>
      </c>
      <c r="J811" s="6">
        <f>-ACE_Input!X91*LN(H811)</f>
        <v>17.535910216585041</v>
      </c>
      <c r="K811" s="6">
        <f>ACE_Input!U91</f>
        <v>300</v>
      </c>
      <c r="L811" s="6">
        <f>K811*ACE_Input!V91</f>
        <v>75</v>
      </c>
    </row>
    <row r="812" spans="1:12" x14ac:dyDescent="0.2">
      <c r="A812">
        <f>7</f>
        <v>7</v>
      </c>
      <c r="B812">
        <f>ACE_Input!A92</f>
        <v>87</v>
      </c>
      <c r="C812" s="6">
        <f>MOD(Settings!$B$17*(C811),Settings!$B$18)</f>
        <v>565280651</v>
      </c>
      <c r="D812" s="6">
        <f>MAX(C812,1)/Settings!$B$18</f>
        <v>0.26322931575739261</v>
      </c>
      <c r="E812" s="6">
        <f t="shared" si="26"/>
        <v>5</v>
      </c>
      <c r="F812" s="6">
        <f>ACE_Input!D92</f>
        <v>584</v>
      </c>
      <c r="G812" s="6">
        <f>MOD(Settings!$B$17*(G811),Settings!$B$18)</f>
        <v>50341243</v>
      </c>
      <c r="H812" s="6">
        <f>MAX(G812,1)/Settings!$B$18</f>
        <v>2.3441968030967736E-2</v>
      </c>
      <c r="I812" s="6">
        <f>-ACE_Input!W92*LN(H812)</f>
        <v>15.012909429729127</v>
      </c>
      <c r="J812" s="6">
        <f>-ACE_Input!X92*LN(H812)</f>
        <v>45.038728289187382</v>
      </c>
      <c r="K812" s="6">
        <f>ACE_Input!U92</f>
        <v>300</v>
      </c>
      <c r="L812" s="6">
        <f>K812*ACE_Input!V92</f>
        <v>75</v>
      </c>
    </row>
    <row r="813" spans="1:12" x14ac:dyDescent="0.2">
      <c r="A813">
        <f>7</f>
        <v>7</v>
      </c>
      <c r="B813">
        <f>ACE_Input!A93</f>
        <v>88</v>
      </c>
      <c r="C813" s="6">
        <f>MOD(Settings!$B$17*(C812),Settings!$B$18)</f>
        <v>204247029</v>
      </c>
      <c r="D813" s="6">
        <f>MAX(C813,1)/Settings!$B$18</f>
        <v>9.5109934497210169E-2</v>
      </c>
      <c r="E813" s="6">
        <f t="shared" si="26"/>
        <v>5</v>
      </c>
      <c r="F813" s="6">
        <f>ACE_Input!D93</f>
        <v>589</v>
      </c>
      <c r="G813" s="6">
        <f>MOD(Settings!$B$17*(G812),Settings!$B$18)</f>
        <v>2124197830</v>
      </c>
      <c r="H813" s="6">
        <f>MAX(G813,1)/Settings!$B$18</f>
        <v>0.98915669647471827</v>
      </c>
      <c r="I813" s="6">
        <f>-ACE_Input!W93*LN(H813)</f>
        <v>4.3610082410040073E-2</v>
      </c>
      <c r="J813" s="6">
        <f>-ACE_Input!X93*LN(H813)</f>
        <v>0.13083024723012021</v>
      </c>
      <c r="K813" s="6">
        <f>ACE_Input!U93</f>
        <v>300</v>
      </c>
      <c r="L813" s="6">
        <f>K813*ACE_Input!V93</f>
        <v>75</v>
      </c>
    </row>
    <row r="814" spans="1:12" x14ac:dyDescent="0.2">
      <c r="A814">
        <f>7</f>
        <v>7</v>
      </c>
      <c r="B814">
        <f>ACE_Input!A94</f>
        <v>89</v>
      </c>
      <c r="C814" s="6">
        <f>MOD(Settings!$B$17*(C813),Settings!$B$18)</f>
        <v>1100948497</v>
      </c>
      <c r="D814" s="6">
        <f>MAX(C814,1)/Settings!$B$18</f>
        <v>0.51266909461127086</v>
      </c>
      <c r="E814" s="6">
        <f t="shared" si="26"/>
        <v>5</v>
      </c>
      <c r="F814" s="6">
        <f>ACE_Input!D94</f>
        <v>594</v>
      </c>
      <c r="G814" s="6">
        <f>MOD(Settings!$B$17*(G813),Settings!$B$18)</f>
        <v>1624781082</v>
      </c>
      <c r="H814" s="6">
        <f>MAX(G814,1)/Settings!$B$18</f>
        <v>0.75659765058969974</v>
      </c>
      <c r="I814" s="6">
        <f>-ACE_Input!W94*LN(H814)</f>
        <v>1.1156946880366021</v>
      </c>
      <c r="J814" s="6">
        <f>-ACE_Input!X94*LN(H814)</f>
        <v>3.3470840641098061</v>
      </c>
      <c r="K814" s="6">
        <f>ACE_Input!U94</f>
        <v>300</v>
      </c>
      <c r="L814" s="6">
        <f>K814*ACE_Input!V94</f>
        <v>75</v>
      </c>
    </row>
    <row r="815" spans="1:12" x14ac:dyDescent="0.2">
      <c r="A815">
        <f>7</f>
        <v>7</v>
      </c>
      <c r="B815">
        <f>ACE_Input!A95</f>
        <v>90</v>
      </c>
      <c r="C815" s="6">
        <f>MOD(Settings!$B$17*(C814),Settings!$B$18)</f>
        <v>922286527</v>
      </c>
      <c r="D815" s="6">
        <f>MAX(C815,1)/Settings!$B$18</f>
        <v>0.42947313162939305</v>
      </c>
      <c r="E815" s="6">
        <f t="shared" si="26"/>
        <v>5</v>
      </c>
      <c r="F815" s="6">
        <f>ACE_Input!D95</f>
        <v>599</v>
      </c>
      <c r="G815" s="6">
        <f>MOD(Settings!$B$17*(G814),Settings!$B$18)</f>
        <v>293589922</v>
      </c>
      <c r="H815" s="6">
        <f>MAX(G815,1)/Settings!$B$18</f>
        <v>0.13671346108276092</v>
      </c>
      <c r="I815" s="6">
        <f>-ACE_Input!W95*LN(H815)</f>
        <v>7.9594722735609</v>
      </c>
      <c r="J815" s="6">
        <f>-ACE_Input!X95*LN(H815)</f>
        <v>23.878416820682702</v>
      </c>
      <c r="K815" s="6">
        <f>ACE_Input!U95</f>
        <v>300</v>
      </c>
      <c r="L815" s="6">
        <f>K815*ACE_Input!V95</f>
        <v>75</v>
      </c>
    </row>
    <row r="816" spans="1:12" x14ac:dyDescent="0.2">
      <c r="A816">
        <f>7</f>
        <v>7</v>
      </c>
      <c r="B816">
        <f>ACE_Input!A96</f>
        <v>91</v>
      </c>
      <c r="C816" s="6">
        <f>MOD(Settings!$B$17*(C815),Settings!$B$18)</f>
        <v>332695243</v>
      </c>
      <c r="D816" s="6">
        <f>MAX(C816,1)/Settings!$B$18</f>
        <v>0.15492329520868292</v>
      </c>
      <c r="E816" s="6">
        <f t="shared" si="26"/>
        <v>5</v>
      </c>
      <c r="F816" s="6">
        <f>ACE_Input!D96</f>
        <v>604</v>
      </c>
      <c r="G816" s="6">
        <f>MOD(Settings!$B$17*(G815),Settings!$B$18)</f>
        <v>1595881895</v>
      </c>
      <c r="H816" s="6">
        <f>MAX(G816,1)/Settings!$B$18</f>
        <v>0.74314041796286612</v>
      </c>
      <c r="I816" s="6">
        <f>-ACE_Input!W96*LN(H816)</f>
        <v>1.187481057133452</v>
      </c>
      <c r="J816" s="6">
        <f>-ACE_Input!X96*LN(H816)</f>
        <v>3.5624431714003562</v>
      </c>
      <c r="K816" s="6">
        <f>ACE_Input!U96</f>
        <v>300</v>
      </c>
      <c r="L816" s="6">
        <f>K816*ACE_Input!V96</f>
        <v>75</v>
      </c>
    </row>
    <row r="817" spans="1:12" x14ac:dyDescent="0.2">
      <c r="A817">
        <f>7</f>
        <v>7</v>
      </c>
      <c r="B817">
        <f>ACE_Input!A97</f>
        <v>92</v>
      </c>
      <c r="C817" s="6">
        <f>MOD(Settings!$B$17*(C816),Settings!$B$18)</f>
        <v>1709015960</v>
      </c>
      <c r="D817" s="6">
        <f>MAX(C817,1)/Settings!$B$18</f>
        <v>0.79582257233365561</v>
      </c>
      <c r="E817" s="6">
        <f t="shared" si="26"/>
        <v>5</v>
      </c>
      <c r="F817" s="6">
        <f>ACE_Input!D97</f>
        <v>609</v>
      </c>
      <c r="G817" s="6">
        <f>MOD(Settings!$B$17*(G816),Settings!$B$18)</f>
        <v>2063741882</v>
      </c>
      <c r="H817" s="6">
        <f>MAX(G817,1)/Settings!$B$18</f>
        <v>0.96100470189051923</v>
      </c>
      <c r="I817" s="6">
        <f>-ACE_Input!W97*LN(H817)</f>
        <v>0.15910390927103366</v>
      </c>
      <c r="J817" s="6">
        <f>-ACE_Input!X97*LN(H817)</f>
        <v>0.47731172781310094</v>
      </c>
      <c r="K817" s="6">
        <f>ACE_Input!U97</f>
        <v>300</v>
      </c>
      <c r="L817" s="6">
        <f>K817*ACE_Input!V97</f>
        <v>75</v>
      </c>
    </row>
    <row r="818" spans="1:12" x14ac:dyDescent="0.2">
      <c r="A818">
        <f>7</f>
        <v>7</v>
      </c>
      <c r="B818">
        <f>ACE_Input!A98</f>
        <v>93</v>
      </c>
      <c r="C818" s="6">
        <f>MOD(Settings!$B$17*(C817),Settings!$B$18)</f>
        <v>837461095</v>
      </c>
      <c r="D818" s="6">
        <f>MAX(C818,1)/Settings!$B$18</f>
        <v>0.38997321174944433</v>
      </c>
      <c r="E818" s="6">
        <f t="shared" si="26"/>
        <v>5</v>
      </c>
      <c r="F818" s="6">
        <f>ACE_Input!D98</f>
        <v>614</v>
      </c>
      <c r="G818" s="6">
        <f>MOD(Settings!$B$17*(G817),Settings!$B$18)</f>
        <v>1301428077</v>
      </c>
      <c r="H818" s="6">
        <f>MAX(G818,1)/Settings!$B$18</f>
        <v>0.60602467395645787</v>
      </c>
      <c r="I818" s="6">
        <f>-ACE_Input!W98*LN(H818)</f>
        <v>2.0033383105677403</v>
      </c>
      <c r="J818" s="6">
        <f>-ACE_Input!X98*LN(H818)</f>
        <v>6.0100149317032212</v>
      </c>
      <c r="K818" s="6">
        <f>ACE_Input!U98</f>
        <v>300</v>
      </c>
      <c r="L818" s="6">
        <f>K818*ACE_Input!V98</f>
        <v>75</v>
      </c>
    </row>
    <row r="819" spans="1:12" x14ac:dyDescent="0.2">
      <c r="A819">
        <f>7</f>
        <v>7</v>
      </c>
      <c r="B819">
        <f>ACE_Input!A99</f>
        <v>94</v>
      </c>
      <c r="C819" s="6">
        <f>MOD(Settings!$B$17*(C818),Settings!$B$18)</f>
        <v>600801227</v>
      </c>
      <c r="D819" s="6">
        <f>MAX(C819,1)/Settings!$B$18</f>
        <v>0.27976987291116728</v>
      </c>
      <c r="E819" s="6">
        <f t="shared" si="26"/>
        <v>5</v>
      </c>
      <c r="F819" s="6">
        <f>ACE_Input!D99</f>
        <v>619</v>
      </c>
      <c r="G819" s="6">
        <f>MOD(Settings!$B$17*(G818),Settings!$B$18)</f>
        <v>980745444</v>
      </c>
      <c r="H819" s="6">
        <f>MAX(G819,1)/Settings!$B$18</f>
        <v>0.45669518618690558</v>
      </c>
      <c r="I819" s="6">
        <f>-ACE_Input!W99*LN(H819)</f>
        <v>3.1349563970956695</v>
      </c>
      <c r="J819" s="6">
        <f>-ACE_Input!X99*LN(H819)</f>
        <v>9.404869191287009</v>
      </c>
      <c r="K819" s="6">
        <f>ACE_Input!U99</f>
        <v>300</v>
      </c>
      <c r="L819" s="6">
        <f>K819*ACE_Input!V99</f>
        <v>75</v>
      </c>
    </row>
    <row r="820" spans="1:12" x14ac:dyDescent="0.2">
      <c r="A820">
        <f>7</f>
        <v>7</v>
      </c>
      <c r="B820">
        <f>ACE_Input!A100</f>
        <v>95</v>
      </c>
      <c r="C820" s="6">
        <f>MOD(Settings!$B$17*(C819),Settings!$B$18)</f>
        <v>198113995</v>
      </c>
      <c r="D820" s="6">
        <f>MAX(C820,1)/Settings!$B$18</f>
        <v>9.2254017988338141E-2</v>
      </c>
      <c r="E820" s="6">
        <f t="shared" si="26"/>
        <v>5</v>
      </c>
      <c r="F820" s="6">
        <f>ACE_Input!D100</f>
        <v>624</v>
      </c>
      <c r="G820" s="6">
        <f>MOD(Settings!$B$17*(G819),Settings!$B$18)</f>
        <v>1451686583</v>
      </c>
      <c r="H820" s="6">
        <f>MAX(G820,1)/Settings!$B$18</f>
        <v>0.67599424332193758</v>
      </c>
      <c r="I820" s="6">
        <f>-ACE_Input!W100*LN(H820)</f>
        <v>1.5662828750855315</v>
      </c>
      <c r="J820" s="6">
        <f>-ACE_Input!X100*LN(H820)</f>
        <v>4.6988486252565949</v>
      </c>
      <c r="K820" s="6">
        <f>ACE_Input!U100</f>
        <v>300</v>
      </c>
      <c r="L820" s="6">
        <f>K820*ACE_Input!V100</f>
        <v>75</v>
      </c>
    </row>
    <row r="821" spans="1:12" x14ac:dyDescent="0.2">
      <c r="A821">
        <f>7</f>
        <v>7</v>
      </c>
      <c r="B821">
        <f>ACE_Input!A101</f>
        <v>96</v>
      </c>
      <c r="C821" s="6">
        <f>MOD(Settings!$B$17*(C820),Settings!$B$18)</f>
        <v>1102261115</v>
      </c>
      <c r="D821" s="6">
        <f>MAX(C821,1)/Settings!$B$18</f>
        <v>0.51328032999917883</v>
      </c>
      <c r="E821" s="6">
        <f t="shared" si="26"/>
        <v>5</v>
      </c>
      <c r="F821" s="6">
        <f>ACE_Input!D101</f>
        <v>629</v>
      </c>
      <c r="G821" s="6">
        <f>MOD(Settings!$B$17*(G820),Settings!$B$18)</f>
        <v>934686914</v>
      </c>
      <c r="H821" s="6">
        <f>MAX(G821,1)/Settings!$B$18</f>
        <v>0.43524751180561611</v>
      </c>
      <c r="I821" s="6">
        <f>-ACE_Input!W101*LN(H821)</f>
        <v>3.3273616682072311</v>
      </c>
      <c r="J821" s="6">
        <f>-ACE_Input!X101*LN(H821)</f>
        <v>9.9820850046216929</v>
      </c>
      <c r="K821" s="6">
        <f>ACE_Input!U101</f>
        <v>300</v>
      </c>
      <c r="L821" s="6">
        <f>K821*ACE_Input!V101</f>
        <v>75</v>
      </c>
    </row>
    <row r="822" spans="1:12" x14ac:dyDescent="0.2">
      <c r="A822">
        <f>7</f>
        <v>7</v>
      </c>
      <c r="B822">
        <f>ACE_Input!A102</f>
        <v>97</v>
      </c>
      <c r="C822" s="6">
        <f>MOD(Settings!$B$17*(C821),Settings!$B$18)</f>
        <v>1508620783</v>
      </c>
      <c r="D822" s="6">
        <f>MAX(C822,1)/Settings!$B$18</f>
        <v>0.70250629619811955</v>
      </c>
      <c r="E822" s="6">
        <f t="shared" si="26"/>
        <v>5</v>
      </c>
      <c r="F822" s="6">
        <f>ACE_Input!D102</f>
        <v>634</v>
      </c>
      <c r="G822" s="6">
        <f>MOD(Settings!$B$17*(G821),Settings!$B$18)</f>
        <v>440085793</v>
      </c>
      <c r="H822" s="6">
        <f>MAX(G822,1)/Settings!$B$18</f>
        <v>0.20493091698965565</v>
      </c>
      <c r="I822" s="6">
        <f>-ACE_Input!W102*LN(H822)</f>
        <v>6.340329387728322</v>
      </c>
      <c r="J822" s="6">
        <f>-ACE_Input!X102*LN(H822)</f>
        <v>19.020988163184967</v>
      </c>
      <c r="K822" s="6">
        <f>ACE_Input!U102</f>
        <v>300</v>
      </c>
      <c r="L822" s="6">
        <f>K822*ACE_Input!V102</f>
        <v>75</v>
      </c>
    </row>
    <row r="823" spans="1:12" x14ac:dyDescent="0.2">
      <c r="A823">
        <f>7</f>
        <v>7</v>
      </c>
      <c r="B823">
        <f>ACE_Input!A103</f>
        <v>98</v>
      </c>
      <c r="C823" s="6">
        <f>MOD(Settings!$B$17*(C822),Settings!$B$18)</f>
        <v>50079752</v>
      </c>
      <c r="D823" s="6">
        <f>MAX(C823,1)/Settings!$B$18</f>
        <v>2.3320201795231647E-2</v>
      </c>
      <c r="E823" s="6">
        <f t="shared" ref="E823:E825" si="27">F823-F822</f>
        <v>5</v>
      </c>
      <c r="F823" s="6">
        <f>ACE_Input!D103</f>
        <v>639</v>
      </c>
      <c r="G823" s="6">
        <f>MOD(Settings!$B$17*(G822),Settings!$B$18)</f>
        <v>588242683</v>
      </c>
      <c r="H823" s="6">
        <f>MAX(G823,1)/Settings!$B$18</f>
        <v>0.27392184514269319</v>
      </c>
      <c r="I823" s="6">
        <f>-ACE_Input!W103*LN(H823)</f>
        <v>5.1796497999491704</v>
      </c>
      <c r="J823" s="6">
        <f>-ACE_Input!X103*LN(H823)</f>
        <v>15.53894939984751</v>
      </c>
      <c r="K823" s="6">
        <f>ACE_Input!U103</f>
        <v>300</v>
      </c>
      <c r="L823" s="6">
        <f>K823*ACE_Input!V103</f>
        <v>75</v>
      </c>
    </row>
    <row r="824" spans="1:12" x14ac:dyDescent="0.2">
      <c r="A824">
        <f>7</f>
        <v>7</v>
      </c>
      <c r="B824">
        <f>ACE_Input!A104</f>
        <v>99</v>
      </c>
      <c r="C824" s="6">
        <f>MOD(Settings!$B$17*(C823),Settings!$B$18)</f>
        <v>2024285887</v>
      </c>
      <c r="D824" s="6">
        <f>MAX(C824,1)/Settings!$B$18</f>
        <v>0.9426315724582558</v>
      </c>
      <c r="E824" s="6">
        <f t="shared" si="27"/>
        <v>45</v>
      </c>
      <c r="F824" s="6">
        <f>ACE_Input!D104</f>
        <v>684</v>
      </c>
      <c r="G824" s="6">
        <f>MOD(Settings!$B$17*(G823),Settings!$B$18)</f>
        <v>1727546040</v>
      </c>
      <c r="H824" s="6">
        <f>MAX(G824,1)/Settings!$B$18</f>
        <v>0.80445131324438901</v>
      </c>
      <c r="I824" s="6">
        <f>-ACE_Input!W104*LN(H824)</f>
        <v>0.87037932964632281</v>
      </c>
      <c r="J824" s="6">
        <f>-ACE_Input!X104*LN(H824)</f>
        <v>2.6111379889389683</v>
      </c>
      <c r="K824" s="6">
        <f>ACE_Input!U104</f>
        <v>300</v>
      </c>
      <c r="L824" s="6">
        <f>K824*ACE_Input!V104</f>
        <v>75</v>
      </c>
    </row>
    <row r="825" spans="1:12" x14ac:dyDescent="0.2">
      <c r="A825">
        <f>7</f>
        <v>7</v>
      </c>
      <c r="B825">
        <f>ACE_Input!A105</f>
        <v>100</v>
      </c>
      <c r="C825" s="6">
        <f>MOD(Settings!$B$17*(C824),Settings!$B$18)</f>
        <v>1736967035</v>
      </c>
      <c r="D825" s="6">
        <f>MAX(C825,1)/Settings!$B$18</f>
        <v>0.80883830590585171</v>
      </c>
      <c r="E825" s="6">
        <f t="shared" si="27"/>
        <v>5</v>
      </c>
      <c r="F825" s="6">
        <f>ACE_Input!D105</f>
        <v>689</v>
      </c>
      <c r="G825" s="6">
        <f>MOD(Settings!$B$17*(G824),Settings!$B$18)</f>
        <v>887386840</v>
      </c>
      <c r="H825" s="6">
        <f>MAX(G825,1)/Settings!$B$18</f>
        <v>0.4132216984467682</v>
      </c>
      <c r="I825" s="6">
        <f>-ACE_Input!W105*LN(H825)</f>
        <v>3.5350841197340208</v>
      </c>
      <c r="J825" s="6">
        <f>-ACE_Input!X105*LN(H825)</f>
        <v>10.605252359202062</v>
      </c>
      <c r="K825" s="6">
        <f>ACE_Input!U105</f>
        <v>300</v>
      </c>
      <c r="L825" s="6">
        <f>K825*ACE_Input!V105</f>
        <v>75</v>
      </c>
    </row>
    <row r="826" spans="1:12" x14ac:dyDescent="0.2">
      <c r="C826" s="6"/>
      <c r="D826" s="6"/>
      <c r="E826" s="6"/>
      <c r="F826" s="6"/>
      <c r="G826" s="6"/>
      <c r="H826" s="6"/>
      <c r="I826" s="6"/>
      <c r="J826" s="6"/>
      <c r="K826" s="6"/>
      <c r="L826" s="6"/>
    </row>
    <row r="827" spans="1:12" x14ac:dyDescent="0.2">
      <c r="C827" s="6"/>
      <c r="D827" s="6"/>
      <c r="E827" s="6"/>
      <c r="F827" s="6"/>
      <c r="G827" s="6"/>
      <c r="H827" s="6"/>
      <c r="I827" s="6"/>
      <c r="J827" s="6"/>
      <c r="K827" s="6"/>
      <c r="L827" s="6"/>
    </row>
    <row r="828" spans="1:12" x14ac:dyDescent="0.2">
      <c r="C828" s="6"/>
      <c r="D828" s="6"/>
      <c r="E828" s="6"/>
      <c r="F828" s="6"/>
      <c r="G828" s="6"/>
      <c r="H828" s="6"/>
      <c r="I828" s="6"/>
      <c r="J828" s="6"/>
      <c r="K828" s="6"/>
      <c r="L828" s="6"/>
    </row>
    <row r="829" spans="1:12" x14ac:dyDescent="0.2">
      <c r="C829" s="6"/>
      <c r="D829" s="6"/>
      <c r="E829" s="6"/>
      <c r="F829" s="6"/>
      <c r="G829" s="6"/>
      <c r="H829" s="6"/>
      <c r="I829" s="6"/>
      <c r="J829" s="6"/>
      <c r="K829" s="6"/>
      <c r="L829" s="6"/>
    </row>
    <row r="830" spans="1:12" x14ac:dyDescent="0.2">
      <c r="C830" s="6"/>
      <c r="D830" s="6"/>
      <c r="E830" s="6"/>
      <c r="F830" s="6"/>
      <c r="G830" s="6"/>
      <c r="H830" s="6"/>
      <c r="I830" s="6"/>
      <c r="J830" s="6"/>
      <c r="K830" s="6"/>
      <c r="L830" s="6"/>
    </row>
    <row r="831" spans="1:12" x14ac:dyDescent="0.2">
      <c r="C831" s="6"/>
      <c r="D831" s="6"/>
      <c r="E831" s="6"/>
      <c r="F831" s="6"/>
      <c r="G831" s="6"/>
      <c r="H831" s="6"/>
      <c r="I831" s="6"/>
      <c r="J831" s="6"/>
      <c r="K831" s="6"/>
      <c r="L831" s="6"/>
    </row>
    <row r="832" spans="1:12" x14ac:dyDescent="0.2">
      <c r="C832" s="6"/>
      <c r="D832" s="6"/>
      <c r="E832" s="6"/>
      <c r="F832" s="6"/>
      <c r="G832" s="6"/>
      <c r="H832" s="6"/>
      <c r="I832" s="6"/>
      <c r="J832" s="6"/>
      <c r="K832" s="6"/>
      <c r="L832" s="6"/>
    </row>
    <row r="833" spans="1:12" x14ac:dyDescent="0.2">
      <c r="C833" s="6"/>
      <c r="D833" s="6"/>
      <c r="E833" s="6"/>
      <c r="F833" s="6"/>
      <c r="G833" s="6"/>
      <c r="H833" s="6"/>
      <c r="I833" s="6"/>
      <c r="J833" s="6"/>
      <c r="K833" s="6"/>
      <c r="L833" s="6"/>
    </row>
    <row r="834" spans="1:12" x14ac:dyDescent="0.2">
      <c r="C834" s="6"/>
      <c r="D834" s="6"/>
      <c r="E834" s="6"/>
      <c r="F834" s="6"/>
      <c r="G834" s="6"/>
      <c r="H834" s="6"/>
      <c r="I834" s="6"/>
      <c r="J834" s="6"/>
      <c r="K834" s="6"/>
      <c r="L834" s="6"/>
    </row>
    <row r="835" spans="1:12" x14ac:dyDescent="0.2">
      <c r="C835" s="6"/>
      <c r="D835" s="6"/>
      <c r="E835" s="6"/>
      <c r="F835" s="6"/>
      <c r="G835" s="6"/>
      <c r="H835" s="6"/>
      <c r="I835" s="6"/>
      <c r="J835" s="6"/>
      <c r="K835" s="6"/>
      <c r="L835" s="6"/>
    </row>
    <row r="836" spans="1:12" x14ac:dyDescent="0.2">
      <c r="C836" s="6"/>
      <c r="D836" s="6"/>
      <c r="E836" s="6"/>
      <c r="F836" s="6"/>
      <c r="G836" s="6"/>
      <c r="H836" s="6"/>
      <c r="I836" s="6"/>
      <c r="J836" s="6"/>
      <c r="K836" s="6"/>
      <c r="L836" s="6"/>
    </row>
    <row r="837" spans="1:12" x14ac:dyDescent="0.2">
      <c r="C837" s="6"/>
      <c r="D837" s="6"/>
      <c r="E837" s="6"/>
      <c r="F837" s="6"/>
      <c r="G837" s="6"/>
      <c r="H837" s="6"/>
      <c r="I837" s="6"/>
      <c r="J837" s="6"/>
      <c r="K837" s="6"/>
      <c r="L837" s="6"/>
    </row>
    <row r="838" spans="1:12" x14ac:dyDescent="0.2">
      <c r="C838" s="6"/>
      <c r="D838" s="6"/>
      <c r="E838" s="6"/>
      <c r="F838" s="6"/>
      <c r="G838" s="6"/>
      <c r="H838" s="6"/>
      <c r="I838" s="6"/>
      <c r="J838" s="6"/>
      <c r="K838" s="6"/>
      <c r="L838" s="6"/>
    </row>
    <row r="839" spans="1:12" x14ac:dyDescent="0.2">
      <c r="C839" s="6"/>
      <c r="D839" s="6"/>
      <c r="E839" s="6"/>
      <c r="F839" s="6"/>
      <c r="G839" s="6"/>
      <c r="H839" s="6"/>
      <c r="I839" s="6"/>
      <c r="J839" s="6"/>
      <c r="K839" s="6"/>
      <c r="L839" s="6"/>
    </row>
    <row r="840" spans="1:12" x14ac:dyDescent="0.2">
      <c r="C840" s="6"/>
      <c r="D840" s="6"/>
      <c r="E840" s="6"/>
      <c r="F840" s="6"/>
      <c r="G840" s="6"/>
      <c r="H840" s="6"/>
      <c r="I840" s="6"/>
      <c r="J840" s="6"/>
      <c r="K840" s="6"/>
      <c r="L840" s="6"/>
    </row>
    <row r="841" spans="1:12" x14ac:dyDescent="0.2">
      <c r="C841" s="6"/>
      <c r="D841" s="6"/>
      <c r="E841" s="6"/>
      <c r="F841" s="6"/>
      <c r="G841" s="6"/>
      <c r="H841" s="6"/>
      <c r="I841" s="6"/>
      <c r="J841" s="6"/>
      <c r="K841" s="6"/>
      <c r="L841" s="6"/>
    </row>
    <row r="842" spans="1:12" x14ac:dyDescent="0.2">
      <c r="C842" s="6"/>
      <c r="D842" s="6"/>
      <c r="E842" s="6"/>
      <c r="F842" s="6"/>
      <c r="G842" s="6"/>
      <c r="H842" s="6"/>
      <c r="I842" s="6"/>
      <c r="J842" s="6"/>
      <c r="K842" s="6"/>
      <c r="L842" s="6"/>
    </row>
    <row r="843" spans="1:12" x14ac:dyDescent="0.2">
      <c r="C843" s="6"/>
      <c r="D843" s="6"/>
      <c r="E843" s="6"/>
      <c r="F843" s="6"/>
      <c r="G843" s="6"/>
      <c r="H843" s="6"/>
      <c r="I843" s="6"/>
      <c r="J843" s="6"/>
      <c r="K843" s="6"/>
      <c r="L843" s="6"/>
    </row>
    <row r="844" spans="1:12" x14ac:dyDescent="0.2">
      <c r="C844" s="6"/>
      <c r="D844" s="6"/>
      <c r="E844" s="6"/>
      <c r="F844" s="6"/>
      <c r="G844" s="6"/>
      <c r="H844" s="6"/>
      <c r="I844" s="6"/>
      <c r="J844" s="6"/>
      <c r="K844" s="6"/>
      <c r="L844" s="6"/>
    </row>
    <row r="845" spans="1:12" x14ac:dyDescent="0.2">
      <c r="C845" s="6"/>
      <c r="D845" s="6"/>
      <c r="E845" s="6"/>
      <c r="F845" s="6"/>
      <c r="G845" s="6"/>
      <c r="H845" s="6"/>
      <c r="I845" s="6"/>
      <c r="J845" s="6"/>
      <c r="K845" s="6"/>
      <c r="L845" s="6"/>
    </row>
    <row r="846" spans="1:12" x14ac:dyDescent="0.2">
      <c r="A846">
        <f>8</f>
        <v>8</v>
      </c>
      <c r="B846">
        <f>ACE_Input!A6</f>
        <v>1</v>
      </c>
      <c r="C846" s="6">
        <f>MOD(Settings!$B$17*(Settings!$B$15+1000*A846),Settings!$B$18)</f>
        <v>341938415</v>
      </c>
      <c r="D846" s="6">
        <f>MAX(C846,1)/Settings!$B$18</f>
        <v>0.15922748258301406</v>
      </c>
      <c r="E846" s="6">
        <f>F846</f>
        <v>2</v>
      </c>
      <c r="F846" s="6">
        <f>ACE_Input!D6</f>
        <v>2</v>
      </c>
      <c r="G846" s="6">
        <f>MOD(Settings!$B$17*(Settings!$B$16+1000*A846),Settings!$B$18)</f>
        <v>1047429047</v>
      </c>
      <c r="H846" s="6">
        <f>MAX(G846,1)/Settings!$B$18</f>
        <v>0.48774715861666351</v>
      </c>
      <c r="I846" s="6">
        <f>-ACE_Input!W6*LN(H846)</f>
        <v>2.8718324999483689</v>
      </c>
      <c r="J846" s="6">
        <f>-ACE_Input!X6*LN(H846)</f>
        <v>8.615497499845107</v>
      </c>
      <c r="K846" s="6">
        <f>ACE_Input!U6</f>
        <v>300</v>
      </c>
      <c r="L846" s="6">
        <f>K846*ACE_Input!V6</f>
        <v>75</v>
      </c>
    </row>
    <row r="847" spans="1:12" x14ac:dyDescent="0.2">
      <c r="A847">
        <f>8</f>
        <v>8</v>
      </c>
      <c r="B847">
        <f>ACE_Input!A7</f>
        <v>2</v>
      </c>
      <c r="C847" s="6">
        <f>MOD(Settings!$B$17*(C846),Settings!$B$18)</f>
        <v>292701533</v>
      </c>
      <c r="D847" s="6">
        <f>MAX(C847,1)/Settings!$B$18</f>
        <v>0.13629977271719826</v>
      </c>
      <c r="E847" s="6">
        <f t="shared" ref="E847:E878" si="28">F847-F846</f>
        <v>5</v>
      </c>
      <c r="F847" s="6">
        <f>ACE_Input!D7</f>
        <v>7</v>
      </c>
      <c r="G847" s="6">
        <f>MOD(Settings!$B$17*(G846),Settings!$B$18)</f>
        <v>1216538470</v>
      </c>
      <c r="H847" s="6">
        <f>MAX(G847,1)/Settings!$B$18</f>
        <v>0.5664948702633823</v>
      </c>
      <c r="I847" s="6">
        <f>-ACE_Input!W7*LN(H847)</f>
        <v>2.2731490147789386</v>
      </c>
      <c r="J847" s="6">
        <f>-ACE_Input!X7*LN(H847)</f>
        <v>6.8194470443368154</v>
      </c>
      <c r="K847" s="6">
        <f>ACE_Input!U7</f>
        <v>300</v>
      </c>
      <c r="L847" s="6">
        <f>K847*ACE_Input!V7</f>
        <v>75</v>
      </c>
    </row>
    <row r="848" spans="1:12" x14ac:dyDescent="0.2">
      <c r="A848">
        <f>8</f>
        <v>8</v>
      </c>
      <c r="B848">
        <f>ACE_Input!A8</f>
        <v>3</v>
      </c>
      <c r="C848" s="6">
        <f>MOD(Settings!$B$17*(C847),Settings!$B$18)</f>
        <v>1697113501</v>
      </c>
      <c r="D848" s="6">
        <f>MAX(C848,1)/Settings!$B$18</f>
        <v>0.79028005795100709</v>
      </c>
      <c r="E848" s="6">
        <f t="shared" si="28"/>
        <v>25</v>
      </c>
      <c r="F848" s="6">
        <f>ACE_Input!D8</f>
        <v>32</v>
      </c>
      <c r="G848" s="6">
        <f>MOD(Settings!$B$17*(G847),Settings!$B$18)</f>
        <v>170262203</v>
      </c>
      <c r="H848" s="6">
        <f>MAX(G848,1)/Settings!$B$18</f>
        <v>7.9284516665751356E-2</v>
      </c>
      <c r="I848" s="6">
        <f>-ACE_Input!W8*LN(H848)</f>
        <v>10.138849678086995</v>
      </c>
      <c r="J848" s="6">
        <f>-ACE_Input!X8*LN(H848)</f>
        <v>30.416549034260985</v>
      </c>
      <c r="K848" s="6">
        <f>ACE_Input!U8</f>
        <v>300</v>
      </c>
      <c r="L848" s="6">
        <f>K848*ACE_Input!V8</f>
        <v>75</v>
      </c>
    </row>
    <row r="849" spans="1:12" x14ac:dyDescent="0.2">
      <c r="A849">
        <f>8</f>
        <v>8</v>
      </c>
      <c r="B849">
        <f>ACE_Input!A9</f>
        <v>4</v>
      </c>
      <c r="C849" s="6">
        <f>MOD(Settings!$B$17*(C848),Settings!$B$18)</f>
        <v>508811853</v>
      </c>
      <c r="D849" s="6">
        <f>MAX(C849,1)/Settings!$B$18</f>
        <v>0.23693398257574719</v>
      </c>
      <c r="E849" s="6">
        <f t="shared" si="28"/>
        <v>5</v>
      </c>
      <c r="F849" s="6">
        <f>ACE_Input!D9</f>
        <v>37</v>
      </c>
      <c r="G849" s="6">
        <f>MOD(Settings!$B$17*(G848),Settings!$B$18)</f>
        <v>1148628017</v>
      </c>
      <c r="H849" s="6">
        <f>MAX(G849,1)/Settings!$B$18</f>
        <v>0.5348716012830248</v>
      </c>
      <c r="I849" s="6">
        <f>-ACE_Input!W9*LN(H849)</f>
        <v>2.5029142339679455</v>
      </c>
      <c r="J849" s="6">
        <f>-ACE_Input!X9*LN(H849)</f>
        <v>7.5087427019038362</v>
      </c>
      <c r="K849" s="6">
        <f>ACE_Input!U9</f>
        <v>300</v>
      </c>
      <c r="L849" s="6">
        <f>K849*ACE_Input!V9</f>
        <v>75</v>
      </c>
    </row>
    <row r="850" spans="1:12" x14ac:dyDescent="0.2">
      <c r="A850">
        <f>8</f>
        <v>8</v>
      </c>
      <c r="B850">
        <f>ACE_Input!A10</f>
        <v>5</v>
      </c>
      <c r="C850" s="6">
        <f>MOD(Settings!$B$17*(C849),Settings!$B$18)</f>
        <v>320931017</v>
      </c>
      <c r="D850" s="6">
        <f>MAX(C850,1)/Settings!$B$18</f>
        <v>0.14944515058279279</v>
      </c>
      <c r="E850" s="6">
        <f t="shared" si="28"/>
        <v>5</v>
      </c>
      <c r="F850" s="6">
        <f>ACE_Input!D10</f>
        <v>42</v>
      </c>
      <c r="G850" s="6">
        <f>MOD(Settings!$B$17*(G849),Settings!$B$18)</f>
        <v>1260578836</v>
      </c>
      <c r="H850" s="6">
        <f>MAX(G850,1)/Settings!$B$18</f>
        <v>0.58700276379799599</v>
      </c>
      <c r="I850" s="6">
        <f>-ACE_Input!W10*LN(H850)</f>
        <v>2.1309030032840361</v>
      </c>
      <c r="J850" s="6">
        <f>-ACE_Input!X10*LN(H850)</f>
        <v>6.3927090098521084</v>
      </c>
      <c r="K850" s="6">
        <f>ACE_Input!U10</f>
        <v>300</v>
      </c>
      <c r="L850" s="6">
        <f>K850*ACE_Input!V10</f>
        <v>75</v>
      </c>
    </row>
    <row r="851" spans="1:12" x14ac:dyDescent="0.2">
      <c r="A851">
        <f>8</f>
        <v>8</v>
      </c>
      <c r="B851">
        <f>ACE_Input!A11</f>
        <v>6</v>
      </c>
      <c r="C851" s="6">
        <f>MOD(Settings!$B$17*(C850),Settings!$B$18)</f>
        <v>1556165102</v>
      </c>
      <c r="D851" s="6">
        <f>MAX(C851,1)/Settings!$B$18</f>
        <v>0.72464584499813889</v>
      </c>
      <c r="E851" s="6">
        <f t="shared" si="28"/>
        <v>5</v>
      </c>
      <c r="F851" s="6">
        <f>ACE_Input!D11</f>
        <v>47</v>
      </c>
      <c r="G851" s="6">
        <f>MOD(Settings!$B$17*(G850),Settings!$B$18)</f>
        <v>1622318997</v>
      </c>
      <c r="H851" s="6">
        <f>MAX(G851,1)/Settings!$B$18</f>
        <v>0.75545115291860476</v>
      </c>
      <c r="I851" s="6">
        <f>-ACE_Input!W11*LN(H851)</f>
        <v>1.1217606186502354</v>
      </c>
      <c r="J851" s="6">
        <f>-ACE_Input!X11*LN(H851)</f>
        <v>3.3652818559507063</v>
      </c>
      <c r="K851" s="6">
        <f>ACE_Input!U11</f>
        <v>300</v>
      </c>
      <c r="L851" s="6">
        <f>K851*ACE_Input!V11</f>
        <v>75</v>
      </c>
    </row>
    <row r="852" spans="1:12" x14ac:dyDescent="0.2">
      <c r="A852">
        <f>8</f>
        <v>8</v>
      </c>
      <c r="B852">
        <f>ACE_Input!A12</f>
        <v>7</v>
      </c>
      <c r="C852" s="6">
        <f>MOD(Settings!$B$17*(C851),Settings!$B$18)</f>
        <v>263532501</v>
      </c>
      <c r="D852" s="6">
        <f>MAX(C852,1)/Settings!$B$18</f>
        <v>0.12271688372023258</v>
      </c>
      <c r="E852" s="6">
        <f t="shared" si="28"/>
        <v>5</v>
      </c>
      <c r="F852" s="6">
        <f>ACE_Input!D12</f>
        <v>52</v>
      </c>
      <c r="G852" s="6">
        <f>MOD(Settings!$B$17*(G851),Settings!$B$18)</f>
        <v>1863000267</v>
      </c>
      <c r="H852" s="6">
        <f>MAX(G852,1)/Settings!$B$18</f>
        <v>0.86752710298985569</v>
      </c>
      <c r="I852" s="6">
        <f>-ACE_Input!W12*LN(H852)</f>
        <v>0.56843410003824313</v>
      </c>
      <c r="J852" s="6">
        <f>-ACE_Input!X12*LN(H852)</f>
        <v>1.7053023001147294</v>
      </c>
      <c r="K852" s="6">
        <f>ACE_Input!U12</f>
        <v>300</v>
      </c>
      <c r="L852" s="6">
        <f>K852*ACE_Input!V12</f>
        <v>75</v>
      </c>
    </row>
    <row r="853" spans="1:12" x14ac:dyDescent="0.2">
      <c r="A853">
        <f>8</f>
        <v>8</v>
      </c>
      <c r="B853">
        <f>ACE_Input!A13</f>
        <v>8</v>
      </c>
      <c r="C853" s="6">
        <f>MOD(Settings!$B$17*(C852),Settings!$B$18)</f>
        <v>1079464193</v>
      </c>
      <c r="D853" s="6">
        <f>MAX(C853,1)/Settings!$B$18</f>
        <v>0.50266468594906144</v>
      </c>
      <c r="E853" s="6">
        <f t="shared" si="28"/>
        <v>5</v>
      </c>
      <c r="F853" s="6">
        <f>ACE_Input!D13</f>
        <v>57</v>
      </c>
      <c r="G853" s="6">
        <f>MOD(Settings!$B$17*(G852),Settings!$B$18)</f>
        <v>1133914209</v>
      </c>
      <c r="H853" s="6">
        <f>MAX(G853,1)/Settings!$B$18</f>
        <v>0.52801995050535533</v>
      </c>
      <c r="I853" s="6">
        <f>-ACE_Input!W13*LN(H853)</f>
        <v>2.5544848437667644</v>
      </c>
      <c r="J853" s="6">
        <f>-ACE_Input!X13*LN(H853)</f>
        <v>7.6634545313002933</v>
      </c>
      <c r="K853" s="6">
        <f>ACE_Input!U13</f>
        <v>300</v>
      </c>
      <c r="L853" s="6">
        <f>K853*ACE_Input!V13</f>
        <v>75</v>
      </c>
    </row>
    <row r="854" spans="1:12" x14ac:dyDescent="0.2">
      <c r="A854">
        <f>8</f>
        <v>8</v>
      </c>
      <c r="B854">
        <f>ACE_Input!A14</f>
        <v>9</v>
      </c>
      <c r="C854" s="6">
        <f>MOD(Settings!$B$17*(C853),Settings!$B$18)</f>
        <v>612841895</v>
      </c>
      <c r="D854" s="6">
        <f>MAX(C854,1)/Settings!$B$18</f>
        <v>0.2853767458747033</v>
      </c>
      <c r="E854" s="6">
        <f t="shared" si="28"/>
        <v>115</v>
      </c>
      <c r="F854" s="6">
        <f>ACE_Input!D14</f>
        <v>172</v>
      </c>
      <c r="G854" s="6">
        <f>MOD(Settings!$B$17*(G853),Settings!$B$18)</f>
        <v>926227185</v>
      </c>
      <c r="H854" s="6">
        <f>MAX(G854,1)/Settings!$B$18</f>
        <v>0.43130814350736707</v>
      </c>
      <c r="I854" s="6">
        <f>-ACE_Input!W14*LN(H854)</f>
        <v>3.3637299768015287</v>
      </c>
      <c r="J854" s="6">
        <f>-ACE_Input!X14*LN(H854)</f>
        <v>10.091189930404585</v>
      </c>
      <c r="K854" s="6">
        <f>ACE_Input!U14</f>
        <v>300</v>
      </c>
      <c r="L854" s="6">
        <f>K854*ACE_Input!V14</f>
        <v>75</v>
      </c>
    </row>
    <row r="855" spans="1:12" x14ac:dyDescent="0.2">
      <c r="A855">
        <f>8</f>
        <v>8</v>
      </c>
      <c r="B855">
        <f>ACE_Input!A15</f>
        <v>10</v>
      </c>
      <c r="C855" s="6">
        <f>MOD(Settings!$B$17*(C854),Settings!$B$18)</f>
        <v>702158253</v>
      </c>
      <c r="D855" s="6">
        <f>MAX(C855,1)/Settings!$B$18</f>
        <v>0.32696791613798959</v>
      </c>
      <c r="E855" s="6">
        <f t="shared" si="28"/>
        <v>5</v>
      </c>
      <c r="F855" s="6">
        <f>ACE_Input!D15</f>
        <v>177</v>
      </c>
      <c r="G855" s="6">
        <f>MOD(Settings!$B$17*(G854),Settings!$B$18)</f>
        <v>2138824839</v>
      </c>
      <c r="H855" s="6">
        <f>MAX(G855,1)/Settings!$B$18</f>
        <v>0.99596792831829184</v>
      </c>
      <c r="I855" s="6">
        <f>-ACE_Input!W15*LN(H855)</f>
        <v>1.6160889598513011E-2</v>
      </c>
      <c r="J855" s="6">
        <f>-ACE_Input!X15*LN(H855)</f>
        <v>4.848266879553903E-2</v>
      </c>
      <c r="K855" s="6">
        <f>ACE_Input!U15</f>
        <v>300</v>
      </c>
      <c r="L855" s="6">
        <f>K855*ACE_Input!V15</f>
        <v>75</v>
      </c>
    </row>
    <row r="856" spans="1:12" x14ac:dyDescent="0.2">
      <c r="A856">
        <f>8</f>
        <v>8</v>
      </c>
      <c r="B856">
        <f>ACE_Input!A16</f>
        <v>11</v>
      </c>
      <c r="C856" s="6">
        <f>MOD(Settings!$B$17*(C855),Settings!$B$18)</f>
        <v>751117906</v>
      </c>
      <c r="D856" s="6">
        <f>MAX(C856,1)/Settings!$B$18</f>
        <v>0.3497665311907262</v>
      </c>
      <c r="E856" s="6">
        <f t="shared" si="28"/>
        <v>5</v>
      </c>
      <c r="F856" s="6">
        <f>ACE_Input!D16</f>
        <v>182</v>
      </c>
      <c r="G856" s="6">
        <f>MOD(Settings!$B$17*(G855),Settings!$B$18)</f>
        <v>500301940</v>
      </c>
      <c r="H856" s="6">
        <f>MAX(G856,1)/Settings!$B$18</f>
        <v>0.23297124553144502</v>
      </c>
      <c r="I856" s="6">
        <f>-ACE_Input!W16*LN(H856)</f>
        <v>5.8273609710733281</v>
      </c>
      <c r="J856" s="6">
        <f>-ACE_Input!X16*LN(H856)</f>
        <v>17.482082913219983</v>
      </c>
      <c r="K856" s="6">
        <f>ACE_Input!U16</f>
        <v>300</v>
      </c>
      <c r="L856" s="6">
        <f>K856*ACE_Input!V16</f>
        <v>75</v>
      </c>
    </row>
    <row r="857" spans="1:12" x14ac:dyDescent="0.2">
      <c r="A857">
        <f>8</f>
        <v>8</v>
      </c>
      <c r="B857">
        <f>ACE_Input!A17</f>
        <v>12</v>
      </c>
      <c r="C857" s="6">
        <f>MOD(Settings!$B$17*(C856),Settings!$B$18)</f>
        <v>1129769076</v>
      </c>
      <c r="D857" s="6">
        <f>MAX(C857,1)/Settings!$B$18</f>
        <v>0.5260897225356147</v>
      </c>
      <c r="E857" s="6">
        <f t="shared" si="28"/>
        <v>5</v>
      </c>
      <c r="F857" s="6">
        <f>ACE_Input!D17</f>
        <v>187</v>
      </c>
      <c r="G857" s="6">
        <f>MOD(Settings!$B$17*(G856),Settings!$B$18)</f>
        <v>1176227575</v>
      </c>
      <c r="H857" s="6">
        <f>MAX(G857,1)/Settings!$B$18</f>
        <v>0.54772364699641407</v>
      </c>
      <c r="I857" s="6">
        <f>-ACE_Input!W17*LN(H857)</f>
        <v>2.4079376521406823</v>
      </c>
      <c r="J857" s="6">
        <f>-ACE_Input!X17*LN(H857)</f>
        <v>7.223812956422047</v>
      </c>
      <c r="K857" s="6">
        <f>ACE_Input!U17</f>
        <v>300</v>
      </c>
      <c r="L857" s="6">
        <f>K857*ACE_Input!V17</f>
        <v>75</v>
      </c>
    </row>
    <row r="858" spans="1:12" x14ac:dyDescent="0.2">
      <c r="A858">
        <f>8</f>
        <v>8</v>
      </c>
      <c r="B858">
        <f>ACE_Input!A18</f>
        <v>13</v>
      </c>
      <c r="C858" s="6">
        <f>MOD(Settings!$B$17*(C857),Settings!$B$18)</f>
        <v>2125937205</v>
      </c>
      <c r="D858" s="6">
        <f>MAX(C858,1)/Settings!$B$18</f>
        <v>0.98996665607670631</v>
      </c>
      <c r="E858" s="6">
        <f t="shared" si="28"/>
        <v>5</v>
      </c>
      <c r="F858" s="6">
        <f>ACE_Input!D18</f>
        <v>192</v>
      </c>
      <c r="G858" s="6">
        <f>MOD(Settings!$B$17*(G857),Settings!$B$18)</f>
        <v>1269882390</v>
      </c>
      <c r="H858" s="6">
        <f>MAX(G858,1)/Settings!$B$18</f>
        <v>0.59133506873219044</v>
      </c>
      <c r="I858" s="6">
        <f>-ACE_Input!W18*LN(H858)</f>
        <v>2.1014898802526916</v>
      </c>
      <c r="J858" s="6">
        <f>-ACE_Input!X18*LN(H858)</f>
        <v>6.3044696407580751</v>
      </c>
      <c r="K858" s="6">
        <f>ACE_Input!U18</f>
        <v>300</v>
      </c>
      <c r="L858" s="6">
        <f>K858*ACE_Input!V18</f>
        <v>75</v>
      </c>
    </row>
    <row r="859" spans="1:12" x14ac:dyDescent="0.2">
      <c r="A859">
        <f>8</f>
        <v>8</v>
      </c>
      <c r="B859">
        <f>ACE_Input!A19</f>
        <v>14</v>
      </c>
      <c r="C859" s="6">
        <f>MOD(Settings!$B$17*(C858),Settings!$B$18)</f>
        <v>793685649</v>
      </c>
      <c r="D859" s="6">
        <f>MAX(C859,1)/Settings!$B$18</f>
        <v>0.36958868120312166</v>
      </c>
      <c r="E859" s="6">
        <f t="shared" si="28"/>
        <v>5</v>
      </c>
      <c r="F859" s="6">
        <f>ACE_Input!D19</f>
        <v>197</v>
      </c>
      <c r="G859" s="6">
        <f>MOD(Settings!$B$17*(G858),Settings!$B$18)</f>
        <v>1220844844</v>
      </c>
      <c r="H859" s="6">
        <f>MAX(G859,1)/Settings!$B$18</f>
        <v>0.56850018192478469</v>
      </c>
      <c r="I859" s="6">
        <f>-ACE_Input!W19*LN(H859)</f>
        <v>2.2590145831327249</v>
      </c>
      <c r="J859" s="6">
        <f>-ACE_Input!X19*LN(H859)</f>
        <v>6.7770437493981746</v>
      </c>
      <c r="K859" s="6">
        <f>ACE_Input!U19</f>
        <v>300</v>
      </c>
      <c r="L859" s="6">
        <f>K859*ACE_Input!V19</f>
        <v>75</v>
      </c>
    </row>
    <row r="860" spans="1:12" x14ac:dyDescent="0.2">
      <c r="A860">
        <f>8</f>
        <v>8</v>
      </c>
      <c r="B860">
        <f>ACE_Input!A20</f>
        <v>15</v>
      </c>
      <c r="C860" s="6">
        <f>MOD(Settings!$B$17*(C859),Settings!$B$18)</f>
        <v>1453771226</v>
      </c>
      <c r="D860" s="6">
        <f>MAX(C860,1)/Settings!$B$18</f>
        <v>0.67696498086534673</v>
      </c>
      <c r="E860" s="6">
        <f t="shared" si="28"/>
        <v>5</v>
      </c>
      <c r="F860" s="6">
        <f>ACE_Input!D20</f>
        <v>202</v>
      </c>
      <c r="G860" s="6">
        <f>MOD(Settings!$B$17*(G859),Settings!$B$18)</f>
        <v>1680529670</v>
      </c>
      <c r="H860" s="6">
        <f>MAX(G860,1)/Settings!$B$18</f>
        <v>0.78255760985545708</v>
      </c>
      <c r="I860" s="6">
        <f>-ACE_Input!W20*LN(H860)</f>
        <v>0.98075094583751987</v>
      </c>
      <c r="J860" s="6">
        <f>-ACE_Input!X20*LN(H860)</f>
        <v>2.9422528375125596</v>
      </c>
      <c r="K860" s="6">
        <f>ACE_Input!U20</f>
        <v>300</v>
      </c>
      <c r="L860" s="6">
        <f>K860*ACE_Input!V20</f>
        <v>75</v>
      </c>
    </row>
    <row r="861" spans="1:12" x14ac:dyDescent="0.2">
      <c r="A861">
        <f>8</f>
        <v>8</v>
      </c>
      <c r="B861">
        <f>ACE_Input!A21</f>
        <v>16</v>
      </c>
      <c r="C861" s="6">
        <f>MOD(Settings!$B$17*(C860),Settings!$B$18)</f>
        <v>1611543463</v>
      </c>
      <c r="D861" s="6">
        <f>MAX(C861,1)/Settings!$B$18</f>
        <v>0.75043340388239987</v>
      </c>
      <c r="E861" s="6">
        <f t="shared" si="28"/>
        <v>5</v>
      </c>
      <c r="F861" s="6">
        <f>ACE_Input!D21</f>
        <v>207</v>
      </c>
      <c r="G861" s="6">
        <f>MOD(Settings!$B$17*(G860),Settings!$B$18)</f>
        <v>957238346</v>
      </c>
      <c r="H861" s="6">
        <f>MAX(G861,1)/Settings!$B$18</f>
        <v>0.44574884066625908</v>
      </c>
      <c r="I861" s="6">
        <f>-ACE_Input!W21*LN(H861)</f>
        <v>3.231998492412631</v>
      </c>
      <c r="J861" s="6">
        <f>-ACE_Input!X21*LN(H861)</f>
        <v>9.6959954772378936</v>
      </c>
      <c r="K861" s="6">
        <f>ACE_Input!U21</f>
        <v>300</v>
      </c>
      <c r="L861" s="6">
        <f>K861*ACE_Input!V21</f>
        <v>75</v>
      </c>
    </row>
    <row r="862" spans="1:12" x14ac:dyDescent="0.2">
      <c r="A862">
        <f>8</f>
        <v>8</v>
      </c>
      <c r="B862">
        <f>ACE_Input!A22</f>
        <v>17</v>
      </c>
      <c r="C862" s="6">
        <f>MOD(Settings!$B$17*(C861),Settings!$B$18)</f>
        <v>1147226677</v>
      </c>
      <c r="D862" s="6">
        <f>MAX(C862,1)/Settings!$B$18</f>
        <v>0.5342190514943651</v>
      </c>
      <c r="E862" s="6">
        <f t="shared" si="28"/>
        <v>5</v>
      </c>
      <c r="F862" s="6">
        <f>ACE_Input!D22</f>
        <v>212</v>
      </c>
      <c r="G862" s="6">
        <f>MOD(Settings!$B$17*(G861),Settings!$B$18)</f>
        <v>1504881545</v>
      </c>
      <c r="H862" s="6">
        <f>MAX(G862,1)/Settings!$B$18</f>
        <v>0.70076507781667874</v>
      </c>
      <c r="I862" s="6">
        <f>-ACE_Input!W22*LN(H862)</f>
        <v>1.422330289936792</v>
      </c>
      <c r="J862" s="6">
        <f>-ACE_Input!X22*LN(H862)</f>
        <v>4.2669908698103765</v>
      </c>
      <c r="K862" s="6">
        <f>ACE_Input!U22</f>
        <v>300</v>
      </c>
      <c r="L862" s="6">
        <f>K862*ACE_Input!V22</f>
        <v>75</v>
      </c>
    </row>
    <row r="863" spans="1:12" x14ac:dyDescent="0.2">
      <c r="A863">
        <f>8</f>
        <v>8</v>
      </c>
      <c r="B863">
        <f>ACE_Input!A23</f>
        <v>18</v>
      </c>
      <c r="C863" s="6">
        <f>MOD(Settings!$B$17*(C862),Settings!$B$18)</f>
        <v>1330577573</v>
      </c>
      <c r="D863" s="6">
        <f>MAX(C863,1)/Settings!$B$18</f>
        <v>0.61959846579451039</v>
      </c>
      <c r="E863" s="6">
        <f t="shared" si="28"/>
        <v>5</v>
      </c>
      <c r="F863" s="6">
        <f>ACE_Input!D23</f>
        <v>217</v>
      </c>
      <c r="G863" s="6">
        <f>MOD(Settings!$B$17*(G862),Settings!$B$18)</f>
        <v>1629216096</v>
      </c>
      <c r="H863" s="6">
        <f>MAX(G863,1)/Settings!$B$18</f>
        <v>0.75866286491912927</v>
      </c>
      <c r="I863" s="6">
        <f>-ACE_Input!W23*LN(H863)</f>
        <v>1.1047911340294376</v>
      </c>
      <c r="J863" s="6">
        <f>-ACE_Input!X23*LN(H863)</f>
        <v>3.3143734020883127</v>
      </c>
      <c r="K863" s="6">
        <f>ACE_Input!U23</f>
        <v>300</v>
      </c>
      <c r="L863" s="6">
        <f>K863*ACE_Input!V23</f>
        <v>75</v>
      </c>
    </row>
    <row r="864" spans="1:12" x14ac:dyDescent="0.2">
      <c r="A864">
        <f>8</f>
        <v>8</v>
      </c>
      <c r="B864">
        <f>ACE_Input!A24</f>
        <v>19</v>
      </c>
      <c r="C864" s="6">
        <f>MOD(Settings!$B$17*(C863),Settings!$B$18)</f>
        <v>1270053200</v>
      </c>
      <c r="D864" s="6">
        <f>MAX(C864,1)/Settings!$B$18</f>
        <v>0.59141460833671256</v>
      </c>
      <c r="E864" s="6">
        <f t="shared" si="28"/>
        <v>5</v>
      </c>
      <c r="F864" s="6">
        <f>ACE_Input!D24</f>
        <v>222</v>
      </c>
      <c r="G864" s="6">
        <f>MOD(Settings!$B$17*(G863),Settings!$B$18)</f>
        <v>1818426222</v>
      </c>
      <c r="H864" s="6">
        <f>MAX(G864,1)/Settings!$B$18</f>
        <v>0.84677069580497721</v>
      </c>
      <c r="I864" s="6">
        <f>-ACE_Input!W24*LN(H864)</f>
        <v>0.6653013844978104</v>
      </c>
      <c r="J864" s="6">
        <f>-ACE_Input!X24*LN(H864)</f>
        <v>1.9959041534934312</v>
      </c>
      <c r="K864" s="6">
        <f>ACE_Input!U24</f>
        <v>300</v>
      </c>
      <c r="L864" s="6">
        <f>K864*ACE_Input!V24</f>
        <v>75</v>
      </c>
    </row>
    <row r="865" spans="1:12" x14ac:dyDescent="0.2">
      <c r="A865">
        <f>8</f>
        <v>8</v>
      </c>
      <c r="B865">
        <f>ACE_Input!A25</f>
        <v>20</v>
      </c>
      <c r="C865" s="6">
        <f>MOD(Settings!$B$17*(C864),Settings!$B$18)</f>
        <v>1944164867</v>
      </c>
      <c r="D865" s="6">
        <f>MAX(C865,1)/Settings!$B$18</f>
        <v>0.90532231512727324</v>
      </c>
      <c r="E865" s="6">
        <f t="shared" si="28"/>
        <v>5</v>
      </c>
      <c r="F865" s="6">
        <f>ACE_Input!D25</f>
        <v>227</v>
      </c>
      <c r="G865" s="6">
        <f>MOD(Settings!$B$17*(G864),Settings!$B$18)</f>
        <v>1449732697</v>
      </c>
      <c r="H865" s="6">
        <f>MAX(G865,1)/Settings!$B$18</f>
        <v>0.67508439425150135</v>
      </c>
      <c r="I865" s="6">
        <f>-ACE_Input!W25*LN(H865)</f>
        <v>1.5716702696171143</v>
      </c>
      <c r="J865" s="6">
        <f>-ACE_Input!X25*LN(H865)</f>
        <v>4.7150108088513427</v>
      </c>
      <c r="K865" s="6">
        <f>ACE_Input!U25</f>
        <v>300</v>
      </c>
      <c r="L865" s="6">
        <f>K865*ACE_Input!V25</f>
        <v>75</v>
      </c>
    </row>
    <row r="866" spans="1:12" x14ac:dyDescent="0.2">
      <c r="A866">
        <f>8</f>
        <v>8</v>
      </c>
      <c r="B866">
        <f>ACE_Input!A26</f>
        <v>21</v>
      </c>
      <c r="C866" s="6">
        <f>MOD(Settings!$B$17*(C865),Settings!$B$18)</f>
        <v>1615230564</v>
      </c>
      <c r="D866" s="6">
        <f>MAX(C866,1)/Settings!$B$18</f>
        <v>0.752150344081293</v>
      </c>
      <c r="E866" s="6">
        <f t="shared" si="28"/>
        <v>5</v>
      </c>
      <c r="F866" s="6">
        <f>ACE_Input!D26</f>
        <v>232</v>
      </c>
      <c r="G866" s="6">
        <f>MOD(Settings!$B$17*(G865),Settings!$B$18)</f>
        <v>307979617</v>
      </c>
      <c r="H866" s="6">
        <f>MAX(G866,1)/Settings!$B$18</f>
        <v>0.14341418498354694</v>
      </c>
      <c r="I866" s="6">
        <f>-ACE_Input!W26*LN(H866)</f>
        <v>7.768073746864486</v>
      </c>
      <c r="J866" s="6">
        <f>-ACE_Input!X26*LN(H866)</f>
        <v>23.304221240593456</v>
      </c>
      <c r="K866" s="6">
        <f>ACE_Input!U26</f>
        <v>300</v>
      </c>
      <c r="L866" s="6">
        <f>K866*ACE_Input!V26</f>
        <v>75</v>
      </c>
    </row>
    <row r="867" spans="1:12" x14ac:dyDescent="0.2">
      <c r="A867">
        <f>8</f>
        <v>8</v>
      </c>
      <c r="B867">
        <f>ACE_Input!A27</f>
        <v>22</v>
      </c>
      <c r="C867" s="6">
        <f>MOD(Settings!$B$17*(C866),Settings!$B$18)</f>
        <v>839307421</v>
      </c>
      <c r="D867" s="6">
        <f>MAX(C867,1)/Settings!$B$18</f>
        <v>0.39083297429179448</v>
      </c>
      <c r="E867" s="6">
        <f t="shared" si="28"/>
        <v>5</v>
      </c>
      <c r="F867" s="6">
        <f>ACE_Input!D27</f>
        <v>237</v>
      </c>
      <c r="G867" s="6">
        <f>MOD(Settings!$B$17*(G866),Settings!$B$18)</f>
        <v>777833649</v>
      </c>
      <c r="H867" s="6">
        <f>MAX(G867,1)/Settings!$B$18</f>
        <v>0.36220701847328202</v>
      </c>
      <c r="I867" s="6">
        <f>-ACE_Input!W27*LN(H867)</f>
        <v>4.062157425514143</v>
      </c>
      <c r="J867" s="6">
        <f>-ACE_Input!X27*LN(H867)</f>
        <v>12.186472276542428</v>
      </c>
      <c r="K867" s="6">
        <f>ACE_Input!U27</f>
        <v>300</v>
      </c>
      <c r="L867" s="6">
        <f>K867*ACE_Input!V27</f>
        <v>75</v>
      </c>
    </row>
    <row r="868" spans="1:12" x14ac:dyDescent="0.2">
      <c r="A868">
        <f>8</f>
        <v>8</v>
      </c>
      <c r="B868">
        <f>ACE_Input!A28</f>
        <v>23</v>
      </c>
      <c r="C868" s="6">
        <f>MOD(Settings!$B$17*(C867),Settings!$B$18)</f>
        <v>1567231251</v>
      </c>
      <c r="D868" s="6">
        <f>MAX(C868,1)/Settings!$B$18</f>
        <v>0.72979892218941778</v>
      </c>
      <c r="E868" s="6">
        <f t="shared" si="28"/>
        <v>5</v>
      </c>
      <c r="F868" s="6">
        <f>ACE_Input!D28</f>
        <v>242</v>
      </c>
      <c r="G868" s="6">
        <f>MOD(Settings!$B$17*(G867),Settings!$B$18)</f>
        <v>1317179454</v>
      </c>
      <c r="H868" s="6">
        <f>MAX(G868,1)/Settings!$B$18</f>
        <v>0.61335948045056288</v>
      </c>
      <c r="I868" s="6">
        <f>-ACE_Input!W28*LN(H868)</f>
        <v>1.9552163471460078</v>
      </c>
      <c r="J868" s="6">
        <f>-ACE_Input!X28*LN(H868)</f>
        <v>5.8656490414380231</v>
      </c>
      <c r="K868" s="6">
        <f>ACE_Input!U28</f>
        <v>300</v>
      </c>
      <c r="L868" s="6">
        <f>K868*ACE_Input!V28</f>
        <v>75</v>
      </c>
    </row>
    <row r="869" spans="1:12" x14ac:dyDescent="0.2">
      <c r="A869">
        <f>8</f>
        <v>8</v>
      </c>
      <c r="B869">
        <f>ACE_Input!A29</f>
        <v>24</v>
      </c>
      <c r="C869" s="6">
        <f>MOD(Settings!$B$17*(C868),Settings!$B$18)</f>
        <v>1568705102</v>
      </c>
      <c r="D869" s="6">
        <f>MAX(C869,1)/Settings!$B$18</f>
        <v>0.7304852375436971</v>
      </c>
      <c r="E869" s="6">
        <f t="shared" si="28"/>
        <v>5</v>
      </c>
      <c r="F869" s="6">
        <f>ACE_Input!D29</f>
        <v>247</v>
      </c>
      <c r="G869" s="6">
        <f>MOD(Settings!$B$17*(G868),Settings!$B$18)</f>
        <v>1573650102</v>
      </c>
      <c r="H869" s="6">
        <f>MAX(G869,1)/Settings!$B$18</f>
        <v>0.73278793261050612</v>
      </c>
      <c r="I869" s="6">
        <f>-ACE_Input!W29*LN(H869)</f>
        <v>1.2435957330612182</v>
      </c>
      <c r="J869" s="6">
        <f>-ACE_Input!X29*LN(H869)</f>
        <v>3.7307871991836548</v>
      </c>
      <c r="K869" s="6">
        <f>ACE_Input!U29</f>
        <v>300</v>
      </c>
      <c r="L869" s="6">
        <f>K869*ACE_Input!V29</f>
        <v>75</v>
      </c>
    </row>
    <row r="870" spans="1:12" x14ac:dyDescent="0.2">
      <c r="A870">
        <f>8</f>
        <v>8</v>
      </c>
      <c r="B870">
        <f>ACE_Input!A30</f>
        <v>25</v>
      </c>
      <c r="C870" s="6">
        <f>MOD(Settings!$B$17*(C869),Settings!$B$18)</f>
        <v>569915095</v>
      </c>
      <c r="D870" s="6">
        <f>MAX(C870,1)/Settings!$B$18</f>
        <v>0.26538739691739316</v>
      </c>
      <c r="E870" s="6">
        <f t="shared" si="28"/>
        <v>5</v>
      </c>
      <c r="F870" s="6">
        <f>ACE_Input!D30</f>
        <v>252</v>
      </c>
      <c r="G870" s="6">
        <f>MOD(Settings!$B$17*(G869),Settings!$B$18)</f>
        <v>2076151509</v>
      </c>
      <c r="H870" s="6">
        <f>MAX(G870,1)/Settings!$B$18</f>
        <v>0.96678338477703896</v>
      </c>
      <c r="I870" s="6">
        <f>-ACE_Input!W30*LN(H870)</f>
        <v>0.13512326436686553</v>
      </c>
      <c r="J870" s="6">
        <f>-ACE_Input!X30*LN(H870)</f>
        <v>0.40536979310059662</v>
      </c>
      <c r="K870" s="6">
        <f>ACE_Input!U30</f>
        <v>300</v>
      </c>
      <c r="L870" s="6">
        <f>K870*ACE_Input!V30</f>
        <v>75</v>
      </c>
    </row>
    <row r="871" spans="1:12" x14ac:dyDescent="0.2">
      <c r="A871">
        <f>8</f>
        <v>8</v>
      </c>
      <c r="B871">
        <f>ACE_Input!A31</f>
        <v>26</v>
      </c>
      <c r="C871" s="6">
        <f>MOD(Settings!$B$17*(C870),Settings!$B$18)</f>
        <v>785936045</v>
      </c>
      <c r="D871" s="6">
        <f>MAX(C871,1)/Settings!$B$18</f>
        <v>0.36597999062667602</v>
      </c>
      <c r="E871" s="6">
        <f t="shared" si="28"/>
        <v>5</v>
      </c>
      <c r="F871" s="6">
        <f>ACE_Input!D31</f>
        <v>257</v>
      </c>
      <c r="G871" s="6">
        <f>MOD(Settings!$B$17*(G870),Settings!$B$18)</f>
        <v>1564115307</v>
      </c>
      <c r="H871" s="6">
        <f>MAX(G871,1)/Settings!$B$18</f>
        <v>0.72834794769452327</v>
      </c>
      <c r="I871" s="6">
        <f>-ACE_Input!W31*LN(H871)</f>
        <v>1.2679055793495762</v>
      </c>
      <c r="J871" s="6">
        <f>-ACE_Input!X31*LN(H871)</f>
        <v>3.8037167380487285</v>
      </c>
      <c r="K871" s="6">
        <f>ACE_Input!U31</f>
        <v>300</v>
      </c>
      <c r="L871" s="6">
        <f>K871*ACE_Input!V31</f>
        <v>75</v>
      </c>
    </row>
    <row r="872" spans="1:12" x14ac:dyDescent="0.2">
      <c r="A872">
        <f>8</f>
        <v>8</v>
      </c>
      <c r="B872">
        <f>ACE_Input!A32</f>
        <v>27</v>
      </c>
      <c r="C872" s="6">
        <f>MOD(Settings!$B$17*(C871),Settings!$B$18)</f>
        <v>55195618</v>
      </c>
      <c r="D872" s="6">
        <f>MAX(C872,1)/Settings!$B$18</f>
        <v>2.5702462543594866E-2</v>
      </c>
      <c r="E872" s="6">
        <f t="shared" si="28"/>
        <v>5</v>
      </c>
      <c r="F872" s="6">
        <f>ACE_Input!D32</f>
        <v>262</v>
      </c>
      <c r="G872" s="6">
        <f>MOD(Settings!$B$17*(G871),Settings!$B$18)</f>
        <v>738641822</v>
      </c>
      <c r="H872" s="6">
        <f>MAX(G872,1)/Settings!$B$18</f>
        <v>0.34395690185202143</v>
      </c>
      <c r="I872" s="6">
        <f>-ACE_Input!W32*LN(H872)</f>
        <v>4.2689556590859619</v>
      </c>
      <c r="J872" s="6">
        <f>-ACE_Input!X32*LN(H872)</f>
        <v>12.806866977257886</v>
      </c>
      <c r="K872" s="6">
        <f>ACE_Input!U32</f>
        <v>300</v>
      </c>
      <c r="L872" s="6">
        <f>K872*ACE_Input!V32</f>
        <v>75</v>
      </c>
    </row>
    <row r="873" spans="1:12" x14ac:dyDescent="0.2">
      <c r="A873">
        <f>8</f>
        <v>8</v>
      </c>
      <c r="B873">
        <f>ACE_Input!A33</f>
        <v>28</v>
      </c>
      <c r="C873" s="6">
        <f>MOD(Settings!$B$17*(C872),Settings!$B$18)</f>
        <v>2107299869</v>
      </c>
      <c r="D873" s="6">
        <f>MAX(C873,1)/Settings!$B$18</f>
        <v>0.98128797019891811</v>
      </c>
      <c r="E873" s="6">
        <f t="shared" si="28"/>
        <v>6</v>
      </c>
      <c r="F873" s="6">
        <f>ACE_Input!D33</f>
        <v>268</v>
      </c>
      <c r="G873" s="6">
        <f>MOD(Settings!$B$17*(G872),Settings!$B$18)</f>
        <v>1897622694</v>
      </c>
      <c r="H873" s="6">
        <f>MAX(G873,1)/Settings!$B$18</f>
        <v>0.88364942692390147</v>
      </c>
      <c r="I873" s="6">
        <f>-ACE_Input!W33*LN(H873)</f>
        <v>0.49477948351777179</v>
      </c>
      <c r="J873" s="6">
        <f>-ACE_Input!X33*LN(H873)</f>
        <v>1.4843384505533153</v>
      </c>
      <c r="K873" s="6">
        <f>ACE_Input!U33</f>
        <v>300</v>
      </c>
      <c r="L873" s="6">
        <f>K873*ACE_Input!V33</f>
        <v>75</v>
      </c>
    </row>
    <row r="874" spans="1:12" x14ac:dyDescent="0.2">
      <c r="A874">
        <f>8</f>
        <v>8</v>
      </c>
      <c r="B874">
        <f>ACE_Input!A34</f>
        <v>29</v>
      </c>
      <c r="C874" s="6">
        <f>MOD(Settings!$B$17*(C873),Settings!$B$18)</f>
        <v>1088591959</v>
      </c>
      <c r="D874" s="6">
        <f>MAX(C874,1)/Settings!$B$18</f>
        <v>0.50691513321684445</v>
      </c>
      <c r="E874" s="6">
        <f t="shared" si="28"/>
        <v>5</v>
      </c>
      <c r="F874" s="6">
        <f>ACE_Input!D34</f>
        <v>273</v>
      </c>
      <c r="G874" s="6">
        <f>MOD(Settings!$B$17*(G873),Settings!$B$18)</f>
        <v>1064976461</v>
      </c>
      <c r="H874" s="6">
        <f>MAX(G874,1)/Settings!$B$18</f>
        <v>0.49591831001263031</v>
      </c>
      <c r="I874" s="6">
        <f>-ACE_Input!W34*LN(H874)</f>
        <v>2.8053762535060884</v>
      </c>
      <c r="J874" s="6">
        <f>-ACE_Input!X34*LN(H874)</f>
        <v>8.4161287605182658</v>
      </c>
      <c r="K874" s="6">
        <f>ACE_Input!U34</f>
        <v>300</v>
      </c>
      <c r="L874" s="6">
        <f>K874*ACE_Input!V34</f>
        <v>75</v>
      </c>
    </row>
    <row r="875" spans="1:12" x14ac:dyDescent="0.2">
      <c r="A875">
        <f>8</f>
        <v>8</v>
      </c>
      <c r="B875">
        <f>ACE_Input!A35</f>
        <v>30</v>
      </c>
      <c r="C875" s="6">
        <f>MOD(Settings!$B$17*(C874),Settings!$B$18)</f>
        <v>1551866120</v>
      </c>
      <c r="D875" s="6">
        <f>MAX(C875,1)/Settings!$B$18</f>
        <v>0.72264397550497395</v>
      </c>
      <c r="E875" s="6">
        <f t="shared" si="28"/>
        <v>5</v>
      </c>
      <c r="F875" s="6">
        <f>ACE_Input!D35</f>
        <v>278</v>
      </c>
      <c r="G875" s="6">
        <f>MOD(Settings!$B$17*(G874),Settings!$B$18)</f>
        <v>1930665929</v>
      </c>
      <c r="H875" s="6">
        <f>MAX(G875,1)/Settings!$B$18</f>
        <v>0.89903638227797877</v>
      </c>
      <c r="I875" s="6">
        <f>-ACE_Input!W35*LN(H875)</f>
        <v>0.42572710243891543</v>
      </c>
      <c r="J875" s="6">
        <f>-ACE_Input!X35*LN(H875)</f>
        <v>1.2771813073167464</v>
      </c>
      <c r="K875" s="6">
        <f>ACE_Input!U35</f>
        <v>300</v>
      </c>
      <c r="L875" s="6">
        <f>K875*ACE_Input!V35</f>
        <v>75</v>
      </c>
    </row>
    <row r="876" spans="1:12" x14ac:dyDescent="0.2">
      <c r="A876">
        <f>8</f>
        <v>8</v>
      </c>
      <c r="B876">
        <f>ACE_Input!A36</f>
        <v>31</v>
      </c>
      <c r="C876" s="6">
        <f>MOD(Settings!$B$17*(C875),Settings!$B$18)</f>
        <v>1024986025</v>
      </c>
      <c r="D876" s="6">
        <f>MAX(C876,1)/Settings!$B$18</f>
        <v>0.47729631209620105</v>
      </c>
      <c r="E876" s="6">
        <f t="shared" si="28"/>
        <v>5</v>
      </c>
      <c r="F876" s="6">
        <f>ACE_Input!D36</f>
        <v>283</v>
      </c>
      <c r="G876" s="6">
        <f>MOD(Settings!$B$17*(G875),Settings!$B$18)</f>
        <v>224362533</v>
      </c>
      <c r="H876" s="6">
        <f>MAX(G876,1)/Settings!$B$18</f>
        <v>0.10447694598905601</v>
      </c>
      <c r="I876" s="6">
        <f>-ACE_Input!W36*LN(H876)</f>
        <v>9.0351553778428677</v>
      </c>
      <c r="J876" s="6">
        <f>-ACE_Input!X36*LN(H876)</f>
        <v>27.105466133528601</v>
      </c>
      <c r="K876" s="6">
        <f>ACE_Input!U36</f>
        <v>300</v>
      </c>
      <c r="L876" s="6">
        <f>K876*ACE_Input!V36</f>
        <v>75</v>
      </c>
    </row>
    <row r="877" spans="1:12" x14ac:dyDescent="0.2">
      <c r="A877">
        <f>8</f>
        <v>8</v>
      </c>
      <c r="B877">
        <f>ACE_Input!A37</f>
        <v>32</v>
      </c>
      <c r="C877" s="6">
        <f>MOD(Settings!$B$17*(C876),Settings!$B$18)</f>
        <v>1973789588</v>
      </c>
      <c r="D877" s="6">
        <f>MAX(C877,1)/Settings!$B$18</f>
        <v>0.91911740085068971</v>
      </c>
      <c r="E877" s="6">
        <f t="shared" si="28"/>
        <v>5</v>
      </c>
      <c r="F877" s="6">
        <f>ACE_Input!D37</f>
        <v>288</v>
      </c>
      <c r="G877" s="6">
        <f>MOD(Settings!$B$17*(G876),Settings!$B$18)</f>
        <v>2027291646</v>
      </c>
      <c r="H877" s="6">
        <f>MAX(G877,1)/Settings!$B$18</f>
        <v>0.94403123806418443</v>
      </c>
      <c r="I877" s="6">
        <f>-ACE_Input!W37*LN(H877)</f>
        <v>0.23038408885780057</v>
      </c>
      <c r="J877" s="6">
        <f>-ACE_Input!X37*LN(H877)</f>
        <v>0.69115226657340167</v>
      </c>
      <c r="K877" s="6">
        <f>ACE_Input!U37</f>
        <v>300</v>
      </c>
      <c r="L877" s="6">
        <f>K877*ACE_Input!V37</f>
        <v>75</v>
      </c>
    </row>
    <row r="878" spans="1:12" x14ac:dyDescent="0.2">
      <c r="A878">
        <f>8</f>
        <v>8</v>
      </c>
      <c r="B878">
        <f>ACE_Input!A38</f>
        <v>33</v>
      </c>
      <c r="C878" s="6">
        <f>MOD(Settings!$B$17*(C877),Settings!$B$18)</f>
        <v>1301710307</v>
      </c>
      <c r="D878" s="6">
        <f>MAX(C878,1)/Settings!$B$18</f>
        <v>0.60615609754163591</v>
      </c>
      <c r="E878" s="6">
        <f t="shared" si="28"/>
        <v>5</v>
      </c>
      <c r="F878" s="6">
        <f>ACE_Input!D38</f>
        <v>293</v>
      </c>
      <c r="G878" s="6">
        <f>MOD(Settings!$B$17*(G877),Settings!$B$18)</f>
        <v>715151020</v>
      </c>
      <c r="H878" s="6">
        <f>MAX(G878,1)/Settings!$B$18</f>
        <v>0.33301814474771646</v>
      </c>
      <c r="I878" s="6">
        <f>-ACE_Input!W38*LN(H878)</f>
        <v>4.3982332070170758</v>
      </c>
      <c r="J878" s="6">
        <f>-ACE_Input!X38*LN(H878)</f>
        <v>13.194699621051228</v>
      </c>
      <c r="K878" s="6">
        <f>ACE_Input!U38</f>
        <v>300</v>
      </c>
      <c r="L878" s="6">
        <f>K878*ACE_Input!V38</f>
        <v>75</v>
      </c>
    </row>
    <row r="879" spans="1:12" x14ac:dyDescent="0.2">
      <c r="A879">
        <f>8</f>
        <v>8</v>
      </c>
      <c r="B879">
        <f>ACE_Input!A39</f>
        <v>34</v>
      </c>
      <c r="C879" s="6">
        <f>MOD(Settings!$B$17*(C878),Settings!$B$18)</f>
        <v>1429217760</v>
      </c>
      <c r="D879" s="6">
        <f>MAX(C879,1)/Settings!$B$18</f>
        <v>0.66553138227459574</v>
      </c>
      <c r="E879" s="6">
        <f t="shared" ref="E879:E910" si="29">F879-F878</f>
        <v>5</v>
      </c>
      <c r="F879" s="6">
        <f>ACE_Input!D39</f>
        <v>298</v>
      </c>
      <c r="G879" s="6">
        <f>MOD(Settings!$B$17*(G878),Settings!$B$18)</f>
        <v>77220881</v>
      </c>
      <c r="H879" s="6">
        <f>MAX(G879,1)/Settings!$B$18</f>
        <v>3.5958774870242356E-2</v>
      </c>
      <c r="I879" s="6">
        <f>-ACE_Input!W39*LN(H879)</f>
        <v>13.301528556783806</v>
      </c>
      <c r="J879" s="6">
        <f>-ACE_Input!X39*LN(H879)</f>
        <v>39.904585670351416</v>
      </c>
      <c r="K879" s="6">
        <f>ACE_Input!U39</f>
        <v>300</v>
      </c>
      <c r="L879" s="6">
        <f>K879*ACE_Input!V39</f>
        <v>75</v>
      </c>
    </row>
    <row r="880" spans="1:12" x14ac:dyDescent="0.2">
      <c r="A880">
        <f>8</f>
        <v>8</v>
      </c>
      <c r="B880">
        <f>ACE_Input!A40</f>
        <v>35</v>
      </c>
      <c r="C880" s="6">
        <f>MOD(Settings!$B$17*(C879),Settings!$B$18)</f>
        <v>1258300625</v>
      </c>
      <c r="D880" s="6">
        <f>MAX(C880,1)/Settings!$B$18</f>
        <v>0.58594188913048328</v>
      </c>
      <c r="E880" s="6">
        <f t="shared" si="29"/>
        <v>5</v>
      </c>
      <c r="F880" s="6">
        <f>ACE_Input!D40</f>
        <v>303</v>
      </c>
      <c r="G880" s="6">
        <f>MOD(Settings!$B$17*(G879),Settings!$B$18)</f>
        <v>771224179</v>
      </c>
      <c r="H880" s="6">
        <f>MAX(G880,1)/Settings!$B$18</f>
        <v>0.35912924416322689</v>
      </c>
      <c r="I880" s="6">
        <f>-ACE_Input!W40*LN(H880)</f>
        <v>4.0962917747430057</v>
      </c>
      <c r="J880" s="6">
        <f>-ACE_Input!X40*LN(H880)</f>
        <v>12.288875324229018</v>
      </c>
      <c r="K880" s="6">
        <f>ACE_Input!U40</f>
        <v>300</v>
      </c>
      <c r="L880" s="6">
        <f>K880*ACE_Input!V40</f>
        <v>75</v>
      </c>
    </row>
    <row r="881" spans="1:12" x14ac:dyDescent="0.2">
      <c r="A881">
        <f>8</f>
        <v>8</v>
      </c>
      <c r="B881">
        <f>ACE_Input!A41</f>
        <v>36</v>
      </c>
      <c r="C881" s="6">
        <f>MOD(Settings!$B$17*(C880),Settings!$B$18)</f>
        <v>1987132366</v>
      </c>
      <c r="D881" s="6">
        <f>MAX(C881,1)/Settings!$B$18</f>
        <v>0.92533061603332434</v>
      </c>
      <c r="E881" s="6">
        <f t="shared" si="29"/>
        <v>5</v>
      </c>
      <c r="F881" s="6">
        <f>ACE_Input!D41</f>
        <v>308</v>
      </c>
      <c r="G881" s="6">
        <f>MOD(Settings!$B$17*(G880),Settings!$B$18)</f>
        <v>1900966808</v>
      </c>
      <c r="H881" s="6">
        <f>MAX(G881,1)/Settings!$B$18</f>
        <v>0.8852066513547705</v>
      </c>
      <c r="I881" s="6">
        <f>-ACE_Input!W41*LN(H881)</f>
        <v>0.48773662750573427</v>
      </c>
      <c r="J881" s="6">
        <f>-ACE_Input!X41*LN(H881)</f>
        <v>1.4632098825172029</v>
      </c>
      <c r="K881" s="6">
        <f>ACE_Input!U41</f>
        <v>300</v>
      </c>
      <c r="L881" s="6">
        <f>K881*ACE_Input!V41</f>
        <v>75</v>
      </c>
    </row>
    <row r="882" spans="1:12" x14ac:dyDescent="0.2">
      <c r="A882">
        <f>8</f>
        <v>8</v>
      </c>
      <c r="B882">
        <f>ACE_Input!A42</f>
        <v>37</v>
      </c>
      <c r="C882" s="6">
        <f>MOD(Settings!$B$17*(C881),Settings!$B$18)</f>
        <v>67997218</v>
      </c>
      <c r="D882" s="6">
        <f>MAX(C882,1)/Settings!$B$18</f>
        <v>3.1663672081969525E-2</v>
      </c>
      <c r="E882" s="6">
        <f t="shared" si="29"/>
        <v>5</v>
      </c>
      <c r="F882" s="6">
        <f>ACE_Input!D42</f>
        <v>313</v>
      </c>
      <c r="G882" s="6">
        <f>MOD(Settings!$B$17*(G881),Settings!$B$18)</f>
        <v>1434925637</v>
      </c>
      <c r="H882" s="6">
        <f>MAX(G882,1)/Settings!$B$18</f>
        <v>0.66818931962744765</v>
      </c>
      <c r="I882" s="6">
        <f>-ACE_Input!W42*LN(H882)</f>
        <v>1.6127349319332824</v>
      </c>
      <c r="J882" s="6">
        <f>-ACE_Input!X42*LN(H882)</f>
        <v>4.8382047957998475</v>
      </c>
      <c r="K882" s="6">
        <f>ACE_Input!U42</f>
        <v>300</v>
      </c>
      <c r="L882" s="6">
        <f>K882*ACE_Input!V42</f>
        <v>75</v>
      </c>
    </row>
    <row r="883" spans="1:12" x14ac:dyDescent="0.2">
      <c r="A883">
        <f>8</f>
        <v>8</v>
      </c>
      <c r="B883">
        <f>ACE_Input!A43</f>
        <v>38</v>
      </c>
      <c r="C883" s="6">
        <f>MOD(Settings!$B$17*(C882),Settings!$B$18)</f>
        <v>367942722</v>
      </c>
      <c r="D883" s="6">
        <f>MAX(C883,1)/Settings!$B$18</f>
        <v>0.17133668166181851</v>
      </c>
      <c r="E883" s="6">
        <f t="shared" si="29"/>
        <v>5</v>
      </c>
      <c r="F883" s="6">
        <f>ACE_Input!D43</f>
        <v>318</v>
      </c>
      <c r="G883" s="6">
        <f>MOD(Settings!$B$17*(G882),Settings!$B$18)</f>
        <v>553825249</v>
      </c>
      <c r="H883" s="6">
        <f>MAX(G883,1)/Settings!$B$18</f>
        <v>0.25789497851296095</v>
      </c>
      <c r="I883" s="6">
        <f>-ACE_Input!W43*LN(H883)</f>
        <v>5.420811347836902</v>
      </c>
      <c r="J883" s="6">
        <f>-ACE_Input!X43*LN(H883)</f>
        <v>16.262434043510705</v>
      </c>
      <c r="K883" s="6">
        <f>ACE_Input!U43</f>
        <v>300</v>
      </c>
      <c r="L883" s="6">
        <f>K883*ACE_Input!V43</f>
        <v>75</v>
      </c>
    </row>
    <row r="884" spans="1:12" x14ac:dyDescent="0.2">
      <c r="A884">
        <f>8</f>
        <v>8</v>
      </c>
      <c r="B884">
        <f>ACE_Input!A44</f>
        <v>39</v>
      </c>
      <c r="C884" s="6">
        <f>MOD(Settings!$B$17*(C883),Settings!$B$18)</f>
        <v>1407908941</v>
      </c>
      <c r="D884" s="6">
        <f>MAX(C884,1)/Settings!$B$18</f>
        <v>0.65560869018342749</v>
      </c>
      <c r="E884" s="6">
        <f t="shared" si="29"/>
        <v>5</v>
      </c>
      <c r="F884" s="6">
        <f>ACE_Input!D44</f>
        <v>323</v>
      </c>
      <c r="G884" s="6">
        <f>MOD(Settings!$B$17*(G883),Settings!$B$18)</f>
        <v>946833845</v>
      </c>
      <c r="H884" s="6">
        <f>MAX(G884,1)/Settings!$B$18</f>
        <v>0.44090386733454834</v>
      </c>
      <c r="I884" s="6">
        <f>-ACE_Input!W44*LN(H884)</f>
        <v>3.2757136608065038</v>
      </c>
      <c r="J884" s="6">
        <f>-ACE_Input!X44*LN(H884)</f>
        <v>9.8271409824195111</v>
      </c>
      <c r="K884" s="6">
        <f>ACE_Input!U44</f>
        <v>300</v>
      </c>
      <c r="L884" s="6">
        <f>K884*ACE_Input!V44</f>
        <v>75</v>
      </c>
    </row>
    <row r="885" spans="1:12" x14ac:dyDescent="0.2">
      <c r="A885">
        <f>8</f>
        <v>8</v>
      </c>
      <c r="B885">
        <f>ACE_Input!A45</f>
        <v>40</v>
      </c>
      <c r="C885" s="6">
        <f>MOD(Settings!$B$17*(C884),Settings!$B$18)</f>
        <v>1750748741</v>
      </c>
      <c r="D885" s="6">
        <f>MAX(C885,1)/Settings!$B$18</f>
        <v>0.81525591286609689</v>
      </c>
      <c r="E885" s="6">
        <f t="shared" si="29"/>
        <v>5</v>
      </c>
      <c r="F885" s="6">
        <f>ACE_Input!D45</f>
        <v>328</v>
      </c>
      <c r="G885" s="6">
        <f>MOD(Settings!$B$17*(G884),Settings!$B$18)</f>
        <v>582608645</v>
      </c>
      <c r="H885" s="6">
        <f>MAX(G885,1)/Settings!$B$18</f>
        <v>0.27129829175365078</v>
      </c>
      <c r="I885" s="6">
        <f>-ACE_Input!W45*LN(H885)</f>
        <v>5.2181454234352742</v>
      </c>
      <c r="J885" s="6">
        <f>-ACE_Input!X45*LN(H885)</f>
        <v>15.654436270305823</v>
      </c>
      <c r="K885" s="6">
        <f>ACE_Input!U45</f>
        <v>300</v>
      </c>
      <c r="L885" s="6">
        <f>K885*ACE_Input!V45</f>
        <v>75</v>
      </c>
    </row>
    <row r="886" spans="1:12" x14ac:dyDescent="0.2">
      <c r="A886">
        <f>8</f>
        <v>8</v>
      </c>
      <c r="B886">
        <f>ACE_Input!A46</f>
        <v>41</v>
      </c>
      <c r="C886" s="6">
        <f>MOD(Settings!$B$17*(C885),Settings!$B$18)</f>
        <v>13158793</v>
      </c>
      <c r="D886" s="6">
        <f>MAX(C886,1)/Settings!$B$18</f>
        <v>6.1275404906494264E-3</v>
      </c>
      <c r="E886" s="6">
        <f t="shared" si="29"/>
        <v>5</v>
      </c>
      <c r="F886" s="6">
        <f>ACE_Input!D46</f>
        <v>333</v>
      </c>
      <c r="G886" s="6">
        <f>MOD(Settings!$B$17*(G885),Settings!$B$18)</f>
        <v>1525549842</v>
      </c>
      <c r="H886" s="6">
        <f>MAX(G886,1)/Settings!$B$18</f>
        <v>0.71038950360863917</v>
      </c>
      <c r="I886" s="6">
        <f>-ACE_Input!W46*LN(H886)</f>
        <v>1.3677674509560391</v>
      </c>
      <c r="J886" s="6">
        <f>-ACE_Input!X46*LN(H886)</f>
        <v>4.1033023528681172</v>
      </c>
      <c r="K886" s="6">
        <f>ACE_Input!U46</f>
        <v>300</v>
      </c>
      <c r="L886" s="6">
        <f>K886*ACE_Input!V46</f>
        <v>75</v>
      </c>
    </row>
    <row r="887" spans="1:12" x14ac:dyDescent="0.2">
      <c r="A887">
        <f>8</f>
        <v>8</v>
      </c>
      <c r="B887">
        <f>ACE_Input!A47</f>
        <v>42</v>
      </c>
      <c r="C887" s="6">
        <f>MOD(Settings!$B$17*(C886),Settings!$B$18)</f>
        <v>2116501957</v>
      </c>
      <c r="D887" s="6">
        <f>MAX(C887,1)/Settings!$B$18</f>
        <v>0.98557302634491262</v>
      </c>
      <c r="E887" s="6">
        <f t="shared" si="29"/>
        <v>5</v>
      </c>
      <c r="F887" s="6">
        <f>ACE_Input!D47</f>
        <v>338</v>
      </c>
      <c r="G887" s="6">
        <f>MOD(Settings!$B$17*(G886),Settings!$B$18)</f>
        <v>1108932961</v>
      </c>
      <c r="H887" s="6">
        <f>MAX(G887,1)/Settings!$B$18</f>
        <v>0.51638715039770455</v>
      </c>
      <c r="I887" s="6">
        <f>-ACE_Input!W47*LN(H887)</f>
        <v>2.6435940134403544</v>
      </c>
      <c r="J887" s="6">
        <f>-ACE_Input!X47*LN(H887)</f>
        <v>7.9307820403210627</v>
      </c>
      <c r="K887" s="6">
        <f>ACE_Input!U47</f>
        <v>300</v>
      </c>
      <c r="L887" s="6">
        <f>K887*ACE_Input!V47</f>
        <v>75</v>
      </c>
    </row>
    <row r="888" spans="1:12" x14ac:dyDescent="0.2">
      <c r="A888">
        <f>8</f>
        <v>8</v>
      </c>
      <c r="B888">
        <f>ACE_Input!A48</f>
        <v>43</v>
      </c>
      <c r="C888" s="6">
        <f>MOD(Settings!$B$17*(C887),Settings!$B$18)</f>
        <v>1129262391</v>
      </c>
      <c r="D888" s="6">
        <f>MAX(C888,1)/Settings!$B$18</f>
        <v>0.52585377894614538</v>
      </c>
      <c r="E888" s="6">
        <f t="shared" si="29"/>
        <v>5</v>
      </c>
      <c r="F888" s="6">
        <f>ACE_Input!D48</f>
        <v>343</v>
      </c>
      <c r="G888" s="6">
        <f>MOD(Settings!$B$17*(G887),Settings!$B$18)</f>
        <v>1973186861</v>
      </c>
      <c r="H888" s="6">
        <f>MAX(G888,1)/Settings!$B$18</f>
        <v>0.91883673421984391</v>
      </c>
      <c r="I888" s="6">
        <f>-ACE_Input!W48*LN(H888)</f>
        <v>0.33858731327158559</v>
      </c>
      <c r="J888" s="6">
        <f>-ACE_Input!X48*LN(H888)</f>
        <v>1.0157619398147568</v>
      </c>
      <c r="K888" s="6">
        <f>ACE_Input!U48</f>
        <v>300</v>
      </c>
      <c r="L888" s="6">
        <f>K888*ACE_Input!V48</f>
        <v>75</v>
      </c>
    </row>
    <row r="889" spans="1:12" x14ac:dyDescent="0.2">
      <c r="A889">
        <f>8</f>
        <v>8</v>
      </c>
      <c r="B889">
        <f>ACE_Input!A49</f>
        <v>44</v>
      </c>
      <c r="C889" s="6">
        <f>MOD(Settings!$B$17*(C888),Settings!$B$18)</f>
        <v>52533351</v>
      </c>
      <c r="D889" s="6">
        <f>MAX(C889,1)/Settings!$B$18</f>
        <v>2.4462747864640665E-2</v>
      </c>
      <c r="E889" s="6">
        <f t="shared" si="29"/>
        <v>5</v>
      </c>
      <c r="F889" s="6">
        <f>ACE_Input!D49</f>
        <v>348</v>
      </c>
      <c r="G889" s="6">
        <f>MOD(Settings!$B$17*(G888),Settings!$B$18)</f>
        <v>1909095853</v>
      </c>
      <c r="H889" s="6">
        <f>MAX(G889,1)/Settings!$B$18</f>
        <v>0.88899203291581574</v>
      </c>
      <c r="I889" s="6">
        <f>-ACE_Input!W49*LN(H889)</f>
        <v>0.47066802143146474</v>
      </c>
      <c r="J889" s="6">
        <f>-ACE_Input!X49*LN(H889)</f>
        <v>1.4120040642943943</v>
      </c>
      <c r="K889" s="6">
        <f>ACE_Input!U49</f>
        <v>300</v>
      </c>
      <c r="L889" s="6">
        <f>K889*ACE_Input!V49</f>
        <v>75</v>
      </c>
    </row>
    <row r="890" spans="1:12" x14ac:dyDescent="0.2">
      <c r="A890">
        <f>8</f>
        <v>8</v>
      </c>
      <c r="B890">
        <f>ACE_Input!A50</f>
        <v>45</v>
      </c>
      <c r="C890" s="6">
        <f>MOD(Settings!$B$17*(C889),Settings!$B$18)</f>
        <v>312251340</v>
      </c>
      <c r="D890" s="6">
        <f>MAX(C890,1)/Settings!$B$18</f>
        <v>0.1454033610156753</v>
      </c>
      <c r="E890" s="6">
        <f t="shared" si="29"/>
        <v>6</v>
      </c>
      <c r="F890" s="6">
        <f>ACE_Input!D50</f>
        <v>354</v>
      </c>
      <c r="G890" s="6">
        <f>MOD(Settings!$B$17*(G889),Settings!$B$18)</f>
        <v>620831544</v>
      </c>
      <c r="H890" s="6">
        <f>MAX(G890,1)/Settings!$B$18</f>
        <v>0.28909721611491274</v>
      </c>
      <c r="I890" s="6">
        <f>-ACE_Input!W50*LN(H890)</f>
        <v>4.9639690379782753</v>
      </c>
      <c r="J890" s="6">
        <f>-ACE_Input!X50*LN(H890)</f>
        <v>14.891907113934826</v>
      </c>
      <c r="K890" s="6">
        <f>ACE_Input!U50</f>
        <v>300</v>
      </c>
      <c r="L890" s="6">
        <f>K890*ACE_Input!V50</f>
        <v>75</v>
      </c>
    </row>
    <row r="891" spans="1:12" x14ac:dyDescent="0.2">
      <c r="A891">
        <f>8</f>
        <v>8</v>
      </c>
      <c r="B891">
        <f>ACE_Input!A51</f>
        <v>46</v>
      </c>
      <c r="C891" s="6">
        <f>MOD(Settings!$B$17*(C890),Settings!$B$18)</f>
        <v>1705721759</v>
      </c>
      <c r="D891" s="6">
        <f>MAX(C891,1)/Settings!$B$18</f>
        <v>0.79428859045463085</v>
      </c>
      <c r="E891" s="6">
        <f t="shared" si="29"/>
        <v>5</v>
      </c>
      <c r="F891" s="6">
        <f>ACE_Input!D51</f>
        <v>359</v>
      </c>
      <c r="G891" s="6">
        <f>MOD(Settings!$B$17*(G890),Settings!$B$18)</f>
        <v>1840202882</v>
      </c>
      <c r="H891" s="6">
        <f>MAX(G891,1)/Settings!$B$18</f>
        <v>0.85691124333856217</v>
      </c>
      <c r="I891" s="6">
        <f>-ACE_Input!W51*LN(H891)</f>
        <v>0.61768372978887565</v>
      </c>
      <c r="J891" s="6">
        <f>-ACE_Input!X51*LN(H891)</f>
        <v>1.853051189366627</v>
      </c>
      <c r="K891" s="6">
        <f>ACE_Input!U51</f>
        <v>300</v>
      </c>
      <c r="L891" s="6">
        <f>K891*ACE_Input!V51</f>
        <v>75</v>
      </c>
    </row>
    <row r="892" spans="1:12" x14ac:dyDescent="0.2">
      <c r="A892">
        <f>8</f>
        <v>8</v>
      </c>
      <c r="B892">
        <f>ACE_Input!A52</f>
        <v>47</v>
      </c>
      <c r="C892" s="6">
        <f>MOD(Settings!$B$17*(C891),Settings!$B$18)</f>
        <v>1306399710</v>
      </c>
      <c r="D892" s="6">
        <f>MAX(C892,1)/Settings!$B$18</f>
        <v>0.60833977098033754</v>
      </c>
      <c r="E892" s="6">
        <f t="shared" si="29"/>
        <v>5</v>
      </c>
      <c r="F892" s="6">
        <f>ACE_Input!D52</f>
        <v>364</v>
      </c>
      <c r="G892" s="6">
        <f>MOD(Settings!$B$17*(G891),Settings!$B$18)</f>
        <v>230353680</v>
      </c>
      <c r="H892" s="6">
        <f>MAX(G892,1)/Settings!$B$18</f>
        <v>0.10726679121482502</v>
      </c>
      <c r="I892" s="6">
        <f>-ACE_Input!W52*LN(H892)</f>
        <v>8.9297446879395377</v>
      </c>
      <c r="J892" s="6">
        <f>-ACE_Input!X52*LN(H892)</f>
        <v>26.789234063818611</v>
      </c>
      <c r="K892" s="6">
        <f>ACE_Input!U52</f>
        <v>300</v>
      </c>
      <c r="L892" s="6">
        <f>K892*ACE_Input!V52</f>
        <v>75</v>
      </c>
    </row>
    <row r="893" spans="1:12" x14ac:dyDescent="0.2">
      <c r="A893">
        <f>8</f>
        <v>8</v>
      </c>
      <c r="B893">
        <f>ACE_Input!A53</f>
        <v>48</v>
      </c>
      <c r="C893" s="6">
        <f>MOD(Settings!$B$17*(C892),Settings!$B$18)</f>
        <v>787119042</v>
      </c>
      <c r="D893" s="6">
        <f>MAX(C893,1)/Settings!$B$18</f>
        <v>0.36653086653283373</v>
      </c>
      <c r="E893" s="6">
        <f t="shared" si="29"/>
        <v>5</v>
      </c>
      <c r="F893" s="6">
        <f>ACE_Input!D53</f>
        <v>369</v>
      </c>
      <c r="G893" s="6">
        <f>MOD(Settings!$B$17*(G892),Settings!$B$18)</f>
        <v>1788767866</v>
      </c>
      <c r="H893" s="6">
        <f>MAX(G893,1)/Settings!$B$18</f>
        <v>0.83295994756415481</v>
      </c>
      <c r="I893" s="6">
        <f>-ACE_Input!W53*LN(H893)</f>
        <v>0.73107888050861936</v>
      </c>
      <c r="J893" s="6">
        <f>-ACE_Input!X53*LN(H893)</f>
        <v>2.193236641525858</v>
      </c>
      <c r="K893" s="6">
        <f>ACE_Input!U53</f>
        <v>300</v>
      </c>
      <c r="L893" s="6">
        <f>K893*ACE_Input!V53</f>
        <v>75</v>
      </c>
    </row>
    <row r="894" spans="1:12" x14ac:dyDescent="0.2">
      <c r="A894">
        <f>8</f>
        <v>8</v>
      </c>
      <c r="B894">
        <f>ACE_Input!A54</f>
        <v>49</v>
      </c>
      <c r="C894" s="6">
        <f>MOD(Settings!$B$17*(C893),Settings!$B$18)</f>
        <v>610473374</v>
      </c>
      <c r="D894" s="6">
        <f>MAX(C894,1)/Settings!$B$18</f>
        <v>0.28427381733631429</v>
      </c>
      <c r="E894" s="6">
        <f t="shared" si="29"/>
        <v>5</v>
      </c>
      <c r="F894" s="6">
        <f>ACE_Input!D54</f>
        <v>374</v>
      </c>
      <c r="G894" s="6">
        <f>MOD(Settings!$B$17*(G893),Settings!$B$18)</f>
        <v>1197949509</v>
      </c>
      <c r="H894" s="6">
        <f>MAX(G894,1)/Settings!$B$18</f>
        <v>0.55783871075037805</v>
      </c>
      <c r="I894" s="6">
        <f>-ACE_Input!W54*LN(H894)</f>
        <v>2.3347416288717602</v>
      </c>
      <c r="J894" s="6">
        <f>-ACE_Input!X54*LN(H894)</f>
        <v>7.0042248866152805</v>
      </c>
      <c r="K894" s="6">
        <f>ACE_Input!U54</f>
        <v>300</v>
      </c>
      <c r="L894" s="6">
        <f>K894*ACE_Input!V54</f>
        <v>75</v>
      </c>
    </row>
    <row r="895" spans="1:12" x14ac:dyDescent="0.2">
      <c r="A895">
        <f>8</f>
        <v>8</v>
      </c>
      <c r="B895">
        <f>ACE_Input!A55</f>
        <v>50</v>
      </c>
      <c r="C895" s="6">
        <f>MOD(Settings!$B$17*(C894),Settings!$B$18)</f>
        <v>1696615099</v>
      </c>
      <c r="D895" s="6">
        <f>MAX(C895,1)/Settings!$B$18</f>
        <v>0.7900479714339822</v>
      </c>
      <c r="E895" s="6">
        <f t="shared" si="29"/>
        <v>5</v>
      </c>
      <c r="F895" s="6">
        <f>ACE_Input!D55</f>
        <v>379</v>
      </c>
      <c r="G895" s="6">
        <f>MOD(Settings!$B$17*(G894),Settings!$B$18)</f>
        <v>1278207138</v>
      </c>
      <c r="H895" s="6">
        <f>MAX(G895,1)/Settings!$B$18</f>
        <v>0.59521158160418808</v>
      </c>
      <c r="I895" s="6">
        <f>-ACE_Input!W55*LN(H895)</f>
        <v>2.0753533492487848</v>
      </c>
      <c r="J895" s="6">
        <f>-ACE_Input!X55*LN(H895)</f>
        <v>6.2260600477463548</v>
      </c>
      <c r="K895" s="6">
        <f>ACE_Input!U55</f>
        <v>300</v>
      </c>
      <c r="L895" s="6">
        <f>K895*ACE_Input!V55</f>
        <v>75</v>
      </c>
    </row>
    <row r="896" spans="1:12" x14ac:dyDescent="0.2">
      <c r="A896">
        <f>8</f>
        <v>8</v>
      </c>
      <c r="B896">
        <f>ACE_Input!A56</f>
        <v>51</v>
      </c>
      <c r="C896" s="6">
        <f>MOD(Settings!$B$17*(C895),Settings!$B$18)</f>
        <v>722104027</v>
      </c>
      <c r="D896" s="6">
        <f>MAX(C896,1)/Settings!$B$18</f>
        <v>0.33625589093950387</v>
      </c>
      <c r="E896" s="6">
        <f t="shared" si="29"/>
        <v>5</v>
      </c>
      <c r="F896" s="6">
        <f>ACE_Input!D56</f>
        <v>384</v>
      </c>
      <c r="G896" s="6">
        <f>MOD(Settings!$B$17*(G895),Settings!$B$18)</f>
        <v>1548447425</v>
      </c>
      <c r="H896" s="6">
        <f>MAX(G896,1)/Settings!$B$18</f>
        <v>0.72105202158962001</v>
      </c>
      <c r="I896" s="6">
        <f>-ACE_Input!W56*LN(H896)</f>
        <v>1.3081759692132762</v>
      </c>
      <c r="J896" s="6">
        <f>-ACE_Input!X56*LN(H896)</f>
        <v>3.9245279076398285</v>
      </c>
      <c r="K896" s="6">
        <f>ACE_Input!U56</f>
        <v>300</v>
      </c>
      <c r="L896" s="6">
        <f>K896*ACE_Input!V56</f>
        <v>75</v>
      </c>
    </row>
    <row r="897" spans="1:12" x14ac:dyDescent="0.2">
      <c r="A897">
        <f>8</f>
        <v>8</v>
      </c>
      <c r="B897">
        <f>ACE_Input!A57</f>
        <v>52</v>
      </c>
      <c r="C897" s="6">
        <f>MOD(Settings!$B$17*(C896),Settings!$B$18)</f>
        <v>972292592</v>
      </c>
      <c r="D897" s="6">
        <f>MAX(C897,1)/Settings!$B$18</f>
        <v>0.45275902024133086</v>
      </c>
      <c r="E897" s="6">
        <f t="shared" si="29"/>
        <v>5</v>
      </c>
      <c r="F897" s="6">
        <f>ACE_Input!D57</f>
        <v>389</v>
      </c>
      <c r="G897" s="6">
        <f>MOD(Settings!$B$17*(G896),Settings!$B$18)</f>
        <v>1549037629</v>
      </c>
      <c r="H897" s="6">
        <f>MAX(G897,1)/Settings!$B$18</f>
        <v>0.72132685674416219</v>
      </c>
      <c r="I897" s="6">
        <f>-ACE_Input!W57*LN(H897)</f>
        <v>1.3066516254392699</v>
      </c>
      <c r="J897" s="6">
        <f>-ACE_Input!X57*LN(H897)</f>
        <v>3.91995487631781</v>
      </c>
      <c r="K897" s="6">
        <f>ACE_Input!U57</f>
        <v>300</v>
      </c>
      <c r="L897" s="6">
        <f>K897*ACE_Input!V57</f>
        <v>75</v>
      </c>
    </row>
    <row r="898" spans="1:12" x14ac:dyDescent="0.2">
      <c r="A898">
        <f>8</f>
        <v>8</v>
      </c>
      <c r="B898">
        <f>ACE_Input!A58</f>
        <v>53</v>
      </c>
      <c r="C898" s="6">
        <f>MOD(Settings!$B$17*(C897),Settings!$B$18)</f>
        <v>1118523721</v>
      </c>
      <c r="D898" s="6">
        <f>MAX(C898,1)/Settings!$B$18</f>
        <v>0.5208531960476438</v>
      </c>
      <c r="E898" s="6">
        <f t="shared" si="29"/>
        <v>5</v>
      </c>
      <c r="F898" s="6">
        <f>ACE_Input!D58</f>
        <v>394</v>
      </c>
      <c r="G898" s="6">
        <f>MOD(Settings!$B$17*(G897),Settings!$B$18)</f>
        <v>731178022</v>
      </c>
      <c r="H898" s="6">
        <f>MAX(G898,1)/Settings!$B$18</f>
        <v>0.34048129913419545</v>
      </c>
      <c r="I898" s="6">
        <f>-ACE_Input!W58*LN(H898)</f>
        <v>4.3095803067199512</v>
      </c>
      <c r="J898" s="6">
        <f>-ACE_Input!X58*LN(H898)</f>
        <v>12.928740920159854</v>
      </c>
      <c r="K898" s="6">
        <f>ACE_Input!U58</f>
        <v>300</v>
      </c>
      <c r="L898" s="6">
        <f>K898*ACE_Input!V58</f>
        <v>75</v>
      </c>
    </row>
    <row r="899" spans="1:12" x14ac:dyDescent="0.2">
      <c r="A899">
        <f>8</f>
        <v>8</v>
      </c>
      <c r="B899">
        <f>ACE_Input!A59</f>
        <v>54</v>
      </c>
      <c r="C899" s="6">
        <f>MOD(Settings!$B$17*(C898),Settings!$B$18)</f>
        <v>2103816656</v>
      </c>
      <c r="D899" s="6">
        <f>MAX(C899,1)/Settings!$B$18</f>
        <v>0.97966597274861578</v>
      </c>
      <c r="E899" s="6">
        <f t="shared" si="29"/>
        <v>5</v>
      </c>
      <c r="F899" s="6">
        <f>ACE_Input!D59</f>
        <v>399</v>
      </c>
      <c r="G899" s="6">
        <f>MOD(Settings!$B$17*(G898),Settings!$B$18)</f>
        <v>1007587620</v>
      </c>
      <c r="H899" s="6">
        <f>MAX(G899,1)/Settings!$B$18</f>
        <v>0.46919454842302694</v>
      </c>
      <c r="I899" s="6">
        <f>-ACE_Input!W59*LN(H899)</f>
        <v>3.0269511245882819</v>
      </c>
      <c r="J899" s="6">
        <f>-ACE_Input!X59*LN(H899)</f>
        <v>9.080853373764846</v>
      </c>
      <c r="K899" s="6">
        <f>ACE_Input!U59</f>
        <v>300</v>
      </c>
      <c r="L899" s="6">
        <f>K899*ACE_Input!V59</f>
        <v>75</v>
      </c>
    </row>
    <row r="900" spans="1:12" x14ac:dyDescent="0.2">
      <c r="A900">
        <f>8</f>
        <v>8</v>
      </c>
      <c r="B900">
        <f>ACE_Input!A60</f>
        <v>55</v>
      </c>
      <c r="C900" s="6">
        <f>MOD(Settings!$B$17*(C899),Settings!$B$18)</f>
        <v>528289537</v>
      </c>
      <c r="D900" s="6">
        <f>MAX(C900,1)/Settings!$B$18</f>
        <v>0.24600398598518408</v>
      </c>
      <c r="E900" s="6">
        <f t="shared" si="29"/>
        <v>5</v>
      </c>
      <c r="F900" s="6">
        <f>ACE_Input!D60</f>
        <v>404</v>
      </c>
      <c r="G900" s="6">
        <f>MOD(Settings!$B$17*(G899),Settings!$B$18)</f>
        <v>1616572745</v>
      </c>
      <c r="H900" s="6">
        <f>MAX(G900,1)/Settings!$B$18</f>
        <v>0.75277534581384409</v>
      </c>
      <c r="I900" s="6">
        <f>-ACE_Input!W60*LN(H900)</f>
        <v>1.1359537649154776</v>
      </c>
      <c r="J900" s="6">
        <f>-ACE_Input!X60*LN(H900)</f>
        <v>3.4078612947464331</v>
      </c>
      <c r="K900" s="6">
        <f>ACE_Input!U60</f>
        <v>300</v>
      </c>
      <c r="L900" s="6">
        <f>K900*ACE_Input!V60</f>
        <v>75</v>
      </c>
    </row>
    <row r="901" spans="1:12" x14ac:dyDescent="0.2">
      <c r="A901">
        <f>8</f>
        <v>8</v>
      </c>
      <c r="B901">
        <f>ACE_Input!A61</f>
        <v>56</v>
      </c>
      <c r="C901" s="6">
        <f>MOD(Settings!$B$17*(C900),Settings!$B$18)</f>
        <v>1264851661</v>
      </c>
      <c r="D901" s="6">
        <f>MAX(C901,1)/Settings!$B$18</f>
        <v>0.58899245298886316</v>
      </c>
      <c r="E901" s="6">
        <f t="shared" si="29"/>
        <v>5</v>
      </c>
      <c r="F901" s="6">
        <f>ACE_Input!D61</f>
        <v>409</v>
      </c>
      <c r="G901" s="6">
        <f>MOD(Settings!$B$17*(G900),Settings!$B$18)</f>
        <v>1922507018</v>
      </c>
      <c r="H901" s="6">
        <f>MAX(G901,1)/Settings!$B$18</f>
        <v>0.89523709327692036</v>
      </c>
      <c r="I901" s="6">
        <f>-ACE_Input!W61*LN(H901)</f>
        <v>0.44266674840038583</v>
      </c>
      <c r="J901" s="6">
        <f>-ACE_Input!X61*LN(H901)</f>
        <v>1.3280002452011574</v>
      </c>
      <c r="K901" s="6">
        <f>ACE_Input!U61</f>
        <v>300</v>
      </c>
      <c r="L901" s="6">
        <f>K901*ACE_Input!V61</f>
        <v>75</v>
      </c>
    </row>
    <row r="902" spans="1:12" x14ac:dyDescent="0.2">
      <c r="A902">
        <f>8</f>
        <v>8</v>
      </c>
      <c r="B902">
        <f>ACE_Input!A62</f>
        <v>57</v>
      </c>
      <c r="C902" s="6">
        <f>MOD(Settings!$B$17*(C901),Settings!$B$18)</f>
        <v>421244774</v>
      </c>
      <c r="D902" s="6">
        <f>MAX(C902,1)/Settings!$B$18</f>
        <v>0.1961573838238406</v>
      </c>
      <c r="E902" s="6">
        <f t="shared" si="29"/>
        <v>5</v>
      </c>
      <c r="F902" s="6">
        <f>ACE_Input!D62</f>
        <v>414</v>
      </c>
      <c r="G902" s="6">
        <f>MOD(Settings!$B$17*(G901),Settings!$B$18)</f>
        <v>536498764</v>
      </c>
      <c r="H902" s="6">
        <f>MAX(G902,1)/Settings!$B$18</f>
        <v>0.24982670519958564</v>
      </c>
      <c r="I902" s="6">
        <f>-ACE_Input!W62*LN(H902)</f>
        <v>5.5479511227253289</v>
      </c>
      <c r="J902" s="6">
        <f>-ACE_Input!X62*LN(H902)</f>
        <v>16.643853368175986</v>
      </c>
      <c r="K902" s="6">
        <f>ACE_Input!U62</f>
        <v>300</v>
      </c>
      <c r="L902" s="6">
        <f>K902*ACE_Input!V62</f>
        <v>75</v>
      </c>
    </row>
    <row r="903" spans="1:12" x14ac:dyDescent="0.2">
      <c r="A903">
        <f>8</f>
        <v>8</v>
      </c>
      <c r="B903">
        <f>ACE_Input!A63</f>
        <v>58</v>
      </c>
      <c r="C903" s="6">
        <f>MOD(Settings!$B$17*(C902),Settings!$B$18)</f>
        <v>1754816106</v>
      </c>
      <c r="D903" s="6">
        <f>MAX(C903,1)/Settings!$B$18</f>
        <v>0.81714992728882929</v>
      </c>
      <c r="E903" s="6">
        <f t="shared" si="29"/>
        <v>5</v>
      </c>
      <c r="F903" s="6">
        <f>ACE_Input!D63</f>
        <v>419</v>
      </c>
      <c r="G903" s="6">
        <f>MOD(Settings!$B$17*(G902),Settings!$B$18)</f>
        <v>1798376442</v>
      </c>
      <c r="H903" s="6">
        <f>MAX(G903,1)/Settings!$B$18</f>
        <v>0.83743428943559262</v>
      </c>
      <c r="I903" s="6">
        <f>-ACE_Input!W63*LN(H903)</f>
        <v>0.70964991494601448</v>
      </c>
      <c r="J903" s="6">
        <f>-ACE_Input!X63*LN(H903)</f>
        <v>2.1289497448380432</v>
      </c>
      <c r="K903" s="6">
        <f>ACE_Input!U63</f>
        <v>300</v>
      </c>
      <c r="L903" s="6">
        <f>K903*ACE_Input!V63</f>
        <v>75</v>
      </c>
    </row>
    <row r="904" spans="1:12" x14ac:dyDescent="0.2">
      <c r="A904">
        <f>8</f>
        <v>8</v>
      </c>
      <c r="B904">
        <f>ACE_Input!A64</f>
        <v>59</v>
      </c>
      <c r="C904" s="6">
        <f>MOD(Settings!$B$17*(C903),Settings!$B$18)</f>
        <v>1801369291</v>
      </c>
      <c r="D904" s="6">
        <f>MAX(C904,1)/Settings!$B$18</f>
        <v>0.83882794335429922</v>
      </c>
      <c r="E904" s="6">
        <f t="shared" si="29"/>
        <v>5</v>
      </c>
      <c r="F904" s="6">
        <f>ACE_Input!D64</f>
        <v>424</v>
      </c>
      <c r="G904" s="6">
        <f>MOD(Settings!$B$17*(G903),Settings!$B$18)</f>
        <v>1628012816</v>
      </c>
      <c r="H904" s="6">
        <f>MAX(G904,1)/Settings!$B$18</f>
        <v>0.75810254400507671</v>
      </c>
      <c r="I904" s="6">
        <f>-ACE_Input!W64*LN(H904)</f>
        <v>1.1077464806439887</v>
      </c>
      <c r="J904" s="6">
        <f>-ACE_Input!X64*LN(H904)</f>
        <v>3.3232394419319662</v>
      </c>
      <c r="K904" s="6">
        <f>ACE_Input!U64</f>
        <v>300</v>
      </c>
      <c r="L904" s="6">
        <f>K904*ACE_Input!V64</f>
        <v>75</v>
      </c>
    </row>
    <row r="905" spans="1:12" x14ac:dyDescent="0.2">
      <c r="A905">
        <f>8</f>
        <v>8</v>
      </c>
      <c r="B905">
        <f>ACE_Input!A65</f>
        <v>60</v>
      </c>
      <c r="C905" s="6">
        <f>MOD(Settings!$B$17*(C904),Settings!$B$18)</f>
        <v>389218431</v>
      </c>
      <c r="D905" s="6">
        <f>MAX(C905,1)/Settings!$B$18</f>
        <v>0.18124395570775678</v>
      </c>
      <c r="E905" s="6">
        <f t="shared" si="29"/>
        <v>5</v>
      </c>
      <c r="F905" s="6">
        <f>ACE_Input!D65</f>
        <v>429</v>
      </c>
      <c r="G905" s="6">
        <f>MOD(Settings!$B$17*(G904),Settings!$B$18)</f>
        <v>922252085</v>
      </c>
      <c r="H905" s="6">
        <f>MAX(G905,1)/Settings!$B$18</f>
        <v>0.4294570933233281</v>
      </c>
      <c r="I905" s="6">
        <f>-ACE_Input!W65*LN(H905)</f>
        <v>3.3809337667154478</v>
      </c>
      <c r="J905" s="6">
        <f>-ACE_Input!X65*LN(H905)</f>
        <v>10.142801300146344</v>
      </c>
      <c r="K905" s="6">
        <f>ACE_Input!U65</f>
        <v>300</v>
      </c>
      <c r="L905" s="6">
        <f>K905*ACE_Input!V65</f>
        <v>75</v>
      </c>
    </row>
    <row r="906" spans="1:12" x14ac:dyDescent="0.2">
      <c r="A906">
        <f>8</f>
        <v>8</v>
      </c>
      <c r="B906">
        <f>ACE_Input!A66</f>
        <v>61</v>
      </c>
      <c r="C906" s="6">
        <f>MOD(Settings!$B$17*(C905),Settings!$B$18)</f>
        <v>358981055</v>
      </c>
      <c r="D906" s="6">
        <f>MAX(C906,1)/Settings!$B$18</f>
        <v>0.16716358026823194</v>
      </c>
      <c r="E906" s="6">
        <f t="shared" si="29"/>
        <v>5</v>
      </c>
      <c r="F906" s="6">
        <f>ACE_Input!D66</f>
        <v>434</v>
      </c>
      <c r="G906" s="6">
        <f>MOD(Settings!$B$17*(G905),Settings!$B$18)</f>
        <v>1901312196</v>
      </c>
      <c r="H906" s="6">
        <f>MAX(G906,1)/Settings!$B$18</f>
        <v>0.88536748517554598</v>
      </c>
      <c r="I906" s="6">
        <f>-ACE_Input!W66*LN(H906)</f>
        <v>0.48700993069976817</v>
      </c>
      <c r="J906" s="6">
        <f>-ACE_Input!X66*LN(H906)</f>
        <v>1.4610297920993045</v>
      </c>
      <c r="K906" s="6">
        <f>ACE_Input!U66</f>
        <v>300</v>
      </c>
      <c r="L906" s="6">
        <f>K906*ACE_Input!V66</f>
        <v>75</v>
      </c>
    </row>
    <row r="907" spans="1:12" x14ac:dyDescent="0.2">
      <c r="A907">
        <f>8</f>
        <v>8</v>
      </c>
      <c r="B907">
        <f>ACE_Input!A67</f>
        <v>62</v>
      </c>
      <c r="C907" s="6">
        <f>MOD(Settings!$B$17*(C906),Settings!$B$18)</f>
        <v>1113026962</v>
      </c>
      <c r="D907" s="6">
        <f>MAX(C907,1)/Settings!$B$18</f>
        <v>0.51829356817449146</v>
      </c>
      <c r="E907" s="6">
        <f t="shared" si="29"/>
        <v>5</v>
      </c>
      <c r="F907" s="6">
        <f>ACE_Input!D67</f>
        <v>439</v>
      </c>
      <c r="G907" s="6">
        <f>MOD(Settings!$B$17*(G906),Settings!$B$18)</f>
        <v>797410812</v>
      </c>
      <c r="H907" s="6">
        <f>MAX(G907,1)/Settings!$B$18</f>
        <v>0.37132334540194056</v>
      </c>
      <c r="I907" s="6">
        <f>-ACE_Input!W67*LN(H907)</f>
        <v>3.9627281800242811</v>
      </c>
      <c r="J907" s="6">
        <f>-ACE_Input!X67*LN(H907)</f>
        <v>11.888184540072842</v>
      </c>
      <c r="K907" s="6">
        <f>ACE_Input!U67</f>
        <v>300</v>
      </c>
      <c r="L907" s="6">
        <f>K907*ACE_Input!V67</f>
        <v>75</v>
      </c>
    </row>
    <row r="908" spans="1:12" x14ac:dyDescent="0.2">
      <c r="A908">
        <f>8</f>
        <v>8</v>
      </c>
      <c r="B908">
        <f>ACE_Input!A68</f>
        <v>63</v>
      </c>
      <c r="C908" s="6">
        <f>MOD(Settings!$B$17*(C907),Settings!$B$18)</f>
        <v>2061584964</v>
      </c>
      <c r="D908" s="6">
        <f>MAX(C908,1)/Settings!$B$18</f>
        <v>0.96000030867755426</v>
      </c>
      <c r="E908" s="6">
        <f t="shared" si="29"/>
        <v>5</v>
      </c>
      <c r="F908" s="6">
        <f>ACE_Input!D68</f>
        <v>444</v>
      </c>
      <c r="G908" s="6">
        <f>MOD(Settings!$B$17*(G907),Settings!$B$18)</f>
        <v>1785560004</v>
      </c>
      <c r="H908" s="6">
        <f>MAX(G908,1)/Settings!$B$18</f>
        <v>0.83146617041503368</v>
      </c>
      <c r="I908" s="6">
        <f>-ACE_Input!W68*LN(H908)</f>
        <v>0.73825866474316582</v>
      </c>
      <c r="J908" s="6">
        <f>-ACE_Input!X68*LN(H908)</f>
        <v>2.2147759942294973</v>
      </c>
      <c r="K908" s="6">
        <f>ACE_Input!U68</f>
        <v>300</v>
      </c>
      <c r="L908" s="6">
        <f>K908*ACE_Input!V68</f>
        <v>75</v>
      </c>
    </row>
    <row r="909" spans="1:12" x14ac:dyDescent="0.2">
      <c r="A909">
        <f>8</f>
        <v>8</v>
      </c>
      <c r="B909">
        <f>ACE_Input!A69</f>
        <v>64</v>
      </c>
      <c r="C909" s="6">
        <f>MOD(Settings!$B$17*(C908),Settings!$B$18)</f>
        <v>1557329250</v>
      </c>
      <c r="D909" s="6">
        <f>MAX(C909,1)/Settings!$B$18</f>
        <v>0.72518794365468808</v>
      </c>
      <c r="E909" s="6">
        <f t="shared" si="29"/>
        <v>5</v>
      </c>
      <c r="F909" s="6">
        <f>ACE_Input!D69</f>
        <v>449</v>
      </c>
      <c r="G909" s="6">
        <f>MOD(Settings!$B$17*(G908),Settings!$B$18)</f>
        <v>970504050</v>
      </c>
      <c r="H909" s="6">
        <f>MAX(G909,1)/Settings!$B$18</f>
        <v>0.45192616547081904</v>
      </c>
      <c r="I909" s="6">
        <f>-ACE_Input!W69*LN(H909)</f>
        <v>3.1769458528854626</v>
      </c>
      <c r="J909" s="6">
        <f>-ACE_Input!X69*LN(H909)</f>
        <v>9.5308375586563869</v>
      </c>
      <c r="K909" s="6">
        <f>ACE_Input!U69</f>
        <v>300</v>
      </c>
      <c r="L909" s="6">
        <f>K909*ACE_Input!V69</f>
        <v>75</v>
      </c>
    </row>
    <row r="910" spans="1:12" x14ac:dyDescent="0.2">
      <c r="A910">
        <f>8</f>
        <v>8</v>
      </c>
      <c r="B910">
        <f>ACE_Input!A70</f>
        <v>65</v>
      </c>
      <c r="C910" s="6">
        <f>MOD(Settings!$B$17*(C909),Settings!$B$18)</f>
        <v>502015114</v>
      </c>
      <c r="D910" s="6">
        <f>MAX(C910,1)/Settings!$B$18</f>
        <v>0.23376900434203865</v>
      </c>
      <c r="E910" s="6">
        <f t="shared" si="29"/>
        <v>5</v>
      </c>
      <c r="F910" s="6">
        <f>ACE_Input!D70</f>
        <v>454</v>
      </c>
      <c r="G910" s="6">
        <f>MOD(Settings!$B$17*(G909),Settings!$B$18)</f>
        <v>1123269385</v>
      </c>
      <c r="H910" s="6">
        <f>MAX(G910,1)/Settings!$B$18</f>
        <v>0.52306306805604286</v>
      </c>
      <c r="I910" s="6">
        <f>-ACE_Input!W70*LN(H910)</f>
        <v>2.5922129326807797</v>
      </c>
      <c r="J910" s="6">
        <f>-ACE_Input!X70*LN(H910)</f>
        <v>7.776638798042339</v>
      </c>
      <c r="K910" s="6">
        <f>ACE_Input!U70</f>
        <v>300</v>
      </c>
      <c r="L910" s="6">
        <f>K910*ACE_Input!V70</f>
        <v>75</v>
      </c>
    </row>
    <row r="911" spans="1:12" x14ac:dyDescent="0.2">
      <c r="A911">
        <f>8</f>
        <v>8</v>
      </c>
      <c r="B911">
        <f>ACE_Input!A71</f>
        <v>66</v>
      </c>
      <c r="C911" s="6">
        <f>MOD(Settings!$B$17*(C910),Settings!$B$18)</f>
        <v>2052255582</v>
      </c>
      <c r="D911" s="6">
        <f>MAX(C911,1)/Settings!$B$18</f>
        <v>0.95565597664362567</v>
      </c>
      <c r="E911" s="6">
        <f t="shared" ref="E911:E942" si="30">F911-F910</f>
        <v>5</v>
      </c>
      <c r="F911" s="6">
        <f>ACE_Input!D71</f>
        <v>459</v>
      </c>
      <c r="G911" s="6">
        <f>MOD(Settings!$B$17*(G910),Settings!$B$18)</f>
        <v>259812918</v>
      </c>
      <c r="H911" s="6">
        <f>MAX(G911,1)/Settings!$B$18</f>
        <v>0.12098481791139805</v>
      </c>
      <c r="I911" s="6">
        <f>-ACE_Input!W71*LN(H911)</f>
        <v>8.4483608522570766</v>
      </c>
      <c r="J911" s="6">
        <f>-ACE_Input!X71*LN(H911)</f>
        <v>25.345082556771231</v>
      </c>
      <c r="K911" s="6">
        <f>ACE_Input!U71</f>
        <v>300</v>
      </c>
      <c r="L911" s="6">
        <f>K911*ACE_Input!V71</f>
        <v>75</v>
      </c>
    </row>
    <row r="912" spans="1:12" x14ac:dyDescent="0.2">
      <c r="A912">
        <f>8</f>
        <v>8</v>
      </c>
      <c r="B912">
        <f>ACE_Input!A72</f>
        <v>67</v>
      </c>
      <c r="C912" s="6">
        <f>MOD(Settings!$B$17*(C911),Settings!$B$18)</f>
        <v>1524712207</v>
      </c>
      <c r="D912" s="6">
        <f>MAX(C912,1)/Settings!$B$18</f>
        <v>0.70999944941606352</v>
      </c>
      <c r="E912" s="6">
        <f t="shared" si="30"/>
        <v>15</v>
      </c>
      <c r="F912" s="6">
        <f>ACE_Input!D72</f>
        <v>474</v>
      </c>
      <c r="G912" s="6">
        <f>MOD(Settings!$B$17*(G911),Settings!$B$18)</f>
        <v>841458475</v>
      </c>
      <c r="H912" s="6">
        <f>MAX(G912,1)/Settings!$B$18</f>
        <v>0.39183463686696934</v>
      </c>
      <c r="I912" s="6">
        <f>-ACE_Input!W72*LN(H912)</f>
        <v>3.747661491681245</v>
      </c>
      <c r="J912" s="6">
        <f>-ACE_Input!X72*LN(H912)</f>
        <v>11.242984475043734</v>
      </c>
      <c r="K912" s="6">
        <f>ACE_Input!U72</f>
        <v>300</v>
      </c>
      <c r="L912" s="6">
        <f>K912*ACE_Input!V72</f>
        <v>75</v>
      </c>
    </row>
    <row r="913" spans="1:12" x14ac:dyDescent="0.2">
      <c r="A913">
        <f>8</f>
        <v>8</v>
      </c>
      <c r="B913">
        <f>ACE_Input!A73</f>
        <v>68</v>
      </c>
      <c r="C913" s="6">
        <f>MOD(Settings!$B$17*(C912),Settings!$B$18)</f>
        <v>2063187045</v>
      </c>
      <c r="D913" s="6">
        <f>MAX(C913,1)/Settings!$B$18</f>
        <v>0.96074633577873292</v>
      </c>
      <c r="E913" s="6">
        <f t="shared" si="30"/>
        <v>5</v>
      </c>
      <c r="F913" s="6">
        <f>ACE_Input!D73</f>
        <v>479</v>
      </c>
      <c r="G913" s="6">
        <f>MOD(Settings!$B$17*(G912),Settings!$B$18)</f>
        <v>1212773830</v>
      </c>
      <c r="H913" s="6">
        <f>MAX(G913,1)/Settings!$B$18</f>
        <v>0.56474182315391575</v>
      </c>
      <c r="I913" s="6">
        <f>-ACE_Input!W73*LN(H913)</f>
        <v>2.2855464097572034</v>
      </c>
      <c r="J913" s="6">
        <f>-ACE_Input!X73*LN(H913)</f>
        <v>6.8566392292716101</v>
      </c>
      <c r="K913" s="6">
        <f>ACE_Input!U73</f>
        <v>300</v>
      </c>
      <c r="L913" s="6">
        <f>K913*ACE_Input!V73</f>
        <v>75</v>
      </c>
    </row>
    <row r="914" spans="1:12" x14ac:dyDescent="0.2">
      <c r="A914">
        <f>8</f>
        <v>8</v>
      </c>
      <c r="B914">
        <f>ACE_Input!A74</f>
        <v>69</v>
      </c>
      <c r="C914" s="6">
        <f>MOD(Settings!$B$17*(C913),Settings!$B$18)</f>
        <v>566217206</v>
      </c>
      <c r="D914" s="6">
        <f>MAX(C914,1)/Settings!$B$18</f>
        <v>0.26366543316453017</v>
      </c>
      <c r="E914" s="6">
        <f t="shared" si="30"/>
        <v>15</v>
      </c>
      <c r="F914" s="6">
        <f>ACE_Input!D74</f>
        <v>494</v>
      </c>
      <c r="G914" s="6">
        <f>MOD(Settings!$B$17*(G913),Settings!$B$18)</f>
        <v>1322467133</v>
      </c>
      <c r="H914" s="6">
        <f>MAX(G914,1)/Settings!$B$18</f>
        <v>0.61582174786171962</v>
      </c>
      <c r="I914" s="6">
        <f>-ACE_Input!W74*LN(H914)</f>
        <v>1.9391909107145924</v>
      </c>
      <c r="J914" s="6">
        <f>-ACE_Input!X74*LN(H914)</f>
        <v>5.8175727321437769</v>
      </c>
      <c r="K914" s="6">
        <f>ACE_Input!U74</f>
        <v>300</v>
      </c>
      <c r="L914" s="6">
        <f>K914*ACE_Input!V74</f>
        <v>75</v>
      </c>
    </row>
    <row r="915" spans="1:12" x14ac:dyDescent="0.2">
      <c r="A915">
        <f>8</f>
        <v>8</v>
      </c>
      <c r="B915">
        <f>ACE_Input!A75</f>
        <v>70</v>
      </c>
      <c r="C915" s="6">
        <f>MOD(Settings!$B$17*(C914),Settings!$B$18)</f>
        <v>912541385</v>
      </c>
      <c r="D915" s="6">
        <f>MAX(C915,1)/Settings!$B$18</f>
        <v>0.42493519625856319</v>
      </c>
      <c r="E915" s="6">
        <f t="shared" si="30"/>
        <v>5</v>
      </c>
      <c r="F915" s="6">
        <f>ACE_Input!D75</f>
        <v>499</v>
      </c>
      <c r="G915" s="6">
        <f>MOD(Settings!$B$17*(G914),Settings!$B$18)</f>
        <v>249357881</v>
      </c>
      <c r="H915" s="6">
        <f>MAX(G915,1)/Settings!$B$18</f>
        <v>0.11611631192086093</v>
      </c>
      <c r="I915" s="6">
        <f>-ACE_Input!W75*LN(H915)</f>
        <v>8.6126516050385789</v>
      </c>
      <c r="J915" s="6">
        <f>-ACE_Input!X75*LN(H915)</f>
        <v>25.837954815115737</v>
      </c>
      <c r="K915" s="6">
        <f>ACE_Input!U75</f>
        <v>300</v>
      </c>
      <c r="L915" s="6">
        <f>K915*ACE_Input!V75</f>
        <v>75</v>
      </c>
    </row>
    <row r="916" spans="1:12" x14ac:dyDescent="0.2">
      <c r="A916">
        <f>8</f>
        <v>8</v>
      </c>
      <c r="B916">
        <f>ACE_Input!A76</f>
        <v>71</v>
      </c>
      <c r="C916" s="6">
        <f>MOD(Settings!$B$17*(C915),Settings!$B$18)</f>
        <v>1902334468</v>
      </c>
      <c r="D916" s="6">
        <f>MAX(C916,1)/Settings!$B$18</f>
        <v>0.88584351767126635</v>
      </c>
      <c r="E916" s="6">
        <f t="shared" si="30"/>
        <v>5</v>
      </c>
      <c r="F916" s="6">
        <f>ACE_Input!D76</f>
        <v>504</v>
      </c>
      <c r="G916" s="6">
        <f>MOD(Settings!$B$17*(G915),Settings!$B$18)</f>
        <v>1217310670</v>
      </c>
      <c r="H916" s="6">
        <f>MAX(G916,1)/Settings!$B$18</f>
        <v>0.56685445390960876</v>
      </c>
      <c r="I916" s="6">
        <f>-ACE_Input!W76*LN(H916)</f>
        <v>2.2706108130039158</v>
      </c>
      <c r="J916" s="6">
        <f>-ACE_Input!X76*LN(H916)</f>
        <v>6.8118324390117468</v>
      </c>
      <c r="K916" s="6">
        <f>ACE_Input!U76</f>
        <v>300</v>
      </c>
      <c r="L916" s="6">
        <f>K916*ACE_Input!V76</f>
        <v>75</v>
      </c>
    </row>
    <row r="917" spans="1:12" x14ac:dyDescent="0.2">
      <c r="A917">
        <f>8</f>
        <v>8</v>
      </c>
      <c r="B917">
        <f>ACE_Input!A77</f>
        <v>72</v>
      </c>
      <c r="C917" s="6">
        <f>MOD(Settings!$B$17*(C916),Settings!$B$18)</f>
        <v>798867140</v>
      </c>
      <c r="D917" s="6">
        <f>MAX(C917,1)/Settings!$B$18</f>
        <v>0.37200150097347867</v>
      </c>
      <c r="E917" s="6">
        <f t="shared" si="30"/>
        <v>5</v>
      </c>
      <c r="F917" s="6">
        <f>ACE_Input!D77</f>
        <v>509</v>
      </c>
      <c r="G917" s="6">
        <f>MOD(Settings!$B$17*(G916),Settings!$B$18)</f>
        <v>263725721</v>
      </c>
      <c r="H917" s="6">
        <f>MAX(G917,1)/Settings!$B$18</f>
        <v>0.12280685879420808</v>
      </c>
      <c r="I917" s="6">
        <f>-ACE_Input!W77*LN(H917)</f>
        <v>8.3885696458232264</v>
      </c>
      <c r="J917" s="6">
        <f>-ACE_Input!X77*LN(H917)</f>
        <v>25.165708937469681</v>
      </c>
      <c r="K917" s="6">
        <f>ACE_Input!U77</f>
        <v>300</v>
      </c>
      <c r="L917" s="6">
        <f>K917*ACE_Input!V77</f>
        <v>75</v>
      </c>
    </row>
    <row r="918" spans="1:12" x14ac:dyDescent="0.2">
      <c r="A918">
        <f>8</f>
        <v>8</v>
      </c>
      <c r="B918">
        <f>ACE_Input!A78</f>
        <v>73</v>
      </c>
      <c r="C918" s="6">
        <f>MOD(Settings!$B$17*(C917),Settings!$B$18)</f>
        <v>492260936</v>
      </c>
      <c r="D918" s="6">
        <f>MAX(C918,1)/Settings!$B$18</f>
        <v>0.22922686125581473</v>
      </c>
      <c r="E918" s="6">
        <f t="shared" si="30"/>
        <v>5</v>
      </c>
      <c r="F918" s="6">
        <f>ACE_Input!D78</f>
        <v>514</v>
      </c>
      <c r="G918" s="6">
        <f>MOD(Settings!$B$17*(G917),Settings!$B$18)</f>
        <v>31945439</v>
      </c>
      <c r="H918" s="6">
        <f>MAX(G918,1)/Settings!$B$18</f>
        <v>1.4875754255277922E-2</v>
      </c>
      <c r="I918" s="6">
        <f>-ACE_Input!W78*LN(H918)</f>
        <v>16.83209049039516</v>
      </c>
      <c r="J918" s="6">
        <f>-ACE_Input!X78*LN(H918)</f>
        <v>50.49627147118548</v>
      </c>
      <c r="K918" s="6">
        <f>ACE_Input!U78</f>
        <v>300</v>
      </c>
      <c r="L918" s="6">
        <f>K918*ACE_Input!V78</f>
        <v>75</v>
      </c>
    </row>
    <row r="919" spans="1:12" x14ac:dyDescent="0.2">
      <c r="A919">
        <f>8</f>
        <v>8</v>
      </c>
      <c r="B919">
        <f>ACE_Input!A79</f>
        <v>74</v>
      </c>
      <c r="C919" s="6">
        <f>MOD(Settings!$B$17*(C918),Settings!$B$18)</f>
        <v>1322543108</v>
      </c>
      <c r="D919" s="6">
        <f>MAX(C919,1)/Settings!$B$18</f>
        <v>0.61585712647803925</v>
      </c>
      <c r="E919" s="6">
        <f t="shared" si="30"/>
        <v>5</v>
      </c>
      <c r="F919" s="6">
        <f>ACE_Input!D79</f>
        <v>519</v>
      </c>
      <c r="G919" s="6">
        <f>MOD(Settings!$B$17*(G918),Settings!$B$18)</f>
        <v>36081523</v>
      </c>
      <c r="H919" s="6">
        <f>MAX(G919,1)/Settings!$B$18</f>
        <v>1.6801768456027735E-2</v>
      </c>
      <c r="I919" s="6">
        <f>-ACE_Input!W79*LN(H919)</f>
        <v>16.345084531492699</v>
      </c>
      <c r="J919" s="6">
        <f>-ACE_Input!X79*LN(H919)</f>
        <v>49.035253594478093</v>
      </c>
      <c r="K919" s="6">
        <f>ACE_Input!U79</f>
        <v>300</v>
      </c>
      <c r="L919" s="6">
        <f>K919*ACE_Input!V79</f>
        <v>75</v>
      </c>
    </row>
    <row r="920" spans="1:12" x14ac:dyDescent="0.2">
      <c r="A920">
        <f>8</f>
        <v>8</v>
      </c>
      <c r="B920">
        <f>ACE_Input!A80</f>
        <v>75</v>
      </c>
      <c r="C920" s="6">
        <f>MOD(Settings!$B$17*(C919),Settings!$B$18)</f>
        <v>1526269706</v>
      </c>
      <c r="D920" s="6">
        <f>MAX(C920,1)/Settings!$B$18</f>
        <v>0.71072471640572177</v>
      </c>
      <c r="E920" s="6">
        <f t="shared" si="30"/>
        <v>5</v>
      </c>
      <c r="F920" s="6">
        <f>ACE_Input!D80</f>
        <v>524</v>
      </c>
      <c r="G920" s="6">
        <f>MOD(Settings!$B$17*(G919),Settings!$B$18)</f>
        <v>831768607</v>
      </c>
      <c r="H920" s="6">
        <f>MAX(G920,1)/Settings!$B$18</f>
        <v>0.38732244045814612</v>
      </c>
      <c r="I920" s="6">
        <f>-ACE_Input!W80*LN(H920)</f>
        <v>3.7939910135011563</v>
      </c>
      <c r="J920" s="6">
        <f>-ACE_Input!X80*LN(H920)</f>
        <v>11.381973040503469</v>
      </c>
      <c r="K920" s="6">
        <f>ACE_Input!U80</f>
        <v>300</v>
      </c>
      <c r="L920" s="6">
        <f>K920*ACE_Input!V80</f>
        <v>75</v>
      </c>
    </row>
    <row r="921" spans="1:12" x14ac:dyDescent="0.2">
      <c r="A921">
        <f>8</f>
        <v>8</v>
      </c>
      <c r="B921">
        <f>ACE_Input!A81</f>
        <v>76</v>
      </c>
      <c r="C921" s="6">
        <f>MOD(Settings!$B$17*(C920),Settings!$B$18)</f>
        <v>322785327</v>
      </c>
      <c r="D921" s="6">
        <f>MAX(C921,1)/Settings!$B$18</f>
        <v>0.15030863096486247</v>
      </c>
      <c r="E921" s="6">
        <f t="shared" si="30"/>
        <v>5</v>
      </c>
      <c r="F921" s="6">
        <f>ACE_Input!D81</f>
        <v>529</v>
      </c>
      <c r="G921" s="6">
        <f>MOD(Settings!$B$17*(G920),Settings!$B$18)</f>
        <v>1563919526</v>
      </c>
      <c r="H921" s="6">
        <f>MAX(G921,1)/Settings!$B$18</f>
        <v>0.72825678006199035</v>
      </c>
      <c r="I921" s="6">
        <f>-ACE_Input!W81*LN(H921)</f>
        <v>1.2684062924444315</v>
      </c>
      <c r="J921" s="6">
        <f>-ACE_Input!X81*LN(H921)</f>
        <v>3.8052188773332944</v>
      </c>
      <c r="K921" s="6">
        <f>ACE_Input!U81</f>
        <v>300</v>
      </c>
      <c r="L921" s="6">
        <f>K921*ACE_Input!V81</f>
        <v>75</v>
      </c>
    </row>
    <row r="922" spans="1:12" x14ac:dyDescent="0.2">
      <c r="A922">
        <f>8</f>
        <v>8</v>
      </c>
      <c r="B922">
        <f>ACE_Input!A82</f>
        <v>77</v>
      </c>
      <c r="C922" s="6">
        <f>MOD(Settings!$B$17*(C921),Settings!$B$18)</f>
        <v>509298567</v>
      </c>
      <c r="D922" s="6">
        <f>MAX(C922,1)/Settings!$B$18</f>
        <v>0.23716062644364341</v>
      </c>
      <c r="E922" s="6">
        <f t="shared" si="30"/>
        <v>5</v>
      </c>
      <c r="F922" s="6">
        <f>ACE_Input!D82</f>
        <v>534</v>
      </c>
      <c r="G922" s="6">
        <f>MOD(Settings!$B$17*(G921),Settings!$B$18)</f>
        <v>1743117849</v>
      </c>
      <c r="H922" s="6">
        <f>MAX(G922,1)/Settings!$B$18</f>
        <v>0.81170250187241588</v>
      </c>
      <c r="I922" s="6">
        <f>-ACE_Input!W82*LN(H922)</f>
        <v>0.83448553182930163</v>
      </c>
      <c r="J922" s="6">
        <f>-ACE_Input!X82*LN(H922)</f>
        <v>2.5034565954879051</v>
      </c>
      <c r="K922" s="6">
        <f>ACE_Input!U82</f>
        <v>300</v>
      </c>
      <c r="L922" s="6">
        <f>K922*ACE_Input!V82</f>
        <v>75</v>
      </c>
    </row>
    <row r="923" spans="1:12" x14ac:dyDescent="0.2">
      <c r="A923">
        <f>8</f>
        <v>8</v>
      </c>
      <c r="B923">
        <f>ACE_Input!A83</f>
        <v>78</v>
      </c>
      <c r="C923" s="6">
        <f>MOD(Settings!$B$17*(C922),Settings!$B$18)</f>
        <v>2058682274</v>
      </c>
      <c r="D923" s="6">
        <f>MAX(C923,1)/Settings!$B$18</f>
        <v>0.95864863831486957</v>
      </c>
      <c r="E923" s="6">
        <f t="shared" si="30"/>
        <v>5</v>
      </c>
      <c r="F923" s="6">
        <f>ACE_Input!D83</f>
        <v>539</v>
      </c>
      <c r="G923" s="6">
        <f>MOD(Settings!$B$17*(G922),Settings!$B$18)</f>
        <v>609775769</v>
      </c>
      <c r="H923" s="6">
        <f>MAX(G923,1)/Settings!$B$18</f>
        <v>0.28394896969383071</v>
      </c>
      <c r="I923" s="6">
        <f>-ACE_Input!W83*LN(H923)</f>
        <v>5.0358429645708762</v>
      </c>
      <c r="J923" s="6">
        <f>-ACE_Input!X83*LN(H923)</f>
        <v>15.10752889371263</v>
      </c>
      <c r="K923" s="6">
        <f>ACE_Input!U83</f>
        <v>300</v>
      </c>
      <c r="L923" s="6">
        <f>K923*ACE_Input!V83</f>
        <v>75</v>
      </c>
    </row>
    <row r="924" spans="1:12" x14ac:dyDescent="0.2">
      <c r="A924">
        <f>8</f>
        <v>8</v>
      </c>
      <c r="B924">
        <f>ACE_Input!A84</f>
        <v>79</v>
      </c>
      <c r="C924" s="6">
        <f>MOD(Settings!$B$17*(C923),Settings!$B$18)</f>
        <v>16458654</v>
      </c>
      <c r="D924" s="6">
        <f>MAX(C924,1)/Settings!$B$18</f>
        <v>7.6641580125615741E-3</v>
      </c>
      <c r="E924" s="6">
        <f t="shared" si="30"/>
        <v>5</v>
      </c>
      <c r="F924" s="6">
        <f>ACE_Input!D84</f>
        <v>544</v>
      </c>
      <c r="G924" s="6">
        <f>MOD(Settings!$B$17*(G923),Settings!$B$18)</f>
        <v>709386099</v>
      </c>
      <c r="H924" s="6">
        <f>MAX(G924,1)/Settings!$B$18</f>
        <v>0.33033364421237893</v>
      </c>
      <c r="I924" s="6">
        <f>-ACE_Input!W84*LN(H924)</f>
        <v>4.4306083688544033</v>
      </c>
      <c r="J924" s="6">
        <f>-ACE_Input!X84*LN(H924)</f>
        <v>13.291825106563209</v>
      </c>
      <c r="K924" s="6">
        <f>ACE_Input!U84</f>
        <v>300</v>
      </c>
      <c r="L924" s="6">
        <f>K924*ACE_Input!V84</f>
        <v>75</v>
      </c>
    </row>
    <row r="925" spans="1:12" x14ac:dyDescent="0.2">
      <c r="A925">
        <f>8</f>
        <v>8</v>
      </c>
      <c r="B925">
        <f>ACE_Input!A85</f>
        <v>80</v>
      </c>
      <c r="C925" s="6">
        <f>MOD(Settings!$B$17*(C924),Settings!$B$18)</f>
        <v>1742690962</v>
      </c>
      <c r="D925" s="6">
        <f>MAX(C925,1)/Settings!$B$18</f>
        <v>0.81150371712236835</v>
      </c>
      <c r="E925" s="6">
        <f t="shared" si="30"/>
        <v>5</v>
      </c>
      <c r="F925" s="6">
        <f>ACE_Input!D85</f>
        <v>549</v>
      </c>
      <c r="G925" s="6">
        <f>MOD(Settings!$B$17*(G924),Settings!$B$18)</f>
        <v>1970441396</v>
      </c>
      <c r="H925" s="6">
        <f>MAX(G925,1)/Settings!$B$18</f>
        <v>0.91755827745309015</v>
      </c>
      <c r="I925" s="6">
        <f>-ACE_Input!W85*LN(H925)</f>
        <v>0.34415673364211641</v>
      </c>
      <c r="J925" s="6">
        <f>-ACE_Input!X85*LN(H925)</f>
        <v>1.0324702009263493</v>
      </c>
      <c r="K925" s="6">
        <f>ACE_Input!U85</f>
        <v>300</v>
      </c>
      <c r="L925" s="6">
        <f>K925*ACE_Input!V85</f>
        <v>75</v>
      </c>
    </row>
    <row r="926" spans="1:12" x14ac:dyDescent="0.2">
      <c r="A926">
        <f>8</f>
        <v>8</v>
      </c>
      <c r="B926">
        <f>ACE_Input!A86</f>
        <v>81</v>
      </c>
      <c r="C926" s="6">
        <f>MOD(Settings!$B$17*(C925),Settings!$B$18)</f>
        <v>2025020548</v>
      </c>
      <c r="D926" s="6">
        <f>MAX(C926,1)/Settings!$B$18</f>
        <v>0.9429736756454099</v>
      </c>
      <c r="E926" s="6">
        <f t="shared" si="30"/>
        <v>5</v>
      </c>
      <c r="F926" s="6">
        <f>ACE_Input!D86</f>
        <v>554</v>
      </c>
      <c r="G926" s="6">
        <f>MOD(Settings!$B$17*(G925),Settings!$B$18)</f>
        <v>863222185</v>
      </c>
      <c r="H926" s="6">
        <f>MAX(G926,1)/Settings!$B$18</f>
        <v>0.40196915408688094</v>
      </c>
      <c r="I926" s="6">
        <f>-ACE_Input!W86*LN(H926)</f>
        <v>3.6455196977370457</v>
      </c>
      <c r="J926" s="6">
        <f>-ACE_Input!X86*LN(H926)</f>
        <v>10.936559093211137</v>
      </c>
      <c r="K926" s="6">
        <f>ACE_Input!U86</f>
        <v>300</v>
      </c>
      <c r="L926" s="6">
        <f>K926*ACE_Input!V86</f>
        <v>75</v>
      </c>
    </row>
    <row r="927" spans="1:12" x14ac:dyDescent="0.2">
      <c r="A927">
        <f>8</f>
        <v>8</v>
      </c>
      <c r="B927">
        <f>ACE_Input!A87</f>
        <v>82</v>
      </c>
      <c r="C927" s="6">
        <f>MOD(Settings!$B$17*(C926),Settings!$B$18)</f>
        <v>1199512580</v>
      </c>
      <c r="D927" s="6">
        <f>MAX(C927,1)/Settings!$B$18</f>
        <v>0.5585665724047304</v>
      </c>
      <c r="E927" s="6">
        <f t="shared" si="30"/>
        <v>5</v>
      </c>
      <c r="F927" s="6">
        <f>ACE_Input!D87</f>
        <v>559</v>
      </c>
      <c r="G927" s="6">
        <f>MOD(Settings!$B$17*(G926),Settings!$B$18)</f>
        <v>1923227810</v>
      </c>
      <c r="H927" s="6">
        <f>MAX(G927,1)/Settings!$B$18</f>
        <v>0.89557273820767769</v>
      </c>
      <c r="I927" s="6">
        <f>-ACE_Input!W87*LN(H927)</f>
        <v>0.44116733766994853</v>
      </c>
      <c r="J927" s="6">
        <f>-ACE_Input!X87*LN(H927)</f>
        <v>1.3235020130098456</v>
      </c>
      <c r="K927" s="6">
        <f>ACE_Input!U87</f>
        <v>300</v>
      </c>
      <c r="L927" s="6">
        <f>K927*ACE_Input!V87</f>
        <v>75</v>
      </c>
    </row>
    <row r="928" spans="1:12" x14ac:dyDescent="0.2">
      <c r="A928">
        <f>8</f>
        <v>8</v>
      </c>
      <c r="B928">
        <f>ACE_Input!A88</f>
        <v>83</v>
      </c>
      <c r="C928" s="6">
        <f>MOD(Settings!$B$17*(C927),Settings!$B$18)</f>
        <v>1778937671</v>
      </c>
      <c r="D928" s="6">
        <f>MAX(C928,1)/Settings!$B$18</f>
        <v>0.82838240630383719</v>
      </c>
      <c r="E928" s="6">
        <f t="shared" si="30"/>
        <v>5</v>
      </c>
      <c r="F928" s="6">
        <f>ACE_Input!D88</f>
        <v>564</v>
      </c>
      <c r="G928" s="6">
        <f>MOD(Settings!$B$17*(G927),Settings!$B$18)</f>
        <v>1913431673</v>
      </c>
      <c r="H928" s="6">
        <f>MAX(G928,1)/Settings!$B$18</f>
        <v>0.89101105643949052</v>
      </c>
      <c r="I928" s="6">
        <f>-ACE_Input!W88*LN(H928)</f>
        <v>0.46159377026128723</v>
      </c>
      <c r="J928" s="6">
        <f>-ACE_Input!X88*LN(H928)</f>
        <v>1.3847813107838616</v>
      </c>
      <c r="K928" s="6">
        <f>ACE_Input!U88</f>
        <v>300</v>
      </c>
      <c r="L928" s="6">
        <f>K928*ACE_Input!V88</f>
        <v>75</v>
      </c>
    </row>
    <row r="929" spans="1:12" x14ac:dyDescent="0.2">
      <c r="A929">
        <f>8</f>
        <v>8</v>
      </c>
      <c r="B929">
        <f>ACE_Input!A89</f>
        <v>84</v>
      </c>
      <c r="C929" s="6">
        <f>MOD(Settings!$B$17*(C928),Settings!$B$18)</f>
        <v>1338102963</v>
      </c>
      <c r="D929" s="6">
        <f>MAX(C929,1)/Settings!$B$18</f>
        <v>0.62310274859103498</v>
      </c>
      <c r="E929" s="6">
        <f t="shared" si="30"/>
        <v>5</v>
      </c>
      <c r="F929" s="6">
        <f>ACE_Input!D89</f>
        <v>569</v>
      </c>
      <c r="G929" s="6">
        <f>MOD(Settings!$B$17*(G928),Settings!$B$18)</f>
        <v>478514286</v>
      </c>
      <c r="H929" s="6">
        <f>MAX(G929,1)/Settings!$B$18</f>
        <v>0.22282557851766496</v>
      </c>
      <c r="I929" s="6">
        <f>-ACE_Input!W89*LN(H929)</f>
        <v>6.0054638907266504</v>
      </c>
      <c r="J929" s="6">
        <f>-ACE_Input!X89*LN(H929)</f>
        <v>18.01639167217995</v>
      </c>
      <c r="K929" s="6">
        <f>ACE_Input!U89</f>
        <v>300</v>
      </c>
      <c r="L929" s="6">
        <f>K929*ACE_Input!V89</f>
        <v>75</v>
      </c>
    </row>
    <row r="930" spans="1:12" x14ac:dyDescent="0.2">
      <c r="A930">
        <f>8</f>
        <v>8</v>
      </c>
      <c r="B930">
        <f>ACE_Input!A90</f>
        <v>85</v>
      </c>
      <c r="C930" s="6">
        <f>MOD(Settings!$B$17*(C929),Settings!$B$18)</f>
        <v>1047747757</v>
      </c>
      <c r="D930" s="6">
        <f>MAX(C930,1)/Settings!$B$18</f>
        <v>0.48789556952561047</v>
      </c>
      <c r="E930" s="6">
        <f t="shared" si="30"/>
        <v>5</v>
      </c>
      <c r="F930" s="6">
        <f>ACE_Input!D90</f>
        <v>574</v>
      </c>
      <c r="G930" s="6">
        <f>MOD(Settings!$B$17*(G929),Settings!$B$18)</f>
        <v>63346787</v>
      </c>
      <c r="H930" s="6">
        <f>MAX(G930,1)/Settings!$B$18</f>
        <v>2.9498146394965306E-2</v>
      </c>
      <c r="I930" s="6">
        <f>-ACE_Input!W90*LN(H930)</f>
        <v>14.093711406717913</v>
      </c>
      <c r="J930" s="6">
        <f>-ACE_Input!X90*LN(H930)</f>
        <v>42.281134220153739</v>
      </c>
      <c r="K930" s="6">
        <f>ACE_Input!U90</f>
        <v>300</v>
      </c>
      <c r="L930" s="6">
        <f>K930*ACE_Input!V90</f>
        <v>75</v>
      </c>
    </row>
    <row r="931" spans="1:12" x14ac:dyDescent="0.2">
      <c r="A931">
        <f>8</f>
        <v>8</v>
      </c>
      <c r="B931">
        <f>ACE_Input!A91</f>
        <v>86</v>
      </c>
      <c r="C931" s="6">
        <f>MOD(Settings!$B$17*(C930),Settings!$B$18)</f>
        <v>130646499</v>
      </c>
      <c r="D931" s="6">
        <f>MAX(C931,1)/Settings!$B$18</f>
        <v>6.0837016934918713E-2</v>
      </c>
      <c r="E931" s="6">
        <f t="shared" si="30"/>
        <v>5</v>
      </c>
      <c r="F931" s="6">
        <f>ACE_Input!D91</f>
        <v>579</v>
      </c>
      <c r="G931" s="6">
        <f>MOD(Settings!$B$17*(G930),Settings!$B$18)</f>
        <v>1665043844</v>
      </c>
      <c r="H931" s="6">
        <f>MAX(G931,1)/Settings!$B$18</f>
        <v>0.77534646018191544</v>
      </c>
      <c r="I931" s="6">
        <f>-ACE_Input!W91*LN(H931)</f>
        <v>1.0177812165111702</v>
      </c>
      <c r="J931" s="6">
        <f>-ACE_Input!X91*LN(H931)</f>
        <v>3.0533436495335105</v>
      </c>
      <c r="K931" s="6">
        <f>ACE_Input!U91</f>
        <v>300</v>
      </c>
      <c r="L931" s="6">
        <f>K931*ACE_Input!V91</f>
        <v>75</v>
      </c>
    </row>
    <row r="932" spans="1:12" x14ac:dyDescent="0.2">
      <c r="A932">
        <f>8</f>
        <v>8</v>
      </c>
      <c r="B932">
        <f>ACE_Input!A92</f>
        <v>87</v>
      </c>
      <c r="C932" s="6">
        <f>MOD(Settings!$B$17*(C931),Settings!$B$18)</f>
        <v>1047421459</v>
      </c>
      <c r="D932" s="6">
        <f>MAX(C932,1)/Settings!$B$18</f>
        <v>0.48774362517881376</v>
      </c>
      <c r="E932" s="6">
        <f t="shared" si="30"/>
        <v>5</v>
      </c>
      <c r="F932" s="6">
        <f>ACE_Input!D92</f>
        <v>584</v>
      </c>
      <c r="G932" s="6">
        <f>MOD(Settings!$B$17*(G931),Settings!$B$18)</f>
        <v>532482051</v>
      </c>
      <c r="H932" s="6">
        <f>MAX(G932,1)/Settings!$B$18</f>
        <v>0.24795627745238891</v>
      </c>
      <c r="I932" s="6">
        <f>-ACE_Input!W92*LN(H932)</f>
        <v>5.5780113958205506</v>
      </c>
      <c r="J932" s="6">
        <f>-ACE_Input!X92*LN(H932)</f>
        <v>16.734034187461653</v>
      </c>
      <c r="K932" s="6">
        <f>ACE_Input!U92</f>
        <v>300</v>
      </c>
      <c r="L932" s="6">
        <f>K932*ACE_Input!V92</f>
        <v>75</v>
      </c>
    </row>
    <row r="933" spans="1:12" x14ac:dyDescent="0.2">
      <c r="A933">
        <f>8</f>
        <v>8</v>
      </c>
      <c r="B933">
        <f>ACE_Input!A93</f>
        <v>88</v>
      </c>
      <c r="C933" s="6">
        <f>MOD(Settings!$B$17*(C932),Settings!$B$18)</f>
        <v>1089006954</v>
      </c>
      <c r="D933" s="6">
        <f>MAX(C933,1)/Settings!$B$18</f>
        <v>0.50710838032286076</v>
      </c>
      <c r="E933" s="6">
        <f t="shared" si="30"/>
        <v>5</v>
      </c>
      <c r="F933" s="6">
        <f>ACE_Input!D93</f>
        <v>589</v>
      </c>
      <c r="G933" s="6">
        <f>MOD(Settings!$B$17*(G932),Settings!$B$18)</f>
        <v>861474108</v>
      </c>
      <c r="H933" s="6">
        <f>MAX(G933,1)/Settings!$B$18</f>
        <v>0.40115514230036881</v>
      </c>
      <c r="I933" s="6">
        <f>-ACE_Input!W93*LN(H933)</f>
        <v>3.6536281518721565</v>
      </c>
      <c r="J933" s="6">
        <f>-ACE_Input!X93*LN(H933)</f>
        <v>10.960884455616469</v>
      </c>
      <c r="K933" s="6">
        <f>ACE_Input!U93</f>
        <v>300</v>
      </c>
      <c r="L933" s="6">
        <f>K933*ACE_Input!V93</f>
        <v>75</v>
      </c>
    </row>
    <row r="934" spans="1:12" x14ac:dyDescent="0.2">
      <c r="A934">
        <f>8</f>
        <v>8</v>
      </c>
      <c r="B934">
        <f>ACE_Input!A94</f>
        <v>89</v>
      </c>
      <c r="C934" s="6">
        <f>MOD(Settings!$B$17*(C933),Settings!$B$18)</f>
        <v>2084236144</v>
      </c>
      <c r="D934" s="6">
        <f>MAX(C934,1)/Settings!$B$18</f>
        <v>0.97054808632030531</v>
      </c>
      <c r="E934" s="6">
        <f t="shared" si="30"/>
        <v>5</v>
      </c>
      <c r="F934" s="6">
        <f>ACE_Input!D94</f>
        <v>594</v>
      </c>
      <c r="G934" s="6">
        <f>MOD(Settings!$B$17*(G933),Settings!$B$18)</f>
        <v>460585082</v>
      </c>
      <c r="H934" s="6">
        <f>MAX(G934,1)/Settings!$B$18</f>
        <v>0.21447664229873412</v>
      </c>
      <c r="I934" s="6">
        <f>-ACE_Input!W94*LN(H934)</f>
        <v>6.1582177610224456</v>
      </c>
      <c r="J934" s="6">
        <f>-ACE_Input!X94*LN(H934)</f>
        <v>18.474653283067337</v>
      </c>
      <c r="K934" s="6">
        <f>ACE_Input!U94</f>
        <v>300</v>
      </c>
      <c r="L934" s="6">
        <f>K934*ACE_Input!V94</f>
        <v>75</v>
      </c>
    </row>
    <row r="935" spans="1:12" x14ac:dyDescent="0.2">
      <c r="A935">
        <f>8</f>
        <v>8</v>
      </c>
      <c r="B935">
        <f>ACE_Input!A95</f>
        <v>90</v>
      </c>
      <c r="C935" s="6">
        <f>MOD(Settings!$B$17*(C934),Settings!$B$18)</f>
        <v>3622344</v>
      </c>
      <c r="D935" s="6">
        <f>MAX(C935,1)/Settings!$B$18</f>
        <v>1.6867853708969361E-3</v>
      </c>
      <c r="E935" s="6">
        <f t="shared" si="30"/>
        <v>5</v>
      </c>
      <c r="F935" s="6">
        <f>ACE_Input!D95</f>
        <v>599</v>
      </c>
      <c r="G935" s="6">
        <f>MOD(Settings!$B$17*(G934),Settings!$B$18)</f>
        <v>1522409386</v>
      </c>
      <c r="H935" s="6">
        <f>MAX(G935,1)/Settings!$B$18</f>
        <v>0.70892711482426485</v>
      </c>
      <c r="I935" s="6">
        <f>-ACE_Input!W95*LN(H935)</f>
        <v>1.3760102308002566</v>
      </c>
      <c r="J935" s="6">
        <f>-ACE_Input!X95*LN(H935)</f>
        <v>4.1280306924007704</v>
      </c>
      <c r="K935" s="6">
        <f>ACE_Input!U95</f>
        <v>300</v>
      </c>
      <c r="L935" s="6">
        <f>K935*ACE_Input!V95</f>
        <v>75</v>
      </c>
    </row>
    <row r="936" spans="1:12" x14ac:dyDescent="0.2">
      <c r="A936">
        <f>8</f>
        <v>8</v>
      </c>
      <c r="B936">
        <f>ACE_Input!A96</f>
        <v>91</v>
      </c>
      <c r="C936" s="6">
        <f>MOD(Settings!$B$17*(C935),Settings!$B$18)</f>
        <v>751193492</v>
      </c>
      <c r="D936" s="6">
        <f>MAX(C936,1)/Settings!$B$18</f>
        <v>0.34980172866480508</v>
      </c>
      <c r="E936" s="6">
        <f t="shared" si="30"/>
        <v>5</v>
      </c>
      <c r="F936" s="6">
        <f>ACE_Input!D96</f>
        <v>604</v>
      </c>
      <c r="G936" s="6">
        <f>MOD(Settings!$B$17*(G935),Settings!$B$18)</f>
        <v>2014380144</v>
      </c>
      <c r="H936" s="6">
        <f>MAX(G936,1)/Settings!$B$18</f>
        <v>0.93801885141898822</v>
      </c>
      <c r="I936" s="6">
        <f>-ACE_Input!W96*LN(H936)</f>
        <v>0.25594093086502295</v>
      </c>
      <c r="J936" s="6">
        <f>-ACE_Input!X96*LN(H936)</f>
        <v>0.76782279259506891</v>
      </c>
      <c r="K936" s="6">
        <f>ACE_Input!U96</f>
        <v>300</v>
      </c>
      <c r="L936" s="6">
        <f>K936*ACE_Input!V96</f>
        <v>75</v>
      </c>
    </row>
    <row r="937" spans="1:12" x14ac:dyDescent="0.2">
      <c r="A937">
        <f>8</f>
        <v>8</v>
      </c>
      <c r="B937">
        <f>ACE_Input!A97</f>
        <v>92</v>
      </c>
      <c r="C937" s="6">
        <f>MOD(Settings!$B$17*(C936),Settings!$B$18)</f>
        <v>252659331</v>
      </c>
      <c r="D937" s="6">
        <f>MAX(C937,1)/Settings!$B$18</f>
        <v>0.11765366937855895</v>
      </c>
      <c r="E937" s="6">
        <f t="shared" si="30"/>
        <v>5</v>
      </c>
      <c r="F937" s="6">
        <f>ACE_Input!D97</f>
        <v>609</v>
      </c>
      <c r="G937" s="6">
        <f>MOD(Settings!$B$17*(G936),Settings!$B$18)</f>
        <v>607385253</v>
      </c>
      <c r="H937" s="6">
        <f>MAX(G937,1)/Settings!$B$18</f>
        <v>0.2828357989354226</v>
      </c>
      <c r="I937" s="6">
        <f>-ACE_Input!W97*LN(H937)</f>
        <v>5.0515550620204115</v>
      </c>
      <c r="J937" s="6">
        <f>-ACE_Input!X97*LN(H937)</f>
        <v>15.154665186061234</v>
      </c>
      <c r="K937" s="6">
        <f>ACE_Input!U97</f>
        <v>300</v>
      </c>
      <c r="L937" s="6">
        <f>K937*ACE_Input!V97</f>
        <v>75</v>
      </c>
    </row>
    <row r="938" spans="1:12" x14ac:dyDescent="0.2">
      <c r="A938">
        <f>8</f>
        <v>8</v>
      </c>
      <c r="B938">
        <f>ACE_Input!A98</f>
        <v>93</v>
      </c>
      <c r="C938" s="6">
        <f>MOD(Settings!$B$17*(C937),Settings!$B$18)</f>
        <v>870205998</v>
      </c>
      <c r="D938" s="6">
        <f>MAX(C938,1)/Settings!$B$18</f>
        <v>0.40522124544029181</v>
      </c>
      <c r="E938" s="6">
        <f t="shared" si="30"/>
        <v>5</v>
      </c>
      <c r="F938" s="6">
        <f>ACE_Input!D98</f>
        <v>614</v>
      </c>
      <c r="G938" s="6">
        <f>MOD(Settings!$B$17*(G937),Settings!$B$18)</f>
        <v>1334172980</v>
      </c>
      <c r="H938" s="6">
        <f>MAX(G938,1)/Settings!$B$18</f>
        <v>0.62127270764730536</v>
      </c>
      <c r="I938" s="6">
        <f>-ACE_Input!W98*LN(H938)</f>
        <v>1.9039406027773267</v>
      </c>
      <c r="J938" s="6">
        <f>-ACE_Input!X98*LN(H938)</f>
        <v>5.7118218083319796</v>
      </c>
      <c r="K938" s="6">
        <f>ACE_Input!U98</f>
        <v>300</v>
      </c>
      <c r="L938" s="6">
        <f>K938*ACE_Input!V98</f>
        <v>75</v>
      </c>
    </row>
    <row r="939" spans="1:12" x14ac:dyDescent="0.2">
      <c r="A939">
        <f>8</f>
        <v>8</v>
      </c>
      <c r="B939">
        <f>ACE_Input!A99</f>
        <v>94</v>
      </c>
      <c r="C939" s="6">
        <f>MOD(Settings!$B$17*(C938),Settings!$B$18)</f>
        <v>1188572316</v>
      </c>
      <c r="D939" s="6">
        <f>MAX(C939,1)/Settings!$B$18</f>
        <v>0.55347211498463156</v>
      </c>
      <c r="E939" s="6">
        <f t="shared" si="30"/>
        <v>5</v>
      </c>
      <c r="F939" s="6">
        <f>ACE_Input!D99</f>
        <v>619</v>
      </c>
      <c r="G939" s="6">
        <f>MOD(Settings!$B$17*(G938),Settings!$B$18)</f>
        <v>1568516533</v>
      </c>
      <c r="H939" s="6">
        <f>MAX(G939,1)/Settings!$B$18</f>
        <v>0.73039742826036991</v>
      </c>
      <c r="I939" s="6">
        <f>-ACE_Input!W99*LN(H939)</f>
        <v>1.2566658828370449</v>
      </c>
      <c r="J939" s="6">
        <f>-ACE_Input!X99*LN(H939)</f>
        <v>3.7699976485111346</v>
      </c>
      <c r="K939" s="6">
        <f>ACE_Input!U99</f>
        <v>300</v>
      </c>
      <c r="L939" s="6">
        <f>K939*ACE_Input!V99</f>
        <v>75</v>
      </c>
    </row>
    <row r="940" spans="1:12" x14ac:dyDescent="0.2">
      <c r="A940">
        <f>8</f>
        <v>8</v>
      </c>
      <c r="B940">
        <f>ACE_Input!A100</f>
        <v>95</v>
      </c>
      <c r="C940" s="6">
        <f>MOD(Settings!$B$17*(C939),Settings!$B$18)</f>
        <v>442030618</v>
      </c>
      <c r="D940" s="6">
        <f>MAX(C940,1)/Settings!$B$18</f>
        <v>0.20583654670316565</v>
      </c>
      <c r="E940" s="6">
        <f t="shared" si="30"/>
        <v>5</v>
      </c>
      <c r="F940" s="6">
        <f>ACE_Input!D100</f>
        <v>624</v>
      </c>
      <c r="G940" s="6">
        <f>MOD(Settings!$B$17*(G939),Settings!$B$18)</f>
        <v>1695603206</v>
      </c>
      <c r="H940" s="6">
        <f>MAX(G940,1)/Settings!$B$18</f>
        <v>0.78957677203676513</v>
      </c>
      <c r="I940" s="6">
        <f>-ACE_Input!W100*LN(H940)</f>
        <v>0.94503283470219279</v>
      </c>
      <c r="J940" s="6">
        <f>-ACE_Input!X100*LN(H940)</f>
        <v>2.8350985041065782</v>
      </c>
      <c r="K940" s="6">
        <f>ACE_Input!U100</f>
        <v>300</v>
      </c>
      <c r="L940" s="6">
        <f>K940*ACE_Input!V100</f>
        <v>75</v>
      </c>
    </row>
    <row r="941" spans="1:12" x14ac:dyDescent="0.2">
      <c r="A941">
        <f>8</f>
        <v>8</v>
      </c>
      <c r="B941">
        <f>ACE_Input!A101</f>
        <v>96</v>
      </c>
      <c r="C941" s="6">
        <f>MOD(Settings!$B$17*(C940),Settings!$B$18)</f>
        <v>1062661753</v>
      </c>
      <c r="D941" s="6">
        <f>MAX(C941,1)/Settings!$B$18</f>
        <v>0.49484044010510686</v>
      </c>
      <c r="E941" s="6">
        <f t="shared" si="30"/>
        <v>5</v>
      </c>
      <c r="F941" s="6">
        <f>ACE_Input!D101</f>
        <v>629</v>
      </c>
      <c r="G941" s="6">
        <f>MOD(Settings!$B$17*(G940),Settings!$B$18)</f>
        <v>895087552</v>
      </c>
      <c r="H941" s="6">
        <f>MAX(G941,1)/Settings!$B$18</f>
        <v>0.41680762191154419</v>
      </c>
      <c r="I941" s="6">
        <f>-ACE_Input!W101*LN(H941)</f>
        <v>3.5005220078969188</v>
      </c>
      <c r="J941" s="6">
        <f>-ACE_Input!X101*LN(H941)</f>
        <v>10.501566023690756</v>
      </c>
      <c r="K941" s="6">
        <f>ACE_Input!U101</f>
        <v>300</v>
      </c>
      <c r="L941" s="6">
        <f>K941*ACE_Input!V101</f>
        <v>75</v>
      </c>
    </row>
    <row r="942" spans="1:12" x14ac:dyDescent="0.2">
      <c r="A942">
        <f>8</f>
        <v>8</v>
      </c>
      <c r="B942">
        <f>ACE_Input!A102</f>
        <v>97</v>
      </c>
      <c r="C942" s="6">
        <f>MOD(Settings!$B$17*(C941),Settings!$B$18)</f>
        <v>1682074219</v>
      </c>
      <c r="D942" s="6">
        <f>MAX(C942,1)/Settings!$B$18</f>
        <v>0.78327684653144181</v>
      </c>
      <c r="E942" s="6">
        <f t="shared" si="30"/>
        <v>5</v>
      </c>
      <c r="F942" s="6">
        <f>ACE_Input!D102</f>
        <v>634</v>
      </c>
      <c r="G942" s="6">
        <f>MOD(Settings!$B$17*(G941),Settings!$B$18)</f>
        <v>613539229</v>
      </c>
      <c r="H942" s="6">
        <f>MAX(G942,1)/Settings!$B$18</f>
        <v>0.28570146732297796</v>
      </c>
      <c r="I942" s="6">
        <f>-ACE_Input!W102*LN(H942)</f>
        <v>5.0112313354855242</v>
      </c>
      <c r="J942" s="6">
        <f>-ACE_Input!X102*LN(H942)</f>
        <v>15.033694006456573</v>
      </c>
      <c r="K942" s="6">
        <f>ACE_Input!U102</f>
        <v>300</v>
      </c>
      <c r="L942" s="6">
        <f>K942*ACE_Input!V102</f>
        <v>75</v>
      </c>
    </row>
    <row r="943" spans="1:12" x14ac:dyDescent="0.2">
      <c r="A943">
        <f>8</f>
        <v>8</v>
      </c>
      <c r="B943">
        <f>ACE_Input!A103</f>
        <v>98</v>
      </c>
      <c r="C943" s="6">
        <f>MOD(Settings!$B$17*(C942),Settings!$B$18)</f>
        <v>1146669625</v>
      </c>
      <c r="D943" s="6">
        <f>MAX(C943,1)/Settings!$B$18</f>
        <v>0.53395965394282696</v>
      </c>
      <c r="E943" s="6">
        <f t="shared" ref="E943:E945" si="31">F943-F942</f>
        <v>5</v>
      </c>
      <c r="F943" s="6">
        <f>ACE_Input!D103</f>
        <v>639</v>
      </c>
      <c r="G943" s="6">
        <f>MOD(Settings!$B$17*(G942),Settings!$B$18)</f>
        <v>1684832556</v>
      </c>
      <c r="H943" s="6">
        <f>MAX(G943,1)/Settings!$B$18</f>
        <v>0.78456129729028856</v>
      </c>
      <c r="I943" s="6">
        <f>-ACE_Input!W103*LN(H943)</f>
        <v>0.97052229749411389</v>
      </c>
      <c r="J943" s="6">
        <f>-ACE_Input!X103*LN(H943)</f>
        <v>2.9115668924823419</v>
      </c>
      <c r="K943" s="6">
        <f>ACE_Input!U103</f>
        <v>300</v>
      </c>
      <c r="L943" s="6">
        <f>K943*ACE_Input!V103</f>
        <v>75</v>
      </c>
    </row>
    <row r="944" spans="1:12" x14ac:dyDescent="0.2">
      <c r="A944">
        <f>8</f>
        <v>8</v>
      </c>
      <c r="B944">
        <f>ACE_Input!A104</f>
        <v>99</v>
      </c>
      <c r="C944" s="6">
        <f>MOD(Settings!$B$17*(C943),Settings!$B$18)</f>
        <v>558139197</v>
      </c>
      <c r="D944" s="6">
        <f>MAX(C944,1)/Settings!$B$18</f>
        <v>0.25990381709295501</v>
      </c>
      <c r="E944" s="6">
        <f t="shared" si="31"/>
        <v>45</v>
      </c>
      <c r="F944" s="6">
        <f>ACE_Input!D104</f>
        <v>684</v>
      </c>
      <c r="G944" s="6">
        <f>MOD(Settings!$B$17*(G943),Settings!$B$18)</f>
        <v>261399350</v>
      </c>
      <c r="H944" s="6">
        <f>MAX(G944,1)/Settings!$B$18</f>
        <v>0.12172355787908824</v>
      </c>
      <c r="I944" s="6">
        <f>-ACE_Input!W104*LN(H944)</f>
        <v>8.4240108974075909</v>
      </c>
      <c r="J944" s="6">
        <f>-ACE_Input!X104*LN(H944)</f>
        <v>25.272032692222773</v>
      </c>
      <c r="K944" s="6">
        <f>ACE_Input!U104</f>
        <v>300</v>
      </c>
      <c r="L944" s="6">
        <f>K944*ACE_Input!V104</f>
        <v>75</v>
      </c>
    </row>
    <row r="945" spans="1:12" x14ac:dyDescent="0.2">
      <c r="A945">
        <f>8</f>
        <v>8</v>
      </c>
      <c r="B945">
        <f>ACE_Input!A105</f>
        <v>100</v>
      </c>
      <c r="C945" s="6">
        <f>MOD(Settings!$B$17*(C944),Settings!$B$18)</f>
        <v>436913883</v>
      </c>
      <c r="D945" s="6">
        <f>MAX(C945,1)/Settings!$B$18</f>
        <v>0.20345388129514358</v>
      </c>
      <c r="E945" s="6">
        <f t="shared" si="31"/>
        <v>5</v>
      </c>
      <c r="F945" s="6">
        <f>ACE_Input!D105</f>
        <v>689</v>
      </c>
      <c r="G945" s="6">
        <f>MOD(Settings!$B$17*(G944),Settings!$B$18)</f>
        <v>1734817335</v>
      </c>
      <c r="H945" s="6">
        <f>MAX(G945,1)/Settings!$B$18</f>
        <v>0.80783727383606008</v>
      </c>
      <c r="I945" s="6">
        <f>-ACE_Input!W105*LN(H945)</f>
        <v>0.85357853804296802</v>
      </c>
      <c r="J945" s="6">
        <f>-ACE_Input!X105*LN(H945)</f>
        <v>2.5607356141289039</v>
      </c>
      <c r="K945" s="6">
        <f>ACE_Input!U105</f>
        <v>300</v>
      </c>
      <c r="L945" s="6">
        <f>K945*ACE_Input!V105</f>
        <v>75</v>
      </c>
    </row>
    <row r="946" spans="1:12" x14ac:dyDescent="0.2">
      <c r="C946" s="6"/>
      <c r="D946" s="6"/>
      <c r="E946" s="6"/>
      <c r="F946" s="6"/>
      <c r="G946" s="6"/>
      <c r="H946" s="6"/>
      <c r="I946" s="6"/>
      <c r="J946" s="6"/>
      <c r="K946" s="6"/>
      <c r="L946" s="6"/>
    </row>
    <row r="947" spans="1:12" x14ac:dyDescent="0.2">
      <c r="C947" s="6"/>
      <c r="D947" s="6"/>
      <c r="E947" s="6"/>
      <c r="F947" s="6"/>
      <c r="G947" s="6"/>
      <c r="H947" s="6"/>
      <c r="I947" s="6"/>
      <c r="J947" s="6"/>
      <c r="K947" s="6"/>
      <c r="L947" s="6"/>
    </row>
    <row r="948" spans="1:12" x14ac:dyDescent="0.2">
      <c r="C948" s="6"/>
      <c r="D948" s="6"/>
      <c r="E948" s="6"/>
      <c r="F948" s="6"/>
      <c r="G948" s="6"/>
      <c r="H948" s="6"/>
      <c r="I948" s="6"/>
      <c r="J948" s="6"/>
      <c r="K948" s="6"/>
      <c r="L948" s="6"/>
    </row>
    <row r="949" spans="1:12" x14ac:dyDescent="0.2">
      <c r="C949" s="6"/>
      <c r="D949" s="6"/>
      <c r="E949" s="6"/>
      <c r="F949" s="6"/>
      <c r="G949" s="6"/>
      <c r="H949" s="6"/>
      <c r="I949" s="6"/>
      <c r="J949" s="6"/>
      <c r="K949" s="6"/>
      <c r="L949" s="6"/>
    </row>
    <row r="950" spans="1:12" x14ac:dyDescent="0.2">
      <c r="C950" s="6"/>
      <c r="D950" s="6"/>
      <c r="E950" s="6"/>
      <c r="F950" s="6"/>
      <c r="G950" s="6"/>
      <c r="H950" s="6"/>
      <c r="I950" s="6"/>
      <c r="J950" s="6"/>
      <c r="K950" s="6"/>
      <c r="L950" s="6"/>
    </row>
    <row r="951" spans="1:12" x14ac:dyDescent="0.2">
      <c r="C951" s="6"/>
      <c r="D951" s="6"/>
      <c r="E951" s="6"/>
      <c r="F951" s="6"/>
      <c r="G951" s="6"/>
      <c r="H951" s="6"/>
      <c r="I951" s="6"/>
      <c r="J951" s="6"/>
      <c r="K951" s="6"/>
      <c r="L951" s="6"/>
    </row>
    <row r="952" spans="1:12" x14ac:dyDescent="0.2">
      <c r="C952" s="6"/>
      <c r="D952" s="6"/>
      <c r="E952" s="6"/>
      <c r="F952" s="6"/>
      <c r="G952" s="6"/>
      <c r="H952" s="6"/>
      <c r="I952" s="6"/>
      <c r="J952" s="6"/>
      <c r="K952" s="6"/>
      <c r="L952" s="6"/>
    </row>
    <row r="953" spans="1:12" x14ac:dyDescent="0.2">
      <c r="C953" s="6"/>
      <c r="D953" s="6"/>
      <c r="E953" s="6"/>
      <c r="F953" s="6"/>
      <c r="G953" s="6"/>
      <c r="H953" s="6"/>
      <c r="I953" s="6"/>
      <c r="J953" s="6"/>
      <c r="K953" s="6"/>
      <c r="L953" s="6"/>
    </row>
    <row r="954" spans="1:12" x14ac:dyDescent="0.2">
      <c r="C954" s="6"/>
      <c r="D954" s="6"/>
      <c r="E954" s="6"/>
      <c r="F954" s="6"/>
      <c r="G954" s="6"/>
      <c r="H954" s="6"/>
      <c r="I954" s="6"/>
      <c r="J954" s="6"/>
      <c r="K954" s="6"/>
      <c r="L954" s="6"/>
    </row>
    <row r="955" spans="1:12" x14ac:dyDescent="0.2">
      <c r="C955" s="6"/>
      <c r="D955" s="6"/>
      <c r="E955" s="6"/>
      <c r="F955" s="6"/>
      <c r="G955" s="6"/>
      <c r="H955" s="6"/>
      <c r="I955" s="6"/>
      <c r="J955" s="6"/>
      <c r="K955" s="6"/>
      <c r="L955" s="6"/>
    </row>
    <row r="956" spans="1:12" x14ac:dyDescent="0.2">
      <c r="C956" s="6"/>
      <c r="D956" s="6"/>
      <c r="E956" s="6"/>
      <c r="F956" s="6"/>
      <c r="G956" s="6"/>
      <c r="H956" s="6"/>
      <c r="I956" s="6"/>
      <c r="J956" s="6"/>
      <c r="K956" s="6"/>
      <c r="L956" s="6"/>
    </row>
    <row r="957" spans="1:12" x14ac:dyDescent="0.2">
      <c r="C957" s="6"/>
      <c r="D957" s="6"/>
      <c r="E957" s="6"/>
      <c r="F957" s="6"/>
      <c r="G957" s="6"/>
      <c r="H957" s="6"/>
      <c r="I957" s="6"/>
      <c r="J957" s="6"/>
      <c r="K957" s="6"/>
      <c r="L957" s="6"/>
    </row>
    <row r="958" spans="1:12" x14ac:dyDescent="0.2">
      <c r="C958" s="6"/>
      <c r="D958" s="6"/>
      <c r="E958" s="6"/>
      <c r="F958" s="6"/>
      <c r="G958" s="6"/>
      <c r="H958" s="6"/>
      <c r="I958" s="6"/>
      <c r="J958" s="6"/>
      <c r="K958" s="6"/>
      <c r="L958" s="6"/>
    </row>
    <row r="959" spans="1:12" x14ac:dyDescent="0.2">
      <c r="C959" s="6"/>
      <c r="D959" s="6"/>
      <c r="E959" s="6"/>
      <c r="F959" s="6"/>
      <c r="G959" s="6"/>
      <c r="H959" s="6"/>
      <c r="I959" s="6"/>
      <c r="J959" s="6"/>
      <c r="K959" s="6"/>
      <c r="L959" s="6"/>
    </row>
    <row r="960" spans="1:12" x14ac:dyDescent="0.2">
      <c r="C960" s="6"/>
      <c r="D960" s="6"/>
      <c r="E960" s="6"/>
      <c r="F960" s="6"/>
      <c r="G960" s="6"/>
      <c r="H960" s="6"/>
      <c r="I960" s="6"/>
      <c r="J960" s="6"/>
      <c r="K960" s="6"/>
      <c r="L960" s="6"/>
    </row>
    <row r="961" spans="1:12" x14ac:dyDescent="0.2">
      <c r="C961" s="6"/>
      <c r="D961" s="6"/>
      <c r="E961" s="6"/>
      <c r="F961" s="6"/>
      <c r="G961" s="6"/>
      <c r="H961" s="6"/>
      <c r="I961" s="6"/>
      <c r="J961" s="6"/>
      <c r="K961" s="6"/>
      <c r="L961" s="6"/>
    </row>
    <row r="962" spans="1:12" x14ac:dyDescent="0.2">
      <c r="C962" s="6"/>
      <c r="D962" s="6"/>
      <c r="E962" s="6"/>
      <c r="F962" s="6"/>
      <c r="G962" s="6"/>
      <c r="H962" s="6"/>
      <c r="I962" s="6"/>
      <c r="J962" s="6"/>
      <c r="K962" s="6"/>
      <c r="L962" s="6"/>
    </row>
    <row r="963" spans="1:12" x14ac:dyDescent="0.2">
      <c r="C963" s="6"/>
      <c r="D963" s="6"/>
      <c r="E963" s="6"/>
      <c r="F963" s="6"/>
      <c r="G963" s="6"/>
      <c r="H963" s="6"/>
      <c r="I963" s="6"/>
      <c r="J963" s="6"/>
      <c r="K963" s="6"/>
      <c r="L963" s="6"/>
    </row>
    <row r="964" spans="1:12" x14ac:dyDescent="0.2">
      <c r="C964" s="6"/>
      <c r="D964" s="6"/>
      <c r="E964" s="6"/>
      <c r="F964" s="6"/>
      <c r="G964" s="6"/>
      <c r="H964" s="6"/>
      <c r="I964" s="6"/>
      <c r="J964" s="6"/>
      <c r="K964" s="6"/>
      <c r="L964" s="6"/>
    </row>
    <row r="965" spans="1:12" x14ac:dyDescent="0.2">
      <c r="C965" s="6"/>
      <c r="D965" s="6"/>
      <c r="E965" s="6"/>
      <c r="F965" s="6"/>
      <c r="G965" s="6"/>
      <c r="H965" s="6"/>
      <c r="I965" s="6"/>
      <c r="J965" s="6"/>
      <c r="K965" s="6"/>
      <c r="L965" s="6"/>
    </row>
    <row r="966" spans="1:12" x14ac:dyDescent="0.2">
      <c r="A966">
        <f>9</f>
        <v>9</v>
      </c>
      <c r="B966">
        <f>ACE_Input!A6</f>
        <v>1</v>
      </c>
      <c r="C966" s="6">
        <f>MOD(Settings!$B$17*(Settings!$B$15+1000*A966),Settings!$B$18)</f>
        <v>358745415</v>
      </c>
      <c r="D966" s="6">
        <f>MAX(C966,1)/Settings!$B$18</f>
        <v>0.16705385184243968</v>
      </c>
      <c r="E966" s="6">
        <f>F966</f>
        <v>2</v>
      </c>
      <c r="F966" s="6">
        <f>ACE_Input!D6</f>
        <v>2</v>
      </c>
      <c r="G966" s="6">
        <f>MOD(Settings!$B$17*(Settings!$B$16+1000*A966),Settings!$B$18)</f>
        <v>1064236047</v>
      </c>
      <c r="H966" s="6">
        <f>MAX(G966,1)/Settings!$B$18</f>
        <v>0.4955735278760891</v>
      </c>
      <c r="I966" s="6">
        <f>-ACE_Input!W6*LN(H966)</f>
        <v>2.8081581797893973</v>
      </c>
      <c r="J966" s="6">
        <f>-ACE_Input!X6*LN(H966)</f>
        <v>8.424474539368191</v>
      </c>
      <c r="K966" s="6">
        <f>ACE_Input!U6</f>
        <v>300</v>
      </c>
      <c r="L966" s="6">
        <f>K966*ACE_Input!V6</f>
        <v>75</v>
      </c>
    </row>
    <row r="967" spans="1:12" x14ac:dyDescent="0.2">
      <c r="A967">
        <f>9</f>
        <v>9</v>
      </c>
      <c r="B967">
        <f>ACE_Input!A7</f>
        <v>2</v>
      </c>
      <c r="C967" s="6">
        <f>MOD(Settings!$B$17*(C966),Settings!$B$18)</f>
        <v>1447592776</v>
      </c>
      <c r="D967" s="6">
        <f>MAX(C967,1)/Settings!$B$18</f>
        <v>0.67408791588344052</v>
      </c>
      <c r="E967" s="6">
        <f t="shared" ref="E967:E998" si="32">F967-F966</f>
        <v>5</v>
      </c>
      <c r="F967" s="6">
        <f>ACE_Input!D7</f>
        <v>7</v>
      </c>
      <c r="G967" s="6">
        <f>MOD(Settings!$B$17*(G966),Settings!$B$18)</f>
        <v>223946066</v>
      </c>
      <c r="H967" s="6">
        <f>MAX(G967,1)/Settings!$B$18</f>
        <v>0.1042830134296245</v>
      </c>
      <c r="I967" s="6">
        <f>-ACE_Input!W7*LN(H967)</f>
        <v>9.0425871714017099</v>
      </c>
      <c r="J967" s="6">
        <f>-ACE_Input!X7*LN(H967)</f>
        <v>27.12776151420513</v>
      </c>
      <c r="K967" s="6">
        <f>ACE_Input!U7</f>
        <v>300</v>
      </c>
      <c r="L967" s="6">
        <f>K967*ACE_Input!V7</f>
        <v>75</v>
      </c>
    </row>
    <row r="968" spans="1:12" x14ac:dyDescent="0.2">
      <c r="A968">
        <f>9</f>
        <v>9</v>
      </c>
      <c r="B968">
        <f>ACE_Input!A8</f>
        <v>3</v>
      </c>
      <c r="C968" s="6">
        <f>MOD(Settings!$B$17*(C967),Settings!$B$18)</f>
        <v>849549369</v>
      </c>
      <c r="D968" s="6">
        <f>MAX(C968,1)/Settings!$B$18</f>
        <v>0.39560225298423424</v>
      </c>
      <c r="E968" s="6">
        <f t="shared" si="32"/>
        <v>25</v>
      </c>
      <c r="F968" s="6">
        <f>ACE_Input!D8</f>
        <v>32</v>
      </c>
      <c r="G968" s="6">
        <f>MOD(Settings!$B$17*(G967),Settings!$B$18)</f>
        <v>1470181718</v>
      </c>
      <c r="H968" s="6">
        <f>MAX(G968,1)/Settings!$B$18</f>
        <v>0.68460671169897858</v>
      </c>
      <c r="I968" s="6">
        <f>-ACE_Input!W8*LN(H968)</f>
        <v>1.515642996434196</v>
      </c>
      <c r="J968" s="6">
        <f>-ACE_Input!X8*LN(H968)</f>
        <v>4.5469289893025877</v>
      </c>
      <c r="K968" s="6">
        <f>ACE_Input!U8</f>
        <v>300</v>
      </c>
      <c r="L968" s="6">
        <f>K968*ACE_Input!V8</f>
        <v>75</v>
      </c>
    </row>
    <row r="969" spans="1:12" x14ac:dyDescent="0.2">
      <c r="A969">
        <f>9</f>
        <v>9</v>
      </c>
      <c r="B969">
        <f>ACE_Input!A9</f>
        <v>4</v>
      </c>
      <c r="C969" s="6">
        <f>MOD(Settings!$B$17*(C968),Settings!$B$18)</f>
        <v>1904959527</v>
      </c>
      <c r="D969" s="6">
        <f>MAX(C969,1)/Settings!$B$18</f>
        <v>0.88706590602503432</v>
      </c>
      <c r="E969" s="6">
        <f t="shared" si="32"/>
        <v>5</v>
      </c>
      <c r="F969" s="6">
        <f>ACE_Input!D9</f>
        <v>37</v>
      </c>
      <c r="G969" s="6">
        <f>MOD(Settings!$B$17*(G968),Settings!$B$18)</f>
        <v>397292044</v>
      </c>
      <c r="H969" s="6">
        <f>MAX(G969,1)/Settings!$B$18</f>
        <v>0.18500352473231196</v>
      </c>
      <c r="I969" s="6">
        <f>-ACE_Input!W9*LN(H969)</f>
        <v>6.7495216059128769</v>
      </c>
      <c r="J969" s="6">
        <f>-ACE_Input!X9*LN(H969)</f>
        <v>20.248564817738632</v>
      </c>
      <c r="K969" s="6">
        <f>ACE_Input!U9</f>
        <v>300</v>
      </c>
      <c r="L969" s="6">
        <f>K969*ACE_Input!V9</f>
        <v>75</v>
      </c>
    </row>
    <row r="970" spans="1:12" x14ac:dyDescent="0.2">
      <c r="A970">
        <f>9</f>
        <v>9</v>
      </c>
      <c r="B970">
        <f>ACE_Input!A10</f>
        <v>5</v>
      </c>
      <c r="C970" s="6">
        <f>MOD(Settings!$B$17*(C969),Settings!$B$18)</f>
        <v>1968560813</v>
      </c>
      <c r="D970" s="6">
        <f>MAX(C970,1)/Settings!$B$18</f>
        <v>0.91668256275201332</v>
      </c>
      <c r="E970" s="6">
        <f t="shared" si="32"/>
        <v>5</v>
      </c>
      <c r="F970" s="6">
        <f>ACE_Input!D10</f>
        <v>42</v>
      </c>
      <c r="G970" s="6">
        <f>MOD(Settings!$B$17*(G969),Settings!$B$18)</f>
        <v>760724985</v>
      </c>
      <c r="H970" s="6">
        <f>MAX(G970,1)/Settings!$B$18</f>
        <v>0.35424017596721658</v>
      </c>
      <c r="I970" s="6">
        <f>-ACE_Input!W10*LN(H970)</f>
        <v>4.1511205308649295</v>
      </c>
      <c r="J970" s="6">
        <f>-ACE_Input!X10*LN(H970)</f>
        <v>12.453361592594788</v>
      </c>
      <c r="K970" s="6">
        <f>ACE_Input!U10</f>
        <v>300</v>
      </c>
      <c r="L970" s="6">
        <f>K970*ACE_Input!V10</f>
        <v>75</v>
      </c>
    </row>
    <row r="971" spans="1:12" x14ac:dyDescent="0.2">
      <c r="A971">
        <f>9</f>
        <v>9</v>
      </c>
      <c r="B971">
        <f>ACE_Input!A11</f>
        <v>6</v>
      </c>
      <c r="C971" s="6">
        <f>MOD(Settings!$B$17*(C970),Settings!$B$18)</f>
        <v>1468518409</v>
      </c>
      <c r="D971" s="6">
        <f>MAX(C971,1)/Settings!$B$18</f>
        <v>0.68383217308848732</v>
      </c>
      <c r="E971" s="6">
        <f t="shared" si="32"/>
        <v>5</v>
      </c>
      <c r="F971" s="6">
        <f>ACE_Input!D11</f>
        <v>47</v>
      </c>
      <c r="G971" s="6">
        <f>MOD(Settings!$B$17*(G970),Settings!$B$18)</f>
        <v>1534672304</v>
      </c>
      <c r="H971" s="6">
        <f>MAX(G971,1)/Settings!$B$18</f>
        <v>0.71463748100895319</v>
      </c>
      <c r="I971" s="6">
        <f>-ACE_Input!W11*LN(H971)</f>
        <v>1.3439195377356439</v>
      </c>
      <c r="J971" s="6">
        <f>-ACE_Input!X11*LN(H971)</f>
        <v>4.0317586132069314</v>
      </c>
      <c r="K971" s="6">
        <f>ACE_Input!U11</f>
        <v>300</v>
      </c>
      <c r="L971" s="6">
        <f>K971*ACE_Input!V11</f>
        <v>75</v>
      </c>
    </row>
    <row r="972" spans="1:12" x14ac:dyDescent="0.2">
      <c r="A972">
        <f>9</f>
        <v>9</v>
      </c>
      <c r="B972">
        <f>ACE_Input!A12</f>
        <v>7</v>
      </c>
      <c r="C972" s="6">
        <f>MOD(Settings!$B$17*(C971),Settings!$B$18)</f>
        <v>359345092</v>
      </c>
      <c r="D972" s="6">
        <f>MAX(C972,1)/Settings!$B$18</f>
        <v>0.16733309820635855</v>
      </c>
      <c r="E972" s="6">
        <f t="shared" si="32"/>
        <v>5</v>
      </c>
      <c r="F972" s="6">
        <f>ACE_Input!D12</f>
        <v>52</v>
      </c>
      <c r="G972" s="6">
        <f>MOD(Settings!$B$17*(G971),Settings!$B$18)</f>
        <v>1958812858</v>
      </c>
      <c r="H972" s="6">
        <f>MAX(G972,1)/Settings!$B$18</f>
        <v>0.91214331747598165</v>
      </c>
      <c r="I972" s="6">
        <f>-ACE_Input!W12*LN(H972)</f>
        <v>0.36783261959503072</v>
      </c>
      <c r="J972" s="6">
        <f>-ACE_Input!X12*LN(H972)</f>
        <v>1.1034978587850921</v>
      </c>
      <c r="K972" s="6">
        <f>ACE_Input!U12</f>
        <v>300</v>
      </c>
      <c r="L972" s="6">
        <f>K972*ACE_Input!V12</f>
        <v>75</v>
      </c>
    </row>
    <row r="973" spans="1:12" x14ac:dyDescent="0.2">
      <c r="A973">
        <f>9</f>
        <v>9</v>
      </c>
      <c r="B973">
        <f>ACE_Input!A13</f>
        <v>8</v>
      </c>
      <c r="C973" s="6">
        <f>MOD(Settings!$B$17*(C972),Settings!$B$18)</f>
        <v>788945880</v>
      </c>
      <c r="D973" s="6">
        <f>MAX(C973,1)/Settings!$B$18</f>
        <v>0.36738155426801256</v>
      </c>
      <c r="E973" s="6">
        <f t="shared" si="32"/>
        <v>5</v>
      </c>
      <c r="F973" s="6">
        <f>ACE_Input!D13</f>
        <v>57</v>
      </c>
      <c r="G973" s="6">
        <f>MOD(Settings!$B$17*(G972),Settings!$B$18)</f>
        <v>843395896</v>
      </c>
      <c r="H973" s="6">
        <f>MAX(G973,1)/Settings!$B$18</f>
        <v>0.3927368188243065</v>
      </c>
      <c r="I973" s="6">
        <f>-ACE_Input!W13*LN(H973)</f>
        <v>3.7384622545849817</v>
      </c>
      <c r="J973" s="6">
        <f>-ACE_Input!X13*LN(H973)</f>
        <v>11.215386763754946</v>
      </c>
      <c r="K973" s="6">
        <f>ACE_Input!U13</f>
        <v>300</v>
      </c>
      <c r="L973" s="6">
        <f>K973*ACE_Input!V13</f>
        <v>75</v>
      </c>
    </row>
    <row r="974" spans="1:12" x14ac:dyDescent="0.2">
      <c r="A974">
        <f>9</f>
        <v>9</v>
      </c>
      <c r="B974">
        <f>ACE_Input!A14</f>
        <v>9</v>
      </c>
      <c r="C974" s="6">
        <f>MOD(Settings!$B$17*(C973),Settings!$B$18)</f>
        <v>1249368582</v>
      </c>
      <c r="D974" s="6">
        <f>MAX(C974,1)/Settings!$B$18</f>
        <v>0.58178258248687842</v>
      </c>
      <c r="E974" s="6">
        <f t="shared" si="32"/>
        <v>115</v>
      </c>
      <c r="F974" s="6">
        <f>ACE_Input!D14</f>
        <v>172</v>
      </c>
      <c r="G974" s="6">
        <f>MOD(Settings!$B$17*(G973),Settings!$B$18)</f>
        <v>1562753872</v>
      </c>
      <c r="H974" s="6">
        <f>MAX(G974,1)/Settings!$B$18</f>
        <v>0.72771398011954225</v>
      </c>
      <c r="I974" s="6">
        <f>-ACE_Input!W14*LN(H974)</f>
        <v>1.2713887697437849</v>
      </c>
      <c r="J974" s="6">
        <f>-ACE_Input!X14*LN(H974)</f>
        <v>3.8141663092313545</v>
      </c>
      <c r="K974" s="6">
        <f>ACE_Input!U14</f>
        <v>300</v>
      </c>
      <c r="L974" s="6">
        <f>K974*ACE_Input!V14</f>
        <v>75</v>
      </c>
    </row>
    <row r="975" spans="1:12" x14ac:dyDescent="0.2">
      <c r="A975">
        <f>9</f>
        <v>9</v>
      </c>
      <c r="B975">
        <f>ACE_Input!A15</f>
        <v>10</v>
      </c>
      <c r="C975" s="6">
        <f>MOD(Settings!$B$17*(C974),Settings!$B$18)</f>
        <v>42657308</v>
      </c>
      <c r="D975" s="6">
        <f>MAX(C975,1)/Settings!$B$18</f>
        <v>1.9863856965612554E-2</v>
      </c>
      <c r="E975" s="6">
        <f t="shared" si="32"/>
        <v>5</v>
      </c>
      <c r="F975" s="6">
        <f>ACE_Input!D15</f>
        <v>177</v>
      </c>
      <c r="G975" s="6">
        <f>MOD(Settings!$B$17*(G974),Settings!$B$18)</f>
        <v>1479323894</v>
      </c>
      <c r="H975" s="6">
        <f>MAX(G975,1)/Settings!$B$18</f>
        <v>0.6888638691459148</v>
      </c>
      <c r="I975" s="6">
        <f>-ACE_Input!W15*LN(H975)</f>
        <v>1.4908464197058411</v>
      </c>
      <c r="J975" s="6">
        <f>-ACE_Input!X15*LN(H975)</f>
        <v>4.4725392591175233</v>
      </c>
      <c r="K975" s="6">
        <f>ACE_Input!U15</f>
        <v>300</v>
      </c>
      <c r="L975" s="6">
        <f>K975*ACE_Input!V15</f>
        <v>75</v>
      </c>
    </row>
    <row r="976" spans="1:12" x14ac:dyDescent="0.2">
      <c r="A976">
        <f>9</f>
        <v>9</v>
      </c>
      <c r="B976">
        <f>ACE_Input!A16</f>
        <v>11</v>
      </c>
      <c r="C976" s="6">
        <f>MOD(Settings!$B$17*(C975),Settings!$B$18)</f>
        <v>1829321105</v>
      </c>
      <c r="D976" s="6">
        <f>MAX(C976,1)/Settings!$B$18</f>
        <v>0.85184402105018686</v>
      </c>
      <c r="E976" s="6">
        <f t="shared" si="32"/>
        <v>5</v>
      </c>
      <c r="F976" s="6">
        <f>ACE_Input!D16</f>
        <v>182</v>
      </c>
      <c r="G976" s="6">
        <f>MOD(Settings!$B$17*(G975),Settings!$B$18)</f>
        <v>1578505139</v>
      </c>
      <c r="H976" s="6">
        <f>MAX(G976,1)/Settings!$B$18</f>
        <v>0.73504873539090565</v>
      </c>
      <c r="I976" s="6">
        <f>-ACE_Input!W16*LN(H976)</f>
        <v>1.231273901252784</v>
      </c>
      <c r="J976" s="6">
        <f>-ACE_Input!X16*LN(H976)</f>
        <v>3.6938217037583518</v>
      </c>
      <c r="K976" s="6">
        <f>ACE_Input!U16</f>
        <v>300</v>
      </c>
      <c r="L976" s="6">
        <f>K976*ACE_Input!V16</f>
        <v>75</v>
      </c>
    </row>
    <row r="977" spans="1:12" x14ac:dyDescent="0.2">
      <c r="A977">
        <f>9</f>
        <v>9</v>
      </c>
      <c r="B977">
        <f>ACE_Input!A17</f>
        <v>12</v>
      </c>
      <c r="C977" s="6">
        <f>MOD(Settings!$B$17*(C976),Settings!$B$18)</f>
        <v>2023921283</v>
      </c>
      <c r="D977" s="6">
        <f>MAX(C977,1)/Settings!$B$18</f>
        <v>0.9424617904901792</v>
      </c>
      <c r="E977" s="6">
        <f t="shared" si="32"/>
        <v>5</v>
      </c>
      <c r="F977" s="6">
        <f>ACE_Input!D17</f>
        <v>187</v>
      </c>
      <c r="G977" s="6">
        <f>MOD(Settings!$B$17*(G976),Settings!$B$18)</f>
        <v>2070379782</v>
      </c>
      <c r="H977" s="6">
        <f>MAX(G977,1)/Settings!$B$18</f>
        <v>0.96409571495097868</v>
      </c>
      <c r="I977" s="6">
        <f>-ACE_Input!W17*LN(H977)</f>
        <v>0.14625879972887745</v>
      </c>
      <c r="J977" s="6">
        <f>-ACE_Input!X17*LN(H977)</f>
        <v>0.43877639918663236</v>
      </c>
      <c r="K977" s="6">
        <f>ACE_Input!U17</f>
        <v>300</v>
      </c>
      <c r="L977" s="6">
        <f>K977*ACE_Input!V17</f>
        <v>75</v>
      </c>
    </row>
    <row r="978" spans="1:12" x14ac:dyDescent="0.2">
      <c r="A978">
        <f>9</f>
        <v>9</v>
      </c>
      <c r="B978">
        <f>ACE_Input!A18</f>
        <v>13</v>
      </c>
      <c r="C978" s="6">
        <f>MOD(Settings!$B$17*(C977),Settings!$B$18)</f>
        <v>2051518548</v>
      </c>
      <c r="D978" s="6">
        <f>MAX(C978,1)/Settings!$B$18</f>
        <v>0.95531276844223623</v>
      </c>
      <c r="E978" s="6">
        <f t="shared" si="32"/>
        <v>5</v>
      </c>
      <c r="F978" s="6">
        <f>ACE_Input!D18</f>
        <v>192</v>
      </c>
      <c r="G978" s="6">
        <f>MOD(Settings!$B$17*(G977),Settings!$B$18)</f>
        <v>1195463733</v>
      </c>
      <c r="H978" s="6">
        <f>MAX(G978,1)/Settings!$B$18</f>
        <v>0.55668118109772036</v>
      </c>
      <c r="I978" s="6">
        <f>-ACE_Input!W18*LN(H978)</f>
        <v>2.3430503550044888</v>
      </c>
      <c r="J978" s="6">
        <f>-ACE_Input!X18*LN(H978)</f>
        <v>7.0291510650134663</v>
      </c>
      <c r="K978" s="6">
        <f>ACE_Input!U18</f>
        <v>300</v>
      </c>
      <c r="L978" s="6">
        <f>K978*ACE_Input!V18</f>
        <v>75</v>
      </c>
    </row>
    <row r="979" spans="1:12" x14ac:dyDescent="0.2">
      <c r="A979">
        <f>9</f>
        <v>9</v>
      </c>
      <c r="B979">
        <f>ACE_Input!A19</f>
        <v>14</v>
      </c>
      <c r="C979" s="6">
        <f>MOD(Settings!$B$17*(C978),Settings!$B$18)</f>
        <v>2022283651</v>
      </c>
      <c r="D979" s="6">
        <f>MAX(C979,1)/Settings!$B$18</f>
        <v>0.9416992086645678</v>
      </c>
      <c r="E979" s="6">
        <f t="shared" si="32"/>
        <v>5</v>
      </c>
      <c r="F979" s="6">
        <f>ACE_Input!D19</f>
        <v>197</v>
      </c>
      <c r="G979" s="6">
        <f>MOD(Settings!$B$17*(G978),Settings!$B$18)</f>
        <v>301959199</v>
      </c>
      <c r="H979" s="6">
        <f>MAX(G979,1)/Settings!$B$18</f>
        <v>0.14061070938623077</v>
      </c>
      <c r="I979" s="6">
        <f>-ACE_Input!W19*LN(H979)</f>
        <v>7.8470405333187649</v>
      </c>
      <c r="J979" s="6">
        <f>-ACE_Input!X19*LN(H979)</f>
        <v>23.541121599956295</v>
      </c>
      <c r="K979" s="6">
        <f>ACE_Input!U19</f>
        <v>300</v>
      </c>
      <c r="L979" s="6">
        <f>K979*ACE_Input!V19</f>
        <v>75</v>
      </c>
    </row>
    <row r="980" spans="1:12" x14ac:dyDescent="0.2">
      <c r="A980">
        <f>9</f>
        <v>9</v>
      </c>
      <c r="B980">
        <f>ACE_Input!A20</f>
        <v>15</v>
      </c>
      <c r="C980" s="6">
        <f>MOD(Settings!$B$17*(C979),Settings!$B$18)</f>
        <v>297641288</v>
      </c>
      <c r="D980" s="6">
        <f>MAX(C980,1)/Settings!$B$18</f>
        <v>0.13860002539055424</v>
      </c>
      <c r="E980" s="6">
        <f t="shared" si="32"/>
        <v>5</v>
      </c>
      <c r="F980" s="6">
        <f>ACE_Input!D20</f>
        <v>202</v>
      </c>
      <c r="G980" s="6">
        <f>MOD(Settings!$B$17*(G979),Settings!$B$18)</f>
        <v>524399732</v>
      </c>
      <c r="H980" s="6">
        <f>MAX(G980,1)/Settings!$B$18</f>
        <v>0.24419265438066454</v>
      </c>
      <c r="I980" s="6">
        <f>-ACE_Input!W20*LN(H980)</f>
        <v>5.639191192396857</v>
      </c>
      <c r="J980" s="6">
        <f>-ACE_Input!X20*LN(H980)</f>
        <v>16.91757357719057</v>
      </c>
      <c r="K980" s="6">
        <f>ACE_Input!U20</f>
        <v>300</v>
      </c>
      <c r="L980" s="6">
        <f>K980*ACE_Input!V20</f>
        <v>75</v>
      </c>
    </row>
    <row r="981" spans="1:12" x14ac:dyDescent="0.2">
      <c r="A981">
        <f>9</f>
        <v>9</v>
      </c>
      <c r="B981">
        <f>ACE_Input!A21</f>
        <v>16</v>
      </c>
      <c r="C981" s="6">
        <f>MOD(Settings!$B$17*(C980),Settings!$B$18)</f>
        <v>967713553</v>
      </c>
      <c r="D981" s="6">
        <f>MAX(C981,1)/Settings!$B$18</f>
        <v>0.45062673904496559</v>
      </c>
      <c r="E981" s="6">
        <f t="shared" si="32"/>
        <v>5</v>
      </c>
      <c r="F981" s="6">
        <f>ACE_Input!D21</f>
        <v>207</v>
      </c>
      <c r="G981" s="6">
        <f>MOD(Settings!$B$17*(G980),Settings!$B$18)</f>
        <v>313408436</v>
      </c>
      <c r="H981" s="6">
        <f>MAX(G981,1)/Settings!$B$18</f>
        <v>0.14594217582882482</v>
      </c>
      <c r="I981" s="6">
        <f>-ACE_Input!W21*LN(H981)</f>
        <v>7.6981791667665318</v>
      </c>
      <c r="J981" s="6">
        <f>-ACE_Input!X21*LN(H981)</f>
        <v>23.094537500299595</v>
      </c>
      <c r="K981" s="6">
        <f>ACE_Input!U21</f>
        <v>300</v>
      </c>
      <c r="L981" s="6">
        <f>K981*ACE_Input!V21</f>
        <v>75</v>
      </c>
    </row>
    <row r="982" spans="1:12" x14ac:dyDescent="0.2">
      <c r="A982">
        <f>9</f>
        <v>9</v>
      </c>
      <c r="B982">
        <f>ACE_Input!A22</f>
        <v>17</v>
      </c>
      <c r="C982" s="6">
        <f>MOD(Settings!$B$17*(C981),Settings!$B$18)</f>
        <v>1468026540</v>
      </c>
      <c r="D982" s="6">
        <f>MAX(C982,1)/Settings!$B$18</f>
        <v>0.68360312873665385</v>
      </c>
      <c r="E982" s="6">
        <f t="shared" si="32"/>
        <v>5</v>
      </c>
      <c r="F982" s="6">
        <f>ACE_Input!D22</f>
        <v>212</v>
      </c>
      <c r="G982" s="6">
        <f>MOD(Settings!$B$17*(G981),Settings!$B$18)</f>
        <v>1825681408</v>
      </c>
      <c r="H982" s="6">
        <f>MAX(G982,1)/Settings!$B$18</f>
        <v>0.85014915505896749</v>
      </c>
      <c r="I982" s="6">
        <f>-ACE_Input!W22*LN(H982)</f>
        <v>0.64937387340808139</v>
      </c>
      <c r="J982" s="6">
        <f>-ACE_Input!X22*LN(H982)</f>
        <v>1.9481216202242442</v>
      </c>
      <c r="K982" s="6">
        <f>ACE_Input!U22</f>
        <v>300</v>
      </c>
      <c r="L982" s="6">
        <f>K982*ACE_Input!V22</f>
        <v>75</v>
      </c>
    </row>
    <row r="983" spans="1:12" x14ac:dyDescent="0.2">
      <c r="A983">
        <f>9</f>
        <v>9</v>
      </c>
      <c r="B983">
        <f>ACE_Input!A23</f>
        <v>18</v>
      </c>
      <c r="C983" s="6">
        <f>MOD(Settings!$B$17*(C982),Settings!$B$18)</f>
        <v>682437397</v>
      </c>
      <c r="D983" s="6">
        <f>MAX(C983,1)/Settings!$B$18</f>
        <v>0.31778467694194273</v>
      </c>
      <c r="E983" s="6">
        <f t="shared" si="32"/>
        <v>5</v>
      </c>
      <c r="F983" s="6">
        <f>ACE_Input!D23</f>
        <v>217</v>
      </c>
      <c r="G983" s="6">
        <f>MOD(Settings!$B$17*(G982),Settings!$B$18)</f>
        <v>981075920</v>
      </c>
      <c r="H983" s="6">
        <f>MAX(G983,1)/Settings!$B$18</f>
        <v>0.45684907606656155</v>
      </c>
      <c r="I983" s="6">
        <f>-ACE_Input!W23*LN(H983)</f>
        <v>3.1336087677581963</v>
      </c>
      <c r="J983" s="6">
        <f>-ACE_Input!X23*LN(H983)</f>
        <v>9.400826303274588</v>
      </c>
      <c r="K983" s="6">
        <f>ACE_Input!U23</f>
        <v>300</v>
      </c>
      <c r="L983" s="6">
        <f>K983*ACE_Input!V23</f>
        <v>75</v>
      </c>
    </row>
    <row r="984" spans="1:12" x14ac:dyDescent="0.2">
      <c r="A984">
        <f>9</f>
        <v>9</v>
      </c>
      <c r="B984">
        <f>ACE_Input!A24</f>
        <v>19</v>
      </c>
      <c r="C984" s="6">
        <f>MOD(Settings!$B$17*(C983),Settings!$B$18)</f>
        <v>15172752</v>
      </c>
      <c r="D984" s="6">
        <f>MAX(C984,1)/Settings!$B$18</f>
        <v>7.0653632316111416E-3</v>
      </c>
      <c r="E984" s="6">
        <f t="shared" si="32"/>
        <v>5</v>
      </c>
      <c r="F984" s="6">
        <f>ACE_Input!D24</f>
        <v>222</v>
      </c>
      <c r="G984" s="6">
        <f>MOD(Settings!$B$17*(G983),Settings!$B$18)</f>
        <v>563545774</v>
      </c>
      <c r="H984" s="6">
        <f>MAX(G984,1)/Settings!$B$18</f>
        <v>0.26242145069987582</v>
      </c>
      <c r="I984" s="6">
        <f>-ACE_Input!W24*LN(H984)</f>
        <v>5.3512139086374297</v>
      </c>
      <c r="J984" s="6">
        <f>-ACE_Input!X24*LN(H984)</f>
        <v>16.053641725912289</v>
      </c>
      <c r="K984" s="6">
        <f>ACE_Input!U24</f>
        <v>300</v>
      </c>
      <c r="L984" s="6">
        <f>K984*ACE_Input!V24</f>
        <v>75</v>
      </c>
    </row>
    <row r="985" spans="1:12" x14ac:dyDescent="0.2">
      <c r="A985">
        <f>9</f>
        <v>9</v>
      </c>
      <c r="B985">
        <f>ACE_Input!A25</f>
        <v>20</v>
      </c>
      <c r="C985" s="6">
        <f>MOD(Settings!$B$17*(C984),Settings!$B$18)</f>
        <v>1605372518</v>
      </c>
      <c r="D985" s="6">
        <f>MAX(C985,1)/Settings!$B$18</f>
        <v>0.74755983368845647</v>
      </c>
      <c r="E985" s="6">
        <f t="shared" si="32"/>
        <v>5</v>
      </c>
      <c r="F985" s="6">
        <f>ACE_Input!D25</f>
        <v>227</v>
      </c>
      <c r="G985" s="6">
        <f>MOD(Settings!$B$17*(G984),Settings!$B$18)</f>
        <v>1110940348</v>
      </c>
      <c r="H985" s="6">
        <f>MAX(G985,1)/Settings!$B$18</f>
        <v>0.51732191281268458</v>
      </c>
      <c r="I985" s="6">
        <f>-ACE_Input!W25*LN(H985)</f>
        <v>2.6363597715977294</v>
      </c>
      <c r="J985" s="6">
        <f>-ACE_Input!X25*LN(H985)</f>
        <v>7.9090793147931882</v>
      </c>
      <c r="K985" s="6">
        <f>ACE_Input!U25</f>
        <v>300</v>
      </c>
      <c r="L985" s="6">
        <f>K985*ACE_Input!V25</f>
        <v>75</v>
      </c>
    </row>
    <row r="986" spans="1:12" x14ac:dyDescent="0.2">
      <c r="A986">
        <f>9</f>
        <v>9</v>
      </c>
      <c r="B986">
        <f>ACE_Input!A26</f>
        <v>21</v>
      </c>
      <c r="C986" s="6">
        <f>MOD(Settings!$B$17*(C985),Settings!$B$18)</f>
        <v>511369118</v>
      </c>
      <c r="D986" s="6">
        <f>MAX(C986,1)/Settings!$B$18</f>
        <v>0.23812480188818871</v>
      </c>
      <c r="E986" s="6">
        <f t="shared" si="32"/>
        <v>5</v>
      </c>
      <c r="F986" s="6">
        <f>ACE_Input!D26</f>
        <v>232</v>
      </c>
      <c r="G986" s="6">
        <f>MOD(Settings!$B$17*(G985),Settings!$B$18)</f>
        <v>1351601818</v>
      </c>
      <c r="H986" s="6">
        <f>MAX(G986,1)/Settings!$B$18</f>
        <v>0.6293886427904426</v>
      </c>
      <c r="I986" s="6">
        <f>-ACE_Input!W26*LN(H986)</f>
        <v>1.8520253560665292</v>
      </c>
      <c r="J986" s="6">
        <f>-ACE_Input!X26*LN(H986)</f>
        <v>5.5560760681995873</v>
      </c>
      <c r="K986" s="6">
        <f>ACE_Input!U26</f>
        <v>300</v>
      </c>
      <c r="L986" s="6">
        <f>K986*ACE_Input!V26</f>
        <v>75</v>
      </c>
    </row>
    <row r="987" spans="1:12" x14ac:dyDescent="0.2">
      <c r="A987">
        <f>9</f>
        <v>9</v>
      </c>
      <c r="B987">
        <f>ACE_Input!A27</f>
        <v>22</v>
      </c>
      <c r="C987" s="6">
        <f>MOD(Settings!$B$17*(C986),Settings!$B$18)</f>
        <v>351210932</v>
      </c>
      <c r="D987" s="6">
        <f>MAX(C987,1)/Settings!$B$18</f>
        <v>0.1635453347878276</v>
      </c>
      <c r="E987" s="6">
        <f t="shared" si="32"/>
        <v>5</v>
      </c>
      <c r="F987" s="6">
        <f>ACE_Input!D27</f>
        <v>237</v>
      </c>
      <c r="G987" s="6">
        <f>MOD(Settings!$B$17*(G986),Settings!$B$18)</f>
        <v>289737160</v>
      </c>
      <c r="H987" s="6">
        <f>MAX(G987,1)/Settings!$B$18</f>
        <v>0.13491937896931516</v>
      </c>
      <c r="I987" s="6">
        <f>-ACE_Input!W27*LN(H987)</f>
        <v>8.0123114870170138</v>
      </c>
      <c r="J987" s="6">
        <f>-ACE_Input!X27*LN(H987)</f>
        <v>24.03693446105104</v>
      </c>
      <c r="K987" s="6">
        <f>ACE_Input!U27</f>
        <v>300</v>
      </c>
      <c r="L987" s="6">
        <f>K987*ACE_Input!V27</f>
        <v>75</v>
      </c>
    </row>
    <row r="988" spans="1:12" x14ac:dyDescent="0.2">
      <c r="A988">
        <f>9</f>
        <v>9</v>
      </c>
      <c r="B988">
        <f>ACE_Input!A28</f>
        <v>23</v>
      </c>
      <c r="C988" s="6">
        <f>MOD(Settings!$B$17*(C987),Settings!$B$18)</f>
        <v>1517072168</v>
      </c>
      <c r="D988" s="6">
        <f>MAX(C988,1)/Settings!$B$18</f>
        <v>0.70644177901858551</v>
      </c>
      <c r="E988" s="6">
        <f t="shared" si="32"/>
        <v>5</v>
      </c>
      <c r="F988" s="6">
        <f>ACE_Input!D28</f>
        <v>242</v>
      </c>
      <c r="G988" s="6">
        <f>MOD(Settings!$B$17*(G987),Settings!$B$18)</f>
        <v>1267020371</v>
      </c>
      <c r="H988" s="6">
        <f>MAX(G988,1)/Settings!$B$18</f>
        <v>0.59000233727973062</v>
      </c>
      <c r="I988" s="6">
        <f>-ACE_Input!W28*LN(H988)</f>
        <v>2.110515122396599</v>
      </c>
      <c r="J988" s="6">
        <f>-ACE_Input!X28*LN(H988)</f>
        <v>6.331545367189797</v>
      </c>
      <c r="K988" s="6">
        <f>ACE_Input!U28</f>
        <v>300</v>
      </c>
      <c r="L988" s="6">
        <f>K988*ACE_Input!V28</f>
        <v>75</v>
      </c>
    </row>
    <row r="989" spans="1:12" x14ac:dyDescent="0.2">
      <c r="A989">
        <f>9</f>
        <v>9</v>
      </c>
      <c r="B989">
        <f>ACE_Input!A29</f>
        <v>24</v>
      </c>
      <c r="C989" s="6">
        <f>MOD(Settings!$B$17*(C988),Settings!$B$18)</f>
        <v>358586745</v>
      </c>
      <c r="D989" s="6">
        <f>MAX(C989,1)/Settings!$B$18</f>
        <v>0.16697996536594814</v>
      </c>
      <c r="E989" s="6">
        <f t="shared" si="32"/>
        <v>5</v>
      </c>
      <c r="F989" s="6">
        <f>ACE_Input!D29</f>
        <v>247</v>
      </c>
      <c r="G989" s="6">
        <f>MOD(Settings!$B$17*(G988),Settings!$B$18)</f>
        <v>363531745</v>
      </c>
      <c r="H989" s="6">
        <f>MAX(G989,1)/Settings!$B$18</f>
        <v>0.16928266043275719</v>
      </c>
      <c r="I989" s="6">
        <f>-ACE_Input!W29*LN(H989)</f>
        <v>7.1047416570746247</v>
      </c>
      <c r="J989" s="6">
        <f>-ACE_Input!X29*LN(H989)</f>
        <v>21.314224971223872</v>
      </c>
      <c r="K989" s="6">
        <f>ACE_Input!U29</f>
        <v>300</v>
      </c>
      <c r="L989" s="6">
        <f>K989*ACE_Input!V29</f>
        <v>75</v>
      </c>
    </row>
    <row r="990" spans="1:12" x14ac:dyDescent="0.2">
      <c r="A990">
        <f>9</f>
        <v>9</v>
      </c>
      <c r="B990">
        <f>ACE_Input!A30</f>
        <v>25</v>
      </c>
      <c r="C990" s="6">
        <f>MOD(Settings!$B$17*(C989),Settings!$B$18)</f>
        <v>928309733</v>
      </c>
      <c r="D990" s="6">
        <f>MAX(C990,1)/Settings!$B$18</f>
        <v>0.43227790549037881</v>
      </c>
      <c r="E990" s="6">
        <f t="shared" si="32"/>
        <v>5</v>
      </c>
      <c r="F990" s="6">
        <f>ACE_Input!D30</f>
        <v>252</v>
      </c>
      <c r="G990" s="6">
        <f>MOD(Settings!$B$17*(G989),Settings!$B$18)</f>
        <v>287062500</v>
      </c>
      <c r="H990" s="6">
        <f>MAX(G990,1)/Settings!$B$18</f>
        <v>0.13367389335002466</v>
      </c>
      <c r="I990" s="6">
        <f>-ACE_Input!W30*LN(H990)</f>
        <v>8.0494083073694274</v>
      </c>
      <c r="J990" s="6">
        <f>-ACE_Input!X30*LN(H990)</f>
        <v>24.148224922108284</v>
      </c>
      <c r="K990" s="6">
        <f>ACE_Input!U30</f>
        <v>300</v>
      </c>
      <c r="L990" s="6">
        <f>K990*ACE_Input!V30</f>
        <v>75</v>
      </c>
    </row>
    <row r="991" spans="1:12" x14ac:dyDescent="0.2">
      <c r="A991">
        <f>9</f>
        <v>9</v>
      </c>
      <c r="B991">
        <f>ACE_Input!A31</f>
        <v>26</v>
      </c>
      <c r="C991" s="6">
        <f>MOD(Settings!$B$17*(C990),Settings!$B$18)</f>
        <v>632987076</v>
      </c>
      <c r="D991" s="6">
        <f>MAX(C991,1)/Settings!$B$18</f>
        <v>0.29475757679657899</v>
      </c>
      <c r="E991" s="6">
        <f t="shared" si="32"/>
        <v>5</v>
      </c>
      <c r="F991" s="6">
        <f>ACE_Input!D31</f>
        <v>257</v>
      </c>
      <c r="G991" s="6">
        <f>MOD(Settings!$B$17*(G990),Settings!$B$18)</f>
        <v>1411166338</v>
      </c>
      <c r="H991" s="6">
        <f>MAX(G991,1)/Settings!$B$18</f>
        <v>0.65712553386442618</v>
      </c>
      <c r="I991" s="6">
        <f>-ACE_Input!W31*LN(H991)</f>
        <v>1.6795208296735622</v>
      </c>
      <c r="J991" s="6">
        <f>-ACE_Input!X31*LN(H991)</f>
        <v>5.0385624890206868</v>
      </c>
      <c r="K991" s="6">
        <f>ACE_Input!U31</f>
        <v>300</v>
      </c>
      <c r="L991" s="6">
        <f>K991*ACE_Input!V31</f>
        <v>75</v>
      </c>
    </row>
    <row r="992" spans="1:12" x14ac:dyDescent="0.2">
      <c r="A992">
        <f>9</f>
        <v>9</v>
      </c>
      <c r="B992">
        <f>ACE_Input!A32</f>
        <v>27</v>
      </c>
      <c r="C992" s="6">
        <f>MOD(Settings!$B$17*(C991),Settings!$B$18)</f>
        <v>2127282741</v>
      </c>
      <c r="D992" s="6">
        <f>MAX(C992,1)/Settings!$B$18</f>
        <v>0.99059322010287698</v>
      </c>
      <c r="E992" s="6">
        <f t="shared" si="32"/>
        <v>5</v>
      </c>
      <c r="F992" s="6">
        <f>ACE_Input!D32</f>
        <v>262</v>
      </c>
      <c r="G992" s="6">
        <f>MOD(Settings!$B$17*(G991),Settings!$B$18)</f>
        <v>663245298</v>
      </c>
      <c r="H992" s="6">
        <f>MAX(G992,1)/Settings!$B$18</f>
        <v>0.30884765941130354</v>
      </c>
      <c r="I992" s="6">
        <f>-ACE_Input!W32*LN(H992)</f>
        <v>4.6996285410739214</v>
      </c>
      <c r="J992" s="6">
        <f>-ACE_Input!X32*LN(H992)</f>
        <v>14.098885623221765</v>
      </c>
      <c r="K992" s="6">
        <f>ACE_Input!U32</f>
        <v>300</v>
      </c>
      <c r="L992" s="6">
        <f>K992*ACE_Input!V32</f>
        <v>75</v>
      </c>
    </row>
    <row r="993" spans="1:12" x14ac:dyDescent="0.2">
      <c r="A993">
        <f>9</f>
        <v>9</v>
      </c>
      <c r="B993">
        <f>ACE_Input!A33</f>
        <v>28</v>
      </c>
      <c r="C993" s="6">
        <f>MOD(Settings!$B$17*(C992),Settings!$B$18)</f>
        <v>1933272731</v>
      </c>
      <c r="D993" s="6">
        <f>MAX(C993,1)/Settings!$B$18</f>
        <v>0.90025026905362038</v>
      </c>
      <c r="E993" s="6">
        <f t="shared" si="32"/>
        <v>6</v>
      </c>
      <c r="F993" s="6">
        <f>ACE_Input!D33</f>
        <v>268</v>
      </c>
      <c r="G993" s="6">
        <f>MOD(Settings!$B$17*(G992),Settings!$B$18)</f>
        <v>1723595556</v>
      </c>
      <c r="H993" s="6">
        <f>MAX(G993,1)/Settings!$B$18</f>
        <v>0.80261172577860385</v>
      </c>
      <c r="I993" s="6">
        <f>-ACE_Input!W33*LN(H993)</f>
        <v>0.87953684605778926</v>
      </c>
      <c r="J993" s="6">
        <f>-ACE_Input!X33*LN(H993)</f>
        <v>2.638610538173368</v>
      </c>
      <c r="K993" s="6">
        <f>ACE_Input!U33</f>
        <v>300</v>
      </c>
      <c r="L993" s="6">
        <f>K993*ACE_Input!V33</f>
        <v>75</v>
      </c>
    </row>
    <row r="994" spans="1:12" x14ac:dyDescent="0.2">
      <c r="A994">
        <f>9</f>
        <v>9</v>
      </c>
      <c r="B994">
        <f>ACE_Input!A34</f>
        <v>29</v>
      </c>
      <c r="C994" s="6">
        <f>MOD(Settings!$B$17*(C993),Settings!$B$18)</f>
        <v>1087210807</v>
      </c>
      <c r="D994" s="6">
        <f>MAX(C994,1)/Settings!$B$18</f>
        <v>0.50627198419825736</v>
      </c>
      <c r="E994" s="6">
        <f t="shared" si="32"/>
        <v>5</v>
      </c>
      <c r="F994" s="6">
        <f>ACE_Input!D34</f>
        <v>273</v>
      </c>
      <c r="G994" s="6">
        <f>MOD(Settings!$B$17*(G993),Settings!$B$18)</f>
        <v>1063595309</v>
      </c>
      <c r="H994" s="6">
        <f>MAX(G994,1)/Settings!$B$18</f>
        <v>0.49527516099404317</v>
      </c>
      <c r="I994" s="6">
        <f>-ACE_Input!W34*LN(H994)</f>
        <v>2.8105671602475883</v>
      </c>
      <c r="J994" s="6">
        <f>-ACE_Input!X34*LN(H994)</f>
        <v>8.431701480742765</v>
      </c>
      <c r="K994" s="6">
        <f>ACE_Input!U34</f>
        <v>300</v>
      </c>
      <c r="L994" s="6">
        <f>K994*ACE_Input!V34</f>
        <v>75</v>
      </c>
    </row>
    <row r="995" spans="1:12" x14ac:dyDescent="0.2">
      <c r="A995">
        <f>9</f>
        <v>9</v>
      </c>
      <c r="B995">
        <f>ACE_Input!A35</f>
        <v>30</v>
      </c>
      <c r="C995" s="6">
        <f>MOD(Settings!$B$17*(C994),Settings!$B$18)</f>
        <v>1961164573</v>
      </c>
      <c r="D995" s="6">
        <f>MAX(C995,1)/Settings!$B$18</f>
        <v>0.91323842011077261</v>
      </c>
      <c r="E995" s="6">
        <f t="shared" si="32"/>
        <v>5</v>
      </c>
      <c r="F995" s="6">
        <f>ACE_Input!D35</f>
        <v>278</v>
      </c>
      <c r="G995" s="6">
        <f>MOD(Settings!$B$17*(G994),Settings!$B$18)</f>
        <v>192480735</v>
      </c>
      <c r="H995" s="6">
        <f>MAX(G995,1)/Settings!$B$18</f>
        <v>8.9630826883777423E-2</v>
      </c>
      <c r="I995" s="6">
        <f>-ACE_Input!W35*LN(H995)</f>
        <v>9.6482238725229514</v>
      </c>
      <c r="J995" s="6">
        <f>-ACE_Input!X35*LN(H995)</f>
        <v>28.944671617568854</v>
      </c>
      <c r="K995" s="6">
        <f>ACE_Input!U35</f>
        <v>300</v>
      </c>
      <c r="L995" s="6">
        <f>K995*ACE_Input!V35</f>
        <v>75</v>
      </c>
    </row>
    <row r="996" spans="1:12" x14ac:dyDescent="0.2">
      <c r="A996">
        <f>9</f>
        <v>9</v>
      </c>
      <c r="B996">
        <f>ACE_Input!A36</f>
        <v>31</v>
      </c>
      <c r="C996" s="6">
        <f>MOD(Settings!$B$17*(C995),Settings!$B$18)</f>
        <v>1713964255</v>
      </c>
      <c r="D996" s="6">
        <f>MAX(C996,1)/Settings!$B$18</f>
        <v>0.79812680175440698</v>
      </c>
      <c r="E996" s="6">
        <f t="shared" si="32"/>
        <v>5</v>
      </c>
      <c r="F996" s="6">
        <f>ACE_Input!D36</f>
        <v>283</v>
      </c>
      <c r="G996" s="6">
        <f>MOD(Settings!$B$17*(G995),Settings!$B$18)</f>
        <v>913340763</v>
      </c>
      <c r="H996" s="6">
        <f>MAX(G996,1)/Settings!$B$18</f>
        <v>0.42530743564726198</v>
      </c>
      <c r="I996" s="6">
        <f>-ACE_Input!W36*LN(H996)</f>
        <v>3.4197719743036656</v>
      </c>
      <c r="J996" s="6">
        <f>-ACE_Input!X36*LN(H996)</f>
        <v>10.259315922910996</v>
      </c>
      <c r="K996" s="6">
        <f>ACE_Input!U36</f>
        <v>300</v>
      </c>
      <c r="L996" s="6">
        <f>K996*ACE_Input!V36</f>
        <v>75</v>
      </c>
    </row>
    <row r="997" spans="1:12" x14ac:dyDescent="0.2">
      <c r="A997">
        <f>9</f>
        <v>9</v>
      </c>
      <c r="B997">
        <f>ACE_Input!A37</f>
        <v>32</v>
      </c>
      <c r="C997" s="6">
        <f>MOD(Settings!$B$17*(C996),Settings!$B$18)</f>
        <v>251592927</v>
      </c>
      <c r="D997" s="6">
        <f>MAX(C997,1)/Settings!$B$18</f>
        <v>0.11715708631889758</v>
      </c>
      <c r="E997" s="6">
        <f t="shared" si="32"/>
        <v>5</v>
      </c>
      <c r="F997" s="6">
        <f>ACE_Input!D37</f>
        <v>288</v>
      </c>
      <c r="G997" s="6">
        <f>MOD(Settings!$B$17*(G996),Settings!$B$18)</f>
        <v>305094985</v>
      </c>
      <c r="H997" s="6">
        <f>MAX(G997,1)/Settings!$B$18</f>
        <v>0.14207092353239234</v>
      </c>
      <c r="I997" s="6">
        <f>-ACE_Input!W37*LN(H997)</f>
        <v>7.8057155382981271</v>
      </c>
      <c r="J997" s="6">
        <f>-ACE_Input!X37*LN(H997)</f>
        <v>23.417146614894381</v>
      </c>
      <c r="K997" s="6">
        <f>ACE_Input!U37</f>
        <v>300</v>
      </c>
      <c r="L997" s="6">
        <f>K997*ACE_Input!V37</f>
        <v>75</v>
      </c>
    </row>
    <row r="998" spans="1:12" x14ac:dyDescent="0.2">
      <c r="A998">
        <f>9</f>
        <v>9</v>
      </c>
      <c r="B998">
        <f>ACE_Input!A38</f>
        <v>33</v>
      </c>
      <c r="C998" s="6">
        <f>MOD(Settings!$B$17*(C997),Settings!$B$18)</f>
        <v>127023146</v>
      </c>
      <c r="D998" s="6">
        <f>MAX(C998,1)/Settings!$B$18</f>
        <v>5.9149761711782663E-2</v>
      </c>
      <c r="E998" s="6">
        <f t="shared" si="32"/>
        <v>5</v>
      </c>
      <c r="F998" s="6">
        <f>ACE_Input!D38</f>
        <v>293</v>
      </c>
      <c r="G998" s="6">
        <f>MOD(Settings!$B$17*(G997),Settings!$B$18)</f>
        <v>1687947506</v>
      </c>
      <c r="H998" s="6">
        <f>MAX(G998,1)/Settings!$B$18</f>
        <v>0.78601180891786315</v>
      </c>
      <c r="I998" s="6">
        <f>-ACE_Input!W38*LN(H998)</f>
        <v>0.96313385038905008</v>
      </c>
      <c r="J998" s="6">
        <f>-ACE_Input!X38*LN(H998)</f>
        <v>2.8894015511671505</v>
      </c>
      <c r="K998" s="6">
        <f>ACE_Input!U38</f>
        <v>300</v>
      </c>
      <c r="L998" s="6">
        <f>K998*ACE_Input!V38</f>
        <v>75</v>
      </c>
    </row>
    <row r="999" spans="1:12" x14ac:dyDescent="0.2">
      <c r="A999">
        <f>9</f>
        <v>9</v>
      </c>
      <c r="B999">
        <f>ACE_Input!A39</f>
        <v>34</v>
      </c>
      <c r="C999" s="6">
        <f>MOD(Settings!$B$17*(C998),Settings!$B$18)</f>
        <v>279269704</v>
      </c>
      <c r="D999" s="6">
        <f>MAX(C999,1)/Settings!$B$18</f>
        <v>0.13004508993124828</v>
      </c>
      <c r="E999" s="6">
        <f t="shared" ref="E999:E1030" si="33">F999-F998</f>
        <v>5</v>
      </c>
      <c r="F999" s="6">
        <f>ACE_Input!D39</f>
        <v>298</v>
      </c>
      <c r="G999" s="6">
        <f>MOD(Settings!$B$17*(G998),Settings!$B$18)</f>
        <v>1074756472</v>
      </c>
      <c r="H999" s="6">
        <f>MAX(G999,1)/Settings!$B$18</f>
        <v>0.50047248252689491</v>
      </c>
      <c r="I999" s="6">
        <f>-ACE_Input!W39*LN(H999)</f>
        <v>2.7688106468182379</v>
      </c>
      <c r="J999" s="6">
        <f>-ACE_Input!X39*LN(H999)</f>
        <v>8.3064319404547131</v>
      </c>
      <c r="K999" s="6">
        <f>ACE_Input!U39</f>
        <v>300</v>
      </c>
      <c r="L999" s="6">
        <f>K999*ACE_Input!V39</f>
        <v>75</v>
      </c>
    </row>
    <row r="1000" spans="1:12" x14ac:dyDescent="0.2">
      <c r="A1000">
        <f>9</f>
        <v>9</v>
      </c>
      <c r="B1000">
        <f>ACE_Input!A40</f>
        <v>35</v>
      </c>
      <c r="C1000" s="6">
        <f>MOD(Settings!$B$17*(C999),Settings!$B$18)</f>
        <v>1434146433</v>
      </c>
      <c r="D1000" s="6">
        <f>MAX(C1000,1)/Settings!$B$18</f>
        <v>0.66782647448956334</v>
      </c>
      <c r="E1000" s="6">
        <f t="shared" si="33"/>
        <v>5</v>
      </c>
      <c r="F1000" s="6">
        <f>ACE_Input!D40</f>
        <v>303</v>
      </c>
      <c r="G1000" s="6">
        <f>MOD(Settings!$B$17*(G999),Settings!$B$18)</f>
        <v>947069987</v>
      </c>
      <c r="H1000" s="6">
        <f>MAX(G1000,1)/Settings!$B$18</f>
        <v>0.44101382952230694</v>
      </c>
      <c r="I1000" s="6">
        <f>-ACE_Input!W40*LN(H1000)</f>
        <v>3.2747161782639007</v>
      </c>
      <c r="J1000" s="6">
        <f>-ACE_Input!X40*LN(H1000)</f>
        <v>9.8241485347917017</v>
      </c>
      <c r="K1000" s="6">
        <f>ACE_Input!U40</f>
        <v>300</v>
      </c>
      <c r="L1000" s="6">
        <f>K1000*ACE_Input!V40</f>
        <v>75</v>
      </c>
    </row>
    <row r="1001" spans="1:12" x14ac:dyDescent="0.2">
      <c r="A1001">
        <f>9</f>
        <v>9</v>
      </c>
      <c r="B1001">
        <f>ACE_Input!A41</f>
        <v>36</v>
      </c>
      <c r="C1001" s="6">
        <f>MOD(Settings!$B$17*(C1000),Settings!$B$18)</f>
        <v>342645503</v>
      </c>
      <c r="D1001" s="6">
        <f>MAX(C1001,1)/Settings!$B$18</f>
        <v>0.15955674609148723</v>
      </c>
      <c r="E1001" s="6">
        <f t="shared" si="33"/>
        <v>5</v>
      </c>
      <c r="F1001" s="6">
        <f>ACE_Input!D41</f>
        <v>308</v>
      </c>
      <c r="G1001" s="6">
        <f>MOD(Settings!$B$17*(G1000),Settings!$B$18)</f>
        <v>256479945</v>
      </c>
      <c r="H1001" s="6">
        <f>MAX(G1001,1)/Settings!$B$18</f>
        <v>0.11943278141293338</v>
      </c>
      <c r="I1001" s="6">
        <f>-ACE_Input!W41*LN(H1001)</f>
        <v>8.5000062580352846</v>
      </c>
      <c r="J1001" s="6">
        <f>-ACE_Input!X41*LN(H1001)</f>
        <v>25.500018774105854</v>
      </c>
      <c r="K1001" s="6">
        <f>ACE_Input!U41</f>
        <v>300</v>
      </c>
      <c r="L1001" s="6">
        <f>K1001*ACE_Input!V41</f>
        <v>75</v>
      </c>
    </row>
    <row r="1002" spans="1:12" x14ac:dyDescent="0.2">
      <c r="A1002">
        <f>9</f>
        <v>9</v>
      </c>
      <c r="B1002">
        <f>ACE_Input!A42</f>
        <v>37</v>
      </c>
      <c r="C1002" s="6">
        <f>MOD(Settings!$B$17*(C1001),Settings!$B$18)</f>
        <v>1439311314</v>
      </c>
      <c r="D1002" s="6">
        <f>MAX(C1002,1)/Settings!$B$18</f>
        <v>0.67023155962593461</v>
      </c>
      <c r="E1002" s="6">
        <f t="shared" si="33"/>
        <v>5</v>
      </c>
      <c r="F1002" s="6">
        <f>ACE_Input!D42</f>
        <v>313</v>
      </c>
      <c r="G1002" s="6">
        <f>MOD(Settings!$B$17*(G1001),Settings!$B$18)</f>
        <v>658756086</v>
      </c>
      <c r="H1002" s="6">
        <f>MAX(G1002,1)/Settings!$B$18</f>
        <v>0.30675720717141275</v>
      </c>
      <c r="I1002" s="6">
        <f>-ACE_Input!W42*LN(H1002)</f>
        <v>4.7267948016231855</v>
      </c>
      <c r="J1002" s="6">
        <f>-ACE_Input!X42*LN(H1002)</f>
        <v>14.180384404869557</v>
      </c>
      <c r="K1002" s="6">
        <f>ACE_Input!U42</f>
        <v>300</v>
      </c>
      <c r="L1002" s="6">
        <f>K1002*ACE_Input!V42</f>
        <v>75</v>
      </c>
    </row>
    <row r="1003" spans="1:12" x14ac:dyDescent="0.2">
      <c r="A1003">
        <f>9</f>
        <v>9</v>
      </c>
      <c r="B1003">
        <f>ACE_Input!A43</f>
        <v>38</v>
      </c>
      <c r="C1003" s="6">
        <f>MOD(Settings!$B$17*(C1002),Settings!$B$18)</f>
        <v>1249454590</v>
      </c>
      <c r="D1003" s="6">
        <f>MAX(C1003,1)/Settings!$B$18</f>
        <v>0.58182263308289583</v>
      </c>
      <c r="E1003" s="6">
        <f t="shared" si="33"/>
        <v>5</v>
      </c>
      <c r="F1003" s="6">
        <f>ACE_Input!D43</f>
        <v>318</v>
      </c>
      <c r="G1003" s="6">
        <f>MOD(Settings!$B$17*(G1002),Settings!$B$18)</f>
        <v>1435337117</v>
      </c>
      <c r="H1003" s="6">
        <f>MAX(G1003,1)/Settings!$B$18</f>
        <v>0.6683809299340383</v>
      </c>
      <c r="I1003" s="6">
        <f>-ACE_Input!W43*LN(H1003)</f>
        <v>1.6115880543458685</v>
      </c>
      <c r="J1003" s="6">
        <f>-ACE_Input!X43*LN(H1003)</f>
        <v>4.8347641630376055</v>
      </c>
      <c r="K1003" s="6">
        <f>ACE_Input!U43</f>
        <v>300</v>
      </c>
      <c r="L1003" s="6">
        <f>K1003*ACE_Input!V43</f>
        <v>75</v>
      </c>
    </row>
    <row r="1004" spans="1:12" x14ac:dyDescent="0.2">
      <c r="A1004">
        <f>9</f>
        <v>9</v>
      </c>
      <c r="B1004">
        <f>ACE_Input!A44</f>
        <v>39</v>
      </c>
      <c r="C1004" s="6">
        <f>MOD(Settings!$B$17*(C1003),Settings!$B$18)</f>
        <v>1488193764</v>
      </c>
      <c r="D1004" s="6">
        <f>MAX(C1004,1)/Settings!$B$18</f>
        <v>0.69299422423029045</v>
      </c>
      <c r="E1004" s="6">
        <f t="shared" si="33"/>
        <v>5</v>
      </c>
      <c r="F1004" s="6">
        <f>ACE_Input!D44</f>
        <v>323</v>
      </c>
      <c r="G1004" s="6">
        <f>MOD(Settings!$B$17*(G1003),Settings!$B$18)</f>
        <v>1027118668</v>
      </c>
      <c r="H1004" s="6">
        <f>MAX(G1004,1)/Settings!$B$18</f>
        <v>0.47828940138141129</v>
      </c>
      <c r="I1004" s="6">
        <f>-ACE_Input!W44*LN(H1004)</f>
        <v>2.9501571499054124</v>
      </c>
      <c r="J1004" s="6">
        <f>-ACE_Input!X44*LN(H1004)</f>
        <v>8.8504714497162382</v>
      </c>
      <c r="K1004" s="6">
        <f>ACE_Input!U44</f>
        <v>300</v>
      </c>
      <c r="L1004" s="6">
        <f>K1004*ACE_Input!V44</f>
        <v>75</v>
      </c>
    </row>
    <row r="1005" spans="1:12" x14ac:dyDescent="0.2">
      <c r="A1005">
        <f>9</f>
        <v>9</v>
      </c>
      <c r="B1005">
        <f>ACE_Input!A45</f>
        <v>40</v>
      </c>
      <c r="C1005" s="6">
        <f>MOD(Settings!$B$17*(C1004),Settings!$B$18)</f>
        <v>330554939</v>
      </c>
      <c r="D1005" s="6">
        <f>MAX(C1005,1)/Settings!$B$18</f>
        <v>0.15392663849234889</v>
      </c>
      <c r="E1005" s="6">
        <f t="shared" si="33"/>
        <v>5</v>
      </c>
      <c r="F1005" s="6">
        <f>ACE_Input!D45</f>
        <v>328</v>
      </c>
      <c r="G1005" s="6">
        <f>MOD(Settings!$B$17*(G1004),Settings!$B$18)</f>
        <v>1309898490</v>
      </c>
      <c r="H1005" s="6">
        <f>MAX(G1005,1)/Settings!$B$18</f>
        <v>0.60996901737990272</v>
      </c>
      <c r="I1005" s="6">
        <f>-ACE_Input!W45*LN(H1005)</f>
        <v>1.9773884571407325</v>
      </c>
      <c r="J1005" s="6">
        <f>-ACE_Input!X45*LN(H1005)</f>
        <v>5.9321653714221974</v>
      </c>
      <c r="K1005" s="6">
        <f>ACE_Input!U45</f>
        <v>300</v>
      </c>
      <c r="L1005" s="6">
        <f>K1005*ACE_Input!V45</f>
        <v>75</v>
      </c>
    </row>
    <row r="1006" spans="1:12" x14ac:dyDescent="0.2">
      <c r="A1006">
        <f>9</f>
        <v>9</v>
      </c>
      <c r="B1006">
        <f>ACE_Input!A46</f>
        <v>41</v>
      </c>
      <c r="C1006" s="6">
        <f>MOD(Settings!$B$17*(C1005),Settings!$B$18)</f>
        <v>96664984</v>
      </c>
      <c r="D1006" s="6">
        <f>MAX(C1006,1)/Settings!$B$18</f>
        <v>4.5013140907982897E-2</v>
      </c>
      <c r="E1006" s="6">
        <f t="shared" si="33"/>
        <v>5</v>
      </c>
      <c r="F1006" s="6">
        <f>ACE_Input!D46</f>
        <v>333</v>
      </c>
      <c r="G1006" s="6">
        <f>MOD(Settings!$B$17*(G1005),Settings!$B$18)</f>
        <v>1609056033</v>
      </c>
      <c r="H1006" s="6">
        <f>MAX(G1006,1)/Settings!$B$18</f>
        <v>0.74927510402597264</v>
      </c>
      <c r="I1006" s="6">
        <f>-ACE_Input!W46*LN(H1006)</f>
        <v>1.1545962712259688</v>
      </c>
      <c r="J1006" s="6">
        <f>-ACE_Input!X46*LN(H1006)</f>
        <v>3.4637888136779065</v>
      </c>
      <c r="K1006" s="6">
        <f>ACE_Input!U46</f>
        <v>300</v>
      </c>
      <c r="L1006" s="6">
        <f>K1006*ACE_Input!V46</f>
        <v>75</v>
      </c>
    </row>
    <row r="1007" spans="1:12" x14ac:dyDescent="0.2">
      <c r="A1007">
        <f>9</f>
        <v>9</v>
      </c>
      <c r="B1007">
        <f>ACE_Input!A47</f>
        <v>42</v>
      </c>
      <c r="C1007" s="6">
        <f>MOD(Settings!$B$17*(C1006),Settings!$B$18)</f>
        <v>1150748956</v>
      </c>
      <c r="D1007" s="6">
        <f>MAX(C1007,1)/Settings!$B$18</f>
        <v>0.53585924046852595</v>
      </c>
      <c r="E1007" s="6">
        <f t="shared" si="33"/>
        <v>5</v>
      </c>
      <c r="F1007" s="6">
        <f>ACE_Input!D47</f>
        <v>338</v>
      </c>
      <c r="G1007" s="6">
        <f>MOD(Settings!$B$17*(G1006),Settings!$B$18)</f>
        <v>143179960</v>
      </c>
      <c r="H1007" s="6">
        <f>MAX(G1007,1)/Settings!$B$18</f>
        <v>6.6673364521317821E-2</v>
      </c>
      <c r="I1007" s="6">
        <f>-ACE_Input!W47*LN(H1007)</f>
        <v>10.831798953315985</v>
      </c>
      <c r="J1007" s="6">
        <f>-ACE_Input!X47*LN(H1007)</f>
        <v>32.495396859947959</v>
      </c>
      <c r="K1007" s="6">
        <f>ACE_Input!U47</f>
        <v>300</v>
      </c>
      <c r="L1007" s="6">
        <f>K1007*ACE_Input!V47</f>
        <v>75</v>
      </c>
    </row>
    <row r="1008" spans="1:12" x14ac:dyDescent="0.2">
      <c r="A1008">
        <f>9</f>
        <v>9</v>
      </c>
      <c r="B1008">
        <f>ACE_Input!A48</f>
        <v>43</v>
      </c>
      <c r="C1008" s="6">
        <f>MOD(Settings!$B$17*(C1007),Settings!$B$18)</f>
        <v>399978610</v>
      </c>
      <c r="D1008" s="6">
        <f>MAX(C1008,1)/Settings!$B$18</f>
        <v>0.18625455451489173</v>
      </c>
      <c r="E1008" s="6">
        <f t="shared" si="33"/>
        <v>5</v>
      </c>
      <c r="F1008" s="6">
        <f>ACE_Input!D48</f>
        <v>343</v>
      </c>
      <c r="G1008" s="6">
        <f>MOD(Settings!$B$17*(G1007),Settings!$B$18)</f>
        <v>1243903080</v>
      </c>
      <c r="H1008" s="6">
        <f>MAX(G1008,1)/Settings!$B$18</f>
        <v>0.57923750978859023</v>
      </c>
      <c r="I1008" s="6">
        <f>-ACE_Input!W48*LN(H1008)</f>
        <v>2.1841707145289173</v>
      </c>
      <c r="J1008" s="6">
        <f>-ACE_Input!X48*LN(H1008)</f>
        <v>6.5525121435867515</v>
      </c>
      <c r="K1008" s="6">
        <f>ACE_Input!U48</f>
        <v>300</v>
      </c>
      <c r="L1008" s="6">
        <f>K1008*ACE_Input!V48</f>
        <v>75</v>
      </c>
    </row>
    <row r="1009" spans="1:12" x14ac:dyDescent="0.2">
      <c r="A1009">
        <f>9</f>
        <v>9</v>
      </c>
      <c r="B1009">
        <f>ACE_Input!A49</f>
        <v>44</v>
      </c>
      <c r="C1009" s="6">
        <f>MOD(Settings!$B$17*(C1008),Settings!$B$18)</f>
        <v>816683160</v>
      </c>
      <c r="D1009" s="6">
        <f>MAX(C1009,1)/Settings!$B$18</f>
        <v>0.38029773178524234</v>
      </c>
      <c r="E1009" s="6">
        <f t="shared" si="33"/>
        <v>5</v>
      </c>
      <c r="F1009" s="6">
        <f>ACE_Input!D49</f>
        <v>348</v>
      </c>
      <c r="G1009" s="6">
        <f>MOD(Settings!$B$17*(G1008),Settings!$B$18)</f>
        <v>525762015</v>
      </c>
      <c r="H1009" s="6">
        <f>MAX(G1009,1)/Settings!$B$18</f>
        <v>0.24482701683641739</v>
      </c>
      <c r="I1009" s="6">
        <f>-ACE_Input!W49*LN(H1009)</f>
        <v>5.6288134861585615</v>
      </c>
      <c r="J1009" s="6">
        <f>-ACE_Input!X49*LN(H1009)</f>
        <v>16.886440458475683</v>
      </c>
      <c r="K1009" s="6">
        <f>ACE_Input!U49</f>
        <v>300</v>
      </c>
      <c r="L1009" s="6">
        <f>K1009*ACE_Input!V49</f>
        <v>75</v>
      </c>
    </row>
    <row r="1010" spans="1:12" x14ac:dyDescent="0.2">
      <c r="A1010">
        <f>9</f>
        <v>9</v>
      </c>
      <c r="B1010">
        <f>ACE_Input!A50</f>
        <v>45</v>
      </c>
      <c r="C1010" s="6">
        <f>MOD(Settings!$B$17*(C1009),Settings!$B$18)</f>
        <v>1425882143</v>
      </c>
      <c r="D1010" s="6">
        <f>MAX(C1010,1)/Settings!$B$18</f>
        <v>0.66397811456768685</v>
      </c>
      <c r="E1010" s="6">
        <f t="shared" si="33"/>
        <v>6</v>
      </c>
      <c r="F1010" s="6">
        <f>ACE_Input!D50</f>
        <v>354</v>
      </c>
      <c r="G1010" s="6">
        <f>MOD(Settings!$B$17*(G1009),Settings!$B$18)</f>
        <v>1734462347</v>
      </c>
      <c r="H1010" s="6">
        <f>MAX(G1010,1)/Settings!$B$18</f>
        <v>0.80767196966692434</v>
      </c>
      <c r="I1010" s="6">
        <f>-ACE_Input!W50*LN(H1010)</f>
        <v>0.85439712410988133</v>
      </c>
      <c r="J1010" s="6">
        <f>-ACE_Input!X50*LN(H1010)</f>
        <v>2.5631913723296442</v>
      </c>
      <c r="K1010" s="6">
        <f>ACE_Input!U50</f>
        <v>300</v>
      </c>
      <c r="L1010" s="6">
        <f>K1010*ACE_Input!V50</f>
        <v>75</v>
      </c>
    </row>
    <row r="1011" spans="1:12" x14ac:dyDescent="0.2">
      <c r="A1011">
        <f>9</f>
        <v>9</v>
      </c>
      <c r="B1011">
        <f>ACE_Input!A51</f>
        <v>46</v>
      </c>
      <c r="C1011" s="6">
        <f>MOD(Settings!$B$17*(C1010),Settings!$B$18)</f>
        <v>1031160528</v>
      </c>
      <c r="D1011" s="6">
        <f>MAX(C1011,1)/Settings!$B$18</f>
        <v>0.48017153911300542</v>
      </c>
      <c r="E1011" s="6">
        <f t="shared" si="33"/>
        <v>5</v>
      </c>
      <c r="F1011" s="6">
        <f>ACE_Input!D51</f>
        <v>359</v>
      </c>
      <c r="G1011" s="6">
        <f>MOD(Settings!$B$17*(G1010),Settings!$B$18)</f>
        <v>1165641651</v>
      </c>
      <c r="H1011" s="6">
        <f>MAX(G1011,1)/Settings!$B$18</f>
        <v>0.54279419199693679</v>
      </c>
      <c r="I1011" s="6">
        <f>-ACE_Input!W51*LN(H1011)</f>
        <v>2.4441002046320182</v>
      </c>
      <c r="J1011" s="6">
        <f>-ACE_Input!X51*LN(H1011)</f>
        <v>7.332300613896054</v>
      </c>
      <c r="K1011" s="6">
        <f>ACE_Input!U51</f>
        <v>300</v>
      </c>
      <c r="L1011" s="6">
        <f>K1011*ACE_Input!V51</f>
        <v>75</v>
      </c>
    </row>
    <row r="1012" spans="1:12" x14ac:dyDescent="0.2">
      <c r="A1012">
        <f>9</f>
        <v>9</v>
      </c>
      <c r="B1012">
        <f>ACE_Input!A52</f>
        <v>47</v>
      </c>
      <c r="C1012" s="6">
        <f>MOD(Settings!$B$17*(C1011),Settings!$B$18)</f>
        <v>521962806</v>
      </c>
      <c r="D1012" s="6">
        <f>MAX(C1012,1)/Settings!$B$18</f>
        <v>0.2430578722819024</v>
      </c>
      <c r="E1012" s="6">
        <f t="shared" si="33"/>
        <v>5</v>
      </c>
      <c r="F1012" s="6">
        <f>ACE_Input!D52</f>
        <v>364</v>
      </c>
      <c r="G1012" s="6">
        <f>MOD(Settings!$B$17*(G1011),Settings!$B$18)</f>
        <v>1593400423</v>
      </c>
      <c r="H1012" s="6">
        <f>MAX(G1012,1)/Settings!$B$18</f>
        <v>0.74198489251638988</v>
      </c>
      <c r="I1012" s="6">
        <f>-ACE_Input!W52*LN(H1012)</f>
        <v>1.1937055860482992</v>
      </c>
      <c r="J1012" s="6">
        <f>-ACE_Input!X52*LN(H1012)</f>
        <v>3.5811167581448977</v>
      </c>
      <c r="K1012" s="6">
        <f>ACE_Input!U52</f>
        <v>300</v>
      </c>
      <c r="L1012" s="6">
        <f>K1012*ACE_Input!V52</f>
        <v>75</v>
      </c>
    </row>
    <row r="1013" spans="1:12" x14ac:dyDescent="0.2">
      <c r="A1013">
        <f>9</f>
        <v>9</v>
      </c>
      <c r="B1013">
        <f>ACE_Input!A53</f>
        <v>48</v>
      </c>
      <c r="C1013" s="6">
        <f>MOD(Settings!$B$17*(C1012),Settings!$B$18)</f>
        <v>158182447</v>
      </c>
      <c r="D1013" s="6">
        <f>MAX(C1013,1)/Settings!$B$18</f>
        <v>7.3659441933808592E-2</v>
      </c>
      <c r="E1013" s="6">
        <f t="shared" si="33"/>
        <v>5</v>
      </c>
      <c r="F1013" s="6">
        <f>ACE_Input!D53</f>
        <v>369</v>
      </c>
      <c r="G1013" s="6">
        <f>MOD(Settings!$B$17*(G1012),Settings!$B$18)</f>
        <v>1159831271</v>
      </c>
      <c r="H1013" s="6">
        <f>MAX(G1013,1)/Settings!$B$18</f>
        <v>0.54008852296512966</v>
      </c>
      <c r="I1013" s="6">
        <f>-ACE_Input!W53*LN(H1013)</f>
        <v>2.4640888857687866</v>
      </c>
      <c r="J1013" s="6">
        <f>-ACE_Input!X53*LN(H1013)</f>
        <v>7.3922666573063598</v>
      </c>
      <c r="K1013" s="6">
        <f>ACE_Input!U53</f>
        <v>300</v>
      </c>
      <c r="L1013" s="6">
        <f>K1013*ACE_Input!V53</f>
        <v>75</v>
      </c>
    </row>
    <row r="1014" spans="1:12" x14ac:dyDescent="0.2">
      <c r="A1014">
        <f>9</f>
        <v>9</v>
      </c>
      <c r="B1014">
        <f>ACE_Input!A54</f>
        <v>49</v>
      </c>
      <c r="C1014" s="6">
        <f>MOD(Settings!$B$17*(C1013),Settings!$B$18)</f>
        <v>2135115390</v>
      </c>
      <c r="D1014" s="6">
        <f>MAX(C1014,1)/Settings!$B$18</f>
        <v>0.99424058152094508</v>
      </c>
      <c r="E1014" s="6">
        <f t="shared" si="33"/>
        <v>5</v>
      </c>
      <c r="F1014" s="6">
        <f>ACE_Input!D54</f>
        <v>374</v>
      </c>
      <c r="G1014" s="6">
        <f>MOD(Settings!$B$17*(G1013),Settings!$B$18)</f>
        <v>575107878</v>
      </c>
      <c r="H1014" s="6">
        <f>MAX(G1014,1)/Settings!$B$18</f>
        <v>0.26780547493500889</v>
      </c>
      <c r="I1014" s="6">
        <f>-ACE_Input!W54*LN(H1014)</f>
        <v>5.2699776072610582</v>
      </c>
      <c r="J1014" s="6">
        <f>-ACE_Input!X54*LN(H1014)</f>
        <v>15.809932821783175</v>
      </c>
      <c r="K1014" s="6">
        <f>ACE_Input!U54</f>
        <v>300</v>
      </c>
      <c r="L1014" s="6">
        <f>K1014*ACE_Input!V54</f>
        <v>75</v>
      </c>
    </row>
    <row r="1015" spans="1:12" x14ac:dyDescent="0.2">
      <c r="A1015">
        <f>9</f>
        <v>9</v>
      </c>
      <c r="B1015">
        <f>ACE_Input!A55</f>
        <v>50</v>
      </c>
      <c r="C1015" s="6">
        <f>MOD(Settings!$B$17*(C1014),Settings!$B$18)</f>
        <v>432618360</v>
      </c>
      <c r="D1015" s="6">
        <f>MAX(C1015,1)/Settings!$B$18</f>
        <v>0.20145362252437213</v>
      </c>
      <c r="E1015" s="6">
        <f t="shared" si="33"/>
        <v>5</v>
      </c>
      <c r="F1015" s="6">
        <f>ACE_Input!D55</f>
        <v>379</v>
      </c>
      <c r="G1015" s="6">
        <f>MOD(Settings!$B$17*(G1014),Settings!$B$18)</f>
        <v>14210399</v>
      </c>
      <c r="H1015" s="6">
        <f>MAX(G1015,1)/Settings!$B$18</f>
        <v>6.617232694578E-3</v>
      </c>
      <c r="I1015" s="6">
        <f>-ACE_Input!W55*LN(H1015)</f>
        <v>20.072312073583316</v>
      </c>
      <c r="J1015" s="6">
        <f>-ACE_Input!X55*LN(H1015)</f>
        <v>60.216936220749943</v>
      </c>
      <c r="K1015" s="6">
        <f>ACE_Input!U55</f>
        <v>300</v>
      </c>
      <c r="L1015" s="6">
        <f>K1015*ACE_Input!V55</f>
        <v>75</v>
      </c>
    </row>
    <row r="1016" spans="1:12" x14ac:dyDescent="0.2">
      <c r="A1016">
        <f>9</f>
        <v>9</v>
      </c>
      <c r="B1016">
        <f>ACE_Input!A56</f>
        <v>51</v>
      </c>
      <c r="C1016" s="6">
        <f>MOD(Settings!$B$17*(C1015),Settings!$B$18)</f>
        <v>1784631425</v>
      </c>
      <c r="D1016" s="6">
        <f>MAX(C1016,1)/Settings!$B$18</f>
        <v>0.83103376712232535</v>
      </c>
      <c r="E1016" s="6">
        <f t="shared" si="33"/>
        <v>5</v>
      </c>
      <c r="F1016" s="6">
        <f>ACE_Input!D56</f>
        <v>384</v>
      </c>
      <c r="G1016" s="6">
        <f>MOD(Settings!$B$17*(G1015),Settings!$B$18)</f>
        <v>463491176</v>
      </c>
      <c r="H1016" s="6">
        <f>MAX(G1016,1)/Settings!$B$18</f>
        <v>0.21582989777244158</v>
      </c>
      <c r="I1016" s="6">
        <f>-ACE_Input!W56*LN(H1016)</f>
        <v>6.1330587674395298</v>
      </c>
      <c r="J1016" s="6">
        <f>-ACE_Input!X56*LN(H1016)</f>
        <v>18.39917630231859</v>
      </c>
      <c r="K1016" s="6">
        <f>ACE_Input!U56</f>
        <v>300</v>
      </c>
      <c r="L1016" s="6">
        <f>K1016*ACE_Input!V56</f>
        <v>75</v>
      </c>
    </row>
    <row r="1017" spans="1:12" x14ac:dyDescent="0.2">
      <c r="A1017">
        <f>9</f>
        <v>9</v>
      </c>
      <c r="B1017">
        <f>ACE_Input!A57</f>
        <v>52</v>
      </c>
      <c r="C1017" s="6">
        <f>MOD(Settings!$B$17*(C1016),Settings!$B$18)</f>
        <v>396262326</v>
      </c>
      <c r="D1017" s="6">
        <f>MAX(C1017,1)/Settings!$B$18</f>
        <v>0.18452402492264472</v>
      </c>
      <c r="E1017" s="6">
        <f t="shared" si="33"/>
        <v>5</v>
      </c>
      <c r="F1017" s="6">
        <f>ACE_Input!D57</f>
        <v>389</v>
      </c>
      <c r="G1017" s="6">
        <f>MOD(Settings!$B$17*(G1016),Settings!$B$18)</f>
        <v>973007363</v>
      </c>
      <c r="H1017" s="6">
        <f>MAX(G1017,1)/Settings!$B$18</f>
        <v>0.45309186142547608</v>
      </c>
      <c r="I1017" s="6">
        <f>-ACE_Input!W57*LN(H1017)</f>
        <v>3.1666415578136866</v>
      </c>
      <c r="J1017" s="6">
        <f>-ACE_Input!X57*LN(H1017)</f>
        <v>9.4999246734410594</v>
      </c>
      <c r="K1017" s="6">
        <f>ACE_Input!U57</f>
        <v>300</v>
      </c>
      <c r="L1017" s="6">
        <f>K1017*ACE_Input!V57</f>
        <v>75</v>
      </c>
    </row>
    <row r="1018" spans="1:12" x14ac:dyDescent="0.2">
      <c r="A1018">
        <f>9</f>
        <v>9</v>
      </c>
      <c r="B1018">
        <f>ACE_Input!A58</f>
        <v>53</v>
      </c>
      <c r="C1018" s="6">
        <f>MOD(Settings!$B$17*(C1017),Settings!$B$18)</f>
        <v>634123735</v>
      </c>
      <c r="D1018" s="6">
        <f>MAX(C1018,1)/Settings!$B$18</f>
        <v>0.29528687488999539</v>
      </c>
      <c r="E1018" s="6">
        <f t="shared" si="33"/>
        <v>5</v>
      </c>
      <c r="F1018" s="6">
        <f>ACE_Input!D58</f>
        <v>394</v>
      </c>
      <c r="G1018" s="6">
        <f>MOD(Settings!$B$17*(G1017),Settings!$B$18)</f>
        <v>246778036</v>
      </c>
      <c r="H1018" s="6">
        <f>MAX(G1018,1)/Settings!$B$18</f>
        <v>0.11491497797654708</v>
      </c>
      <c r="I1018" s="6">
        <f>-ACE_Input!W58*LN(H1018)</f>
        <v>8.6542509839808073</v>
      </c>
      <c r="J1018" s="6">
        <f>-ACE_Input!X58*LN(H1018)</f>
        <v>25.96275295194242</v>
      </c>
      <c r="K1018" s="6">
        <f>ACE_Input!U58</f>
        <v>300</v>
      </c>
      <c r="L1018" s="6">
        <f>K1018*ACE_Input!V58</f>
        <v>75</v>
      </c>
    </row>
    <row r="1019" spans="1:12" x14ac:dyDescent="0.2">
      <c r="A1019">
        <f>9</f>
        <v>9</v>
      </c>
      <c r="B1019">
        <f>ACE_Input!A59</f>
        <v>54</v>
      </c>
      <c r="C1019" s="6">
        <f>MOD(Settings!$B$17*(C1018),Settings!$B$18)</f>
        <v>1903757731</v>
      </c>
      <c r="D1019" s="6">
        <f>MAX(C1019,1)/Settings!$B$18</f>
        <v>0.88650627615233246</v>
      </c>
      <c r="E1019" s="6">
        <f t="shared" si="33"/>
        <v>5</v>
      </c>
      <c r="F1019" s="6">
        <f>ACE_Input!D59</f>
        <v>399</v>
      </c>
      <c r="G1019" s="6">
        <f>MOD(Settings!$B$17*(G1018),Settings!$B$18)</f>
        <v>807528695</v>
      </c>
      <c r="H1019" s="6">
        <f>MAX(G1019,1)/Settings!$B$18</f>
        <v>0.37603485182674362</v>
      </c>
      <c r="I1019" s="6">
        <f>-ACE_Input!W59*LN(H1019)</f>
        <v>3.9122937954368679</v>
      </c>
      <c r="J1019" s="6">
        <f>-ACE_Input!X59*LN(H1019)</f>
        <v>11.736881386310603</v>
      </c>
      <c r="K1019" s="6">
        <f>ACE_Input!U59</f>
        <v>300</v>
      </c>
      <c r="L1019" s="6">
        <f>K1019*ACE_Input!V59</f>
        <v>75</v>
      </c>
    </row>
    <row r="1020" spans="1:12" x14ac:dyDescent="0.2">
      <c r="A1020">
        <f>9</f>
        <v>9</v>
      </c>
      <c r="B1020">
        <f>ACE_Input!A60</f>
        <v>55</v>
      </c>
      <c r="C1020" s="6">
        <f>MOD(Settings!$B$17*(C1019),Settings!$B$18)</f>
        <v>1097328264</v>
      </c>
      <c r="D1020" s="6">
        <f>MAX(C1020,1)/Settings!$B$18</f>
        <v>0.51098329225135186</v>
      </c>
      <c r="E1020" s="6">
        <f t="shared" si="33"/>
        <v>5</v>
      </c>
      <c r="F1020" s="6">
        <f>ACE_Input!D60</f>
        <v>404</v>
      </c>
      <c r="G1020" s="6">
        <f>MOD(Settings!$B$17*(G1019),Settings!$B$18)</f>
        <v>38127825</v>
      </c>
      <c r="H1020" s="6">
        <f>MAX(G1020,1)/Settings!$B$18</f>
        <v>1.7754652080011857E-2</v>
      </c>
      <c r="I1020" s="6">
        <f>-ACE_Input!W60*LN(H1020)</f>
        <v>16.124430833541144</v>
      </c>
      <c r="J1020" s="6">
        <f>-ACE_Input!X60*LN(H1020)</f>
        <v>48.373292500623435</v>
      </c>
      <c r="K1020" s="6">
        <f>ACE_Input!U60</f>
        <v>300</v>
      </c>
      <c r="L1020" s="6">
        <f>K1020*ACE_Input!V60</f>
        <v>75</v>
      </c>
    </row>
    <row r="1021" spans="1:12" x14ac:dyDescent="0.2">
      <c r="A1021">
        <f>9</f>
        <v>9</v>
      </c>
      <c r="B1021">
        <f>ACE_Input!A61</f>
        <v>56</v>
      </c>
      <c r="C1021" s="6">
        <f>MOD(Settings!$B$17*(C1020),Settings!$B$18)</f>
        <v>206572612</v>
      </c>
      <c r="D1021" s="6">
        <f>MAX(C1021,1)/Settings!$B$18</f>
        <v>9.619286847123544E-2</v>
      </c>
      <c r="E1021" s="6">
        <f t="shared" si="33"/>
        <v>5</v>
      </c>
      <c r="F1021" s="6">
        <f>ACE_Input!D61</f>
        <v>409</v>
      </c>
      <c r="G1021" s="6">
        <f>MOD(Settings!$B$17*(G1020),Settings!$B$18)</f>
        <v>864227969</v>
      </c>
      <c r="H1021" s="6">
        <f>MAX(G1021,1)/Settings!$B$18</f>
        <v>0.40243750875929257</v>
      </c>
      <c r="I1021" s="6">
        <f>-ACE_Input!W61*LN(H1021)</f>
        <v>3.6408618076725507</v>
      </c>
      <c r="J1021" s="6">
        <f>-ACE_Input!X61*LN(H1021)</f>
        <v>10.922585423017653</v>
      </c>
      <c r="K1021" s="6">
        <f>ACE_Input!U61</f>
        <v>300</v>
      </c>
      <c r="L1021" s="6">
        <f>K1021*ACE_Input!V61</f>
        <v>75</v>
      </c>
    </row>
    <row r="1022" spans="1:12" x14ac:dyDescent="0.2">
      <c r="A1022">
        <f>9</f>
        <v>9</v>
      </c>
      <c r="B1022">
        <f>ACE_Input!A62</f>
        <v>57</v>
      </c>
      <c r="C1022" s="6">
        <f>MOD(Settings!$B$17*(C1021),Settings!$B$18)</f>
        <v>1532316332</v>
      </c>
      <c r="D1022" s="6">
        <f>MAX(C1022,1)/Settings!$B$18</f>
        <v>0.71354039605406128</v>
      </c>
      <c r="E1022" s="6">
        <f t="shared" si="33"/>
        <v>5</v>
      </c>
      <c r="F1022" s="6">
        <f>ACE_Input!D62</f>
        <v>414</v>
      </c>
      <c r="G1022" s="6">
        <f>MOD(Settings!$B$17*(G1021),Settings!$B$18)</f>
        <v>1647570322</v>
      </c>
      <c r="H1022" s="6">
        <f>MAX(G1022,1)/Settings!$B$18</f>
        <v>0.76720971742980637</v>
      </c>
      <c r="I1022" s="6">
        <f>-ACE_Input!W62*LN(H1022)</f>
        <v>1.0599803575835116</v>
      </c>
      <c r="J1022" s="6">
        <f>-ACE_Input!X62*LN(H1022)</f>
        <v>3.1799410727505348</v>
      </c>
      <c r="K1022" s="6">
        <f>ACE_Input!U62</f>
        <v>300</v>
      </c>
      <c r="L1022" s="6">
        <f>K1022*ACE_Input!V62</f>
        <v>75</v>
      </c>
    </row>
    <row r="1023" spans="1:12" x14ac:dyDescent="0.2">
      <c r="A1023">
        <f>9</f>
        <v>9</v>
      </c>
      <c r="B1023">
        <f>ACE_Input!A63</f>
        <v>58</v>
      </c>
      <c r="C1023" s="6">
        <f>MOD(Settings!$B$17*(C1022),Settings!$B$18)</f>
        <v>1016697100</v>
      </c>
      <c r="D1023" s="6">
        <f>MAX(C1023,1)/Settings!$B$18</f>
        <v>0.47343648060850635</v>
      </c>
      <c r="E1023" s="6">
        <f t="shared" si="33"/>
        <v>5</v>
      </c>
      <c r="F1023" s="6">
        <f>ACE_Input!D63</f>
        <v>419</v>
      </c>
      <c r="G1023" s="6">
        <f>MOD(Settings!$B$17*(G1022),Settings!$B$18)</f>
        <v>1060257436</v>
      </c>
      <c r="H1023" s="6">
        <f>MAX(G1023,1)/Settings!$B$18</f>
        <v>0.49372084275526967</v>
      </c>
      <c r="I1023" s="6">
        <f>-ACE_Input!W63*LN(H1023)</f>
        <v>2.8231400686321471</v>
      </c>
      <c r="J1023" s="6">
        <f>-ACE_Input!X63*LN(H1023)</f>
        <v>8.4694202058964407</v>
      </c>
      <c r="K1023" s="6">
        <f>ACE_Input!U63</f>
        <v>300</v>
      </c>
      <c r="L1023" s="6">
        <f>K1023*ACE_Input!V63</f>
        <v>75</v>
      </c>
    </row>
    <row r="1024" spans="1:12" x14ac:dyDescent="0.2">
      <c r="A1024">
        <f>9</f>
        <v>9</v>
      </c>
      <c r="B1024">
        <f>ACE_Input!A64</f>
        <v>59</v>
      </c>
      <c r="C1024" s="6">
        <f>MOD(Settings!$B$17*(C1023),Settings!$B$18)</f>
        <v>100780521</v>
      </c>
      <c r="D1024" s="6">
        <f>MAX(C1024,1)/Settings!$B$18</f>
        <v>4.692958716625794E-2</v>
      </c>
      <c r="E1024" s="6">
        <f t="shared" si="33"/>
        <v>5</v>
      </c>
      <c r="F1024" s="6">
        <f>ACE_Input!D64</f>
        <v>424</v>
      </c>
      <c r="G1024" s="6">
        <f>MOD(Settings!$B$17*(G1023),Settings!$B$18)</f>
        <v>2074907693</v>
      </c>
      <c r="H1024" s="6">
        <f>MAX(G1024,1)/Settings!$B$18</f>
        <v>0.96620418781703532</v>
      </c>
      <c r="I1024" s="6">
        <f>-ACE_Input!W64*LN(H1024)</f>
        <v>0.13752037021710287</v>
      </c>
      <c r="J1024" s="6">
        <f>-ACE_Input!X64*LN(H1024)</f>
        <v>0.41256111065130863</v>
      </c>
      <c r="K1024" s="6">
        <f>ACE_Input!U64</f>
        <v>300</v>
      </c>
      <c r="L1024" s="6">
        <f>K1024*ACE_Input!V64</f>
        <v>75</v>
      </c>
    </row>
    <row r="1025" spans="1:12" x14ac:dyDescent="0.2">
      <c r="A1025">
        <f>9</f>
        <v>9</v>
      </c>
      <c r="B1025">
        <f>ACE_Input!A65</f>
        <v>60</v>
      </c>
      <c r="C1025" s="6">
        <f>MOD(Settings!$B$17*(C1024),Settings!$B$18)</f>
        <v>1601102611</v>
      </c>
      <c r="D1025" s="6">
        <f>MAX(C1025,1)/Settings!$B$18</f>
        <v>0.74557150329722632</v>
      </c>
      <c r="E1025" s="6">
        <f t="shared" si="33"/>
        <v>5</v>
      </c>
      <c r="F1025" s="6">
        <f>ACE_Input!D65</f>
        <v>429</v>
      </c>
      <c r="G1025" s="6">
        <f>MOD(Settings!$B$17*(G1024),Settings!$B$18)</f>
        <v>2134136265</v>
      </c>
      <c r="H1025" s="6">
        <f>MAX(G1025,1)/Settings!$B$18</f>
        <v>0.99378464091279761</v>
      </c>
      <c r="I1025" s="6">
        <f>-ACE_Input!W65*LN(H1025)</f>
        <v>2.4939019363899428E-2</v>
      </c>
      <c r="J1025" s="6">
        <f>-ACE_Input!X65*LN(H1025)</f>
        <v>7.481705809169828E-2</v>
      </c>
      <c r="K1025" s="6">
        <f>ACE_Input!U65</f>
        <v>300</v>
      </c>
      <c r="L1025" s="6">
        <f>K1025*ACE_Input!V65</f>
        <v>75</v>
      </c>
    </row>
    <row r="1026" spans="1:12" x14ac:dyDescent="0.2">
      <c r="A1026">
        <f>9</f>
        <v>9</v>
      </c>
      <c r="B1026">
        <f>ACE_Input!A66</f>
        <v>61</v>
      </c>
      <c r="C1026" s="6">
        <f>MOD(Settings!$B$17*(C1025),Settings!$B$18)</f>
        <v>1761486167</v>
      </c>
      <c r="D1026" s="6">
        <f>MAX(C1026,1)/Settings!$B$18</f>
        <v>0.82025591648195684</v>
      </c>
      <c r="E1026" s="6">
        <f t="shared" si="33"/>
        <v>5</v>
      </c>
      <c r="F1026" s="6">
        <f>ACE_Input!D66</f>
        <v>434</v>
      </c>
      <c r="G1026" s="6">
        <f>MOD(Settings!$B$17*(G1025),Settings!$B$18)</f>
        <v>1156333661</v>
      </c>
      <c r="H1026" s="6">
        <f>MAX(G1026,1)/Settings!$B$18</f>
        <v>0.53845982138927084</v>
      </c>
      <c r="I1026" s="6">
        <f>-ACE_Input!W66*LN(H1026)</f>
        <v>2.4761695890392192</v>
      </c>
      <c r="J1026" s="6">
        <f>-ACE_Input!X66*LN(H1026)</f>
        <v>7.4285087671176573</v>
      </c>
      <c r="K1026" s="6">
        <f>ACE_Input!U66</f>
        <v>300</v>
      </c>
      <c r="L1026" s="6">
        <f>K1026*ACE_Input!V66</f>
        <v>75</v>
      </c>
    </row>
    <row r="1027" spans="1:12" x14ac:dyDescent="0.2">
      <c r="A1027">
        <f>9</f>
        <v>9</v>
      </c>
      <c r="B1027">
        <f>ACE_Input!A67</f>
        <v>62</v>
      </c>
      <c r="C1027" s="6">
        <f>MOD(Settings!$B$17*(C1026),Settings!$B$18)</f>
        <v>88451227</v>
      </c>
      <c r="D1027" s="6">
        <f>MAX(C1027,1)/Settings!$B$18</f>
        <v>4.1188312247948868E-2</v>
      </c>
      <c r="E1027" s="6">
        <f t="shared" si="33"/>
        <v>5</v>
      </c>
      <c r="F1027" s="6">
        <f>ACE_Input!D67</f>
        <v>439</v>
      </c>
      <c r="G1027" s="6">
        <f>MOD(Settings!$B$17*(G1026),Settings!$B$18)</f>
        <v>1920318724</v>
      </c>
      <c r="H1027" s="6">
        <f>MAX(G1027,1)/Settings!$B$18</f>
        <v>0.89421808947539805</v>
      </c>
      <c r="I1027" s="6">
        <f>-ACE_Input!W67*LN(H1027)</f>
        <v>0.4472223424001191</v>
      </c>
      <c r="J1027" s="6">
        <f>-ACE_Input!X67*LN(H1027)</f>
        <v>1.3416670272003572</v>
      </c>
      <c r="K1027" s="6">
        <f>ACE_Input!U67</f>
        <v>300</v>
      </c>
      <c r="L1027" s="6">
        <f>K1027*ACE_Input!V67</f>
        <v>75</v>
      </c>
    </row>
    <row r="1028" spans="1:12" x14ac:dyDescent="0.2">
      <c r="A1028">
        <f>9</f>
        <v>9</v>
      </c>
      <c r="B1028">
        <f>ACE_Input!A68</f>
        <v>63</v>
      </c>
      <c r="C1028" s="6">
        <f>MOD(Settings!$B$17*(C1027),Settings!$B$18)</f>
        <v>541088465</v>
      </c>
      <c r="D1028" s="6">
        <f>MAX(C1028,1)/Settings!$B$18</f>
        <v>0.25196395127659849</v>
      </c>
      <c r="E1028" s="6">
        <f t="shared" si="33"/>
        <v>5</v>
      </c>
      <c r="F1028" s="6">
        <f>ACE_Input!D68</f>
        <v>444</v>
      </c>
      <c r="G1028" s="6">
        <f>MOD(Settings!$B$17*(G1027),Settings!$B$18)</f>
        <v>265063505</v>
      </c>
      <c r="H1028" s="6">
        <f>MAX(G1028,1)/Settings!$B$18</f>
        <v>0.12342981301407786</v>
      </c>
      <c r="I1028" s="6">
        <f>-ACE_Input!W68*LN(H1028)</f>
        <v>8.3683304005686114</v>
      </c>
      <c r="J1028" s="6">
        <f>-ACE_Input!X68*LN(H1028)</f>
        <v>25.104991201705836</v>
      </c>
      <c r="K1028" s="6">
        <f>ACE_Input!U68</f>
        <v>300</v>
      </c>
      <c r="L1028" s="6">
        <f>K1028*ACE_Input!V68</f>
        <v>75</v>
      </c>
    </row>
    <row r="1029" spans="1:12" x14ac:dyDescent="0.2">
      <c r="A1029">
        <f>9</f>
        <v>9</v>
      </c>
      <c r="B1029">
        <f>ACE_Input!A69</f>
        <v>64</v>
      </c>
      <c r="C1029" s="6">
        <f>MOD(Settings!$B$17*(C1028),Settings!$B$18)</f>
        <v>1628069857</v>
      </c>
      <c r="D1029" s="6">
        <f>MAX(C1029,1)/Settings!$B$18</f>
        <v>0.75812910579057835</v>
      </c>
      <c r="E1029" s="6">
        <f t="shared" si="33"/>
        <v>5</v>
      </c>
      <c r="F1029" s="6">
        <f>ACE_Input!D69</f>
        <v>449</v>
      </c>
      <c r="G1029" s="6">
        <f>MOD(Settings!$B$17*(G1028),Settings!$B$18)</f>
        <v>1041244657</v>
      </c>
      <c r="H1029" s="6">
        <f>MAX(G1029,1)/Settings!$B$18</f>
        <v>0.48486732760670936</v>
      </c>
      <c r="I1029" s="6">
        <f>-ACE_Input!W69*LN(H1029)</f>
        <v>2.8955199071720603</v>
      </c>
      <c r="J1029" s="6">
        <f>-ACE_Input!X69*LN(H1029)</f>
        <v>8.6865597215161809</v>
      </c>
      <c r="K1029" s="6">
        <f>ACE_Input!U69</f>
        <v>300</v>
      </c>
      <c r="L1029" s="6">
        <f>K1029*ACE_Input!V69</f>
        <v>75</v>
      </c>
    </row>
    <row r="1030" spans="1:12" x14ac:dyDescent="0.2">
      <c r="A1030">
        <f>9</f>
        <v>9</v>
      </c>
      <c r="B1030">
        <f>ACE_Input!A70</f>
        <v>65</v>
      </c>
      <c r="C1030" s="6">
        <f>MOD(Settings!$B$17*(C1029),Settings!$B$18)</f>
        <v>1880940172</v>
      </c>
      <c r="D1030" s="6">
        <f>MAX(C1030,1)/Settings!$B$18</f>
        <v>0.87588102225022435</v>
      </c>
      <c r="E1030" s="6">
        <f t="shared" si="33"/>
        <v>5</v>
      </c>
      <c r="F1030" s="6">
        <f>ACE_Input!D70</f>
        <v>454</v>
      </c>
      <c r="G1030" s="6">
        <f>MOD(Settings!$B$17*(G1029),Settings!$B$18)</f>
        <v>354710796</v>
      </c>
      <c r="H1030" s="6">
        <f>MAX(G1030,1)/Settings!$B$18</f>
        <v>0.16517508596422853</v>
      </c>
      <c r="I1030" s="6">
        <f>-ACE_Input!W70*LN(H1030)</f>
        <v>7.2029969624919366</v>
      </c>
      <c r="J1030" s="6">
        <f>-ACE_Input!X70*LN(H1030)</f>
        <v>21.608990887475809</v>
      </c>
      <c r="K1030" s="6">
        <f>ACE_Input!U70</f>
        <v>300</v>
      </c>
      <c r="L1030" s="6">
        <f>K1030*ACE_Input!V70</f>
        <v>75</v>
      </c>
    </row>
    <row r="1031" spans="1:12" x14ac:dyDescent="0.2">
      <c r="A1031">
        <f>9</f>
        <v>9</v>
      </c>
      <c r="B1031">
        <f>ACE_Input!A71</f>
        <v>66</v>
      </c>
      <c r="C1031" s="6">
        <f>MOD(Settings!$B$17*(C1030),Settings!$B$18)</f>
        <v>2002186964</v>
      </c>
      <c r="D1031" s="6">
        <f>MAX(C1031,1)/Settings!$B$18</f>
        <v>0.93234095952116924</v>
      </c>
      <c r="E1031" s="6">
        <f t="shared" ref="E1031:E1062" si="34">F1031-F1030</f>
        <v>5</v>
      </c>
      <c r="F1031" s="6">
        <f>ACE_Input!D71</f>
        <v>459</v>
      </c>
      <c r="G1031" s="6">
        <f>MOD(Settings!$B$17*(G1030),Settings!$B$18)</f>
        <v>209744300</v>
      </c>
      <c r="H1031" s="6">
        <f>MAX(G1031,1)/Settings!$B$18</f>
        <v>9.7669800788941705E-2</v>
      </c>
      <c r="I1031" s="6">
        <f>-ACE_Input!W71*LN(H1031)</f>
        <v>9.3046514766355521</v>
      </c>
      <c r="J1031" s="6">
        <f>-ACE_Input!X71*LN(H1031)</f>
        <v>27.913954429906656</v>
      </c>
      <c r="K1031" s="6">
        <f>ACE_Input!U71</f>
        <v>300</v>
      </c>
      <c r="L1031" s="6">
        <f>K1031*ACE_Input!V71</f>
        <v>75</v>
      </c>
    </row>
    <row r="1032" spans="1:12" x14ac:dyDescent="0.2">
      <c r="A1032">
        <f>9</f>
        <v>9</v>
      </c>
      <c r="B1032">
        <f>ACE_Input!A72</f>
        <v>67</v>
      </c>
      <c r="C1032" s="6">
        <f>MOD(Settings!$B$17*(C1031),Settings!$B$18)</f>
        <v>1835039105</v>
      </c>
      <c r="D1032" s="6">
        <f>MAX(C1032,1)/Settings!$B$18</f>
        <v>0.85450667229225241</v>
      </c>
      <c r="E1032" s="6">
        <f t="shared" si="34"/>
        <v>15</v>
      </c>
      <c r="F1032" s="6">
        <f>ACE_Input!D72</f>
        <v>474</v>
      </c>
      <c r="G1032" s="6">
        <f>MOD(Settings!$B$17*(G1031),Settings!$B$18)</f>
        <v>1151785373</v>
      </c>
      <c r="H1032" s="6">
        <f>MAX(G1032,1)/Settings!$B$18</f>
        <v>0.53634185974315829</v>
      </c>
      <c r="I1032" s="6">
        <f>-ACE_Input!W72*LN(H1032)</f>
        <v>2.4919340927591036</v>
      </c>
      <c r="J1032" s="6">
        <f>-ACE_Input!X72*LN(H1032)</f>
        <v>7.4758022782773104</v>
      </c>
      <c r="K1032" s="6">
        <f>ACE_Input!U72</f>
        <v>300</v>
      </c>
      <c r="L1032" s="6">
        <f>K1032*ACE_Input!V72</f>
        <v>75</v>
      </c>
    </row>
    <row r="1033" spans="1:12" x14ac:dyDescent="0.2">
      <c r="A1033">
        <f>9</f>
        <v>9</v>
      </c>
      <c r="B1033">
        <f>ACE_Input!A73</f>
        <v>68</v>
      </c>
      <c r="C1033" s="6">
        <f>MOD(Settings!$B$17*(C1032),Settings!$B$18)</f>
        <v>1489583168</v>
      </c>
      <c r="D1033" s="6">
        <f>MAX(C1033,1)/Settings!$B$18</f>
        <v>0.69364121588582228</v>
      </c>
      <c r="E1033" s="6">
        <f t="shared" si="34"/>
        <v>5</v>
      </c>
      <c r="F1033" s="6">
        <f>ACE_Input!D73</f>
        <v>479</v>
      </c>
      <c r="G1033" s="6">
        <f>MOD(Settings!$B$17*(G1032),Settings!$B$18)</f>
        <v>639169953</v>
      </c>
      <c r="H1033" s="6">
        <f>MAX(G1033,1)/Settings!$B$18</f>
        <v>0.29763670326100511</v>
      </c>
      <c r="I1033" s="6">
        <f>-ACE_Input!W73*LN(H1033)</f>
        <v>4.8475266111106912</v>
      </c>
      <c r="J1033" s="6">
        <f>-ACE_Input!X73*LN(H1033)</f>
        <v>14.542579833332073</v>
      </c>
      <c r="K1033" s="6">
        <f>ACE_Input!U73</f>
        <v>300</v>
      </c>
      <c r="L1033" s="6">
        <f>K1033*ACE_Input!V73</f>
        <v>75</v>
      </c>
    </row>
    <row r="1034" spans="1:12" x14ac:dyDescent="0.2">
      <c r="A1034">
        <f>9</f>
        <v>9</v>
      </c>
      <c r="B1034">
        <f>ACE_Input!A74</f>
        <v>69</v>
      </c>
      <c r="C1034" s="6">
        <f>MOD(Settings!$B$17*(C1033),Settings!$B$18)</f>
        <v>59947850</v>
      </c>
      <c r="D1034" s="6">
        <f>MAX(C1034,1)/Settings!$B$18</f>
        <v>2.7915393015330376E-2</v>
      </c>
      <c r="E1034" s="6">
        <f t="shared" si="34"/>
        <v>15</v>
      </c>
      <c r="F1034" s="6">
        <f>ACE_Input!D74</f>
        <v>494</v>
      </c>
      <c r="G1034" s="6">
        <f>MOD(Settings!$B$17*(G1033),Settings!$B$18)</f>
        <v>816197777</v>
      </c>
      <c r="H1034" s="6">
        <f>MAX(G1034,1)/Settings!$B$18</f>
        <v>0.3800717077125198</v>
      </c>
      <c r="I1034" s="6">
        <f>-ACE_Input!W74*LN(H1034)</f>
        <v>3.8695813582301217</v>
      </c>
      <c r="J1034" s="6">
        <f>-ACE_Input!X74*LN(H1034)</f>
        <v>11.608744074690366</v>
      </c>
      <c r="K1034" s="6">
        <f>ACE_Input!U74</f>
        <v>300</v>
      </c>
      <c r="L1034" s="6">
        <f>K1034*ACE_Input!V74</f>
        <v>75</v>
      </c>
    </row>
    <row r="1035" spans="1:12" x14ac:dyDescent="0.2">
      <c r="A1035">
        <f>9</f>
        <v>9</v>
      </c>
      <c r="B1035">
        <f>ACE_Input!A75</f>
        <v>70</v>
      </c>
      <c r="C1035" s="6">
        <f>MOD(Settings!$B$17*(C1034),Settings!$B$18)</f>
        <v>373684507</v>
      </c>
      <c r="D1035" s="6">
        <f>MAX(C1035,1)/Settings!$B$18</f>
        <v>0.17401040865760781</v>
      </c>
      <c r="E1035" s="6">
        <f t="shared" si="34"/>
        <v>5</v>
      </c>
      <c r="F1035" s="6">
        <f>ACE_Input!D75</f>
        <v>499</v>
      </c>
      <c r="G1035" s="6">
        <f>MOD(Settings!$B$17*(G1034),Settings!$B$18)</f>
        <v>1857984650</v>
      </c>
      <c r="H1035" s="6">
        <f>MAX(G1035,1)/Settings!$B$18</f>
        <v>0.86519152431990554</v>
      </c>
      <c r="I1035" s="6">
        <f>-ACE_Input!W75*LN(H1035)</f>
        <v>0.57921752464117893</v>
      </c>
      <c r="J1035" s="6">
        <f>-ACE_Input!X75*LN(H1035)</f>
        <v>1.7376525739235369</v>
      </c>
      <c r="K1035" s="6">
        <f>ACE_Input!U75</f>
        <v>300</v>
      </c>
      <c r="L1035" s="6">
        <f>K1035*ACE_Input!V75</f>
        <v>75</v>
      </c>
    </row>
    <row r="1036" spans="1:12" x14ac:dyDescent="0.2">
      <c r="A1036">
        <f>9</f>
        <v>9</v>
      </c>
      <c r="B1036">
        <f>ACE_Input!A76</f>
        <v>71</v>
      </c>
      <c r="C1036" s="6">
        <f>MOD(Settings!$B$17*(C1035),Settings!$B$18)</f>
        <v>1273325321</v>
      </c>
      <c r="D1036" s="6">
        <f>MAX(C1036,1)/Settings!$B$18</f>
        <v>0.59293830841450879</v>
      </c>
      <c r="E1036" s="6">
        <f t="shared" si="34"/>
        <v>5</v>
      </c>
      <c r="F1036" s="6">
        <f>ACE_Input!D76</f>
        <v>504</v>
      </c>
      <c r="G1036" s="6">
        <f>MOD(Settings!$B$17*(G1035),Settings!$B$18)</f>
        <v>588301523</v>
      </c>
      <c r="H1036" s="6">
        <f>MAX(G1036,1)/Settings!$B$18</f>
        <v>0.27394924465285114</v>
      </c>
      <c r="I1036" s="6">
        <f>-ACE_Input!W76*LN(H1036)</f>
        <v>5.1792497129843182</v>
      </c>
      <c r="J1036" s="6">
        <f>-ACE_Input!X76*LN(H1036)</f>
        <v>15.537749138952954</v>
      </c>
      <c r="K1036" s="6">
        <f>ACE_Input!U76</f>
        <v>300</v>
      </c>
      <c r="L1036" s="6">
        <f>K1036*ACE_Input!V76</f>
        <v>75</v>
      </c>
    </row>
    <row r="1037" spans="1:12" x14ac:dyDescent="0.2">
      <c r="A1037">
        <f>9</f>
        <v>9</v>
      </c>
      <c r="B1037">
        <f>ACE_Input!A77</f>
        <v>72</v>
      </c>
      <c r="C1037" s="6">
        <f>MOD(Settings!$B$17*(C1036),Settings!$B$18)</f>
        <v>1104127692</v>
      </c>
      <c r="D1037" s="6">
        <f>MAX(C1037,1)/Settings!$B$18</f>
        <v>0.51414952264826252</v>
      </c>
      <c r="E1037" s="6">
        <f t="shared" si="34"/>
        <v>5</v>
      </c>
      <c r="F1037" s="6">
        <f>ACE_Input!D77</f>
        <v>509</v>
      </c>
      <c r="G1037" s="6">
        <f>MOD(Settings!$B$17*(G1036),Settings!$B$18)</f>
        <v>568986273</v>
      </c>
      <c r="H1037" s="6">
        <f>MAX(G1037,1)/Settings!$B$18</f>
        <v>0.26495488046899202</v>
      </c>
      <c r="I1037" s="6">
        <f>-ACE_Input!W77*LN(H1037)</f>
        <v>5.3127829194934471</v>
      </c>
      <c r="J1037" s="6">
        <f>-ACE_Input!X77*LN(H1037)</f>
        <v>15.938348758480341</v>
      </c>
      <c r="K1037" s="6">
        <f>ACE_Input!U77</f>
        <v>300</v>
      </c>
      <c r="L1037" s="6">
        <f>K1037*ACE_Input!V77</f>
        <v>75</v>
      </c>
    </row>
    <row r="1038" spans="1:12" x14ac:dyDescent="0.2">
      <c r="A1038">
        <f>9</f>
        <v>9</v>
      </c>
      <c r="B1038">
        <f>ACE_Input!A78</f>
        <v>73</v>
      </c>
      <c r="C1038" s="6">
        <f>MOD(Settings!$B$17*(C1037),Settings!$B$18)</f>
        <v>667925717</v>
      </c>
      <c r="D1038" s="6">
        <f>MAX(C1038,1)/Settings!$B$18</f>
        <v>0.31102714934899806</v>
      </c>
      <c r="E1038" s="6">
        <f t="shared" si="34"/>
        <v>5</v>
      </c>
      <c r="F1038" s="6">
        <f>ACE_Input!D78</f>
        <v>514</v>
      </c>
      <c r="G1038" s="6">
        <f>MOD(Settings!$B$17*(G1037),Settings!$B$18)</f>
        <v>207610220</v>
      </c>
      <c r="H1038" s="6">
        <f>MAX(G1038,1)/Settings!$B$18</f>
        <v>9.667604234846125E-2</v>
      </c>
      <c r="I1038" s="6">
        <f>-ACE_Input!W78*LN(H1038)</f>
        <v>9.3455586382450662</v>
      </c>
      <c r="J1038" s="6">
        <f>-ACE_Input!X78*LN(H1038)</f>
        <v>28.036675914735198</v>
      </c>
      <c r="K1038" s="6">
        <f>ACE_Input!U78</f>
        <v>300</v>
      </c>
      <c r="L1038" s="6">
        <f>K1038*ACE_Input!V78</f>
        <v>75</v>
      </c>
    </row>
    <row r="1039" spans="1:12" x14ac:dyDescent="0.2">
      <c r="A1039">
        <f>9</f>
        <v>9</v>
      </c>
      <c r="B1039">
        <f>ACE_Input!A79</f>
        <v>74</v>
      </c>
      <c r="C1039" s="6">
        <f>MOD(Settings!$B$17*(C1038),Settings!$B$18)</f>
        <v>930502750</v>
      </c>
      <c r="D1039" s="6">
        <f>MAX(C1039,1)/Settings!$B$18</f>
        <v>0.43329910861016208</v>
      </c>
      <c r="E1039" s="6">
        <f t="shared" si="34"/>
        <v>5</v>
      </c>
      <c r="F1039" s="6">
        <f>ACE_Input!D79</f>
        <v>519</v>
      </c>
      <c r="G1039" s="6">
        <f>MOD(Settings!$B$17*(G1038),Settings!$B$18)</f>
        <v>1791524812</v>
      </c>
      <c r="H1039" s="6">
        <f>MAX(G1039,1)/Settings!$B$18</f>
        <v>0.83424375058815059</v>
      </c>
      <c r="I1039" s="6">
        <f>-ACE_Input!W79*LN(H1039)</f>
        <v>0.72491860973108635</v>
      </c>
      <c r="J1039" s="6">
        <f>-ACE_Input!X79*LN(H1039)</f>
        <v>2.1747558291932592</v>
      </c>
      <c r="K1039" s="6">
        <f>ACE_Input!U79</f>
        <v>300</v>
      </c>
      <c r="L1039" s="6">
        <f>K1039*ACE_Input!V79</f>
        <v>75</v>
      </c>
    </row>
    <row r="1040" spans="1:12" x14ac:dyDescent="0.2">
      <c r="A1040">
        <f>9</f>
        <v>9</v>
      </c>
      <c r="B1040">
        <f>ACE_Input!A80</f>
        <v>75</v>
      </c>
      <c r="C1040" s="6">
        <f>MOD(Settings!$B$17*(C1039),Settings!$B$18)</f>
        <v>983801796</v>
      </c>
      <c r="D1040" s="6">
        <f>MAX(C1040,1)/Settings!$B$18</f>
        <v>0.45811841099435391</v>
      </c>
      <c r="E1040" s="6">
        <f t="shared" si="34"/>
        <v>5</v>
      </c>
      <c r="F1040" s="6">
        <f>ACE_Input!D80</f>
        <v>524</v>
      </c>
      <c r="G1040" s="6">
        <f>MOD(Settings!$B$17*(G1039),Settings!$B$18)</f>
        <v>289300697</v>
      </c>
      <c r="H1040" s="6">
        <f>MAX(G1040,1)/Settings!$B$18</f>
        <v>0.13471613504677832</v>
      </c>
      <c r="I1040" s="6">
        <f>-ACE_Input!W80*LN(H1040)</f>
        <v>8.0183416707417674</v>
      </c>
      <c r="J1040" s="6">
        <f>-ACE_Input!X80*LN(H1040)</f>
        <v>24.0550250122253</v>
      </c>
      <c r="K1040" s="6">
        <f>ACE_Input!U80</f>
        <v>300</v>
      </c>
      <c r="L1040" s="6">
        <f>K1040*ACE_Input!V80</f>
        <v>75</v>
      </c>
    </row>
    <row r="1041" spans="1:12" x14ac:dyDescent="0.2">
      <c r="A1041">
        <f>9</f>
        <v>9</v>
      </c>
      <c r="B1041">
        <f>ACE_Input!A81</f>
        <v>76</v>
      </c>
      <c r="C1041" s="6">
        <f>MOD(Settings!$B$17*(C1040),Settings!$B$18)</f>
        <v>1280187119</v>
      </c>
      <c r="D1041" s="6">
        <f>MAX(C1041,1)/Settings!$B$18</f>
        <v>0.59613358210592227</v>
      </c>
      <c r="E1041" s="6">
        <f t="shared" si="34"/>
        <v>5</v>
      </c>
      <c r="F1041" s="6">
        <f>ACE_Input!D81</f>
        <v>529</v>
      </c>
      <c r="G1041" s="6">
        <f>MOD(Settings!$B$17*(G1040),Settings!$B$18)</f>
        <v>373837671</v>
      </c>
      <c r="H1041" s="6">
        <f>MAX(G1041,1)/Settings!$B$18</f>
        <v>0.17408173120305023</v>
      </c>
      <c r="I1041" s="6">
        <f>-ACE_Input!W81*LN(H1041)</f>
        <v>6.9929214819741841</v>
      </c>
      <c r="J1041" s="6">
        <f>-ACE_Input!X81*LN(H1041)</f>
        <v>20.97876444592255</v>
      </c>
      <c r="K1041" s="6">
        <f>ACE_Input!U81</f>
        <v>300</v>
      </c>
      <c r="L1041" s="6">
        <f>K1041*ACE_Input!V81</f>
        <v>75</v>
      </c>
    </row>
    <row r="1042" spans="1:12" x14ac:dyDescent="0.2">
      <c r="A1042">
        <f>9</f>
        <v>9</v>
      </c>
      <c r="B1042">
        <f>ACE_Input!A82</f>
        <v>77</v>
      </c>
      <c r="C1042" s="6">
        <f>MOD(Settings!$B$17*(C1041),Settings!$B$18)</f>
        <v>466249740</v>
      </c>
      <c r="D1042" s="6">
        <f>MAX(C1042,1)/Settings!$B$18</f>
        <v>0.21711445423640052</v>
      </c>
      <c r="E1042" s="6">
        <f t="shared" si="34"/>
        <v>5</v>
      </c>
      <c r="F1042" s="6">
        <f>ACE_Input!D82</f>
        <v>534</v>
      </c>
      <c r="G1042" s="6">
        <f>MOD(Settings!$B$17*(G1041),Settings!$B$18)</f>
        <v>1700069022</v>
      </c>
      <c r="H1042" s="6">
        <f>MAX(G1042,1)/Settings!$B$18</f>
        <v>0.79165632966517296</v>
      </c>
      <c r="I1042" s="6">
        <f>-ACE_Input!W82*LN(H1042)</f>
        <v>0.93451163412718663</v>
      </c>
      <c r="J1042" s="6">
        <f>-ACE_Input!X82*LN(H1042)</f>
        <v>2.8035349023815597</v>
      </c>
      <c r="K1042" s="6">
        <f>ACE_Input!U82</f>
        <v>300</v>
      </c>
      <c r="L1042" s="6">
        <f>K1042*ACE_Input!V82</f>
        <v>75</v>
      </c>
    </row>
    <row r="1043" spans="1:12" x14ac:dyDescent="0.2">
      <c r="A1043">
        <f>9</f>
        <v>9</v>
      </c>
      <c r="B1043">
        <f>ACE_Input!A83</f>
        <v>78</v>
      </c>
      <c r="C1043" s="6">
        <f>MOD(Settings!$B$17*(C1042),Settings!$B$18)</f>
        <v>91552277</v>
      </c>
      <c r="D1043" s="6">
        <f>MAX(C1043,1)/Settings!$B$18</f>
        <v>4.2632351183626967E-2</v>
      </c>
      <c r="E1043" s="6">
        <f t="shared" si="34"/>
        <v>5</v>
      </c>
      <c r="F1043" s="6">
        <f>ACE_Input!D83</f>
        <v>539</v>
      </c>
      <c r="G1043" s="6">
        <f>MOD(Settings!$B$17*(G1042),Settings!$B$18)</f>
        <v>790129419</v>
      </c>
      <c r="H1043" s="6">
        <f>MAX(G1043,1)/Settings!$B$18</f>
        <v>0.3679326825625881</v>
      </c>
      <c r="I1043" s="6">
        <f>-ACE_Input!W83*LN(H1043)</f>
        <v>3.9994211414623777</v>
      </c>
      <c r="J1043" s="6">
        <f>-ACE_Input!X83*LN(H1043)</f>
        <v>11.998263424387133</v>
      </c>
      <c r="K1043" s="6">
        <f>ACE_Input!U83</f>
        <v>300</v>
      </c>
      <c r="L1043" s="6">
        <f>K1043*ACE_Input!V83</f>
        <v>75</v>
      </c>
    </row>
    <row r="1044" spans="1:12" x14ac:dyDescent="0.2">
      <c r="A1044">
        <f>9</f>
        <v>9</v>
      </c>
      <c r="B1044">
        <f>ACE_Input!A84</f>
        <v>79</v>
      </c>
      <c r="C1044" s="6">
        <f>MOD(Settings!$B$17*(C1043),Settings!$B$18)</f>
        <v>1120828287</v>
      </c>
      <c r="D1044" s="6">
        <f>MAX(C1044,1)/Settings!$B$18</f>
        <v>0.52192634321838915</v>
      </c>
      <c r="E1044" s="6">
        <f t="shared" si="34"/>
        <v>5</v>
      </c>
      <c r="F1044" s="6">
        <f>ACE_Input!D84</f>
        <v>544</v>
      </c>
      <c r="G1044" s="6">
        <f>MOD(Settings!$B$17*(G1043),Settings!$B$18)</f>
        <v>1813755732</v>
      </c>
      <c r="H1044" s="6">
        <f>MAX(G1044,1)/Settings!$B$18</f>
        <v>0.84459582941820655</v>
      </c>
      <c r="I1044" s="6">
        <f>-ACE_Input!W84*LN(H1044)</f>
        <v>0.67558829772690465</v>
      </c>
      <c r="J1044" s="6">
        <f>-ACE_Input!X84*LN(H1044)</f>
        <v>2.0267648931807138</v>
      </c>
      <c r="K1044" s="6">
        <f>ACE_Input!U84</f>
        <v>300</v>
      </c>
      <c r="L1044" s="6">
        <f>K1044*ACE_Input!V84</f>
        <v>75</v>
      </c>
    </row>
    <row r="1045" spans="1:12" x14ac:dyDescent="0.2">
      <c r="A1045">
        <f>9</f>
        <v>9</v>
      </c>
      <c r="B1045">
        <f>ACE_Input!A85</f>
        <v>80</v>
      </c>
      <c r="C1045" s="6">
        <f>MOD(Settings!$B$17*(C1044),Settings!$B$18)</f>
        <v>34468125</v>
      </c>
      <c r="D1045" s="6">
        <f>MAX(C1045,1)/Settings!$B$18</f>
        <v>1.6050471466058154E-2</v>
      </c>
      <c r="E1045" s="6">
        <f t="shared" si="34"/>
        <v>5</v>
      </c>
      <c r="F1045" s="6">
        <f>ACE_Input!D85</f>
        <v>549</v>
      </c>
      <c r="G1045" s="6">
        <f>MOD(Settings!$B$17*(G1044),Settings!$B$18)</f>
        <v>262218559</v>
      </c>
      <c r="H1045" s="6">
        <f>MAX(G1045,1)/Settings!$B$18</f>
        <v>0.12210503179677996</v>
      </c>
      <c r="I1045" s="6">
        <f>-ACE_Input!W85*LN(H1045)</f>
        <v>8.4114947530310697</v>
      </c>
      <c r="J1045" s="6">
        <f>-ACE_Input!X85*LN(H1045)</f>
        <v>25.234484259093207</v>
      </c>
      <c r="K1045" s="6">
        <f>ACE_Input!U85</f>
        <v>300</v>
      </c>
      <c r="L1045" s="6">
        <f>K1045*ACE_Input!V85</f>
        <v>75</v>
      </c>
    </row>
    <row r="1046" spans="1:12" x14ac:dyDescent="0.2">
      <c r="A1046">
        <f>9</f>
        <v>9</v>
      </c>
      <c r="B1046">
        <f>ACE_Input!A86</f>
        <v>81</v>
      </c>
      <c r="C1046" s="6">
        <f>MOD(Settings!$B$17*(C1045),Settings!$B$18)</f>
        <v>1632675832</v>
      </c>
      <c r="D1046" s="6">
        <f>MAX(C1046,1)/Settings!$B$18</f>
        <v>0.76027393003938437</v>
      </c>
      <c r="E1046" s="6">
        <f t="shared" si="34"/>
        <v>5</v>
      </c>
      <c r="F1046" s="6">
        <f>ACE_Input!D86</f>
        <v>554</v>
      </c>
      <c r="G1046" s="6">
        <f>MOD(Settings!$B$17*(G1045),Settings!$B$18)</f>
        <v>470877469</v>
      </c>
      <c r="H1046" s="6">
        <f>MAX(G1046,1)/Settings!$B$18</f>
        <v>0.21926940848085535</v>
      </c>
      <c r="I1046" s="6">
        <f>-ACE_Input!W86*LN(H1046)</f>
        <v>6.0698165180005033</v>
      </c>
      <c r="J1046" s="6">
        <f>-ACE_Input!X86*LN(H1046)</f>
        <v>18.209449554001509</v>
      </c>
      <c r="K1046" s="6">
        <f>ACE_Input!U86</f>
        <v>300</v>
      </c>
      <c r="L1046" s="6">
        <f>K1046*ACE_Input!V86</f>
        <v>75</v>
      </c>
    </row>
    <row r="1047" spans="1:12" x14ac:dyDescent="0.2">
      <c r="A1047">
        <f>9</f>
        <v>9</v>
      </c>
      <c r="B1047">
        <f>ACE_Input!A87</f>
        <v>82</v>
      </c>
      <c r="C1047" s="6">
        <f>MOD(Settings!$B$17*(C1046),Settings!$B$18)</f>
        <v>1984150705</v>
      </c>
      <c r="D1047" s="6">
        <f>MAX(C1047,1)/Settings!$B$18</f>
        <v>0.92394217193310246</v>
      </c>
      <c r="E1047" s="6">
        <f t="shared" si="34"/>
        <v>5</v>
      </c>
      <c r="F1047" s="6">
        <f>ACE_Input!D87</f>
        <v>559</v>
      </c>
      <c r="G1047" s="6">
        <f>MOD(Settings!$B$17*(G1046),Settings!$B$18)</f>
        <v>560382288</v>
      </c>
      <c r="H1047" s="6">
        <f>MAX(G1047,1)/Settings!$B$18</f>
        <v>0.26094833773604981</v>
      </c>
      <c r="I1047" s="6">
        <f>-ACE_Input!W87*LN(H1047)</f>
        <v>5.3737313238428586</v>
      </c>
      <c r="J1047" s="6">
        <f>-ACE_Input!X87*LN(H1047)</f>
        <v>16.121193971528577</v>
      </c>
      <c r="K1047" s="6">
        <f>ACE_Input!U87</f>
        <v>300</v>
      </c>
      <c r="L1047" s="6">
        <f>K1047*ACE_Input!V87</f>
        <v>75</v>
      </c>
    </row>
    <row r="1048" spans="1:12" x14ac:dyDescent="0.2">
      <c r="A1048">
        <f>9</f>
        <v>9</v>
      </c>
      <c r="B1048">
        <f>ACE_Input!A88</f>
        <v>83</v>
      </c>
      <c r="C1048" s="6">
        <f>MOD(Settings!$B$17*(C1047),Settings!$B$18)</f>
        <v>1494828319</v>
      </c>
      <c r="D1048" s="6">
        <f>MAX(C1048,1)/Settings!$B$18</f>
        <v>0.69608367965374318</v>
      </c>
      <c r="E1048" s="6">
        <f t="shared" si="34"/>
        <v>5</v>
      </c>
      <c r="F1048" s="6">
        <f>ACE_Input!D88</f>
        <v>564</v>
      </c>
      <c r="G1048" s="6">
        <f>MOD(Settings!$B$17*(G1047),Settings!$B$18)</f>
        <v>1629322321</v>
      </c>
      <c r="H1048" s="6">
        <f>MAX(G1048,1)/Settings!$B$18</f>
        <v>0.75871232978939651</v>
      </c>
      <c r="I1048" s="6">
        <f>-ACE_Input!W88*LN(H1048)</f>
        <v>1.1045303422597699</v>
      </c>
      <c r="J1048" s="6">
        <f>-ACE_Input!X88*LN(H1048)</f>
        <v>3.3135910267793096</v>
      </c>
      <c r="K1048" s="6">
        <f>ACE_Input!U88</f>
        <v>300</v>
      </c>
      <c r="L1048" s="6">
        <f>K1048*ACE_Input!V88</f>
        <v>75</v>
      </c>
    </row>
    <row r="1049" spans="1:12" x14ac:dyDescent="0.2">
      <c r="A1049">
        <f>9</f>
        <v>9</v>
      </c>
      <c r="B1049">
        <f>ACE_Input!A89</f>
        <v>84</v>
      </c>
      <c r="C1049" s="6">
        <f>MOD(Settings!$B$17*(C1048),Settings!$B$18)</f>
        <v>168371180</v>
      </c>
      <c r="D1049" s="6">
        <f>MAX(C1049,1)/Settings!$B$18</f>
        <v>7.8403940460832766E-2</v>
      </c>
      <c r="E1049" s="6">
        <f t="shared" si="34"/>
        <v>5</v>
      </c>
      <c r="F1049" s="6">
        <f>ACE_Input!D89</f>
        <v>569</v>
      </c>
      <c r="G1049" s="6">
        <f>MOD(Settings!$B$17*(G1048),Settings!$B$18)</f>
        <v>1456266150</v>
      </c>
      <c r="H1049" s="6">
        <f>MAX(G1049,1)/Settings!$B$18</f>
        <v>0.67812677038746272</v>
      </c>
      <c r="I1049" s="6">
        <f>-ACE_Input!W89*LN(H1049)</f>
        <v>1.5536841261883925</v>
      </c>
      <c r="J1049" s="6">
        <f>-ACE_Input!X89*LN(H1049)</f>
        <v>4.6610523785651772</v>
      </c>
      <c r="K1049" s="6">
        <f>ACE_Input!U89</f>
        <v>300</v>
      </c>
      <c r="L1049" s="6">
        <f>K1049*ACE_Input!V89</f>
        <v>75</v>
      </c>
    </row>
    <row r="1050" spans="1:12" x14ac:dyDescent="0.2">
      <c r="A1050">
        <f>9</f>
        <v>9</v>
      </c>
      <c r="B1050">
        <f>ACE_Input!A90</f>
        <v>85</v>
      </c>
      <c r="C1050" s="6">
        <f>MOD(Settings!$B$17*(C1049),Settings!$B$18)</f>
        <v>1578459161</v>
      </c>
      <c r="D1050" s="6">
        <f>MAX(C1050,1)/Settings!$B$18</f>
        <v>0.73502732521622782</v>
      </c>
      <c r="E1050" s="6">
        <f t="shared" si="34"/>
        <v>5</v>
      </c>
      <c r="F1050" s="6">
        <f>ACE_Input!D90</f>
        <v>574</v>
      </c>
      <c r="G1050" s="6">
        <f>MOD(Settings!$B$17*(G1049),Settings!$B$18)</f>
        <v>594058191</v>
      </c>
      <c r="H1050" s="6">
        <f>MAX(G1050,1)/Settings!$B$18</f>
        <v>0.27662990208558269</v>
      </c>
      <c r="I1050" s="6">
        <f>-ACE_Input!W90*LN(H1050)</f>
        <v>5.1402990388699292</v>
      </c>
      <c r="J1050" s="6">
        <f>-ACE_Input!X90*LN(H1050)</f>
        <v>15.420897116609787</v>
      </c>
      <c r="K1050" s="6">
        <f>ACE_Input!U90</f>
        <v>300</v>
      </c>
      <c r="L1050" s="6">
        <f>K1050*ACE_Input!V90</f>
        <v>75</v>
      </c>
    </row>
    <row r="1051" spans="1:12" x14ac:dyDescent="0.2">
      <c r="A1051">
        <f>9</f>
        <v>9</v>
      </c>
      <c r="B1051">
        <f>ACE_Input!A91</f>
        <v>86</v>
      </c>
      <c r="C1051" s="6">
        <f>MOD(Settings!$B$17*(C1050),Settings!$B$18)</f>
        <v>1297627536</v>
      </c>
      <c r="D1051" s="6">
        <f>MAX(C1051,1)/Settings!$B$18</f>
        <v>0.60425490914110791</v>
      </c>
      <c r="E1051" s="6">
        <f t="shared" si="34"/>
        <v>5</v>
      </c>
      <c r="F1051" s="6">
        <f>ACE_Input!D91</f>
        <v>579</v>
      </c>
      <c r="G1051" s="6">
        <f>MOD(Settings!$B$17*(G1050),Settings!$B$18)</f>
        <v>684541234</v>
      </c>
      <c r="H1051" s="6">
        <f>MAX(G1051,1)/Settings!$B$18</f>
        <v>0.31876435238810458</v>
      </c>
      <c r="I1051" s="6">
        <f>-ACE_Input!W91*LN(H1051)</f>
        <v>4.573212625693019</v>
      </c>
      <c r="J1051" s="6">
        <f>-ACE_Input!X91*LN(H1051)</f>
        <v>13.719637877079057</v>
      </c>
      <c r="K1051" s="6">
        <f>ACE_Input!U91</f>
        <v>300</v>
      </c>
      <c r="L1051" s="6">
        <f>K1051*ACE_Input!V91</f>
        <v>75</v>
      </c>
    </row>
    <row r="1052" spans="1:12" x14ac:dyDescent="0.2">
      <c r="A1052">
        <f>9</f>
        <v>9</v>
      </c>
      <c r="B1052">
        <f>ACE_Input!A92</f>
        <v>87</v>
      </c>
      <c r="C1052" s="6">
        <f>MOD(Settings!$B$17*(C1051),Settings!$B$18)</f>
        <v>1529562267</v>
      </c>
      <c r="D1052" s="6">
        <f>MAX(C1052,1)/Settings!$B$18</f>
        <v>0.7122579346002349</v>
      </c>
      <c r="E1052" s="6">
        <f t="shared" si="34"/>
        <v>5</v>
      </c>
      <c r="F1052" s="6">
        <f>ACE_Input!D92</f>
        <v>584</v>
      </c>
      <c r="G1052" s="6">
        <f>MOD(Settings!$B$17*(G1051),Settings!$B$18)</f>
        <v>1014622859</v>
      </c>
      <c r="H1052" s="6">
        <f>MAX(G1052,1)/Settings!$B$18</f>
        <v>0.47247058687381011</v>
      </c>
      <c r="I1052" s="6">
        <f>-ACE_Input!W92*LN(H1052)</f>
        <v>2.9991191359538787</v>
      </c>
      <c r="J1052" s="6">
        <f>-ACE_Input!X92*LN(H1052)</f>
        <v>8.9973574078616352</v>
      </c>
      <c r="K1052" s="6">
        <f>ACE_Input!U92</f>
        <v>300</v>
      </c>
      <c r="L1052" s="6">
        <f>K1052*ACE_Input!V92</f>
        <v>75</v>
      </c>
    </row>
    <row r="1053" spans="1:12" x14ac:dyDescent="0.2">
      <c r="A1053">
        <f>9</f>
        <v>9</v>
      </c>
      <c r="B1053">
        <f>ACE_Input!A93</f>
        <v>88</v>
      </c>
      <c r="C1053" s="6">
        <f>MOD(Settings!$B$17*(C1052),Settings!$B$18)</f>
        <v>1973766879</v>
      </c>
      <c r="D1053" s="6">
        <f>MAX(C1053,1)/Settings!$B$18</f>
        <v>0.91910682614851125</v>
      </c>
      <c r="E1053" s="6">
        <f t="shared" si="34"/>
        <v>5</v>
      </c>
      <c r="F1053" s="6">
        <f>ACE_Input!D93</f>
        <v>589</v>
      </c>
      <c r="G1053" s="6">
        <f>MOD(Settings!$B$17*(G1052),Settings!$B$18)</f>
        <v>1746234033</v>
      </c>
      <c r="H1053" s="6">
        <f>MAX(G1053,1)/Settings!$B$18</f>
        <v>0.81315358812601934</v>
      </c>
      <c r="I1053" s="6">
        <f>-ACE_Input!W93*LN(H1053)</f>
        <v>0.82734108796966011</v>
      </c>
      <c r="J1053" s="6">
        <f>-ACE_Input!X93*LN(H1053)</f>
        <v>2.4820232639089803</v>
      </c>
      <c r="K1053" s="6">
        <f>ACE_Input!U93</f>
        <v>300</v>
      </c>
      <c r="L1053" s="6">
        <f>K1053*ACE_Input!V93</f>
        <v>75</v>
      </c>
    </row>
    <row r="1054" spans="1:12" x14ac:dyDescent="0.2">
      <c r="A1054">
        <f>9</f>
        <v>9</v>
      </c>
      <c r="B1054">
        <f>ACE_Input!A94</f>
        <v>89</v>
      </c>
      <c r="C1054" s="6">
        <f>MOD(Settings!$B$17*(C1053),Settings!$B$18)</f>
        <v>920040144</v>
      </c>
      <c r="D1054" s="6">
        <f>MAX(C1054,1)/Settings!$B$18</f>
        <v>0.42842707802933971</v>
      </c>
      <c r="E1054" s="6">
        <f t="shared" si="34"/>
        <v>5</v>
      </c>
      <c r="F1054" s="6">
        <f>ACE_Input!D94</f>
        <v>594</v>
      </c>
      <c r="G1054" s="6">
        <f>MOD(Settings!$B$17*(G1053),Settings!$B$18)</f>
        <v>1443872729</v>
      </c>
      <c r="H1054" s="6">
        <f>MAX(G1054,1)/Settings!$B$18</f>
        <v>0.67235563400776854</v>
      </c>
      <c r="I1054" s="6">
        <f>-ACE_Input!W94*LN(H1054)</f>
        <v>1.5878714446863886</v>
      </c>
      <c r="J1054" s="6">
        <f>-ACE_Input!X94*LN(H1054)</f>
        <v>4.7636143340591657</v>
      </c>
      <c r="K1054" s="6">
        <f>ACE_Input!U94</f>
        <v>300</v>
      </c>
      <c r="L1054" s="6">
        <f>K1054*ACE_Input!V94</f>
        <v>75</v>
      </c>
    </row>
    <row r="1055" spans="1:12" x14ac:dyDescent="0.2">
      <c r="A1055">
        <f>9</f>
        <v>9</v>
      </c>
      <c r="B1055">
        <f>ACE_Input!A95</f>
        <v>90</v>
      </c>
      <c r="C1055" s="6">
        <f>MOD(Settings!$B$17*(C1054),Settings!$B$18)</f>
        <v>1232441808</v>
      </c>
      <c r="D1055" s="6">
        <f>MAX(C1055,1)/Settings!$B$18</f>
        <v>0.57390043911240085</v>
      </c>
      <c r="E1055" s="6">
        <f t="shared" si="34"/>
        <v>5</v>
      </c>
      <c r="F1055" s="6">
        <f>ACE_Input!D95</f>
        <v>599</v>
      </c>
      <c r="G1055" s="6">
        <f>MOD(Settings!$B$17*(G1054),Settings!$B$18)</f>
        <v>603745203</v>
      </c>
      <c r="H1055" s="6">
        <f>MAX(G1055,1)/Settings!$B$18</f>
        <v>0.28114076856576875</v>
      </c>
      <c r="I1055" s="6">
        <f>-ACE_Input!W95*LN(H1055)</f>
        <v>5.0755991173390642</v>
      </c>
      <c r="J1055" s="6">
        <f>-ACE_Input!X95*LN(H1055)</f>
        <v>15.226797352017194</v>
      </c>
      <c r="K1055" s="6">
        <f>ACE_Input!U95</f>
        <v>300</v>
      </c>
      <c r="L1055" s="6">
        <f>K1055*ACE_Input!V95</f>
        <v>75</v>
      </c>
    </row>
    <row r="1056" spans="1:12" x14ac:dyDescent="0.2">
      <c r="A1056">
        <f>9</f>
        <v>9</v>
      </c>
      <c r="B1056">
        <f>ACE_Input!A96</f>
        <v>91</v>
      </c>
      <c r="C1056" s="6">
        <f>MOD(Settings!$B$17*(C1055),Settings!$B$18)</f>
        <v>1169691741</v>
      </c>
      <c r="D1056" s="6">
        <f>MAX(C1056,1)/Settings!$B$18</f>
        <v>0.54468016212092718</v>
      </c>
      <c r="E1056" s="6">
        <f t="shared" si="34"/>
        <v>5</v>
      </c>
      <c r="F1056" s="6">
        <f>ACE_Input!D96</f>
        <v>604</v>
      </c>
      <c r="G1056" s="6">
        <f>MOD(Settings!$B$17*(G1055),Settings!$B$18)</f>
        <v>285394746</v>
      </c>
      <c r="H1056" s="6">
        <f>MAX(G1056,1)/Settings!$B$18</f>
        <v>0.13289728487511038</v>
      </c>
      <c r="I1056" s="6">
        <f>-ACE_Input!W96*LN(H1056)</f>
        <v>8.0727149732210428</v>
      </c>
      <c r="J1056" s="6">
        <f>-ACE_Input!X96*LN(H1056)</f>
        <v>24.218144919663128</v>
      </c>
      <c r="K1056" s="6">
        <f>ACE_Input!U96</f>
        <v>300</v>
      </c>
      <c r="L1056" s="6">
        <f>K1056*ACE_Input!V96</f>
        <v>75</v>
      </c>
    </row>
    <row r="1057" spans="1:12" x14ac:dyDescent="0.2">
      <c r="A1057">
        <f>9</f>
        <v>9</v>
      </c>
      <c r="B1057">
        <f>ACE_Input!A97</f>
        <v>92</v>
      </c>
      <c r="C1057" s="6">
        <f>MOD(Settings!$B$17*(C1056),Settings!$B$18)</f>
        <v>943786349</v>
      </c>
      <c r="D1057" s="6">
        <f>MAX(C1057,1)/Settings!$B$18</f>
        <v>0.43948476642346229</v>
      </c>
      <c r="E1057" s="6">
        <f t="shared" si="34"/>
        <v>5</v>
      </c>
      <c r="F1057" s="6">
        <f>ACE_Input!D97</f>
        <v>609</v>
      </c>
      <c r="G1057" s="6">
        <f>MOD(Settings!$B$17*(G1056),Settings!$B$18)</f>
        <v>1298512271</v>
      </c>
      <c r="H1057" s="6">
        <f>MAX(G1057,1)/Settings!$B$18</f>
        <v>0.60466689598032597</v>
      </c>
      <c r="I1057" s="6">
        <f>-ACE_Input!W97*LN(H1057)</f>
        <v>2.0123102309417895</v>
      </c>
      <c r="J1057" s="6">
        <f>-ACE_Input!X97*LN(H1057)</f>
        <v>6.0369306928253685</v>
      </c>
      <c r="K1057" s="6">
        <f>ACE_Input!U97</f>
        <v>300</v>
      </c>
      <c r="L1057" s="6">
        <f>K1057*ACE_Input!V97</f>
        <v>75</v>
      </c>
    </row>
    <row r="1058" spans="1:12" x14ac:dyDescent="0.2">
      <c r="A1058">
        <f>9</f>
        <v>9</v>
      </c>
      <c r="B1058">
        <f>ACE_Input!A98</f>
        <v>93</v>
      </c>
      <c r="C1058" s="6">
        <f>MOD(Settings!$B$17*(C1057),Settings!$B$18)</f>
        <v>902950901</v>
      </c>
      <c r="D1058" s="6">
        <f>MAX(C1058,1)/Settings!$B$18</f>
        <v>0.4204692791311393</v>
      </c>
      <c r="E1058" s="6">
        <f t="shared" si="34"/>
        <v>5</v>
      </c>
      <c r="F1058" s="6">
        <f>ACE_Input!D98</f>
        <v>614</v>
      </c>
      <c r="G1058" s="6">
        <f>MOD(Settings!$B$17*(G1057),Settings!$B$18)</f>
        <v>1366917883</v>
      </c>
      <c r="H1058" s="6">
        <f>MAX(G1058,1)/Settings!$B$18</f>
        <v>0.63652074133815273</v>
      </c>
      <c r="I1058" s="6">
        <f>-ACE_Input!W98*LN(H1058)</f>
        <v>1.8069530998682195</v>
      </c>
      <c r="J1058" s="6">
        <f>-ACE_Input!X98*LN(H1058)</f>
        <v>5.4208592996046585</v>
      </c>
      <c r="K1058" s="6">
        <f>ACE_Input!U98</f>
        <v>300</v>
      </c>
      <c r="L1058" s="6">
        <f>K1058*ACE_Input!V98</f>
        <v>75</v>
      </c>
    </row>
    <row r="1059" spans="1:12" x14ac:dyDescent="0.2">
      <c r="A1059">
        <f>9</f>
        <v>9</v>
      </c>
      <c r="B1059">
        <f>ACE_Input!A99</f>
        <v>94</v>
      </c>
      <c r="C1059" s="6">
        <f>MOD(Settings!$B$17*(C1058),Settings!$B$18)</f>
        <v>1776343405</v>
      </c>
      <c r="D1059" s="6">
        <f>MAX(C1059,1)/Settings!$B$18</f>
        <v>0.82717435705809594</v>
      </c>
      <c r="E1059" s="6">
        <f t="shared" si="34"/>
        <v>5</v>
      </c>
      <c r="F1059" s="6">
        <f>ACE_Input!D99</f>
        <v>619</v>
      </c>
      <c r="G1059" s="6">
        <f>MOD(Settings!$B$17*(G1058),Settings!$B$18)</f>
        <v>8803975</v>
      </c>
      <c r="H1059" s="6">
        <f>MAX(G1059,1)/Settings!$B$18</f>
        <v>4.0996703338342117E-3</v>
      </c>
      <c r="I1059" s="6">
        <f>-ACE_Input!W99*LN(H1059)</f>
        <v>21.987394859546164</v>
      </c>
      <c r="J1059" s="6">
        <f>-ACE_Input!X99*LN(H1059)</f>
        <v>65.962184578638499</v>
      </c>
      <c r="K1059" s="6">
        <f>ACE_Input!U99</f>
        <v>300</v>
      </c>
      <c r="L1059" s="6">
        <f>K1059*ACE_Input!V99</f>
        <v>75</v>
      </c>
    </row>
    <row r="1060" spans="1:12" x14ac:dyDescent="0.2">
      <c r="A1060">
        <f>9</f>
        <v>9</v>
      </c>
      <c r="B1060">
        <f>ACE_Input!A100</f>
        <v>95</v>
      </c>
      <c r="C1060" s="6">
        <f>MOD(Settings!$B$17*(C1059),Settings!$B$18)</f>
        <v>685947241</v>
      </c>
      <c r="D1060" s="6">
        <f>MAX(C1060,1)/Settings!$B$18</f>
        <v>0.31941907541799314</v>
      </c>
      <c r="E1060" s="6">
        <f t="shared" si="34"/>
        <v>5</v>
      </c>
      <c r="F1060" s="6">
        <f>ACE_Input!D100</f>
        <v>624</v>
      </c>
      <c r="G1060" s="6">
        <f>MOD(Settings!$B$17*(G1059),Settings!$B$18)</f>
        <v>1939519829</v>
      </c>
      <c r="H1060" s="6">
        <f>MAX(G1060,1)/Settings!$B$18</f>
        <v>0.90315930075159268</v>
      </c>
      <c r="I1060" s="6">
        <f>-ACE_Input!W100*LN(H1060)</f>
        <v>0.40742531332638815</v>
      </c>
      <c r="J1060" s="6">
        <f>-ACE_Input!X100*LN(H1060)</f>
        <v>1.2222759399791645</v>
      </c>
      <c r="K1060" s="6">
        <f>ACE_Input!U100</f>
        <v>300</v>
      </c>
      <c r="L1060" s="6">
        <f>K1060*ACE_Input!V100</f>
        <v>75</v>
      </c>
    </row>
    <row r="1061" spans="1:12" x14ac:dyDescent="0.2">
      <c r="A1061">
        <f>9</f>
        <v>9</v>
      </c>
      <c r="B1061">
        <f>ACE_Input!A101</f>
        <v>96</v>
      </c>
      <c r="C1061" s="6">
        <f>MOD(Settings!$B$17*(C1060),Settings!$B$18)</f>
        <v>1023062391</v>
      </c>
      <c r="D1061" s="6">
        <f>MAX(C1061,1)/Settings!$B$18</f>
        <v>0.47640055021103495</v>
      </c>
      <c r="E1061" s="6">
        <f t="shared" si="34"/>
        <v>5</v>
      </c>
      <c r="F1061" s="6">
        <f>ACE_Input!D101</f>
        <v>629</v>
      </c>
      <c r="G1061" s="6">
        <f>MOD(Settings!$B$17*(G1060),Settings!$B$18)</f>
        <v>855488190</v>
      </c>
      <c r="H1061" s="6">
        <f>MAX(G1061,1)/Settings!$B$18</f>
        <v>0.39836773201747228</v>
      </c>
      <c r="I1061" s="6">
        <f>-ACE_Input!W101*LN(H1061)</f>
        <v>3.6815190019357082</v>
      </c>
      <c r="J1061" s="6">
        <f>-ACE_Input!X101*LN(H1061)</f>
        <v>11.044557005807125</v>
      </c>
      <c r="K1061" s="6">
        <f>ACE_Input!U101</f>
        <v>300</v>
      </c>
      <c r="L1061" s="6">
        <f>K1061*ACE_Input!V101</f>
        <v>75</v>
      </c>
    </row>
    <row r="1062" spans="1:12" x14ac:dyDescent="0.2">
      <c r="A1062">
        <f>9</f>
        <v>9</v>
      </c>
      <c r="B1062">
        <f>ACE_Input!A102</f>
        <v>97</v>
      </c>
      <c r="C1062" s="6">
        <f>MOD(Settings!$B$17*(C1061),Settings!$B$18)</f>
        <v>1855527655</v>
      </c>
      <c r="D1062" s="6">
        <f>MAX(C1062,1)/Settings!$B$18</f>
        <v>0.86404739686476406</v>
      </c>
      <c r="E1062" s="6">
        <f t="shared" si="34"/>
        <v>5</v>
      </c>
      <c r="F1062" s="6">
        <f>ACE_Input!D102</f>
        <v>634</v>
      </c>
      <c r="G1062" s="6">
        <f>MOD(Settings!$B$17*(G1061),Settings!$B$18)</f>
        <v>786992665</v>
      </c>
      <c r="H1062" s="6">
        <f>MAX(G1062,1)/Settings!$B$18</f>
        <v>0.36647201765630022</v>
      </c>
      <c r="I1062" s="6">
        <f>-ACE_Input!W102*LN(H1062)</f>
        <v>4.0153324430308119</v>
      </c>
      <c r="J1062" s="6">
        <f>-ACE_Input!X102*LN(H1062)</f>
        <v>12.045997329092437</v>
      </c>
      <c r="K1062" s="6">
        <f>ACE_Input!U102</f>
        <v>300</v>
      </c>
      <c r="L1062" s="6">
        <f>K1062*ACE_Input!V102</f>
        <v>75</v>
      </c>
    </row>
    <row r="1063" spans="1:12" x14ac:dyDescent="0.2">
      <c r="A1063">
        <f>9</f>
        <v>9</v>
      </c>
      <c r="B1063">
        <f>ACE_Input!A103</f>
        <v>98</v>
      </c>
      <c r="C1063" s="6">
        <f>MOD(Settings!$B$17*(C1062),Settings!$B$18)</f>
        <v>95775851</v>
      </c>
      <c r="D1063" s="6">
        <f>MAX(C1063,1)/Settings!$B$18</f>
        <v>4.4599106090422301E-2</v>
      </c>
      <c r="E1063" s="6">
        <f t="shared" ref="E1063:E1065" si="35">F1063-F1062</f>
        <v>5</v>
      </c>
      <c r="F1063" s="6">
        <f>ACE_Input!D103</f>
        <v>639</v>
      </c>
      <c r="G1063" s="6">
        <f>MOD(Settings!$B$17*(G1062),Settings!$B$18)</f>
        <v>633938782</v>
      </c>
      <c r="H1063" s="6">
        <f>MAX(G1063,1)/Settings!$B$18</f>
        <v>0.29520074943788382</v>
      </c>
      <c r="I1063" s="6">
        <f>-ACE_Input!W103*LN(H1063)</f>
        <v>4.8803985900512936</v>
      </c>
      <c r="J1063" s="6">
        <f>-ACE_Input!X103*LN(H1063)</f>
        <v>14.641195770153882</v>
      </c>
      <c r="K1063" s="6">
        <f>ACE_Input!U103</f>
        <v>300</v>
      </c>
      <c r="L1063" s="6">
        <f>K1063*ACE_Input!V103</f>
        <v>75</v>
      </c>
    </row>
    <row r="1064" spans="1:12" x14ac:dyDescent="0.2">
      <c r="A1064">
        <f>9</f>
        <v>9</v>
      </c>
      <c r="B1064">
        <f>ACE_Input!A104</f>
        <v>99</v>
      </c>
      <c r="C1064" s="6">
        <f>MOD(Settings!$B$17*(C1063),Settings!$B$18)</f>
        <v>1239476154</v>
      </c>
      <c r="D1064" s="6">
        <f>MAX(C1064,1)/Settings!$B$18</f>
        <v>0.57717606172765423</v>
      </c>
      <c r="E1064" s="6">
        <f t="shared" si="35"/>
        <v>45</v>
      </c>
      <c r="F1064" s="6">
        <f>ACE_Input!D104</f>
        <v>684</v>
      </c>
      <c r="G1064" s="6">
        <f>MOD(Settings!$B$17*(G1063),Settings!$B$18)</f>
        <v>942736307</v>
      </c>
      <c r="H1064" s="6">
        <f>MAX(G1064,1)/Settings!$B$18</f>
        <v>0.43899580251378745</v>
      </c>
      <c r="I1064" s="6">
        <f>-ACE_Input!W104*LN(H1064)</f>
        <v>3.2930617096987489</v>
      </c>
      <c r="J1064" s="6">
        <f>-ACE_Input!X104*LN(H1064)</f>
        <v>9.8791851290962462</v>
      </c>
      <c r="K1064" s="6">
        <f>ACE_Input!U104</f>
        <v>300</v>
      </c>
      <c r="L1064" s="6">
        <f>K1064*ACE_Input!V104</f>
        <v>75</v>
      </c>
    </row>
    <row r="1065" spans="1:12" x14ac:dyDescent="0.2">
      <c r="A1065">
        <f>9</f>
        <v>9</v>
      </c>
      <c r="B1065">
        <f>ACE_Input!A105</f>
        <v>100</v>
      </c>
      <c r="C1065" s="6">
        <f>MOD(Settings!$B$17*(C1064),Settings!$B$18)</f>
        <v>1284344378</v>
      </c>
      <c r="D1065" s="6">
        <f>MAX(C1065,1)/Settings!$B$18</f>
        <v>0.59806945668443545</v>
      </c>
      <c r="E1065" s="6">
        <f t="shared" si="35"/>
        <v>5</v>
      </c>
      <c r="F1065" s="6">
        <f>ACE_Input!D105</f>
        <v>689</v>
      </c>
      <c r="G1065" s="6">
        <f>MOD(Settings!$B$17*(G1064),Settings!$B$18)</f>
        <v>434764183</v>
      </c>
      <c r="H1065" s="6">
        <f>MAX(G1065,1)/Settings!$B$18</f>
        <v>0.20245284922535198</v>
      </c>
      <c r="I1065" s="6">
        <f>-ACE_Input!W105*LN(H1065)</f>
        <v>6.3889930515174225</v>
      </c>
      <c r="J1065" s="6">
        <f>-ACE_Input!X105*LN(H1065)</f>
        <v>19.166979154552266</v>
      </c>
      <c r="K1065" s="6">
        <f>ACE_Input!U105</f>
        <v>300</v>
      </c>
      <c r="L1065" s="6">
        <f>K1065*ACE_Input!V105</f>
        <v>75</v>
      </c>
    </row>
    <row r="1066" spans="1:12" x14ac:dyDescent="0.2">
      <c r="C1066" s="6"/>
      <c r="D1066" s="6"/>
      <c r="E1066" s="6"/>
      <c r="F1066" s="6"/>
      <c r="G1066" s="6"/>
      <c r="H1066" s="6"/>
      <c r="I1066" s="6"/>
      <c r="J1066" s="6"/>
      <c r="K1066" s="6"/>
      <c r="L1066" s="6"/>
    </row>
    <row r="1067" spans="1:12" x14ac:dyDescent="0.2">
      <c r="C1067" s="6"/>
      <c r="D1067" s="6"/>
      <c r="E1067" s="6"/>
      <c r="F1067" s="6"/>
      <c r="G1067" s="6"/>
      <c r="H1067" s="6"/>
      <c r="I1067" s="6"/>
      <c r="J1067" s="6"/>
      <c r="K1067" s="6"/>
      <c r="L1067" s="6"/>
    </row>
    <row r="1068" spans="1:12" x14ac:dyDescent="0.2">
      <c r="C1068" s="6"/>
      <c r="D1068" s="6"/>
      <c r="E1068" s="6"/>
      <c r="F1068" s="6"/>
      <c r="G1068" s="6"/>
      <c r="H1068" s="6"/>
      <c r="I1068" s="6"/>
      <c r="J1068" s="6"/>
      <c r="K1068" s="6"/>
      <c r="L1068" s="6"/>
    </row>
    <row r="1069" spans="1:12" x14ac:dyDescent="0.2">
      <c r="C1069" s="6"/>
      <c r="D1069" s="6"/>
      <c r="E1069" s="6"/>
      <c r="F1069" s="6"/>
      <c r="G1069" s="6"/>
      <c r="H1069" s="6"/>
      <c r="I1069" s="6"/>
      <c r="J1069" s="6"/>
      <c r="K1069" s="6"/>
      <c r="L1069" s="6"/>
    </row>
    <row r="1070" spans="1:12" x14ac:dyDescent="0.2">
      <c r="C1070" s="6"/>
      <c r="D1070" s="6"/>
      <c r="E1070" s="6"/>
      <c r="F1070" s="6"/>
      <c r="G1070" s="6"/>
      <c r="H1070" s="6"/>
      <c r="I1070" s="6"/>
      <c r="J1070" s="6"/>
      <c r="K1070" s="6"/>
      <c r="L1070" s="6"/>
    </row>
    <row r="1071" spans="1:12" x14ac:dyDescent="0.2">
      <c r="C1071" s="6"/>
      <c r="D1071" s="6"/>
      <c r="E1071" s="6"/>
      <c r="F1071" s="6"/>
      <c r="G1071" s="6"/>
      <c r="H1071" s="6"/>
      <c r="I1071" s="6"/>
      <c r="J1071" s="6"/>
      <c r="K1071" s="6"/>
      <c r="L1071" s="6"/>
    </row>
    <row r="1072" spans="1:12" x14ac:dyDescent="0.2">
      <c r="C1072" s="6"/>
      <c r="D1072" s="6"/>
      <c r="E1072" s="6"/>
      <c r="F1072" s="6"/>
      <c r="G1072" s="6"/>
      <c r="H1072" s="6"/>
      <c r="I1072" s="6"/>
      <c r="J1072" s="6"/>
      <c r="K1072" s="6"/>
      <c r="L1072" s="6"/>
    </row>
    <row r="1073" spans="1:12" x14ac:dyDescent="0.2">
      <c r="C1073" s="6"/>
      <c r="D1073" s="6"/>
      <c r="E1073" s="6"/>
      <c r="F1073" s="6"/>
      <c r="G1073" s="6"/>
      <c r="H1073" s="6"/>
      <c r="I1073" s="6"/>
      <c r="J1073" s="6"/>
      <c r="K1073" s="6"/>
      <c r="L1073" s="6"/>
    </row>
    <row r="1074" spans="1:12" x14ac:dyDescent="0.2">
      <c r="C1074" s="6"/>
      <c r="D1074" s="6"/>
      <c r="E1074" s="6"/>
      <c r="F1074" s="6"/>
      <c r="G1074" s="6"/>
      <c r="H1074" s="6"/>
      <c r="I1074" s="6"/>
      <c r="J1074" s="6"/>
      <c r="K1074" s="6"/>
      <c r="L1074" s="6"/>
    </row>
    <row r="1075" spans="1:12" x14ac:dyDescent="0.2">
      <c r="C1075" s="6"/>
      <c r="D1075" s="6"/>
      <c r="E1075" s="6"/>
      <c r="F1075" s="6"/>
      <c r="G1075" s="6"/>
      <c r="H1075" s="6"/>
      <c r="I1075" s="6"/>
      <c r="J1075" s="6"/>
      <c r="K1075" s="6"/>
      <c r="L1075" s="6"/>
    </row>
    <row r="1076" spans="1:12" x14ac:dyDescent="0.2">
      <c r="C1076" s="6"/>
      <c r="D1076" s="6"/>
      <c r="E1076" s="6"/>
      <c r="F1076" s="6"/>
      <c r="G1076" s="6"/>
      <c r="H1076" s="6"/>
      <c r="I1076" s="6"/>
      <c r="J1076" s="6"/>
      <c r="K1076" s="6"/>
      <c r="L1076" s="6"/>
    </row>
    <row r="1077" spans="1:12" x14ac:dyDescent="0.2">
      <c r="C1077" s="6"/>
      <c r="D1077" s="6"/>
      <c r="E1077" s="6"/>
      <c r="F1077" s="6"/>
      <c r="G1077" s="6"/>
      <c r="H1077" s="6"/>
      <c r="I1077" s="6"/>
      <c r="J1077" s="6"/>
      <c r="K1077" s="6"/>
      <c r="L1077" s="6"/>
    </row>
    <row r="1078" spans="1:12" x14ac:dyDescent="0.2">
      <c r="C1078" s="6"/>
      <c r="D1078" s="6"/>
      <c r="E1078" s="6"/>
      <c r="F1078" s="6"/>
      <c r="G1078" s="6"/>
      <c r="H1078" s="6"/>
      <c r="I1078" s="6"/>
      <c r="J1078" s="6"/>
      <c r="K1078" s="6"/>
      <c r="L1078" s="6"/>
    </row>
    <row r="1079" spans="1:12" x14ac:dyDescent="0.2">
      <c r="C1079" s="6"/>
      <c r="D1079" s="6"/>
      <c r="E1079" s="6"/>
      <c r="F1079" s="6"/>
      <c r="G1079" s="6"/>
      <c r="H1079" s="6"/>
      <c r="I1079" s="6"/>
      <c r="J1079" s="6"/>
      <c r="K1079" s="6"/>
      <c r="L1079" s="6"/>
    </row>
    <row r="1080" spans="1:12" x14ac:dyDescent="0.2">
      <c r="C1080" s="6"/>
      <c r="D1080" s="6"/>
      <c r="E1080" s="6"/>
      <c r="F1080" s="6"/>
      <c r="G1080" s="6"/>
      <c r="H1080" s="6"/>
      <c r="I1080" s="6"/>
      <c r="J1080" s="6"/>
      <c r="K1080" s="6"/>
      <c r="L1080" s="6"/>
    </row>
    <row r="1081" spans="1:12" x14ac:dyDescent="0.2">
      <c r="C1081" s="6"/>
      <c r="D1081" s="6"/>
      <c r="E1081" s="6"/>
      <c r="F1081" s="6"/>
      <c r="G1081" s="6"/>
      <c r="H1081" s="6"/>
      <c r="I1081" s="6"/>
      <c r="J1081" s="6"/>
      <c r="K1081" s="6"/>
      <c r="L1081" s="6"/>
    </row>
    <row r="1082" spans="1:12" x14ac:dyDescent="0.2">
      <c r="C1082" s="6"/>
      <c r="D1082" s="6"/>
      <c r="E1082" s="6"/>
      <c r="F1082" s="6"/>
      <c r="G1082" s="6"/>
      <c r="H1082" s="6"/>
      <c r="I1082" s="6"/>
      <c r="J1082" s="6"/>
      <c r="K1082" s="6"/>
      <c r="L1082" s="6"/>
    </row>
    <row r="1083" spans="1:12" x14ac:dyDescent="0.2">
      <c r="C1083" s="6"/>
      <c r="D1083" s="6"/>
      <c r="E1083" s="6"/>
      <c r="F1083" s="6"/>
      <c r="G1083" s="6"/>
      <c r="H1083" s="6"/>
      <c r="I1083" s="6"/>
      <c r="J1083" s="6"/>
      <c r="K1083" s="6"/>
      <c r="L1083" s="6"/>
    </row>
    <row r="1084" spans="1:12" x14ac:dyDescent="0.2">
      <c r="C1084" s="6"/>
      <c r="D1084" s="6"/>
      <c r="E1084" s="6"/>
      <c r="F1084" s="6"/>
      <c r="G1084" s="6"/>
      <c r="H1084" s="6"/>
      <c r="I1084" s="6"/>
      <c r="J1084" s="6"/>
      <c r="K1084" s="6"/>
      <c r="L1084" s="6"/>
    </row>
    <row r="1085" spans="1:12" x14ac:dyDescent="0.2">
      <c r="C1085" s="6"/>
      <c r="D1085" s="6"/>
      <c r="E1085" s="6"/>
      <c r="F1085" s="6"/>
      <c r="G1085" s="6"/>
      <c r="H1085" s="6"/>
      <c r="I1085" s="6"/>
      <c r="J1085" s="6"/>
      <c r="K1085" s="6"/>
      <c r="L1085" s="6"/>
    </row>
    <row r="1086" spans="1:12" x14ac:dyDescent="0.2">
      <c r="A1086">
        <f>10</f>
        <v>10</v>
      </c>
      <c r="B1086">
        <f>ACE_Input!A6</f>
        <v>1</v>
      </c>
      <c r="C1086" s="6">
        <f>MOD(Settings!$B$17*(Settings!$B$15+1000*A1086),Settings!$B$18)</f>
        <v>375552415</v>
      </c>
      <c r="D1086" s="6">
        <f>MAX(C1086,1)/Settings!$B$18</f>
        <v>0.17488022110186527</v>
      </c>
      <c r="E1086" s="6">
        <f>F1086</f>
        <v>2</v>
      </c>
      <c r="F1086" s="6">
        <f>ACE_Input!D6</f>
        <v>2</v>
      </c>
      <c r="G1086" s="6">
        <f>MOD(Settings!$B$17*(Settings!$B$16+1000*A1086),Settings!$B$18)</f>
        <v>1081043047</v>
      </c>
      <c r="H1086" s="6">
        <f>MAX(G1086,1)/Settings!$B$18</f>
        <v>0.5033998971355147</v>
      </c>
      <c r="I1086" s="6">
        <f>-ACE_Input!W6*LN(H1086)</f>
        <v>2.7454816024816187</v>
      </c>
      <c r="J1086" s="6">
        <f>-ACE_Input!X6*LN(H1086)</f>
        <v>8.2364448074448564</v>
      </c>
      <c r="K1086" s="6">
        <f>ACE_Input!U6</f>
        <v>300</v>
      </c>
      <c r="L1086" s="6">
        <f>K1086*ACE_Input!V6</f>
        <v>75</v>
      </c>
    </row>
    <row r="1087" spans="1:12" x14ac:dyDescent="0.2">
      <c r="A1087">
        <f>10</f>
        <v>10</v>
      </c>
      <c r="B1087">
        <f>ACE_Input!A7</f>
        <v>2</v>
      </c>
      <c r="C1087" s="6">
        <f>MOD(Settings!$B$17*(C1086),Settings!$B$18)</f>
        <v>455000372</v>
      </c>
      <c r="D1087" s="6">
        <f>MAX(C1087,1)/Settings!$B$18</f>
        <v>0.21187605904968271</v>
      </c>
      <c r="E1087" s="6">
        <f t="shared" ref="E1087:E1118" si="36">F1087-F1086</f>
        <v>5</v>
      </c>
      <c r="F1087" s="6">
        <f>ACE_Input!D7</f>
        <v>7</v>
      </c>
      <c r="G1087" s="6">
        <f>MOD(Settings!$B$17*(G1086),Settings!$B$18)</f>
        <v>1378837309</v>
      </c>
      <c r="H1087" s="6">
        <f>MAX(G1087,1)/Settings!$B$18</f>
        <v>0.64207115659586678</v>
      </c>
      <c r="I1087" s="6">
        <f>-ACE_Input!W7*LN(H1087)</f>
        <v>1.7722245824596172</v>
      </c>
      <c r="J1087" s="6">
        <f>-ACE_Input!X7*LN(H1087)</f>
        <v>5.3166737473788519</v>
      </c>
      <c r="K1087" s="6">
        <f>ACE_Input!U7</f>
        <v>300</v>
      </c>
      <c r="L1087" s="6">
        <f>K1087*ACE_Input!V7</f>
        <v>75</v>
      </c>
    </row>
    <row r="1088" spans="1:12" x14ac:dyDescent="0.2">
      <c r="A1088">
        <f>10</f>
        <v>10</v>
      </c>
      <c r="B1088">
        <f>ACE_Input!A8</f>
        <v>3</v>
      </c>
      <c r="C1088" s="6">
        <f>MOD(Settings!$B$17*(C1087),Settings!$B$18)</f>
        <v>1985237</v>
      </c>
      <c r="D1088" s="6">
        <f>MAX(C1088,1)/Settings!$B$18</f>
        <v>9.2444801746143401E-4</v>
      </c>
      <c r="E1088" s="6">
        <f t="shared" si="36"/>
        <v>25</v>
      </c>
      <c r="F1088" s="6">
        <f>ACE_Input!D8</f>
        <v>32</v>
      </c>
      <c r="G1088" s="6">
        <f>MOD(Settings!$B$17*(G1087),Settings!$B$18)</f>
        <v>622617586</v>
      </c>
      <c r="H1088" s="6">
        <f>MAX(G1088,1)/Settings!$B$18</f>
        <v>0.28992890673220573</v>
      </c>
      <c r="I1088" s="6">
        <f>-ACE_Input!W8*LN(H1088)</f>
        <v>4.9524781410195393</v>
      </c>
      <c r="J1088" s="6">
        <f>-ACE_Input!X8*LN(H1088)</f>
        <v>14.857434423058617</v>
      </c>
      <c r="K1088" s="6">
        <f>ACE_Input!U8</f>
        <v>300</v>
      </c>
      <c r="L1088" s="6">
        <f>K1088*ACE_Input!V8</f>
        <v>75</v>
      </c>
    </row>
    <row r="1089" spans="1:12" x14ac:dyDescent="0.2">
      <c r="A1089">
        <f>10</f>
        <v>10</v>
      </c>
      <c r="B1089">
        <f>ACE_Input!A9</f>
        <v>4</v>
      </c>
      <c r="C1089" s="6">
        <f>MOD(Settings!$B$17*(C1088),Settings!$B$18)</f>
        <v>1153623554</v>
      </c>
      <c r="D1089" s="6">
        <f>MAX(C1089,1)/Settings!$B$18</f>
        <v>0.53719782947432149</v>
      </c>
      <c r="E1089" s="6">
        <f t="shared" si="36"/>
        <v>5</v>
      </c>
      <c r="F1089" s="6">
        <f>ACE_Input!D9</f>
        <v>37</v>
      </c>
      <c r="G1089" s="6">
        <f>MOD(Settings!$B$17*(G1088),Settings!$B$18)</f>
        <v>1793439718</v>
      </c>
      <c r="H1089" s="6">
        <f>MAX(G1089,1)/Settings!$B$18</f>
        <v>0.83513544818159913</v>
      </c>
      <c r="I1089" s="6">
        <f>-ACE_Input!W9*LN(H1089)</f>
        <v>0.72064541558125761</v>
      </c>
      <c r="J1089" s="6">
        <f>-ACE_Input!X9*LN(H1089)</f>
        <v>2.1619362467437728</v>
      </c>
      <c r="K1089" s="6">
        <f>ACE_Input!U9</f>
        <v>300</v>
      </c>
      <c r="L1089" s="6">
        <f>K1089*ACE_Input!V9</f>
        <v>75</v>
      </c>
    </row>
    <row r="1090" spans="1:12" x14ac:dyDescent="0.2">
      <c r="A1090">
        <f>10</f>
        <v>10</v>
      </c>
      <c r="B1090">
        <f>ACE_Input!A10</f>
        <v>5</v>
      </c>
      <c r="C1090" s="6">
        <f>MOD(Settings!$B$17*(C1089),Settings!$B$18)</f>
        <v>1468706962</v>
      </c>
      <c r="D1090" s="6">
        <f>MAX(C1090,1)/Settings!$B$18</f>
        <v>0.68391997492123391</v>
      </c>
      <c r="E1090" s="6">
        <f t="shared" si="36"/>
        <v>5</v>
      </c>
      <c r="F1090" s="6">
        <f>ACE_Input!D10</f>
        <v>42</v>
      </c>
      <c r="G1090" s="6">
        <f>MOD(Settings!$B$17*(G1089),Settings!$B$18)</f>
        <v>260871134</v>
      </c>
      <c r="H1090" s="6">
        <f>MAX(G1090,1)/Settings!$B$18</f>
        <v>0.12147758813643715</v>
      </c>
      <c r="I1090" s="6">
        <f>-ACE_Input!W10*LN(H1090)</f>
        <v>8.4321019719949692</v>
      </c>
      <c r="J1090" s="6">
        <f>-ACE_Input!X10*LN(H1090)</f>
        <v>25.29630591598491</v>
      </c>
      <c r="K1090" s="6">
        <f>ACE_Input!U10</f>
        <v>300</v>
      </c>
      <c r="L1090" s="6">
        <f>K1090*ACE_Input!V10</f>
        <v>75</v>
      </c>
    </row>
    <row r="1091" spans="1:12" x14ac:dyDescent="0.2">
      <c r="A1091">
        <f>10</f>
        <v>10</v>
      </c>
      <c r="B1091">
        <f>ACE_Input!A11</f>
        <v>6</v>
      </c>
      <c r="C1091" s="6">
        <f>MOD(Settings!$B$17*(C1090),Settings!$B$18)</f>
        <v>1380871716</v>
      </c>
      <c r="D1091" s="6">
        <f>MAX(C1091,1)/Settings!$B$18</f>
        <v>0.64301850117883574</v>
      </c>
      <c r="E1091" s="6">
        <f t="shared" si="36"/>
        <v>5</v>
      </c>
      <c r="F1091" s="6">
        <f>ACE_Input!D11</f>
        <v>47</v>
      </c>
      <c r="G1091" s="6">
        <f>MOD(Settings!$B$17*(G1090),Settings!$B$18)</f>
        <v>1447025611</v>
      </c>
      <c r="H1091" s="6">
        <f>MAX(G1091,1)/Settings!$B$18</f>
        <v>0.67382380909930162</v>
      </c>
      <c r="I1091" s="6">
        <f>-ACE_Input!W11*LN(H1091)</f>
        <v>1.5791464523019758</v>
      </c>
      <c r="J1091" s="6">
        <f>-ACE_Input!X11*LN(H1091)</f>
        <v>4.7374393569059272</v>
      </c>
      <c r="K1091" s="6">
        <f>ACE_Input!U11</f>
        <v>300</v>
      </c>
      <c r="L1091" s="6">
        <f>K1091*ACE_Input!V11</f>
        <v>75</v>
      </c>
    </row>
    <row r="1092" spans="1:12" x14ac:dyDescent="0.2">
      <c r="A1092">
        <f>10</f>
        <v>10</v>
      </c>
      <c r="B1092">
        <f>ACE_Input!A12</f>
        <v>7</v>
      </c>
      <c r="C1092" s="6">
        <f>MOD(Settings!$B$17*(C1091),Settings!$B$18)</f>
        <v>455157683</v>
      </c>
      <c r="D1092" s="6">
        <f>MAX(C1092,1)/Settings!$B$18</f>
        <v>0.21194931269248449</v>
      </c>
      <c r="E1092" s="6">
        <f t="shared" si="36"/>
        <v>5</v>
      </c>
      <c r="F1092" s="6">
        <f>ACE_Input!D12</f>
        <v>52</v>
      </c>
      <c r="G1092" s="6">
        <f>MOD(Settings!$B$17*(G1091),Settings!$B$18)</f>
        <v>2054625449</v>
      </c>
      <c r="H1092" s="6">
        <f>MAX(G1092,1)/Settings!$B$18</f>
        <v>0.95675953196210761</v>
      </c>
      <c r="I1092" s="6">
        <f>-ACE_Input!W12*LN(H1092)</f>
        <v>0.17681276748136582</v>
      </c>
      <c r="J1092" s="6">
        <f>-ACE_Input!X12*LN(H1092)</f>
        <v>0.53043830244409751</v>
      </c>
      <c r="K1092" s="6">
        <f>ACE_Input!U12</f>
        <v>300</v>
      </c>
      <c r="L1092" s="6">
        <f>K1092*ACE_Input!V12</f>
        <v>75</v>
      </c>
    </row>
    <row r="1093" spans="1:12" x14ac:dyDescent="0.2">
      <c r="A1093">
        <f>10</f>
        <v>10</v>
      </c>
      <c r="B1093">
        <f>ACE_Input!A13</f>
        <v>8</v>
      </c>
      <c r="C1093" s="6">
        <f>MOD(Settings!$B$17*(C1092),Settings!$B$18)</f>
        <v>498427567</v>
      </c>
      <c r="D1093" s="6">
        <f>MAX(C1093,1)/Settings!$B$18</f>
        <v>0.2320984225869637</v>
      </c>
      <c r="E1093" s="6">
        <f t="shared" si="36"/>
        <v>5</v>
      </c>
      <c r="F1093" s="6">
        <f>ACE_Input!D13</f>
        <v>57</v>
      </c>
      <c r="G1093" s="6">
        <f>MOD(Settings!$B$17*(G1092),Settings!$B$18)</f>
        <v>552877583</v>
      </c>
      <c r="H1093" s="6">
        <f>MAX(G1093,1)/Settings!$B$18</f>
        <v>0.25745368714325767</v>
      </c>
      <c r="I1093" s="6">
        <f>-ACE_Input!W13*LN(H1093)</f>
        <v>5.4276617232346842</v>
      </c>
      <c r="J1093" s="6">
        <f>-ACE_Input!X13*LN(H1093)</f>
        <v>16.282985169704052</v>
      </c>
      <c r="K1093" s="6">
        <f>ACE_Input!U13</f>
        <v>300</v>
      </c>
      <c r="L1093" s="6">
        <f>K1093*ACE_Input!V13</f>
        <v>75</v>
      </c>
    </row>
    <row r="1094" spans="1:12" x14ac:dyDescent="0.2">
      <c r="A1094">
        <f>10</f>
        <v>10</v>
      </c>
      <c r="B1094">
        <f>ACE_Input!A14</f>
        <v>9</v>
      </c>
      <c r="C1094" s="6">
        <f>MOD(Settings!$B$17*(C1093),Settings!$B$18)</f>
        <v>1885895269</v>
      </c>
      <c r="D1094" s="6">
        <f>MAX(C1094,1)/Settings!$B$18</f>
        <v>0.87818841909905354</v>
      </c>
      <c r="E1094" s="6">
        <f t="shared" si="36"/>
        <v>115</v>
      </c>
      <c r="F1094" s="6">
        <f>ACE_Input!D14</f>
        <v>172</v>
      </c>
      <c r="G1094" s="6">
        <f>MOD(Settings!$B$17*(G1093),Settings!$B$18)</f>
        <v>51796912</v>
      </c>
      <c r="H1094" s="6">
        <f>MAX(G1094,1)/Settings!$B$18</f>
        <v>2.4119816731717352E-2</v>
      </c>
      <c r="I1094" s="6">
        <f>-ACE_Input!W14*LN(H1094)</f>
        <v>14.8988860213581</v>
      </c>
      <c r="J1094" s="6">
        <f>-ACE_Input!X14*LN(H1094)</f>
        <v>44.696658064074299</v>
      </c>
      <c r="K1094" s="6">
        <f>ACE_Input!U14</f>
        <v>300</v>
      </c>
      <c r="L1094" s="6">
        <f>K1094*ACE_Input!V14</f>
        <v>75</v>
      </c>
    </row>
    <row r="1095" spans="1:12" x14ac:dyDescent="0.2">
      <c r="A1095">
        <f>10</f>
        <v>10</v>
      </c>
      <c r="B1095">
        <f>ACE_Input!A15</f>
        <v>10</v>
      </c>
      <c r="C1095" s="6">
        <f>MOD(Settings!$B$17*(C1094),Settings!$B$18)</f>
        <v>1530640010</v>
      </c>
      <c r="D1095" s="6">
        <f>MAX(C1095,1)/Settings!$B$18</f>
        <v>0.71275979779323551</v>
      </c>
      <c r="E1095" s="6">
        <f t="shared" si="36"/>
        <v>5</v>
      </c>
      <c r="F1095" s="6">
        <f>ACE_Input!D15</f>
        <v>177</v>
      </c>
      <c r="G1095" s="6">
        <f>MOD(Settings!$B$17*(G1094),Settings!$B$18)</f>
        <v>819822949</v>
      </c>
      <c r="H1095" s="6">
        <f>MAX(G1095,1)/Settings!$B$18</f>
        <v>0.38175980997353781</v>
      </c>
      <c r="I1095" s="6">
        <f>-ACE_Input!W15*LN(H1095)</f>
        <v>3.851854551347651</v>
      </c>
      <c r="J1095" s="6">
        <f>-ACE_Input!X15*LN(H1095)</f>
        <v>11.555563654042952</v>
      </c>
      <c r="K1095" s="6">
        <f>ACE_Input!U15</f>
        <v>300</v>
      </c>
      <c r="L1095" s="6">
        <f>K1095*ACE_Input!V15</f>
        <v>75</v>
      </c>
    </row>
    <row r="1096" spans="1:12" x14ac:dyDescent="0.2">
      <c r="A1096">
        <f>10</f>
        <v>10</v>
      </c>
      <c r="B1096">
        <f>ACE_Input!A16</f>
        <v>11</v>
      </c>
      <c r="C1096" s="6">
        <f>MOD(Settings!$B$17*(C1095),Settings!$B$18)</f>
        <v>760040657</v>
      </c>
      <c r="D1096" s="6">
        <f>MAX(C1096,1)/Settings!$B$18</f>
        <v>0.35392151090964746</v>
      </c>
      <c r="E1096" s="6">
        <f t="shared" si="36"/>
        <v>5</v>
      </c>
      <c r="F1096" s="6">
        <f>ACE_Input!D16</f>
        <v>182</v>
      </c>
      <c r="G1096" s="6">
        <f>MOD(Settings!$B$17*(G1095),Settings!$B$18)</f>
        <v>509224691</v>
      </c>
      <c r="H1096" s="6">
        <f>MAX(G1096,1)/Settings!$B$18</f>
        <v>0.23712622525036625</v>
      </c>
      <c r="I1096" s="6">
        <f>-ACE_Input!W16*LN(H1096)</f>
        <v>5.7566507345312274</v>
      </c>
      <c r="J1096" s="6">
        <f>-ACE_Input!X16*LN(H1096)</f>
        <v>17.269952203593682</v>
      </c>
      <c r="K1096" s="6">
        <f>ACE_Input!U16</f>
        <v>300</v>
      </c>
      <c r="L1096" s="6">
        <f>K1096*ACE_Input!V16</f>
        <v>75</v>
      </c>
    </row>
    <row r="1097" spans="1:12" x14ac:dyDescent="0.2">
      <c r="A1097">
        <f>10</f>
        <v>10</v>
      </c>
      <c r="B1097">
        <f>ACE_Input!A17</f>
        <v>12</v>
      </c>
      <c r="C1097" s="6">
        <f>MOD(Settings!$B$17*(C1096),Settings!$B$18)</f>
        <v>770589843</v>
      </c>
      <c r="D1097" s="6">
        <f>MAX(C1097,1)/Settings!$B$18</f>
        <v>0.35883385844474375</v>
      </c>
      <c r="E1097" s="6">
        <f t="shared" si="36"/>
        <v>5</v>
      </c>
      <c r="F1097" s="6">
        <f>ACE_Input!D17</f>
        <v>187</v>
      </c>
      <c r="G1097" s="6">
        <f>MOD(Settings!$B$17*(G1096),Settings!$B$18)</f>
        <v>817048342</v>
      </c>
      <c r="H1097" s="6">
        <f>MAX(G1097,1)/Settings!$B$18</f>
        <v>0.38046778290554312</v>
      </c>
      <c r="I1097" s="6">
        <f>-ACE_Input!W17*LN(H1097)</f>
        <v>3.8654151027368431</v>
      </c>
      <c r="J1097" s="6">
        <f>-ACE_Input!X17*LN(H1097)</f>
        <v>11.596245308210529</v>
      </c>
      <c r="K1097" s="6">
        <f>ACE_Input!U17</f>
        <v>300</v>
      </c>
      <c r="L1097" s="6">
        <f>K1097*ACE_Input!V17</f>
        <v>75</v>
      </c>
    </row>
    <row r="1098" spans="1:12" x14ac:dyDescent="0.2">
      <c r="A1098">
        <f>10</f>
        <v>10</v>
      </c>
      <c r="B1098">
        <f>ACE_Input!A18</f>
        <v>13</v>
      </c>
      <c r="C1098" s="6">
        <f>MOD(Settings!$B$17*(C1097),Settings!$B$18)</f>
        <v>1977099891</v>
      </c>
      <c r="D1098" s="6">
        <f>MAX(C1098,1)/Settings!$B$18</f>
        <v>0.92065888080776614</v>
      </c>
      <c r="E1098" s="6">
        <f t="shared" si="36"/>
        <v>5</v>
      </c>
      <c r="F1098" s="6">
        <f>ACE_Input!D18</f>
        <v>192</v>
      </c>
      <c r="G1098" s="6">
        <f>MOD(Settings!$B$17*(G1097),Settings!$B$18)</f>
        <v>1121045076</v>
      </c>
      <c r="H1098" s="6">
        <f>MAX(G1098,1)/Settings!$B$18</f>
        <v>0.52202729346325027</v>
      </c>
      <c r="I1098" s="6">
        <f>-ACE_Input!W18*LN(H1098)</f>
        <v>2.6001416245532605</v>
      </c>
      <c r="J1098" s="6">
        <f>-ACE_Input!X18*LN(H1098)</f>
        <v>7.8004248736597814</v>
      </c>
      <c r="K1098" s="6">
        <f>ACE_Input!U18</f>
        <v>300</v>
      </c>
      <c r="L1098" s="6">
        <f>K1098*ACE_Input!V18</f>
        <v>75</v>
      </c>
    </row>
    <row r="1099" spans="1:12" x14ac:dyDescent="0.2">
      <c r="A1099">
        <f>10</f>
        <v>10</v>
      </c>
      <c r="B1099">
        <f>ACE_Input!A19</f>
        <v>14</v>
      </c>
      <c r="C1099" s="6">
        <f>MOD(Settings!$B$17*(C1098),Settings!$B$18)</f>
        <v>1103398006</v>
      </c>
      <c r="D1099" s="6">
        <f>MAX(C1099,1)/Settings!$B$18</f>
        <v>0.51380973612601388</v>
      </c>
      <c r="E1099" s="6">
        <f t="shared" si="36"/>
        <v>5</v>
      </c>
      <c r="F1099" s="6">
        <f>ACE_Input!D19</f>
        <v>197</v>
      </c>
      <c r="G1099" s="6">
        <f>MOD(Settings!$B$17*(G1098),Settings!$B$18)</f>
        <v>1530557201</v>
      </c>
      <c r="H1099" s="6">
        <f>MAX(G1099,1)/Settings!$B$18</f>
        <v>0.71272123684767696</v>
      </c>
      <c r="I1099" s="6">
        <f>-ACE_Input!W19*LN(H1099)</f>
        <v>1.3546596287221211</v>
      </c>
      <c r="J1099" s="6">
        <f>-ACE_Input!X19*LN(H1099)</f>
        <v>4.063978886166363</v>
      </c>
      <c r="K1099" s="6">
        <f>ACE_Input!U19</f>
        <v>300</v>
      </c>
      <c r="L1099" s="6">
        <f>K1099*ACE_Input!V19</f>
        <v>75</v>
      </c>
    </row>
    <row r="1100" spans="1:12" x14ac:dyDescent="0.2">
      <c r="A1100">
        <f>10</f>
        <v>10</v>
      </c>
      <c r="B1100">
        <f>ACE_Input!A20</f>
        <v>15</v>
      </c>
      <c r="C1100" s="6">
        <f>MOD(Settings!$B$17*(C1099),Settings!$B$18)</f>
        <v>1288994997</v>
      </c>
      <c r="D1100" s="6">
        <f>MAX(C1100,1)/Settings!$B$18</f>
        <v>0.6002350699157617</v>
      </c>
      <c r="E1100" s="6">
        <f t="shared" si="36"/>
        <v>5</v>
      </c>
      <c r="F1100" s="6">
        <f>ACE_Input!D20</f>
        <v>202</v>
      </c>
      <c r="G1100" s="6">
        <f>MOD(Settings!$B$17*(G1099),Settings!$B$18)</f>
        <v>1515753441</v>
      </c>
      <c r="H1100" s="6">
        <f>MAX(G1100,1)/Settings!$B$18</f>
        <v>0.70582769890587205</v>
      </c>
      <c r="I1100" s="6">
        <f>-ACE_Input!W20*LN(H1100)</f>
        <v>1.3935364952632816</v>
      </c>
      <c r="J1100" s="6">
        <f>-ACE_Input!X20*LN(H1100)</f>
        <v>4.1806094857898444</v>
      </c>
      <c r="K1100" s="6">
        <f>ACE_Input!U20</f>
        <v>300</v>
      </c>
      <c r="L1100" s="6">
        <f>K1100*ACE_Input!V20</f>
        <v>75</v>
      </c>
    </row>
    <row r="1101" spans="1:12" x14ac:dyDescent="0.2">
      <c r="A1101">
        <f>10</f>
        <v>10</v>
      </c>
      <c r="B1101">
        <f>ACE_Input!A21</f>
        <v>16</v>
      </c>
      <c r="C1101" s="6">
        <f>MOD(Settings!$B$17*(C1100),Settings!$B$18)</f>
        <v>323883643</v>
      </c>
      <c r="D1101" s="6">
        <f>MAX(C1101,1)/Settings!$B$18</f>
        <v>0.15082007420753132</v>
      </c>
      <c r="E1101" s="6">
        <f t="shared" si="36"/>
        <v>5</v>
      </c>
      <c r="F1101" s="6">
        <f>ACE_Input!D21</f>
        <v>207</v>
      </c>
      <c r="G1101" s="6">
        <f>MOD(Settings!$B$17*(G1100),Settings!$B$18)</f>
        <v>1817062173</v>
      </c>
      <c r="H1101" s="6">
        <f>MAX(G1101,1)/Settings!$B$18</f>
        <v>0.84613551099139062</v>
      </c>
      <c r="I1101" s="6">
        <f>-ACE_Input!W21*LN(H1101)</f>
        <v>0.66830301490518074</v>
      </c>
      <c r="J1101" s="6">
        <f>-ACE_Input!X21*LN(H1101)</f>
        <v>2.004909044715542</v>
      </c>
      <c r="K1101" s="6">
        <f>ACE_Input!U21</f>
        <v>300</v>
      </c>
      <c r="L1101" s="6">
        <f>K1101*ACE_Input!V21</f>
        <v>75</v>
      </c>
    </row>
    <row r="1102" spans="1:12" x14ac:dyDescent="0.2">
      <c r="A1102">
        <f>10</f>
        <v>10</v>
      </c>
      <c r="B1102">
        <f>ACE_Input!A22</f>
        <v>17</v>
      </c>
      <c r="C1102" s="6">
        <f>MOD(Settings!$B$17*(C1101),Settings!$B$18)</f>
        <v>1788826403</v>
      </c>
      <c r="D1102" s="6">
        <f>MAX(C1102,1)/Settings!$B$18</f>
        <v>0.83298720597894271</v>
      </c>
      <c r="E1102" s="6">
        <f t="shared" si="36"/>
        <v>5</v>
      </c>
      <c r="F1102" s="6">
        <f>ACE_Input!D22</f>
        <v>212</v>
      </c>
      <c r="G1102" s="6">
        <f>MOD(Settings!$B$17*(G1101),Settings!$B$18)</f>
        <v>2146481271</v>
      </c>
      <c r="H1102" s="6">
        <f>MAX(G1102,1)/Settings!$B$18</f>
        <v>0.99953323230125624</v>
      </c>
      <c r="I1102" s="6">
        <f>-ACE_Input!W22*LN(H1102)</f>
        <v>1.8675066747859256E-3</v>
      </c>
      <c r="J1102" s="6">
        <f>-ACE_Input!X22*LN(H1102)</f>
        <v>5.6025200243577768E-3</v>
      </c>
      <c r="K1102" s="6">
        <f>ACE_Input!U22</f>
        <v>300</v>
      </c>
      <c r="L1102" s="6">
        <f>K1102*ACE_Input!V22</f>
        <v>75</v>
      </c>
    </row>
    <row r="1103" spans="1:12" x14ac:dyDescent="0.2">
      <c r="A1103">
        <f>10</f>
        <v>10</v>
      </c>
      <c r="B1103">
        <f>ACE_Input!A23</f>
        <v>18</v>
      </c>
      <c r="C1103" s="6">
        <f>MOD(Settings!$B$17*(C1102),Settings!$B$18)</f>
        <v>34297221</v>
      </c>
      <c r="D1103" s="6">
        <f>MAX(C1103,1)/Settings!$B$18</f>
        <v>1.5970888089375052E-2</v>
      </c>
      <c r="E1103" s="6">
        <f t="shared" si="36"/>
        <v>5</v>
      </c>
      <c r="F1103" s="6">
        <f>ACE_Input!D23</f>
        <v>217</v>
      </c>
      <c r="G1103" s="6">
        <f>MOD(Settings!$B$17*(G1102),Settings!$B$18)</f>
        <v>332935744</v>
      </c>
      <c r="H1103" s="6">
        <f>MAX(G1103,1)/Settings!$B$18</f>
        <v>0.15503528721399387</v>
      </c>
      <c r="I1103" s="6">
        <f>-ACE_Input!W23*LN(H1103)</f>
        <v>7.456410114112991</v>
      </c>
      <c r="J1103" s="6">
        <f>-ACE_Input!X23*LN(H1103)</f>
        <v>22.369230342338973</v>
      </c>
      <c r="K1103" s="6">
        <f>ACE_Input!U23</f>
        <v>300</v>
      </c>
      <c r="L1103" s="6">
        <f>K1103*ACE_Input!V23</f>
        <v>75</v>
      </c>
    </row>
    <row r="1104" spans="1:12" x14ac:dyDescent="0.2">
      <c r="A1104">
        <f>10</f>
        <v>10</v>
      </c>
      <c r="B1104">
        <f>ACE_Input!A24</f>
        <v>19</v>
      </c>
      <c r="C1104" s="6">
        <f>MOD(Settings!$B$17*(C1103),Settings!$B$18)</f>
        <v>907775951</v>
      </c>
      <c r="D1104" s="6">
        <f>MAX(C1104,1)/Settings!$B$18</f>
        <v>0.42271611812650978</v>
      </c>
      <c r="E1104" s="6">
        <f t="shared" si="36"/>
        <v>5</v>
      </c>
      <c r="F1104" s="6">
        <f>ACE_Input!D24</f>
        <v>222</v>
      </c>
      <c r="G1104" s="6">
        <f>MOD(Settings!$B$17*(G1103),Settings!$B$18)</f>
        <v>1456148973</v>
      </c>
      <c r="H1104" s="6">
        <f>MAX(G1104,1)/Settings!$B$18</f>
        <v>0.67807220559477444</v>
      </c>
      <c r="I1104" s="6">
        <f>-ACE_Input!W24*LN(H1104)</f>
        <v>1.554005995139389</v>
      </c>
      <c r="J1104" s="6">
        <f>-ACE_Input!X24*LN(H1104)</f>
        <v>4.6620179854181671</v>
      </c>
      <c r="K1104" s="6">
        <f>ACE_Input!U24</f>
        <v>300</v>
      </c>
      <c r="L1104" s="6">
        <f>K1104*ACE_Input!V24</f>
        <v>75</v>
      </c>
    </row>
    <row r="1105" spans="1:12" x14ac:dyDescent="0.2">
      <c r="A1105">
        <f>10</f>
        <v>10</v>
      </c>
      <c r="B1105">
        <f>ACE_Input!A25</f>
        <v>20</v>
      </c>
      <c r="C1105" s="6">
        <f>MOD(Settings!$B$17*(C1104),Settings!$B$18)</f>
        <v>1266580169</v>
      </c>
      <c r="D1105" s="6">
        <f>MAX(C1105,1)/Settings!$B$18</f>
        <v>0.58979735224963969</v>
      </c>
      <c r="E1105" s="6">
        <f t="shared" si="36"/>
        <v>5</v>
      </c>
      <c r="F1105" s="6">
        <f>ACE_Input!D25</f>
        <v>227</v>
      </c>
      <c r="G1105" s="6">
        <f>MOD(Settings!$B$17*(G1104),Settings!$B$18)</f>
        <v>772147999</v>
      </c>
      <c r="H1105" s="6">
        <f>MAX(G1105,1)/Settings!$B$18</f>
        <v>0.35955943137386787</v>
      </c>
      <c r="I1105" s="6">
        <f>-ACE_Input!W25*LN(H1105)</f>
        <v>4.0915031949124234</v>
      </c>
      <c r="J1105" s="6">
        <f>-ACE_Input!X25*LN(H1105)</f>
        <v>12.27450958473727</v>
      </c>
      <c r="K1105" s="6">
        <f>ACE_Input!U25</f>
        <v>300</v>
      </c>
      <c r="L1105" s="6">
        <f>K1105*ACE_Input!V25</f>
        <v>75</v>
      </c>
    </row>
    <row r="1106" spans="1:12" x14ac:dyDescent="0.2">
      <c r="A1106">
        <f>10</f>
        <v>10</v>
      </c>
      <c r="B1106">
        <f>ACE_Input!A26</f>
        <v>21</v>
      </c>
      <c r="C1106" s="6">
        <f>MOD(Settings!$B$17*(C1105),Settings!$B$18)</f>
        <v>1554991319</v>
      </c>
      <c r="D1106" s="6">
        <f>MAX(C1106,1)/Settings!$B$18</f>
        <v>0.72409925969508437</v>
      </c>
      <c r="E1106" s="6">
        <f t="shared" si="36"/>
        <v>5</v>
      </c>
      <c r="F1106" s="6">
        <f>ACE_Input!D26</f>
        <v>232</v>
      </c>
      <c r="G1106" s="6">
        <f>MOD(Settings!$B$17*(G1105),Settings!$B$18)</f>
        <v>247740372</v>
      </c>
      <c r="H1106" s="6">
        <f>MAX(G1106,1)/Settings!$B$18</f>
        <v>0.11536310059733833</v>
      </c>
      <c r="I1106" s="6">
        <f>-ACE_Input!W26*LN(H1106)</f>
        <v>8.6386829129168472</v>
      </c>
      <c r="J1106" s="6">
        <f>-ACE_Input!X26*LN(H1106)</f>
        <v>25.91604873875054</v>
      </c>
      <c r="K1106" s="6">
        <f>ACE_Input!U26</f>
        <v>300</v>
      </c>
      <c r="L1106" s="6">
        <f>K1106*ACE_Input!V26</f>
        <v>75</v>
      </c>
    </row>
    <row r="1107" spans="1:12" x14ac:dyDescent="0.2">
      <c r="A1107">
        <f>10</f>
        <v>10</v>
      </c>
      <c r="B1107">
        <f>ACE_Input!A27</f>
        <v>22</v>
      </c>
      <c r="C1107" s="6">
        <f>MOD(Settings!$B$17*(C1106),Settings!$B$18)</f>
        <v>2010598090</v>
      </c>
      <c r="D1107" s="6">
        <f>MAX(C1107,1)/Settings!$B$18</f>
        <v>0.93625769528386071</v>
      </c>
      <c r="E1107" s="6">
        <f t="shared" si="36"/>
        <v>5</v>
      </c>
      <c r="F1107" s="6">
        <f>ACE_Input!D27</f>
        <v>237</v>
      </c>
      <c r="G1107" s="6">
        <f>MOD(Settings!$B$17*(G1106),Settings!$B$18)</f>
        <v>1949124318</v>
      </c>
      <c r="H1107" s="6">
        <f>MAX(G1107,1)/Settings!$B$18</f>
        <v>0.90763173946534825</v>
      </c>
      <c r="I1107" s="6">
        <f>-ACE_Input!W27*LN(H1107)</f>
        <v>0.38766622369590947</v>
      </c>
      <c r="J1107" s="6">
        <f>-ACE_Input!X27*LN(H1107)</f>
        <v>1.1629986710877285</v>
      </c>
      <c r="K1107" s="6">
        <f>ACE_Input!U27</f>
        <v>300</v>
      </c>
      <c r="L1107" s="6">
        <f>K1107*ACE_Input!V27</f>
        <v>75</v>
      </c>
    </row>
    <row r="1108" spans="1:12" x14ac:dyDescent="0.2">
      <c r="A1108">
        <f>10</f>
        <v>10</v>
      </c>
      <c r="B1108">
        <f>ACE_Input!A28</f>
        <v>23</v>
      </c>
      <c r="C1108" s="6">
        <f>MOD(Settings!$B$17*(C1107),Settings!$B$18)</f>
        <v>1466913085</v>
      </c>
      <c r="D1108" s="6">
        <f>MAX(C1108,1)/Settings!$B$18</f>
        <v>0.68308463584775325</v>
      </c>
      <c r="E1108" s="6">
        <f t="shared" si="36"/>
        <v>5</v>
      </c>
      <c r="F1108" s="6">
        <f>ACE_Input!D28</f>
        <v>242</v>
      </c>
      <c r="G1108" s="6">
        <f>MOD(Settings!$B$17*(G1107),Settings!$B$18)</f>
        <v>1216861288</v>
      </c>
      <c r="H1108" s="6">
        <f>MAX(G1108,1)/Settings!$B$18</f>
        <v>0.56664519410889835</v>
      </c>
      <c r="I1108" s="6">
        <f>-ACE_Input!W28*LN(H1108)</f>
        <v>2.2720877242915622</v>
      </c>
      <c r="J1108" s="6">
        <f>-ACE_Input!X28*LN(H1108)</f>
        <v>6.8162631728746863</v>
      </c>
      <c r="K1108" s="6">
        <f>ACE_Input!U28</f>
        <v>300</v>
      </c>
      <c r="L1108" s="6">
        <f>K1108*ACE_Input!V28</f>
        <v>75</v>
      </c>
    </row>
    <row r="1109" spans="1:12" x14ac:dyDescent="0.2">
      <c r="A1109">
        <f>10</f>
        <v>10</v>
      </c>
      <c r="B1109">
        <f>ACE_Input!A29</f>
        <v>24</v>
      </c>
      <c r="C1109" s="6">
        <f>MOD(Settings!$B$17*(C1108),Settings!$B$18)</f>
        <v>1295952035</v>
      </c>
      <c r="D1109" s="6">
        <f>MAX(C1109,1)/Settings!$B$18</f>
        <v>0.60347469318819913</v>
      </c>
      <c r="E1109" s="6">
        <f t="shared" si="36"/>
        <v>5</v>
      </c>
      <c r="F1109" s="6">
        <f>ACE_Input!D29</f>
        <v>247</v>
      </c>
      <c r="G1109" s="6">
        <f>MOD(Settings!$B$17*(G1108),Settings!$B$18)</f>
        <v>1300897035</v>
      </c>
      <c r="H1109" s="6">
        <f>MAX(G1109,1)/Settings!$B$18</f>
        <v>0.60577738825500826</v>
      </c>
      <c r="I1109" s="6">
        <f>-ACE_Input!W29*LN(H1109)</f>
        <v>2.0049708260591288</v>
      </c>
      <c r="J1109" s="6">
        <f>-ACE_Input!X29*LN(H1109)</f>
        <v>6.0149124781773864</v>
      </c>
      <c r="K1109" s="6">
        <f>ACE_Input!U29</f>
        <v>300</v>
      </c>
      <c r="L1109" s="6">
        <f>K1109*ACE_Input!V29</f>
        <v>75</v>
      </c>
    </row>
    <row r="1110" spans="1:12" x14ac:dyDescent="0.2">
      <c r="A1110">
        <f>10</f>
        <v>10</v>
      </c>
      <c r="B1110">
        <f>ACE_Input!A30</f>
        <v>25</v>
      </c>
      <c r="C1110" s="6">
        <f>MOD(Settings!$B$17*(C1109),Settings!$B$18)</f>
        <v>1286704371</v>
      </c>
      <c r="D1110" s="6">
        <f>MAX(C1110,1)/Settings!$B$18</f>
        <v>0.59916841406336441</v>
      </c>
      <c r="E1110" s="6">
        <f t="shared" si="36"/>
        <v>5</v>
      </c>
      <c r="F1110" s="6">
        <f>ACE_Input!D30</f>
        <v>252</v>
      </c>
      <c r="G1110" s="6">
        <f>MOD(Settings!$B$17*(G1109),Settings!$B$18)</f>
        <v>645457138</v>
      </c>
      <c r="H1110" s="6">
        <f>MAX(G1110,1)/Settings!$B$18</f>
        <v>0.30056440192301032</v>
      </c>
      <c r="I1110" s="6">
        <f>-ACE_Input!W30*LN(H1110)</f>
        <v>4.8083729283427248</v>
      </c>
      <c r="J1110" s="6">
        <f>-ACE_Input!X30*LN(H1110)</f>
        <v>14.425118785028175</v>
      </c>
      <c r="K1110" s="6">
        <f>ACE_Input!U30</f>
        <v>300</v>
      </c>
      <c r="L1110" s="6">
        <f>K1110*ACE_Input!V30</f>
        <v>75</v>
      </c>
    </row>
    <row r="1111" spans="1:12" x14ac:dyDescent="0.2">
      <c r="A1111">
        <f>10</f>
        <v>10</v>
      </c>
      <c r="B1111">
        <f>ACE_Input!A31</f>
        <v>26</v>
      </c>
      <c r="C1111" s="6">
        <f>MOD(Settings!$B$17*(C1110),Settings!$B$18)</f>
        <v>480038107</v>
      </c>
      <c r="D1111" s="6">
        <f>MAX(C1111,1)/Settings!$B$18</f>
        <v>0.22353516296648196</v>
      </c>
      <c r="E1111" s="6">
        <f t="shared" si="36"/>
        <v>5</v>
      </c>
      <c r="F1111" s="6">
        <f>ACE_Input!D31</f>
        <v>257</v>
      </c>
      <c r="G1111" s="6">
        <f>MOD(Settings!$B$17*(G1110),Settings!$B$18)</f>
        <v>1258217369</v>
      </c>
      <c r="H1111" s="6">
        <f>MAX(G1111,1)/Settings!$B$18</f>
        <v>0.58590312003432921</v>
      </c>
      <c r="I1111" s="6">
        <f>-ACE_Input!W31*LN(H1111)</f>
        <v>2.1384033089846866</v>
      </c>
      <c r="J1111" s="6">
        <f>-ACE_Input!X31*LN(H1111)</f>
        <v>6.4152099269540592</v>
      </c>
      <c r="K1111" s="6">
        <f>ACE_Input!U31</f>
        <v>300</v>
      </c>
      <c r="L1111" s="6">
        <f>K1111*ACE_Input!V31</f>
        <v>75</v>
      </c>
    </row>
    <row r="1112" spans="1:12" x14ac:dyDescent="0.2">
      <c r="A1112">
        <f>10</f>
        <v>10</v>
      </c>
      <c r="B1112">
        <f>ACE_Input!A32</f>
        <v>27</v>
      </c>
      <c r="C1112" s="6">
        <f>MOD(Settings!$B$17*(C1111),Settings!$B$18)</f>
        <v>2051886217</v>
      </c>
      <c r="D1112" s="6">
        <f>MAX(C1112,1)/Settings!$B$18</f>
        <v>0.95548397766215909</v>
      </c>
      <c r="E1112" s="6">
        <f t="shared" si="36"/>
        <v>5</v>
      </c>
      <c r="F1112" s="6">
        <f>ACE_Input!D32</f>
        <v>262</v>
      </c>
      <c r="G1112" s="6">
        <f>MOD(Settings!$B$17*(G1111),Settings!$B$18)</f>
        <v>587848774</v>
      </c>
      <c r="H1112" s="6">
        <f>MAX(G1112,1)/Settings!$B$18</f>
        <v>0.27373841697058565</v>
      </c>
      <c r="I1112" s="6">
        <f>-ACE_Input!W32*LN(H1112)</f>
        <v>5.1823292447313589</v>
      </c>
      <c r="J1112" s="6">
        <f>-ACE_Input!X32*LN(H1112)</f>
        <v>15.546987734194076</v>
      </c>
      <c r="K1112" s="6">
        <f>ACE_Input!U32</f>
        <v>300</v>
      </c>
      <c r="L1112" s="6">
        <f>K1112*ACE_Input!V32</f>
        <v>75</v>
      </c>
    </row>
    <row r="1113" spans="1:12" x14ac:dyDescent="0.2">
      <c r="A1113">
        <f>10</f>
        <v>10</v>
      </c>
      <c r="B1113">
        <f>ACE_Input!A33</f>
        <v>28</v>
      </c>
      <c r="C1113" s="6">
        <f>MOD(Settings!$B$17*(C1112),Settings!$B$18)</f>
        <v>1759245593</v>
      </c>
      <c r="D1113" s="6">
        <f>MAX(C1113,1)/Settings!$B$18</f>
        <v>0.81921256790832275</v>
      </c>
      <c r="E1113" s="6">
        <f t="shared" si="36"/>
        <v>6</v>
      </c>
      <c r="F1113" s="6">
        <f>ACE_Input!D33</f>
        <v>268</v>
      </c>
      <c r="G1113" s="6">
        <f>MOD(Settings!$B$17*(G1112),Settings!$B$18)</f>
        <v>1549568418</v>
      </c>
      <c r="H1113" s="6">
        <f>MAX(G1113,1)/Settings!$B$18</f>
        <v>0.72157402463330611</v>
      </c>
      <c r="I1113" s="6">
        <f>-ACE_Input!W33*LN(H1113)</f>
        <v>1.3052812311467634</v>
      </c>
      <c r="J1113" s="6">
        <f>-ACE_Input!X33*LN(H1113)</f>
        <v>3.9158436934402903</v>
      </c>
      <c r="K1113" s="6">
        <f>ACE_Input!U33</f>
        <v>300</v>
      </c>
      <c r="L1113" s="6">
        <f>K1113*ACE_Input!V33</f>
        <v>75</v>
      </c>
    </row>
    <row r="1114" spans="1:12" x14ac:dyDescent="0.2">
      <c r="A1114">
        <f>10</f>
        <v>10</v>
      </c>
      <c r="B1114">
        <f>ACE_Input!A34</f>
        <v>29</v>
      </c>
      <c r="C1114" s="6">
        <f>MOD(Settings!$B$17*(C1113),Settings!$B$18)</f>
        <v>1085829655</v>
      </c>
      <c r="D1114" s="6">
        <f>MAX(C1114,1)/Settings!$B$18</f>
        <v>0.50562883517967017</v>
      </c>
      <c r="E1114" s="6">
        <f t="shared" si="36"/>
        <v>5</v>
      </c>
      <c r="F1114" s="6">
        <f>ACE_Input!D34</f>
        <v>273</v>
      </c>
      <c r="G1114" s="6">
        <f>MOD(Settings!$B$17*(G1113),Settings!$B$18)</f>
        <v>1062214157</v>
      </c>
      <c r="H1114" s="6">
        <f>MAX(G1114,1)/Settings!$B$18</f>
        <v>0.49463201197545603</v>
      </c>
      <c r="I1114" s="6">
        <f>-ACE_Input!W34*LN(H1114)</f>
        <v>2.815764812121575</v>
      </c>
      <c r="J1114" s="6">
        <f>-ACE_Input!X34*LN(H1114)</f>
        <v>8.4472944363647251</v>
      </c>
      <c r="K1114" s="6">
        <f>ACE_Input!U34</f>
        <v>300</v>
      </c>
      <c r="L1114" s="6">
        <f>K1114*ACE_Input!V34</f>
        <v>75</v>
      </c>
    </row>
    <row r="1115" spans="1:12" x14ac:dyDescent="0.2">
      <c r="A1115">
        <f>10</f>
        <v>10</v>
      </c>
      <c r="B1115">
        <f>ACE_Input!A35</f>
        <v>30</v>
      </c>
      <c r="C1115" s="6">
        <f>MOD(Settings!$B$17*(C1114),Settings!$B$18)</f>
        <v>222979379</v>
      </c>
      <c r="D1115" s="6">
        <f>MAX(C1115,1)/Settings!$B$18</f>
        <v>0.10383286471657123</v>
      </c>
      <c r="E1115" s="6">
        <f t="shared" si="36"/>
        <v>5</v>
      </c>
      <c r="F1115" s="6">
        <f>ACE_Input!D35</f>
        <v>278</v>
      </c>
      <c r="G1115" s="6">
        <f>MOD(Settings!$B$17*(G1114),Settings!$B$18)</f>
        <v>601779188</v>
      </c>
      <c r="H1115" s="6">
        <f>MAX(G1115,1)/Settings!$B$18</f>
        <v>0.2802252714895761</v>
      </c>
      <c r="I1115" s="6">
        <f>-ACE_Input!W35*LN(H1115)</f>
        <v>5.088645832993361</v>
      </c>
      <c r="J1115" s="6">
        <f>-ACE_Input!X35*LN(H1115)</f>
        <v>15.265937498980083</v>
      </c>
      <c r="K1115" s="6">
        <f>ACE_Input!U35</f>
        <v>300</v>
      </c>
      <c r="L1115" s="6">
        <f>K1115*ACE_Input!V35</f>
        <v>75</v>
      </c>
    </row>
    <row r="1116" spans="1:12" x14ac:dyDescent="0.2">
      <c r="A1116">
        <f>10</f>
        <v>10</v>
      </c>
      <c r="B1116">
        <f>ACE_Input!A36</f>
        <v>31</v>
      </c>
      <c r="C1116" s="6">
        <f>MOD(Settings!$B$17*(C1115),Settings!$B$18)</f>
        <v>255458838</v>
      </c>
      <c r="D1116" s="6">
        <f>MAX(C1116,1)/Settings!$B$18</f>
        <v>0.11895729141261302</v>
      </c>
      <c r="E1116" s="6">
        <f t="shared" si="36"/>
        <v>5</v>
      </c>
      <c r="F1116" s="6">
        <f>ACE_Input!D36</f>
        <v>283</v>
      </c>
      <c r="G1116" s="6">
        <f>MOD(Settings!$B$17*(G1115),Settings!$B$18)</f>
        <v>1602318993</v>
      </c>
      <c r="H1116" s="6">
        <f>MAX(G1116,1)/Settings!$B$18</f>
        <v>0.74613792530546796</v>
      </c>
      <c r="I1116" s="6">
        <f>-ACE_Input!W36*LN(H1116)</f>
        <v>1.1713792375972689</v>
      </c>
      <c r="J1116" s="6">
        <f>-ACE_Input!X36*LN(H1116)</f>
        <v>3.5141377127918068</v>
      </c>
      <c r="K1116" s="6">
        <f>ACE_Input!U36</f>
        <v>300</v>
      </c>
      <c r="L1116" s="6">
        <f>K1116*ACE_Input!V36</f>
        <v>75</v>
      </c>
    </row>
    <row r="1117" spans="1:12" x14ac:dyDescent="0.2">
      <c r="A1117">
        <f>10</f>
        <v>10</v>
      </c>
      <c r="B1117">
        <f>ACE_Input!A37</f>
        <v>32</v>
      </c>
      <c r="C1117" s="6">
        <f>MOD(Settings!$B$17*(C1116),Settings!$B$18)</f>
        <v>676879913</v>
      </c>
      <c r="D1117" s="6">
        <f>MAX(C1117,1)/Settings!$B$18</f>
        <v>0.31519677178710548</v>
      </c>
      <c r="E1117" s="6">
        <f t="shared" si="36"/>
        <v>5</v>
      </c>
      <c r="F1117" s="6">
        <f>ACE_Input!D37</f>
        <v>288</v>
      </c>
      <c r="G1117" s="6">
        <f>MOD(Settings!$B$17*(G1116),Settings!$B$18)</f>
        <v>730381971</v>
      </c>
      <c r="H1117" s="6">
        <f>MAX(G1117,1)/Settings!$B$18</f>
        <v>0.34011060900060025</v>
      </c>
      <c r="I1117" s="6">
        <f>-ACE_Input!W37*LN(H1117)</f>
        <v>4.3139375747487945</v>
      </c>
      <c r="J1117" s="6">
        <f>-ACE_Input!X37*LN(H1117)</f>
        <v>12.941812724246383</v>
      </c>
      <c r="K1117" s="6">
        <f>ACE_Input!U37</f>
        <v>300</v>
      </c>
      <c r="L1117" s="6">
        <f>K1117*ACE_Input!V37</f>
        <v>75</v>
      </c>
    </row>
    <row r="1118" spans="1:12" x14ac:dyDescent="0.2">
      <c r="A1118">
        <f>10</f>
        <v>10</v>
      </c>
      <c r="B1118">
        <f>ACE_Input!A38</f>
        <v>33</v>
      </c>
      <c r="C1118" s="6">
        <f>MOD(Settings!$B$17*(C1117),Settings!$B$18)</f>
        <v>1099819632</v>
      </c>
      <c r="D1118" s="6">
        <f>MAX(C1118,1)/Settings!$B$18</f>
        <v>0.5121434258819294</v>
      </c>
      <c r="E1118" s="6">
        <f t="shared" si="36"/>
        <v>5</v>
      </c>
      <c r="F1118" s="6">
        <f>ACE_Input!D38</f>
        <v>293</v>
      </c>
      <c r="G1118" s="6">
        <f>MOD(Settings!$B$17*(G1117),Settings!$B$18)</f>
        <v>513260345</v>
      </c>
      <c r="H1118" s="6">
        <f>MAX(G1118,1)/Settings!$B$18</f>
        <v>0.23900547308800996</v>
      </c>
      <c r="I1118" s="6">
        <f>-ACE_Input!W38*LN(H1118)</f>
        <v>5.7250753094519755</v>
      </c>
      <c r="J1118" s="6">
        <f>-ACE_Input!X38*LN(H1118)</f>
        <v>17.175225928355928</v>
      </c>
      <c r="K1118" s="6">
        <f>ACE_Input!U38</f>
        <v>300</v>
      </c>
      <c r="L1118" s="6">
        <f>K1118*ACE_Input!V38</f>
        <v>75</v>
      </c>
    </row>
    <row r="1119" spans="1:12" x14ac:dyDescent="0.2">
      <c r="A1119">
        <f>10</f>
        <v>10</v>
      </c>
      <c r="B1119">
        <f>ACE_Input!A39</f>
        <v>34</v>
      </c>
      <c r="C1119" s="6">
        <f>MOD(Settings!$B$17*(C1118),Settings!$B$18)</f>
        <v>1276805295</v>
      </c>
      <c r="D1119" s="6">
        <f>MAX(C1119,1)/Settings!$B$18</f>
        <v>0.59455879758790076</v>
      </c>
      <c r="E1119" s="6">
        <f t="shared" ref="E1119:E1150" si="37">F1119-F1118</f>
        <v>5</v>
      </c>
      <c r="F1119" s="6">
        <f>ACE_Input!D39</f>
        <v>298</v>
      </c>
      <c r="G1119" s="6">
        <f>MOD(Settings!$B$17*(G1118),Settings!$B$18)</f>
        <v>2072292063</v>
      </c>
      <c r="H1119" s="6">
        <f>MAX(G1119,1)/Settings!$B$18</f>
        <v>0.96498619018354737</v>
      </c>
      <c r="I1119" s="6">
        <f>-ACE_Input!W39*LN(H1119)</f>
        <v>0.1425659537446981</v>
      </c>
      <c r="J1119" s="6">
        <f>-ACE_Input!X39*LN(H1119)</f>
        <v>0.42769786123409431</v>
      </c>
      <c r="K1119" s="6">
        <f>ACE_Input!U39</f>
        <v>300</v>
      </c>
      <c r="L1119" s="6">
        <f>K1119*ACE_Input!V39</f>
        <v>75</v>
      </c>
    </row>
    <row r="1120" spans="1:12" x14ac:dyDescent="0.2">
      <c r="A1120">
        <f>10</f>
        <v>10</v>
      </c>
      <c r="B1120">
        <f>ACE_Input!A40</f>
        <v>35</v>
      </c>
      <c r="C1120" s="6">
        <f>MOD(Settings!$B$17*(C1119),Settings!$B$18)</f>
        <v>1609992241</v>
      </c>
      <c r="D1120" s="6">
        <f>MAX(C1120,1)/Settings!$B$18</f>
        <v>0.74971105984864339</v>
      </c>
      <c r="E1120" s="6">
        <f t="shared" si="37"/>
        <v>5</v>
      </c>
      <c r="F1120" s="6">
        <f>ACE_Input!D40</f>
        <v>303</v>
      </c>
      <c r="G1120" s="6">
        <f>MOD(Settings!$B$17*(G1119),Settings!$B$18)</f>
        <v>1122915795</v>
      </c>
      <c r="H1120" s="6">
        <f>MAX(G1120,1)/Settings!$B$18</f>
        <v>0.522898414881387</v>
      </c>
      <c r="I1120" s="6">
        <f>-ACE_Input!W40*LN(H1120)</f>
        <v>2.5934722767671681</v>
      </c>
      <c r="J1120" s="6">
        <f>-ACE_Input!X40*LN(H1120)</f>
        <v>7.7804168303015047</v>
      </c>
      <c r="K1120" s="6">
        <f>ACE_Input!U40</f>
        <v>300</v>
      </c>
      <c r="L1120" s="6">
        <f>K1120*ACE_Input!V40</f>
        <v>75</v>
      </c>
    </row>
    <row r="1121" spans="1:12" x14ac:dyDescent="0.2">
      <c r="A1121">
        <f>10</f>
        <v>10</v>
      </c>
      <c r="B1121">
        <f>ACE_Input!A41</f>
        <v>36</v>
      </c>
      <c r="C1121" s="6">
        <f>MOD(Settings!$B$17*(C1120),Settings!$B$18)</f>
        <v>845642287</v>
      </c>
      <c r="D1121" s="6">
        <f>MAX(C1121,1)/Settings!$B$18</f>
        <v>0.39378287614965013</v>
      </c>
      <c r="E1121" s="6">
        <f t="shared" si="37"/>
        <v>5</v>
      </c>
      <c r="F1121" s="6">
        <f>ACE_Input!D41</f>
        <v>308</v>
      </c>
      <c r="G1121" s="6">
        <f>MOD(Settings!$B$17*(G1120),Settings!$B$18)</f>
        <v>759476729</v>
      </c>
      <c r="H1121" s="6">
        <f>MAX(G1121,1)/Settings!$B$18</f>
        <v>0.35365891147109629</v>
      </c>
      <c r="I1121" s="6">
        <f>-ACE_Input!W41*LN(H1121)</f>
        <v>4.1576894290264814</v>
      </c>
      <c r="J1121" s="6">
        <f>-ACE_Input!X41*LN(H1121)</f>
        <v>12.473068287079444</v>
      </c>
      <c r="K1121" s="6">
        <f>ACE_Input!U41</f>
        <v>300</v>
      </c>
      <c r="L1121" s="6">
        <f>K1121*ACE_Input!V41</f>
        <v>75</v>
      </c>
    </row>
    <row r="1122" spans="1:12" x14ac:dyDescent="0.2">
      <c r="A1122">
        <f>10</f>
        <v>10</v>
      </c>
      <c r="B1122">
        <f>ACE_Input!A42</f>
        <v>37</v>
      </c>
      <c r="C1122" s="6">
        <f>MOD(Settings!$B$17*(C1121),Settings!$B$18)</f>
        <v>663141763</v>
      </c>
      <c r="D1122" s="6">
        <f>MAX(C1122,1)/Settings!$B$18</f>
        <v>0.30879944716989971</v>
      </c>
      <c r="E1122" s="6">
        <f t="shared" si="37"/>
        <v>5</v>
      </c>
      <c r="F1122" s="6">
        <f>ACE_Input!D42</f>
        <v>313</v>
      </c>
      <c r="G1122" s="6">
        <f>MOD(Settings!$B$17*(G1121),Settings!$B$18)</f>
        <v>2030070182</v>
      </c>
      <c r="H1122" s="6">
        <f>MAX(G1122,1)/Settings!$B$18</f>
        <v>0.94532509471537784</v>
      </c>
      <c r="I1122" s="6">
        <f>-ACE_Input!W42*LN(H1122)</f>
        <v>0.22490558030542074</v>
      </c>
      <c r="J1122" s="6">
        <f>-ACE_Input!X42*LN(H1122)</f>
        <v>0.67471674091626221</v>
      </c>
      <c r="K1122" s="6">
        <f>ACE_Input!U42</f>
        <v>300</v>
      </c>
      <c r="L1122" s="6">
        <f>K1122*ACE_Input!V42</f>
        <v>75</v>
      </c>
    </row>
    <row r="1123" spans="1:12" x14ac:dyDescent="0.2">
      <c r="A1123">
        <f>10</f>
        <v>10</v>
      </c>
      <c r="B1123">
        <f>ACE_Input!A43</f>
        <v>38</v>
      </c>
      <c r="C1123" s="6">
        <f>MOD(Settings!$B$17*(C1122),Settings!$B$18)</f>
        <v>2130966458</v>
      </c>
      <c r="D1123" s="6">
        <f>MAX(C1123,1)/Settings!$B$18</f>
        <v>0.99230858450397319</v>
      </c>
      <c r="E1123" s="6">
        <f t="shared" si="37"/>
        <v>5</v>
      </c>
      <c r="F1123" s="6">
        <f>ACE_Input!D43</f>
        <v>318</v>
      </c>
      <c r="G1123" s="6">
        <f>MOD(Settings!$B$17*(G1122),Settings!$B$18)</f>
        <v>169365338</v>
      </c>
      <c r="H1123" s="6">
        <f>MAX(G1123,1)/Settings!$B$18</f>
        <v>7.8866881355115617E-2</v>
      </c>
      <c r="I1123" s="6">
        <f>-ACE_Input!W43*LN(H1123)</f>
        <v>10.159975575759931</v>
      </c>
      <c r="J1123" s="6">
        <f>-ACE_Input!X43*LN(H1123)</f>
        <v>30.479926727279796</v>
      </c>
      <c r="K1123" s="6">
        <f>ACE_Input!U43</f>
        <v>300</v>
      </c>
      <c r="L1123" s="6">
        <f>K1123*ACE_Input!V43</f>
        <v>75</v>
      </c>
    </row>
    <row r="1124" spans="1:12" x14ac:dyDescent="0.2">
      <c r="A1124">
        <f>10</f>
        <v>10</v>
      </c>
      <c r="B1124">
        <f>ACE_Input!A44</f>
        <v>39</v>
      </c>
      <c r="C1124" s="6">
        <f>MOD(Settings!$B$17*(C1123),Settings!$B$18)</f>
        <v>1568478587</v>
      </c>
      <c r="D1124" s="6">
        <f>MAX(C1124,1)/Settings!$B$18</f>
        <v>0.73037975827715351</v>
      </c>
      <c r="E1124" s="6">
        <f t="shared" si="37"/>
        <v>5</v>
      </c>
      <c r="F1124" s="6">
        <f>ACE_Input!D44</f>
        <v>323</v>
      </c>
      <c r="G1124" s="6">
        <f>MOD(Settings!$B$17*(G1123),Settings!$B$18)</f>
        <v>1107403491</v>
      </c>
      <c r="H1124" s="6">
        <f>MAX(G1124,1)/Settings!$B$18</f>
        <v>0.51567493542827425</v>
      </c>
      <c r="I1124" s="6">
        <f>-ACE_Input!W44*LN(H1124)</f>
        <v>2.6491147284614325</v>
      </c>
      <c r="J1124" s="6">
        <f>-ACE_Input!X44*LN(H1124)</f>
        <v>7.9473441853842974</v>
      </c>
      <c r="K1124" s="6">
        <f>ACE_Input!U44</f>
        <v>300</v>
      </c>
      <c r="L1124" s="6">
        <f>K1124*ACE_Input!V44</f>
        <v>75</v>
      </c>
    </row>
    <row r="1125" spans="1:12" x14ac:dyDescent="0.2">
      <c r="A1125">
        <f>10</f>
        <v>10</v>
      </c>
      <c r="B1125">
        <f>ACE_Input!A45</f>
        <v>40</v>
      </c>
      <c r="C1125" s="6">
        <f>MOD(Settings!$B$17*(C1124),Settings!$B$18)</f>
        <v>1057844784</v>
      </c>
      <c r="D1125" s="6">
        <f>MAX(C1125,1)/Settings!$B$18</f>
        <v>0.49259736411860089</v>
      </c>
      <c r="E1125" s="6">
        <f t="shared" si="37"/>
        <v>5</v>
      </c>
      <c r="F1125" s="6">
        <f>ACE_Input!D45</f>
        <v>328</v>
      </c>
      <c r="G1125" s="6">
        <f>MOD(Settings!$B$17*(G1124),Settings!$B$18)</f>
        <v>2037188335</v>
      </c>
      <c r="H1125" s="6">
        <f>MAX(G1125,1)/Settings!$B$18</f>
        <v>0.94863974300615472</v>
      </c>
      <c r="I1125" s="6">
        <f>-ACE_Input!W45*LN(H1125)</f>
        <v>0.21090467972311608</v>
      </c>
      <c r="J1125" s="6">
        <f>-ACE_Input!X45*LN(H1125)</f>
        <v>0.63271403916934821</v>
      </c>
      <c r="K1125" s="6">
        <f>ACE_Input!U45</f>
        <v>300</v>
      </c>
      <c r="L1125" s="6">
        <f>K1125*ACE_Input!V45</f>
        <v>75</v>
      </c>
    </row>
    <row r="1126" spans="1:12" x14ac:dyDescent="0.2">
      <c r="A1126">
        <f>10</f>
        <v>10</v>
      </c>
      <c r="B1126">
        <f>ACE_Input!A46</f>
        <v>41</v>
      </c>
      <c r="C1126" s="6">
        <f>MOD(Settings!$B$17*(C1125),Settings!$B$18)</f>
        <v>180171175</v>
      </c>
      <c r="D1126" s="6">
        <f>MAX(C1126,1)/Settings!$B$18</f>
        <v>8.389874132531637E-2</v>
      </c>
      <c r="E1126" s="6">
        <f t="shared" si="37"/>
        <v>5</v>
      </c>
      <c r="F1126" s="6">
        <f>ACE_Input!D46</f>
        <v>333</v>
      </c>
      <c r="G1126" s="6">
        <f>MOD(Settings!$B$17*(G1125),Settings!$B$18)</f>
        <v>1692562224</v>
      </c>
      <c r="H1126" s="6">
        <f>MAX(G1126,1)/Settings!$B$18</f>
        <v>0.7881607044433061</v>
      </c>
      <c r="I1126" s="6">
        <f>-ACE_Input!W46*LN(H1126)</f>
        <v>0.95221308107302227</v>
      </c>
      <c r="J1126" s="6">
        <f>-ACE_Input!X46*LN(H1126)</f>
        <v>2.8566392432190666</v>
      </c>
      <c r="K1126" s="6">
        <f>ACE_Input!U46</f>
        <v>300</v>
      </c>
      <c r="L1126" s="6">
        <f>K1126*ACE_Input!V46</f>
        <v>75</v>
      </c>
    </row>
    <row r="1127" spans="1:12" x14ac:dyDescent="0.2">
      <c r="A1127">
        <f>10</f>
        <v>10</v>
      </c>
      <c r="B1127">
        <f>ACE_Input!A47</f>
        <v>42</v>
      </c>
      <c r="C1127" s="6">
        <f>MOD(Settings!$B$17*(C1126),Settings!$B$18)</f>
        <v>184995955</v>
      </c>
      <c r="D1127" s="6">
        <f>MAX(C1127,1)/Settings!$B$18</f>
        <v>8.6145454592139209E-2</v>
      </c>
      <c r="E1127" s="6">
        <f t="shared" si="37"/>
        <v>5</v>
      </c>
      <c r="F1127" s="6">
        <f>ACE_Input!D47</f>
        <v>338</v>
      </c>
      <c r="G1127" s="6">
        <f>MOD(Settings!$B$17*(G1126),Settings!$B$18)</f>
        <v>1324910606</v>
      </c>
      <c r="H1127" s="6">
        <f>MAX(G1127,1)/Settings!$B$18</f>
        <v>0.61695957864493112</v>
      </c>
      <c r="I1127" s="6">
        <f>-ACE_Input!W47*LN(H1127)</f>
        <v>1.9318070798154792</v>
      </c>
      <c r="J1127" s="6">
        <f>-ACE_Input!X47*LN(H1127)</f>
        <v>5.7954212394464371</v>
      </c>
      <c r="K1127" s="6">
        <f>ACE_Input!U47</f>
        <v>300</v>
      </c>
      <c r="L1127" s="6">
        <f>K1127*ACE_Input!V47</f>
        <v>75</v>
      </c>
    </row>
    <row r="1128" spans="1:12" x14ac:dyDescent="0.2">
      <c r="A1128">
        <f>10</f>
        <v>10</v>
      </c>
      <c r="B1128">
        <f>ACE_Input!A48</f>
        <v>43</v>
      </c>
      <c r="C1128" s="6">
        <f>MOD(Settings!$B$17*(C1127),Settings!$B$18)</f>
        <v>1818178476</v>
      </c>
      <c r="D1128" s="6">
        <f>MAX(C1128,1)/Settings!$B$18</f>
        <v>0.84665533008363814</v>
      </c>
      <c r="E1128" s="6">
        <f t="shared" si="37"/>
        <v>5</v>
      </c>
      <c r="F1128" s="6">
        <f>ACE_Input!D48</f>
        <v>343</v>
      </c>
      <c r="G1128" s="6">
        <f>MOD(Settings!$B$17*(G1127),Settings!$B$18)</f>
        <v>514619299</v>
      </c>
      <c r="H1128" s="6">
        <f>MAX(G1128,1)/Settings!$B$18</f>
        <v>0.23963828535733664</v>
      </c>
      <c r="I1128" s="6">
        <f>-ACE_Input!W48*LN(H1128)</f>
        <v>5.7144985474762269</v>
      </c>
      <c r="J1128" s="6">
        <f>-ACE_Input!X48*LN(H1128)</f>
        <v>17.143495642428682</v>
      </c>
      <c r="K1128" s="6">
        <f>ACE_Input!U48</f>
        <v>300</v>
      </c>
      <c r="L1128" s="6">
        <f>K1128*ACE_Input!V48</f>
        <v>75</v>
      </c>
    </row>
    <row r="1129" spans="1:12" x14ac:dyDescent="0.2">
      <c r="A1129">
        <f>10</f>
        <v>10</v>
      </c>
      <c r="B1129">
        <f>ACE_Input!A49</f>
        <v>44</v>
      </c>
      <c r="C1129" s="6">
        <f>MOD(Settings!$B$17*(C1128),Settings!$B$18)</f>
        <v>1580832969</v>
      </c>
      <c r="D1129" s="6">
        <f>MAX(C1129,1)/Settings!$B$18</f>
        <v>0.73613271570584393</v>
      </c>
      <c r="E1129" s="6">
        <f t="shared" si="37"/>
        <v>5</v>
      </c>
      <c r="F1129" s="6">
        <f>ACE_Input!D49</f>
        <v>348</v>
      </c>
      <c r="G1129" s="6">
        <f>MOD(Settings!$B$17*(G1128),Settings!$B$18)</f>
        <v>1289911824</v>
      </c>
      <c r="H1129" s="6">
        <f>MAX(G1129,1)/Settings!$B$18</f>
        <v>0.60066200075701903</v>
      </c>
      <c r="I1129" s="6">
        <f>-ACE_Input!W49*LN(H1129)</f>
        <v>2.0388915895889186</v>
      </c>
      <c r="J1129" s="6">
        <f>-ACE_Input!X49*LN(H1129)</f>
        <v>6.1166747687667558</v>
      </c>
      <c r="K1129" s="6">
        <f>ACE_Input!U49</f>
        <v>300</v>
      </c>
      <c r="L1129" s="6">
        <f>K1129*ACE_Input!V49</f>
        <v>75</v>
      </c>
    </row>
    <row r="1130" spans="1:12" x14ac:dyDescent="0.2">
      <c r="A1130">
        <f>10</f>
        <v>10</v>
      </c>
      <c r="B1130">
        <f>ACE_Input!A50</f>
        <v>45</v>
      </c>
      <c r="C1130" s="6">
        <f>MOD(Settings!$B$17*(C1129),Settings!$B$18)</f>
        <v>392029299</v>
      </c>
      <c r="D1130" s="6">
        <f>MAX(C1130,1)/Settings!$B$18</f>
        <v>0.18255286811969842</v>
      </c>
      <c r="E1130" s="6">
        <f t="shared" si="37"/>
        <v>6</v>
      </c>
      <c r="F1130" s="6">
        <f>ACE_Input!D50</f>
        <v>354</v>
      </c>
      <c r="G1130" s="6">
        <f>MOD(Settings!$B$17*(G1129),Settings!$B$18)</f>
        <v>700609503</v>
      </c>
      <c r="H1130" s="6">
        <f>MAX(G1130,1)/Settings!$B$18</f>
        <v>0.32624672321893589</v>
      </c>
      <c r="I1130" s="6">
        <f>-ACE_Input!W50*LN(H1130)</f>
        <v>4.4804054566761984</v>
      </c>
      <c r="J1130" s="6">
        <f>-ACE_Input!X50*LN(H1130)</f>
        <v>13.441216370028595</v>
      </c>
      <c r="K1130" s="6">
        <f>ACE_Input!U50</f>
        <v>300</v>
      </c>
      <c r="L1130" s="6">
        <f>K1130*ACE_Input!V50</f>
        <v>75</v>
      </c>
    </row>
    <row r="1131" spans="1:12" x14ac:dyDescent="0.2">
      <c r="A1131">
        <f>10</f>
        <v>10</v>
      </c>
      <c r="B1131">
        <f>ACE_Input!A51</f>
        <v>46</v>
      </c>
      <c r="C1131" s="6">
        <f>MOD(Settings!$B$17*(C1130),Settings!$B$18)</f>
        <v>356599297</v>
      </c>
      <c r="D1131" s="6">
        <f>MAX(C1131,1)/Settings!$B$18</f>
        <v>0.16605448777137999</v>
      </c>
      <c r="E1131" s="6">
        <f t="shared" si="37"/>
        <v>5</v>
      </c>
      <c r="F1131" s="6">
        <f>ACE_Input!D51</f>
        <v>359</v>
      </c>
      <c r="G1131" s="6">
        <f>MOD(Settings!$B$17*(G1130),Settings!$B$18)</f>
        <v>491080420</v>
      </c>
      <c r="H1131" s="6">
        <f>MAX(G1131,1)/Settings!$B$18</f>
        <v>0.22867714065531136</v>
      </c>
      <c r="I1131" s="6">
        <f>-ACE_Input!W51*LN(H1131)</f>
        <v>5.9017765454331865</v>
      </c>
      <c r="J1131" s="6">
        <f>-ACE_Input!X51*LN(H1131)</f>
        <v>17.70532963629956</v>
      </c>
      <c r="K1131" s="6">
        <f>ACE_Input!U51</f>
        <v>300</v>
      </c>
      <c r="L1131" s="6">
        <f>K1131*ACE_Input!V51</f>
        <v>75</v>
      </c>
    </row>
    <row r="1132" spans="1:12" x14ac:dyDescent="0.2">
      <c r="A1132">
        <f>10</f>
        <v>10</v>
      </c>
      <c r="B1132">
        <f>ACE_Input!A52</f>
        <v>47</v>
      </c>
      <c r="C1132" s="6">
        <f>MOD(Settings!$B$17*(C1131),Settings!$B$18)</f>
        <v>1885009549</v>
      </c>
      <c r="D1132" s="6">
        <f>MAX(C1132,1)/Settings!$B$18</f>
        <v>0.87777597358346726</v>
      </c>
      <c r="E1132" s="6">
        <f t="shared" si="37"/>
        <v>5</v>
      </c>
      <c r="F1132" s="6">
        <f>ACE_Input!D52</f>
        <v>364</v>
      </c>
      <c r="G1132" s="6">
        <f>MOD(Settings!$B$17*(G1131),Settings!$B$18)</f>
        <v>808963519</v>
      </c>
      <c r="H1132" s="6">
        <f>MAX(G1132,1)/Settings!$B$18</f>
        <v>0.3767029938179548</v>
      </c>
      <c r="I1132" s="6">
        <f>-ACE_Input!W52*LN(H1132)</f>
        <v>3.9051928673191183</v>
      </c>
      <c r="J1132" s="6">
        <f>-ACE_Input!X52*LN(H1132)</f>
        <v>11.715578601957354</v>
      </c>
      <c r="K1132" s="6">
        <f>ACE_Input!U52</f>
        <v>300</v>
      </c>
      <c r="L1132" s="6">
        <f>K1132*ACE_Input!V52</f>
        <v>75</v>
      </c>
    </row>
    <row r="1133" spans="1:12" x14ac:dyDescent="0.2">
      <c r="A1133">
        <f>10</f>
        <v>10</v>
      </c>
      <c r="B1133">
        <f>ACE_Input!A53</f>
        <v>48</v>
      </c>
      <c r="C1133" s="6">
        <f>MOD(Settings!$B$17*(C1132),Settings!$B$18)</f>
        <v>1676729499</v>
      </c>
      <c r="D1133" s="6">
        <f>MAX(C1133,1)/Settings!$B$18</f>
        <v>0.78078801733478342</v>
      </c>
      <c r="E1133" s="6">
        <f t="shared" si="37"/>
        <v>5</v>
      </c>
      <c r="F1133" s="6">
        <f>ACE_Input!D53</f>
        <v>369</v>
      </c>
      <c r="G1133" s="6">
        <f>MOD(Settings!$B$17*(G1132),Settings!$B$18)</f>
        <v>530894676</v>
      </c>
      <c r="H1133" s="6">
        <f>MAX(G1133,1)/Settings!$B$18</f>
        <v>0.24721709836610459</v>
      </c>
      <c r="I1133" s="6">
        <f>-ACE_Input!W53*LN(H1133)</f>
        <v>5.5899535505717406</v>
      </c>
      <c r="J1133" s="6">
        <f>-ACE_Input!X53*LN(H1133)</f>
        <v>16.76986065171522</v>
      </c>
      <c r="K1133" s="6">
        <f>ACE_Input!U53</f>
        <v>300</v>
      </c>
      <c r="L1133" s="6">
        <f>K1133*ACE_Input!V53</f>
        <v>75</v>
      </c>
    </row>
    <row r="1134" spans="1:12" x14ac:dyDescent="0.2">
      <c r="A1134">
        <f>10</f>
        <v>10</v>
      </c>
      <c r="B1134">
        <f>ACE_Input!A54</f>
        <v>49</v>
      </c>
      <c r="C1134" s="6">
        <f>MOD(Settings!$B$17*(C1133),Settings!$B$18)</f>
        <v>1512273759</v>
      </c>
      <c r="D1134" s="6">
        <f>MAX(C1134,1)/Settings!$B$18</f>
        <v>0.70420734570557597</v>
      </c>
      <c r="E1134" s="6">
        <f t="shared" si="37"/>
        <v>5</v>
      </c>
      <c r="F1134" s="6">
        <f>ACE_Input!D54</f>
        <v>374</v>
      </c>
      <c r="G1134" s="6">
        <f>MOD(Settings!$B$17*(G1133),Settings!$B$18)</f>
        <v>2099749894</v>
      </c>
      <c r="H1134" s="6">
        <f>MAX(G1134,1)/Settings!$B$18</f>
        <v>0.97777223911963973</v>
      </c>
      <c r="I1134" s="6">
        <f>-ACE_Input!W54*LN(H1134)</f>
        <v>8.991408161933695E-2</v>
      </c>
      <c r="J1134" s="6">
        <f>-ACE_Input!X54*LN(H1134)</f>
        <v>0.26974224485801085</v>
      </c>
      <c r="K1134" s="6">
        <f>ACE_Input!U54</f>
        <v>300</v>
      </c>
      <c r="L1134" s="6">
        <f>K1134*ACE_Input!V54</f>
        <v>75</v>
      </c>
    </row>
    <row r="1135" spans="1:12" x14ac:dyDescent="0.2">
      <c r="A1135">
        <f>10</f>
        <v>10</v>
      </c>
      <c r="B1135">
        <f>ACE_Input!A55</f>
        <v>50</v>
      </c>
      <c r="C1135" s="6">
        <f>MOD(Settings!$B$17*(C1134),Settings!$B$18)</f>
        <v>1316105268</v>
      </c>
      <c r="D1135" s="6">
        <f>MAX(C1135,1)/Settings!$B$18</f>
        <v>0.612859273614762</v>
      </c>
      <c r="E1135" s="6">
        <f t="shared" si="37"/>
        <v>5</v>
      </c>
      <c r="F1135" s="6">
        <f>ACE_Input!D55</f>
        <v>379</v>
      </c>
      <c r="G1135" s="6">
        <f>MOD(Settings!$B$17*(G1134),Settings!$B$18)</f>
        <v>897697307</v>
      </c>
      <c r="H1135" s="6">
        <f>MAX(G1135,1)/Settings!$B$18</f>
        <v>0.41802288378496788</v>
      </c>
      <c r="I1135" s="6">
        <f>-ACE_Input!W55*LN(H1135)</f>
        <v>3.4888764082353214</v>
      </c>
      <c r="J1135" s="6">
        <f>-ACE_Input!X55*LN(H1135)</f>
        <v>10.466629224705965</v>
      </c>
      <c r="K1135" s="6">
        <f>ACE_Input!U55</f>
        <v>300</v>
      </c>
      <c r="L1135" s="6">
        <f>K1135*ACE_Input!V55</f>
        <v>75</v>
      </c>
    </row>
    <row r="1136" spans="1:12" x14ac:dyDescent="0.2">
      <c r="A1136">
        <f>10</f>
        <v>10</v>
      </c>
      <c r="B1136">
        <f>ACE_Input!A56</f>
        <v>51</v>
      </c>
      <c r="C1136" s="6">
        <f>MOD(Settings!$B$17*(C1135),Settings!$B$18)</f>
        <v>699675176</v>
      </c>
      <c r="D1136" s="6">
        <f>MAX(C1136,1)/Settings!$B$18</f>
        <v>0.32581164330514689</v>
      </c>
      <c r="E1136" s="6">
        <f t="shared" si="37"/>
        <v>5</v>
      </c>
      <c r="F1136" s="6">
        <f>ACE_Input!D56</f>
        <v>384</v>
      </c>
      <c r="G1136" s="6">
        <f>MOD(Settings!$B$17*(G1135),Settings!$B$18)</f>
        <v>1526018574</v>
      </c>
      <c r="H1136" s="6">
        <f>MAX(G1136,1)/Settings!$B$18</f>
        <v>0.71060777395526309</v>
      </c>
      <c r="I1136" s="6">
        <f>-ACE_Input!W56*LN(H1136)</f>
        <v>1.3665386218693867</v>
      </c>
      <c r="J1136" s="6">
        <f>-ACE_Input!X56*LN(H1136)</f>
        <v>4.0996158656081603</v>
      </c>
      <c r="K1136" s="6">
        <f>ACE_Input!U56</f>
        <v>300</v>
      </c>
      <c r="L1136" s="6">
        <f>K1136*ACE_Input!V56</f>
        <v>75</v>
      </c>
    </row>
    <row r="1137" spans="1:12" x14ac:dyDescent="0.2">
      <c r="A1137">
        <f>10</f>
        <v>10</v>
      </c>
      <c r="B1137">
        <f>ACE_Input!A57</f>
        <v>52</v>
      </c>
      <c r="C1137" s="6">
        <f>MOD(Settings!$B$17*(C1136),Settings!$B$18)</f>
        <v>1967715707</v>
      </c>
      <c r="D1137" s="6">
        <f>MAX(C1137,1)/Settings!$B$18</f>
        <v>0.91628902960395864</v>
      </c>
      <c r="E1137" s="6">
        <f t="shared" si="37"/>
        <v>5</v>
      </c>
      <c r="F1137" s="6">
        <f>ACE_Input!D57</f>
        <v>389</v>
      </c>
      <c r="G1137" s="6">
        <f>MOD(Settings!$B$17*(G1136),Settings!$B$18)</f>
        <v>396977097</v>
      </c>
      <c r="H1137" s="6">
        <f>MAX(G1137,1)/Settings!$B$18</f>
        <v>0.18485686610678997</v>
      </c>
      <c r="I1137" s="6">
        <f>-ACE_Input!W57*LN(H1137)</f>
        <v>6.7526938003265737</v>
      </c>
      <c r="J1137" s="6">
        <f>-ACE_Input!X57*LN(H1137)</f>
        <v>20.258081400979719</v>
      </c>
      <c r="K1137" s="6">
        <f>ACE_Input!U57</f>
        <v>300</v>
      </c>
      <c r="L1137" s="6">
        <f>K1137*ACE_Input!V57</f>
        <v>75</v>
      </c>
    </row>
    <row r="1138" spans="1:12" x14ac:dyDescent="0.2">
      <c r="A1138">
        <f>10</f>
        <v>10</v>
      </c>
      <c r="B1138">
        <f>ACE_Input!A58</f>
        <v>53</v>
      </c>
      <c r="C1138" s="6">
        <f>MOD(Settings!$B$17*(C1137),Settings!$B$18)</f>
        <v>149723749</v>
      </c>
      <c r="D1138" s="6">
        <f>MAX(C1138,1)/Settings!$B$18</f>
        <v>6.9720553732347007E-2</v>
      </c>
      <c r="E1138" s="6">
        <f t="shared" si="37"/>
        <v>5</v>
      </c>
      <c r="F1138" s="6">
        <f>ACE_Input!D58</f>
        <v>394</v>
      </c>
      <c r="G1138" s="6">
        <f>MOD(Settings!$B$17*(G1137),Settings!$B$18)</f>
        <v>1909861697</v>
      </c>
      <c r="H1138" s="6">
        <f>MAX(G1138,1)/Settings!$B$18</f>
        <v>0.88934865681889874</v>
      </c>
      <c r="I1138" s="6">
        <f>-ACE_Input!W58*LN(H1138)</f>
        <v>0.46906372182825756</v>
      </c>
      <c r="J1138" s="6">
        <f>-ACE_Input!X58*LN(H1138)</f>
        <v>1.4071911654847726</v>
      </c>
      <c r="K1138" s="6">
        <f>ACE_Input!U58</f>
        <v>300</v>
      </c>
      <c r="L1138" s="6">
        <f>K1138*ACE_Input!V58</f>
        <v>75</v>
      </c>
    </row>
    <row r="1139" spans="1:12" x14ac:dyDescent="0.2">
      <c r="A1139">
        <f>10</f>
        <v>10</v>
      </c>
      <c r="B1139">
        <f>ACE_Input!A59</f>
        <v>54</v>
      </c>
      <c r="C1139" s="6">
        <f>MOD(Settings!$B$17*(C1138),Settings!$B$18)</f>
        <v>1703698806</v>
      </c>
      <c r="D1139" s="6">
        <f>MAX(C1139,1)/Settings!$B$18</f>
        <v>0.79334657955604915</v>
      </c>
      <c r="E1139" s="6">
        <f t="shared" si="37"/>
        <v>5</v>
      </c>
      <c r="F1139" s="6">
        <f>ACE_Input!D59</f>
        <v>399</v>
      </c>
      <c r="G1139" s="6">
        <f>MOD(Settings!$B$17*(G1138),Settings!$B$18)</f>
        <v>607469770</v>
      </c>
      <c r="H1139" s="6">
        <f>MAX(G1139,1)/Settings!$B$18</f>
        <v>0.28287515523046031</v>
      </c>
      <c r="I1139" s="6">
        <f>-ACE_Input!W59*LN(H1139)</f>
        <v>5.0509985050746939</v>
      </c>
      <c r="J1139" s="6">
        <f>-ACE_Input!X59*LN(H1139)</f>
        <v>15.152995515224081</v>
      </c>
      <c r="K1139" s="6">
        <f>ACE_Input!U59</f>
        <v>300</v>
      </c>
      <c r="L1139" s="6">
        <f>K1139*ACE_Input!V59</f>
        <v>75</v>
      </c>
    </row>
    <row r="1140" spans="1:12" x14ac:dyDescent="0.2">
      <c r="A1140">
        <f>10</f>
        <v>10</v>
      </c>
      <c r="B1140">
        <f>ACE_Input!A60</f>
        <v>55</v>
      </c>
      <c r="C1140" s="6">
        <f>MOD(Settings!$B$17*(C1139),Settings!$B$18)</f>
        <v>1666366991</v>
      </c>
      <c r="D1140" s="6">
        <f>MAX(C1140,1)/Settings!$B$18</f>
        <v>0.7759625985175197</v>
      </c>
      <c r="E1140" s="6">
        <f t="shared" si="37"/>
        <v>5</v>
      </c>
      <c r="F1140" s="6">
        <f>ACE_Input!D60</f>
        <v>404</v>
      </c>
      <c r="G1140" s="6">
        <f>MOD(Settings!$B$17*(G1139),Settings!$B$18)</f>
        <v>607166552</v>
      </c>
      <c r="H1140" s="6">
        <f>MAX(G1140,1)/Settings!$B$18</f>
        <v>0.28273395834617965</v>
      </c>
      <c r="I1140" s="6">
        <f>-ACE_Input!W60*LN(H1140)</f>
        <v>5.0529956000128688</v>
      </c>
      <c r="J1140" s="6">
        <f>-ACE_Input!X60*LN(H1140)</f>
        <v>15.158986800038607</v>
      </c>
      <c r="K1140" s="6">
        <f>ACE_Input!U60</f>
        <v>300</v>
      </c>
      <c r="L1140" s="6">
        <f>K1140*ACE_Input!V60</f>
        <v>75</v>
      </c>
    </row>
    <row r="1141" spans="1:12" x14ac:dyDescent="0.2">
      <c r="A1141">
        <f>10</f>
        <v>10</v>
      </c>
      <c r="B1141">
        <f>ACE_Input!A61</f>
        <v>56</v>
      </c>
      <c r="C1141" s="6">
        <f>MOD(Settings!$B$17*(C1140),Settings!$B$18)</f>
        <v>1295777210</v>
      </c>
      <c r="D1141" s="6">
        <f>MAX(C1141,1)/Settings!$B$18</f>
        <v>0.6033932839536077</v>
      </c>
      <c r="E1141" s="6">
        <f t="shared" si="37"/>
        <v>5</v>
      </c>
      <c r="F1141" s="6">
        <f>ACE_Input!D61</f>
        <v>409</v>
      </c>
      <c r="G1141" s="6">
        <f>MOD(Settings!$B$17*(G1140),Settings!$B$18)</f>
        <v>1953432567</v>
      </c>
      <c r="H1141" s="6">
        <f>MAX(G1141,1)/Settings!$B$18</f>
        <v>0.90963792424166479</v>
      </c>
      <c r="I1141" s="6">
        <f>-ACE_Input!W61*LN(H1141)</f>
        <v>0.37883457638951823</v>
      </c>
      <c r="J1141" s="6">
        <f>-ACE_Input!X61*LN(H1141)</f>
        <v>1.1365037291685547</v>
      </c>
      <c r="K1141" s="6">
        <f>ACE_Input!U61</f>
        <v>300</v>
      </c>
      <c r="L1141" s="6">
        <f>K1141*ACE_Input!V61</f>
        <v>75</v>
      </c>
    </row>
    <row r="1142" spans="1:12" x14ac:dyDescent="0.2">
      <c r="A1142">
        <f>10</f>
        <v>10</v>
      </c>
      <c r="B1142">
        <f>ACE_Input!A62</f>
        <v>57</v>
      </c>
      <c r="C1142" s="6">
        <f>MOD(Settings!$B$17*(C1141),Settings!$B$18)</f>
        <v>495904243</v>
      </c>
      <c r="D1142" s="6">
        <f>MAX(C1142,1)/Settings!$B$18</f>
        <v>0.23092340828428204</v>
      </c>
      <c r="E1142" s="6">
        <f t="shared" si="37"/>
        <v>5</v>
      </c>
      <c r="F1142" s="6">
        <f>ACE_Input!D62</f>
        <v>414</v>
      </c>
      <c r="G1142" s="6">
        <f>MOD(Settings!$B$17*(G1141),Settings!$B$18)</f>
        <v>611158233</v>
      </c>
      <c r="H1142" s="6">
        <f>MAX(G1142,1)/Settings!$B$18</f>
        <v>0.28459272966002708</v>
      </c>
      <c r="I1142" s="6">
        <f>-ACE_Input!W62*LN(H1142)</f>
        <v>5.0267845578851311</v>
      </c>
      <c r="J1142" s="6">
        <f>-ACE_Input!X62*LN(H1142)</f>
        <v>15.080353673655393</v>
      </c>
      <c r="K1142" s="6">
        <f>ACE_Input!U62</f>
        <v>300</v>
      </c>
      <c r="L1142" s="6">
        <f>K1142*ACE_Input!V62</f>
        <v>75</v>
      </c>
    </row>
    <row r="1143" spans="1:12" x14ac:dyDescent="0.2">
      <c r="A1143">
        <f>10</f>
        <v>10</v>
      </c>
      <c r="B1143">
        <f>ACE_Input!A63</f>
        <v>58</v>
      </c>
      <c r="C1143" s="6">
        <f>MOD(Settings!$B$17*(C1142),Settings!$B$18)</f>
        <v>278578094</v>
      </c>
      <c r="D1143" s="6">
        <f>MAX(C1143,1)/Settings!$B$18</f>
        <v>0.12972303392818338</v>
      </c>
      <c r="E1143" s="6">
        <f t="shared" si="37"/>
        <v>5</v>
      </c>
      <c r="F1143" s="6">
        <f>ACE_Input!D63</f>
        <v>419</v>
      </c>
      <c r="G1143" s="6">
        <f>MOD(Settings!$B$17*(G1142),Settings!$B$18)</f>
        <v>322138430</v>
      </c>
      <c r="H1143" s="6">
        <f>MAX(G1143,1)/Settings!$B$18</f>
        <v>0.15000739607494668</v>
      </c>
      <c r="I1143" s="6">
        <f>-ACE_Input!W63*LN(H1143)</f>
        <v>7.5882827157405144</v>
      </c>
      <c r="J1143" s="6">
        <f>-ACE_Input!X63*LN(H1143)</f>
        <v>22.764848147221542</v>
      </c>
      <c r="K1143" s="6">
        <f>ACE_Input!U63</f>
        <v>300</v>
      </c>
      <c r="L1143" s="6">
        <f>K1143*ACE_Input!V63</f>
        <v>75</v>
      </c>
    </row>
    <row r="1144" spans="1:12" x14ac:dyDescent="0.2">
      <c r="A1144">
        <f>10</f>
        <v>10</v>
      </c>
      <c r="B1144">
        <f>ACE_Input!A64</f>
        <v>59</v>
      </c>
      <c r="C1144" s="6">
        <f>MOD(Settings!$B$17*(C1143),Settings!$B$18)</f>
        <v>547675398</v>
      </c>
      <c r="D1144" s="6">
        <f>MAX(C1144,1)/Settings!$B$18</f>
        <v>0.25503123097821662</v>
      </c>
      <c r="E1144" s="6">
        <f t="shared" si="37"/>
        <v>5</v>
      </c>
      <c r="F1144" s="6">
        <f>ACE_Input!D64</f>
        <v>424</v>
      </c>
      <c r="G1144" s="6">
        <f>MOD(Settings!$B$17*(G1143),Settings!$B$18)</f>
        <v>374318923</v>
      </c>
      <c r="H1144" s="6">
        <f>MAX(G1144,1)/Settings!$B$18</f>
        <v>0.17430583162899402</v>
      </c>
      <c r="I1144" s="6">
        <f>-ACE_Input!W64*LN(H1144)</f>
        <v>6.987775478367606</v>
      </c>
      <c r="J1144" s="6">
        <f>-ACE_Input!X64*LN(H1144)</f>
        <v>20.963326435102818</v>
      </c>
      <c r="K1144" s="6">
        <f>ACE_Input!U64</f>
        <v>300</v>
      </c>
      <c r="L1144" s="6">
        <f>K1144*ACE_Input!V64</f>
        <v>75</v>
      </c>
    </row>
    <row r="1145" spans="1:12" x14ac:dyDescent="0.2">
      <c r="A1145">
        <f>10</f>
        <v>10</v>
      </c>
      <c r="B1145">
        <f>ACE_Input!A65</f>
        <v>60</v>
      </c>
      <c r="C1145" s="6">
        <f>MOD(Settings!$B$17*(C1144),Settings!$B$18)</f>
        <v>665503144</v>
      </c>
      <c r="D1145" s="6">
        <f>MAX(C1145,1)/Settings!$B$18</f>
        <v>0.30989905088669578</v>
      </c>
      <c r="E1145" s="6">
        <f t="shared" si="37"/>
        <v>5</v>
      </c>
      <c r="F1145" s="6">
        <f>ACE_Input!D65</f>
        <v>429</v>
      </c>
      <c r="G1145" s="6">
        <f>MOD(Settings!$B$17*(G1144),Settings!$B$18)</f>
        <v>1198536798</v>
      </c>
      <c r="H1145" s="6">
        <f>MAX(G1145,1)/Settings!$B$18</f>
        <v>0.55811218850226707</v>
      </c>
      <c r="I1145" s="6">
        <f>-ACE_Input!W65*LN(H1145)</f>
        <v>2.3327811285841809</v>
      </c>
      <c r="J1145" s="6">
        <f>-ACE_Input!X65*LN(H1145)</f>
        <v>6.998343385752543</v>
      </c>
      <c r="K1145" s="6">
        <f>ACE_Input!U65</f>
        <v>300</v>
      </c>
      <c r="L1145" s="6">
        <f>K1145*ACE_Input!V65</f>
        <v>75</v>
      </c>
    </row>
    <row r="1146" spans="1:12" x14ac:dyDescent="0.2">
      <c r="A1146">
        <f>10</f>
        <v>10</v>
      </c>
      <c r="B1146">
        <f>ACE_Input!A66</f>
        <v>61</v>
      </c>
      <c r="C1146" s="6">
        <f>MOD(Settings!$B$17*(C1145),Settings!$B$18)</f>
        <v>1016507632</v>
      </c>
      <c r="D1146" s="6">
        <f>MAX(C1146,1)/Settings!$B$18</f>
        <v>0.47334825269568165</v>
      </c>
      <c r="E1146" s="6">
        <f t="shared" si="37"/>
        <v>5</v>
      </c>
      <c r="F1146" s="6">
        <f>ACE_Input!D66</f>
        <v>434</v>
      </c>
      <c r="G1146" s="6">
        <f>MOD(Settings!$B$17*(G1145),Settings!$B$18)</f>
        <v>411355126</v>
      </c>
      <c r="H1146" s="6">
        <f>MAX(G1146,1)/Settings!$B$18</f>
        <v>0.19155215760299571</v>
      </c>
      <c r="I1146" s="6">
        <f>-ACE_Input!W66*LN(H1146)</f>
        <v>6.6103805759340482</v>
      </c>
      <c r="J1146" s="6">
        <f>-ACE_Input!X66*LN(H1146)</f>
        <v>19.831141727802144</v>
      </c>
      <c r="K1146" s="6">
        <f>ACE_Input!U66</f>
        <v>300</v>
      </c>
      <c r="L1146" s="6">
        <f>K1146*ACE_Input!V66</f>
        <v>75</v>
      </c>
    </row>
    <row r="1147" spans="1:12" x14ac:dyDescent="0.2">
      <c r="A1147">
        <f>10</f>
        <v>10</v>
      </c>
      <c r="B1147">
        <f>ACE_Input!A67</f>
        <v>62</v>
      </c>
      <c r="C1147" s="6">
        <f>MOD(Settings!$B$17*(C1146),Settings!$B$18)</f>
        <v>1211359139</v>
      </c>
      <c r="D1147" s="6">
        <f>MAX(C1147,1)/Settings!$B$18</f>
        <v>0.56408305632140632</v>
      </c>
      <c r="E1147" s="6">
        <f t="shared" si="37"/>
        <v>5</v>
      </c>
      <c r="F1147" s="6">
        <f>ACE_Input!D67</f>
        <v>439</v>
      </c>
      <c r="G1147" s="6">
        <f>MOD(Settings!$B$17*(G1146),Settings!$B$18)</f>
        <v>895742989</v>
      </c>
      <c r="H1147" s="6">
        <f>MAX(G1147,1)/Settings!$B$18</f>
        <v>0.41711283354885542</v>
      </c>
      <c r="I1147" s="6">
        <f>-ACE_Input!W67*LN(H1147)</f>
        <v>3.4975940389383373</v>
      </c>
      <c r="J1147" s="6">
        <f>-ACE_Input!X67*LN(H1147)</f>
        <v>10.492782116815011</v>
      </c>
      <c r="K1147" s="6">
        <f>ACE_Input!U67</f>
        <v>300</v>
      </c>
      <c r="L1147" s="6">
        <f>K1147*ACE_Input!V67</f>
        <v>75</v>
      </c>
    </row>
    <row r="1148" spans="1:12" x14ac:dyDescent="0.2">
      <c r="A1148">
        <f>10</f>
        <v>10</v>
      </c>
      <c r="B1148">
        <f>ACE_Input!A68</f>
        <v>63</v>
      </c>
      <c r="C1148" s="6">
        <f>MOD(Settings!$B$17*(C1147),Settings!$B$18)</f>
        <v>1168075613</v>
      </c>
      <c r="D1148" s="6">
        <f>MAX(C1148,1)/Settings!$B$18</f>
        <v>0.54392759387564271</v>
      </c>
      <c r="E1148" s="6">
        <f t="shared" si="37"/>
        <v>5</v>
      </c>
      <c r="F1148" s="6">
        <f>ACE_Input!D68</f>
        <v>444</v>
      </c>
      <c r="G1148" s="6">
        <f>MOD(Settings!$B$17*(G1147),Settings!$B$18)</f>
        <v>892050653</v>
      </c>
      <c r="H1148" s="6">
        <f>MAX(G1148,1)/Settings!$B$18</f>
        <v>0.41539345561312208</v>
      </c>
      <c r="I1148" s="6">
        <f>-ACE_Input!W68*LN(H1148)</f>
        <v>3.5141164883447082</v>
      </c>
      <c r="J1148" s="6">
        <f>-ACE_Input!X68*LN(H1148)</f>
        <v>10.542349465034125</v>
      </c>
      <c r="K1148" s="6">
        <f>ACE_Input!U68</f>
        <v>300</v>
      </c>
      <c r="L1148" s="6">
        <f>K1148*ACE_Input!V68</f>
        <v>75</v>
      </c>
    </row>
    <row r="1149" spans="1:12" x14ac:dyDescent="0.2">
      <c r="A1149">
        <f>10</f>
        <v>10</v>
      </c>
      <c r="B1149">
        <f>ACE_Input!A69</f>
        <v>64</v>
      </c>
      <c r="C1149" s="6">
        <f>MOD(Settings!$B$17*(C1148),Settings!$B$18)</f>
        <v>1698810464</v>
      </c>
      <c r="D1149" s="6">
        <f>MAX(C1149,1)/Settings!$B$18</f>
        <v>0.79107026792646862</v>
      </c>
      <c r="E1149" s="6">
        <f t="shared" si="37"/>
        <v>5</v>
      </c>
      <c r="F1149" s="6">
        <f>ACE_Input!D69</f>
        <v>449</v>
      </c>
      <c r="G1149" s="6">
        <f>MOD(Settings!$B$17*(G1148),Settings!$B$18)</f>
        <v>1111985264</v>
      </c>
      <c r="H1149" s="6">
        <f>MAX(G1149,1)/Settings!$B$18</f>
        <v>0.51780848974259963</v>
      </c>
      <c r="I1149" s="6">
        <f>-ACE_Input!W69*LN(H1149)</f>
        <v>2.6325992640168341</v>
      </c>
      <c r="J1149" s="6">
        <f>-ACE_Input!X69*LN(H1149)</f>
        <v>7.8977977920505023</v>
      </c>
      <c r="K1149" s="6">
        <f>ACE_Input!U69</f>
        <v>300</v>
      </c>
      <c r="L1149" s="6">
        <f>K1149*ACE_Input!V69</f>
        <v>75</v>
      </c>
    </row>
    <row r="1150" spans="1:12" x14ac:dyDescent="0.2">
      <c r="A1150">
        <f>10</f>
        <v>10</v>
      </c>
      <c r="B1150">
        <f>ACE_Input!A70</f>
        <v>65</v>
      </c>
      <c r="C1150" s="6">
        <f>MOD(Settings!$B$17*(C1149),Settings!$B$18)</f>
        <v>1112381583</v>
      </c>
      <c r="D1150" s="6">
        <f>MAX(C1150,1)/Settings!$B$18</f>
        <v>0.51799304015841008</v>
      </c>
      <c r="E1150" s="6">
        <f t="shared" si="37"/>
        <v>5</v>
      </c>
      <c r="F1150" s="6">
        <f>ACE_Input!D70</f>
        <v>454</v>
      </c>
      <c r="G1150" s="6">
        <f>MOD(Settings!$B$17*(G1149),Settings!$B$18)</f>
        <v>1733635854</v>
      </c>
      <c r="H1150" s="6">
        <f>MAX(G1150,1)/Settings!$B$18</f>
        <v>0.80728710387241431</v>
      </c>
      <c r="I1150" s="6">
        <f>-ACE_Input!W70*LN(H1150)</f>
        <v>0.85630362840761554</v>
      </c>
      <c r="J1150" s="6">
        <f>-ACE_Input!X70*LN(H1150)</f>
        <v>2.5689108852228468</v>
      </c>
      <c r="K1150" s="6">
        <f>ACE_Input!U70</f>
        <v>300</v>
      </c>
      <c r="L1150" s="6">
        <f>K1150*ACE_Input!V70</f>
        <v>75</v>
      </c>
    </row>
    <row r="1151" spans="1:12" x14ac:dyDescent="0.2">
      <c r="A1151">
        <f>10</f>
        <v>10</v>
      </c>
      <c r="B1151">
        <f>ACE_Input!A71</f>
        <v>66</v>
      </c>
      <c r="C1151" s="6">
        <f>MOD(Settings!$B$17*(C1150),Settings!$B$18)</f>
        <v>1952118346</v>
      </c>
      <c r="D1151" s="6">
        <f>MAX(C1151,1)/Settings!$B$18</f>
        <v>0.90902594239871293</v>
      </c>
      <c r="E1151" s="6">
        <f t="shared" ref="E1151:E1182" si="38">F1151-F1150</f>
        <v>5</v>
      </c>
      <c r="F1151" s="6">
        <f>ACE_Input!D71</f>
        <v>459</v>
      </c>
      <c r="G1151" s="6">
        <f>MOD(Settings!$B$17*(G1150),Settings!$B$18)</f>
        <v>159675682</v>
      </c>
      <c r="H1151" s="6">
        <f>MAX(G1151,1)/Settings!$B$18</f>
        <v>7.4354783666485361E-2</v>
      </c>
      <c r="I1151" s="6">
        <f>-ACE_Input!W71*LN(H1151)</f>
        <v>10.395629073256048</v>
      </c>
      <c r="J1151" s="6">
        <f>-ACE_Input!X71*LN(H1151)</f>
        <v>31.186887219768145</v>
      </c>
      <c r="K1151" s="6">
        <f>ACE_Input!U71</f>
        <v>300</v>
      </c>
      <c r="L1151" s="6">
        <f>K1151*ACE_Input!V71</f>
        <v>75</v>
      </c>
    </row>
    <row r="1152" spans="1:12" x14ac:dyDescent="0.2">
      <c r="A1152">
        <f>10</f>
        <v>10</v>
      </c>
      <c r="B1152">
        <f>ACE_Input!A72</f>
        <v>67</v>
      </c>
      <c r="C1152" s="6">
        <f>MOD(Settings!$B$17*(C1151),Settings!$B$18)</f>
        <v>2145366003</v>
      </c>
      <c r="D1152" s="6">
        <f>MAX(C1152,1)/Settings!$B$18</f>
        <v>0.9990138951684413</v>
      </c>
      <c r="E1152" s="6">
        <f t="shared" si="38"/>
        <v>15</v>
      </c>
      <c r="F1152" s="6">
        <f>ACE_Input!D72</f>
        <v>474</v>
      </c>
      <c r="G1152" s="6">
        <f>MOD(Settings!$B$17*(G1151),Settings!$B$18)</f>
        <v>1462112271</v>
      </c>
      <c r="H1152" s="6">
        <f>MAX(G1152,1)/Settings!$B$18</f>
        <v>0.68084908261934718</v>
      </c>
      <c r="I1152" s="6">
        <f>-ACE_Input!W72*LN(H1152)</f>
        <v>1.5376584352695986</v>
      </c>
      <c r="J1152" s="6">
        <f>-ACE_Input!X72*LN(H1152)</f>
        <v>4.6129753058087957</v>
      </c>
      <c r="K1152" s="6">
        <f>ACE_Input!U72</f>
        <v>300</v>
      </c>
      <c r="L1152" s="6">
        <f>K1152*ACE_Input!V72</f>
        <v>75</v>
      </c>
    </row>
    <row r="1153" spans="1:12" x14ac:dyDescent="0.2">
      <c r="A1153">
        <f>10</f>
        <v>10</v>
      </c>
      <c r="B1153">
        <f>ACE_Input!A73</f>
        <v>68</v>
      </c>
      <c r="C1153" s="6">
        <f>MOD(Settings!$B$17*(C1152),Settings!$B$18)</f>
        <v>915979291</v>
      </c>
      <c r="D1153" s="6">
        <f>MAX(C1153,1)/Settings!$B$18</f>
        <v>0.42653609599291165</v>
      </c>
      <c r="E1153" s="6">
        <f t="shared" si="38"/>
        <v>5</v>
      </c>
      <c r="F1153" s="6">
        <f>ACE_Input!D73</f>
        <v>479</v>
      </c>
      <c r="G1153" s="6">
        <f>MOD(Settings!$B$17*(G1152),Settings!$B$18)</f>
        <v>65566076</v>
      </c>
      <c r="H1153" s="6">
        <f>MAX(G1153,1)/Settings!$B$18</f>
        <v>3.0531583368094445E-2</v>
      </c>
      <c r="I1153" s="6">
        <f>-ACE_Input!W73*LN(H1153)</f>
        <v>13.955974443538587</v>
      </c>
      <c r="J1153" s="6">
        <f>-ACE_Input!X73*LN(H1153)</f>
        <v>41.86792333061576</v>
      </c>
      <c r="K1153" s="6">
        <f>ACE_Input!U73</f>
        <v>300</v>
      </c>
      <c r="L1153" s="6">
        <f>K1153*ACE_Input!V73</f>
        <v>75</v>
      </c>
    </row>
    <row r="1154" spans="1:12" x14ac:dyDescent="0.2">
      <c r="A1154">
        <f>10</f>
        <v>10</v>
      </c>
      <c r="B1154">
        <f>ACE_Input!A74</f>
        <v>69</v>
      </c>
      <c r="C1154" s="6">
        <f>MOD(Settings!$B$17*(C1153),Settings!$B$18)</f>
        <v>1701162141</v>
      </c>
      <c r="D1154" s="6">
        <f>MAX(C1154,1)/Settings!$B$18</f>
        <v>0.79216535286613055</v>
      </c>
      <c r="E1154" s="6">
        <f t="shared" si="38"/>
        <v>15</v>
      </c>
      <c r="F1154" s="6">
        <f>ACE_Input!D74</f>
        <v>494</v>
      </c>
      <c r="G1154" s="6">
        <f>MOD(Settings!$B$17*(G1153),Settings!$B$18)</f>
        <v>309928421</v>
      </c>
      <c r="H1154" s="6">
        <f>MAX(G1154,1)/Settings!$B$18</f>
        <v>0.14432166756331999</v>
      </c>
      <c r="I1154" s="6">
        <f>-ACE_Input!W74*LN(H1154)</f>
        <v>7.7428426724427455</v>
      </c>
      <c r="J1154" s="6">
        <f>-ACE_Input!X74*LN(H1154)</f>
        <v>23.228528017328237</v>
      </c>
      <c r="K1154" s="6">
        <f>ACE_Input!U74</f>
        <v>300</v>
      </c>
      <c r="L1154" s="6">
        <f>K1154*ACE_Input!V74</f>
        <v>75</v>
      </c>
    </row>
    <row r="1155" spans="1:12" x14ac:dyDescent="0.2">
      <c r="A1155">
        <f>10</f>
        <v>10</v>
      </c>
      <c r="B1155">
        <f>ACE_Input!A75</f>
        <v>70</v>
      </c>
      <c r="C1155" s="6">
        <f>MOD(Settings!$B$17*(C1154),Settings!$B$18)</f>
        <v>1982311276</v>
      </c>
      <c r="D1155" s="6">
        <f>MAX(C1155,1)/Settings!$B$18</f>
        <v>0.92308562105665248</v>
      </c>
      <c r="E1155" s="6">
        <f t="shared" si="38"/>
        <v>5</v>
      </c>
      <c r="F1155" s="6">
        <f>ACE_Input!D75</f>
        <v>499</v>
      </c>
      <c r="G1155" s="6">
        <f>MOD(Settings!$B$17*(G1154),Settings!$B$18)</f>
        <v>1319127772</v>
      </c>
      <c r="H1155" s="6">
        <f>MAX(G1155,1)/Settings!$B$18</f>
        <v>0.61426673671895016</v>
      </c>
      <c r="I1155" s="6">
        <f>-ACE_Input!W75*LN(H1155)</f>
        <v>1.9493040821854164</v>
      </c>
      <c r="J1155" s="6">
        <f>-ACE_Input!X75*LN(H1155)</f>
        <v>5.8479122465562492</v>
      </c>
      <c r="K1155" s="6">
        <f>ACE_Input!U75</f>
        <v>300</v>
      </c>
      <c r="L1155" s="6">
        <f>K1155*ACE_Input!V75</f>
        <v>75</v>
      </c>
    </row>
    <row r="1156" spans="1:12" x14ac:dyDescent="0.2">
      <c r="A1156">
        <f>10</f>
        <v>10</v>
      </c>
      <c r="B1156">
        <f>ACE_Input!A76</f>
        <v>71</v>
      </c>
      <c r="C1156" s="6">
        <f>MOD(Settings!$B$17*(C1155),Settings!$B$18)</f>
        <v>644316174</v>
      </c>
      <c r="D1156" s="6">
        <f>MAX(C1156,1)/Settings!$B$18</f>
        <v>0.30003309915775112</v>
      </c>
      <c r="E1156" s="6">
        <f t="shared" si="38"/>
        <v>5</v>
      </c>
      <c r="F1156" s="6">
        <f>ACE_Input!D76</f>
        <v>504</v>
      </c>
      <c r="G1156" s="6">
        <f>MOD(Settings!$B$17*(G1155),Settings!$B$18)</f>
        <v>2106776023</v>
      </c>
      <c r="H1156" s="6">
        <f>MAX(G1156,1)/Settings!$B$18</f>
        <v>0.98104403539609353</v>
      </c>
      <c r="I1156" s="6">
        <f>-ACE_Input!W76*LN(H1156)</f>
        <v>7.6551728603745595E-2</v>
      </c>
      <c r="J1156" s="6">
        <f>-ACE_Input!X76*LN(H1156)</f>
        <v>0.22965518581123678</v>
      </c>
      <c r="K1156" s="6">
        <f>ACE_Input!U76</f>
        <v>300</v>
      </c>
      <c r="L1156" s="6">
        <f>K1156*ACE_Input!V76</f>
        <v>75</v>
      </c>
    </row>
    <row r="1157" spans="1:12" x14ac:dyDescent="0.2">
      <c r="A1157">
        <f>10</f>
        <v>10</v>
      </c>
      <c r="B1157">
        <f>ACE_Input!A77</f>
        <v>72</v>
      </c>
      <c r="C1157" s="6">
        <f>MOD(Settings!$B$17*(C1156),Settings!$B$18)</f>
        <v>1409388244</v>
      </c>
      <c r="D1157" s="6">
        <f>MAX(C1157,1)/Settings!$B$18</f>
        <v>0.65629754432304643</v>
      </c>
      <c r="E1157" s="6">
        <f t="shared" si="38"/>
        <v>5</v>
      </c>
      <c r="F1157" s="6">
        <f>ACE_Input!D77</f>
        <v>509</v>
      </c>
      <c r="G1157" s="6">
        <f>MOD(Settings!$B$17*(G1156),Settings!$B$18)</f>
        <v>874246825</v>
      </c>
      <c r="H1157" s="6">
        <f>MAX(G1157,1)/Settings!$B$18</f>
        <v>0.40710290214377592</v>
      </c>
      <c r="I1157" s="6">
        <f>-ACE_Input!W77*LN(H1157)</f>
        <v>3.5947571787031172</v>
      </c>
      <c r="J1157" s="6">
        <f>-ACE_Input!X77*LN(H1157)</f>
        <v>10.784271536109351</v>
      </c>
      <c r="K1157" s="6">
        <f>ACE_Input!U77</f>
        <v>300</v>
      </c>
      <c r="L1157" s="6">
        <f>K1157*ACE_Input!V77</f>
        <v>75</v>
      </c>
    </row>
    <row r="1158" spans="1:12" x14ac:dyDescent="0.2">
      <c r="A1158">
        <f>10</f>
        <v>10</v>
      </c>
      <c r="B1158">
        <f>ACE_Input!A78</f>
        <v>73</v>
      </c>
      <c r="C1158" s="6">
        <f>MOD(Settings!$B$17*(C1157),Settings!$B$18)</f>
        <v>843590498</v>
      </c>
      <c r="D1158" s="6">
        <f>MAX(C1158,1)/Settings!$B$18</f>
        <v>0.39282743744218135</v>
      </c>
      <c r="E1158" s="6">
        <f t="shared" si="38"/>
        <v>5</v>
      </c>
      <c r="F1158" s="6">
        <f>ACE_Input!D78</f>
        <v>514</v>
      </c>
      <c r="G1158" s="6">
        <f>MOD(Settings!$B$17*(G1157),Settings!$B$18)</f>
        <v>383275001</v>
      </c>
      <c r="H1158" s="6">
        <f>MAX(G1158,1)/Settings!$B$18</f>
        <v>0.17847633044164457</v>
      </c>
      <c r="I1158" s="6">
        <f>-ACE_Input!W78*LN(H1158)</f>
        <v>6.8931971564910341</v>
      </c>
      <c r="J1158" s="6">
        <f>-ACE_Input!X78*LN(H1158)</f>
        <v>20.679591469473102</v>
      </c>
      <c r="K1158" s="6">
        <f>ACE_Input!U78</f>
        <v>300</v>
      </c>
      <c r="L1158" s="6">
        <f>K1158*ACE_Input!V78</f>
        <v>75</v>
      </c>
    </row>
    <row r="1159" spans="1:12" x14ac:dyDescent="0.2">
      <c r="A1159">
        <f>10</f>
        <v>10</v>
      </c>
      <c r="B1159">
        <f>ACE_Input!A79</f>
        <v>74</v>
      </c>
      <c r="C1159" s="6">
        <f>MOD(Settings!$B$17*(C1158),Settings!$B$18)</f>
        <v>538462392</v>
      </c>
      <c r="D1159" s="6">
        <f>MAX(C1159,1)/Settings!$B$18</f>
        <v>0.25074109074228496</v>
      </c>
      <c r="E1159" s="6">
        <f t="shared" si="38"/>
        <v>5</v>
      </c>
      <c r="F1159" s="6">
        <f>ACE_Input!D79</f>
        <v>519</v>
      </c>
      <c r="G1159" s="6">
        <f>MOD(Settings!$B$17*(G1158),Settings!$B$18)</f>
        <v>1399484454</v>
      </c>
      <c r="H1159" s="6">
        <f>MAX(G1159,1)/Settings!$B$18</f>
        <v>0.65168573272027341</v>
      </c>
      <c r="I1159" s="6">
        <f>-ACE_Input!W79*LN(H1159)</f>
        <v>1.7127713531500224</v>
      </c>
      <c r="J1159" s="6">
        <f>-ACE_Input!X79*LN(H1159)</f>
        <v>5.1383140594500674</v>
      </c>
      <c r="K1159" s="6">
        <f>ACE_Input!U79</f>
        <v>300</v>
      </c>
      <c r="L1159" s="6">
        <f>K1159*ACE_Input!V79</f>
        <v>75</v>
      </c>
    </row>
    <row r="1160" spans="1:12" x14ac:dyDescent="0.2">
      <c r="A1160">
        <f>10</f>
        <v>10</v>
      </c>
      <c r="B1160">
        <f>ACE_Input!A80</f>
        <v>75</v>
      </c>
      <c r="C1160" s="6">
        <f>MOD(Settings!$B$17*(C1159),Settings!$B$18)</f>
        <v>441333886</v>
      </c>
      <c r="D1160" s="6">
        <f>MAX(C1160,1)/Settings!$B$18</f>
        <v>0.20551210558298608</v>
      </c>
      <c r="E1160" s="6">
        <f t="shared" si="38"/>
        <v>5</v>
      </c>
      <c r="F1160" s="6">
        <f>ACE_Input!D80</f>
        <v>524</v>
      </c>
      <c r="G1160" s="6">
        <f>MOD(Settings!$B$17*(G1159),Settings!$B$18)</f>
        <v>1894316434</v>
      </c>
      <c r="H1160" s="6">
        <f>MAX(G1160,1)/Settings!$B$18</f>
        <v>0.88210982963541051</v>
      </c>
      <c r="I1160" s="6">
        <f>-ACE_Input!W80*LN(H1160)</f>
        <v>0.50175482932633297</v>
      </c>
      <c r="J1160" s="6">
        <f>-ACE_Input!X80*LN(H1160)</f>
        <v>1.5052644879789989</v>
      </c>
      <c r="K1160" s="6">
        <f>ACE_Input!U80</f>
        <v>300</v>
      </c>
      <c r="L1160" s="6">
        <f>K1160*ACE_Input!V80</f>
        <v>75</v>
      </c>
    </row>
    <row r="1161" spans="1:12" x14ac:dyDescent="0.2">
      <c r="A1161">
        <f>10</f>
        <v>10</v>
      </c>
      <c r="B1161">
        <f>ACE_Input!A81</f>
        <v>76</v>
      </c>
      <c r="C1161" s="6">
        <f>MOD(Settings!$B$17*(C1160),Settings!$B$18)</f>
        <v>90105264</v>
      </c>
      <c r="D1161" s="6">
        <f>MAX(C1161,1)/Settings!$B$18</f>
        <v>4.1958533246982163E-2</v>
      </c>
      <c r="E1161" s="6">
        <f t="shared" si="38"/>
        <v>5</v>
      </c>
      <c r="F1161" s="6">
        <f>ACE_Input!D81</f>
        <v>529</v>
      </c>
      <c r="G1161" s="6">
        <f>MOD(Settings!$B$17*(G1160),Settings!$B$18)</f>
        <v>1331239463</v>
      </c>
      <c r="H1161" s="6">
        <f>MAX(G1161,1)/Settings!$B$18</f>
        <v>0.61990668234411006</v>
      </c>
      <c r="I1161" s="6">
        <f>-ACE_Input!W81*LN(H1161)</f>
        <v>1.9127452984773183</v>
      </c>
      <c r="J1161" s="6">
        <f>-ACE_Input!X81*LN(H1161)</f>
        <v>5.7382358954319548</v>
      </c>
      <c r="K1161" s="6">
        <f>ACE_Input!U81</f>
        <v>300</v>
      </c>
      <c r="L1161" s="6">
        <f>K1161*ACE_Input!V81</f>
        <v>75</v>
      </c>
    </row>
    <row r="1162" spans="1:12" x14ac:dyDescent="0.2">
      <c r="A1162">
        <f>10</f>
        <v>10</v>
      </c>
      <c r="B1162">
        <f>ACE_Input!A82</f>
        <v>77</v>
      </c>
      <c r="C1162" s="6">
        <f>MOD(Settings!$B$17*(C1161),Settings!$B$18)</f>
        <v>423200913</v>
      </c>
      <c r="D1162" s="6">
        <f>MAX(C1162,1)/Settings!$B$18</f>
        <v>0.19706828202915763</v>
      </c>
      <c r="E1162" s="6">
        <f t="shared" si="38"/>
        <v>5</v>
      </c>
      <c r="F1162" s="6">
        <f>ACE_Input!D82</f>
        <v>534</v>
      </c>
      <c r="G1162" s="6">
        <f>MOD(Settings!$B$17*(G1161),Settings!$B$18)</f>
        <v>1657020195</v>
      </c>
      <c r="H1162" s="6">
        <f>MAX(G1162,1)/Settings!$B$18</f>
        <v>0.77161015745793016</v>
      </c>
      <c r="I1162" s="6">
        <f>-ACE_Input!W82*LN(H1162)</f>
        <v>1.0371033355499266</v>
      </c>
      <c r="J1162" s="6">
        <f>-ACE_Input!X82*LN(H1162)</f>
        <v>3.1113100066497799</v>
      </c>
      <c r="K1162" s="6">
        <f>ACE_Input!U82</f>
        <v>300</v>
      </c>
      <c r="L1162" s="6">
        <f>K1162*ACE_Input!V82</f>
        <v>75</v>
      </c>
    </row>
    <row r="1163" spans="1:12" x14ac:dyDescent="0.2">
      <c r="A1163">
        <f>10</f>
        <v>10</v>
      </c>
      <c r="B1163">
        <f>ACE_Input!A83</f>
        <v>78</v>
      </c>
      <c r="C1163" s="6">
        <f>MOD(Settings!$B$17*(C1162),Settings!$B$18)</f>
        <v>271905927</v>
      </c>
      <c r="D1163" s="6">
        <f>MAX(C1163,1)/Settings!$B$18</f>
        <v>0.12661606405238438</v>
      </c>
      <c r="E1163" s="6">
        <f t="shared" si="38"/>
        <v>5</v>
      </c>
      <c r="F1163" s="6">
        <f>ACE_Input!D83</f>
        <v>539</v>
      </c>
      <c r="G1163" s="6">
        <f>MOD(Settings!$B$17*(G1162),Settings!$B$18)</f>
        <v>970483069</v>
      </c>
      <c r="H1163" s="6">
        <f>MAX(G1163,1)/Settings!$B$18</f>
        <v>0.45191639543134549</v>
      </c>
      <c r="I1163" s="6">
        <f>-ACE_Input!W83*LN(H1163)</f>
        <v>3.1770323284722211</v>
      </c>
      <c r="J1163" s="6">
        <f>-ACE_Input!X83*LN(H1163)</f>
        <v>9.5310969854166636</v>
      </c>
      <c r="K1163" s="6">
        <f>ACE_Input!U83</f>
        <v>300</v>
      </c>
      <c r="L1163" s="6">
        <f>K1163*ACE_Input!V83</f>
        <v>75</v>
      </c>
    </row>
    <row r="1164" spans="1:12" x14ac:dyDescent="0.2">
      <c r="A1164">
        <f>10</f>
        <v>10</v>
      </c>
      <c r="B1164">
        <f>ACE_Input!A84</f>
        <v>79</v>
      </c>
      <c r="C1164" s="6">
        <f>MOD(Settings!$B$17*(C1163),Settings!$B$18)</f>
        <v>77714273</v>
      </c>
      <c r="D1164" s="6">
        <f>MAX(C1164,1)/Settings!$B$18</f>
        <v>3.618852842421668E-2</v>
      </c>
      <c r="E1164" s="6">
        <f t="shared" si="38"/>
        <v>5</v>
      </c>
      <c r="F1164" s="6">
        <f>ACE_Input!D84</f>
        <v>544</v>
      </c>
      <c r="G1164" s="6">
        <f>MOD(Settings!$B$17*(G1163),Settings!$B$18)</f>
        <v>770641718</v>
      </c>
      <c r="H1164" s="6">
        <f>MAX(G1164,1)/Settings!$B$18</f>
        <v>0.35885801462403405</v>
      </c>
      <c r="I1164" s="6">
        <f>-ACE_Input!W84*LN(H1164)</f>
        <v>4.0993138846623705</v>
      </c>
      <c r="J1164" s="6">
        <f>-ACE_Input!X84*LN(H1164)</f>
        <v>12.297941653987111</v>
      </c>
      <c r="K1164" s="6">
        <f>ACE_Input!U84</f>
        <v>300</v>
      </c>
      <c r="L1164" s="6">
        <f>K1164*ACE_Input!V84</f>
        <v>75</v>
      </c>
    </row>
    <row r="1165" spans="1:12" x14ac:dyDescent="0.2">
      <c r="A1165">
        <f>10</f>
        <v>10</v>
      </c>
      <c r="B1165">
        <f>ACE_Input!A85</f>
        <v>80</v>
      </c>
      <c r="C1165" s="6">
        <f>MOD(Settings!$B$17*(C1164),Settings!$B$18)</f>
        <v>473728935</v>
      </c>
      <c r="D1165" s="6">
        <f>MAX(C1165,1)/Settings!$B$18</f>
        <v>0.22059722580974792</v>
      </c>
      <c r="E1165" s="6">
        <f t="shared" si="38"/>
        <v>5</v>
      </c>
      <c r="F1165" s="6">
        <f>ACE_Input!D85</f>
        <v>549</v>
      </c>
      <c r="G1165" s="6">
        <f>MOD(Settings!$B$17*(G1164),Settings!$B$18)</f>
        <v>701479369</v>
      </c>
      <c r="H1165" s="6">
        <f>MAX(G1165,1)/Settings!$B$18</f>
        <v>0.32665178614046975</v>
      </c>
      <c r="I1165" s="6">
        <f>-ACE_Input!W85*LN(H1165)</f>
        <v>4.4754421986175874</v>
      </c>
      <c r="J1165" s="6">
        <f>-ACE_Input!X85*LN(H1165)</f>
        <v>13.426326595852762</v>
      </c>
      <c r="K1165" s="6">
        <f>ACE_Input!U85</f>
        <v>300</v>
      </c>
      <c r="L1165" s="6">
        <f>K1165*ACE_Input!V85</f>
        <v>75</v>
      </c>
    </row>
    <row r="1166" spans="1:12" x14ac:dyDescent="0.2">
      <c r="A1166">
        <f>10</f>
        <v>10</v>
      </c>
      <c r="B1166">
        <f>ACE_Input!A86</f>
        <v>81</v>
      </c>
      <c r="C1166" s="6">
        <f>MOD(Settings!$B$17*(C1165),Settings!$B$18)</f>
        <v>1240331116</v>
      </c>
      <c r="D1166" s="6">
        <f>MAX(C1166,1)/Settings!$B$18</f>
        <v>0.57757418443335884</v>
      </c>
      <c r="E1166" s="6">
        <f t="shared" si="38"/>
        <v>5</v>
      </c>
      <c r="F1166" s="6">
        <f>ACE_Input!D86</f>
        <v>554</v>
      </c>
      <c r="G1166" s="6">
        <f>MOD(Settings!$B$17*(G1165),Settings!$B$18)</f>
        <v>78532753</v>
      </c>
      <c r="H1166" s="6">
        <f>MAX(G1166,1)/Settings!$B$18</f>
        <v>3.6569662874829802E-2</v>
      </c>
      <c r="I1166" s="6">
        <f>-ACE_Input!W86*LN(H1166)</f>
        <v>13.234145061959257</v>
      </c>
      <c r="J1166" s="6">
        <f>-ACE_Input!X86*LN(H1166)</f>
        <v>39.702435185877775</v>
      </c>
      <c r="K1166" s="6">
        <f>ACE_Input!U86</f>
        <v>300</v>
      </c>
      <c r="L1166" s="6">
        <f>K1166*ACE_Input!V86</f>
        <v>75</v>
      </c>
    </row>
    <row r="1167" spans="1:12" x14ac:dyDescent="0.2">
      <c r="A1167">
        <f>10</f>
        <v>10</v>
      </c>
      <c r="B1167">
        <f>ACE_Input!A87</f>
        <v>82</v>
      </c>
      <c r="C1167" s="6">
        <f>MOD(Settings!$B$17*(C1166),Settings!$B$18)</f>
        <v>621305183</v>
      </c>
      <c r="D1167" s="6">
        <f>MAX(C1167,1)/Settings!$B$18</f>
        <v>0.28931777146147458</v>
      </c>
      <c r="E1167" s="6">
        <f t="shared" si="38"/>
        <v>5</v>
      </c>
      <c r="F1167" s="6">
        <f>ACE_Input!D87</f>
        <v>559</v>
      </c>
      <c r="G1167" s="6">
        <f>MOD(Settings!$B$17*(G1166),Settings!$B$18)</f>
        <v>1345020413</v>
      </c>
      <c r="H1167" s="6">
        <f>MAX(G1167,1)/Settings!$B$18</f>
        <v>0.62632393726442193</v>
      </c>
      <c r="I1167" s="6">
        <f>-ACE_Input!W87*LN(H1167)</f>
        <v>1.8715502802237025</v>
      </c>
      <c r="J1167" s="6">
        <f>-ACE_Input!X87*LN(H1167)</f>
        <v>5.6146508406711071</v>
      </c>
      <c r="K1167" s="6">
        <f>ACE_Input!U87</f>
        <v>300</v>
      </c>
      <c r="L1167" s="6">
        <f>K1167*ACE_Input!V87</f>
        <v>75</v>
      </c>
    </row>
    <row r="1168" spans="1:12" x14ac:dyDescent="0.2">
      <c r="A1168">
        <f>10</f>
        <v>10</v>
      </c>
      <c r="B1168">
        <f>ACE_Input!A88</f>
        <v>83</v>
      </c>
      <c r="C1168" s="6">
        <f>MOD(Settings!$B$17*(C1167),Settings!$B$18)</f>
        <v>1210718967</v>
      </c>
      <c r="D1168" s="6">
        <f>MAX(C1168,1)/Settings!$B$18</f>
        <v>0.56378495300364906</v>
      </c>
      <c r="E1168" s="6">
        <f t="shared" si="38"/>
        <v>5</v>
      </c>
      <c r="F1168" s="6">
        <f>ACE_Input!D88</f>
        <v>564</v>
      </c>
      <c r="G1168" s="6">
        <f>MOD(Settings!$B$17*(G1167),Settings!$B$18)</f>
        <v>1345212969</v>
      </c>
      <c r="H1168" s="6">
        <f>MAX(G1168,1)/Settings!$B$18</f>
        <v>0.6264136031393025</v>
      </c>
      <c r="I1168" s="6">
        <f>-ACE_Input!W88*LN(H1168)</f>
        <v>1.870977672652576</v>
      </c>
      <c r="J1168" s="6">
        <f>-ACE_Input!X88*LN(H1168)</f>
        <v>5.6129330179577277</v>
      </c>
      <c r="K1168" s="6">
        <f>ACE_Input!U88</f>
        <v>300</v>
      </c>
      <c r="L1168" s="6">
        <f>K1168*ACE_Input!V88</f>
        <v>75</v>
      </c>
    </row>
    <row r="1169" spans="1:12" x14ac:dyDescent="0.2">
      <c r="A1169">
        <f>10</f>
        <v>10</v>
      </c>
      <c r="B1169">
        <f>ACE_Input!A89</f>
        <v>84</v>
      </c>
      <c r="C1169" s="6">
        <f>MOD(Settings!$B$17*(C1168),Settings!$B$18)</f>
        <v>1146123044</v>
      </c>
      <c r="D1169" s="6">
        <f>MAX(C1169,1)/Settings!$B$18</f>
        <v>0.53370513233063055</v>
      </c>
      <c r="E1169" s="6">
        <f t="shared" si="38"/>
        <v>5</v>
      </c>
      <c r="F1169" s="6">
        <f>ACE_Input!D89</f>
        <v>569</v>
      </c>
      <c r="G1169" s="6">
        <f>MOD(Settings!$B$17*(G1168),Settings!$B$18)</f>
        <v>286534367</v>
      </c>
      <c r="H1169" s="6">
        <f>MAX(G1169,1)/Settings!$B$18</f>
        <v>0.13342796225726045</v>
      </c>
      <c r="I1169" s="6">
        <f>-ACE_Input!W89*LN(H1169)</f>
        <v>8.0567742213710947</v>
      </c>
      <c r="J1169" s="6">
        <f>-ACE_Input!X89*LN(H1169)</f>
        <v>24.170322664113286</v>
      </c>
      <c r="K1169" s="6">
        <f>ACE_Input!U89</f>
        <v>300</v>
      </c>
      <c r="L1169" s="6">
        <f>K1169*ACE_Input!V89</f>
        <v>75</v>
      </c>
    </row>
    <row r="1170" spans="1:12" x14ac:dyDescent="0.2">
      <c r="A1170">
        <f>10</f>
        <v>10</v>
      </c>
      <c r="B1170">
        <f>ACE_Input!A90</f>
        <v>85</v>
      </c>
      <c r="C1170" s="6">
        <f>MOD(Settings!$B$17*(C1169),Settings!$B$18)</f>
        <v>2109170565</v>
      </c>
      <c r="D1170" s="6">
        <f>MAX(C1170,1)/Settings!$B$18</f>
        <v>0.98215908090684523</v>
      </c>
      <c r="E1170" s="6">
        <f t="shared" si="38"/>
        <v>5</v>
      </c>
      <c r="F1170" s="6">
        <f>ACE_Input!D90</f>
        <v>574</v>
      </c>
      <c r="G1170" s="6">
        <f>MOD(Settings!$B$17*(G1169),Settings!$B$18)</f>
        <v>1124769595</v>
      </c>
      <c r="H1170" s="6">
        <f>MAX(G1170,1)/Settings!$B$18</f>
        <v>0.5237616577762001</v>
      </c>
      <c r="I1170" s="6">
        <f>-ACE_Input!W90*LN(H1170)</f>
        <v>2.5868741988383488</v>
      </c>
      <c r="J1170" s="6">
        <f>-ACE_Input!X90*LN(H1170)</f>
        <v>7.7606225965150468</v>
      </c>
      <c r="K1170" s="6">
        <f>ACE_Input!U90</f>
        <v>300</v>
      </c>
      <c r="L1170" s="6">
        <f>K1170*ACE_Input!V90</f>
        <v>75</v>
      </c>
    </row>
    <row r="1171" spans="1:12" x14ac:dyDescent="0.2">
      <c r="A1171">
        <f>10</f>
        <v>10</v>
      </c>
      <c r="B1171">
        <f>ACE_Input!A91</f>
        <v>86</v>
      </c>
      <c r="C1171" s="6">
        <f>MOD(Settings!$B$17*(C1170),Settings!$B$18)</f>
        <v>317124926</v>
      </c>
      <c r="D1171" s="6">
        <f>MAX(C1171,1)/Settings!$B$18</f>
        <v>0.14767280134729704</v>
      </c>
      <c r="E1171" s="6">
        <f t="shared" si="38"/>
        <v>5</v>
      </c>
      <c r="F1171" s="6">
        <f>ACE_Input!D91</f>
        <v>579</v>
      </c>
      <c r="G1171" s="6">
        <f>MOD(Settings!$B$17*(G1170),Settings!$B$18)</f>
        <v>1851522271</v>
      </c>
      <c r="H1171" s="6">
        <f>MAX(G1171,1)/Settings!$B$18</f>
        <v>0.86218224459429371</v>
      </c>
      <c r="I1171" s="6">
        <f>-ACE_Input!W91*LN(H1171)</f>
        <v>0.59315444008642548</v>
      </c>
      <c r="J1171" s="6">
        <f>-ACE_Input!X91*LN(H1171)</f>
        <v>1.7794633202592764</v>
      </c>
      <c r="K1171" s="6">
        <f>ACE_Input!U91</f>
        <v>300</v>
      </c>
      <c r="L1171" s="6">
        <f>K1171*ACE_Input!V91</f>
        <v>75</v>
      </c>
    </row>
    <row r="1172" spans="1:12" x14ac:dyDescent="0.2">
      <c r="A1172">
        <f>10</f>
        <v>10</v>
      </c>
      <c r="B1172">
        <f>ACE_Input!A92</f>
        <v>87</v>
      </c>
      <c r="C1172" s="6">
        <f>MOD(Settings!$B$17*(C1171),Settings!$B$18)</f>
        <v>2011703075</v>
      </c>
      <c r="D1172" s="6">
        <f>MAX(C1172,1)/Settings!$B$18</f>
        <v>0.93677224402165615</v>
      </c>
      <c r="E1172" s="6">
        <f t="shared" si="38"/>
        <v>5</v>
      </c>
      <c r="F1172" s="6">
        <f>ACE_Input!D92</f>
        <v>584</v>
      </c>
      <c r="G1172" s="6">
        <f>MOD(Settings!$B$17*(G1171),Settings!$B$18)</f>
        <v>1496763667</v>
      </c>
      <c r="H1172" s="6">
        <f>MAX(G1172,1)/Settings!$B$18</f>
        <v>0.6969848962952313</v>
      </c>
      <c r="I1172" s="6">
        <f>-ACE_Input!W92*LN(H1172)</f>
        <v>1.4439661521887002</v>
      </c>
      <c r="J1172" s="6">
        <f>-ACE_Input!X92*LN(H1172)</f>
        <v>4.3318984565661003</v>
      </c>
      <c r="K1172" s="6">
        <f>ACE_Input!U92</f>
        <v>300</v>
      </c>
      <c r="L1172" s="6">
        <f>K1172*ACE_Input!V92</f>
        <v>75</v>
      </c>
    </row>
    <row r="1173" spans="1:12" x14ac:dyDescent="0.2">
      <c r="A1173">
        <f>10</f>
        <v>10</v>
      </c>
      <c r="B1173">
        <f>ACE_Input!A93</f>
        <v>88</v>
      </c>
      <c r="C1173" s="6">
        <f>MOD(Settings!$B$17*(C1172),Settings!$B$18)</f>
        <v>711043157</v>
      </c>
      <c r="D1173" s="6">
        <f>MAX(C1173,1)/Settings!$B$18</f>
        <v>0.33110527197416184</v>
      </c>
      <c r="E1173" s="6">
        <f t="shared" si="38"/>
        <v>5</v>
      </c>
      <c r="F1173" s="6">
        <f>ACE_Input!D93</f>
        <v>589</v>
      </c>
      <c r="G1173" s="6">
        <f>MOD(Settings!$B$17*(G1172),Settings!$B$18)</f>
        <v>483510311</v>
      </c>
      <c r="H1173" s="6">
        <f>MAX(G1173,1)/Settings!$B$18</f>
        <v>0.22515203395166994</v>
      </c>
      <c r="I1173" s="6">
        <f>-ACE_Input!W93*LN(H1173)</f>
        <v>5.9639175940506775</v>
      </c>
      <c r="J1173" s="6">
        <f>-ACE_Input!X93*LN(H1173)</f>
        <v>17.891752782152032</v>
      </c>
      <c r="K1173" s="6">
        <f>ACE_Input!U93</f>
        <v>300</v>
      </c>
      <c r="L1173" s="6">
        <f>K1173*ACE_Input!V93</f>
        <v>75</v>
      </c>
    </row>
    <row r="1174" spans="1:12" x14ac:dyDescent="0.2">
      <c r="A1174">
        <f>10</f>
        <v>10</v>
      </c>
      <c r="B1174">
        <f>ACE_Input!A94</f>
        <v>89</v>
      </c>
      <c r="C1174" s="6">
        <f>MOD(Settings!$B$17*(C1173),Settings!$B$18)</f>
        <v>1903327791</v>
      </c>
      <c r="D1174" s="6">
        <f>MAX(C1174,1)/Settings!$B$18</f>
        <v>0.88630606973837411</v>
      </c>
      <c r="E1174" s="6">
        <f t="shared" si="38"/>
        <v>5</v>
      </c>
      <c r="F1174" s="6">
        <f>ACE_Input!D94</f>
        <v>594</v>
      </c>
      <c r="G1174" s="6">
        <f>MOD(Settings!$B$17*(G1173),Settings!$B$18)</f>
        <v>279676729</v>
      </c>
      <c r="H1174" s="6">
        <f>MAX(G1174,1)/Settings!$B$18</f>
        <v>0.13023462571680294</v>
      </c>
      <c r="I1174" s="6">
        <f>-ACE_Input!W94*LN(H1174)</f>
        <v>8.153670568154979</v>
      </c>
      <c r="J1174" s="6">
        <f>-ACE_Input!X94*LN(H1174)</f>
        <v>24.461011704464937</v>
      </c>
      <c r="K1174" s="6">
        <f>ACE_Input!U94</f>
        <v>300</v>
      </c>
      <c r="L1174" s="6">
        <f>K1174*ACE_Input!V94</f>
        <v>75</v>
      </c>
    </row>
    <row r="1175" spans="1:12" x14ac:dyDescent="0.2">
      <c r="A1175">
        <f>10</f>
        <v>10</v>
      </c>
      <c r="B1175">
        <f>ACE_Input!A95</f>
        <v>90</v>
      </c>
      <c r="C1175" s="6">
        <f>MOD(Settings!$B$17*(C1174),Settings!$B$18)</f>
        <v>313777625</v>
      </c>
      <c r="D1175" s="6">
        <f>MAX(C1175,1)/Settings!$B$18</f>
        <v>0.14611409285390475</v>
      </c>
      <c r="E1175" s="6">
        <f t="shared" si="38"/>
        <v>5</v>
      </c>
      <c r="F1175" s="6">
        <f>ACE_Input!D95</f>
        <v>599</v>
      </c>
      <c r="G1175" s="6">
        <f>MOD(Settings!$B$17*(G1174),Settings!$B$18)</f>
        <v>1832564667</v>
      </c>
      <c r="H1175" s="6">
        <f>MAX(G1175,1)/Settings!$B$18</f>
        <v>0.85335442230727265</v>
      </c>
      <c r="I1175" s="6">
        <f>-ACE_Input!W95*LN(H1175)</f>
        <v>0.63432126736272176</v>
      </c>
      <c r="J1175" s="6">
        <f>-ACE_Input!X95*LN(H1175)</f>
        <v>1.9029638020881654</v>
      </c>
      <c r="K1175" s="6">
        <f>ACE_Input!U95</f>
        <v>300</v>
      </c>
      <c r="L1175" s="6">
        <f>K1175*ACE_Input!V95</f>
        <v>75</v>
      </c>
    </row>
    <row r="1176" spans="1:12" x14ac:dyDescent="0.2">
      <c r="A1176">
        <f>10</f>
        <v>10</v>
      </c>
      <c r="B1176">
        <f>ACE_Input!A96</f>
        <v>91</v>
      </c>
      <c r="C1176" s="6">
        <f>MOD(Settings!$B$17*(C1175),Settings!$B$18)</f>
        <v>1588189990</v>
      </c>
      <c r="D1176" s="6">
        <f>MAX(C1176,1)/Settings!$B$18</f>
        <v>0.73955859557704939</v>
      </c>
      <c r="E1176" s="6">
        <f t="shared" si="38"/>
        <v>5</v>
      </c>
      <c r="F1176" s="6">
        <f>ACE_Input!D96</f>
        <v>604</v>
      </c>
      <c r="G1176" s="6">
        <f>MOD(Settings!$B$17*(G1175),Settings!$B$18)</f>
        <v>703892995</v>
      </c>
      <c r="H1176" s="6">
        <f>MAX(G1176,1)/Settings!$B$18</f>
        <v>0.32777571833123254</v>
      </c>
      <c r="I1176" s="6">
        <f>-ACE_Input!W96*LN(H1176)</f>
        <v>4.4617027602459443</v>
      </c>
      <c r="J1176" s="6">
        <f>-ACE_Input!X96*LN(H1176)</f>
        <v>13.385108280737832</v>
      </c>
      <c r="K1176" s="6">
        <f>ACE_Input!U96</f>
        <v>300</v>
      </c>
      <c r="L1176" s="6">
        <f>K1176*ACE_Input!V96</f>
        <v>75</v>
      </c>
    </row>
    <row r="1177" spans="1:12" x14ac:dyDescent="0.2">
      <c r="A1177">
        <f>10</f>
        <v>10</v>
      </c>
      <c r="B1177">
        <f>ACE_Input!A97</f>
        <v>92</v>
      </c>
      <c r="C1177" s="6">
        <f>MOD(Settings!$B$17*(C1176),Settings!$B$18)</f>
        <v>1634913367</v>
      </c>
      <c r="D1177" s="6">
        <f>MAX(C1177,1)/Settings!$B$18</f>
        <v>0.76131586346836566</v>
      </c>
      <c r="E1177" s="6">
        <f t="shared" si="38"/>
        <v>5</v>
      </c>
      <c r="F1177" s="6">
        <f>ACE_Input!D97</f>
        <v>609</v>
      </c>
      <c r="G1177" s="6">
        <f>MOD(Settings!$B$17*(G1176),Settings!$B$18)</f>
        <v>1989639289</v>
      </c>
      <c r="H1177" s="6">
        <f>MAX(G1177,1)/Settings!$B$18</f>
        <v>0.92649799302522928</v>
      </c>
      <c r="I1177" s="6">
        <f>-ACE_Input!W97*LN(H1177)</f>
        <v>0.30537359779513412</v>
      </c>
      <c r="J1177" s="6">
        <f>-ACE_Input!X97*LN(H1177)</f>
        <v>0.91612079338540231</v>
      </c>
      <c r="K1177" s="6">
        <f>ACE_Input!U97</f>
        <v>300</v>
      </c>
      <c r="L1177" s="6">
        <f>K1177*ACE_Input!V97</f>
        <v>75</v>
      </c>
    </row>
    <row r="1178" spans="1:12" x14ac:dyDescent="0.2">
      <c r="A1178">
        <f>10</f>
        <v>10</v>
      </c>
      <c r="B1178">
        <f>ACE_Input!A98</f>
        <v>93</v>
      </c>
      <c r="C1178" s="6">
        <f>MOD(Settings!$B$17*(C1177),Settings!$B$18)</f>
        <v>935695804</v>
      </c>
      <c r="D1178" s="6">
        <f>MAX(C1178,1)/Settings!$B$18</f>
        <v>0.43571731282198678</v>
      </c>
      <c r="E1178" s="6">
        <f t="shared" si="38"/>
        <v>5</v>
      </c>
      <c r="F1178" s="6">
        <f>ACE_Input!D98</f>
        <v>614</v>
      </c>
      <c r="G1178" s="6">
        <f>MOD(Settings!$B$17*(G1177),Settings!$B$18)</f>
        <v>1399662786</v>
      </c>
      <c r="H1178" s="6">
        <f>MAX(G1178,1)/Settings!$B$18</f>
        <v>0.65176877502900021</v>
      </c>
      <c r="I1178" s="6">
        <f>-ACE_Input!W98*LN(H1178)</f>
        <v>1.7122616779241027</v>
      </c>
      <c r="J1178" s="6">
        <f>-ACE_Input!X98*LN(H1178)</f>
        <v>5.1367850337723082</v>
      </c>
      <c r="K1178" s="6">
        <f>ACE_Input!U98</f>
        <v>300</v>
      </c>
      <c r="L1178" s="6">
        <f>K1178*ACE_Input!V98</f>
        <v>75</v>
      </c>
    </row>
    <row r="1179" spans="1:12" x14ac:dyDescent="0.2">
      <c r="A1179">
        <f>10</f>
        <v>10</v>
      </c>
      <c r="B1179">
        <f>ACE_Input!A99</f>
        <v>94</v>
      </c>
      <c r="C1179" s="6">
        <f>MOD(Settings!$B$17*(C1178),Settings!$B$18)</f>
        <v>216630847</v>
      </c>
      <c r="D1179" s="6">
        <f>MAX(C1179,1)/Settings!$B$18</f>
        <v>0.10087659913156023</v>
      </c>
      <c r="E1179" s="6">
        <f t="shared" si="38"/>
        <v>5</v>
      </c>
      <c r="F1179" s="6">
        <f>ACE_Input!D99</f>
        <v>619</v>
      </c>
      <c r="G1179" s="6">
        <f>MOD(Settings!$B$17*(G1178),Settings!$B$18)</f>
        <v>596575064</v>
      </c>
      <c r="H1179" s="6">
        <f>MAX(G1179,1)/Settings!$B$18</f>
        <v>0.27780191240729851</v>
      </c>
      <c r="I1179" s="6">
        <f>-ACE_Input!W99*LN(H1179)</f>
        <v>5.1233878582801751</v>
      </c>
      <c r="J1179" s="6">
        <f>-ACE_Input!X99*LN(H1179)</f>
        <v>15.370163574840525</v>
      </c>
      <c r="K1179" s="6">
        <f>ACE_Input!U99</f>
        <v>300</v>
      </c>
      <c r="L1179" s="6">
        <f>K1179*ACE_Input!V99</f>
        <v>75</v>
      </c>
    </row>
    <row r="1180" spans="1:12" x14ac:dyDescent="0.2">
      <c r="A1180">
        <f>10</f>
        <v>10</v>
      </c>
      <c r="B1180">
        <f>ACE_Input!A100</f>
        <v>95</v>
      </c>
      <c r="C1180" s="6">
        <f>MOD(Settings!$B$17*(C1179),Settings!$B$18)</f>
        <v>929863864</v>
      </c>
      <c r="D1180" s="6">
        <f>MAX(C1180,1)/Settings!$B$18</f>
        <v>0.43300160413282068</v>
      </c>
      <c r="E1180" s="6">
        <f t="shared" si="38"/>
        <v>5</v>
      </c>
      <c r="F1180" s="6">
        <f>ACE_Input!D100</f>
        <v>624</v>
      </c>
      <c r="G1180" s="6">
        <f>MOD(Settings!$B$17*(G1179),Settings!$B$18)</f>
        <v>35952805</v>
      </c>
      <c r="H1180" s="6">
        <f>MAX(G1180,1)/Settings!$B$18</f>
        <v>1.6741829466420145E-2</v>
      </c>
      <c r="I1180" s="6">
        <f>-ACE_Input!W100*LN(H1180)</f>
        <v>16.359379731081351</v>
      </c>
      <c r="J1180" s="6">
        <f>-ACE_Input!X100*LN(H1180)</f>
        <v>49.078139193244056</v>
      </c>
      <c r="K1180" s="6">
        <f>ACE_Input!U100</f>
        <v>300</v>
      </c>
      <c r="L1180" s="6">
        <f>K1180*ACE_Input!V100</f>
        <v>75</v>
      </c>
    </row>
    <row r="1181" spans="1:12" x14ac:dyDescent="0.2">
      <c r="A1181">
        <f>10</f>
        <v>10</v>
      </c>
      <c r="B1181">
        <f>ACE_Input!A101</f>
        <v>96</v>
      </c>
      <c r="C1181" s="6">
        <f>MOD(Settings!$B$17*(C1180),Settings!$B$18)</f>
        <v>983463029</v>
      </c>
      <c r="D1181" s="6">
        <f>MAX(C1181,1)/Settings!$B$18</f>
        <v>0.45796066031696303</v>
      </c>
      <c r="E1181" s="6">
        <f t="shared" si="38"/>
        <v>5</v>
      </c>
      <c r="F1181" s="6">
        <f>ACE_Input!D101</f>
        <v>629</v>
      </c>
      <c r="G1181" s="6">
        <f>MOD(Settings!$B$17*(G1180),Settings!$B$18)</f>
        <v>815888828</v>
      </c>
      <c r="H1181" s="6">
        <f>MAX(G1181,1)/Settings!$B$18</f>
        <v>0.37992784212340036</v>
      </c>
      <c r="I1181" s="6">
        <f>-ACE_Input!W101*LN(H1181)</f>
        <v>3.8710957337675165</v>
      </c>
      <c r="J1181" s="6">
        <f>-ACE_Input!X101*LN(H1181)</f>
        <v>11.613287201302549</v>
      </c>
      <c r="K1181" s="6">
        <f>ACE_Input!U101</f>
        <v>300</v>
      </c>
      <c r="L1181" s="6">
        <f>K1181*ACE_Input!V101</f>
        <v>75</v>
      </c>
    </row>
    <row r="1182" spans="1:12" x14ac:dyDescent="0.2">
      <c r="A1182">
        <f>10</f>
        <v>10</v>
      </c>
      <c r="B1182">
        <f>ACE_Input!A102</f>
        <v>97</v>
      </c>
      <c r="C1182" s="6">
        <f>MOD(Settings!$B$17*(C1181),Settings!$B$18)</f>
        <v>2028981091</v>
      </c>
      <c r="D1182" s="6">
        <f>MAX(C1182,1)/Settings!$B$18</f>
        <v>0.94481794719808643</v>
      </c>
      <c r="E1182" s="6">
        <f t="shared" si="38"/>
        <v>5</v>
      </c>
      <c r="F1182" s="6">
        <f>ACE_Input!D102</f>
        <v>634</v>
      </c>
      <c r="G1182" s="6">
        <f>MOD(Settings!$B$17*(G1181),Settings!$B$18)</f>
        <v>960446101</v>
      </c>
      <c r="H1182" s="6">
        <f>MAX(G1182,1)/Settings!$B$18</f>
        <v>0.44724256798962253</v>
      </c>
      <c r="I1182" s="6">
        <f>-ACE_Input!W102*LN(H1182)</f>
        <v>3.2186166954364199</v>
      </c>
      <c r="J1182" s="6">
        <f>-ACE_Input!X102*LN(H1182)</f>
        <v>9.6558500863092593</v>
      </c>
      <c r="K1182" s="6">
        <f>ACE_Input!U102</f>
        <v>300</v>
      </c>
      <c r="L1182" s="6">
        <f>K1182*ACE_Input!V102</f>
        <v>75</v>
      </c>
    </row>
    <row r="1183" spans="1:12" x14ac:dyDescent="0.2">
      <c r="A1183">
        <f>10</f>
        <v>10</v>
      </c>
      <c r="B1183">
        <f>ACE_Input!A103</f>
        <v>98</v>
      </c>
      <c r="C1183" s="6">
        <f>MOD(Settings!$B$17*(C1182),Settings!$B$18)</f>
        <v>1192365724</v>
      </c>
      <c r="D1183" s="6">
        <f>MAX(C1183,1)/Settings!$B$18</f>
        <v>0.5552385582380176</v>
      </c>
      <c r="E1183" s="6">
        <f t="shared" ref="E1183:E1185" si="39">F1183-F1182</f>
        <v>5</v>
      </c>
      <c r="F1183" s="6">
        <f>ACE_Input!D103</f>
        <v>639</v>
      </c>
      <c r="G1183" s="6">
        <f>MOD(Settings!$B$17*(G1182),Settings!$B$18)</f>
        <v>1730528655</v>
      </c>
      <c r="H1183" s="6">
        <f>MAX(G1183,1)/Settings!$B$18</f>
        <v>0.8058402015854792</v>
      </c>
      <c r="I1183" s="6">
        <f>-ACE_Input!W103*LN(H1183)</f>
        <v>0.86347926876812142</v>
      </c>
      <c r="J1183" s="6">
        <f>-ACE_Input!X103*LN(H1183)</f>
        <v>2.5904378063043643</v>
      </c>
      <c r="K1183" s="6">
        <f>ACE_Input!U103</f>
        <v>300</v>
      </c>
      <c r="L1183" s="6">
        <f>K1183*ACE_Input!V103</f>
        <v>75</v>
      </c>
    </row>
    <row r="1184" spans="1:12" x14ac:dyDescent="0.2">
      <c r="A1184">
        <f>10</f>
        <v>10</v>
      </c>
      <c r="B1184">
        <f>ACE_Input!A104</f>
        <v>99</v>
      </c>
      <c r="C1184" s="6">
        <f>MOD(Settings!$B$17*(C1183),Settings!$B$18)</f>
        <v>1920813111</v>
      </c>
      <c r="D1184" s="6">
        <f>MAX(C1184,1)/Settings!$B$18</f>
        <v>0.8944483063623534</v>
      </c>
      <c r="E1184" s="6">
        <f t="shared" si="39"/>
        <v>45</v>
      </c>
      <c r="F1184" s="6">
        <f>ACE_Input!D104</f>
        <v>684</v>
      </c>
      <c r="G1184" s="6">
        <f>MOD(Settings!$B$17*(G1183),Settings!$B$18)</f>
        <v>1624073264</v>
      </c>
      <c r="H1184" s="6">
        <f>MAX(G1184,1)/Settings!$B$18</f>
        <v>0.75626804714848661</v>
      </c>
      <c r="I1184" s="6">
        <f>-ACE_Input!W104*LN(H1184)</f>
        <v>1.1174376236953107</v>
      </c>
      <c r="J1184" s="6">
        <f>-ACE_Input!X104*LN(H1184)</f>
        <v>3.3523128710859322</v>
      </c>
      <c r="K1184" s="6">
        <f>ACE_Input!U104</f>
        <v>300</v>
      </c>
      <c r="L1184" s="6">
        <f>K1184*ACE_Input!V104</f>
        <v>75</v>
      </c>
    </row>
    <row r="1185" spans="1:12" x14ac:dyDescent="0.2">
      <c r="A1185">
        <f>10</f>
        <v>10</v>
      </c>
      <c r="B1185">
        <f>ACE_Input!A105</f>
        <v>100</v>
      </c>
      <c r="C1185" s="6">
        <f>MOD(Settings!$B$17*(C1184),Settings!$B$18)</f>
        <v>2131774873</v>
      </c>
      <c r="D1185" s="6">
        <f>MAX(C1185,1)/Settings!$B$18</f>
        <v>0.99268503207372738</v>
      </c>
      <c r="E1185" s="6">
        <f t="shared" si="39"/>
        <v>5</v>
      </c>
      <c r="F1185" s="6">
        <f>ACE_Input!D105</f>
        <v>689</v>
      </c>
      <c r="G1185" s="6">
        <f>MOD(Settings!$B$17*(G1184),Settings!$B$18)</f>
        <v>1282194678</v>
      </c>
      <c r="H1185" s="6">
        <f>MAX(G1185,1)/Settings!$B$18</f>
        <v>0.59706842461464382</v>
      </c>
      <c r="I1185" s="6">
        <f>-ACE_Input!W105*LN(H1185)</f>
        <v>2.0628942322493908</v>
      </c>
      <c r="J1185" s="6">
        <f>-ACE_Input!X105*LN(H1185)</f>
        <v>6.1886826967481721</v>
      </c>
      <c r="K1185" s="6">
        <f>ACE_Input!U105</f>
        <v>300</v>
      </c>
      <c r="L1185" s="6">
        <f>K1185*ACE_Input!V105</f>
        <v>75</v>
      </c>
    </row>
    <row r="1186" spans="1:12" x14ac:dyDescent="0.2">
      <c r="C1186" s="6"/>
      <c r="D1186" s="6"/>
      <c r="E1186" s="6"/>
      <c r="F1186" s="6"/>
      <c r="G1186" s="6"/>
      <c r="H1186" s="6"/>
      <c r="I1186" s="6"/>
      <c r="J1186" s="6"/>
      <c r="K1186" s="6"/>
      <c r="L1186" s="6"/>
    </row>
    <row r="1187" spans="1:12" x14ac:dyDescent="0.2">
      <c r="C1187" s="6"/>
      <c r="D1187" s="6"/>
      <c r="E1187" s="6"/>
      <c r="F1187" s="6"/>
      <c r="G1187" s="6"/>
      <c r="H1187" s="6"/>
      <c r="I1187" s="6"/>
      <c r="J1187" s="6"/>
      <c r="K1187" s="6"/>
      <c r="L1187" s="6"/>
    </row>
    <row r="1188" spans="1:12" x14ac:dyDescent="0.2">
      <c r="C1188" s="6"/>
      <c r="D1188" s="6"/>
      <c r="E1188" s="6"/>
      <c r="F1188" s="6"/>
      <c r="G1188" s="6"/>
      <c r="H1188" s="6"/>
      <c r="I1188" s="6"/>
      <c r="J1188" s="6"/>
      <c r="K1188" s="6"/>
      <c r="L1188" s="6"/>
    </row>
    <row r="1189" spans="1:12" x14ac:dyDescent="0.2">
      <c r="C1189" s="6"/>
      <c r="D1189" s="6"/>
      <c r="E1189" s="6"/>
      <c r="F1189" s="6"/>
      <c r="G1189" s="6"/>
      <c r="H1189" s="6"/>
      <c r="I1189" s="6"/>
      <c r="J1189" s="6"/>
      <c r="K1189" s="6"/>
      <c r="L1189" s="6"/>
    </row>
    <row r="1190" spans="1:12" x14ac:dyDescent="0.2">
      <c r="C1190" s="6"/>
      <c r="D1190" s="6"/>
      <c r="E1190" s="6"/>
      <c r="F1190" s="6"/>
      <c r="G1190" s="6"/>
      <c r="H1190" s="6"/>
      <c r="I1190" s="6"/>
      <c r="J1190" s="6"/>
      <c r="K1190" s="6"/>
      <c r="L1190" s="6"/>
    </row>
    <row r="1191" spans="1:12" x14ac:dyDescent="0.2">
      <c r="C1191" s="6"/>
      <c r="D1191" s="6"/>
      <c r="E1191" s="6"/>
      <c r="F1191" s="6"/>
      <c r="G1191" s="6"/>
      <c r="H1191" s="6"/>
      <c r="I1191" s="6"/>
      <c r="J1191" s="6"/>
      <c r="K1191" s="6"/>
      <c r="L1191" s="6"/>
    </row>
    <row r="1192" spans="1:12" x14ac:dyDescent="0.2">
      <c r="C1192" s="6"/>
      <c r="D1192" s="6"/>
      <c r="E1192" s="6"/>
      <c r="F1192" s="6"/>
      <c r="G1192" s="6"/>
      <c r="H1192" s="6"/>
      <c r="I1192" s="6"/>
      <c r="J1192" s="6"/>
      <c r="K1192" s="6"/>
      <c r="L1192" s="6"/>
    </row>
    <row r="1193" spans="1:12" x14ac:dyDescent="0.2">
      <c r="C1193" s="6"/>
      <c r="D1193" s="6"/>
      <c r="E1193" s="6"/>
      <c r="F1193" s="6"/>
      <c r="G1193" s="6"/>
      <c r="H1193" s="6"/>
      <c r="I1193" s="6"/>
      <c r="J1193" s="6"/>
      <c r="K1193" s="6"/>
      <c r="L1193" s="6"/>
    </row>
    <row r="1194" spans="1:12" x14ac:dyDescent="0.2">
      <c r="C1194" s="6"/>
      <c r="D1194" s="6"/>
      <c r="E1194" s="6"/>
      <c r="F1194" s="6"/>
      <c r="G1194" s="6"/>
      <c r="H1194" s="6"/>
      <c r="I1194" s="6"/>
      <c r="J1194" s="6"/>
      <c r="K1194" s="6"/>
      <c r="L1194" s="6"/>
    </row>
    <row r="1195" spans="1:12" x14ac:dyDescent="0.2">
      <c r="C1195" s="6"/>
      <c r="D1195" s="6"/>
      <c r="E1195" s="6"/>
      <c r="F1195" s="6"/>
      <c r="G1195" s="6"/>
      <c r="H1195" s="6"/>
      <c r="I1195" s="6"/>
      <c r="J1195" s="6"/>
      <c r="K1195" s="6"/>
      <c r="L1195" s="6"/>
    </row>
    <row r="1196" spans="1:12" x14ac:dyDescent="0.2">
      <c r="C1196" s="6"/>
      <c r="D1196" s="6"/>
      <c r="E1196" s="6"/>
      <c r="F1196" s="6"/>
      <c r="G1196" s="6"/>
      <c r="H1196" s="6"/>
      <c r="I1196" s="6"/>
      <c r="J1196" s="6"/>
      <c r="K1196" s="6"/>
      <c r="L1196" s="6"/>
    </row>
    <row r="1197" spans="1:12" x14ac:dyDescent="0.2">
      <c r="C1197" s="6"/>
      <c r="D1197" s="6"/>
      <c r="E1197" s="6"/>
      <c r="F1197" s="6"/>
      <c r="G1197" s="6"/>
      <c r="H1197" s="6"/>
      <c r="I1197" s="6"/>
      <c r="J1197" s="6"/>
      <c r="K1197" s="6"/>
      <c r="L1197" s="6"/>
    </row>
    <row r="1198" spans="1:12" x14ac:dyDescent="0.2">
      <c r="C1198" s="6"/>
      <c r="D1198" s="6"/>
      <c r="E1198" s="6"/>
      <c r="F1198" s="6"/>
      <c r="G1198" s="6"/>
      <c r="H1198" s="6"/>
      <c r="I1198" s="6"/>
      <c r="J1198" s="6"/>
      <c r="K1198" s="6"/>
      <c r="L1198" s="6"/>
    </row>
    <row r="1199" spans="1:12" x14ac:dyDescent="0.2">
      <c r="C1199" s="6"/>
      <c r="D1199" s="6"/>
      <c r="E1199" s="6"/>
      <c r="F1199" s="6"/>
      <c r="G1199" s="6"/>
      <c r="H1199" s="6"/>
      <c r="I1199" s="6"/>
      <c r="J1199" s="6"/>
      <c r="K1199" s="6"/>
      <c r="L1199" s="6"/>
    </row>
    <row r="1200" spans="1:12" x14ac:dyDescent="0.2">
      <c r="C1200" s="6"/>
      <c r="D1200" s="6"/>
      <c r="E1200" s="6"/>
      <c r="F1200" s="6"/>
      <c r="G1200" s="6"/>
      <c r="H1200" s="6"/>
      <c r="I1200" s="6"/>
      <c r="J1200" s="6"/>
      <c r="K1200" s="6"/>
      <c r="L1200" s="6"/>
    </row>
    <row r="1201" spans="3:12" x14ac:dyDescent="0.2">
      <c r="C1201" s="6"/>
      <c r="D1201" s="6"/>
      <c r="E1201" s="6"/>
      <c r="F1201" s="6"/>
      <c r="G1201" s="6"/>
      <c r="H1201" s="6"/>
      <c r="I1201" s="6"/>
      <c r="J1201" s="6"/>
      <c r="K1201" s="6"/>
      <c r="L1201" s="6"/>
    </row>
    <row r="1202" spans="3:12" x14ac:dyDescent="0.2">
      <c r="C1202" s="6"/>
      <c r="D1202" s="6"/>
      <c r="E1202" s="6"/>
      <c r="F1202" s="6"/>
      <c r="G1202" s="6"/>
      <c r="H1202" s="6"/>
      <c r="I1202" s="6"/>
      <c r="J1202" s="6"/>
      <c r="K1202" s="6"/>
      <c r="L1202" s="6"/>
    </row>
    <row r="1203" spans="3:12" x14ac:dyDescent="0.2">
      <c r="C1203" s="6"/>
      <c r="D1203" s="6"/>
      <c r="E1203" s="6"/>
      <c r="F1203" s="6"/>
      <c r="G1203" s="6"/>
      <c r="H1203" s="6"/>
      <c r="I1203" s="6"/>
      <c r="J1203" s="6"/>
      <c r="K1203" s="6"/>
      <c r="L1203" s="6"/>
    </row>
    <row r="1204" spans="3:12" x14ac:dyDescent="0.2">
      <c r="C1204" s="6"/>
      <c r="D1204" s="6"/>
      <c r="E1204" s="6"/>
      <c r="F1204" s="6"/>
      <c r="G1204" s="6"/>
      <c r="H1204" s="6"/>
      <c r="I1204" s="6"/>
      <c r="J1204" s="6"/>
      <c r="K1204" s="6"/>
      <c r="L1204" s="6"/>
    </row>
    <row r="1205" spans="3:12" x14ac:dyDescent="0.2">
      <c r="C1205" s="6"/>
      <c r="D1205" s="6"/>
      <c r="E1205" s="6"/>
      <c r="F1205" s="6"/>
      <c r="G1205" s="6"/>
      <c r="H1205" s="6"/>
      <c r="I1205" s="6"/>
      <c r="J1205" s="6"/>
      <c r="K1205" s="6"/>
      <c r="L1205" s="6"/>
    </row>
  </sheetData>
  <mergeCells count="2">
    <mergeCell ref="A1:L1"/>
    <mergeCell ref="A2:L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sheetPr>
  <dimension ref="A1:X1205"/>
  <sheetViews>
    <sheetView workbookViewId="0">
      <selection sqref="A1:X1"/>
    </sheetView>
  </sheetViews>
  <sheetFormatPr defaultRowHeight="15" x14ac:dyDescent="0.2"/>
  <cols>
    <col min="1" max="24" width="18.0234375" customWidth="1"/>
  </cols>
  <sheetData>
    <row r="1" spans="1:24" ht="33.950000000000003" customHeight="1" x14ac:dyDescent="0.2">
      <c r="A1" s="99" t="s">
        <v>244</v>
      </c>
      <c r="B1" s="80"/>
      <c r="C1" s="80"/>
      <c r="D1" s="80"/>
      <c r="E1" s="80"/>
      <c r="F1" s="80"/>
      <c r="G1" s="80"/>
      <c r="H1" s="80"/>
      <c r="I1" s="80"/>
      <c r="J1" s="80"/>
      <c r="K1" s="80"/>
      <c r="L1" s="80"/>
      <c r="M1" s="80"/>
      <c r="N1" s="80"/>
      <c r="O1" s="80"/>
      <c r="P1" s="80"/>
      <c r="Q1" s="80"/>
      <c r="R1" s="80"/>
      <c r="S1" s="80"/>
      <c r="T1" s="80"/>
      <c r="U1" s="80"/>
      <c r="V1" s="80"/>
      <c r="W1" s="80"/>
      <c r="X1" s="80"/>
    </row>
    <row r="2" spans="1:24" ht="21.95" customHeight="1" x14ac:dyDescent="0.2">
      <c r="A2" s="100" t="s">
        <v>245</v>
      </c>
      <c r="B2" s="80"/>
      <c r="C2" s="80"/>
      <c r="D2" s="80"/>
      <c r="E2" s="80"/>
      <c r="F2" s="80"/>
      <c r="G2" s="80"/>
      <c r="H2" s="80"/>
      <c r="I2" s="80"/>
      <c r="J2" s="80"/>
      <c r="K2" s="80"/>
      <c r="L2" s="80"/>
      <c r="M2" s="80"/>
      <c r="N2" s="80"/>
      <c r="O2" s="80"/>
      <c r="P2" s="80"/>
      <c r="Q2" s="80"/>
      <c r="R2" s="80"/>
      <c r="S2" s="80"/>
      <c r="T2" s="80"/>
      <c r="U2" s="80"/>
      <c r="V2" s="80"/>
      <c r="W2" s="80"/>
      <c r="X2" s="80"/>
    </row>
    <row r="3" spans="1:24" ht="21.95" customHeight="1" x14ac:dyDescent="0.2">
      <c r="A3" s="80"/>
      <c r="B3" s="80"/>
      <c r="C3" s="80"/>
      <c r="D3" s="80"/>
      <c r="E3" s="80"/>
      <c r="F3" s="80"/>
      <c r="G3" s="80"/>
      <c r="H3" s="80"/>
      <c r="I3" s="80"/>
      <c r="J3" s="80"/>
      <c r="K3" s="80"/>
      <c r="L3" s="80"/>
      <c r="M3" s="80"/>
      <c r="N3" s="80"/>
      <c r="O3" s="80"/>
      <c r="P3" s="80"/>
      <c r="Q3" s="80"/>
      <c r="R3" s="80"/>
      <c r="S3" s="80"/>
      <c r="T3" s="80"/>
      <c r="U3" s="80"/>
      <c r="V3" s="80"/>
      <c r="W3" s="80"/>
      <c r="X3" s="80"/>
    </row>
    <row r="4" spans="1:24" ht="21.95" customHeight="1" x14ac:dyDescent="0.2">
      <c r="A4" s="2"/>
      <c r="B4" s="2"/>
      <c r="C4" s="2"/>
      <c r="D4" s="2"/>
      <c r="E4" s="2"/>
      <c r="F4" s="2"/>
      <c r="G4" s="2"/>
      <c r="H4" s="2"/>
      <c r="I4" s="2"/>
      <c r="J4" s="2"/>
      <c r="K4" s="2"/>
      <c r="L4" s="2"/>
      <c r="M4" s="2"/>
      <c r="N4" s="2"/>
      <c r="O4" s="2"/>
      <c r="P4" s="2"/>
      <c r="Q4" s="2"/>
      <c r="R4" s="2"/>
      <c r="S4" s="2"/>
      <c r="T4" s="2"/>
      <c r="U4" s="2"/>
      <c r="V4" s="2"/>
      <c r="W4" s="2"/>
      <c r="X4" s="2"/>
    </row>
    <row r="5" spans="1:24" ht="63.95" customHeight="1" x14ac:dyDescent="0.2">
      <c r="A5" s="5" t="s">
        <v>232</v>
      </c>
      <c r="B5" s="5" t="s">
        <v>233</v>
      </c>
      <c r="C5" s="5" t="s">
        <v>246</v>
      </c>
      <c r="D5" s="5" t="s">
        <v>247</v>
      </c>
      <c r="E5" s="5" t="s">
        <v>248</v>
      </c>
      <c r="F5" s="5" t="s">
        <v>249</v>
      </c>
      <c r="G5" s="5" t="s">
        <v>250</v>
      </c>
      <c r="H5" s="5" t="s">
        <v>251</v>
      </c>
      <c r="I5" s="5" t="s">
        <v>252</v>
      </c>
      <c r="J5" s="5" t="s">
        <v>253</v>
      </c>
      <c r="K5" s="5" t="s">
        <v>254</v>
      </c>
      <c r="L5" s="5" t="s">
        <v>255</v>
      </c>
      <c r="M5" s="5" t="s">
        <v>256</v>
      </c>
      <c r="N5" s="5" t="s">
        <v>257</v>
      </c>
      <c r="O5" s="5" t="s">
        <v>258</v>
      </c>
      <c r="P5" s="5" t="s">
        <v>259</v>
      </c>
      <c r="Q5" s="5" t="s">
        <v>260</v>
      </c>
      <c r="R5" s="5" t="s">
        <v>261</v>
      </c>
      <c r="S5" s="5" t="s">
        <v>262</v>
      </c>
      <c r="T5" s="5" t="s">
        <v>263</v>
      </c>
      <c r="U5" s="5" t="s">
        <v>264</v>
      </c>
      <c r="V5" s="5" t="s">
        <v>265</v>
      </c>
      <c r="W5" s="5" t="s">
        <v>266</v>
      </c>
      <c r="X5" s="5" t="s">
        <v>267</v>
      </c>
    </row>
    <row r="6" spans="1:24" x14ac:dyDescent="0.2">
      <c r="A6">
        <f>Arrivals!A6</f>
        <v>1</v>
      </c>
      <c r="B6">
        <f>Arrivals!B6</f>
        <v>1</v>
      </c>
      <c r="C6" s="6">
        <f>Arrivals!F6</f>
        <v>2</v>
      </c>
      <c r="D6" s="6">
        <f>Arrivals!K6</f>
        <v>300</v>
      </c>
      <c r="E6" s="6">
        <f>D6*8/ACE_Input!S6+ACE_Input!T6</f>
        <v>24.02</v>
      </c>
      <c r="F6" s="6">
        <f t="shared" ref="F6:F37" si="0">C6</f>
        <v>2</v>
      </c>
      <c r="G6" s="6">
        <f>0</f>
        <v>0</v>
      </c>
      <c r="H6" s="6">
        <f t="shared" ref="H6:H37" si="1">MAX(F6,G6)</f>
        <v>2</v>
      </c>
      <c r="I6" s="6">
        <f>MOD(H6-Settings!$B$32,Settings!$B$33)</f>
        <v>2</v>
      </c>
      <c r="J6" s="6">
        <f>IF(I6&lt;Settings!$B$30,IF(Settings!$B$30-I6&gt;=E6,H6,H6+(Settings!$B$30-I6)+Settings!$B$31),H6+(Settings!$B$33-I6))</f>
        <v>2</v>
      </c>
      <c r="K6" s="6">
        <f t="shared" ref="K6:K37" si="2">J6+E6</f>
        <v>26.02</v>
      </c>
      <c r="L6" s="6">
        <f t="shared" ref="L6:L37" si="3">K6</f>
        <v>26.02</v>
      </c>
      <c r="M6" s="6">
        <f>0</f>
        <v>0</v>
      </c>
      <c r="N6" s="6">
        <f t="shared" ref="N6:N37" si="4">MAX(L6,M6)</f>
        <v>26.02</v>
      </c>
      <c r="O6" s="6">
        <f>Arrivals!I6</f>
        <v>3.3484159574231529</v>
      </c>
      <c r="P6" s="6">
        <f t="shared" ref="P6:P37" si="5">N6+O6</f>
        <v>29.368415957423153</v>
      </c>
      <c r="Q6" s="6">
        <f t="shared" ref="Q6:Q37" si="6">P6-C6</f>
        <v>27.368415957423153</v>
      </c>
      <c r="R6" s="6">
        <f t="shared" ref="R6:R37" si="7">H6-F6</f>
        <v>0</v>
      </c>
      <c r="S6" s="6">
        <f t="shared" ref="S6:S37" si="8">J6-H6</f>
        <v>0</v>
      </c>
      <c r="T6" s="6">
        <f t="shared" ref="T6:T37" si="9">N6-L6</f>
        <v>0</v>
      </c>
      <c r="U6" s="6">
        <f t="shared" ref="U6:U37" si="10">R6+S6+T6</f>
        <v>0</v>
      </c>
      <c r="V6" s="6" t="str">
        <f>IF(MOD(C6-Settings!$B$32,Settings!$B$33)&lt;Settings!$B$30,"Up","Down")</f>
        <v>Up</v>
      </c>
      <c r="W6" s="6">
        <f>IF(OR(E6&gt;Settings!$B$30,Q6&gt;Settings!$B$37),0,1)</f>
        <v>1</v>
      </c>
      <c r="X6" s="6">
        <f>IF(AND(W6=1,Q6&lt;=Settings!$B$36),1,0)</f>
        <v>1</v>
      </c>
    </row>
    <row r="7" spans="1:24" x14ac:dyDescent="0.2">
      <c r="A7">
        <f>Arrivals!A7</f>
        <v>1</v>
      </c>
      <c r="B7">
        <f>Arrivals!B7</f>
        <v>2</v>
      </c>
      <c r="C7" s="6">
        <f>Arrivals!F7</f>
        <v>7</v>
      </c>
      <c r="D7" s="6">
        <f>Arrivals!K7</f>
        <v>300</v>
      </c>
      <c r="E7" s="6">
        <f>D7*8/ACE_Input!S7+ACE_Input!T7</f>
        <v>24.02</v>
      </c>
      <c r="F7" s="6">
        <f t="shared" si="0"/>
        <v>7</v>
      </c>
      <c r="G7" s="6">
        <f t="shared" ref="G7:G38" si="11">K6</f>
        <v>26.02</v>
      </c>
      <c r="H7" s="6">
        <f t="shared" si="1"/>
        <v>26.02</v>
      </c>
      <c r="I7" s="6">
        <f>MOD(H7-Settings!$B$32,Settings!$B$33)</f>
        <v>26.02</v>
      </c>
      <c r="J7" s="6">
        <f>IF(I7&lt;Settings!$B$30,IF(Settings!$B$30-I7&gt;=E7,H7,H7+(Settings!$B$30-I7)+Settings!$B$31),H7+(Settings!$B$33-I7))</f>
        <v>26.02</v>
      </c>
      <c r="K7" s="6">
        <f t="shared" si="2"/>
        <v>50.04</v>
      </c>
      <c r="L7" s="6">
        <f t="shared" si="3"/>
        <v>50.04</v>
      </c>
      <c r="M7" s="6">
        <f t="shared" ref="M7:M38" si="12">P6</f>
        <v>29.368415957423153</v>
      </c>
      <c r="N7" s="6">
        <f t="shared" si="4"/>
        <v>50.04</v>
      </c>
      <c r="O7" s="6">
        <f>Arrivals!I7</f>
        <v>0.88269706952829419</v>
      </c>
      <c r="P7" s="6">
        <f t="shared" si="5"/>
        <v>50.92269706952829</v>
      </c>
      <c r="Q7" s="6">
        <f t="shared" si="6"/>
        <v>43.92269706952829</v>
      </c>
      <c r="R7" s="6">
        <f t="shared" si="7"/>
        <v>19.02</v>
      </c>
      <c r="S7" s="6">
        <f t="shared" si="8"/>
        <v>0</v>
      </c>
      <c r="T7" s="6">
        <f t="shared" si="9"/>
        <v>0</v>
      </c>
      <c r="U7" s="6">
        <f t="shared" si="10"/>
        <v>19.02</v>
      </c>
      <c r="V7" s="6" t="str">
        <f>IF(MOD(C7-Settings!$B$32,Settings!$B$33)&lt;Settings!$B$30,"Up","Down")</f>
        <v>Up</v>
      </c>
      <c r="W7" s="6">
        <f>IF(OR(E7&gt;Settings!$B$30,Q7&gt;Settings!$B$37),0,1)</f>
        <v>1</v>
      </c>
      <c r="X7" s="6">
        <f>IF(AND(W7=1,Q7&lt;=Settings!$B$36),1,0)</f>
        <v>1</v>
      </c>
    </row>
    <row r="8" spans="1:24" x14ac:dyDescent="0.2">
      <c r="A8">
        <f>Arrivals!A8</f>
        <v>1</v>
      </c>
      <c r="B8">
        <f>Arrivals!B8</f>
        <v>3</v>
      </c>
      <c r="C8" s="6">
        <f>Arrivals!F8</f>
        <v>32</v>
      </c>
      <c r="D8" s="6">
        <f>Arrivals!K8</f>
        <v>300</v>
      </c>
      <c r="E8" s="6">
        <f>D8*8/ACE_Input!S8+ACE_Input!T8</f>
        <v>24.02</v>
      </c>
      <c r="F8" s="6">
        <f t="shared" si="0"/>
        <v>32</v>
      </c>
      <c r="G8" s="6">
        <f t="shared" si="11"/>
        <v>50.04</v>
      </c>
      <c r="H8" s="6">
        <f t="shared" si="1"/>
        <v>50.04</v>
      </c>
      <c r="I8" s="6">
        <f>MOD(H8-Settings!$B$32,Settings!$B$33)</f>
        <v>50.04</v>
      </c>
      <c r="J8" s="6">
        <f>IF(I8&lt;Settings!$B$30,IF(Settings!$B$30-I8&gt;=E8,H8,H8+(Settings!$B$30-I8)+Settings!$B$31),H8+(Settings!$B$33-I8))</f>
        <v>50.04</v>
      </c>
      <c r="K8" s="6">
        <f t="shared" si="2"/>
        <v>74.06</v>
      </c>
      <c r="L8" s="6">
        <f t="shared" si="3"/>
        <v>74.06</v>
      </c>
      <c r="M8" s="6">
        <f t="shared" si="12"/>
        <v>50.92269706952829</v>
      </c>
      <c r="N8" s="6">
        <f t="shared" si="4"/>
        <v>74.06</v>
      </c>
      <c r="O8" s="6">
        <f>Arrivals!I8</f>
        <v>0.68776257473816171</v>
      </c>
      <c r="P8" s="6">
        <f t="shared" si="5"/>
        <v>74.747762574738161</v>
      </c>
      <c r="Q8" s="6">
        <f t="shared" si="6"/>
        <v>42.747762574738161</v>
      </c>
      <c r="R8" s="6">
        <f t="shared" si="7"/>
        <v>18.04</v>
      </c>
      <c r="S8" s="6">
        <f t="shared" si="8"/>
        <v>0</v>
      </c>
      <c r="T8" s="6">
        <f t="shared" si="9"/>
        <v>0</v>
      </c>
      <c r="U8" s="6">
        <f t="shared" si="10"/>
        <v>18.04</v>
      </c>
      <c r="V8" s="6" t="str">
        <f>IF(MOD(C8-Settings!$B$32,Settings!$B$33)&lt;Settings!$B$30,"Up","Down")</f>
        <v>Up</v>
      </c>
      <c r="W8" s="6">
        <f>IF(OR(E8&gt;Settings!$B$30,Q8&gt;Settings!$B$37),0,1)</f>
        <v>1</v>
      </c>
      <c r="X8" s="6">
        <f>IF(AND(W8=1,Q8&lt;=Settings!$B$36),1,0)</f>
        <v>1</v>
      </c>
    </row>
    <row r="9" spans="1:24" x14ac:dyDescent="0.2">
      <c r="A9">
        <f>Arrivals!A9</f>
        <v>1</v>
      </c>
      <c r="B9">
        <f>Arrivals!B9</f>
        <v>4</v>
      </c>
      <c r="C9" s="6">
        <f>Arrivals!F9</f>
        <v>37</v>
      </c>
      <c r="D9" s="6">
        <f>Arrivals!K9</f>
        <v>300</v>
      </c>
      <c r="E9" s="6">
        <f>D9*8/ACE_Input!S9+ACE_Input!T9</f>
        <v>24.02</v>
      </c>
      <c r="F9" s="6">
        <f t="shared" si="0"/>
        <v>37</v>
      </c>
      <c r="G9" s="6">
        <f t="shared" si="11"/>
        <v>74.06</v>
      </c>
      <c r="H9" s="6">
        <f t="shared" si="1"/>
        <v>74.06</v>
      </c>
      <c r="I9" s="6">
        <f>MOD(H9-Settings!$B$32,Settings!$B$33)</f>
        <v>74.06</v>
      </c>
      <c r="J9" s="6">
        <f>IF(I9&lt;Settings!$B$30,IF(Settings!$B$30-I9&gt;=E9,H9,H9+(Settings!$B$30-I9)+Settings!$B$31),H9+(Settings!$B$33-I9))</f>
        <v>74.06</v>
      </c>
      <c r="K9" s="6">
        <f t="shared" si="2"/>
        <v>98.08</v>
      </c>
      <c r="L9" s="6">
        <f t="shared" si="3"/>
        <v>98.08</v>
      </c>
      <c r="M9" s="6">
        <f t="shared" si="12"/>
        <v>74.747762574738161</v>
      </c>
      <c r="N9" s="6">
        <f t="shared" si="4"/>
        <v>98.08</v>
      </c>
      <c r="O9" s="6">
        <f>Arrivals!I9</f>
        <v>6.4728357917824858E-2</v>
      </c>
      <c r="P9" s="6">
        <f t="shared" si="5"/>
        <v>98.144728357917828</v>
      </c>
      <c r="Q9" s="6">
        <f t="shared" si="6"/>
        <v>61.144728357917828</v>
      </c>
      <c r="R9" s="6">
        <f t="shared" si="7"/>
        <v>37.06</v>
      </c>
      <c r="S9" s="6">
        <f t="shared" si="8"/>
        <v>0</v>
      </c>
      <c r="T9" s="6">
        <f t="shared" si="9"/>
        <v>0</v>
      </c>
      <c r="U9" s="6">
        <f t="shared" si="10"/>
        <v>37.06</v>
      </c>
      <c r="V9" s="6" t="str">
        <f>IF(MOD(C9-Settings!$B$32,Settings!$B$33)&lt;Settings!$B$30,"Up","Down")</f>
        <v>Up</v>
      </c>
      <c r="W9" s="6">
        <f>IF(OR(E9&gt;Settings!$B$30,Q9&gt;Settings!$B$37),0,1)</f>
        <v>1</v>
      </c>
      <c r="X9" s="6">
        <f>IF(AND(W9=1,Q9&lt;=Settings!$B$36),1,0)</f>
        <v>1</v>
      </c>
    </row>
    <row r="10" spans="1:24" x14ac:dyDescent="0.2">
      <c r="A10">
        <f>Arrivals!A10</f>
        <v>1</v>
      </c>
      <c r="B10">
        <f>Arrivals!B10</f>
        <v>5</v>
      </c>
      <c r="C10" s="6">
        <f>Arrivals!F10</f>
        <v>42</v>
      </c>
      <c r="D10" s="6">
        <f>Arrivals!K10</f>
        <v>300</v>
      </c>
      <c r="E10" s="6">
        <f>D10*8/ACE_Input!S10+ACE_Input!T10</f>
        <v>24.02</v>
      </c>
      <c r="F10" s="6">
        <f t="shared" si="0"/>
        <v>42</v>
      </c>
      <c r="G10" s="6">
        <f t="shared" si="11"/>
        <v>98.08</v>
      </c>
      <c r="H10" s="6">
        <f t="shared" si="1"/>
        <v>98.08</v>
      </c>
      <c r="I10" s="6">
        <f>MOD(H10-Settings!$B$32,Settings!$B$33)</f>
        <v>98.08</v>
      </c>
      <c r="J10" s="6">
        <f>IF(I10&lt;Settings!$B$30,IF(Settings!$B$30-I10&gt;=E10,H10,H10+(Settings!$B$30-I10)+Settings!$B$31),H10+(Settings!$B$33-I10))</f>
        <v>98.08</v>
      </c>
      <c r="K10" s="6">
        <f t="shared" si="2"/>
        <v>122.1</v>
      </c>
      <c r="L10" s="6">
        <f t="shared" si="3"/>
        <v>122.1</v>
      </c>
      <c r="M10" s="6">
        <f t="shared" si="12"/>
        <v>98.144728357917828</v>
      </c>
      <c r="N10" s="6">
        <f t="shared" si="4"/>
        <v>122.1</v>
      </c>
      <c r="O10" s="6">
        <f>Arrivals!I10</f>
        <v>6.1235998941043919</v>
      </c>
      <c r="P10" s="6">
        <f t="shared" si="5"/>
        <v>128.22359989410438</v>
      </c>
      <c r="Q10" s="6">
        <f t="shared" si="6"/>
        <v>86.223599894104382</v>
      </c>
      <c r="R10" s="6">
        <f t="shared" si="7"/>
        <v>56.08</v>
      </c>
      <c r="S10" s="6">
        <f t="shared" si="8"/>
        <v>0</v>
      </c>
      <c r="T10" s="6">
        <f t="shared" si="9"/>
        <v>0</v>
      </c>
      <c r="U10" s="6">
        <f t="shared" si="10"/>
        <v>56.08</v>
      </c>
      <c r="V10" s="6" t="str">
        <f>IF(MOD(C10-Settings!$B$32,Settings!$B$33)&lt;Settings!$B$30,"Up","Down")</f>
        <v>Up</v>
      </c>
      <c r="W10" s="6">
        <f>IF(OR(E10&gt;Settings!$B$30,Q10&gt;Settings!$B$37),0,1)</f>
        <v>1</v>
      </c>
      <c r="X10" s="6">
        <f>IF(AND(W10=1,Q10&lt;=Settings!$B$36),1,0)</f>
        <v>1</v>
      </c>
    </row>
    <row r="11" spans="1:24" x14ac:dyDescent="0.2">
      <c r="A11">
        <f>Arrivals!A11</f>
        <v>1</v>
      </c>
      <c r="B11">
        <f>Arrivals!B11</f>
        <v>6</v>
      </c>
      <c r="C11" s="6">
        <f>Arrivals!F11</f>
        <v>47</v>
      </c>
      <c r="D11" s="6">
        <f>Arrivals!K11</f>
        <v>300</v>
      </c>
      <c r="E11" s="6">
        <f>D11*8/ACE_Input!S11+ACE_Input!T11</f>
        <v>24.02</v>
      </c>
      <c r="F11" s="6">
        <f t="shared" si="0"/>
        <v>47</v>
      </c>
      <c r="G11" s="6">
        <f t="shared" si="11"/>
        <v>122.1</v>
      </c>
      <c r="H11" s="6">
        <f t="shared" si="1"/>
        <v>122.1</v>
      </c>
      <c r="I11" s="6">
        <f>MOD(H11-Settings!$B$32,Settings!$B$33)</f>
        <v>122.1</v>
      </c>
      <c r="J11" s="6">
        <f>IF(I11&lt;Settings!$B$30,IF(Settings!$B$30-I11&gt;=E11,H11,H11+(Settings!$B$30-I11)+Settings!$B$31),H11+(Settings!$B$33-I11))</f>
        <v>122.1</v>
      </c>
      <c r="K11" s="6">
        <f t="shared" si="2"/>
        <v>146.12</v>
      </c>
      <c r="L11" s="6">
        <f t="shared" si="3"/>
        <v>146.12</v>
      </c>
      <c r="M11" s="6">
        <f t="shared" si="12"/>
        <v>128.22359989410438</v>
      </c>
      <c r="N11" s="6">
        <f t="shared" si="4"/>
        <v>146.12</v>
      </c>
      <c r="O11" s="6">
        <f>Arrivals!I11</f>
        <v>12.762431004901574</v>
      </c>
      <c r="P11" s="6">
        <f t="shared" si="5"/>
        <v>158.88243100490158</v>
      </c>
      <c r="Q11" s="6">
        <f t="shared" si="6"/>
        <v>111.88243100490158</v>
      </c>
      <c r="R11" s="6">
        <f t="shared" si="7"/>
        <v>75.099999999999994</v>
      </c>
      <c r="S11" s="6">
        <f t="shared" si="8"/>
        <v>0</v>
      </c>
      <c r="T11" s="6">
        <f t="shared" si="9"/>
        <v>0</v>
      </c>
      <c r="U11" s="6">
        <f t="shared" si="10"/>
        <v>75.099999999999994</v>
      </c>
      <c r="V11" s="6" t="str">
        <f>IF(MOD(C11-Settings!$B$32,Settings!$B$33)&lt;Settings!$B$30,"Up","Down")</f>
        <v>Up</v>
      </c>
      <c r="W11" s="6">
        <f>IF(OR(E11&gt;Settings!$B$30,Q11&gt;Settings!$B$37),0,1)</f>
        <v>1</v>
      </c>
      <c r="X11" s="6">
        <f>IF(AND(W11=1,Q11&lt;=Settings!$B$36),1,0)</f>
        <v>1</v>
      </c>
    </row>
    <row r="12" spans="1:24" x14ac:dyDescent="0.2">
      <c r="A12">
        <f>Arrivals!A12</f>
        <v>1</v>
      </c>
      <c r="B12">
        <f>Arrivals!B12</f>
        <v>7</v>
      </c>
      <c r="C12" s="6">
        <f>Arrivals!F12</f>
        <v>52</v>
      </c>
      <c r="D12" s="6">
        <f>Arrivals!K12</f>
        <v>300</v>
      </c>
      <c r="E12" s="6">
        <f>D12*8/ACE_Input!S12+ACE_Input!T12</f>
        <v>24.02</v>
      </c>
      <c r="F12" s="6">
        <f t="shared" si="0"/>
        <v>52</v>
      </c>
      <c r="G12" s="6">
        <f t="shared" si="11"/>
        <v>146.12</v>
      </c>
      <c r="H12" s="6">
        <f t="shared" si="1"/>
        <v>146.12</v>
      </c>
      <c r="I12" s="6">
        <f>MOD(H12-Settings!$B$32,Settings!$B$33)</f>
        <v>146.12</v>
      </c>
      <c r="J12" s="6">
        <f>IF(I12&lt;Settings!$B$30,IF(Settings!$B$30-I12&gt;=E12,H12,H12+(Settings!$B$30-I12)+Settings!$B$31),H12+(Settings!$B$33-I12))</f>
        <v>146.12</v>
      </c>
      <c r="K12" s="6">
        <f t="shared" si="2"/>
        <v>170.14000000000001</v>
      </c>
      <c r="L12" s="6">
        <f t="shared" si="3"/>
        <v>170.14000000000001</v>
      </c>
      <c r="M12" s="6">
        <f t="shared" si="12"/>
        <v>158.88243100490158</v>
      </c>
      <c r="N12" s="6">
        <f t="shared" si="4"/>
        <v>170.14000000000001</v>
      </c>
      <c r="O12" s="6">
        <f>Arrivals!I12</f>
        <v>2.3536094862160417</v>
      </c>
      <c r="P12" s="6">
        <f t="shared" si="5"/>
        <v>172.49360948621606</v>
      </c>
      <c r="Q12" s="6">
        <f t="shared" si="6"/>
        <v>120.49360948621606</v>
      </c>
      <c r="R12" s="6">
        <f t="shared" si="7"/>
        <v>94.12</v>
      </c>
      <c r="S12" s="6">
        <f t="shared" si="8"/>
        <v>0</v>
      </c>
      <c r="T12" s="6">
        <f t="shared" si="9"/>
        <v>0</v>
      </c>
      <c r="U12" s="6">
        <f t="shared" si="10"/>
        <v>94.12</v>
      </c>
      <c r="V12" s="6" t="str">
        <f>IF(MOD(C12-Settings!$B$32,Settings!$B$33)&lt;Settings!$B$30,"Up","Down")</f>
        <v>Up</v>
      </c>
      <c r="W12" s="6">
        <f>IF(OR(E12&gt;Settings!$B$30,Q12&gt;Settings!$B$37),0,1)</f>
        <v>1</v>
      </c>
      <c r="X12" s="6">
        <f>IF(AND(W12=1,Q12&lt;=Settings!$B$36),1,0)</f>
        <v>0</v>
      </c>
    </row>
    <row r="13" spans="1:24" x14ac:dyDescent="0.2">
      <c r="A13">
        <f>Arrivals!A13</f>
        <v>1</v>
      </c>
      <c r="B13">
        <f>Arrivals!B13</f>
        <v>8</v>
      </c>
      <c r="C13" s="6">
        <f>Arrivals!F13</f>
        <v>57</v>
      </c>
      <c r="D13" s="6">
        <f>Arrivals!K13</f>
        <v>300</v>
      </c>
      <c r="E13" s="6">
        <f>D13*8/ACE_Input!S13+ACE_Input!T13</f>
        <v>24.02</v>
      </c>
      <c r="F13" s="6">
        <f t="shared" si="0"/>
        <v>57</v>
      </c>
      <c r="G13" s="6">
        <f t="shared" si="11"/>
        <v>170.14000000000001</v>
      </c>
      <c r="H13" s="6">
        <f t="shared" si="1"/>
        <v>170.14000000000001</v>
      </c>
      <c r="I13" s="6">
        <f>MOD(H13-Settings!$B$32,Settings!$B$33)</f>
        <v>170.14000000000001</v>
      </c>
      <c r="J13" s="6">
        <f>IF(I13&lt;Settings!$B$30,IF(Settings!$B$30-I13&gt;=E13,H13,H13+(Settings!$B$30-I13)+Settings!$B$31),H13+(Settings!$B$33-I13))</f>
        <v>170.14000000000001</v>
      </c>
      <c r="K13" s="6">
        <f t="shared" si="2"/>
        <v>194.16000000000003</v>
      </c>
      <c r="L13" s="6">
        <f t="shared" si="3"/>
        <v>194.16000000000003</v>
      </c>
      <c r="M13" s="6">
        <f t="shared" si="12"/>
        <v>172.49360948621606</v>
      </c>
      <c r="N13" s="6">
        <f t="shared" si="4"/>
        <v>194.16000000000003</v>
      </c>
      <c r="O13" s="6">
        <f>Arrivals!I13</f>
        <v>2.977746133314132</v>
      </c>
      <c r="P13" s="6">
        <f t="shared" si="5"/>
        <v>197.13774613331415</v>
      </c>
      <c r="Q13" s="6">
        <f t="shared" si="6"/>
        <v>140.13774613331415</v>
      </c>
      <c r="R13" s="6">
        <f t="shared" si="7"/>
        <v>113.14000000000001</v>
      </c>
      <c r="S13" s="6">
        <f t="shared" si="8"/>
        <v>0</v>
      </c>
      <c r="T13" s="6">
        <f t="shared" si="9"/>
        <v>0</v>
      </c>
      <c r="U13" s="6">
        <f t="shared" si="10"/>
        <v>113.14000000000001</v>
      </c>
      <c r="V13" s="6" t="str">
        <f>IF(MOD(C13-Settings!$B$32,Settings!$B$33)&lt;Settings!$B$30,"Up","Down")</f>
        <v>Up</v>
      </c>
      <c r="W13" s="6">
        <f>IF(OR(E13&gt;Settings!$B$30,Q13&gt;Settings!$B$37),0,1)</f>
        <v>1</v>
      </c>
      <c r="X13" s="6">
        <f>IF(AND(W13=1,Q13&lt;=Settings!$B$36),1,0)</f>
        <v>0</v>
      </c>
    </row>
    <row r="14" spans="1:24" x14ac:dyDescent="0.2">
      <c r="A14">
        <f>Arrivals!A14</f>
        <v>1</v>
      </c>
      <c r="B14">
        <f>Arrivals!B14</f>
        <v>9</v>
      </c>
      <c r="C14" s="6">
        <f>Arrivals!F14</f>
        <v>172</v>
      </c>
      <c r="D14" s="6">
        <f>Arrivals!K14</f>
        <v>300</v>
      </c>
      <c r="E14" s="6">
        <f>D14*8/ACE_Input!S14+ACE_Input!T14</f>
        <v>24.02</v>
      </c>
      <c r="F14" s="6">
        <f t="shared" si="0"/>
        <v>172</v>
      </c>
      <c r="G14" s="6">
        <f t="shared" si="11"/>
        <v>194.16000000000003</v>
      </c>
      <c r="H14" s="6">
        <f t="shared" si="1"/>
        <v>194.16000000000003</v>
      </c>
      <c r="I14" s="6">
        <f>MOD(H14-Settings!$B$32,Settings!$B$33)</f>
        <v>194.16000000000003</v>
      </c>
      <c r="J14" s="6">
        <f>IF(I14&lt;Settings!$B$30,IF(Settings!$B$30-I14&gt;=E14,H14,H14+(Settings!$B$30-I14)+Settings!$B$31),H14+(Settings!$B$33-I14))</f>
        <v>194.16000000000003</v>
      </c>
      <c r="K14" s="6">
        <f t="shared" si="2"/>
        <v>218.18000000000004</v>
      </c>
      <c r="L14" s="6">
        <f t="shared" si="3"/>
        <v>218.18000000000004</v>
      </c>
      <c r="M14" s="6">
        <f t="shared" si="12"/>
        <v>197.13774613331415</v>
      </c>
      <c r="N14" s="6">
        <f t="shared" si="4"/>
        <v>218.18000000000004</v>
      </c>
      <c r="O14" s="6">
        <f>Arrivals!I14</f>
        <v>4.1260512171431625</v>
      </c>
      <c r="P14" s="6">
        <f t="shared" si="5"/>
        <v>222.30605121714319</v>
      </c>
      <c r="Q14" s="6">
        <f t="shared" si="6"/>
        <v>50.306051217143192</v>
      </c>
      <c r="R14" s="6">
        <f t="shared" si="7"/>
        <v>22.160000000000025</v>
      </c>
      <c r="S14" s="6">
        <f t="shared" si="8"/>
        <v>0</v>
      </c>
      <c r="T14" s="6">
        <f t="shared" si="9"/>
        <v>0</v>
      </c>
      <c r="U14" s="6">
        <f t="shared" si="10"/>
        <v>22.160000000000025</v>
      </c>
      <c r="V14" s="6" t="str">
        <f>IF(MOD(C14-Settings!$B$32,Settings!$B$33)&lt;Settings!$B$30,"Up","Down")</f>
        <v>Up</v>
      </c>
      <c r="W14" s="6">
        <f>IF(OR(E14&gt;Settings!$B$30,Q14&gt;Settings!$B$37),0,1)</f>
        <v>1</v>
      </c>
      <c r="X14" s="6">
        <f>IF(AND(W14=1,Q14&lt;=Settings!$B$36),1,0)</f>
        <v>1</v>
      </c>
    </row>
    <row r="15" spans="1:24" x14ac:dyDescent="0.2">
      <c r="A15">
        <f>Arrivals!A15</f>
        <v>1</v>
      </c>
      <c r="B15">
        <f>Arrivals!B15</f>
        <v>10</v>
      </c>
      <c r="C15" s="6">
        <f>Arrivals!F15</f>
        <v>177</v>
      </c>
      <c r="D15" s="6">
        <f>Arrivals!K15</f>
        <v>300</v>
      </c>
      <c r="E15" s="6">
        <f>D15*8/ACE_Input!S15+ACE_Input!T15</f>
        <v>24.02</v>
      </c>
      <c r="F15" s="6">
        <f t="shared" si="0"/>
        <v>177</v>
      </c>
      <c r="G15" s="6">
        <f t="shared" si="11"/>
        <v>218.18000000000004</v>
      </c>
      <c r="H15" s="6">
        <f t="shared" si="1"/>
        <v>218.18000000000004</v>
      </c>
      <c r="I15" s="6">
        <f>MOD(H15-Settings!$B$32,Settings!$B$33)</f>
        <v>218.18000000000004</v>
      </c>
      <c r="J15" s="6">
        <f>IF(I15&lt;Settings!$B$30,IF(Settings!$B$30-I15&gt;=E15,H15,H15+(Settings!$B$30-I15)+Settings!$B$31),H15+(Settings!$B$33-I15))</f>
        <v>218.18000000000004</v>
      </c>
      <c r="K15" s="6">
        <f t="shared" si="2"/>
        <v>242.20000000000005</v>
      </c>
      <c r="L15" s="6">
        <f t="shared" si="3"/>
        <v>242.20000000000005</v>
      </c>
      <c r="M15" s="6">
        <f t="shared" si="12"/>
        <v>222.30605121714319</v>
      </c>
      <c r="N15" s="6">
        <f t="shared" si="4"/>
        <v>242.20000000000005</v>
      </c>
      <c r="O15" s="6">
        <f>Arrivals!I15</f>
        <v>7.7049226755048634</v>
      </c>
      <c r="P15" s="6">
        <f t="shared" si="5"/>
        <v>249.90492267550491</v>
      </c>
      <c r="Q15" s="6">
        <f t="shared" si="6"/>
        <v>72.904922675504906</v>
      </c>
      <c r="R15" s="6">
        <f t="shared" si="7"/>
        <v>41.180000000000035</v>
      </c>
      <c r="S15" s="6">
        <f t="shared" si="8"/>
        <v>0</v>
      </c>
      <c r="T15" s="6">
        <f t="shared" si="9"/>
        <v>0</v>
      </c>
      <c r="U15" s="6">
        <f t="shared" si="10"/>
        <v>41.180000000000035</v>
      </c>
      <c r="V15" s="6" t="str">
        <f>IF(MOD(C15-Settings!$B$32,Settings!$B$33)&lt;Settings!$B$30,"Up","Down")</f>
        <v>Up</v>
      </c>
      <c r="W15" s="6">
        <f>IF(OR(E15&gt;Settings!$B$30,Q15&gt;Settings!$B$37),0,1)</f>
        <v>1</v>
      </c>
      <c r="X15" s="6">
        <f>IF(AND(W15=1,Q15&lt;=Settings!$B$36),1,0)</f>
        <v>1</v>
      </c>
    </row>
    <row r="16" spans="1:24" x14ac:dyDescent="0.2">
      <c r="A16">
        <f>Arrivals!A16</f>
        <v>1</v>
      </c>
      <c r="B16">
        <f>Arrivals!B16</f>
        <v>11</v>
      </c>
      <c r="C16" s="6">
        <f>Arrivals!F16</f>
        <v>182</v>
      </c>
      <c r="D16" s="6">
        <f>Arrivals!K16</f>
        <v>300</v>
      </c>
      <c r="E16" s="6">
        <f>D16*8/ACE_Input!S16+ACE_Input!T16</f>
        <v>24.02</v>
      </c>
      <c r="F16" s="6">
        <f t="shared" si="0"/>
        <v>182</v>
      </c>
      <c r="G16" s="6">
        <f t="shared" si="11"/>
        <v>242.20000000000005</v>
      </c>
      <c r="H16" s="6">
        <f t="shared" si="1"/>
        <v>242.20000000000005</v>
      </c>
      <c r="I16" s="6">
        <f>MOD(H16-Settings!$B$32,Settings!$B$33)</f>
        <v>242.20000000000005</v>
      </c>
      <c r="J16" s="6">
        <f>IF(I16&lt;Settings!$B$30,IF(Settings!$B$30-I16&gt;=E16,H16,H16+(Settings!$B$30-I16)+Settings!$B$31),H16+(Settings!$B$33-I16))</f>
        <v>242.20000000000005</v>
      </c>
      <c r="K16" s="6">
        <f t="shared" si="2"/>
        <v>266.22000000000003</v>
      </c>
      <c r="L16" s="6">
        <f t="shared" si="3"/>
        <v>266.22000000000003</v>
      </c>
      <c r="M16" s="6">
        <f t="shared" si="12"/>
        <v>249.90492267550491</v>
      </c>
      <c r="N16" s="6">
        <f t="shared" si="4"/>
        <v>266.22000000000003</v>
      </c>
      <c r="O16" s="6">
        <f>Arrivals!I16</f>
        <v>1.3227546028914492</v>
      </c>
      <c r="P16" s="6">
        <f t="shared" si="5"/>
        <v>267.54275460289148</v>
      </c>
      <c r="Q16" s="6">
        <f t="shared" si="6"/>
        <v>85.542754602891478</v>
      </c>
      <c r="R16" s="6">
        <f t="shared" si="7"/>
        <v>60.200000000000045</v>
      </c>
      <c r="S16" s="6">
        <f t="shared" si="8"/>
        <v>0</v>
      </c>
      <c r="T16" s="6">
        <f t="shared" si="9"/>
        <v>0</v>
      </c>
      <c r="U16" s="6">
        <f t="shared" si="10"/>
        <v>60.200000000000045</v>
      </c>
      <c r="V16" s="6" t="str">
        <f>IF(MOD(C16-Settings!$B$32,Settings!$B$33)&lt;Settings!$B$30,"Up","Down")</f>
        <v>Up</v>
      </c>
      <c r="W16" s="6">
        <f>IF(OR(E16&gt;Settings!$B$30,Q16&gt;Settings!$B$37),0,1)</f>
        <v>1</v>
      </c>
      <c r="X16" s="6">
        <f>IF(AND(W16=1,Q16&lt;=Settings!$B$36),1,0)</f>
        <v>1</v>
      </c>
    </row>
    <row r="17" spans="1:24" x14ac:dyDescent="0.2">
      <c r="A17">
        <f>Arrivals!A17</f>
        <v>1</v>
      </c>
      <c r="B17">
        <f>Arrivals!B17</f>
        <v>12</v>
      </c>
      <c r="C17" s="6">
        <f>Arrivals!F17</f>
        <v>187</v>
      </c>
      <c r="D17" s="6">
        <f>Arrivals!K17</f>
        <v>300</v>
      </c>
      <c r="E17" s="6">
        <f>D17*8/ACE_Input!S17+ACE_Input!T17</f>
        <v>24.02</v>
      </c>
      <c r="F17" s="6">
        <f t="shared" si="0"/>
        <v>187</v>
      </c>
      <c r="G17" s="6">
        <f t="shared" si="11"/>
        <v>266.22000000000003</v>
      </c>
      <c r="H17" s="6">
        <f t="shared" si="1"/>
        <v>266.22000000000003</v>
      </c>
      <c r="I17" s="6">
        <f>MOD(H17-Settings!$B$32,Settings!$B$33)</f>
        <v>266.22000000000003</v>
      </c>
      <c r="J17" s="6">
        <f>IF(I17&lt;Settings!$B$30,IF(Settings!$B$30-I17&gt;=E17,H17,H17+(Settings!$B$30-I17)+Settings!$B$31),H17+(Settings!$B$33-I17))</f>
        <v>266.22000000000003</v>
      </c>
      <c r="K17" s="6">
        <f t="shared" si="2"/>
        <v>290.24</v>
      </c>
      <c r="L17" s="6">
        <f t="shared" si="3"/>
        <v>290.24</v>
      </c>
      <c r="M17" s="6">
        <f t="shared" si="12"/>
        <v>267.54275460289148</v>
      </c>
      <c r="N17" s="6">
        <f t="shared" si="4"/>
        <v>290.24</v>
      </c>
      <c r="O17" s="6">
        <f>Arrivals!I17</f>
        <v>1.8283864409504715</v>
      </c>
      <c r="P17" s="6">
        <f t="shared" si="5"/>
        <v>292.06838644095046</v>
      </c>
      <c r="Q17" s="6">
        <f t="shared" si="6"/>
        <v>105.06838644095046</v>
      </c>
      <c r="R17" s="6">
        <f t="shared" si="7"/>
        <v>79.220000000000027</v>
      </c>
      <c r="S17" s="6">
        <f t="shared" si="8"/>
        <v>0</v>
      </c>
      <c r="T17" s="6">
        <f t="shared" si="9"/>
        <v>0</v>
      </c>
      <c r="U17" s="6">
        <f t="shared" si="10"/>
        <v>79.220000000000027</v>
      </c>
      <c r="V17" s="6" t="str">
        <f>IF(MOD(C17-Settings!$B$32,Settings!$B$33)&lt;Settings!$B$30,"Up","Down")</f>
        <v>Up</v>
      </c>
      <c r="W17" s="6">
        <f>IF(OR(E17&gt;Settings!$B$30,Q17&gt;Settings!$B$37),0,1)</f>
        <v>1</v>
      </c>
      <c r="X17" s="6">
        <f>IF(AND(W17=1,Q17&lt;=Settings!$B$36),1,0)</f>
        <v>1</v>
      </c>
    </row>
    <row r="18" spans="1:24" x14ac:dyDescent="0.2">
      <c r="A18">
        <f>Arrivals!A18</f>
        <v>1</v>
      </c>
      <c r="B18">
        <f>Arrivals!B18</f>
        <v>13</v>
      </c>
      <c r="C18" s="6">
        <f>Arrivals!F18</f>
        <v>192</v>
      </c>
      <c r="D18" s="6">
        <f>Arrivals!K18</f>
        <v>300</v>
      </c>
      <c r="E18" s="6">
        <f>D18*8/ACE_Input!S18+ACE_Input!T18</f>
        <v>24.02</v>
      </c>
      <c r="F18" s="6">
        <f t="shared" si="0"/>
        <v>192</v>
      </c>
      <c r="G18" s="6">
        <f t="shared" si="11"/>
        <v>290.24</v>
      </c>
      <c r="H18" s="6">
        <f t="shared" si="1"/>
        <v>290.24</v>
      </c>
      <c r="I18" s="6">
        <f>MOD(H18-Settings!$B$32,Settings!$B$33)</f>
        <v>290.24</v>
      </c>
      <c r="J18" s="6">
        <f>IF(I18&lt;Settings!$B$30,IF(Settings!$B$30-I18&gt;=E18,H18,H18+(Settings!$B$30-I18)+Settings!$B$31),H18+(Settings!$B$33-I18))</f>
        <v>290.24</v>
      </c>
      <c r="K18" s="6">
        <f t="shared" si="2"/>
        <v>314.26</v>
      </c>
      <c r="L18" s="6">
        <f t="shared" si="3"/>
        <v>314.26</v>
      </c>
      <c r="M18" s="6">
        <f t="shared" si="12"/>
        <v>292.06838644095046</v>
      </c>
      <c r="N18" s="6">
        <f t="shared" si="4"/>
        <v>314.26</v>
      </c>
      <c r="O18" s="6">
        <f>Arrivals!I18</f>
        <v>0.72650823761971151</v>
      </c>
      <c r="P18" s="6">
        <f t="shared" si="5"/>
        <v>314.98650823761972</v>
      </c>
      <c r="Q18" s="6">
        <f t="shared" si="6"/>
        <v>122.98650823761972</v>
      </c>
      <c r="R18" s="6">
        <f t="shared" si="7"/>
        <v>98.240000000000009</v>
      </c>
      <c r="S18" s="6">
        <f t="shared" si="8"/>
        <v>0</v>
      </c>
      <c r="T18" s="6">
        <f t="shared" si="9"/>
        <v>0</v>
      </c>
      <c r="U18" s="6">
        <f t="shared" si="10"/>
        <v>98.240000000000009</v>
      </c>
      <c r="V18" s="6" t="str">
        <f>IF(MOD(C18-Settings!$B$32,Settings!$B$33)&lt;Settings!$B$30,"Up","Down")</f>
        <v>Up</v>
      </c>
      <c r="W18" s="6">
        <f>IF(OR(E18&gt;Settings!$B$30,Q18&gt;Settings!$B$37),0,1)</f>
        <v>1</v>
      </c>
      <c r="X18" s="6">
        <f>IF(AND(W18=1,Q18&lt;=Settings!$B$36),1,0)</f>
        <v>0</v>
      </c>
    </row>
    <row r="19" spans="1:24" x14ac:dyDescent="0.2">
      <c r="A19">
        <f>Arrivals!A19</f>
        <v>1</v>
      </c>
      <c r="B19">
        <f>Arrivals!B19</f>
        <v>14</v>
      </c>
      <c r="C19" s="6">
        <f>Arrivals!F19</f>
        <v>197</v>
      </c>
      <c r="D19" s="6">
        <f>Arrivals!K19</f>
        <v>300</v>
      </c>
      <c r="E19" s="6">
        <f>D19*8/ACE_Input!S19+ACE_Input!T19</f>
        <v>24.02</v>
      </c>
      <c r="F19" s="6">
        <f t="shared" si="0"/>
        <v>197</v>
      </c>
      <c r="G19" s="6">
        <f t="shared" si="11"/>
        <v>314.26</v>
      </c>
      <c r="H19" s="6">
        <f t="shared" si="1"/>
        <v>314.26</v>
      </c>
      <c r="I19" s="6">
        <f>MOD(H19-Settings!$B$32,Settings!$B$33)</f>
        <v>314.26</v>
      </c>
      <c r="J19" s="6">
        <f>IF(I19&lt;Settings!$B$30,IF(Settings!$B$30-I19&gt;=E19,H19,H19+(Settings!$B$30-I19)+Settings!$B$31),H19+(Settings!$B$33-I19))</f>
        <v>314.26</v>
      </c>
      <c r="K19" s="6">
        <f t="shared" si="2"/>
        <v>338.28</v>
      </c>
      <c r="L19" s="6">
        <f t="shared" si="3"/>
        <v>338.28</v>
      </c>
      <c r="M19" s="6">
        <f t="shared" si="12"/>
        <v>314.98650823761972</v>
      </c>
      <c r="N19" s="6">
        <f t="shared" si="4"/>
        <v>338.28</v>
      </c>
      <c r="O19" s="6">
        <f>Arrivals!I19</f>
        <v>2.2927443698358578</v>
      </c>
      <c r="P19" s="6">
        <f t="shared" si="5"/>
        <v>340.57274436983585</v>
      </c>
      <c r="Q19" s="6">
        <f t="shared" si="6"/>
        <v>143.57274436983585</v>
      </c>
      <c r="R19" s="6">
        <f t="shared" si="7"/>
        <v>117.25999999999999</v>
      </c>
      <c r="S19" s="6">
        <f t="shared" si="8"/>
        <v>0</v>
      </c>
      <c r="T19" s="6">
        <f t="shared" si="9"/>
        <v>0</v>
      </c>
      <c r="U19" s="6">
        <f t="shared" si="10"/>
        <v>117.25999999999999</v>
      </c>
      <c r="V19" s="6" t="str">
        <f>IF(MOD(C19-Settings!$B$32,Settings!$B$33)&lt;Settings!$B$30,"Up","Down")</f>
        <v>Up</v>
      </c>
      <c r="W19" s="6">
        <f>IF(OR(E19&gt;Settings!$B$30,Q19&gt;Settings!$B$37),0,1)</f>
        <v>1</v>
      </c>
      <c r="X19" s="6">
        <f>IF(AND(W19=1,Q19&lt;=Settings!$B$36),1,0)</f>
        <v>0</v>
      </c>
    </row>
    <row r="20" spans="1:24" x14ac:dyDescent="0.2">
      <c r="A20">
        <f>Arrivals!A20</f>
        <v>1</v>
      </c>
      <c r="B20">
        <f>Arrivals!B20</f>
        <v>15</v>
      </c>
      <c r="C20" s="6">
        <f>Arrivals!F20</f>
        <v>202</v>
      </c>
      <c r="D20" s="6">
        <f>Arrivals!K20</f>
        <v>300</v>
      </c>
      <c r="E20" s="6">
        <f>D20*8/ACE_Input!S20+ACE_Input!T20</f>
        <v>24.02</v>
      </c>
      <c r="F20" s="6">
        <f t="shared" si="0"/>
        <v>202</v>
      </c>
      <c r="G20" s="6">
        <f t="shared" si="11"/>
        <v>338.28</v>
      </c>
      <c r="H20" s="6">
        <f t="shared" si="1"/>
        <v>338.28</v>
      </c>
      <c r="I20" s="6">
        <f>MOD(H20-Settings!$B$32,Settings!$B$33)</f>
        <v>338.28</v>
      </c>
      <c r="J20" s="6">
        <f>IF(I20&lt;Settings!$B$30,IF(Settings!$B$30-I20&gt;=E20,H20,H20+(Settings!$B$30-I20)+Settings!$B$31),H20+(Settings!$B$33-I20))</f>
        <v>338.28</v>
      </c>
      <c r="K20" s="6">
        <f t="shared" si="2"/>
        <v>362.29999999999995</v>
      </c>
      <c r="L20" s="6">
        <f t="shared" si="3"/>
        <v>362.29999999999995</v>
      </c>
      <c r="M20" s="6">
        <f t="shared" si="12"/>
        <v>340.57274436983585</v>
      </c>
      <c r="N20" s="6">
        <f t="shared" si="4"/>
        <v>362.29999999999995</v>
      </c>
      <c r="O20" s="6">
        <f>Arrivals!I20</f>
        <v>2.3832667305914566</v>
      </c>
      <c r="P20" s="6">
        <f t="shared" si="5"/>
        <v>364.68326673059141</v>
      </c>
      <c r="Q20" s="6">
        <f t="shared" si="6"/>
        <v>162.68326673059141</v>
      </c>
      <c r="R20" s="6">
        <f t="shared" si="7"/>
        <v>136.27999999999997</v>
      </c>
      <c r="S20" s="6">
        <f t="shared" si="8"/>
        <v>0</v>
      </c>
      <c r="T20" s="6">
        <f t="shared" si="9"/>
        <v>0</v>
      </c>
      <c r="U20" s="6">
        <f t="shared" si="10"/>
        <v>136.27999999999997</v>
      </c>
      <c r="V20" s="6" t="str">
        <f>IF(MOD(C20-Settings!$B$32,Settings!$B$33)&lt;Settings!$B$30,"Up","Down")</f>
        <v>Up</v>
      </c>
      <c r="W20" s="6">
        <f>IF(OR(E20&gt;Settings!$B$30,Q20&gt;Settings!$B$37),0,1)</f>
        <v>1</v>
      </c>
      <c r="X20" s="6">
        <f>IF(AND(W20=1,Q20&lt;=Settings!$B$36),1,0)</f>
        <v>0</v>
      </c>
    </row>
    <row r="21" spans="1:24" x14ac:dyDescent="0.2">
      <c r="A21">
        <f>Arrivals!A21</f>
        <v>1</v>
      </c>
      <c r="B21">
        <f>Arrivals!B21</f>
        <v>16</v>
      </c>
      <c r="C21" s="6">
        <f>Arrivals!F21</f>
        <v>207</v>
      </c>
      <c r="D21" s="6">
        <f>Arrivals!K21</f>
        <v>300</v>
      </c>
      <c r="E21" s="6">
        <f>D21*8/ACE_Input!S21+ACE_Input!T21</f>
        <v>24.02</v>
      </c>
      <c r="F21" s="6">
        <f t="shared" si="0"/>
        <v>207</v>
      </c>
      <c r="G21" s="6">
        <f t="shared" si="11"/>
        <v>362.29999999999995</v>
      </c>
      <c r="H21" s="6">
        <f t="shared" si="1"/>
        <v>362.29999999999995</v>
      </c>
      <c r="I21" s="6">
        <f>MOD(H21-Settings!$B$32,Settings!$B$33)</f>
        <v>362.29999999999995</v>
      </c>
      <c r="J21" s="6">
        <f>IF(I21&lt;Settings!$B$30,IF(Settings!$B$30-I21&gt;=E21,H21,H21+(Settings!$B$30-I21)+Settings!$B$31),H21+(Settings!$B$33-I21))</f>
        <v>362.29999999999995</v>
      </c>
      <c r="K21" s="6">
        <f t="shared" si="2"/>
        <v>386.31999999999994</v>
      </c>
      <c r="L21" s="6">
        <f t="shared" si="3"/>
        <v>386.31999999999994</v>
      </c>
      <c r="M21" s="6">
        <f t="shared" si="12"/>
        <v>364.68326673059141</v>
      </c>
      <c r="N21" s="6">
        <f t="shared" si="4"/>
        <v>386.31999999999994</v>
      </c>
      <c r="O21" s="6">
        <f>Arrivals!I21</f>
        <v>2.4323171370834107</v>
      </c>
      <c r="P21" s="6">
        <f t="shared" si="5"/>
        <v>388.75231713708337</v>
      </c>
      <c r="Q21" s="6">
        <f t="shared" si="6"/>
        <v>181.75231713708337</v>
      </c>
      <c r="R21" s="6">
        <f t="shared" si="7"/>
        <v>155.29999999999995</v>
      </c>
      <c r="S21" s="6">
        <f t="shared" si="8"/>
        <v>0</v>
      </c>
      <c r="T21" s="6">
        <f t="shared" si="9"/>
        <v>0</v>
      </c>
      <c r="U21" s="6">
        <f t="shared" si="10"/>
        <v>155.29999999999995</v>
      </c>
      <c r="V21" s="6" t="str">
        <f>IF(MOD(C21-Settings!$B$32,Settings!$B$33)&lt;Settings!$B$30,"Up","Down")</f>
        <v>Up</v>
      </c>
      <c r="W21" s="6">
        <f>IF(OR(E21&gt;Settings!$B$30,Q21&gt;Settings!$B$37),0,1)</f>
        <v>1</v>
      </c>
      <c r="X21" s="6">
        <f>IF(AND(W21=1,Q21&lt;=Settings!$B$36),1,0)</f>
        <v>0</v>
      </c>
    </row>
    <row r="22" spans="1:24" x14ac:dyDescent="0.2">
      <c r="A22">
        <f>Arrivals!A22</f>
        <v>1</v>
      </c>
      <c r="B22">
        <f>Arrivals!B22</f>
        <v>17</v>
      </c>
      <c r="C22" s="6">
        <f>Arrivals!F22</f>
        <v>212</v>
      </c>
      <c r="D22" s="6">
        <f>Arrivals!K22</f>
        <v>300</v>
      </c>
      <c r="E22" s="6">
        <f>D22*8/ACE_Input!S22+ACE_Input!T22</f>
        <v>24.02</v>
      </c>
      <c r="F22" s="6">
        <f t="shared" si="0"/>
        <v>212</v>
      </c>
      <c r="G22" s="6">
        <f t="shared" si="11"/>
        <v>386.31999999999994</v>
      </c>
      <c r="H22" s="6">
        <f t="shared" si="1"/>
        <v>386.31999999999994</v>
      </c>
      <c r="I22" s="6">
        <f>MOD(H22-Settings!$B$32,Settings!$B$33)</f>
        <v>386.31999999999994</v>
      </c>
      <c r="J22" s="6">
        <f>IF(I22&lt;Settings!$B$30,IF(Settings!$B$30-I22&gt;=E22,H22,H22+(Settings!$B$30-I22)+Settings!$B$31),H22+(Settings!$B$33-I22))</f>
        <v>386.31999999999994</v>
      </c>
      <c r="K22" s="6">
        <f t="shared" si="2"/>
        <v>410.33999999999992</v>
      </c>
      <c r="L22" s="6">
        <f t="shared" si="3"/>
        <v>410.33999999999992</v>
      </c>
      <c r="M22" s="6">
        <f t="shared" si="12"/>
        <v>388.75231713708337</v>
      </c>
      <c r="N22" s="6">
        <f t="shared" si="4"/>
        <v>410.33999999999992</v>
      </c>
      <c r="O22" s="6">
        <f>Arrivals!I22</f>
        <v>1.6920127984299671</v>
      </c>
      <c r="P22" s="6">
        <f t="shared" si="5"/>
        <v>412.03201279842989</v>
      </c>
      <c r="Q22" s="6">
        <f t="shared" si="6"/>
        <v>200.03201279842989</v>
      </c>
      <c r="R22" s="6">
        <f t="shared" si="7"/>
        <v>174.31999999999994</v>
      </c>
      <c r="S22" s="6">
        <f t="shared" si="8"/>
        <v>0</v>
      </c>
      <c r="T22" s="6">
        <f t="shared" si="9"/>
        <v>0</v>
      </c>
      <c r="U22" s="6">
        <f t="shared" si="10"/>
        <v>174.31999999999994</v>
      </c>
      <c r="V22" s="6" t="str">
        <f>IF(MOD(C22-Settings!$B$32,Settings!$B$33)&lt;Settings!$B$30,"Up","Down")</f>
        <v>Up</v>
      </c>
      <c r="W22" s="6">
        <f>IF(OR(E22&gt;Settings!$B$30,Q22&gt;Settings!$B$37),0,1)</f>
        <v>1</v>
      </c>
      <c r="X22" s="6">
        <f>IF(AND(W22=1,Q22&lt;=Settings!$B$36),1,0)</f>
        <v>0</v>
      </c>
    </row>
    <row r="23" spans="1:24" x14ac:dyDescent="0.2">
      <c r="A23">
        <f>Arrivals!A23</f>
        <v>1</v>
      </c>
      <c r="B23">
        <f>Arrivals!B23</f>
        <v>18</v>
      </c>
      <c r="C23" s="6">
        <f>Arrivals!F23</f>
        <v>217</v>
      </c>
      <c r="D23" s="6">
        <f>Arrivals!K23</f>
        <v>300</v>
      </c>
      <c r="E23" s="6">
        <f>D23*8/ACE_Input!S23+ACE_Input!T23</f>
        <v>24.02</v>
      </c>
      <c r="F23" s="6">
        <f t="shared" si="0"/>
        <v>217</v>
      </c>
      <c r="G23" s="6">
        <f t="shared" si="11"/>
        <v>410.33999999999992</v>
      </c>
      <c r="H23" s="6">
        <f t="shared" si="1"/>
        <v>410.33999999999992</v>
      </c>
      <c r="I23" s="6">
        <f>MOD(H23-Settings!$B$32,Settings!$B$33)</f>
        <v>410.33999999999992</v>
      </c>
      <c r="J23" s="6">
        <f>IF(I23&lt;Settings!$B$30,IF(Settings!$B$30-I23&gt;=E23,H23,H23+(Settings!$B$30-I23)+Settings!$B$31),H23+(Settings!$B$33-I23))</f>
        <v>410.33999999999992</v>
      </c>
      <c r="K23" s="6">
        <f t="shared" si="2"/>
        <v>434.3599999999999</v>
      </c>
      <c r="L23" s="6">
        <f t="shared" si="3"/>
        <v>434.3599999999999</v>
      </c>
      <c r="M23" s="6">
        <f t="shared" si="12"/>
        <v>412.03201279842989</v>
      </c>
      <c r="N23" s="6">
        <f t="shared" si="4"/>
        <v>434.3599999999999</v>
      </c>
      <c r="O23" s="6">
        <f>Arrivals!I23</f>
        <v>0.55080309249813642</v>
      </c>
      <c r="P23" s="6">
        <f t="shared" si="5"/>
        <v>434.91080309249804</v>
      </c>
      <c r="Q23" s="6">
        <f t="shared" si="6"/>
        <v>217.91080309249804</v>
      </c>
      <c r="R23" s="6">
        <f t="shared" si="7"/>
        <v>193.33999999999992</v>
      </c>
      <c r="S23" s="6">
        <f t="shared" si="8"/>
        <v>0</v>
      </c>
      <c r="T23" s="6">
        <f t="shared" si="9"/>
        <v>0</v>
      </c>
      <c r="U23" s="6">
        <f t="shared" si="10"/>
        <v>193.33999999999992</v>
      </c>
      <c r="V23" s="6" t="str">
        <f>IF(MOD(C23-Settings!$B$32,Settings!$B$33)&lt;Settings!$B$30,"Up","Down")</f>
        <v>Up</v>
      </c>
      <c r="W23" s="6">
        <f>IF(OR(E23&gt;Settings!$B$30,Q23&gt;Settings!$B$37),0,1)</f>
        <v>1</v>
      </c>
      <c r="X23" s="6">
        <f>IF(AND(W23=1,Q23&lt;=Settings!$B$36),1,0)</f>
        <v>0</v>
      </c>
    </row>
    <row r="24" spans="1:24" x14ac:dyDescent="0.2">
      <c r="A24">
        <f>Arrivals!A24</f>
        <v>1</v>
      </c>
      <c r="B24">
        <f>Arrivals!B24</f>
        <v>19</v>
      </c>
      <c r="C24" s="6">
        <f>Arrivals!F24</f>
        <v>222</v>
      </c>
      <c r="D24" s="6">
        <f>Arrivals!K24</f>
        <v>300</v>
      </c>
      <c r="E24" s="6">
        <f>D24*8/ACE_Input!S24+ACE_Input!T24</f>
        <v>24.02</v>
      </c>
      <c r="F24" s="6">
        <f t="shared" si="0"/>
        <v>222</v>
      </c>
      <c r="G24" s="6">
        <f t="shared" si="11"/>
        <v>434.3599999999999</v>
      </c>
      <c r="H24" s="6">
        <f t="shared" si="1"/>
        <v>434.3599999999999</v>
      </c>
      <c r="I24" s="6">
        <f>MOD(H24-Settings!$B$32,Settings!$B$33)</f>
        <v>434.3599999999999</v>
      </c>
      <c r="J24" s="6">
        <f>IF(I24&lt;Settings!$B$30,IF(Settings!$B$30-I24&gt;=E24,H24,H24+(Settings!$B$30-I24)+Settings!$B$31),H24+(Settings!$B$33-I24))</f>
        <v>434.3599999999999</v>
      </c>
      <c r="K24" s="6">
        <f t="shared" si="2"/>
        <v>458.37999999999988</v>
      </c>
      <c r="L24" s="6">
        <f t="shared" si="3"/>
        <v>458.37999999999988</v>
      </c>
      <c r="M24" s="6">
        <f t="shared" si="12"/>
        <v>434.91080309249804</v>
      </c>
      <c r="N24" s="6">
        <f t="shared" si="4"/>
        <v>458.37999999999988</v>
      </c>
      <c r="O24" s="6">
        <f>Arrivals!I24</f>
        <v>0.2593685129792499</v>
      </c>
      <c r="P24" s="6">
        <f t="shared" si="5"/>
        <v>458.6393685129791</v>
      </c>
      <c r="Q24" s="6">
        <f t="shared" si="6"/>
        <v>236.6393685129791</v>
      </c>
      <c r="R24" s="6">
        <f t="shared" si="7"/>
        <v>212.3599999999999</v>
      </c>
      <c r="S24" s="6">
        <f t="shared" si="8"/>
        <v>0</v>
      </c>
      <c r="T24" s="6">
        <f t="shared" si="9"/>
        <v>0</v>
      </c>
      <c r="U24" s="6">
        <f t="shared" si="10"/>
        <v>212.3599999999999</v>
      </c>
      <c r="V24" s="6" t="str">
        <f>IF(MOD(C24-Settings!$B$32,Settings!$B$33)&lt;Settings!$B$30,"Up","Down")</f>
        <v>Up</v>
      </c>
      <c r="W24" s="6">
        <f>IF(OR(E24&gt;Settings!$B$30,Q24&gt;Settings!$B$37),0,1)</f>
        <v>1</v>
      </c>
      <c r="X24" s="6">
        <f>IF(AND(W24=1,Q24&lt;=Settings!$B$36),1,0)</f>
        <v>0</v>
      </c>
    </row>
    <row r="25" spans="1:24" x14ac:dyDescent="0.2">
      <c r="A25">
        <f>Arrivals!A25</f>
        <v>1</v>
      </c>
      <c r="B25">
        <f>Arrivals!B25</f>
        <v>20</v>
      </c>
      <c r="C25" s="6">
        <f>Arrivals!F25</f>
        <v>227</v>
      </c>
      <c r="D25" s="6">
        <f>Arrivals!K25</f>
        <v>300</v>
      </c>
      <c r="E25" s="6">
        <f>D25*8/ACE_Input!S25+ACE_Input!T25</f>
        <v>24.02</v>
      </c>
      <c r="F25" s="6">
        <f t="shared" si="0"/>
        <v>227</v>
      </c>
      <c r="G25" s="6">
        <f t="shared" si="11"/>
        <v>458.37999999999988</v>
      </c>
      <c r="H25" s="6">
        <f t="shared" si="1"/>
        <v>458.37999999999988</v>
      </c>
      <c r="I25" s="6">
        <f>MOD(H25-Settings!$B$32,Settings!$B$33)</f>
        <v>458.37999999999988</v>
      </c>
      <c r="J25" s="6">
        <f>IF(I25&lt;Settings!$B$30,IF(Settings!$B$30-I25&gt;=E25,H25,H25+(Settings!$B$30-I25)+Settings!$B$31),H25+(Settings!$B$33-I25))</f>
        <v>458.37999999999988</v>
      </c>
      <c r="K25" s="6">
        <f t="shared" si="2"/>
        <v>482.39999999999986</v>
      </c>
      <c r="L25" s="6">
        <f t="shared" si="3"/>
        <v>482.39999999999986</v>
      </c>
      <c r="M25" s="6">
        <f t="shared" si="12"/>
        <v>458.6393685129791</v>
      </c>
      <c r="N25" s="6">
        <f t="shared" si="4"/>
        <v>482.39999999999986</v>
      </c>
      <c r="O25" s="6">
        <f>Arrivals!I25</f>
        <v>0.99681184803428102</v>
      </c>
      <c r="P25" s="6">
        <f t="shared" si="5"/>
        <v>483.39681184803413</v>
      </c>
      <c r="Q25" s="6">
        <f t="shared" si="6"/>
        <v>256.39681184803413</v>
      </c>
      <c r="R25" s="6">
        <f t="shared" si="7"/>
        <v>231.37999999999988</v>
      </c>
      <c r="S25" s="6">
        <f t="shared" si="8"/>
        <v>0</v>
      </c>
      <c r="T25" s="6">
        <f t="shared" si="9"/>
        <v>0</v>
      </c>
      <c r="U25" s="6">
        <f t="shared" si="10"/>
        <v>231.37999999999988</v>
      </c>
      <c r="V25" s="6" t="str">
        <f>IF(MOD(C25-Settings!$B$32,Settings!$B$33)&lt;Settings!$B$30,"Up","Down")</f>
        <v>Up</v>
      </c>
      <c r="W25" s="6">
        <f>IF(OR(E25&gt;Settings!$B$30,Q25&gt;Settings!$B$37),0,1)</f>
        <v>1</v>
      </c>
      <c r="X25" s="6">
        <f>IF(AND(W25=1,Q25&lt;=Settings!$B$36),1,0)</f>
        <v>0</v>
      </c>
    </row>
    <row r="26" spans="1:24" x14ac:dyDescent="0.2">
      <c r="A26">
        <f>Arrivals!A26</f>
        <v>1</v>
      </c>
      <c r="B26">
        <f>Arrivals!B26</f>
        <v>21</v>
      </c>
      <c r="C26" s="6">
        <f>Arrivals!F26</f>
        <v>232</v>
      </c>
      <c r="D26" s="6">
        <f>Arrivals!K26</f>
        <v>300</v>
      </c>
      <c r="E26" s="6">
        <f>D26*8/ACE_Input!S26+ACE_Input!T26</f>
        <v>24.02</v>
      </c>
      <c r="F26" s="6">
        <f t="shared" si="0"/>
        <v>232</v>
      </c>
      <c r="G26" s="6">
        <f t="shared" si="11"/>
        <v>482.39999999999986</v>
      </c>
      <c r="H26" s="6">
        <f t="shared" si="1"/>
        <v>482.39999999999986</v>
      </c>
      <c r="I26" s="6">
        <f>MOD(H26-Settings!$B$32,Settings!$B$33)</f>
        <v>482.39999999999986</v>
      </c>
      <c r="J26" s="6">
        <f>IF(I26&lt;Settings!$B$30,IF(Settings!$B$30-I26&gt;=E26,H26,H26+(Settings!$B$30-I26)+Settings!$B$31),H26+(Settings!$B$33-I26))</f>
        <v>482.39999999999986</v>
      </c>
      <c r="K26" s="6">
        <f t="shared" si="2"/>
        <v>506.41999999999985</v>
      </c>
      <c r="L26" s="6">
        <f t="shared" si="3"/>
        <v>506.41999999999985</v>
      </c>
      <c r="M26" s="6">
        <f t="shared" si="12"/>
        <v>483.39681184803413</v>
      </c>
      <c r="N26" s="6">
        <f t="shared" si="4"/>
        <v>506.41999999999985</v>
      </c>
      <c r="O26" s="6">
        <f>Arrivals!I26</f>
        <v>1.1958189213704336</v>
      </c>
      <c r="P26" s="6">
        <f t="shared" si="5"/>
        <v>507.61581892137031</v>
      </c>
      <c r="Q26" s="6">
        <f t="shared" si="6"/>
        <v>275.61581892137031</v>
      </c>
      <c r="R26" s="6">
        <f t="shared" si="7"/>
        <v>250.39999999999986</v>
      </c>
      <c r="S26" s="6">
        <f t="shared" si="8"/>
        <v>0</v>
      </c>
      <c r="T26" s="6">
        <f t="shared" si="9"/>
        <v>0</v>
      </c>
      <c r="U26" s="6">
        <f t="shared" si="10"/>
        <v>250.39999999999986</v>
      </c>
      <c r="V26" s="6" t="str">
        <f>IF(MOD(C26-Settings!$B$32,Settings!$B$33)&lt;Settings!$B$30,"Up","Down")</f>
        <v>Up</v>
      </c>
      <c r="W26" s="6">
        <f>IF(OR(E26&gt;Settings!$B$30,Q26&gt;Settings!$B$37),0,1)</f>
        <v>1</v>
      </c>
      <c r="X26" s="6">
        <f>IF(AND(W26=1,Q26&lt;=Settings!$B$36),1,0)</f>
        <v>0</v>
      </c>
    </row>
    <row r="27" spans="1:24" x14ac:dyDescent="0.2">
      <c r="A27">
        <f>Arrivals!A27</f>
        <v>1</v>
      </c>
      <c r="B27">
        <f>Arrivals!B27</f>
        <v>22</v>
      </c>
      <c r="C27" s="6">
        <f>Arrivals!F27</f>
        <v>237</v>
      </c>
      <c r="D27" s="6">
        <f>Arrivals!K27</f>
        <v>300</v>
      </c>
      <c r="E27" s="6">
        <f>D27*8/ACE_Input!S27+ACE_Input!T27</f>
        <v>24.02</v>
      </c>
      <c r="F27" s="6">
        <f t="shared" si="0"/>
        <v>237</v>
      </c>
      <c r="G27" s="6">
        <f t="shared" si="11"/>
        <v>506.41999999999985</v>
      </c>
      <c r="H27" s="6">
        <f t="shared" si="1"/>
        <v>506.41999999999985</v>
      </c>
      <c r="I27" s="6">
        <f>MOD(H27-Settings!$B$32,Settings!$B$33)</f>
        <v>506.41999999999985</v>
      </c>
      <c r="J27" s="6">
        <f>IF(I27&lt;Settings!$B$30,IF(Settings!$B$30-I27&gt;=E27,H27,H27+(Settings!$B$30-I27)+Settings!$B$31),H27+(Settings!$B$33-I27))</f>
        <v>506.41999999999985</v>
      </c>
      <c r="K27" s="6">
        <f t="shared" si="2"/>
        <v>530.43999999999983</v>
      </c>
      <c r="L27" s="6">
        <f t="shared" si="3"/>
        <v>530.43999999999983</v>
      </c>
      <c r="M27" s="6">
        <f t="shared" si="12"/>
        <v>507.61581892137031</v>
      </c>
      <c r="N27" s="6">
        <f t="shared" si="4"/>
        <v>530.43999999999983</v>
      </c>
      <c r="O27" s="6">
        <f>Arrivals!I27</f>
        <v>0.19163613091471957</v>
      </c>
      <c r="P27" s="6">
        <f t="shared" si="5"/>
        <v>530.63163613091456</v>
      </c>
      <c r="Q27" s="6">
        <f t="shared" si="6"/>
        <v>293.63163613091456</v>
      </c>
      <c r="R27" s="6">
        <f t="shared" si="7"/>
        <v>269.41999999999985</v>
      </c>
      <c r="S27" s="6">
        <f t="shared" si="8"/>
        <v>0</v>
      </c>
      <c r="T27" s="6">
        <f t="shared" si="9"/>
        <v>0</v>
      </c>
      <c r="U27" s="6">
        <f t="shared" si="10"/>
        <v>269.41999999999985</v>
      </c>
      <c r="V27" s="6" t="str">
        <f>IF(MOD(C27-Settings!$B$32,Settings!$B$33)&lt;Settings!$B$30,"Up","Down")</f>
        <v>Up</v>
      </c>
      <c r="W27" s="6">
        <f>IF(OR(E27&gt;Settings!$B$30,Q27&gt;Settings!$B$37),0,1)</f>
        <v>1</v>
      </c>
      <c r="X27" s="6">
        <f>IF(AND(W27=1,Q27&lt;=Settings!$B$36),1,0)</f>
        <v>0</v>
      </c>
    </row>
    <row r="28" spans="1:24" x14ac:dyDescent="0.2">
      <c r="A28">
        <f>Arrivals!A28</f>
        <v>1</v>
      </c>
      <c r="B28">
        <f>Arrivals!B28</f>
        <v>23</v>
      </c>
      <c r="C28" s="6">
        <f>Arrivals!F28</f>
        <v>242</v>
      </c>
      <c r="D28" s="6">
        <f>Arrivals!K28</f>
        <v>300</v>
      </c>
      <c r="E28" s="6">
        <f>D28*8/ACE_Input!S28+ACE_Input!T28</f>
        <v>24.02</v>
      </c>
      <c r="F28" s="6">
        <f t="shared" si="0"/>
        <v>242</v>
      </c>
      <c r="G28" s="6">
        <f t="shared" si="11"/>
        <v>530.43999999999983</v>
      </c>
      <c r="H28" s="6">
        <f t="shared" si="1"/>
        <v>530.43999999999983</v>
      </c>
      <c r="I28" s="6">
        <f>MOD(H28-Settings!$B$32,Settings!$B$33)</f>
        <v>530.43999999999983</v>
      </c>
      <c r="J28" s="6">
        <f>IF(I28&lt;Settings!$B$30,IF(Settings!$B$30-I28&gt;=E28,H28,H28+(Settings!$B$30-I28)+Settings!$B$31),H28+(Settings!$B$33-I28))</f>
        <v>530.43999999999983</v>
      </c>
      <c r="K28" s="6">
        <f t="shared" si="2"/>
        <v>554.45999999999981</v>
      </c>
      <c r="L28" s="6">
        <f t="shared" si="3"/>
        <v>554.45999999999981</v>
      </c>
      <c r="M28" s="6">
        <f t="shared" si="12"/>
        <v>530.63163613091456</v>
      </c>
      <c r="N28" s="6">
        <f t="shared" si="4"/>
        <v>554.45999999999981</v>
      </c>
      <c r="O28" s="6">
        <f>Arrivals!I28</f>
        <v>1.0099831639361829</v>
      </c>
      <c r="P28" s="6">
        <f t="shared" si="5"/>
        <v>555.46998316393604</v>
      </c>
      <c r="Q28" s="6">
        <f t="shared" si="6"/>
        <v>313.46998316393604</v>
      </c>
      <c r="R28" s="6">
        <f t="shared" si="7"/>
        <v>288.43999999999983</v>
      </c>
      <c r="S28" s="6">
        <f t="shared" si="8"/>
        <v>0</v>
      </c>
      <c r="T28" s="6">
        <f t="shared" si="9"/>
        <v>0</v>
      </c>
      <c r="U28" s="6">
        <f t="shared" si="10"/>
        <v>288.43999999999983</v>
      </c>
      <c r="V28" s="6" t="str">
        <f>IF(MOD(C28-Settings!$B$32,Settings!$B$33)&lt;Settings!$B$30,"Up","Down")</f>
        <v>Up</v>
      </c>
      <c r="W28" s="6">
        <f>IF(OR(E28&gt;Settings!$B$30,Q28&gt;Settings!$B$37),0,1)</f>
        <v>1</v>
      </c>
      <c r="X28" s="6">
        <f>IF(AND(W28=1,Q28&lt;=Settings!$B$36),1,0)</f>
        <v>0</v>
      </c>
    </row>
    <row r="29" spans="1:24" x14ac:dyDescent="0.2">
      <c r="A29">
        <f>Arrivals!A29</f>
        <v>1</v>
      </c>
      <c r="B29">
        <f>Arrivals!B29</f>
        <v>24</v>
      </c>
      <c r="C29" s="6">
        <f>Arrivals!F29</f>
        <v>247</v>
      </c>
      <c r="D29" s="6">
        <f>Arrivals!K29</f>
        <v>300</v>
      </c>
      <c r="E29" s="6">
        <f>D29*8/ACE_Input!S29+ACE_Input!T29</f>
        <v>24.02</v>
      </c>
      <c r="F29" s="6">
        <f t="shared" si="0"/>
        <v>247</v>
      </c>
      <c r="G29" s="6">
        <f t="shared" si="11"/>
        <v>554.45999999999981</v>
      </c>
      <c r="H29" s="6">
        <f t="shared" si="1"/>
        <v>554.45999999999981</v>
      </c>
      <c r="I29" s="6">
        <f>MOD(H29-Settings!$B$32,Settings!$B$33)</f>
        <v>554.45999999999981</v>
      </c>
      <c r="J29" s="6">
        <f>IF(I29&lt;Settings!$B$30,IF(Settings!$B$30-I29&gt;=E29,H29,H29+(Settings!$B$30-I29)+Settings!$B$31),H29+(Settings!$B$33-I29))</f>
        <v>554.45999999999981</v>
      </c>
      <c r="K29" s="6">
        <f t="shared" si="2"/>
        <v>578.47999999999979</v>
      </c>
      <c r="L29" s="6">
        <f t="shared" si="3"/>
        <v>578.47999999999979</v>
      </c>
      <c r="M29" s="6">
        <f t="shared" si="12"/>
        <v>555.46998316393604</v>
      </c>
      <c r="N29" s="6">
        <f t="shared" si="4"/>
        <v>578.47999999999979</v>
      </c>
      <c r="O29" s="6">
        <f>Arrivals!I29</f>
        <v>1.5584172062712505</v>
      </c>
      <c r="P29" s="6">
        <f t="shared" si="5"/>
        <v>580.03841720627099</v>
      </c>
      <c r="Q29" s="6">
        <f t="shared" si="6"/>
        <v>333.03841720627099</v>
      </c>
      <c r="R29" s="6">
        <f t="shared" si="7"/>
        <v>307.45999999999981</v>
      </c>
      <c r="S29" s="6">
        <f t="shared" si="8"/>
        <v>0</v>
      </c>
      <c r="T29" s="6">
        <f t="shared" si="9"/>
        <v>0</v>
      </c>
      <c r="U29" s="6">
        <f t="shared" si="10"/>
        <v>307.45999999999981</v>
      </c>
      <c r="V29" s="6" t="str">
        <f>IF(MOD(C29-Settings!$B$32,Settings!$B$33)&lt;Settings!$B$30,"Up","Down")</f>
        <v>Up</v>
      </c>
      <c r="W29" s="6">
        <f>IF(OR(E29&gt;Settings!$B$30,Q29&gt;Settings!$B$37),0,1)</f>
        <v>1</v>
      </c>
      <c r="X29" s="6">
        <f>IF(AND(W29=1,Q29&lt;=Settings!$B$36),1,0)</f>
        <v>0</v>
      </c>
    </row>
    <row r="30" spans="1:24" x14ac:dyDescent="0.2">
      <c r="A30">
        <f>Arrivals!A30</f>
        <v>1</v>
      </c>
      <c r="B30">
        <f>Arrivals!B30</f>
        <v>25</v>
      </c>
      <c r="C30" s="6">
        <f>Arrivals!F30</f>
        <v>252</v>
      </c>
      <c r="D30" s="6">
        <f>Arrivals!K30</f>
        <v>300</v>
      </c>
      <c r="E30" s="6">
        <f>D30*8/ACE_Input!S30+ACE_Input!T30</f>
        <v>24.02</v>
      </c>
      <c r="F30" s="6">
        <f t="shared" si="0"/>
        <v>252</v>
      </c>
      <c r="G30" s="6">
        <f t="shared" si="11"/>
        <v>578.47999999999979</v>
      </c>
      <c r="H30" s="6">
        <f t="shared" si="1"/>
        <v>578.47999999999979</v>
      </c>
      <c r="I30" s="6">
        <f>MOD(H30-Settings!$B$32,Settings!$B$33)</f>
        <v>578.47999999999979</v>
      </c>
      <c r="J30" s="6">
        <f>IF(I30&lt;Settings!$B$30,IF(Settings!$B$30-I30&gt;=E30,H30,H30+(Settings!$B$30-I30)+Settings!$B$31),H30+(Settings!$B$33-I30))</f>
        <v>720</v>
      </c>
      <c r="K30" s="6">
        <f t="shared" si="2"/>
        <v>744.02</v>
      </c>
      <c r="L30" s="6">
        <f t="shared" si="3"/>
        <v>744.02</v>
      </c>
      <c r="M30" s="6">
        <f t="shared" si="12"/>
        <v>580.03841720627099</v>
      </c>
      <c r="N30" s="6">
        <f t="shared" si="4"/>
        <v>744.02</v>
      </c>
      <c r="O30" s="6">
        <f>Arrivals!I30</f>
        <v>0.899831661279614</v>
      </c>
      <c r="P30" s="6">
        <f t="shared" si="5"/>
        <v>744.91983166127955</v>
      </c>
      <c r="Q30" s="6">
        <f t="shared" si="6"/>
        <v>492.91983166127955</v>
      </c>
      <c r="R30" s="6">
        <f t="shared" si="7"/>
        <v>326.47999999999979</v>
      </c>
      <c r="S30" s="6">
        <f t="shared" si="8"/>
        <v>141.52000000000021</v>
      </c>
      <c r="T30" s="6">
        <f t="shared" si="9"/>
        <v>0</v>
      </c>
      <c r="U30" s="6">
        <f t="shared" si="10"/>
        <v>468</v>
      </c>
      <c r="V30" s="6" t="str">
        <f>IF(MOD(C30-Settings!$B$32,Settings!$B$33)&lt;Settings!$B$30,"Up","Down")</f>
        <v>Up</v>
      </c>
      <c r="W30" s="6">
        <f>IF(OR(E30&gt;Settings!$B$30,Q30&gt;Settings!$B$37),0,1)</f>
        <v>1</v>
      </c>
      <c r="X30" s="6">
        <f>IF(AND(W30=1,Q30&lt;=Settings!$B$36),1,0)</f>
        <v>0</v>
      </c>
    </row>
    <row r="31" spans="1:24" x14ac:dyDescent="0.2">
      <c r="A31">
        <f>Arrivals!A31</f>
        <v>1</v>
      </c>
      <c r="B31">
        <f>Arrivals!B31</f>
        <v>26</v>
      </c>
      <c r="C31" s="6">
        <f>Arrivals!F31</f>
        <v>257</v>
      </c>
      <c r="D31" s="6">
        <f>Arrivals!K31</f>
        <v>300</v>
      </c>
      <c r="E31" s="6">
        <f>D31*8/ACE_Input!S31+ACE_Input!T31</f>
        <v>24.02</v>
      </c>
      <c r="F31" s="6">
        <f t="shared" si="0"/>
        <v>257</v>
      </c>
      <c r="G31" s="6">
        <f t="shared" si="11"/>
        <v>744.02</v>
      </c>
      <c r="H31" s="6">
        <f t="shared" si="1"/>
        <v>744.02</v>
      </c>
      <c r="I31" s="6">
        <f>MOD(H31-Settings!$B$32,Settings!$B$33)</f>
        <v>24.019999999999982</v>
      </c>
      <c r="J31" s="6">
        <f>IF(I31&lt;Settings!$B$30,IF(Settings!$B$30-I31&gt;=E31,H31,H31+(Settings!$B$30-I31)+Settings!$B$31),H31+(Settings!$B$33-I31))</f>
        <v>744.02</v>
      </c>
      <c r="K31" s="6">
        <f t="shared" si="2"/>
        <v>768.04</v>
      </c>
      <c r="L31" s="6">
        <f t="shared" si="3"/>
        <v>768.04</v>
      </c>
      <c r="M31" s="6">
        <f t="shared" si="12"/>
        <v>744.91983166127955</v>
      </c>
      <c r="N31" s="6">
        <f t="shared" si="4"/>
        <v>768.04</v>
      </c>
      <c r="O31" s="6">
        <f>Arrivals!I31</f>
        <v>5.932898146344006</v>
      </c>
      <c r="P31" s="6">
        <f t="shared" si="5"/>
        <v>773.97289814634394</v>
      </c>
      <c r="Q31" s="6">
        <f t="shared" si="6"/>
        <v>516.97289814634394</v>
      </c>
      <c r="R31" s="6">
        <f t="shared" si="7"/>
        <v>487.02</v>
      </c>
      <c r="S31" s="6">
        <f t="shared" si="8"/>
        <v>0</v>
      </c>
      <c r="T31" s="6">
        <f t="shared" si="9"/>
        <v>0</v>
      </c>
      <c r="U31" s="6">
        <f t="shared" si="10"/>
        <v>487.02</v>
      </c>
      <c r="V31" s="6" t="str">
        <f>IF(MOD(C31-Settings!$B$32,Settings!$B$33)&lt;Settings!$B$30,"Up","Down")</f>
        <v>Up</v>
      </c>
      <c r="W31" s="6">
        <f>IF(OR(E31&gt;Settings!$B$30,Q31&gt;Settings!$B$37),0,1)</f>
        <v>1</v>
      </c>
      <c r="X31" s="6">
        <f>IF(AND(W31=1,Q31&lt;=Settings!$B$36),1,0)</f>
        <v>0</v>
      </c>
    </row>
    <row r="32" spans="1:24" x14ac:dyDescent="0.2">
      <c r="A32">
        <f>Arrivals!A32</f>
        <v>1</v>
      </c>
      <c r="B32">
        <f>Arrivals!B32</f>
        <v>27</v>
      </c>
      <c r="C32" s="6">
        <f>Arrivals!F32</f>
        <v>262</v>
      </c>
      <c r="D32" s="6">
        <f>Arrivals!K32</f>
        <v>300</v>
      </c>
      <c r="E32" s="6">
        <f>D32*8/ACE_Input!S32+ACE_Input!T32</f>
        <v>24.02</v>
      </c>
      <c r="F32" s="6">
        <f t="shared" si="0"/>
        <v>262</v>
      </c>
      <c r="G32" s="6">
        <f t="shared" si="11"/>
        <v>768.04</v>
      </c>
      <c r="H32" s="6">
        <f t="shared" si="1"/>
        <v>768.04</v>
      </c>
      <c r="I32" s="6">
        <f>MOD(H32-Settings!$B$32,Settings!$B$33)</f>
        <v>48.039999999999964</v>
      </c>
      <c r="J32" s="6">
        <f>IF(I32&lt;Settings!$B$30,IF(Settings!$B$30-I32&gt;=E32,H32,H32+(Settings!$B$30-I32)+Settings!$B$31),H32+(Settings!$B$33-I32))</f>
        <v>768.04</v>
      </c>
      <c r="K32" s="6">
        <f t="shared" si="2"/>
        <v>792.06</v>
      </c>
      <c r="L32" s="6">
        <f t="shared" si="3"/>
        <v>792.06</v>
      </c>
      <c r="M32" s="6">
        <f t="shared" si="12"/>
        <v>773.97289814634394</v>
      </c>
      <c r="N32" s="6">
        <f t="shared" si="4"/>
        <v>792.06</v>
      </c>
      <c r="O32" s="6">
        <f>Arrivals!I32</f>
        <v>2.1124188786186435</v>
      </c>
      <c r="P32" s="6">
        <f t="shared" si="5"/>
        <v>794.1724188786186</v>
      </c>
      <c r="Q32" s="6">
        <f t="shared" si="6"/>
        <v>532.1724188786186</v>
      </c>
      <c r="R32" s="6">
        <f t="shared" si="7"/>
        <v>506.03999999999996</v>
      </c>
      <c r="S32" s="6">
        <f t="shared" si="8"/>
        <v>0</v>
      </c>
      <c r="T32" s="6">
        <f t="shared" si="9"/>
        <v>0</v>
      </c>
      <c r="U32" s="6">
        <f t="shared" si="10"/>
        <v>506.03999999999996</v>
      </c>
      <c r="V32" s="6" t="str">
        <f>IF(MOD(C32-Settings!$B$32,Settings!$B$33)&lt;Settings!$B$30,"Up","Down")</f>
        <v>Up</v>
      </c>
      <c r="W32" s="6">
        <f>IF(OR(E32&gt;Settings!$B$30,Q32&gt;Settings!$B$37),0,1)</f>
        <v>1</v>
      </c>
      <c r="X32" s="6">
        <f>IF(AND(W32=1,Q32&lt;=Settings!$B$36),1,0)</f>
        <v>0</v>
      </c>
    </row>
    <row r="33" spans="1:24" x14ac:dyDescent="0.2">
      <c r="A33">
        <f>Arrivals!A33</f>
        <v>1</v>
      </c>
      <c r="B33">
        <f>Arrivals!B33</f>
        <v>28</v>
      </c>
      <c r="C33" s="6">
        <f>Arrivals!F33</f>
        <v>268</v>
      </c>
      <c r="D33" s="6">
        <f>Arrivals!K33</f>
        <v>300</v>
      </c>
      <c r="E33" s="6">
        <f>D33*8/ACE_Input!S33+ACE_Input!T33</f>
        <v>24.02</v>
      </c>
      <c r="F33" s="6">
        <f t="shared" si="0"/>
        <v>268</v>
      </c>
      <c r="G33" s="6">
        <f t="shared" si="11"/>
        <v>792.06</v>
      </c>
      <c r="H33" s="6">
        <f t="shared" si="1"/>
        <v>792.06</v>
      </c>
      <c r="I33" s="6">
        <f>MOD(H33-Settings!$B$32,Settings!$B$33)</f>
        <v>72.059999999999945</v>
      </c>
      <c r="J33" s="6">
        <f>IF(I33&lt;Settings!$B$30,IF(Settings!$B$30-I33&gt;=E33,H33,H33+(Settings!$B$30-I33)+Settings!$B$31),H33+(Settings!$B$33-I33))</f>
        <v>792.06</v>
      </c>
      <c r="K33" s="6">
        <f t="shared" si="2"/>
        <v>816.07999999999993</v>
      </c>
      <c r="L33" s="6">
        <f t="shared" si="3"/>
        <v>816.07999999999993</v>
      </c>
      <c r="M33" s="6">
        <f t="shared" si="12"/>
        <v>794.1724188786186</v>
      </c>
      <c r="N33" s="6">
        <f t="shared" si="4"/>
        <v>816.07999999999993</v>
      </c>
      <c r="O33" s="6">
        <f>Arrivals!I33</f>
        <v>3.1859204797532823</v>
      </c>
      <c r="P33" s="6">
        <f t="shared" si="5"/>
        <v>819.26592047975316</v>
      </c>
      <c r="Q33" s="6">
        <f t="shared" si="6"/>
        <v>551.26592047975316</v>
      </c>
      <c r="R33" s="6">
        <f t="shared" si="7"/>
        <v>524.05999999999995</v>
      </c>
      <c r="S33" s="6">
        <f t="shared" si="8"/>
        <v>0</v>
      </c>
      <c r="T33" s="6">
        <f t="shared" si="9"/>
        <v>0</v>
      </c>
      <c r="U33" s="6">
        <f t="shared" si="10"/>
        <v>524.05999999999995</v>
      </c>
      <c r="V33" s="6" t="str">
        <f>IF(MOD(C33-Settings!$B$32,Settings!$B$33)&lt;Settings!$B$30,"Up","Down")</f>
        <v>Up</v>
      </c>
      <c r="W33" s="6">
        <f>IF(OR(E33&gt;Settings!$B$30,Q33&gt;Settings!$B$37),0,1)</f>
        <v>1</v>
      </c>
      <c r="X33" s="6">
        <f>IF(AND(W33=1,Q33&lt;=Settings!$B$36),1,0)</f>
        <v>0</v>
      </c>
    </row>
    <row r="34" spans="1:24" x14ac:dyDescent="0.2">
      <c r="A34">
        <f>Arrivals!A34</f>
        <v>1</v>
      </c>
      <c r="B34">
        <f>Arrivals!B34</f>
        <v>29</v>
      </c>
      <c r="C34" s="6">
        <f>Arrivals!F34</f>
        <v>273</v>
      </c>
      <c r="D34" s="6">
        <f>Arrivals!K34</f>
        <v>300</v>
      </c>
      <c r="E34" s="6">
        <f>D34*8/ACE_Input!S34+ACE_Input!T34</f>
        <v>24.02</v>
      </c>
      <c r="F34" s="6">
        <f t="shared" si="0"/>
        <v>273</v>
      </c>
      <c r="G34" s="6">
        <f t="shared" si="11"/>
        <v>816.07999999999993</v>
      </c>
      <c r="H34" s="6">
        <f t="shared" si="1"/>
        <v>816.07999999999993</v>
      </c>
      <c r="I34" s="6">
        <f>MOD(H34-Settings!$B$32,Settings!$B$33)</f>
        <v>96.079999999999927</v>
      </c>
      <c r="J34" s="6">
        <f>IF(I34&lt;Settings!$B$30,IF(Settings!$B$30-I34&gt;=E34,H34,H34+(Settings!$B$30-I34)+Settings!$B$31),H34+(Settings!$B$33-I34))</f>
        <v>816.07999999999993</v>
      </c>
      <c r="K34" s="6">
        <f t="shared" si="2"/>
        <v>840.09999999999991</v>
      </c>
      <c r="L34" s="6">
        <f t="shared" si="3"/>
        <v>840.09999999999991</v>
      </c>
      <c r="M34" s="6">
        <f t="shared" si="12"/>
        <v>819.26592047975316</v>
      </c>
      <c r="N34" s="6">
        <f t="shared" si="4"/>
        <v>840.09999999999991</v>
      </c>
      <c r="O34" s="6">
        <f>Arrivals!I34</f>
        <v>2.7692273098802072</v>
      </c>
      <c r="P34" s="6">
        <f t="shared" si="5"/>
        <v>842.8692273098801</v>
      </c>
      <c r="Q34" s="6">
        <f t="shared" si="6"/>
        <v>569.8692273098801</v>
      </c>
      <c r="R34" s="6">
        <f t="shared" si="7"/>
        <v>543.07999999999993</v>
      </c>
      <c r="S34" s="6">
        <f t="shared" si="8"/>
        <v>0</v>
      </c>
      <c r="T34" s="6">
        <f t="shared" si="9"/>
        <v>0</v>
      </c>
      <c r="U34" s="6">
        <f t="shared" si="10"/>
        <v>543.07999999999993</v>
      </c>
      <c r="V34" s="6" t="str">
        <f>IF(MOD(C34-Settings!$B$32,Settings!$B$33)&lt;Settings!$B$30,"Up","Down")</f>
        <v>Up</v>
      </c>
      <c r="W34" s="6">
        <f>IF(OR(E34&gt;Settings!$B$30,Q34&gt;Settings!$B$37),0,1)</f>
        <v>1</v>
      </c>
      <c r="X34" s="6">
        <f>IF(AND(W34=1,Q34&lt;=Settings!$B$36),1,0)</f>
        <v>0</v>
      </c>
    </row>
    <row r="35" spans="1:24" x14ac:dyDescent="0.2">
      <c r="A35">
        <f>Arrivals!A35</f>
        <v>1</v>
      </c>
      <c r="B35">
        <f>Arrivals!B35</f>
        <v>30</v>
      </c>
      <c r="C35" s="6">
        <f>Arrivals!F35</f>
        <v>278</v>
      </c>
      <c r="D35" s="6">
        <f>Arrivals!K35</f>
        <v>300</v>
      </c>
      <c r="E35" s="6">
        <f>D35*8/ACE_Input!S35+ACE_Input!T35</f>
        <v>24.02</v>
      </c>
      <c r="F35" s="6">
        <f t="shared" si="0"/>
        <v>278</v>
      </c>
      <c r="G35" s="6">
        <f t="shared" si="11"/>
        <v>840.09999999999991</v>
      </c>
      <c r="H35" s="6">
        <f t="shared" si="1"/>
        <v>840.09999999999991</v>
      </c>
      <c r="I35" s="6">
        <f>MOD(H35-Settings!$B$32,Settings!$B$33)</f>
        <v>120.09999999999991</v>
      </c>
      <c r="J35" s="6">
        <f>IF(I35&lt;Settings!$B$30,IF(Settings!$B$30-I35&gt;=E35,H35,H35+(Settings!$B$30-I35)+Settings!$B$31),H35+(Settings!$B$33-I35))</f>
        <v>840.09999999999991</v>
      </c>
      <c r="K35" s="6">
        <f t="shared" si="2"/>
        <v>864.11999999999989</v>
      </c>
      <c r="L35" s="6">
        <f t="shared" si="3"/>
        <v>864.11999999999989</v>
      </c>
      <c r="M35" s="6">
        <f t="shared" si="12"/>
        <v>842.8692273098801</v>
      </c>
      <c r="N35" s="6">
        <f t="shared" si="4"/>
        <v>864.11999999999989</v>
      </c>
      <c r="O35" s="6">
        <f>Arrivals!I35</f>
        <v>2.2846013328110595</v>
      </c>
      <c r="P35" s="6">
        <f t="shared" si="5"/>
        <v>866.4046013328109</v>
      </c>
      <c r="Q35" s="6">
        <f t="shared" si="6"/>
        <v>588.4046013328109</v>
      </c>
      <c r="R35" s="6">
        <f t="shared" si="7"/>
        <v>562.09999999999991</v>
      </c>
      <c r="S35" s="6">
        <f t="shared" si="8"/>
        <v>0</v>
      </c>
      <c r="T35" s="6">
        <f t="shared" si="9"/>
        <v>0</v>
      </c>
      <c r="U35" s="6">
        <f t="shared" si="10"/>
        <v>562.09999999999991</v>
      </c>
      <c r="V35" s="6" t="str">
        <f>IF(MOD(C35-Settings!$B$32,Settings!$B$33)&lt;Settings!$B$30,"Up","Down")</f>
        <v>Up</v>
      </c>
      <c r="W35" s="6">
        <f>IF(OR(E35&gt;Settings!$B$30,Q35&gt;Settings!$B$37),0,1)</f>
        <v>1</v>
      </c>
      <c r="X35" s="6">
        <f>IF(AND(W35=1,Q35&lt;=Settings!$B$36),1,0)</f>
        <v>0</v>
      </c>
    </row>
    <row r="36" spans="1:24" x14ac:dyDescent="0.2">
      <c r="A36">
        <f>Arrivals!A36</f>
        <v>1</v>
      </c>
      <c r="B36">
        <f>Arrivals!B36</f>
        <v>31</v>
      </c>
      <c r="C36" s="6">
        <f>Arrivals!F36</f>
        <v>283</v>
      </c>
      <c r="D36" s="6">
        <f>Arrivals!K36</f>
        <v>300</v>
      </c>
      <c r="E36" s="6">
        <f>D36*8/ACE_Input!S36+ACE_Input!T36</f>
        <v>24.02</v>
      </c>
      <c r="F36" s="6">
        <f t="shared" si="0"/>
        <v>283</v>
      </c>
      <c r="G36" s="6">
        <f t="shared" si="11"/>
        <v>864.11999999999989</v>
      </c>
      <c r="H36" s="6">
        <f t="shared" si="1"/>
        <v>864.11999999999989</v>
      </c>
      <c r="I36" s="6">
        <f>MOD(H36-Settings!$B$32,Settings!$B$33)</f>
        <v>144.11999999999989</v>
      </c>
      <c r="J36" s="6">
        <f>IF(I36&lt;Settings!$B$30,IF(Settings!$B$30-I36&gt;=E36,H36,H36+(Settings!$B$30-I36)+Settings!$B$31),H36+(Settings!$B$33-I36))</f>
        <v>864.11999999999989</v>
      </c>
      <c r="K36" s="6">
        <f t="shared" si="2"/>
        <v>888.13999999999987</v>
      </c>
      <c r="L36" s="6">
        <f t="shared" si="3"/>
        <v>888.13999999999987</v>
      </c>
      <c r="M36" s="6">
        <f t="shared" si="12"/>
        <v>866.4046013328109</v>
      </c>
      <c r="N36" s="6">
        <f t="shared" si="4"/>
        <v>888.13999999999987</v>
      </c>
      <c r="O36" s="6">
        <f>Arrivals!I36</f>
        <v>0.60951258765505445</v>
      </c>
      <c r="P36" s="6">
        <f t="shared" si="5"/>
        <v>888.74951258765498</v>
      </c>
      <c r="Q36" s="6">
        <f t="shared" si="6"/>
        <v>605.74951258765498</v>
      </c>
      <c r="R36" s="6">
        <f t="shared" si="7"/>
        <v>581.11999999999989</v>
      </c>
      <c r="S36" s="6">
        <f t="shared" si="8"/>
        <v>0</v>
      </c>
      <c r="T36" s="6">
        <f t="shared" si="9"/>
        <v>0</v>
      </c>
      <c r="U36" s="6">
        <f t="shared" si="10"/>
        <v>581.11999999999989</v>
      </c>
      <c r="V36" s="6" t="str">
        <f>IF(MOD(C36-Settings!$B$32,Settings!$B$33)&lt;Settings!$B$30,"Up","Down")</f>
        <v>Up</v>
      </c>
      <c r="W36" s="6">
        <f>IF(OR(E36&gt;Settings!$B$30,Q36&gt;Settings!$B$37),0,1)</f>
        <v>1</v>
      </c>
      <c r="X36" s="6">
        <f>IF(AND(W36=1,Q36&lt;=Settings!$B$36),1,0)</f>
        <v>0</v>
      </c>
    </row>
    <row r="37" spans="1:24" x14ac:dyDescent="0.2">
      <c r="A37">
        <f>Arrivals!A37</f>
        <v>1</v>
      </c>
      <c r="B37">
        <f>Arrivals!B37</f>
        <v>32</v>
      </c>
      <c r="C37" s="6">
        <f>Arrivals!F37</f>
        <v>288</v>
      </c>
      <c r="D37" s="6">
        <f>Arrivals!K37</f>
        <v>300</v>
      </c>
      <c r="E37" s="6">
        <f>D37*8/ACE_Input!S37+ACE_Input!T37</f>
        <v>24.02</v>
      </c>
      <c r="F37" s="6">
        <f t="shared" si="0"/>
        <v>288</v>
      </c>
      <c r="G37" s="6">
        <f t="shared" si="11"/>
        <v>888.13999999999987</v>
      </c>
      <c r="H37" s="6">
        <f t="shared" si="1"/>
        <v>888.13999999999987</v>
      </c>
      <c r="I37" s="6">
        <f>MOD(H37-Settings!$B$32,Settings!$B$33)</f>
        <v>168.13999999999987</v>
      </c>
      <c r="J37" s="6">
        <f>IF(I37&lt;Settings!$B$30,IF(Settings!$B$30-I37&gt;=E37,H37,H37+(Settings!$B$30-I37)+Settings!$B$31),H37+(Settings!$B$33-I37))</f>
        <v>888.13999999999987</v>
      </c>
      <c r="K37" s="6">
        <f t="shared" si="2"/>
        <v>912.15999999999985</v>
      </c>
      <c r="L37" s="6">
        <f t="shared" si="3"/>
        <v>912.15999999999985</v>
      </c>
      <c r="M37" s="6">
        <f t="shared" si="12"/>
        <v>888.74951258765498</v>
      </c>
      <c r="N37" s="6">
        <f t="shared" si="4"/>
        <v>912.15999999999985</v>
      </c>
      <c r="O37" s="6">
        <f>Arrivals!I37</f>
        <v>2.335353113732237</v>
      </c>
      <c r="P37" s="6">
        <f t="shared" si="5"/>
        <v>914.49535311373211</v>
      </c>
      <c r="Q37" s="6">
        <f t="shared" si="6"/>
        <v>626.49535311373211</v>
      </c>
      <c r="R37" s="6">
        <f t="shared" si="7"/>
        <v>600.13999999999987</v>
      </c>
      <c r="S37" s="6">
        <f t="shared" si="8"/>
        <v>0</v>
      </c>
      <c r="T37" s="6">
        <f t="shared" si="9"/>
        <v>0</v>
      </c>
      <c r="U37" s="6">
        <f t="shared" si="10"/>
        <v>600.13999999999987</v>
      </c>
      <c r="V37" s="6" t="str">
        <f>IF(MOD(C37-Settings!$B$32,Settings!$B$33)&lt;Settings!$B$30,"Up","Down")</f>
        <v>Up</v>
      </c>
      <c r="W37" s="6">
        <f>IF(OR(E37&gt;Settings!$B$30,Q37&gt;Settings!$B$37),0,1)</f>
        <v>1</v>
      </c>
      <c r="X37" s="6">
        <f>IF(AND(W37=1,Q37&lt;=Settings!$B$36),1,0)</f>
        <v>0</v>
      </c>
    </row>
    <row r="38" spans="1:24" x14ac:dyDescent="0.2">
      <c r="A38">
        <f>Arrivals!A38</f>
        <v>1</v>
      </c>
      <c r="B38">
        <f>Arrivals!B38</f>
        <v>33</v>
      </c>
      <c r="C38" s="6">
        <f>Arrivals!F38</f>
        <v>293</v>
      </c>
      <c r="D38" s="6">
        <f>Arrivals!K38</f>
        <v>300</v>
      </c>
      <c r="E38" s="6">
        <f>D38*8/ACE_Input!S38+ACE_Input!T38</f>
        <v>24.02</v>
      </c>
      <c r="F38" s="6">
        <f t="shared" ref="F38:F69" si="13">C38</f>
        <v>293</v>
      </c>
      <c r="G38" s="6">
        <f t="shared" si="11"/>
        <v>912.15999999999985</v>
      </c>
      <c r="H38" s="6">
        <f t="shared" ref="H38:H69" si="14">MAX(F38,G38)</f>
        <v>912.15999999999985</v>
      </c>
      <c r="I38" s="6">
        <f>MOD(H38-Settings!$B$32,Settings!$B$33)</f>
        <v>192.15999999999985</v>
      </c>
      <c r="J38" s="6">
        <f>IF(I38&lt;Settings!$B$30,IF(Settings!$B$30-I38&gt;=E38,H38,H38+(Settings!$B$30-I38)+Settings!$B$31),H38+(Settings!$B$33-I38))</f>
        <v>912.15999999999985</v>
      </c>
      <c r="K38" s="6">
        <f t="shared" ref="K38:K69" si="15">J38+E38</f>
        <v>936.17999999999984</v>
      </c>
      <c r="L38" s="6">
        <f t="shared" ref="L38:L69" si="16">K38</f>
        <v>936.17999999999984</v>
      </c>
      <c r="M38" s="6">
        <f t="shared" si="12"/>
        <v>914.49535311373211</v>
      </c>
      <c r="N38" s="6">
        <f t="shared" ref="N38:N69" si="17">MAX(L38,M38)</f>
        <v>936.17999999999984</v>
      </c>
      <c r="O38" s="6">
        <f>Arrivals!I38</f>
        <v>7.2790929724020872</v>
      </c>
      <c r="P38" s="6">
        <f t="shared" ref="P38:P69" si="18">N38+O38</f>
        <v>943.45909297240189</v>
      </c>
      <c r="Q38" s="6">
        <f t="shared" ref="Q38:Q69" si="19">P38-C38</f>
        <v>650.45909297240189</v>
      </c>
      <c r="R38" s="6">
        <f t="shared" ref="R38:R69" si="20">H38-F38</f>
        <v>619.15999999999985</v>
      </c>
      <c r="S38" s="6">
        <f t="shared" ref="S38:S69" si="21">J38-H38</f>
        <v>0</v>
      </c>
      <c r="T38" s="6">
        <f t="shared" ref="T38:T69" si="22">N38-L38</f>
        <v>0</v>
      </c>
      <c r="U38" s="6">
        <f t="shared" ref="U38:U69" si="23">R38+S38+T38</f>
        <v>619.15999999999985</v>
      </c>
      <c r="V38" s="6" t="str">
        <f>IF(MOD(C38-Settings!$B$32,Settings!$B$33)&lt;Settings!$B$30,"Up","Down")</f>
        <v>Up</v>
      </c>
      <c r="W38" s="6">
        <f>IF(OR(E38&gt;Settings!$B$30,Q38&gt;Settings!$B$37),0,1)</f>
        <v>1</v>
      </c>
      <c r="X38" s="6">
        <f>IF(AND(W38=1,Q38&lt;=Settings!$B$36),1,0)</f>
        <v>0</v>
      </c>
    </row>
    <row r="39" spans="1:24" x14ac:dyDescent="0.2">
      <c r="A39">
        <f>Arrivals!A39</f>
        <v>1</v>
      </c>
      <c r="B39">
        <f>Arrivals!B39</f>
        <v>34</v>
      </c>
      <c r="C39" s="6">
        <f>Arrivals!F39</f>
        <v>298</v>
      </c>
      <c r="D39" s="6">
        <f>Arrivals!K39</f>
        <v>300</v>
      </c>
      <c r="E39" s="6">
        <f>D39*8/ACE_Input!S39+ACE_Input!T39</f>
        <v>24.02</v>
      </c>
      <c r="F39" s="6">
        <f t="shared" si="13"/>
        <v>298</v>
      </c>
      <c r="G39" s="6">
        <f t="shared" ref="G39:G70" si="24">K38</f>
        <v>936.17999999999984</v>
      </c>
      <c r="H39" s="6">
        <f t="shared" si="14"/>
        <v>936.17999999999984</v>
      </c>
      <c r="I39" s="6">
        <f>MOD(H39-Settings!$B$32,Settings!$B$33)</f>
        <v>216.17999999999984</v>
      </c>
      <c r="J39" s="6">
        <f>IF(I39&lt;Settings!$B$30,IF(Settings!$B$30-I39&gt;=E39,H39,H39+(Settings!$B$30-I39)+Settings!$B$31),H39+(Settings!$B$33-I39))</f>
        <v>936.17999999999984</v>
      </c>
      <c r="K39" s="6">
        <f t="shared" si="15"/>
        <v>960.19999999999982</v>
      </c>
      <c r="L39" s="6">
        <f t="shared" si="16"/>
        <v>960.19999999999982</v>
      </c>
      <c r="M39" s="6">
        <f t="shared" ref="M39:M70" si="25">P38</f>
        <v>943.45909297240189</v>
      </c>
      <c r="N39" s="6">
        <f t="shared" si="17"/>
        <v>960.19999999999982</v>
      </c>
      <c r="O39" s="6">
        <f>Arrivals!I39</f>
        <v>0.97153433378229015</v>
      </c>
      <c r="P39" s="6">
        <f t="shared" si="18"/>
        <v>961.17153433378212</v>
      </c>
      <c r="Q39" s="6">
        <f t="shared" si="19"/>
        <v>663.17153433378212</v>
      </c>
      <c r="R39" s="6">
        <f t="shared" si="20"/>
        <v>638.17999999999984</v>
      </c>
      <c r="S39" s="6">
        <f t="shared" si="21"/>
        <v>0</v>
      </c>
      <c r="T39" s="6">
        <f t="shared" si="22"/>
        <v>0</v>
      </c>
      <c r="U39" s="6">
        <f t="shared" si="23"/>
        <v>638.17999999999984</v>
      </c>
      <c r="V39" s="6" t="str">
        <f>IF(MOD(C39-Settings!$B$32,Settings!$B$33)&lt;Settings!$B$30,"Up","Down")</f>
        <v>Up</v>
      </c>
      <c r="W39" s="6">
        <f>IF(OR(E39&gt;Settings!$B$30,Q39&gt;Settings!$B$37),0,1)</f>
        <v>1</v>
      </c>
      <c r="X39" s="6">
        <f>IF(AND(W39=1,Q39&lt;=Settings!$B$36),1,0)</f>
        <v>0</v>
      </c>
    </row>
    <row r="40" spans="1:24" x14ac:dyDescent="0.2">
      <c r="A40">
        <f>Arrivals!A40</f>
        <v>1</v>
      </c>
      <c r="B40">
        <f>Arrivals!B40</f>
        <v>35</v>
      </c>
      <c r="C40" s="6">
        <f>Arrivals!F40</f>
        <v>303</v>
      </c>
      <c r="D40" s="6">
        <f>Arrivals!K40</f>
        <v>300</v>
      </c>
      <c r="E40" s="6">
        <f>D40*8/ACE_Input!S40+ACE_Input!T40</f>
        <v>24.02</v>
      </c>
      <c r="F40" s="6">
        <f t="shared" si="13"/>
        <v>303</v>
      </c>
      <c r="G40" s="6">
        <f t="shared" si="24"/>
        <v>960.19999999999982</v>
      </c>
      <c r="H40" s="6">
        <f t="shared" si="14"/>
        <v>960.19999999999982</v>
      </c>
      <c r="I40" s="6">
        <f>MOD(H40-Settings!$B$32,Settings!$B$33)</f>
        <v>240.19999999999982</v>
      </c>
      <c r="J40" s="6">
        <f>IF(I40&lt;Settings!$B$30,IF(Settings!$B$30-I40&gt;=E40,H40,H40+(Settings!$B$30-I40)+Settings!$B$31),H40+(Settings!$B$33-I40))</f>
        <v>960.19999999999982</v>
      </c>
      <c r="K40" s="6">
        <f t="shared" si="15"/>
        <v>984.2199999999998</v>
      </c>
      <c r="L40" s="6">
        <f t="shared" si="16"/>
        <v>984.2199999999998</v>
      </c>
      <c r="M40" s="6">
        <f t="shared" si="25"/>
        <v>961.17153433378212</v>
      </c>
      <c r="N40" s="6">
        <f t="shared" si="17"/>
        <v>984.2199999999998</v>
      </c>
      <c r="O40" s="6">
        <f>Arrivals!I40</f>
        <v>0.96351382337984326</v>
      </c>
      <c r="P40" s="6">
        <f t="shared" si="18"/>
        <v>985.1835138233796</v>
      </c>
      <c r="Q40" s="6">
        <f t="shared" si="19"/>
        <v>682.1835138233796</v>
      </c>
      <c r="R40" s="6">
        <f t="shared" si="20"/>
        <v>657.19999999999982</v>
      </c>
      <c r="S40" s="6">
        <f t="shared" si="21"/>
        <v>0</v>
      </c>
      <c r="T40" s="6">
        <f t="shared" si="22"/>
        <v>0</v>
      </c>
      <c r="U40" s="6">
        <f t="shared" si="23"/>
        <v>657.19999999999982</v>
      </c>
      <c r="V40" s="6" t="str">
        <f>IF(MOD(C40-Settings!$B$32,Settings!$B$33)&lt;Settings!$B$30,"Up","Down")</f>
        <v>Up</v>
      </c>
      <c r="W40" s="6">
        <f>IF(OR(E40&gt;Settings!$B$30,Q40&gt;Settings!$B$37),0,1)</f>
        <v>1</v>
      </c>
      <c r="X40" s="6">
        <f>IF(AND(W40=1,Q40&lt;=Settings!$B$36),1,0)</f>
        <v>0</v>
      </c>
    </row>
    <row r="41" spans="1:24" x14ac:dyDescent="0.2">
      <c r="A41">
        <f>Arrivals!A41</f>
        <v>1</v>
      </c>
      <c r="B41">
        <f>Arrivals!B41</f>
        <v>36</v>
      </c>
      <c r="C41" s="6">
        <f>Arrivals!F41</f>
        <v>308</v>
      </c>
      <c r="D41" s="6">
        <f>Arrivals!K41</f>
        <v>300</v>
      </c>
      <c r="E41" s="6">
        <f>D41*8/ACE_Input!S41+ACE_Input!T41</f>
        <v>24.02</v>
      </c>
      <c r="F41" s="6">
        <f t="shared" si="13"/>
        <v>308</v>
      </c>
      <c r="G41" s="6">
        <f t="shared" si="24"/>
        <v>984.2199999999998</v>
      </c>
      <c r="H41" s="6">
        <f t="shared" si="14"/>
        <v>984.2199999999998</v>
      </c>
      <c r="I41" s="6">
        <f>MOD(H41-Settings!$B$32,Settings!$B$33)</f>
        <v>264.2199999999998</v>
      </c>
      <c r="J41" s="6">
        <f>IF(I41&lt;Settings!$B$30,IF(Settings!$B$30-I41&gt;=E41,H41,H41+(Settings!$B$30-I41)+Settings!$B$31),H41+(Settings!$B$33-I41))</f>
        <v>984.2199999999998</v>
      </c>
      <c r="K41" s="6">
        <f t="shared" si="15"/>
        <v>1008.2399999999998</v>
      </c>
      <c r="L41" s="6">
        <f t="shared" si="16"/>
        <v>1008.2399999999998</v>
      </c>
      <c r="M41" s="6">
        <f t="shared" si="25"/>
        <v>985.1835138233796</v>
      </c>
      <c r="N41" s="6">
        <f t="shared" si="17"/>
        <v>1008.2399999999998</v>
      </c>
      <c r="O41" s="6">
        <f>Arrivals!I41</f>
        <v>5.6158176891388205</v>
      </c>
      <c r="P41" s="6">
        <f t="shared" si="18"/>
        <v>1013.8558176891386</v>
      </c>
      <c r="Q41" s="6">
        <f t="shared" si="19"/>
        <v>705.85581768913858</v>
      </c>
      <c r="R41" s="6">
        <f t="shared" si="20"/>
        <v>676.2199999999998</v>
      </c>
      <c r="S41" s="6">
        <f t="shared" si="21"/>
        <v>0</v>
      </c>
      <c r="T41" s="6">
        <f t="shared" si="22"/>
        <v>0</v>
      </c>
      <c r="U41" s="6">
        <f t="shared" si="23"/>
        <v>676.2199999999998</v>
      </c>
      <c r="V41" s="6" t="str">
        <f>IF(MOD(C41-Settings!$B$32,Settings!$B$33)&lt;Settings!$B$30,"Up","Down")</f>
        <v>Up</v>
      </c>
      <c r="W41" s="6">
        <f>IF(OR(E41&gt;Settings!$B$30,Q41&gt;Settings!$B$37),0,1)</f>
        <v>1</v>
      </c>
      <c r="X41" s="6">
        <f>IF(AND(W41=1,Q41&lt;=Settings!$B$36),1,0)</f>
        <v>0</v>
      </c>
    </row>
    <row r="42" spans="1:24" x14ac:dyDescent="0.2">
      <c r="A42">
        <f>Arrivals!A42</f>
        <v>1</v>
      </c>
      <c r="B42">
        <f>Arrivals!B42</f>
        <v>37</v>
      </c>
      <c r="C42" s="6">
        <f>Arrivals!F42</f>
        <v>313</v>
      </c>
      <c r="D42" s="6">
        <f>Arrivals!K42</f>
        <v>300</v>
      </c>
      <c r="E42" s="6">
        <f>D42*8/ACE_Input!S42+ACE_Input!T42</f>
        <v>24.02</v>
      </c>
      <c r="F42" s="6">
        <f t="shared" si="13"/>
        <v>313</v>
      </c>
      <c r="G42" s="6">
        <f t="shared" si="24"/>
        <v>1008.2399999999998</v>
      </c>
      <c r="H42" s="6">
        <f t="shared" si="14"/>
        <v>1008.2399999999998</v>
      </c>
      <c r="I42" s="6">
        <f>MOD(H42-Settings!$B$32,Settings!$B$33)</f>
        <v>288.23999999999978</v>
      </c>
      <c r="J42" s="6">
        <f>IF(I42&lt;Settings!$B$30,IF(Settings!$B$30-I42&gt;=E42,H42,H42+(Settings!$B$30-I42)+Settings!$B$31),H42+(Settings!$B$33-I42))</f>
        <v>1008.2399999999998</v>
      </c>
      <c r="K42" s="6">
        <f t="shared" si="15"/>
        <v>1032.2599999999998</v>
      </c>
      <c r="L42" s="6">
        <f t="shared" si="16"/>
        <v>1032.2599999999998</v>
      </c>
      <c r="M42" s="6">
        <f t="shared" si="25"/>
        <v>1013.8558176891386</v>
      </c>
      <c r="N42" s="6">
        <f t="shared" si="17"/>
        <v>1032.2599999999998</v>
      </c>
      <c r="O42" s="6">
        <f>Arrivals!I42</f>
        <v>6.4736299397942041</v>
      </c>
      <c r="P42" s="6">
        <f t="shared" si="18"/>
        <v>1038.7336299397939</v>
      </c>
      <c r="Q42" s="6">
        <f t="shared" si="19"/>
        <v>725.7336299397939</v>
      </c>
      <c r="R42" s="6">
        <f t="shared" si="20"/>
        <v>695.23999999999978</v>
      </c>
      <c r="S42" s="6">
        <f t="shared" si="21"/>
        <v>0</v>
      </c>
      <c r="T42" s="6">
        <f t="shared" si="22"/>
        <v>0</v>
      </c>
      <c r="U42" s="6">
        <f t="shared" si="23"/>
        <v>695.23999999999978</v>
      </c>
      <c r="V42" s="6" t="str">
        <f>IF(MOD(C42-Settings!$B$32,Settings!$B$33)&lt;Settings!$B$30,"Up","Down")</f>
        <v>Up</v>
      </c>
      <c r="W42" s="6">
        <f>IF(OR(E42&gt;Settings!$B$30,Q42&gt;Settings!$B$37),0,1)</f>
        <v>1</v>
      </c>
      <c r="X42" s="6">
        <f>IF(AND(W42=1,Q42&lt;=Settings!$B$36),1,0)</f>
        <v>0</v>
      </c>
    </row>
    <row r="43" spans="1:24" x14ac:dyDescent="0.2">
      <c r="A43">
        <f>Arrivals!A43</f>
        <v>1</v>
      </c>
      <c r="B43">
        <f>Arrivals!B43</f>
        <v>38</v>
      </c>
      <c r="C43" s="6">
        <f>Arrivals!F43</f>
        <v>318</v>
      </c>
      <c r="D43" s="6">
        <f>Arrivals!K43</f>
        <v>300</v>
      </c>
      <c r="E43" s="6">
        <f>D43*8/ACE_Input!S43+ACE_Input!T43</f>
        <v>24.02</v>
      </c>
      <c r="F43" s="6">
        <f t="shared" si="13"/>
        <v>318</v>
      </c>
      <c r="G43" s="6">
        <f t="shared" si="24"/>
        <v>1032.2599999999998</v>
      </c>
      <c r="H43" s="6">
        <f t="shared" si="14"/>
        <v>1032.2599999999998</v>
      </c>
      <c r="I43" s="6">
        <f>MOD(H43-Settings!$B$32,Settings!$B$33)</f>
        <v>312.25999999999976</v>
      </c>
      <c r="J43" s="6">
        <f>IF(I43&lt;Settings!$B$30,IF(Settings!$B$30-I43&gt;=E43,H43,H43+(Settings!$B$30-I43)+Settings!$B$31),H43+(Settings!$B$33-I43))</f>
        <v>1032.2599999999998</v>
      </c>
      <c r="K43" s="6">
        <f t="shared" si="15"/>
        <v>1056.2799999999997</v>
      </c>
      <c r="L43" s="6">
        <f t="shared" si="16"/>
        <v>1056.2799999999997</v>
      </c>
      <c r="M43" s="6">
        <f t="shared" si="25"/>
        <v>1038.7336299397939</v>
      </c>
      <c r="N43" s="6">
        <f t="shared" si="17"/>
        <v>1056.2799999999997</v>
      </c>
      <c r="O43" s="6">
        <f>Arrivals!I43</f>
        <v>3.8233154685216451</v>
      </c>
      <c r="P43" s="6">
        <f t="shared" si="18"/>
        <v>1060.1033154685215</v>
      </c>
      <c r="Q43" s="6">
        <f t="shared" si="19"/>
        <v>742.10331546852149</v>
      </c>
      <c r="R43" s="6">
        <f t="shared" si="20"/>
        <v>714.25999999999976</v>
      </c>
      <c r="S43" s="6">
        <f t="shared" si="21"/>
        <v>0</v>
      </c>
      <c r="T43" s="6">
        <f t="shared" si="22"/>
        <v>0</v>
      </c>
      <c r="U43" s="6">
        <f t="shared" si="23"/>
        <v>714.25999999999976</v>
      </c>
      <c r="V43" s="6" t="str">
        <f>IF(MOD(C43-Settings!$B$32,Settings!$B$33)&lt;Settings!$B$30,"Up","Down")</f>
        <v>Up</v>
      </c>
      <c r="W43" s="6">
        <f>IF(OR(E43&gt;Settings!$B$30,Q43&gt;Settings!$B$37),0,1)</f>
        <v>1</v>
      </c>
      <c r="X43" s="6">
        <f>IF(AND(W43=1,Q43&lt;=Settings!$B$36),1,0)</f>
        <v>0</v>
      </c>
    </row>
    <row r="44" spans="1:24" x14ac:dyDescent="0.2">
      <c r="A44">
        <f>Arrivals!A44</f>
        <v>1</v>
      </c>
      <c r="B44">
        <f>Arrivals!B44</f>
        <v>39</v>
      </c>
      <c r="C44" s="6">
        <f>Arrivals!F44</f>
        <v>323</v>
      </c>
      <c r="D44" s="6">
        <f>Arrivals!K44</f>
        <v>300</v>
      </c>
      <c r="E44" s="6">
        <f>D44*8/ACE_Input!S44+ACE_Input!T44</f>
        <v>24.02</v>
      </c>
      <c r="F44" s="6">
        <f t="shared" si="13"/>
        <v>323</v>
      </c>
      <c r="G44" s="6">
        <f t="shared" si="24"/>
        <v>1056.2799999999997</v>
      </c>
      <c r="H44" s="6">
        <f t="shared" si="14"/>
        <v>1056.2799999999997</v>
      </c>
      <c r="I44" s="6">
        <f>MOD(H44-Settings!$B$32,Settings!$B$33)</f>
        <v>336.27999999999975</v>
      </c>
      <c r="J44" s="6">
        <f>IF(I44&lt;Settings!$B$30,IF(Settings!$B$30-I44&gt;=E44,H44,H44+(Settings!$B$30-I44)+Settings!$B$31),H44+(Settings!$B$33-I44))</f>
        <v>1056.2799999999997</v>
      </c>
      <c r="K44" s="6">
        <f t="shared" si="15"/>
        <v>1080.2999999999997</v>
      </c>
      <c r="L44" s="6">
        <f t="shared" si="16"/>
        <v>1080.2999999999997</v>
      </c>
      <c r="M44" s="6">
        <f t="shared" si="25"/>
        <v>1060.1033154685215</v>
      </c>
      <c r="N44" s="6">
        <f t="shared" si="17"/>
        <v>1080.2999999999997</v>
      </c>
      <c r="O44" s="6">
        <f>Arrivals!I44</f>
        <v>6.8768966286512017</v>
      </c>
      <c r="P44" s="6">
        <f t="shared" si="18"/>
        <v>1087.1768966286509</v>
      </c>
      <c r="Q44" s="6">
        <f t="shared" si="19"/>
        <v>764.17689662865087</v>
      </c>
      <c r="R44" s="6">
        <f t="shared" si="20"/>
        <v>733.27999999999975</v>
      </c>
      <c r="S44" s="6">
        <f t="shared" si="21"/>
        <v>0</v>
      </c>
      <c r="T44" s="6">
        <f t="shared" si="22"/>
        <v>0</v>
      </c>
      <c r="U44" s="6">
        <f t="shared" si="23"/>
        <v>733.27999999999975</v>
      </c>
      <c r="V44" s="6" t="str">
        <f>IF(MOD(C44-Settings!$B$32,Settings!$B$33)&lt;Settings!$B$30,"Up","Down")</f>
        <v>Up</v>
      </c>
      <c r="W44" s="6">
        <f>IF(OR(E44&gt;Settings!$B$30,Q44&gt;Settings!$B$37),0,1)</f>
        <v>1</v>
      </c>
      <c r="X44" s="6">
        <f>IF(AND(W44=1,Q44&lt;=Settings!$B$36),1,0)</f>
        <v>0</v>
      </c>
    </row>
    <row r="45" spans="1:24" x14ac:dyDescent="0.2">
      <c r="A45">
        <f>Arrivals!A45</f>
        <v>1</v>
      </c>
      <c r="B45">
        <f>Arrivals!B45</f>
        <v>40</v>
      </c>
      <c r="C45" s="6">
        <f>Arrivals!F45</f>
        <v>328</v>
      </c>
      <c r="D45" s="6">
        <f>Arrivals!K45</f>
        <v>300</v>
      </c>
      <c r="E45" s="6">
        <f>D45*8/ACE_Input!S45+ACE_Input!T45</f>
        <v>24.02</v>
      </c>
      <c r="F45" s="6">
        <f t="shared" si="13"/>
        <v>328</v>
      </c>
      <c r="G45" s="6">
        <f t="shared" si="24"/>
        <v>1080.2999999999997</v>
      </c>
      <c r="H45" s="6">
        <f t="shared" si="14"/>
        <v>1080.2999999999997</v>
      </c>
      <c r="I45" s="6">
        <f>MOD(H45-Settings!$B$32,Settings!$B$33)</f>
        <v>360.29999999999973</v>
      </c>
      <c r="J45" s="6">
        <f>IF(I45&lt;Settings!$B$30,IF(Settings!$B$30-I45&gt;=E45,H45,H45+(Settings!$B$30-I45)+Settings!$B$31),H45+(Settings!$B$33-I45))</f>
        <v>1080.2999999999997</v>
      </c>
      <c r="K45" s="6">
        <f t="shared" si="15"/>
        <v>1104.3199999999997</v>
      </c>
      <c r="L45" s="6">
        <f t="shared" si="16"/>
        <v>1104.3199999999997</v>
      </c>
      <c r="M45" s="6">
        <f t="shared" si="25"/>
        <v>1087.1768966286509</v>
      </c>
      <c r="N45" s="6">
        <f t="shared" si="17"/>
        <v>1104.3199999999997</v>
      </c>
      <c r="O45" s="6">
        <f>Arrivals!I45</f>
        <v>0.41876201679640374</v>
      </c>
      <c r="P45" s="6">
        <f t="shared" si="18"/>
        <v>1104.738762016796</v>
      </c>
      <c r="Q45" s="6">
        <f t="shared" si="19"/>
        <v>776.73876201679604</v>
      </c>
      <c r="R45" s="6">
        <f t="shared" si="20"/>
        <v>752.29999999999973</v>
      </c>
      <c r="S45" s="6">
        <f t="shared" si="21"/>
        <v>0</v>
      </c>
      <c r="T45" s="6">
        <f t="shared" si="22"/>
        <v>0</v>
      </c>
      <c r="U45" s="6">
        <f t="shared" si="23"/>
        <v>752.29999999999973</v>
      </c>
      <c r="V45" s="6" t="str">
        <f>IF(MOD(C45-Settings!$B$32,Settings!$B$33)&lt;Settings!$B$30,"Up","Down")</f>
        <v>Up</v>
      </c>
      <c r="W45" s="6">
        <f>IF(OR(E45&gt;Settings!$B$30,Q45&gt;Settings!$B$37),0,1)</f>
        <v>1</v>
      </c>
      <c r="X45" s="6">
        <f>IF(AND(W45=1,Q45&lt;=Settings!$B$36),1,0)</f>
        <v>0</v>
      </c>
    </row>
    <row r="46" spans="1:24" x14ac:dyDescent="0.2">
      <c r="A46">
        <f>Arrivals!A46</f>
        <v>1</v>
      </c>
      <c r="B46">
        <f>Arrivals!B46</f>
        <v>41</v>
      </c>
      <c r="C46" s="6">
        <f>Arrivals!F46</f>
        <v>333</v>
      </c>
      <c r="D46" s="6">
        <f>Arrivals!K46</f>
        <v>300</v>
      </c>
      <c r="E46" s="6">
        <f>D46*8/ACE_Input!S46+ACE_Input!T46</f>
        <v>24.02</v>
      </c>
      <c r="F46" s="6">
        <f t="shared" si="13"/>
        <v>333</v>
      </c>
      <c r="G46" s="6">
        <f t="shared" si="24"/>
        <v>1104.3199999999997</v>
      </c>
      <c r="H46" s="6">
        <f t="shared" si="14"/>
        <v>1104.3199999999997</v>
      </c>
      <c r="I46" s="6">
        <f>MOD(H46-Settings!$B$32,Settings!$B$33)</f>
        <v>384.31999999999971</v>
      </c>
      <c r="J46" s="6">
        <f>IF(I46&lt;Settings!$B$30,IF(Settings!$B$30-I46&gt;=E46,H46,H46+(Settings!$B$30-I46)+Settings!$B$31),H46+(Settings!$B$33-I46))</f>
        <v>1104.3199999999997</v>
      </c>
      <c r="K46" s="6">
        <f t="shared" si="15"/>
        <v>1128.3399999999997</v>
      </c>
      <c r="L46" s="6">
        <f t="shared" si="16"/>
        <v>1128.3399999999997</v>
      </c>
      <c r="M46" s="6">
        <f t="shared" si="25"/>
        <v>1104.738762016796</v>
      </c>
      <c r="N46" s="6">
        <f t="shared" si="17"/>
        <v>1128.3399999999997</v>
      </c>
      <c r="O46" s="6">
        <f>Arrivals!I46</f>
        <v>3.3004079460328888</v>
      </c>
      <c r="P46" s="6">
        <f t="shared" si="18"/>
        <v>1131.6404079460326</v>
      </c>
      <c r="Q46" s="6">
        <f t="shared" si="19"/>
        <v>798.64040794603261</v>
      </c>
      <c r="R46" s="6">
        <f t="shared" si="20"/>
        <v>771.31999999999971</v>
      </c>
      <c r="S46" s="6">
        <f t="shared" si="21"/>
        <v>0</v>
      </c>
      <c r="T46" s="6">
        <f t="shared" si="22"/>
        <v>0</v>
      </c>
      <c r="U46" s="6">
        <f t="shared" si="23"/>
        <v>771.31999999999971</v>
      </c>
      <c r="V46" s="6" t="str">
        <f>IF(MOD(C46-Settings!$B$32,Settings!$B$33)&lt;Settings!$B$30,"Up","Down")</f>
        <v>Up</v>
      </c>
      <c r="W46" s="6">
        <f>IF(OR(E46&gt;Settings!$B$30,Q46&gt;Settings!$B$37),0,1)</f>
        <v>1</v>
      </c>
      <c r="X46" s="6">
        <f>IF(AND(W46=1,Q46&lt;=Settings!$B$36),1,0)</f>
        <v>0</v>
      </c>
    </row>
    <row r="47" spans="1:24" x14ac:dyDescent="0.2">
      <c r="A47">
        <f>Arrivals!A47</f>
        <v>1</v>
      </c>
      <c r="B47">
        <f>Arrivals!B47</f>
        <v>42</v>
      </c>
      <c r="C47" s="6">
        <f>Arrivals!F47</f>
        <v>338</v>
      </c>
      <c r="D47" s="6">
        <f>Arrivals!K47</f>
        <v>300</v>
      </c>
      <c r="E47" s="6">
        <f>D47*8/ACE_Input!S47+ACE_Input!T47</f>
        <v>24.02</v>
      </c>
      <c r="F47" s="6">
        <f t="shared" si="13"/>
        <v>338</v>
      </c>
      <c r="G47" s="6">
        <f t="shared" si="24"/>
        <v>1128.3399999999997</v>
      </c>
      <c r="H47" s="6">
        <f t="shared" si="14"/>
        <v>1128.3399999999997</v>
      </c>
      <c r="I47" s="6">
        <f>MOD(H47-Settings!$B$32,Settings!$B$33)</f>
        <v>408.33999999999969</v>
      </c>
      <c r="J47" s="6">
        <f>IF(I47&lt;Settings!$B$30,IF(Settings!$B$30-I47&gt;=E47,H47,H47+(Settings!$B$30-I47)+Settings!$B$31),H47+(Settings!$B$33-I47))</f>
        <v>1128.3399999999997</v>
      </c>
      <c r="K47" s="6">
        <f t="shared" si="15"/>
        <v>1152.3599999999997</v>
      </c>
      <c r="L47" s="6">
        <f t="shared" si="16"/>
        <v>1152.3599999999997</v>
      </c>
      <c r="M47" s="6">
        <f t="shared" si="25"/>
        <v>1131.6404079460326</v>
      </c>
      <c r="N47" s="6">
        <f t="shared" si="17"/>
        <v>1152.3599999999997</v>
      </c>
      <c r="O47" s="6">
        <f>Arrivals!I47</f>
        <v>1.6355820316350236</v>
      </c>
      <c r="P47" s="6">
        <f t="shared" si="18"/>
        <v>1153.9955820316347</v>
      </c>
      <c r="Q47" s="6">
        <f t="shared" si="19"/>
        <v>815.99558203163474</v>
      </c>
      <c r="R47" s="6">
        <f t="shared" si="20"/>
        <v>790.33999999999969</v>
      </c>
      <c r="S47" s="6">
        <f t="shared" si="21"/>
        <v>0</v>
      </c>
      <c r="T47" s="6">
        <f t="shared" si="22"/>
        <v>0</v>
      </c>
      <c r="U47" s="6">
        <f t="shared" si="23"/>
        <v>790.33999999999969</v>
      </c>
      <c r="V47" s="6" t="str">
        <f>IF(MOD(C47-Settings!$B$32,Settings!$B$33)&lt;Settings!$B$30,"Up","Down")</f>
        <v>Up</v>
      </c>
      <c r="W47" s="6">
        <f>IF(OR(E47&gt;Settings!$B$30,Q47&gt;Settings!$B$37),0,1)</f>
        <v>1</v>
      </c>
      <c r="X47" s="6">
        <f>IF(AND(W47=1,Q47&lt;=Settings!$B$36),1,0)</f>
        <v>0</v>
      </c>
    </row>
    <row r="48" spans="1:24" x14ac:dyDescent="0.2">
      <c r="A48">
        <f>Arrivals!A48</f>
        <v>1</v>
      </c>
      <c r="B48">
        <f>Arrivals!B48</f>
        <v>43</v>
      </c>
      <c r="C48" s="6">
        <f>Arrivals!F48</f>
        <v>343</v>
      </c>
      <c r="D48" s="6">
        <f>Arrivals!K48</f>
        <v>300</v>
      </c>
      <c r="E48" s="6">
        <f>D48*8/ACE_Input!S48+ACE_Input!T48</f>
        <v>24.02</v>
      </c>
      <c r="F48" s="6">
        <f t="shared" si="13"/>
        <v>343</v>
      </c>
      <c r="G48" s="6">
        <f t="shared" si="24"/>
        <v>1152.3599999999997</v>
      </c>
      <c r="H48" s="6">
        <f t="shared" si="14"/>
        <v>1152.3599999999997</v>
      </c>
      <c r="I48" s="6">
        <f>MOD(H48-Settings!$B$32,Settings!$B$33)</f>
        <v>432.35999999999967</v>
      </c>
      <c r="J48" s="6">
        <f>IF(I48&lt;Settings!$B$30,IF(Settings!$B$30-I48&gt;=E48,H48,H48+(Settings!$B$30-I48)+Settings!$B$31),H48+(Settings!$B$33-I48))</f>
        <v>1152.3599999999997</v>
      </c>
      <c r="K48" s="6">
        <f t="shared" si="15"/>
        <v>1176.3799999999997</v>
      </c>
      <c r="L48" s="6">
        <f t="shared" si="16"/>
        <v>1176.3799999999997</v>
      </c>
      <c r="M48" s="6">
        <f t="shared" si="25"/>
        <v>1153.9955820316347</v>
      </c>
      <c r="N48" s="6">
        <f t="shared" si="17"/>
        <v>1176.3799999999997</v>
      </c>
      <c r="O48" s="6">
        <f>Arrivals!I48</f>
        <v>4.8691602772363591</v>
      </c>
      <c r="P48" s="6">
        <f t="shared" si="18"/>
        <v>1181.2491602772361</v>
      </c>
      <c r="Q48" s="6">
        <f t="shared" si="19"/>
        <v>838.24916027723611</v>
      </c>
      <c r="R48" s="6">
        <f t="shared" si="20"/>
        <v>809.35999999999967</v>
      </c>
      <c r="S48" s="6">
        <f t="shared" si="21"/>
        <v>0</v>
      </c>
      <c r="T48" s="6">
        <f t="shared" si="22"/>
        <v>0</v>
      </c>
      <c r="U48" s="6">
        <f t="shared" si="23"/>
        <v>809.35999999999967</v>
      </c>
      <c r="V48" s="6" t="str">
        <f>IF(MOD(C48-Settings!$B$32,Settings!$B$33)&lt;Settings!$B$30,"Up","Down")</f>
        <v>Up</v>
      </c>
      <c r="W48" s="6">
        <f>IF(OR(E48&gt;Settings!$B$30,Q48&gt;Settings!$B$37),0,1)</f>
        <v>1</v>
      </c>
      <c r="X48" s="6">
        <f>IF(AND(W48=1,Q48&lt;=Settings!$B$36),1,0)</f>
        <v>0</v>
      </c>
    </row>
    <row r="49" spans="1:24" x14ac:dyDescent="0.2">
      <c r="A49">
        <f>Arrivals!A49</f>
        <v>1</v>
      </c>
      <c r="B49">
        <f>Arrivals!B49</f>
        <v>44</v>
      </c>
      <c r="C49" s="6">
        <f>Arrivals!F49</f>
        <v>348</v>
      </c>
      <c r="D49" s="6">
        <f>Arrivals!K49</f>
        <v>300</v>
      </c>
      <c r="E49" s="6">
        <f>D49*8/ACE_Input!S49+ACE_Input!T49</f>
        <v>24.02</v>
      </c>
      <c r="F49" s="6">
        <f t="shared" si="13"/>
        <v>348</v>
      </c>
      <c r="G49" s="6">
        <f t="shared" si="24"/>
        <v>1176.3799999999997</v>
      </c>
      <c r="H49" s="6">
        <f t="shared" si="14"/>
        <v>1176.3799999999997</v>
      </c>
      <c r="I49" s="6">
        <f>MOD(H49-Settings!$B$32,Settings!$B$33)</f>
        <v>456.37999999999965</v>
      </c>
      <c r="J49" s="6">
        <f>IF(I49&lt;Settings!$B$30,IF(Settings!$B$30-I49&gt;=E49,H49,H49+(Settings!$B$30-I49)+Settings!$B$31),H49+(Settings!$B$33-I49))</f>
        <v>1176.3799999999997</v>
      </c>
      <c r="K49" s="6">
        <f t="shared" si="15"/>
        <v>1200.3999999999996</v>
      </c>
      <c r="L49" s="6">
        <f t="shared" si="16"/>
        <v>1200.3999999999996</v>
      </c>
      <c r="M49" s="6">
        <f t="shared" si="25"/>
        <v>1181.2491602772361</v>
      </c>
      <c r="N49" s="6">
        <f t="shared" si="17"/>
        <v>1200.3999999999996</v>
      </c>
      <c r="O49" s="6">
        <f>Arrivals!I49</f>
        <v>3.683734519136872</v>
      </c>
      <c r="P49" s="6">
        <f t="shared" si="18"/>
        <v>1204.0837345191364</v>
      </c>
      <c r="Q49" s="6">
        <f t="shared" si="19"/>
        <v>856.08373451913644</v>
      </c>
      <c r="R49" s="6">
        <f t="shared" si="20"/>
        <v>828.37999999999965</v>
      </c>
      <c r="S49" s="6">
        <f t="shared" si="21"/>
        <v>0</v>
      </c>
      <c r="T49" s="6">
        <f t="shared" si="22"/>
        <v>0</v>
      </c>
      <c r="U49" s="6">
        <f t="shared" si="23"/>
        <v>828.37999999999965</v>
      </c>
      <c r="V49" s="6" t="str">
        <f>IF(MOD(C49-Settings!$B$32,Settings!$B$33)&lt;Settings!$B$30,"Up","Down")</f>
        <v>Up</v>
      </c>
      <c r="W49" s="6">
        <f>IF(OR(E49&gt;Settings!$B$30,Q49&gt;Settings!$B$37),0,1)</f>
        <v>1</v>
      </c>
      <c r="X49" s="6">
        <f>IF(AND(W49=1,Q49&lt;=Settings!$B$36),1,0)</f>
        <v>0</v>
      </c>
    </row>
    <row r="50" spans="1:24" x14ac:dyDescent="0.2">
      <c r="A50">
        <f>Arrivals!A50</f>
        <v>1</v>
      </c>
      <c r="B50">
        <f>Arrivals!B50</f>
        <v>45</v>
      </c>
      <c r="C50" s="6">
        <f>Arrivals!F50</f>
        <v>354</v>
      </c>
      <c r="D50" s="6">
        <f>Arrivals!K50</f>
        <v>300</v>
      </c>
      <c r="E50" s="6">
        <f>D50*8/ACE_Input!S50+ACE_Input!T50</f>
        <v>24.02</v>
      </c>
      <c r="F50" s="6">
        <f t="shared" si="13"/>
        <v>354</v>
      </c>
      <c r="G50" s="6">
        <f t="shared" si="24"/>
        <v>1200.3999999999996</v>
      </c>
      <c r="H50" s="6">
        <f t="shared" si="14"/>
        <v>1200.3999999999996</v>
      </c>
      <c r="I50" s="6">
        <f>MOD(H50-Settings!$B$32,Settings!$B$33)</f>
        <v>480.39999999999964</v>
      </c>
      <c r="J50" s="6">
        <f>IF(I50&lt;Settings!$B$30,IF(Settings!$B$30-I50&gt;=E50,H50,H50+(Settings!$B$30-I50)+Settings!$B$31),H50+(Settings!$B$33-I50))</f>
        <v>1200.3999999999996</v>
      </c>
      <c r="K50" s="6">
        <f t="shared" si="15"/>
        <v>1224.4199999999996</v>
      </c>
      <c r="L50" s="6">
        <f t="shared" si="16"/>
        <v>1224.4199999999996</v>
      </c>
      <c r="M50" s="6">
        <f t="shared" si="25"/>
        <v>1204.0837345191364</v>
      </c>
      <c r="N50" s="6">
        <f t="shared" si="17"/>
        <v>1224.4199999999996</v>
      </c>
      <c r="O50" s="6">
        <f>Arrivals!I50</f>
        <v>1.6676781942890417</v>
      </c>
      <c r="P50" s="6">
        <f t="shared" si="18"/>
        <v>1226.0876781942886</v>
      </c>
      <c r="Q50" s="6">
        <f t="shared" si="19"/>
        <v>872.08767819428863</v>
      </c>
      <c r="R50" s="6">
        <f t="shared" si="20"/>
        <v>846.39999999999964</v>
      </c>
      <c r="S50" s="6">
        <f t="shared" si="21"/>
        <v>0</v>
      </c>
      <c r="T50" s="6">
        <f t="shared" si="22"/>
        <v>0</v>
      </c>
      <c r="U50" s="6">
        <f t="shared" si="23"/>
        <v>846.39999999999964</v>
      </c>
      <c r="V50" s="6" t="str">
        <f>IF(MOD(C50-Settings!$B$32,Settings!$B$33)&lt;Settings!$B$30,"Up","Down")</f>
        <v>Up</v>
      </c>
      <c r="W50" s="6">
        <f>IF(OR(E50&gt;Settings!$B$30,Q50&gt;Settings!$B$37),0,1)</f>
        <v>1</v>
      </c>
      <c r="X50" s="6">
        <f>IF(AND(W50=1,Q50&lt;=Settings!$B$36),1,0)</f>
        <v>0</v>
      </c>
    </row>
    <row r="51" spans="1:24" x14ac:dyDescent="0.2">
      <c r="A51">
        <f>Arrivals!A51</f>
        <v>1</v>
      </c>
      <c r="B51">
        <f>Arrivals!B51</f>
        <v>46</v>
      </c>
      <c r="C51" s="6">
        <f>Arrivals!F51</f>
        <v>359</v>
      </c>
      <c r="D51" s="6">
        <f>Arrivals!K51</f>
        <v>300</v>
      </c>
      <c r="E51" s="6">
        <f>D51*8/ACE_Input!S51+ACE_Input!T51</f>
        <v>24.02</v>
      </c>
      <c r="F51" s="6">
        <f t="shared" si="13"/>
        <v>359</v>
      </c>
      <c r="G51" s="6">
        <f t="shared" si="24"/>
        <v>1224.4199999999996</v>
      </c>
      <c r="H51" s="6">
        <f t="shared" si="14"/>
        <v>1224.4199999999996</v>
      </c>
      <c r="I51" s="6">
        <f>MOD(H51-Settings!$B$32,Settings!$B$33)</f>
        <v>504.41999999999962</v>
      </c>
      <c r="J51" s="6">
        <f>IF(I51&lt;Settings!$B$30,IF(Settings!$B$30-I51&gt;=E51,H51,H51+(Settings!$B$30-I51)+Settings!$B$31),H51+(Settings!$B$33-I51))</f>
        <v>1224.4199999999996</v>
      </c>
      <c r="K51" s="6">
        <f t="shared" si="15"/>
        <v>1248.4399999999996</v>
      </c>
      <c r="L51" s="6">
        <f t="shared" si="16"/>
        <v>1248.4399999999996</v>
      </c>
      <c r="M51" s="6">
        <f t="shared" si="25"/>
        <v>1226.0876781942886</v>
      </c>
      <c r="N51" s="6">
        <f t="shared" si="17"/>
        <v>1248.4399999999996</v>
      </c>
      <c r="O51" s="6">
        <f>Arrivals!I51</f>
        <v>11.548903449119665</v>
      </c>
      <c r="P51" s="6">
        <f t="shared" si="18"/>
        <v>1259.9889034491193</v>
      </c>
      <c r="Q51" s="6">
        <f t="shared" si="19"/>
        <v>900.98890344911933</v>
      </c>
      <c r="R51" s="6">
        <f t="shared" si="20"/>
        <v>865.41999999999962</v>
      </c>
      <c r="S51" s="6">
        <f t="shared" si="21"/>
        <v>0</v>
      </c>
      <c r="T51" s="6">
        <f t="shared" si="22"/>
        <v>0</v>
      </c>
      <c r="U51" s="6">
        <f t="shared" si="23"/>
        <v>865.41999999999962</v>
      </c>
      <c r="V51" s="6" t="str">
        <f>IF(MOD(C51-Settings!$B$32,Settings!$B$33)&lt;Settings!$B$30,"Up","Down")</f>
        <v>Up</v>
      </c>
      <c r="W51" s="6">
        <f>IF(OR(E51&gt;Settings!$B$30,Q51&gt;Settings!$B$37),0,1)</f>
        <v>0</v>
      </c>
      <c r="X51" s="6">
        <f>IF(AND(W51=1,Q51&lt;=Settings!$B$36),1,0)</f>
        <v>0</v>
      </c>
    </row>
    <row r="52" spans="1:24" x14ac:dyDescent="0.2">
      <c r="A52">
        <f>Arrivals!A52</f>
        <v>1</v>
      </c>
      <c r="B52">
        <f>Arrivals!B52</f>
        <v>47</v>
      </c>
      <c r="C52" s="6">
        <f>Arrivals!F52</f>
        <v>364</v>
      </c>
      <c r="D52" s="6">
        <f>Arrivals!K52</f>
        <v>300</v>
      </c>
      <c r="E52" s="6">
        <f>D52*8/ACE_Input!S52+ACE_Input!T52</f>
        <v>24.02</v>
      </c>
      <c r="F52" s="6">
        <f t="shared" si="13"/>
        <v>364</v>
      </c>
      <c r="G52" s="6">
        <f t="shared" si="24"/>
        <v>1248.4399999999996</v>
      </c>
      <c r="H52" s="6">
        <f t="shared" si="14"/>
        <v>1248.4399999999996</v>
      </c>
      <c r="I52" s="6">
        <f>MOD(H52-Settings!$B$32,Settings!$B$33)</f>
        <v>528.4399999999996</v>
      </c>
      <c r="J52" s="6">
        <f>IF(I52&lt;Settings!$B$30,IF(Settings!$B$30-I52&gt;=E52,H52,H52+(Settings!$B$30-I52)+Settings!$B$31),H52+(Settings!$B$33-I52))</f>
        <v>1248.4399999999996</v>
      </c>
      <c r="K52" s="6">
        <f t="shared" si="15"/>
        <v>1272.4599999999996</v>
      </c>
      <c r="L52" s="6">
        <f t="shared" si="16"/>
        <v>1272.4599999999996</v>
      </c>
      <c r="M52" s="6">
        <f t="shared" si="25"/>
        <v>1259.9889034491193</v>
      </c>
      <c r="N52" s="6">
        <f t="shared" si="17"/>
        <v>1272.4599999999996</v>
      </c>
      <c r="O52" s="6">
        <f>Arrivals!I52</f>
        <v>1.6364465016905534</v>
      </c>
      <c r="P52" s="6">
        <f t="shared" si="18"/>
        <v>1274.09644650169</v>
      </c>
      <c r="Q52" s="6">
        <f t="shared" si="19"/>
        <v>910.09644650169002</v>
      </c>
      <c r="R52" s="6">
        <f t="shared" si="20"/>
        <v>884.4399999999996</v>
      </c>
      <c r="S52" s="6">
        <f t="shared" si="21"/>
        <v>0</v>
      </c>
      <c r="T52" s="6">
        <f t="shared" si="22"/>
        <v>0</v>
      </c>
      <c r="U52" s="6">
        <f t="shared" si="23"/>
        <v>884.4399999999996</v>
      </c>
      <c r="V52" s="6" t="str">
        <f>IF(MOD(C52-Settings!$B$32,Settings!$B$33)&lt;Settings!$B$30,"Up","Down")</f>
        <v>Up</v>
      </c>
      <c r="W52" s="6">
        <f>IF(OR(E52&gt;Settings!$B$30,Q52&gt;Settings!$B$37),0,1)</f>
        <v>0</v>
      </c>
      <c r="X52" s="6">
        <f>IF(AND(W52=1,Q52&lt;=Settings!$B$36),1,0)</f>
        <v>0</v>
      </c>
    </row>
    <row r="53" spans="1:24" x14ac:dyDescent="0.2">
      <c r="A53">
        <f>Arrivals!A53</f>
        <v>1</v>
      </c>
      <c r="B53">
        <f>Arrivals!B53</f>
        <v>48</v>
      </c>
      <c r="C53" s="6">
        <f>Arrivals!F53</f>
        <v>369</v>
      </c>
      <c r="D53" s="6">
        <f>Arrivals!K53</f>
        <v>300</v>
      </c>
      <c r="E53" s="6">
        <f>D53*8/ACE_Input!S53+ACE_Input!T53</f>
        <v>24.02</v>
      </c>
      <c r="F53" s="6">
        <f t="shared" si="13"/>
        <v>369</v>
      </c>
      <c r="G53" s="6">
        <f t="shared" si="24"/>
        <v>1272.4599999999996</v>
      </c>
      <c r="H53" s="6">
        <f t="shared" si="14"/>
        <v>1272.4599999999996</v>
      </c>
      <c r="I53" s="6">
        <f>MOD(H53-Settings!$B$32,Settings!$B$33)</f>
        <v>552.45999999999958</v>
      </c>
      <c r="J53" s="6">
        <f>IF(I53&lt;Settings!$B$30,IF(Settings!$B$30-I53&gt;=E53,H53,H53+(Settings!$B$30-I53)+Settings!$B$31),H53+(Settings!$B$33-I53))</f>
        <v>1272.4599999999996</v>
      </c>
      <c r="K53" s="6">
        <f t="shared" si="15"/>
        <v>1296.4799999999996</v>
      </c>
      <c r="L53" s="6">
        <f t="shared" si="16"/>
        <v>1296.4799999999996</v>
      </c>
      <c r="M53" s="6">
        <f t="shared" si="25"/>
        <v>1274.09644650169</v>
      </c>
      <c r="N53" s="6">
        <f t="shared" si="17"/>
        <v>1296.4799999999996</v>
      </c>
      <c r="O53" s="6">
        <f>Arrivals!I53</f>
        <v>0.49744888554275796</v>
      </c>
      <c r="P53" s="6">
        <f t="shared" si="18"/>
        <v>1296.9774488855423</v>
      </c>
      <c r="Q53" s="6">
        <f t="shared" si="19"/>
        <v>927.97744888554234</v>
      </c>
      <c r="R53" s="6">
        <f t="shared" si="20"/>
        <v>903.45999999999958</v>
      </c>
      <c r="S53" s="6">
        <f t="shared" si="21"/>
        <v>0</v>
      </c>
      <c r="T53" s="6">
        <f t="shared" si="22"/>
        <v>0</v>
      </c>
      <c r="U53" s="6">
        <f t="shared" si="23"/>
        <v>903.45999999999958</v>
      </c>
      <c r="V53" s="6" t="str">
        <f>IF(MOD(C53-Settings!$B$32,Settings!$B$33)&lt;Settings!$B$30,"Up","Down")</f>
        <v>Up</v>
      </c>
      <c r="W53" s="6">
        <f>IF(OR(E53&gt;Settings!$B$30,Q53&gt;Settings!$B$37),0,1)</f>
        <v>0</v>
      </c>
      <c r="X53" s="6">
        <f>IF(AND(W53=1,Q53&lt;=Settings!$B$36),1,0)</f>
        <v>0</v>
      </c>
    </row>
    <row r="54" spans="1:24" x14ac:dyDescent="0.2">
      <c r="A54">
        <f>Arrivals!A54</f>
        <v>1</v>
      </c>
      <c r="B54">
        <f>Arrivals!B54</f>
        <v>49</v>
      </c>
      <c r="C54" s="6">
        <f>Arrivals!F54</f>
        <v>374</v>
      </c>
      <c r="D54" s="6">
        <f>Arrivals!K54</f>
        <v>300</v>
      </c>
      <c r="E54" s="6">
        <f>D54*8/ACE_Input!S54+ACE_Input!T54</f>
        <v>24.02</v>
      </c>
      <c r="F54" s="6">
        <f t="shared" si="13"/>
        <v>374</v>
      </c>
      <c r="G54" s="6">
        <f t="shared" si="24"/>
        <v>1296.4799999999996</v>
      </c>
      <c r="H54" s="6">
        <f t="shared" si="14"/>
        <v>1296.4799999999996</v>
      </c>
      <c r="I54" s="6">
        <f>MOD(H54-Settings!$B$32,Settings!$B$33)</f>
        <v>576.47999999999956</v>
      </c>
      <c r="J54" s="6">
        <f>IF(I54&lt;Settings!$B$30,IF(Settings!$B$30-I54&gt;=E54,H54,H54+(Settings!$B$30-I54)+Settings!$B$31),H54+(Settings!$B$33-I54))</f>
        <v>1440</v>
      </c>
      <c r="K54" s="6">
        <f t="shared" si="15"/>
        <v>1464.02</v>
      </c>
      <c r="L54" s="6">
        <f t="shared" si="16"/>
        <v>1464.02</v>
      </c>
      <c r="M54" s="6">
        <f t="shared" si="25"/>
        <v>1296.9774488855423</v>
      </c>
      <c r="N54" s="6">
        <f t="shared" si="17"/>
        <v>1464.02</v>
      </c>
      <c r="O54" s="6">
        <f>Arrivals!I54</f>
        <v>2.1236279016946433</v>
      </c>
      <c r="P54" s="6">
        <f t="shared" si="18"/>
        <v>1466.1436279016946</v>
      </c>
      <c r="Q54" s="6">
        <f t="shared" si="19"/>
        <v>1092.1436279016946</v>
      </c>
      <c r="R54" s="6">
        <f t="shared" si="20"/>
        <v>922.47999999999956</v>
      </c>
      <c r="S54" s="6">
        <f t="shared" si="21"/>
        <v>143.52000000000044</v>
      </c>
      <c r="T54" s="6">
        <f t="shared" si="22"/>
        <v>0</v>
      </c>
      <c r="U54" s="6">
        <f t="shared" si="23"/>
        <v>1066</v>
      </c>
      <c r="V54" s="6" t="str">
        <f>IF(MOD(C54-Settings!$B$32,Settings!$B$33)&lt;Settings!$B$30,"Up","Down")</f>
        <v>Up</v>
      </c>
      <c r="W54" s="6">
        <f>IF(OR(E54&gt;Settings!$B$30,Q54&gt;Settings!$B$37),0,1)</f>
        <v>0</v>
      </c>
      <c r="X54" s="6">
        <f>IF(AND(W54=1,Q54&lt;=Settings!$B$36),1,0)</f>
        <v>0</v>
      </c>
    </row>
    <row r="55" spans="1:24" x14ac:dyDescent="0.2">
      <c r="A55">
        <f>Arrivals!A55</f>
        <v>1</v>
      </c>
      <c r="B55">
        <f>Arrivals!B55</f>
        <v>50</v>
      </c>
      <c r="C55" s="6">
        <f>Arrivals!F55</f>
        <v>379</v>
      </c>
      <c r="D55" s="6">
        <f>Arrivals!K55</f>
        <v>300</v>
      </c>
      <c r="E55" s="6">
        <f>D55*8/ACE_Input!S55+ACE_Input!T55</f>
        <v>24.02</v>
      </c>
      <c r="F55" s="6">
        <f t="shared" si="13"/>
        <v>379</v>
      </c>
      <c r="G55" s="6">
        <f t="shared" si="24"/>
        <v>1464.02</v>
      </c>
      <c r="H55" s="6">
        <f t="shared" si="14"/>
        <v>1464.02</v>
      </c>
      <c r="I55" s="6">
        <f>MOD(H55-Settings!$B$32,Settings!$B$33)</f>
        <v>24.019999999999982</v>
      </c>
      <c r="J55" s="6">
        <f>IF(I55&lt;Settings!$B$30,IF(Settings!$B$30-I55&gt;=E55,H55,H55+(Settings!$B$30-I55)+Settings!$B$31),H55+(Settings!$B$33-I55))</f>
        <v>1464.02</v>
      </c>
      <c r="K55" s="6">
        <f t="shared" si="15"/>
        <v>1488.04</v>
      </c>
      <c r="L55" s="6">
        <f t="shared" si="16"/>
        <v>1488.04</v>
      </c>
      <c r="M55" s="6">
        <f t="shared" si="25"/>
        <v>1466.1436279016946</v>
      </c>
      <c r="N55" s="6">
        <f t="shared" si="17"/>
        <v>1488.04</v>
      </c>
      <c r="O55" s="6">
        <f>Arrivals!I55</f>
        <v>1.3398102334293411</v>
      </c>
      <c r="P55" s="6">
        <f t="shared" si="18"/>
        <v>1489.3798102334292</v>
      </c>
      <c r="Q55" s="6">
        <f t="shared" si="19"/>
        <v>1110.3798102334292</v>
      </c>
      <c r="R55" s="6">
        <f t="shared" si="20"/>
        <v>1085.02</v>
      </c>
      <c r="S55" s="6">
        <f t="shared" si="21"/>
        <v>0</v>
      </c>
      <c r="T55" s="6">
        <f t="shared" si="22"/>
        <v>0</v>
      </c>
      <c r="U55" s="6">
        <f t="shared" si="23"/>
        <v>1085.02</v>
      </c>
      <c r="V55" s="6" t="str">
        <f>IF(MOD(C55-Settings!$B$32,Settings!$B$33)&lt;Settings!$B$30,"Up","Down")</f>
        <v>Up</v>
      </c>
      <c r="W55" s="6">
        <f>IF(OR(E55&gt;Settings!$B$30,Q55&gt;Settings!$B$37),0,1)</f>
        <v>0</v>
      </c>
      <c r="X55" s="6">
        <f>IF(AND(W55=1,Q55&lt;=Settings!$B$36),1,0)</f>
        <v>0</v>
      </c>
    </row>
    <row r="56" spans="1:24" x14ac:dyDescent="0.2">
      <c r="A56">
        <f>Arrivals!A56</f>
        <v>1</v>
      </c>
      <c r="B56">
        <f>Arrivals!B56</f>
        <v>51</v>
      </c>
      <c r="C56" s="6">
        <f>Arrivals!F56</f>
        <v>384</v>
      </c>
      <c r="D56" s="6">
        <f>Arrivals!K56</f>
        <v>300</v>
      </c>
      <c r="E56" s="6">
        <f>D56*8/ACE_Input!S56+ACE_Input!T56</f>
        <v>24.02</v>
      </c>
      <c r="F56" s="6">
        <f t="shared" si="13"/>
        <v>384</v>
      </c>
      <c r="G56" s="6">
        <f t="shared" si="24"/>
        <v>1488.04</v>
      </c>
      <c r="H56" s="6">
        <f t="shared" si="14"/>
        <v>1488.04</v>
      </c>
      <c r="I56" s="6">
        <f>MOD(H56-Settings!$B$32,Settings!$B$33)</f>
        <v>48.039999999999964</v>
      </c>
      <c r="J56" s="6">
        <f>IF(I56&lt;Settings!$B$30,IF(Settings!$B$30-I56&gt;=E56,H56,H56+(Settings!$B$30-I56)+Settings!$B$31),H56+(Settings!$B$33-I56))</f>
        <v>1488.04</v>
      </c>
      <c r="K56" s="6">
        <f t="shared" si="15"/>
        <v>1512.06</v>
      </c>
      <c r="L56" s="6">
        <f t="shared" si="16"/>
        <v>1512.06</v>
      </c>
      <c r="M56" s="6">
        <f t="shared" si="25"/>
        <v>1489.3798102334292</v>
      </c>
      <c r="N56" s="6">
        <f t="shared" si="17"/>
        <v>1512.06</v>
      </c>
      <c r="O56" s="6">
        <f>Arrivals!I56</f>
        <v>5.4252821791044434</v>
      </c>
      <c r="P56" s="6">
        <f t="shared" si="18"/>
        <v>1517.4852821791044</v>
      </c>
      <c r="Q56" s="6">
        <f t="shared" si="19"/>
        <v>1133.4852821791044</v>
      </c>
      <c r="R56" s="6">
        <f t="shared" si="20"/>
        <v>1104.04</v>
      </c>
      <c r="S56" s="6">
        <f t="shared" si="21"/>
        <v>0</v>
      </c>
      <c r="T56" s="6">
        <f t="shared" si="22"/>
        <v>0</v>
      </c>
      <c r="U56" s="6">
        <f t="shared" si="23"/>
        <v>1104.04</v>
      </c>
      <c r="V56" s="6" t="str">
        <f>IF(MOD(C56-Settings!$B$32,Settings!$B$33)&lt;Settings!$B$30,"Up","Down")</f>
        <v>Up</v>
      </c>
      <c r="W56" s="6">
        <f>IF(OR(E56&gt;Settings!$B$30,Q56&gt;Settings!$B$37),0,1)</f>
        <v>0</v>
      </c>
      <c r="X56" s="6">
        <f>IF(AND(W56=1,Q56&lt;=Settings!$B$36),1,0)</f>
        <v>0</v>
      </c>
    </row>
    <row r="57" spans="1:24" x14ac:dyDescent="0.2">
      <c r="A57">
        <f>Arrivals!A57</f>
        <v>1</v>
      </c>
      <c r="B57">
        <f>Arrivals!B57</f>
        <v>52</v>
      </c>
      <c r="C57" s="6">
        <f>Arrivals!F57</f>
        <v>389</v>
      </c>
      <c r="D57" s="6">
        <f>Arrivals!K57</f>
        <v>300</v>
      </c>
      <c r="E57" s="6">
        <f>D57*8/ACE_Input!S57+ACE_Input!T57</f>
        <v>24.02</v>
      </c>
      <c r="F57" s="6">
        <f t="shared" si="13"/>
        <v>389</v>
      </c>
      <c r="G57" s="6">
        <f t="shared" si="24"/>
        <v>1512.06</v>
      </c>
      <c r="H57" s="6">
        <f t="shared" si="14"/>
        <v>1512.06</v>
      </c>
      <c r="I57" s="6">
        <f>MOD(H57-Settings!$B$32,Settings!$B$33)</f>
        <v>72.059999999999945</v>
      </c>
      <c r="J57" s="6">
        <f>IF(I57&lt;Settings!$B$30,IF(Settings!$B$30-I57&gt;=E57,H57,H57+(Settings!$B$30-I57)+Settings!$B$31),H57+(Settings!$B$33-I57))</f>
        <v>1512.06</v>
      </c>
      <c r="K57" s="6">
        <f t="shared" si="15"/>
        <v>1536.08</v>
      </c>
      <c r="L57" s="6">
        <f t="shared" si="16"/>
        <v>1536.08</v>
      </c>
      <c r="M57" s="6">
        <f t="shared" si="25"/>
        <v>1517.4852821791044</v>
      </c>
      <c r="N57" s="6">
        <f t="shared" si="17"/>
        <v>1536.08</v>
      </c>
      <c r="O57" s="6">
        <f>Arrivals!I57</f>
        <v>2.0501628816486126</v>
      </c>
      <c r="P57" s="6">
        <f t="shared" si="18"/>
        <v>1538.1301628816486</v>
      </c>
      <c r="Q57" s="6">
        <f t="shared" si="19"/>
        <v>1149.1301628816486</v>
      </c>
      <c r="R57" s="6">
        <f t="shared" si="20"/>
        <v>1123.06</v>
      </c>
      <c r="S57" s="6">
        <f t="shared" si="21"/>
        <v>0</v>
      </c>
      <c r="T57" s="6">
        <f t="shared" si="22"/>
        <v>0</v>
      </c>
      <c r="U57" s="6">
        <f t="shared" si="23"/>
        <v>1123.06</v>
      </c>
      <c r="V57" s="6" t="str">
        <f>IF(MOD(C57-Settings!$B$32,Settings!$B$33)&lt;Settings!$B$30,"Up","Down")</f>
        <v>Up</v>
      </c>
      <c r="W57" s="6">
        <f>IF(OR(E57&gt;Settings!$B$30,Q57&gt;Settings!$B$37),0,1)</f>
        <v>0</v>
      </c>
      <c r="X57" s="6">
        <f>IF(AND(W57=1,Q57&lt;=Settings!$B$36),1,0)</f>
        <v>0</v>
      </c>
    </row>
    <row r="58" spans="1:24" x14ac:dyDescent="0.2">
      <c r="A58">
        <f>Arrivals!A58</f>
        <v>1</v>
      </c>
      <c r="B58">
        <f>Arrivals!B58</f>
        <v>53</v>
      </c>
      <c r="C58" s="6">
        <f>Arrivals!F58</f>
        <v>394</v>
      </c>
      <c r="D58" s="6">
        <f>Arrivals!K58</f>
        <v>300</v>
      </c>
      <c r="E58" s="6">
        <f>D58*8/ACE_Input!S58+ACE_Input!T58</f>
        <v>24.02</v>
      </c>
      <c r="F58" s="6">
        <f t="shared" si="13"/>
        <v>394</v>
      </c>
      <c r="G58" s="6">
        <f t="shared" si="24"/>
        <v>1536.08</v>
      </c>
      <c r="H58" s="6">
        <f t="shared" si="14"/>
        <v>1536.08</v>
      </c>
      <c r="I58" s="6">
        <f>MOD(H58-Settings!$B$32,Settings!$B$33)</f>
        <v>96.079999999999927</v>
      </c>
      <c r="J58" s="6">
        <f>IF(I58&lt;Settings!$B$30,IF(Settings!$B$30-I58&gt;=E58,H58,H58+(Settings!$B$30-I58)+Settings!$B$31),H58+(Settings!$B$33-I58))</f>
        <v>1536.08</v>
      </c>
      <c r="K58" s="6">
        <f t="shared" si="15"/>
        <v>1560.1</v>
      </c>
      <c r="L58" s="6">
        <f t="shared" si="16"/>
        <v>1560.1</v>
      </c>
      <c r="M58" s="6">
        <f t="shared" si="25"/>
        <v>1538.1301628816486</v>
      </c>
      <c r="N58" s="6">
        <f t="shared" si="17"/>
        <v>1560.1</v>
      </c>
      <c r="O58" s="6">
        <f>Arrivals!I58</f>
        <v>0.33593782664468314</v>
      </c>
      <c r="P58" s="6">
        <f t="shared" si="18"/>
        <v>1560.4359378266447</v>
      </c>
      <c r="Q58" s="6">
        <f t="shared" si="19"/>
        <v>1166.4359378266447</v>
      </c>
      <c r="R58" s="6">
        <f t="shared" si="20"/>
        <v>1142.08</v>
      </c>
      <c r="S58" s="6">
        <f t="shared" si="21"/>
        <v>0</v>
      </c>
      <c r="T58" s="6">
        <f t="shared" si="22"/>
        <v>0</v>
      </c>
      <c r="U58" s="6">
        <f t="shared" si="23"/>
        <v>1142.08</v>
      </c>
      <c r="V58" s="6" t="str">
        <f>IF(MOD(C58-Settings!$B$32,Settings!$B$33)&lt;Settings!$B$30,"Up","Down")</f>
        <v>Up</v>
      </c>
      <c r="W58" s="6">
        <f>IF(OR(E58&gt;Settings!$B$30,Q58&gt;Settings!$B$37),0,1)</f>
        <v>0</v>
      </c>
      <c r="X58" s="6">
        <f>IF(AND(W58=1,Q58&lt;=Settings!$B$36),1,0)</f>
        <v>0</v>
      </c>
    </row>
    <row r="59" spans="1:24" x14ac:dyDescent="0.2">
      <c r="A59">
        <f>Arrivals!A59</f>
        <v>1</v>
      </c>
      <c r="B59">
        <f>Arrivals!B59</f>
        <v>54</v>
      </c>
      <c r="C59" s="6">
        <f>Arrivals!F59</f>
        <v>399</v>
      </c>
      <c r="D59" s="6">
        <f>Arrivals!K59</f>
        <v>300</v>
      </c>
      <c r="E59" s="6">
        <f>D59*8/ACE_Input!S59+ACE_Input!T59</f>
        <v>24.02</v>
      </c>
      <c r="F59" s="6">
        <f t="shared" si="13"/>
        <v>399</v>
      </c>
      <c r="G59" s="6">
        <f t="shared" si="24"/>
        <v>1560.1</v>
      </c>
      <c r="H59" s="6">
        <f t="shared" si="14"/>
        <v>1560.1</v>
      </c>
      <c r="I59" s="6">
        <f>MOD(H59-Settings!$B$32,Settings!$B$33)</f>
        <v>120.09999999999991</v>
      </c>
      <c r="J59" s="6">
        <f>IF(I59&lt;Settings!$B$30,IF(Settings!$B$30-I59&gt;=E59,H59,H59+(Settings!$B$30-I59)+Settings!$B$31),H59+(Settings!$B$33-I59))</f>
        <v>1560.1</v>
      </c>
      <c r="K59" s="6">
        <f t="shared" si="15"/>
        <v>1584.12</v>
      </c>
      <c r="L59" s="6">
        <f t="shared" si="16"/>
        <v>1584.12</v>
      </c>
      <c r="M59" s="6">
        <f t="shared" si="25"/>
        <v>1560.4359378266447</v>
      </c>
      <c r="N59" s="6">
        <f t="shared" si="17"/>
        <v>1584.12</v>
      </c>
      <c r="O59" s="6">
        <f>Arrivals!I59</f>
        <v>8.43754415845215</v>
      </c>
      <c r="P59" s="6">
        <f t="shared" si="18"/>
        <v>1592.5575441584519</v>
      </c>
      <c r="Q59" s="6">
        <f t="shared" si="19"/>
        <v>1193.5575441584519</v>
      </c>
      <c r="R59" s="6">
        <f t="shared" si="20"/>
        <v>1161.0999999999999</v>
      </c>
      <c r="S59" s="6">
        <f t="shared" si="21"/>
        <v>0</v>
      </c>
      <c r="T59" s="6">
        <f t="shared" si="22"/>
        <v>0</v>
      </c>
      <c r="U59" s="6">
        <f t="shared" si="23"/>
        <v>1161.0999999999999</v>
      </c>
      <c r="V59" s="6" t="str">
        <f>IF(MOD(C59-Settings!$B$32,Settings!$B$33)&lt;Settings!$B$30,"Up","Down")</f>
        <v>Up</v>
      </c>
      <c r="W59" s="6">
        <f>IF(OR(E59&gt;Settings!$B$30,Q59&gt;Settings!$B$37),0,1)</f>
        <v>0</v>
      </c>
      <c r="X59" s="6">
        <f>IF(AND(W59=1,Q59&lt;=Settings!$B$36),1,0)</f>
        <v>0</v>
      </c>
    </row>
    <row r="60" spans="1:24" x14ac:dyDescent="0.2">
      <c r="A60">
        <f>Arrivals!A60</f>
        <v>1</v>
      </c>
      <c r="B60">
        <f>Arrivals!B60</f>
        <v>55</v>
      </c>
      <c r="C60" s="6">
        <f>Arrivals!F60</f>
        <v>404</v>
      </c>
      <c r="D60" s="6">
        <f>Arrivals!K60</f>
        <v>300</v>
      </c>
      <c r="E60" s="6">
        <f>D60*8/ACE_Input!S60+ACE_Input!T60</f>
        <v>24.02</v>
      </c>
      <c r="F60" s="6">
        <f t="shared" si="13"/>
        <v>404</v>
      </c>
      <c r="G60" s="6">
        <f t="shared" si="24"/>
        <v>1584.12</v>
      </c>
      <c r="H60" s="6">
        <f t="shared" si="14"/>
        <v>1584.12</v>
      </c>
      <c r="I60" s="6">
        <f>MOD(H60-Settings!$B$32,Settings!$B$33)</f>
        <v>144.11999999999989</v>
      </c>
      <c r="J60" s="6">
        <f>IF(I60&lt;Settings!$B$30,IF(Settings!$B$30-I60&gt;=E60,H60,H60+(Settings!$B$30-I60)+Settings!$B$31),H60+(Settings!$B$33-I60))</f>
        <v>1584.12</v>
      </c>
      <c r="K60" s="6">
        <f t="shared" si="15"/>
        <v>1608.1399999999999</v>
      </c>
      <c r="L60" s="6">
        <f t="shared" si="16"/>
        <v>1608.1399999999999</v>
      </c>
      <c r="M60" s="6">
        <f t="shared" si="25"/>
        <v>1592.5575441584519</v>
      </c>
      <c r="N60" s="6">
        <f t="shared" si="17"/>
        <v>1608.1399999999999</v>
      </c>
      <c r="O60" s="6">
        <f>Arrivals!I60</f>
        <v>0.43069630639479056</v>
      </c>
      <c r="P60" s="6">
        <f t="shared" si="18"/>
        <v>1608.5706963063947</v>
      </c>
      <c r="Q60" s="6">
        <f t="shared" si="19"/>
        <v>1204.5706963063947</v>
      </c>
      <c r="R60" s="6">
        <f t="shared" si="20"/>
        <v>1180.1199999999999</v>
      </c>
      <c r="S60" s="6">
        <f t="shared" si="21"/>
        <v>0</v>
      </c>
      <c r="T60" s="6">
        <f t="shared" si="22"/>
        <v>0</v>
      </c>
      <c r="U60" s="6">
        <f t="shared" si="23"/>
        <v>1180.1199999999999</v>
      </c>
      <c r="V60" s="6" t="str">
        <f>IF(MOD(C60-Settings!$B$32,Settings!$B$33)&lt;Settings!$B$30,"Up","Down")</f>
        <v>Up</v>
      </c>
      <c r="W60" s="6">
        <f>IF(OR(E60&gt;Settings!$B$30,Q60&gt;Settings!$B$37),0,1)</f>
        <v>0</v>
      </c>
      <c r="X60" s="6">
        <f>IF(AND(W60=1,Q60&lt;=Settings!$B$36),1,0)</f>
        <v>0</v>
      </c>
    </row>
    <row r="61" spans="1:24" x14ac:dyDescent="0.2">
      <c r="A61">
        <f>Arrivals!A61</f>
        <v>1</v>
      </c>
      <c r="B61">
        <f>Arrivals!B61</f>
        <v>56</v>
      </c>
      <c r="C61" s="6">
        <f>Arrivals!F61</f>
        <v>409</v>
      </c>
      <c r="D61" s="6">
        <f>Arrivals!K61</f>
        <v>300</v>
      </c>
      <c r="E61" s="6">
        <f>D61*8/ACE_Input!S61+ACE_Input!T61</f>
        <v>24.02</v>
      </c>
      <c r="F61" s="6">
        <f t="shared" si="13"/>
        <v>409</v>
      </c>
      <c r="G61" s="6">
        <f t="shared" si="24"/>
        <v>1608.1399999999999</v>
      </c>
      <c r="H61" s="6">
        <f t="shared" si="14"/>
        <v>1608.1399999999999</v>
      </c>
      <c r="I61" s="6">
        <f>MOD(H61-Settings!$B$32,Settings!$B$33)</f>
        <v>168.13999999999987</v>
      </c>
      <c r="J61" s="6">
        <f>IF(I61&lt;Settings!$B$30,IF(Settings!$B$30-I61&gt;=E61,H61,H61+(Settings!$B$30-I61)+Settings!$B$31),H61+(Settings!$B$33-I61))</f>
        <v>1608.1399999999999</v>
      </c>
      <c r="K61" s="6">
        <f t="shared" si="15"/>
        <v>1632.1599999999999</v>
      </c>
      <c r="L61" s="6">
        <f t="shared" si="16"/>
        <v>1632.1599999999999</v>
      </c>
      <c r="M61" s="6">
        <f t="shared" si="25"/>
        <v>1608.5706963063947</v>
      </c>
      <c r="N61" s="6">
        <f t="shared" si="17"/>
        <v>1632.1599999999999</v>
      </c>
      <c r="O61" s="6">
        <f>Arrivals!I61</f>
        <v>4.2587664038584432</v>
      </c>
      <c r="P61" s="6">
        <f t="shared" si="18"/>
        <v>1636.4187664038584</v>
      </c>
      <c r="Q61" s="6">
        <f t="shared" si="19"/>
        <v>1227.4187664038584</v>
      </c>
      <c r="R61" s="6">
        <f t="shared" si="20"/>
        <v>1199.1399999999999</v>
      </c>
      <c r="S61" s="6">
        <f t="shared" si="21"/>
        <v>0</v>
      </c>
      <c r="T61" s="6">
        <f t="shared" si="22"/>
        <v>0</v>
      </c>
      <c r="U61" s="6">
        <f t="shared" si="23"/>
        <v>1199.1399999999999</v>
      </c>
      <c r="V61" s="6" t="str">
        <f>IF(MOD(C61-Settings!$B$32,Settings!$B$33)&lt;Settings!$B$30,"Up","Down")</f>
        <v>Up</v>
      </c>
      <c r="W61" s="6">
        <f>IF(OR(E61&gt;Settings!$B$30,Q61&gt;Settings!$B$37),0,1)</f>
        <v>0</v>
      </c>
      <c r="X61" s="6">
        <f>IF(AND(W61=1,Q61&lt;=Settings!$B$36),1,0)</f>
        <v>0</v>
      </c>
    </row>
    <row r="62" spans="1:24" x14ac:dyDescent="0.2">
      <c r="A62">
        <f>Arrivals!A62</f>
        <v>1</v>
      </c>
      <c r="B62">
        <f>Arrivals!B62</f>
        <v>57</v>
      </c>
      <c r="C62" s="6">
        <f>Arrivals!F62</f>
        <v>414</v>
      </c>
      <c r="D62" s="6">
        <f>Arrivals!K62</f>
        <v>300</v>
      </c>
      <c r="E62" s="6">
        <f>D62*8/ACE_Input!S62+ACE_Input!T62</f>
        <v>24.02</v>
      </c>
      <c r="F62" s="6">
        <f t="shared" si="13"/>
        <v>414</v>
      </c>
      <c r="G62" s="6">
        <f t="shared" si="24"/>
        <v>1632.1599999999999</v>
      </c>
      <c r="H62" s="6">
        <f t="shared" si="14"/>
        <v>1632.1599999999999</v>
      </c>
      <c r="I62" s="6">
        <f>MOD(H62-Settings!$B$32,Settings!$B$33)</f>
        <v>192.15999999999985</v>
      </c>
      <c r="J62" s="6">
        <f>IF(I62&lt;Settings!$B$30,IF(Settings!$B$30-I62&gt;=E62,H62,H62+(Settings!$B$30-I62)+Settings!$B$31),H62+(Settings!$B$33-I62))</f>
        <v>1632.1599999999999</v>
      </c>
      <c r="K62" s="6">
        <f t="shared" si="15"/>
        <v>1656.1799999999998</v>
      </c>
      <c r="L62" s="6">
        <f t="shared" si="16"/>
        <v>1656.1799999999998</v>
      </c>
      <c r="M62" s="6">
        <f t="shared" si="25"/>
        <v>1636.4187664038584</v>
      </c>
      <c r="N62" s="6">
        <f t="shared" si="17"/>
        <v>1656.1799999999998</v>
      </c>
      <c r="O62" s="6">
        <f>Arrivals!I62</f>
        <v>1.8599330442746265</v>
      </c>
      <c r="P62" s="6">
        <f t="shared" si="18"/>
        <v>1658.0399330442744</v>
      </c>
      <c r="Q62" s="6">
        <f t="shared" si="19"/>
        <v>1244.0399330442744</v>
      </c>
      <c r="R62" s="6">
        <f t="shared" si="20"/>
        <v>1218.1599999999999</v>
      </c>
      <c r="S62" s="6">
        <f t="shared" si="21"/>
        <v>0</v>
      </c>
      <c r="T62" s="6">
        <f t="shared" si="22"/>
        <v>0</v>
      </c>
      <c r="U62" s="6">
        <f t="shared" si="23"/>
        <v>1218.1599999999999</v>
      </c>
      <c r="V62" s="6" t="str">
        <f>IF(MOD(C62-Settings!$B$32,Settings!$B$33)&lt;Settings!$B$30,"Up","Down")</f>
        <v>Up</v>
      </c>
      <c r="W62" s="6">
        <f>IF(OR(E62&gt;Settings!$B$30,Q62&gt;Settings!$B$37),0,1)</f>
        <v>0</v>
      </c>
      <c r="X62" s="6">
        <f>IF(AND(W62=1,Q62&lt;=Settings!$B$36),1,0)</f>
        <v>0</v>
      </c>
    </row>
    <row r="63" spans="1:24" x14ac:dyDescent="0.2">
      <c r="A63">
        <f>Arrivals!A63</f>
        <v>1</v>
      </c>
      <c r="B63">
        <f>Arrivals!B63</f>
        <v>58</v>
      </c>
      <c r="C63" s="6">
        <f>Arrivals!F63</f>
        <v>419</v>
      </c>
      <c r="D63" s="6">
        <f>Arrivals!K63</f>
        <v>300</v>
      </c>
      <c r="E63" s="6">
        <f>D63*8/ACE_Input!S63+ACE_Input!T63</f>
        <v>24.02</v>
      </c>
      <c r="F63" s="6">
        <f t="shared" si="13"/>
        <v>419</v>
      </c>
      <c r="G63" s="6">
        <f t="shared" si="24"/>
        <v>1656.1799999999998</v>
      </c>
      <c r="H63" s="6">
        <f t="shared" si="14"/>
        <v>1656.1799999999998</v>
      </c>
      <c r="I63" s="6">
        <f>MOD(H63-Settings!$B$32,Settings!$B$33)</f>
        <v>216.17999999999984</v>
      </c>
      <c r="J63" s="6">
        <f>IF(I63&lt;Settings!$B$30,IF(Settings!$B$30-I63&gt;=E63,H63,H63+(Settings!$B$30-I63)+Settings!$B$31),H63+(Settings!$B$33-I63))</f>
        <v>1656.1799999999998</v>
      </c>
      <c r="K63" s="6">
        <f t="shared" si="15"/>
        <v>1680.1999999999998</v>
      </c>
      <c r="L63" s="6">
        <f t="shared" si="16"/>
        <v>1680.1999999999998</v>
      </c>
      <c r="M63" s="6">
        <f t="shared" si="25"/>
        <v>1658.0399330442744</v>
      </c>
      <c r="N63" s="6">
        <f t="shared" si="17"/>
        <v>1680.1999999999998</v>
      </c>
      <c r="O63" s="6">
        <f>Arrivals!I63</f>
        <v>5.6517294333330694</v>
      </c>
      <c r="P63" s="6">
        <f t="shared" si="18"/>
        <v>1685.8517294333328</v>
      </c>
      <c r="Q63" s="6">
        <f t="shared" si="19"/>
        <v>1266.8517294333328</v>
      </c>
      <c r="R63" s="6">
        <f t="shared" si="20"/>
        <v>1237.1799999999998</v>
      </c>
      <c r="S63" s="6">
        <f t="shared" si="21"/>
        <v>0</v>
      </c>
      <c r="T63" s="6">
        <f t="shared" si="22"/>
        <v>0</v>
      </c>
      <c r="U63" s="6">
        <f t="shared" si="23"/>
        <v>1237.1799999999998</v>
      </c>
      <c r="V63" s="6" t="str">
        <f>IF(MOD(C63-Settings!$B$32,Settings!$B$33)&lt;Settings!$B$30,"Up","Down")</f>
        <v>Up</v>
      </c>
      <c r="W63" s="6">
        <f>IF(OR(E63&gt;Settings!$B$30,Q63&gt;Settings!$B$37),0,1)</f>
        <v>0</v>
      </c>
      <c r="X63" s="6">
        <f>IF(AND(W63=1,Q63&lt;=Settings!$B$36),1,0)</f>
        <v>0</v>
      </c>
    </row>
    <row r="64" spans="1:24" x14ac:dyDescent="0.2">
      <c r="A64">
        <f>Arrivals!A64</f>
        <v>1</v>
      </c>
      <c r="B64">
        <f>Arrivals!B64</f>
        <v>59</v>
      </c>
      <c r="C64" s="6">
        <f>Arrivals!F64</f>
        <v>424</v>
      </c>
      <c r="D64" s="6">
        <f>Arrivals!K64</f>
        <v>300</v>
      </c>
      <c r="E64" s="6">
        <f>D64*8/ACE_Input!S64+ACE_Input!T64</f>
        <v>24.02</v>
      </c>
      <c r="F64" s="6">
        <f t="shared" si="13"/>
        <v>424</v>
      </c>
      <c r="G64" s="6">
        <f t="shared" si="24"/>
        <v>1680.1999999999998</v>
      </c>
      <c r="H64" s="6">
        <f t="shared" si="14"/>
        <v>1680.1999999999998</v>
      </c>
      <c r="I64" s="6">
        <f>MOD(H64-Settings!$B$32,Settings!$B$33)</f>
        <v>240.19999999999982</v>
      </c>
      <c r="J64" s="6">
        <f>IF(I64&lt;Settings!$B$30,IF(Settings!$B$30-I64&gt;=E64,H64,H64+(Settings!$B$30-I64)+Settings!$B$31),H64+(Settings!$B$33-I64))</f>
        <v>1680.1999999999998</v>
      </c>
      <c r="K64" s="6">
        <f t="shared" si="15"/>
        <v>1704.2199999999998</v>
      </c>
      <c r="L64" s="6">
        <f t="shared" si="16"/>
        <v>1704.2199999999998</v>
      </c>
      <c r="M64" s="6">
        <f t="shared" si="25"/>
        <v>1685.8517294333328</v>
      </c>
      <c r="N64" s="6">
        <f t="shared" si="17"/>
        <v>1704.2199999999998</v>
      </c>
      <c r="O64" s="6">
        <f>Arrivals!I64</f>
        <v>4.7973869202219745</v>
      </c>
      <c r="P64" s="6">
        <f t="shared" si="18"/>
        <v>1709.0173869202217</v>
      </c>
      <c r="Q64" s="6">
        <f t="shared" si="19"/>
        <v>1285.0173869202217</v>
      </c>
      <c r="R64" s="6">
        <f t="shared" si="20"/>
        <v>1256.1999999999998</v>
      </c>
      <c r="S64" s="6">
        <f t="shared" si="21"/>
        <v>0</v>
      </c>
      <c r="T64" s="6">
        <f t="shared" si="22"/>
        <v>0</v>
      </c>
      <c r="U64" s="6">
        <f t="shared" si="23"/>
        <v>1256.1999999999998</v>
      </c>
      <c r="V64" s="6" t="str">
        <f>IF(MOD(C64-Settings!$B$32,Settings!$B$33)&lt;Settings!$B$30,"Up","Down")</f>
        <v>Up</v>
      </c>
      <c r="W64" s="6">
        <f>IF(OR(E64&gt;Settings!$B$30,Q64&gt;Settings!$B$37),0,1)</f>
        <v>0</v>
      </c>
      <c r="X64" s="6">
        <f>IF(AND(W64=1,Q64&lt;=Settings!$B$36),1,0)</f>
        <v>0</v>
      </c>
    </row>
    <row r="65" spans="1:24" x14ac:dyDescent="0.2">
      <c r="A65">
        <f>Arrivals!A65</f>
        <v>1</v>
      </c>
      <c r="B65">
        <f>Arrivals!B65</f>
        <v>60</v>
      </c>
      <c r="C65" s="6">
        <f>Arrivals!F65</f>
        <v>429</v>
      </c>
      <c r="D65" s="6">
        <f>Arrivals!K65</f>
        <v>300</v>
      </c>
      <c r="E65" s="6">
        <f>D65*8/ACE_Input!S65+ACE_Input!T65</f>
        <v>24.02</v>
      </c>
      <c r="F65" s="6">
        <f t="shared" si="13"/>
        <v>429</v>
      </c>
      <c r="G65" s="6">
        <f t="shared" si="24"/>
        <v>1704.2199999999998</v>
      </c>
      <c r="H65" s="6">
        <f t="shared" si="14"/>
        <v>1704.2199999999998</v>
      </c>
      <c r="I65" s="6">
        <f>MOD(H65-Settings!$B$32,Settings!$B$33)</f>
        <v>264.2199999999998</v>
      </c>
      <c r="J65" s="6">
        <f>IF(I65&lt;Settings!$B$30,IF(Settings!$B$30-I65&gt;=E65,H65,H65+(Settings!$B$30-I65)+Settings!$B$31),H65+(Settings!$B$33-I65))</f>
        <v>1704.2199999999998</v>
      </c>
      <c r="K65" s="6">
        <f t="shared" si="15"/>
        <v>1728.2399999999998</v>
      </c>
      <c r="L65" s="6">
        <f t="shared" si="16"/>
        <v>1728.2399999999998</v>
      </c>
      <c r="M65" s="6">
        <f t="shared" si="25"/>
        <v>1709.0173869202217</v>
      </c>
      <c r="N65" s="6">
        <f t="shared" si="17"/>
        <v>1728.2399999999998</v>
      </c>
      <c r="O65" s="6">
        <f>Arrivals!I65</f>
        <v>2.9428472687553229</v>
      </c>
      <c r="P65" s="6">
        <f t="shared" si="18"/>
        <v>1731.182847268755</v>
      </c>
      <c r="Q65" s="6">
        <f t="shared" si="19"/>
        <v>1302.182847268755</v>
      </c>
      <c r="R65" s="6">
        <f t="shared" si="20"/>
        <v>1275.2199999999998</v>
      </c>
      <c r="S65" s="6">
        <f t="shared" si="21"/>
        <v>0</v>
      </c>
      <c r="T65" s="6">
        <f t="shared" si="22"/>
        <v>0</v>
      </c>
      <c r="U65" s="6">
        <f t="shared" si="23"/>
        <v>1275.2199999999998</v>
      </c>
      <c r="V65" s="6" t="str">
        <f>IF(MOD(C65-Settings!$B$32,Settings!$B$33)&lt;Settings!$B$30,"Up","Down")</f>
        <v>Up</v>
      </c>
      <c r="W65" s="6">
        <f>IF(OR(E65&gt;Settings!$B$30,Q65&gt;Settings!$B$37),0,1)</f>
        <v>0</v>
      </c>
      <c r="X65" s="6">
        <f>IF(AND(W65=1,Q65&lt;=Settings!$B$36),1,0)</f>
        <v>0</v>
      </c>
    </row>
    <row r="66" spans="1:24" x14ac:dyDescent="0.2">
      <c r="A66">
        <f>Arrivals!A66</f>
        <v>1</v>
      </c>
      <c r="B66">
        <f>Arrivals!B66</f>
        <v>61</v>
      </c>
      <c r="C66" s="6">
        <f>Arrivals!F66</f>
        <v>434</v>
      </c>
      <c r="D66" s="6">
        <f>Arrivals!K66</f>
        <v>300</v>
      </c>
      <c r="E66" s="6">
        <f>D66*8/ACE_Input!S66+ACE_Input!T66</f>
        <v>24.02</v>
      </c>
      <c r="F66" s="6">
        <f t="shared" si="13"/>
        <v>434</v>
      </c>
      <c r="G66" s="6">
        <f t="shared" si="24"/>
        <v>1728.2399999999998</v>
      </c>
      <c r="H66" s="6">
        <f t="shared" si="14"/>
        <v>1728.2399999999998</v>
      </c>
      <c r="I66" s="6">
        <f>MOD(H66-Settings!$B$32,Settings!$B$33)</f>
        <v>288.23999999999978</v>
      </c>
      <c r="J66" s="6">
        <f>IF(I66&lt;Settings!$B$30,IF(Settings!$B$30-I66&gt;=E66,H66,H66+(Settings!$B$30-I66)+Settings!$B$31),H66+(Settings!$B$33-I66))</f>
        <v>1728.2399999999998</v>
      </c>
      <c r="K66" s="6">
        <f t="shared" si="15"/>
        <v>1752.2599999999998</v>
      </c>
      <c r="L66" s="6">
        <f t="shared" si="16"/>
        <v>1752.2599999999998</v>
      </c>
      <c r="M66" s="6">
        <f t="shared" si="25"/>
        <v>1731.182847268755</v>
      </c>
      <c r="N66" s="6">
        <f t="shared" si="17"/>
        <v>1752.2599999999998</v>
      </c>
      <c r="O66" s="6">
        <f>Arrivals!I66</f>
        <v>4.6370032134109298</v>
      </c>
      <c r="P66" s="6">
        <f t="shared" si="18"/>
        <v>1756.8970032134107</v>
      </c>
      <c r="Q66" s="6">
        <f t="shared" si="19"/>
        <v>1322.8970032134107</v>
      </c>
      <c r="R66" s="6">
        <f t="shared" si="20"/>
        <v>1294.2399999999998</v>
      </c>
      <c r="S66" s="6">
        <f t="shared" si="21"/>
        <v>0</v>
      </c>
      <c r="T66" s="6">
        <f t="shared" si="22"/>
        <v>0</v>
      </c>
      <c r="U66" s="6">
        <f t="shared" si="23"/>
        <v>1294.2399999999998</v>
      </c>
      <c r="V66" s="6" t="str">
        <f>IF(MOD(C66-Settings!$B$32,Settings!$B$33)&lt;Settings!$B$30,"Up","Down")</f>
        <v>Up</v>
      </c>
      <c r="W66" s="6">
        <f>IF(OR(E66&gt;Settings!$B$30,Q66&gt;Settings!$B$37),0,1)</f>
        <v>0</v>
      </c>
      <c r="X66" s="6">
        <f>IF(AND(W66=1,Q66&lt;=Settings!$B$36),1,0)</f>
        <v>0</v>
      </c>
    </row>
    <row r="67" spans="1:24" x14ac:dyDescent="0.2">
      <c r="A67">
        <f>Arrivals!A67</f>
        <v>1</v>
      </c>
      <c r="B67">
        <f>Arrivals!B67</f>
        <v>62</v>
      </c>
      <c r="C67" s="6">
        <f>Arrivals!F67</f>
        <v>439</v>
      </c>
      <c r="D67" s="6">
        <f>Arrivals!K67</f>
        <v>300</v>
      </c>
      <c r="E67" s="6">
        <f>D67*8/ACE_Input!S67+ACE_Input!T67</f>
        <v>24.02</v>
      </c>
      <c r="F67" s="6">
        <f t="shared" si="13"/>
        <v>439</v>
      </c>
      <c r="G67" s="6">
        <f t="shared" si="24"/>
        <v>1752.2599999999998</v>
      </c>
      <c r="H67" s="6">
        <f t="shared" si="14"/>
        <v>1752.2599999999998</v>
      </c>
      <c r="I67" s="6">
        <f>MOD(H67-Settings!$B$32,Settings!$B$33)</f>
        <v>312.25999999999976</v>
      </c>
      <c r="J67" s="6">
        <f>IF(I67&lt;Settings!$B$30,IF(Settings!$B$30-I67&gt;=E67,H67,H67+(Settings!$B$30-I67)+Settings!$B$31),H67+(Settings!$B$33-I67))</f>
        <v>1752.2599999999998</v>
      </c>
      <c r="K67" s="6">
        <f t="shared" si="15"/>
        <v>1776.2799999999997</v>
      </c>
      <c r="L67" s="6">
        <f t="shared" si="16"/>
        <v>1776.2799999999997</v>
      </c>
      <c r="M67" s="6">
        <f t="shared" si="25"/>
        <v>1756.8970032134107</v>
      </c>
      <c r="N67" s="6">
        <f t="shared" si="17"/>
        <v>1776.2799999999997</v>
      </c>
      <c r="O67" s="6">
        <f>Arrivals!I67</f>
        <v>1.3639930881660969</v>
      </c>
      <c r="P67" s="6">
        <f t="shared" si="18"/>
        <v>1777.6439930881659</v>
      </c>
      <c r="Q67" s="6">
        <f t="shared" si="19"/>
        <v>1338.6439930881659</v>
      </c>
      <c r="R67" s="6">
        <f t="shared" si="20"/>
        <v>1313.2599999999998</v>
      </c>
      <c r="S67" s="6">
        <f t="shared" si="21"/>
        <v>0</v>
      </c>
      <c r="T67" s="6">
        <f t="shared" si="22"/>
        <v>0</v>
      </c>
      <c r="U67" s="6">
        <f t="shared" si="23"/>
        <v>1313.2599999999998</v>
      </c>
      <c r="V67" s="6" t="str">
        <f>IF(MOD(C67-Settings!$B$32,Settings!$B$33)&lt;Settings!$B$30,"Up","Down")</f>
        <v>Up</v>
      </c>
      <c r="W67" s="6">
        <f>IF(OR(E67&gt;Settings!$B$30,Q67&gt;Settings!$B$37),0,1)</f>
        <v>0</v>
      </c>
      <c r="X67" s="6">
        <f>IF(AND(W67=1,Q67&lt;=Settings!$B$36),1,0)</f>
        <v>0</v>
      </c>
    </row>
    <row r="68" spans="1:24" x14ac:dyDescent="0.2">
      <c r="A68">
        <f>Arrivals!A68</f>
        <v>1</v>
      </c>
      <c r="B68">
        <f>Arrivals!B68</f>
        <v>63</v>
      </c>
      <c r="C68" s="6">
        <f>Arrivals!F68</f>
        <v>444</v>
      </c>
      <c r="D68" s="6">
        <f>Arrivals!K68</f>
        <v>300</v>
      </c>
      <c r="E68" s="6">
        <f>D68*8/ACE_Input!S68+ACE_Input!T68</f>
        <v>24.02</v>
      </c>
      <c r="F68" s="6">
        <f t="shared" si="13"/>
        <v>444</v>
      </c>
      <c r="G68" s="6">
        <f t="shared" si="24"/>
        <v>1776.2799999999997</v>
      </c>
      <c r="H68" s="6">
        <f t="shared" si="14"/>
        <v>1776.2799999999997</v>
      </c>
      <c r="I68" s="6">
        <f>MOD(H68-Settings!$B$32,Settings!$B$33)</f>
        <v>336.27999999999975</v>
      </c>
      <c r="J68" s="6">
        <f>IF(I68&lt;Settings!$B$30,IF(Settings!$B$30-I68&gt;=E68,H68,H68+(Settings!$B$30-I68)+Settings!$B$31),H68+(Settings!$B$33-I68))</f>
        <v>1776.2799999999997</v>
      </c>
      <c r="K68" s="6">
        <f t="shared" si="15"/>
        <v>1800.2999999999997</v>
      </c>
      <c r="L68" s="6">
        <f t="shared" si="16"/>
        <v>1800.2999999999997</v>
      </c>
      <c r="M68" s="6">
        <f t="shared" si="25"/>
        <v>1777.6439930881659</v>
      </c>
      <c r="N68" s="6">
        <f t="shared" si="17"/>
        <v>1800.2999999999997</v>
      </c>
      <c r="O68" s="6">
        <f>Arrivals!I68</f>
        <v>0.95444691536808501</v>
      </c>
      <c r="P68" s="6">
        <f t="shared" si="18"/>
        <v>1801.2544469153679</v>
      </c>
      <c r="Q68" s="6">
        <f t="shared" si="19"/>
        <v>1357.2544469153679</v>
      </c>
      <c r="R68" s="6">
        <f t="shared" si="20"/>
        <v>1332.2799999999997</v>
      </c>
      <c r="S68" s="6">
        <f t="shared" si="21"/>
        <v>0</v>
      </c>
      <c r="T68" s="6">
        <f t="shared" si="22"/>
        <v>0</v>
      </c>
      <c r="U68" s="6">
        <f t="shared" si="23"/>
        <v>1332.2799999999997</v>
      </c>
      <c r="V68" s="6" t="str">
        <f>IF(MOD(C68-Settings!$B$32,Settings!$B$33)&lt;Settings!$B$30,"Up","Down")</f>
        <v>Up</v>
      </c>
      <c r="W68" s="6">
        <f>IF(OR(E68&gt;Settings!$B$30,Q68&gt;Settings!$B$37),0,1)</f>
        <v>0</v>
      </c>
      <c r="X68" s="6">
        <f>IF(AND(W68=1,Q68&lt;=Settings!$B$36),1,0)</f>
        <v>0</v>
      </c>
    </row>
    <row r="69" spans="1:24" x14ac:dyDescent="0.2">
      <c r="A69">
        <f>Arrivals!A69</f>
        <v>1</v>
      </c>
      <c r="B69">
        <f>Arrivals!B69</f>
        <v>64</v>
      </c>
      <c r="C69" s="6">
        <f>Arrivals!F69</f>
        <v>449</v>
      </c>
      <c r="D69" s="6">
        <f>Arrivals!K69</f>
        <v>300</v>
      </c>
      <c r="E69" s="6">
        <f>D69*8/ACE_Input!S69+ACE_Input!T69</f>
        <v>24.02</v>
      </c>
      <c r="F69" s="6">
        <f t="shared" si="13"/>
        <v>449</v>
      </c>
      <c r="G69" s="6">
        <f t="shared" si="24"/>
        <v>1800.2999999999997</v>
      </c>
      <c r="H69" s="6">
        <f t="shared" si="14"/>
        <v>1800.2999999999997</v>
      </c>
      <c r="I69" s="6">
        <f>MOD(H69-Settings!$B$32,Settings!$B$33)</f>
        <v>360.29999999999973</v>
      </c>
      <c r="J69" s="6">
        <f>IF(I69&lt;Settings!$B$30,IF(Settings!$B$30-I69&gt;=E69,H69,H69+(Settings!$B$30-I69)+Settings!$B$31),H69+(Settings!$B$33-I69))</f>
        <v>1800.2999999999997</v>
      </c>
      <c r="K69" s="6">
        <f t="shared" si="15"/>
        <v>1824.3199999999997</v>
      </c>
      <c r="L69" s="6">
        <f t="shared" si="16"/>
        <v>1824.3199999999997</v>
      </c>
      <c r="M69" s="6">
        <f t="shared" si="25"/>
        <v>1801.2544469153679</v>
      </c>
      <c r="N69" s="6">
        <f t="shared" si="17"/>
        <v>1824.3199999999997</v>
      </c>
      <c r="O69" s="6">
        <f>Arrivals!I69</f>
        <v>6.0322567846878057</v>
      </c>
      <c r="P69" s="6">
        <f t="shared" si="18"/>
        <v>1830.3522567846876</v>
      </c>
      <c r="Q69" s="6">
        <f t="shared" si="19"/>
        <v>1381.3522567846876</v>
      </c>
      <c r="R69" s="6">
        <f t="shared" si="20"/>
        <v>1351.2999999999997</v>
      </c>
      <c r="S69" s="6">
        <f t="shared" si="21"/>
        <v>0</v>
      </c>
      <c r="T69" s="6">
        <f t="shared" si="22"/>
        <v>0</v>
      </c>
      <c r="U69" s="6">
        <f t="shared" si="23"/>
        <v>1351.2999999999997</v>
      </c>
      <c r="V69" s="6" t="str">
        <f>IF(MOD(C69-Settings!$B$32,Settings!$B$33)&lt;Settings!$B$30,"Up","Down")</f>
        <v>Up</v>
      </c>
      <c r="W69" s="6">
        <f>IF(OR(E69&gt;Settings!$B$30,Q69&gt;Settings!$B$37),0,1)</f>
        <v>0</v>
      </c>
      <c r="X69" s="6">
        <f>IF(AND(W69=1,Q69&lt;=Settings!$B$36),1,0)</f>
        <v>0</v>
      </c>
    </row>
    <row r="70" spans="1:24" x14ac:dyDescent="0.2">
      <c r="A70">
        <f>Arrivals!A70</f>
        <v>1</v>
      </c>
      <c r="B70">
        <f>Arrivals!B70</f>
        <v>65</v>
      </c>
      <c r="C70" s="6">
        <f>Arrivals!F70</f>
        <v>454</v>
      </c>
      <c r="D70" s="6">
        <f>Arrivals!K70</f>
        <v>300</v>
      </c>
      <c r="E70" s="6">
        <f>D70*8/ACE_Input!S70+ACE_Input!T70</f>
        <v>24.02</v>
      </c>
      <c r="F70" s="6">
        <f t="shared" ref="F70:F105" si="26">C70</f>
        <v>454</v>
      </c>
      <c r="G70" s="6">
        <f t="shared" si="24"/>
        <v>1824.3199999999997</v>
      </c>
      <c r="H70" s="6">
        <f t="shared" ref="H70:H101" si="27">MAX(F70,G70)</f>
        <v>1824.3199999999997</v>
      </c>
      <c r="I70" s="6">
        <f>MOD(H70-Settings!$B$32,Settings!$B$33)</f>
        <v>384.31999999999971</v>
      </c>
      <c r="J70" s="6">
        <f>IF(I70&lt;Settings!$B$30,IF(Settings!$B$30-I70&gt;=E70,H70,H70+(Settings!$B$30-I70)+Settings!$B$31),H70+(Settings!$B$33-I70))</f>
        <v>1824.3199999999997</v>
      </c>
      <c r="K70" s="6">
        <f t="shared" ref="K70:K101" si="28">J70+E70</f>
        <v>1848.3399999999997</v>
      </c>
      <c r="L70" s="6">
        <f t="shared" ref="L70:L101" si="29">K70</f>
        <v>1848.3399999999997</v>
      </c>
      <c r="M70" s="6">
        <f t="shared" si="25"/>
        <v>1830.3522567846876</v>
      </c>
      <c r="N70" s="6">
        <f t="shared" ref="N70:N101" si="30">MAX(L70,M70)</f>
        <v>1848.3399999999997</v>
      </c>
      <c r="O70" s="6">
        <f>Arrivals!I70</f>
        <v>14.262551302171834</v>
      </c>
      <c r="P70" s="6">
        <f t="shared" ref="P70:P101" si="31">N70+O70</f>
        <v>1862.6025513021716</v>
      </c>
      <c r="Q70" s="6">
        <f t="shared" ref="Q70:Q101" si="32">P70-C70</f>
        <v>1408.6025513021716</v>
      </c>
      <c r="R70" s="6">
        <f t="shared" ref="R70:R105" si="33">H70-F70</f>
        <v>1370.3199999999997</v>
      </c>
      <c r="S70" s="6">
        <f t="shared" ref="S70:S105" si="34">J70-H70</f>
        <v>0</v>
      </c>
      <c r="T70" s="6">
        <f t="shared" ref="T70:T105" si="35">N70-L70</f>
        <v>0</v>
      </c>
      <c r="U70" s="6">
        <f t="shared" ref="U70:U101" si="36">R70+S70+T70</f>
        <v>1370.3199999999997</v>
      </c>
      <c r="V70" s="6" t="str">
        <f>IF(MOD(C70-Settings!$B$32,Settings!$B$33)&lt;Settings!$B$30,"Up","Down")</f>
        <v>Up</v>
      </c>
      <c r="W70" s="6">
        <f>IF(OR(E70&gt;Settings!$B$30,Q70&gt;Settings!$B$37),0,1)</f>
        <v>0</v>
      </c>
      <c r="X70" s="6">
        <f>IF(AND(W70=1,Q70&lt;=Settings!$B$36),1,0)</f>
        <v>0</v>
      </c>
    </row>
    <row r="71" spans="1:24" x14ac:dyDescent="0.2">
      <c r="A71">
        <f>Arrivals!A71</f>
        <v>1</v>
      </c>
      <c r="B71">
        <f>Arrivals!B71</f>
        <v>66</v>
      </c>
      <c r="C71" s="6">
        <f>Arrivals!F71</f>
        <v>459</v>
      </c>
      <c r="D71" s="6">
        <f>Arrivals!K71</f>
        <v>300</v>
      </c>
      <c r="E71" s="6">
        <f>D71*8/ACE_Input!S71+ACE_Input!T71</f>
        <v>24.02</v>
      </c>
      <c r="F71" s="6">
        <f t="shared" si="26"/>
        <v>459</v>
      </c>
      <c r="G71" s="6">
        <f t="shared" ref="G71:G105" si="37">K70</f>
        <v>1848.3399999999997</v>
      </c>
      <c r="H71" s="6">
        <f t="shared" si="27"/>
        <v>1848.3399999999997</v>
      </c>
      <c r="I71" s="6">
        <f>MOD(H71-Settings!$B$32,Settings!$B$33)</f>
        <v>408.33999999999969</v>
      </c>
      <c r="J71" s="6">
        <f>IF(I71&lt;Settings!$B$30,IF(Settings!$B$30-I71&gt;=E71,H71,H71+(Settings!$B$30-I71)+Settings!$B$31),H71+(Settings!$B$33-I71))</f>
        <v>1848.3399999999997</v>
      </c>
      <c r="K71" s="6">
        <f t="shared" si="28"/>
        <v>1872.3599999999997</v>
      </c>
      <c r="L71" s="6">
        <f t="shared" si="29"/>
        <v>1872.3599999999997</v>
      </c>
      <c r="M71" s="6">
        <f t="shared" ref="M71:M105" si="38">P70</f>
        <v>1862.6025513021716</v>
      </c>
      <c r="N71" s="6">
        <f t="shared" si="30"/>
        <v>1872.3599999999997</v>
      </c>
      <c r="O71" s="6">
        <f>Arrivals!I71</f>
        <v>5.0324498776191326</v>
      </c>
      <c r="P71" s="6">
        <f t="shared" si="31"/>
        <v>1877.3924498776189</v>
      </c>
      <c r="Q71" s="6">
        <f t="shared" si="32"/>
        <v>1418.3924498776189</v>
      </c>
      <c r="R71" s="6">
        <f t="shared" si="33"/>
        <v>1389.3399999999997</v>
      </c>
      <c r="S71" s="6">
        <f t="shared" si="34"/>
        <v>0</v>
      </c>
      <c r="T71" s="6">
        <f t="shared" si="35"/>
        <v>0</v>
      </c>
      <c r="U71" s="6">
        <f t="shared" si="36"/>
        <v>1389.3399999999997</v>
      </c>
      <c r="V71" s="6" t="str">
        <f>IF(MOD(C71-Settings!$B$32,Settings!$B$33)&lt;Settings!$B$30,"Up","Down")</f>
        <v>Up</v>
      </c>
      <c r="W71" s="6">
        <f>IF(OR(E71&gt;Settings!$B$30,Q71&gt;Settings!$B$37),0,1)</f>
        <v>0</v>
      </c>
      <c r="X71" s="6">
        <f>IF(AND(W71=1,Q71&lt;=Settings!$B$36),1,0)</f>
        <v>0</v>
      </c>
    </row>
    <row r="72" spans="1:24" x14ac:dyDescent="0.2">
      <c r="A72">
        <f>Arrivals!A72</f>
        <v>1</v>
      </c>
      <c r="B72">
        <f>Arrivals!B72</f>
        <v>67</v>
      </c>
      <c r="C72" s="6">
        <f>Arrivals!F72</f>
        <v>474</v>
      </c>
      <c r="D72" s="6">
        <f>Arrivals!K72</f>
        <v>300</v>
      </c>
      <c r="E72" s="6">
        <f>D72*8/ACE_Input!S72+ACE_Input!T72</f>
        <v>24.02</v>
      </c>
      <c r="F72" s="6">
        <f t="shared" si="26"/>
        <v>474</v>
      </c>
      <c r="G72" s="6">
        <f t="shared" si="37"/>
        <v>1872.3599999999997</v>
      </c>
      <c r="H72" s="6">
        <f t="shared" si="27"/>
        <v>1872.3599999999997</v>
      </c>
      <c r="I72" s="6">
        <f>MOD(H72-Settings!$B$32,Settings!$B$33)</f>
        <v>432.35999999999967</v>
      </c>
      <c r="J72" s="6">
        <f>IF(I72&lt;Settings!$B$30,IF(Settings!$B$30-I72&gt;=E72,H72,H72+(Settings!$B$30-I72)+Settings!$B$31),H72+(Settings!$B$33-I72))</f>
        <v>1872.3599999999997</v>
      </c>
      <c r="K72" s="6">
        <f t="shared" si="28"/>
        <v>1896.3799999999997</v>
      </c>
      <c r="L72" s="6">
        <f t="shared" si="29"/>
        <v>1896.3799999999997</v>
      </c>
      <c r="M72" s="6">
        <f t="shared" si="38"/>
        <v>1877.3924498776189</v>
      </c>
      <c r="N72" s="6">
        <f t="shared" si="30"/>
        <v>1896.3799999999997</v>
      </c>
      <c r="O72" s="6">
        <f>Arrivals!I72</f>
        <v>3.8673469408061352</v>
      </c>
      <c r="P72" s="6">
        <f t="shared" si="31"/>
        <v>1900.2473469408058</v>
      </c>
      <c r="Q72" s="6">
        <f t="shared" si="32"/>
        <v>1426.2473469408058</v>
      </c>
      <c r="R72" s="6">
        <f t="shared" si="33"/>
        <v>1398.3599999999997</v>
      </c>
      <c r="S72" s="6">
        <f t="shared" si="34"/>
        <v>0</v>
      </c>
      <c r="T72" s="6">
        <f t="shared" si="35"/>
        <v>0</v>
      </c>
      <c r="U72" s="6">
        <f t="shared" si="36"/>
        <v>1398.3599999999997</v>
      </c>
      <c r="V72" s="6" t="str">
        <f>IF(MOD(C72-Settings!$B$32,Settings!$B$33)&lt;Settings!$B$30,"Up","Down")</f>
        <v>Up</v>
      </c>
      <c r="W72" s="6">
        <f>IF(OR(E72&gt;Settings!$B$30,Q72&gt;Settings!$B$37),0,1)</f>
        <v>0</v>
      </c>
      <c r="X72" s="6">
        <f>IF(AND(W72=1,Q72&lt;=Settings!$B$36),1,0)</f>
        <v>0</v>
      </c>
    </row>
    <row r="73" spans="1:24" x14ac:dyDescent="0.2">
      <c r="A73">
        <f>Arrivals!A73</f>
        <v>1</v>
      </c>
      <c r="B73">
        <f>Arrivals!B73</f>
        <v>68</v>
      </c>
      <c r="C73" s="6">
        <f>Arrivals!F73</f>
        <v>479</v>
      </c>
      <c r="D73" s="6">
        <f>Arrivals!K73</f>
        <v>300</v>
      </c>
      <c r="E73" s="6">
        <f>D73*8/ACE_Input!S73+ACE_Input!T73</f>
        <v>24.02</v>
      </c>
      <c r="F73" s="6">
        <f t="shared" si="26"/>
        <v>479</v>
      </c>
      <c r="G73" s="6">
        <f t="shared" si="37"/>
        <v>1896.3799999999997</v>
      </c>
      <c r="H73" s="6">
        <f t="shared" si="27"/>
        <v>1896.3799999999997</v>
      </c>
      <c r="I73" s="6">
        <f>MOD(H73-Settings!$B$32,Settings!$B$33)</f>
        <v>456.37999999999965</v>
      </c>
      <c r="J73" s="6">
        <f>IF(I73&lt;Settings!$B$30,IF(Settings!$B$30-I73&gt;=E73,H73,H73+(Settings!$B$30-I73)+Settings!$B$31),H73+(Settings!$B$33-I73))</f>
        <v>1896.3799999999997</v>
      </c>
      <c r="K73" s="6">
        <f t="shared" si="28"/>
        <v>1920.3999999999996</v>
      </c>
      <c r="L73" s="6">
        <f t="shared" si="29"/>
        <v>1920.3999999999996</v>
      </c>
      <c r="M73" s="6">
        <f t="shared" si="38"/>
        <v>1900.2473469408058</v>
      </c>
      <c r="N73" s="6">
        <f t="shared" si="30"/>
        <v>1920.3999999999996</v>
      </c>
      <c r="O73" s="6">
        <f>Arrivals!I73</f>
        <v>3.3344429819391301</v>
      </c>
      <c r="P73" s="6">
        <f t="shared" si="31"/>
        <v>1923.7344429819389</v>
      </c>
      <c r="Q73" s="6">
        <f t="shared" si="32"/>
        <v>1444.7344429819389</v>
      </c>
      <c r="R73" s="6">
        <f t="shared" si="33"/>
        <v>1417.3799999999997</v>
      </c>
      <c r="S73" s="6">
        <f t="shared" si="34"/>
        <v>0</v>
      </c>
      <c r="T73" s="6">
        <f t="shared" si="35"/>
        <v>0</v>
      </c>
      <c r="U73" s="6">
        <f t="shared" si="36"/>
        <v>1417.3799999999997</v>
      </c>
      <c r="V73" s="6" t="str">
        <f>IF(MOD(C73-Settings!$B$32,Settings!$B$33)&lt;Settings!$B$30,"Up","Down")</f>
        <v>Up</v>
      </c>
      <c r="W73" s="6">
        <f>IF(OR(E73&gt;Settings!$B$30,Q73&gt;Settings!$B$37),0,1)</f>
        <v>0</v>
      </c>
      <c r="X73" s="6">
        <f>IF(AND(W73=1,Q73&lt;=Settings!$B$36),1,0)</f>
        <v>0</v>
      </c>
    </row>
    <row r="74" spans="1:24" x14ac:dyDescent="0.2">
      <c r="A74">
        <f>Arrivals!A74</f>
        <v>1</v>
      </c>
      <c r="B74">
        <f>Arrivals!B74</f>
        <v>69</v>
      </c>
      <c r="C74" s="6">
        <f>Arrivals!F74</f>
        <v>494</v>
      </c>
      <c r="D74" s="6">
        <f>Arrivals!K74</f>
        <v>300</v>
      </c>
      <c r="E74" s="6">
        <f>D74*8/ACE_Input!S74+ACE_Input!T74</f>
        <v>24.02</v>
      </c>
      <c r="F74" s="6">
        <f t="shared" si="26"/>
        <v>494</v>
      </c>
      <c r="G74" s="6">
        <f t="shared" si="37"/>
        <v>1920.3999999999996</v>
      </c>
      <c r="H74" s="6">
        <f t="shared" si="27"/>
        <v>1920.3999999999996</v>
      </c>
      <c r="I74" s="6">
        <f>MOD(H74-Settings!$B$32,Settings!$B$33)</f>
        <v>480.39999999999964</v>
      </c>
      <c r="J74" s="6">
        <f>IF(I74&lt;Settings!$B$30,IF(Settings!$B$30-I74&gt;=E74,H74,H74+(Settings!$B$30-I74)+Settings!$B$31),H74+(Settings!$B$33-I74))</f>
        <v>1920.3999999999996</v>
      </c>
      <c r="K74" s="6">
        <f t="shared" si="28"/>
        <v>1944.4199999999996</v>
      </c>
      <c r="L74" s="6">
        <f t="shared" si="29"/>
        <v>1944.4199999999996</v>
      </c>
      <c r="M74" s="6">
        <f t="shared" si="38"/>
        <v>1923.7344429819389</v>
      </c>
      <c r="N74" s="6">
        <f t="shared" si="30"/>
        <v>1944.4199999999996</v>
      </c>
      <c r="O74" s="6">
        <f>Arrivals!I74</f>
        <v>5.2959528859793217</v>
      </c>
      <c r="P74" s="6">
        <f t="shared" si="31"/>
        <v>1949.715952885979</v>
      </c>
      <c r="Q74" s="6">
        <f t="shared" si="32"/>
        <v>1455.715952885979</v>
      </c>
      <c r="R74" s="6">
        <f t="shared" si="33"/>
        <v>1426.3999999999996</v>
      </c>
      <c r="S74" s="6">
        <f t="shared" si="34"/>
        <v>0</v>
      </c>
      <c r="T74" s="6">
        <f t="shared" si="35"/>
        <v>0</v>
      </c>
      <c r="U74" s="6">
        <f t="shared" si="36"/>
        <v>1426.3999999999996</v>
      </c>
      <c r="V74" s="6" t="str">
        <f>IF(MOD(C74-Settings!$B$32,Settings!$B$33)&lt;Settings!$B$30,"Up","Down")</f>
        <v>Up</v>
      </c>
      <c r="W74" s="6">
        <f>IF(OR(E74&gt;Settings!$B$30,Q74&gt;Settings!$B$37),0,1)</f>
        <v>0</v>
      </c>
      <c r="X74" s="6">
        <f>IF(AND(W74=1,Q74&lt;=Settings!$B$36),1,0)</f>
        <v>0</v>
      </c>
    </row>
    <row r="75" spans="1:24" x14ac:dyDescent="0.2">
      <c r="A75">
        <f>Arrivals!A75</f>
        <v>1</v>
      </c>
      <c r="B75">
        <f>Arrivals!B75</f>
        <v>70</v>
      </c>
      <c r="C75" s="6">
        <f>Arrivals!F75</f>
        <v>499</v>
      </c>
      <c r="D75" s="6">
        <f>Arrivals!K75</f>
        <v>300</v>
      </c>
      <c r="E75" s="6">
        <f>D75*8/ACE_Input!S75+ACE_Input!T75</f>
        <v>24.02</v>
      </c>
      <c r="F75" s="6">
        <f t="shared" si="26"/>
        <v>499</v>
      </c>
      <c r="G75" s="6">
        <f t="shared" si="37"/>
        <v>1944.4199999999996</v>
      </c>
      <c r="H75" s="6">
        <f t="shared" si="27"/>
        <v>1944.4199999999996</v>
      </c>
      <c r="I75" s="6">
        <f>MOD(H75-Settings!$B$32,Settings!$B$33)</f>
        <v>504.41999999999962</v>
      </c>
      <c r="J75" s="6">
        <f>IF(I75&lt;Settings!$B$30,IF(Settings!$B$30-I75&gt;=E75,H75,H75+(Settings!$B$30-I75)+Settings!$B$31),H75+(Settings!$B$33-I75))</f>
        <v>1944.4199999999996</v>
      </c>
      <c r="K75" s="6">
        <f t="shared" si="28"/>
        <v>1968.4399999999996</v>
      </c>
      <c r="L75" s="6">
        <f t="shared" si="29"/>
        <v>1968.4399999999996</v>
      </c>
      <c r="M75" s="6">
        <f t="shared" si="38"/>
        <v>1949.715952885979</v>
      </c>
      <c r="N75" s="6">
        <f t="shared" si="30"/>
        <v>1968.4399999999996</v>
      </c>
      <c r="O75" s="6">
        <f>Arrivals!I75</f>
        <v>0.54515871507641822</v>
      </c>
      <c r="P75" s="6">
        <f t="shared" si="31"/>
        <v>1968.9851587150761</v>
      </c>
      <c r="Q75" s="6">
        <f t="shared" si="32"/>
        <v>1469.9851587150761</v>
      </c>
      <c r="R75" s="6">
        <f t="shared" si="33"/>
        <v>1445.4199999999996</v>
      </c>
      <c r="S75" s="6">
        <f t="shared" si="34"/>
        <v>0</v>
      </c>
      <c r="T75" s="6">
        <f t="shared" si="35"/>
        <v>0</v>
      </c>
      <c r="U75" s="6">
        <f t="shared" si="36"/>
        <v>1445.4199999999996</v>
      </c>
      <c r="V75" s="6" t="str">
        <f>IF(MOD(C75-Settings!$B$32,Settings!$B$33)&lt;Settings!$B$30,"Up","Down")</f>
        <v>Up</v>
      </c>
      <c r="W75" s="6">
        <f>IF(OR(E75&gt;Settings!$B$30,Q75&gt;Settings!$B$37),0,1)</f>
        <v>0</v>
      </c>
      <c r="X75" s="6">
        <f>IF(AND(W75=1,Q75&lt;=Settings!$B$36),1,0)</f>
        <v>0</v>
      </c>
    </row>
    <row r="76" spans="1:24" x14ac:dyDescent="0.2">
      <c r="A76">
        <f>Arrivals!A76</f>
        <v>1</v>
      </c>
      <c r="B76">
        <f>Arrivals!B76</f>
        <v>71</v>
      </c>
      <c r="C76" s="6">
        <f>Arrivals!F76</f>
        <v>504</v>
      </c>
      <c r="D76" s="6">
        <f>Arrivals!K76</f>
        <v>300</v>
      </c>
      <c r="E76" s="6">
        <f>D76*8/ACE_Input!S76+ACE_Input!T76</f>
        <v>24.02</v>
      </c>
      <c r="F76" s="6">
        <f t="shared" si="26"/>
        <v>504</v>
      </c>
      <c r="G76" s="6">
        <f t="shared" si="37"/>
        <v>1968.4399999999996</v>
      </c>
      <c r="H76" s="6">
        <f t="shared" si="27"/>
        <v>1968.4399999999996</v>
      </c>
      <c r="I76" s="6">
        <f>MOD(H76-Settings!$B$32,Settings!$B$33)</f>
        <v>528.4399999999996</v>
      </c>
      <c r="J76" s="6">
        <f>IF(I76&lt;Settings!$B$30,IF(Settings!$B$30-I76&gt;=E76,H76,H76+(Settings!$B$30-I76)+Settings!$B$31),H76+(Settings!$B$33-I76))</f>
        <v>1968.4399999999996</v>
      </c>
      <c r="K76" s="6">
        <f t="shared" si="28"/>
        <v>1992.4599999999996</v>
      </c>
      <c r="L76" s="6">
        <f t="shared" si="29"/>
        <v>1992.4599999999996</v>
      </c>
      <c r="M76" s="6">
        <f t="shared" si="38"/>
        <v>1968.9851587150761</v>
      </c>
      <c r="N76" s="6">
        <f t="shared" si="30"/>
        <v>1992.4599999999996</v>
      </c>
      <c r="O76" s="6">
        <f>Arrivals!I76</f>
        <v>1.9303074891889758</v>
      </c>
      <c r="P76" s="6">
        <f t="shared" si="31"/>
        <v>1994.3903074891884</v>
      </c>
      <c r="Q76" s="6">
        <f t="shared" si="32"/>
        <v>1490.3903074891884</v>
      </c>
      <c r="R76" s="6">
        <f t="shared" si="33"/>
        <v>1464.4399999999996</v>
      </c>
      <c r="S76" s="6">
        <f t="shared" si="34"/>
        <v>0</v>
      </c>
      <c r="T76" s="6">
        <f t="shared" si="35"/>
        <v>0</v>
      </c>
      <c r="U76" s="6">
        <f t="shared" si="36"/>
        <v>1464.4399999999996</v>
      </c>
      <c r="V76" s="6" t="str">
        <f>IF(MOD(C76-Settings!$B$32,Settings!$B$33)&lt;Settings!$B$30,"Up","Down")</f>
        <v>Up</v>
      </c>
      <c r="W76" s="6">
        <f>IF(OR(E76&gt;Settings!$B$30,Q76&gt;Settings!$B$37),0,1)</f>
        <v>0</v>
      </c>
      <c r="X76" s="6">
        <f>IF(AND(W76=1,Q76&lt;=Settings!$B$36),1,0)</f>
        <v>0</v>
      </c>
    </row>
    <row r="77" spans="1:24" x14ac:dyDescent="0.2">
      <c r="A77">
        <f>Arrivals!A77</f>
        <v>1</v>
      </c>
      <c r="B77">
        <f>Arrivals!B77</f>
        <v>72</v>
      </c>
      <c r="C77" s="6">
        <f>Arrivals!F77</f>
        <v>509</v>
      </c>
      <c r="D77" s="6">
        <f>Arrivals!K77</f>
        <v>300</v>
      </c>
      <c r="E77" s="6">
        <f>D77*8/ACE_Input!S77+ACE_Input!T77</f>
        <v>24.02</v>
      </c>
      <c r="F77" s="6">
        <f t="shared" si="26"/>
        <v>509</v>
      </c>
      <c r="G77" s="6">
        <f t="shared" si="37"/>
        <v>1992.4599999999996</v>
      </c>
      <c r="H77" s="6">
        <f t="shared" si="27"/>
        <v>1992.4599999999996</v>
      </c>
      <c r="I77" s="6">
        <f>MOD(H77-Settings!$B$32,Settings!$B$33)</f>
        <v>552.45999999999958</v>
      </c>
      <c r="J77" s="6">
        <f>IF(I77&lt;Settings!$B$30,IF(Settings!$B$30-I77&gt;=E77,H77,H77+(Settings!$B$30-I77)+Settings!$B$31),H77+(Settings!$B$33-I77))</f>
        <v>1992.4599999999996</v>
      </c>
      <c r="K77" s="6">
        <f t="shared" si="28"/>
        <v>2016.4799999999996</v>
      </c>
      <c r="L77" s="6">
        <f t="shared" si="29"/>
        <v>2016.4799999999996</v>
      </c>
      <c r="M77" s="6">
        <f t="shared" si="38"/>
        <v>1994.3903074891884</v>
      </c>
      <c r="N77" s="6">
        <f t="shared" si="30"/>
        <v>2016.4799999999996</v>
      </c>
      <c r="O77" s="6">
        <f>Arrivals!I77</f>
        <v>8.2300718898416978</v>
      </c>
      <c r="P77" s="6">
        <f t="shared" si="31"/>
        <v>2024.7100718898412</v>
      </c>
      <c r="Q77" s="6">
        <f t="shared" si="32"/>
        <v>1515.7100718898412</v>
      </c>
      <c r="R77" s="6">
        <f t="shared" si="33"/>
        <v>1483.4599999999996</v>
      </c>
      <c r="S77" s="6">
        <f t="shared" si="34"/>
        <v>0</v>
      </c>
      <c r="T77" s="6">
        <f t="shared" si="35"/>
        <v>0</v>
      </c>
      <c r="U77" s="6">
        <f t="shared" si="36"/>
        <v>1483.4599999999996</v>
      </c>
      <c r="V77" s="6" t="str">
        <f>IF(MOD(C77-Settings!$B$32,Settings!$B$33)&lt;Settings!$B$30,"Up","Down")</f>
        <v>Up</v>
      </c>
      <c r="W77" s="6">
        <f>IF(OR(E77&gt;Settings!$B$30,Q77&gt;Settings!$B$37),0,1)</f>
        <v>0</v>
      </c>
      <c r="X77" s="6">
        <f>IF(AND(W77=1,Q77&lt;=Settings!$B$36),1,0)</f>
        <v>0</v>
      </c>
    </row>
    <row r="78" spans="1:24" x14ac:dyDescent="0.2">
      <c r="A78">
        <f>Arrivals!A78</f>
        <v>1</v>
      </c>
      <c r="B78">
        <f>Arrivals!B78</f>
        <v>73</v>
      </c>
      <c r="C78" s="6">
        <f>Arrivals!F78</f>
        <v>514</v>
      </c>
      <c r="D78" s="6">
        <f>Arrivals!K78</f>
        <v>300</v>
      </c>
      <c r="E78" s="6">
        <f>D78*8/ACE_Input!S78+ACE_Input!T78</f>
        <v>24.02</v>
      </c>
      <c r="F78" s="6">
        <f t="shared" si="26"/>
        <v>514</v>
      </c>
      <c r="G78" s="6">
        <f t="shared" si="37"/>
        <v>2016.4799999999996</v>
      </c>
      <c r="H78" s="6">
        <f t="shared" si="27"/>
        <v>2016.4799999999996</v>
      </c>
      <c r="I78" s="6">
        <f>MOD(H78-Settings!$B$32,Settings!$B$33)</f>
        <v>576.47999999999956</v>
      </c>
      <c r="J78" s="6">
        <f>IF(I78&lt;Settings!$B$30,IF(Settings!$B$30-I78&gt;=E78,H78,H78+(Settings!$B$30-I78)+Settings!$B$31),H78+(Settings!$B$33-I78))</f>
        <v>2160</v>
      </c>
      <c r="K78" s="6">
        <f t="shared" si="28"/>
        <v>2184.02</v>
      </c>
      <c r="L78" s="6">
        <f t="shared" si="29"/>
        <v>2184.02</v>
      </c>
      <c r="M78" s="6">
        <f t="shared" si="38"/>
        <v>2024.7100718898412</v>
      </c>
      <c r="N78" s="6">
        <f t="shared" si="30"/>
        <v>2184.02</v>
      </c>
      <c r="O78" s="6">
        <f>Arrivals!I78</f>
        <v>3.2633050910298946</v>
      </c>
      <c r="P78" s="6">
        <f t="shared" si="31"/>
        <v>2187.2833050910299</v>
      </c>
      <c r="Q78" s="6">
        <f t="shared" si="32"/>
        <v>1673.2833050910299</v>
      </c>
      <c r="R78" s="6">
        <f t="shared" si="33"/>
        <v>1502.4799999999996</v>
      </c>
      <c r="S78" s="6">
        <f t="shared" si="34"/>
        <v>143.52000000000044</v>
      </c>
      <c r="T78" s="6">
        <f t="shared" si="35"/>
        <v>0</v>
      </c>
      <c r="U78" s="6">
        <f t="shared" si="36"/>
        <v>1646</v>
      </c>
      <c r="V78" s="6" t="str">
        <f>IF(MOD(C78-Settings!$B$32,Settings!$B$33)&lt;Settings!$B$30,"Up","Down")</f>
        <v>Up</v>
      </c>
      <c r="W78" s="6">
        <f>IF(OR(E78&gt;Settings!$B$30,Q78&gt;Settings!$B$37),0,1)</f>
        <v>0</v>
      </c>
      <c r="X78" s="6">
        <f>IF(AND(W78=1,Q78&lt;=Settings!$B$36),1,0)</f>
        <v>0</v>
      </c>
    </row>
    <row r="79" spans="1:24" x14ac:dyDescent="0.2">
      <c r="A79">
        <f>Arrivals!A79</f>
        <v>1</v>
      </c>
      <c r="B79">
        <f>Arrivals!B79</f>
        <v>74</v>
      </c>
      <c r="C79" s="6">
        <f>Arrivals!F79</f>
        <v>519</v>
      </c>
      <c r="D79" s="6">
        <f>Arrivals!K79</f>
        <v>300</v>
      </c>
      <c r="E79" s="6">
        <f>D79*8/ACE_Input!S79+ACE_Input!T79</f>
        <v>24.02</v>
      </c>
      <c r="F79" s="6">
        <f t="shared" si="26"/>
        <v>519</v>
      </c>
      <c r="G79" s="6">
        <f t="shared" si="37"/>
        <v>2184.02</v>
      </c>
      <c r="H79" s="6">
        <f t="shared" si="27"/>
        <v>2184.02</v>
      </c>
      <c r="I79" s="6">
        <f>MOD(H79-Settings!$B$32,Settings!$B$33)</f>
        <v>24.019999999999982</v>
      </c>
      <c r="J79" s="6">
        <f>IF(I79&lt;Settings!$B$30,IF(Settings!$B$30-I79&gt;=E79,H79,H79+(Settings!$B$30-I79)+Settings!$B$31),H79+(Settings!$B$33-I79))</f>
        <v>2184.02</v>
      </c>
      <c r="K79" s="6">
        <f t="shared" si="28"/>
        <v>2208.04</v>
      </c>
      <c r="L79" s="6">
        <f t="shared" si="29"/>
        <v>2208.04</v>
      </c>
      <c r="M79" s="6">
        <f t="shared" si="38"/>
        <v>2187.2833050910299</v>
      </c>
      <c r="N79" s="6">
        <f t="shared" si="30"/>
        <v>2208.04</v>
      </c>
      <c r="O79" s="6">
        <f>Arrivals!I79</f>
        <v>4.8870824185018895</v>
      </c>
      <c r="P79" s="6">
        <f t="shared" si="31"/>
        <v>2212.9270824185019</v>
      </c>
      <c r="Q79" s="6">
        <f t="shared" si="32"/>
        <v>1693.9270824185019</v>
      </c>
      <c r="R79" s="6">
        <f t="shared" si="33"/>
        <v>1665.02</v>
      </c>
      <c r="S79" s="6">
        <f t="shared" si="34"/>
        <v>0</v>
      </c>
      <c r="T79" s="6">
        <f t="shared" si="35"/>
        <v>0</v>
      </c>
      <c r="U79" s="6">
        <f t="shared" si="36"/>
        <v>1665.02</v>
      </c>
      <c r="V79" s="6" t="str">
        <f>IF(MOD(C79-Settings!$B$32,Settings!$B$33)&lt;Settings!$B$30,"Up","Down")</f>
        <v>Up</v>
      </c>
      <c r="W79" s="6">
        <f>IF(OR(E79&gt;Settings!$B$30,Q79&gt;Settings!$B$37),0,1)</f>
        <v>0</v>
      </c>
      <c r="X79" s="6">
        <f>IF(AND(W79=1,Q79&lt;=Settings!$B$36),1,0)</f>
        <v>0</v>
      </c>
    </row>
    <row r="80" spans="1:24" x14ac:dyDescent="0.2">
      <c r="A80">
        <f>Arrivals!A80</f>
        <v>1</v>
      </c>
      <c r="B80">
        <f>Arrivals!B80</f>
        <v>75</v>
      </c>
      <c r="C80" s="6">
        <f>Arrivals!F80</f>
        <v>524</v>
      </c>
      <c r="D80" s="6">
        <f>Arrivals!K80</f>
        <v>300</v>
      </c>
      <c r="E80" s="6">
        <f>D80*8/ACE_Input!S80+ACE_Input!T80</f>
        <v>24.02</v>
      </c>
      <c r="F80" s="6">
        <f t="shared" si="26"/>
        <v>524</v>
      </c>
      <c r="G80" s="6">
        <f t="shared" si="37"/>
        <v>2208.04</v>
      </c>
      <c r="H80" s="6">
        <f t="shared" si="27"/>
        <v>2208.04</v>
      </c>
      <c r="I80" s="6">
        <f>MOD(H80-Settings!$B$32,Settings!$B$33)</f>
        <v>48.039999999999964</v>
      </c>
      <c r="J80" s="6">
        <f>IF(I80&lt;Settings!$B$30,IF(Settings!$B$30-I80&gt;=E80,H80,H80+(Settings!$B$30-I80)+Settings!$B$31),H80+(Settings!$B$33-I80))</f>
        <v>2208.04</v>
      </c>
      <c r="K80" s="6">
        <f t="shared" si="28"/>
        <v>2232.06</v>
      </c>
      <c r="L80" s="6">
        <f t="shared" si="29"/>
        <v>2232.06</v>
      </c>
      <c r="M80" s="6">
        <f t="shared" si="38"/>
        <v>2212.9270824185019</v>
      </c>
      <c r="N80" s="6">
        <f t="shared" si="30"/>
        <v>2232.06</v>
      </c>
      <c r="O80" s="6">
        <f>Arrivals!I80</f>
        <v>7.4427259299320765</v>
      </c>
      <c r="P80" s="6">
        <f t="shared" si="31"/>
        <v>2239.5027259299322</v>
      </c>
      <c r="Q80" s="6">
        <f t="shared" si="32"/>
        <v>1715.5027259299322</v>
      </c>
      <c r="R80" s="6">
        <f t="shared" si="33"/>
        <v>1684.04</v>
      </c>
      <c r="S80" s="6">
        <f t="shared" si="34"/>
        <v>0</v>
      </c>
      <c r="T80" s="6">
        <f t="shared" si="35"/>
        <v>0</v>
      </c>
      <c r="U80" s="6">
        <f t="shared" si="36"/>
        <v>1684.04</v>
      </c>
      <c r="V80" s="6" t="str">
        <f>IF(MOD(C80-Settings!$B$32,Settings!$B$33)&lt;Settings!$B$30,"Up","Down")</f>
        <v>Up</v>
      </c>
      <c r="W80" s="6">
        <f>IF(OR(E80&gt;Settings!$B$30,Q80&gt;Settings!$B$37),0,1)</f>
        <v>0</v>
      </c>
      <c r="X80" s="6">
        <f>IF(AND(W80=1,Q80&lt;=Settings!$B$36),1,0)</f>
        <v>0</v>
      </c>
    </row>
    <row r="81" spans="1:24" x14ac:dyDescent="0.2">
      <c r="A81">
        <f>Arrivals!A81</f>
        <v>1</v>
      </c>
      <c r="B81">
        <f>Arrivals!B81</f>
        <v>76</v>
      </c>
      <c r="C81" s="6">
        <f>Arrivals!F81</f>
        <v>529</v>
      </c>
      <c r="D81" s="6">
        <f>Arrivals!K81</f>
        <v>300</v>
      </c>
      <c r="E81" s="6">
        <f>D81*8/ACE_Input!S81+ACE_Input!T81</f>
        <v>24.02</v>
      </c>
      <c r="F81" s="6">
        <f t="shared" si="26"/>
        <v>529</v>
      </c>
      <c r="G81" s="6">
        <f t="shared" si="37"/>
        <v>2232.06</v>
      </c>
      <c r="H81" s="6">
        <f t="shared" si="27"/>
        <v>2232.06</v>
      </c>
      <c r="I81" s="6">
        <f>MOD(H81-Settings!$B$32,Settings!$B$33)</f>
        <v>72.059999999999945</v>
      </c>
      <c r="J81" s="6">
        <f>IF(I81&lt;Settings!$B$30,IF(Settings!$B$30-I81&gt;=E81,H81,H81+(Settings!$B$30-I81)+Settings!$B$31),H81+(Settings!$B$33-I81))</f>
        <v>2232.06</v>
      </c>
      <c r="K81" s="6">
        <f t="shared" si="28"/>
        <v>2256.08</v>
      </c>
      <c r="L81" s="6">
        <f t="shared" si="29"/>
        <v>2256.08</v>
      </c>
      <c r="M81" s="6">
        <f t="shared" si="38"/>
        <v>2239.5027259299322</v>
      </c>
      <c r="N81" s="6">
        <f t="shared" si="30"/>
        <v>2256.08</v>
      </c>
      <c r="O81" s="6">
        <f>Arrivals!I81</f>
        <v>1.9937301315371945</v>
      </c>
      <c r="P81" s="6">
        <f t="shared" si="31"/>
        <v>2258.0737301315371</v>
      </c>
      <c r="Q81" s="6">
        <f t="shared" si="32"/>
        <v>1729.0737301315371</v>
      </c>
      <c r="R81" s="6">
        <f t="shared" si="33"/>
        <v>1703.06</v>
      </c>
      <c r="S81" s="6">
        <f t="shared" si="34"/>
        <v>0</v>
      </c>
      <c r="T81" s="6">
        <f t="shared" si="35"/>
        <v>0</v>
      </c>
      <c r="U81" s="6">
        <f t="shared" si="36"/>
        <v>1703.06</v>
      </c>
      <c r="V81" s="6" t="str">
        <f>IF(MOD(C81-Settings!$B$32,Settings!$B$33)&lt;Settings!$B$30,"Up","Down")</f>
        <v>Up</v>
      </c>
      <c r="W81" s="6">
        <f>IF(OR(E81&gt;Settings!$B$30,Q81&gt;Settings!$B$37),0,1)</f>
        <v>0</v>
      </c>
      <c r="X81" s="6">
        <f>IF(AND(W81=1,Q81&lt;=Settings!$B$36),1,0)</f>
        <v>0</v>
      </c>
    </row>
    <row r="82" spans="1:24" x14ac:dyDescent="0.2">
      <c r="A82">
        <f>Arrivals!A82</f>
        <v>1</v>
      </c>
      <c r="B82">
        <f>Arrivals!B82</f>
        <v>77</v>
      </c>
      <c r="C82" s="6">
        <f>Arrivals!F82</f>
        <v>534</v>
      </c>
      <c r="D82" s="6">
        <f>Arrivals!K82</f>
        <v>300</v>
      </c>
      <c r="E82" s="6">
        <f>D82*8/ACE_Input!S82+ACE_Input!T82</f>
        <v>24.02</v>
      </c>
      <c r="F82" s="6">
        <f t="shared" si="26"/>
        <v>534</v>
      </c>
      <c r="G82" s="6">
        <f t="shared" si="37"/>
        <v>2256.08</v>
      </c>
      <c r="H82" s="6">
        <f t="shared" si="27"/>
        <v>2256.08</v>
      </c>
      <c r="I82" s="6">
        <f>MOD(H82-Settings!$B$32,Settings!$B$33)</f>
        <v>96.079999999999927</v>
      </c>
      <c r="J82" s="6">
        <f>IF(I82&lt;Settings!$B$30,IF(Settings!$B$30-I82&gt;=E82,H82,H82+(Settings!$B$30-I82)+Settings!$B$31),H82+(Settings!$B$33-I82))</f>
        <v>2256.08</v>
      </c>
      <c r="K82" s="6">
        <f t="shared" si="28"/>
        <v>2280.1</v>
      </c>
      <c r="L82" s="6">
        <f t="shared" si="29"/>
        <v>2280.1</v>
      </c>
      <c r="M82" s="6">
        <f t="shared" si="38"/>
        <v>2258.0737301315371</v>
      </c>
      <c r="N82" s="6">
        <f t="shared" si="30"/>
        <v>2280.1</v>
      </c>
      <c r="O82" s="6">
        <f>Arrivals!I82</f>
        <v>0.19665296425876508</v>
      </c>
      <c r="P82" s="6">
        <f t="shared" si="31"/>
        <v>2280.2966529642586</v>
      </c>
      <c r="Q82" s="6">
        <f t="shared" si="32"/>
        <v>1746.2966529642586</v>
      </c>
      <c r="R82" s="6">
        <f t="shared" si="33"/>
        <v>1722.08</v>
      </c>
      <c r="S82" s="6">
        <f t="shared" si="34"/>
        <v>0</v>
      </c>
      <c r="T82" s="6">
        <f t="shared" si="35"/>
        <v>0</v>
      </c>
      <c r="U82" s="6">
        <f t="shared" si="36"/>
        <v>1722.08</v>
      </c>
      <c r="V82" s="6" t="str">
        <f>IF(MOD(C82-Settings!$B$32,Settings!$B$33)&lt;Settings!$B$30,"Up","Down")</f>
        <v>Up</v>
      </c>
      <c r="W82" s="6">
        <f>IF(OR(E82&gt;Settings!$B$30,Q82&gt;Settings!$B$37),0,1)</f>
        <v>0</v>
      </c>
      <c r="X82" s="6">
        <f>IF(AND(W82=1,Q82&lt;=Settings!$B$36),1,0)</f>
        <v>0</v>
      </c>
    </row>
    <row r="83" spans="1:24" x14ac:dyDescent="0.2">
      <c r="A83">
        <f>Arrivals!A83</f>
        <v>1</v>
      </c>
      <c r="B83">
        <f>Arrivals!B83</f>
        <v>78</v>
      </c>
      <c r="C83" s="6">
        <f>Arrivals!F83</f>
        <v>539</v>
      </c>
      <c r="D83" s="6">
        <f>Arrivals!K83</f>
        <v>300</v>
      </c>
      <c r="E83" s="6">
        <f>D83*8/ACE_Input!S83+ACE_Input!T83</f>
        <v>24.02</v>
      </c>
      <c r="F83" s="6">
        <f t="shared" si="26"/>
        <v>539</v>
      </c>
      <c r="G83" s="6">
        <f t="shared" si="37"/>
        <v>2280.1</v>
      </c>
      <c r="H83" s="6">
        <f t="shared" si="27"/>
        <v>2280.1</v>
      </c>
      <c r="I83" s="6">
        <f>MOD(H83-Settings!$B$32,Settings!$B$33)</f>
        <v>120.09999999999991</v>
      </c>
      <c r="J83" s="6">
        <f>IF(I83&lt;Settings!$B$30,IF(Settings!$B$30-I83&gt;=E83,H83,H83+(Settings!$B$30-I83)+Settings!$B$31),H83+(Settings!$B$33-I83))</f>
        <v>2280.1</v>
      </c>
      <c r="K83" s="6">
        <f t="shared" si="28"/>
        <v>2304.12</v>
      </c>
      <c r="L83" s="6">
        <f t="shared" si="29"/>
        <v>2304.12</v>
      </c>
      <c r="M83" s="6">
        <f t="shared" si="38"/>
        <v>2280.2966529642586</v>
      </c>
      <c r="N83" s="6">
        <f t="shared" si="30"/>
        <v>2304.12</v>
      </c>
      <c r="O83" s="6">
        <f>Arrivals!I83</f>
        <v>1.449260539169877</v>
      </c>
      <c r="P83" s="6">
        <f t="shared" si="31"/>
        <v>2305.5692605391696</v>
      </c>
      <c r="Q83" s="6">
        <f t="shared" si="32"/>
        <v>1766.5692605391696</v>
      </c>
      <c r="R83" s="6">
        <f t="shared" si="33"/>
        <v>1741.1</v>
      </c>
      <c r="S83" s="6">
        <f t="shared" si="34"/>
        <v>0</v>
      </c>
      <c r="T83" s="6">
        <f t="shared" si="35"/>
        <v>0</v>
      </c>
      <c r="U83" s="6">
        <f t="shared" si="36"/>
        <v>1741.1</v>
      </c>
      <c r="V83" s="6" t="str">
        <f>IF(MOD(C83-Settings!$B$32,Settings!$B$33)&lt;Settings!$B$30,"Up","Down")</f>
        <v>Up</v>
      </c>
      <c r="W83" s="6">
        <f>IF(OR(E83&gt;Settings!$B$30,Q83&gt;Settings!$B$37),0,1)</f>
        <v>0</v>
      </c>
      <c r="X83" s="6">
        <f>IF(AND(W83=1,Q83&lt;=Settings!$B$36),1,0)</f>
        <v>0</v>
      </c>
    </row>
    <row r="84" spans="1:24" x14ac:dyDescent="0.2">
      <c r="A84">
        <f>Arrivals!A84</f>
        <v>1</v>
      </c>
      <c r="B84">
        <f>Arrivals!B84</f>
        <v>79</v>
      </c>
      <c r="C84" s="6">
        <f>Arrivals!F84</f>
        <v>544</v>
      </c>
      <c r="D84" s="6">
        <f>Arrivals!K84</f>
        <v>300</v>
      </c>
      <c r="E84" s="6">
        <f>D84*8/ACE_Input!S84+ACE_Input!T84</f>
        <v>24.02</v>
      </c>
      <c r="F84" s="6">
        <f t="shared" si="26"/>
        <v>544</v>
      </c>
      <c r="G84" s="6">
        <f t="shared" si="37"/>
        <v>2304.12</v>
      </c>
      <c r="H84" s="6">
        <f t="shared" si="27"/>
        <v>2304.12</v>
      </c>
      <c r="I84" s="6">
        <f>MOD(H84-Settings!$B$32,Settings!$B$33)</f>
        <v>144.11999999999989</v>
      </c>
      <c r="J84" s="6">
        <f>IF(I84&lt;Settings!$B$30,IF(Settings!$B$30-I84&gt;=E84,H84,H84+(Settings!$B$30-I84)+Settings!$B$31),H84+(Settings!$B$33-I84))</f>
        <v>2304.12</v>
      </c>
      <c r="K84" s="6">
        <f t="shared" si="28"/>
        <v>2328.14</v>
      </c>
      <c r="L84" s="6">
        <f t="shared" si="29"/>
        <v>2328.14</v>
      </c>
      <c r="M84" s="6">
        <f t="shared" si="38"/>
        <v>2305.5692605391696</v>
      </c>
      <c r="N84" s="6">
        <f t="shared" si="30"/>
        <v>2328.14</v>
      </c>
      <c r="O84" s="6">
        <f>Arrivals!I84</f>
        <v>1.25611323828549</v>
      </c>
      <c r="P84" s="6">
        <f t="shared" si="31"/>
        <v>2329.3961132382856</v>
      </c>
      <c r="Q84" s="6">
        <f t="shared" si="32"/>
        <v>1785.3961132382856</v>
      </c>
      <c r="R84" s="6">
        <f t="shared" si="33"/>
        <v>1760.12</v>
      </c>
      <c r="S84" s="6">
        <f t="shared" si="34"/>
        <v>0</v>
      </c>
      <c r="T84" s="6">
        <f t="shared" si="35"/>
        <v>0</v>
      </c>
      <c r="U84" s="6">
        <f t="shared" si="36"/>
        <v>1760.12</v>
      </c>
      <c r="V84" s="6" t="str">
        <f>IF(MOD(C84-Settings!$B$32,Settings!$B$33)&lt;Settings!$B$30,"Up","Down")</f>
        <v>Up</v>
      </c>
      <c r="W84" s="6">
        <f>IF(OR(E84&gt;Settings!$B$30,Q84&gt;Settings!$B$37),0,1)</f>
        <v>0</v>
      </c>
      <c r="X84" s="6">
        <f>IF(AND(W84=1,Q84&lt;=Settings!$B$36),1,0)</f>
        <v>0</v>
      </c>
    </row>
    <row r="85" spans="1:24" x14ac:dyDescent="0.2">
      <c r="A85">
        <f>Arrivals!A85</f>
        <v>1</v>
      </c>
      <c r="B85">
        <f>Arrivals!B85</f>
        <v>80</v>
      </c>
      <c r="C85" s="6">
        <f>Arrivals!F85</f>
        <v>549</v>
      </c>
      <c r="D85" s="6">
        <f>Arrivals!K85</f>
        <v>300</v>
      </c>
      <c r="E85" s="6">
        <f>D85*8/ACE_Input!S85+ACE_Input!T85</f>
        <v>24.02</v>
      </c>
      <c r="F85" s="6">
        <f t="shared" si="26"/>
        <v>549</v>
      </c>
      <c r="G85" s="6">
        <f t="shared" si="37"/>
        <v>2328.14</v>
      </c>
      <c r="H85" s="6">
        <f t="shared" si="27"/>
        <v>2328.14</v>
      </c>
      <c r="I85" s="6">
        <f>MOD(H85-Settings!$B$32,Settings!$B$33)</f>
        <v>168.13999999999987</v>
      </c>
      <c r="J85" s="6">
        <f>IF(I85&lt;Settings!$B$30,IF(Settings!$B$30-I85&gt;=E85,H85,H85+(Settings!$B$30-I85)+Settings!$B$31),H85+(Settings!$B$33-I85))</f>
        <v>2328.14</v>
      </c>
      <c r="K85" s="6">
        <f t="shared" si="28"/>
        <v>2352.16</v>
      </c>
      <c r="L85" s="6">
        <f t="shared" si="29"/>
        <v>2352.16</v>
      </c>
      <c r="M85" s="6">
        <f t="shared" si="38"/>
        <v>2329.3961132382856</v>
      </c>
      <c r="N85" s="6">
        <f t="shared" si="30"/>
        <v>2352.16</v>
      </c>
      <c r="O85" s="6">
        <f>Arrivals!I85</f>
        <v>2.8884012493580826</v>
      </c>
      <c r="P85" s="6">
        <f t="shared" si="31"/>
        <v>2355.048401249358</v>
      </c>
      <c r="Q85" s="6">
        <f t="shared" si="32"/>
        <v>1806.048401249358</v>
      </c>
      <c r="R85" s="6">
        <f t="shared" si="33"/>
        <v>1779.1399999999999</v>
      </c>
      <c r="S85" s="6">
        <f t="shared" si="34"/>
        <v>0</v>
      </c>
      <c r="T85" s="6">
        <f t="shared" si="35"/>
        <v>0</v>
      </c>
      <c r="U85" s="6">
        <f t="shared" si="36"/>
        <v>1779.1399999999999</v>
      </c>
      <c r="V85" s="6" t="str">
        <f>IF(MOD(C85-Settings!$B$32,Settings!$B$33)&lt;Settings!$B$30,"Up","Down")</f>
        <v>Up</v>
      </c>
      <c r="W85" s="6">
        <f>IF(OR(E85&gt;Settings!$B$30,Q85&gt;Settings!$B$37),0,1)</f>
        <v>0</v>
      </c>
      <c r="X85" s="6">
        <f>IF(AND(W85=1,Q85&lt;=Settings!$B$36),1,0)</f>
        <v>0</v>
      </c>
    </row>
    <row r="86" spans="1:24" x14ac:dyDescent="0.2">
      <c r="A86">
        <f>Arrivals!A86</f>
        <v>1</v>
      </c>
      <c r="B86">
        <f>Arrivals!B86</f>
        <v>81</v>
      </c>
      <c r="C86" s="6">
        <f>Arrivals!F86</f>
        <v>554</v>
      </c>
      <c r="D86" s="6">
        <f>Arrivals!K86</f>
        <v>300</v>
      </c>
      <c r="E86" s="6">
        <f>D86*8/ACE_Input!S86+ACE_Input!T86</f>
        <v>24.02</v>
      </c>
      <c r="F86" s="6">
        <f t="shared" si="26"/>
        <v>554</v>
      </c>
      <c r="G86" s="6">
        <f t="shared" si="37"/>
        <v>2352.16</v>
      </c>
      <c r="H86" s="6">
        <f t="shared" si="27"/>
        <v>2352.16</v>
      </c>
      <c r="I86" s="6">
        <f>MOD(H86-Settings!$B$32,Settings!$B$33)</f>
        <v>192.15999999999985</v>
      </c>
      <c r="J86" s="6">
        <f>IF(I86&lt;Settings!$B$30,IF(Settings!$B$30-I86&gt;=E86,H86,H86+(Settings!$B$30-I86)+Settings!$B$31),H86+(Settings!$B$33-I86))</f>
        <v>2352.16</v>
      </c>
      <c r="K86" s="6">
        <f t="shared" si="28"/>
        <v>2376.1799999999998</v>
      </c>
      <c r="L86" s="6">
        <f t="shared" si="29"/>
        <v>2376.1799999999998</v>
      </c>
      <c r="M86" s="6">
        <f t="shared" si="38"/>
        <v>2355.048401249358</v>
      </c>
      <c r="N86" s="6">
        <f t="shared" si="30"/>
        <v>2376.1799999999998</v>
      </c>
      <c r="O86" s="6">
        <f>Arrivals!I86</f>
        <v>1.5375509784807264</v>
      </c>
      <c r="P86" s="6">
        <f t="shared" si="31"/>
        <v>2377.7175509784806</v>
      </c>
      <c r="Q86" s="6">
        <f t="shared" si="32"/>
        <v>1823.7175509784806</v>
      </c>
      <c r="R86" s="6">
        <f t="shared" si="33"/>
        <v>1798.1599999999999</v>
      </c>
      <c r="S86" s="6">
        <f t="shared" si="34"/>
        <v>0</v>
      </c>
      <c r="T86" s="6">
        <f t="shared" si="35"/>
        <v>0</v>
      </c>
      <c r="U86" s="6">
        <f t="shared" si="36"/>
        <v>1798.1599999999999</v>
      </c>
      <c r="V86" s="6" t="str">
        <f>IF(MOD(C86-Settings!$B$32,Settings!$B$33)&lt;Settings!$B$30,"Up","Down")</f>
        <v>Up</v>
      </c>
      <c r="W86" s="6">
        <f>IF(OR(E86&gt;Settings!$B$30,Q86&gt;Settings!$B$37),0,1)</f>
        <v>0</v>
      </c>
      <c r="X86" s="6">
        <f>IF(AND(W86=1,Q86&lt;=Settings!$B$36),1,0)</f>
        <v>0</v>
      </c>
    </row>
    <row r="87" spans="1:24" x14ac:dyDescent="0.2">
      <c r="A87">
        <f>Arrivals!A87</f>
        <v>1</v>
      </c>
      <c r="B87">
        <f>Arrivals!B87</f>
        <v>82</v>
      </c>
      <c r="C87" s="6">
        <f>Arrivals!F87</f>
        <v>559</v>
      </c>
      <c r="D87" s="6">
        <f>Arrivals!K87</f>
        <v>300</v>
      </c>
      <c r="E87" s="6">
        <f>D87*8/ACE_Input!S87+ACE_Input!T87</f>
        <v>24.02</v>
      </c>
      <c r="F87" s="6">
        <f t="shared" si="26"/>
        <v>559</v>
      </c>
      <c r="G87" s="6">
        <f t="shared" si="37"/>
        <v>2376.1799999999998</v>
      </c>
      <c r="H87" s="6">
        <f t="shared" si="27"/>
        <v>2376.1799999999998</v>
      </c>
      <c r="I87" s="6">
        <f>MOD(H87-Settings!$B$32,Settings!$B$33)</f>
        <v>216.17999999999984</v>
      </c>
      <c r="J87" s="6">
        <f>IF(I87&lt;Settings!$B$30,IF(Settings!$B$30-I87&gt;=E87,H87,H87+(Settings!$B$30-I87)+Settings!$B$31),H87+(Settings!$B$33-I87))</f>
        <v>2376.1799999999998</v>
      </c>
      <c r="K87" s="6">
        <f t="shared" si="28"/>
        <v>2400.1999999999998</v>
      </c>
      <c r="L87" s="6">
        <f t="shared" si="29"/>
        <v>2400.1999999999998</v>
      </c>
      <c r="M87" s="6">
        <f t="shared" si="38"/>
        <v>2377.7175509784806</v>
      </c>
      <c r="N87" s="6">
        <f t="shared" si="30"/>
        <v>2400.1999999999998</v>
      </c>
      <c r="O87" s="6">
        <f>Arrivals!I87</f>
        <v>4.3395057376269977</v>
      </c>
      <c r="P87" s="6">
        <f t="shared" si="31"/>
        <v>2404.5395057376268</v>
      </c>
      <c r="Q87" s="6">
        <f t="shared" si="32"/>
        <v>1845.5395057376268</v>
      </c>
      <c r="R87" s="6">
        <f t="shared" si="33"/>
        <v>1817.1799999999998</v>
      </c>
      <c r="S87" s="6">
        <f t="shared" si="34"/>
        <v>0</v>
      </c>
      <c r="T87" s="6">
        <f t="shared" si="35"/>
        <v>0</v>
      </c>
      <c r="U87" s="6">
        <f t="shared" si="36"/>
        <v>1817.1799999999998</v>
      </c>
      <c r="V87" s="6" t="str">
        <f>IF(MOD(C87-Settings!$B$32,Settings!$B$33)&lt;Settings!$B$30,"Up","Down")</f>
        <v>Up</v>
      </c>
      <c r="W87" s="6">
        <f>IF(OR(E87&gt;Settings!$B$30,Q87&gt;Settings!$B$37),0,1)</f>
        <v>0</v>
      </c>
      <c r="X87" s="6">
        <f>IF(AND(W87=1,Q87&lt;=Settings!$B$36),1,0)</f>
        <v>0</v>
      </c>
    </row>
    <row r="88" spans="1:24" x14ac:dyDescent="0.2">
      <c r="A88">
        <f>Arrivals!A88</f>
        <v>1</v>
      </c>
      <c r="B88">
        <f>Arrivals!B88</f>
        <v>83</v>
      </c>
      <c r="C88" s="6">
        <f>Arrivals!F88</f>
        <v>564</v>
      </c>
      <c r="D88" s="6">
        <f>Arrivals!K88</f>
        <v>300</v>
      </c>
      <c r="E88" s="6">
        <f>D88*8/ACE_Input!S88+ACE_Input!T88</f>
        <v>24.02</v>
      </c>
      <c r="F88" s="6">
        <f t="shared" si="26"/>
        <v>564</v>
      </c>
      <c r="G88" s="6">
        <f t="shared" si="37"/>
        <v>2400.1999999999998</v>
      </c>
      <c r="H88" s="6">
        <f t="shared" si="27"/>
        <v>2400.1999999999998</v>
      </c>
      <c r="I88" s="6">
        <f>MOD(H88-Settings!$B$32,Settings!$B$33)</f>
        <v>240.19999999999982</v>
      </c>
      <c r="J88" s="6">
        <f>IF(I88&lt;Settings!$B$30,IF(Settings!$B$30-I88&gt;=E88,H88,H88+(Settings!$B$30-I88)+Settings!$B$31),H88+(Settings!$B$33-I88))</f>
        <v>2400.1999999999998</v>
      </c>
      <c r="K88" s="6">
        <f t="shared" si="28"/>
        <v>2424.2199999999998</v>
      </c>
      <c r="L88" s="6">
        <f t="shared" si="29"/>
        <v>2424.2199999999998</v>
      </c>
      <c r="M88" s="6">
        <f t="shared" si="38"/>
        <v>2404.5395057376268</v>
      </c>
      <c r="N88" s="6">
        <f t="shared" si="30"/>
        <v>2424.2199999999998</v>
      </c>
      <c r="O88" s="6">
        <f>Arrivals!I88</f>
        <v>0.80796467966787877</v>
      </c>
      <c r="P88" s="6">
        <f t="shared" si="31"/>
        <v>2425.0279646796675</v>
      </c>
      <c r="Q88" s="6">
        <f t="shared" si="32"/>
        <v>1861.0279646796675</v>
      </c>
      <c r="R88" s="6">
        <f t="shared" si="33"/>
        <v>1836.1999999999998</v>
      </c>
      <c r="S88" s="6">
        <f t="shared" si="34"/>
        <v>0</v>
      </c>
      <c r="T88" s="6">
        <f t="shared" si="35"/>
        <v>0</v>
      </c>
      <c r="U88" s="6">
        <f t="shared" si="36"/>
        <v>1836.1999999999998</v>
      </c>
      <c r="V88" s="6" t="str">
        <f>IF(MOD(C88-Settings!$B$32,Settings!$B$33)&lt;Settings!$B$30,"Up","Down")</f>
        <v>Up</v>
      </c>
      <c r="W88" s="6">
        <f>IF(OR(E88&gt;Settings!$B$30,Q88&gt;Settings!$B$37),0,1)</f>
        <v>0</v>
      </c>
      <c r="X88" s="6">
        <f>IF(AND(W88=1,Q88&lt;=Settings!$B$36),1,0)</f>
        <v>0</v>
      </c>
    </row>
    <row r="89" spans="1:24" x14ac:dyDescent="0.2">
      <c r="A89">
        <f>Arrivals!A89</f>
        <v>1</v>
      </c>
      <c r="B89">
        <f>Arrivals!B89</f>
        <v>84</v>
      </c>
      <c r="C89" s="6">
        <f>Arrivals!F89</f>
        <v>569</v>
      </c>
      <c r="D89" s="6">
        <f>Arrivals!K89</f>
        <v>300</v>
      </c>
      <c r="E89" s="6">
        <f>D89*8/ACE_Input!S89+ACE_Input!T89</f>
        <v>24.02</v>
      </c>
      <c r="F89" s="6">
        <f t="shared" si="26"/>
        <v>569</v>
      </c>
      <c r="G89" s="6">
        <f t="shared" si="37"/>
        <v>2424.2199999999998</v>
      </c>
      <c r="H89" s="6">
        <f t="shared" si="27"/>
        <v>2424.2199999999998</v>
      </c>
      <c r="I89" s="6">
        <f>MOD(H89-Settings!$B$32,Settings!$B$33)</f>
        <v>264.2199999999998</v>
      </c>
      <c r="J89" s="6">
        <f>IF(I89&lt;Settings!$B$30,IF(Settings!$B$30-I89&gt;=E89,H89,H89+(Settings!$B$30-I89)+Settings!$B$31),H89+(Settings!$B$33-I89))</f>
        <v>2424.2199999999998</v>
      </c>
      <c r="K89" s="6">
        <f t="shared" si="28"/>
        <v>2448.2399999999998</v>
      </c>
      <c r="L89" s="6">
        <f t="shared" si="29"/>
        <v>2448.2399999999998</v>
      </c>
      <c r="M89" s="6">
        <f t="shared" si="38"/>
        <v>2425.0279646796675</v>
      </c>
      <c r="N89" s="6">
        <f t="shared" si="30"/>
        <v>2448.2399999999998</v>
      </c>
      <c r="O89" s="6">
        <f>Arrivals!I89</f>
        <v>13.328487686285898</v>
      </c>
      <c r="P89" s="6">
        <f t="shared" si="31"/>
        <v>2461.5684876862856</v>
      </c>
      <c r="Q89" s="6">
        <f t="shared" si="32"/>
        <v>1892.5684876862856</v>
      </c>
      <c r="R89" s="6">
        <f t="shared" si="33"/>
        <v>1855.2199999999998</v>
      </c>
      <c r="S89" s="6">
        <f t="shared" si="34"/>
        <v>0</v>
      </c>
      <c r="T89" s="6">
        <f t="shared" si="35"/>
        <v>0</v>
      </c>
      <c r="U89" s="6">
        <f t="shared" si="36"/>
        <v>1855.2199999999998</v>
      </c>
      <c r="V89" s="6" t="str">
        <f>IF(MOD(C89-Settings!$B$32,Settings!$B$33)&lt;Settings!$B$30,"Up","Down")</f>
        <v>Up</v>
      </c>
      <c r="W89" s="6">
        <f>IF(OR(E89&gt;Settings!$B$30,Q89&gt;Settings!$B$37),0,1)</f>
        <v>0</v>
      </c>
      <c r="X89" s="6">
        <f>IF(AND(W89=1,Q89&lt;=Settings!$B$36),1,0)</f>
        <v>0</v>
      </c>
    </row>
    <row r="90" spans="1:24" x14ac:dyDescent="0.2">
      <c r="A90">
        <f>Arrivals!A90</f>
        <v>1</v>
      </c>
      <c r="B90">
        <f>Arrivals!B90</f>
        <v>85</v>
      </c>
      <c r="C90" s="6">
        <f>Arrivals!F90</f>
        <v>574</v>
      </c>
      <c r="D90" s="6">
        <f>Arrivals!K90</f>
        <v>300</v>
      </c>
      <c r="E90" s="6">
        <f>D90*8/ACE_Input!S90+ACE_Input!T90</f>
        <v>24.02</v>
      </c>
      <c r="F90" s="6">
        <f t="shared" si="26"/>
        <v>574</v>
      </c>
      <c r="G90" s="6">
        <f t="shared" si="37"/>
        <v>2448.2399999999998</v>
      </c>
      <c r="H90" s="6">
        <f t="shared" si="27"/>
        <v>2448.2399999999998</v>
      </c>
      <c r="I90" s="6">
        <f>MOD(H90-Settings!$B$32,Settings!$B$33)</f>
        <v>288.23999999999978</v>
      </c>
      <c r="J90" s="6">
        <f>IF(I90&lt;Settings!$B$30,IF(Settings!$B$30-I90&gt;=E90,H90,H90+(Settings!$B$30-I90)+Settings!$B$31),H90+(Settings!$B$33-I90))</f>
        <v>2448.2399999999998</v>
      </c>
      <c r="K90" s="6">
        <f t="shared" si="28"/>
        <v>2472.2599999999998</v>
      </c>
      <c r="L90" s="6">
        <f t="shared" si="29"/>
        <v>2472.2599999999998</v>
      </c>
      <c r="M90" s="6">
        <f t="shared" si="38"/>
        <v>2461.5684876862856</v>
      </c>
      <c r="N90" s="6">
        <f t="shared" si="30"/>
        <v>2472.2599999999998</v>
      </c>
      <c r="O90" s="6">
        <f>Arrivals!I90</f>
        <v>4.8215504646595626</v>
      </c>
      <c r="P90" s="6">
        <f t="shared" si="31"/>
        <v>2477.0815504646594</v>
      </c>
      <c r="Q90" s="6">
        <f t="shared" si="32"/>
        <v>1903.0815504646594</v>
      </c>
      <c r="R90" s="6">
        <f t="shared" si="33"/>
        <v>1874.2399999999998</v>
      </c>
      <c r="S90" s="6">
        <f t="shared" si="34"/>
        <v>0</v>
      </c>
      <c r="T90" s="6">
        <f t="shared" si="35"/>
        <v>0</v>
      </c>
      <c r="U90" s="6">
        <f t="shared" si="36"/>
        <v>1874.2399999999998</v>
      </c>
      <c r="V90" s="6" t="str">
        <f>IF(MOD(C90-Settings!$B$32,Settings!$B$33)&lt;Settings!$B$30,"Up","Down")</f>
        <v>Up</v>
      </c>
      <c r="W90" s="6">
        <f>IF(OR(E90&gt;Settings!$B$30,Q90&gt;Settings!$B$37),0,1)</f>
        <v>0</v>
      </c>
      <c r="X90" s="6">
        <f>IF(AND(W90=1,Q90&lt;=Settings!$B$36),1,0)</f>
        <v>0</v>
      </c>
    </row>
    <row r="91" spans="1:24" x14ac:dyDescent="0.2">
      <c r="A91">
        <f>Arrivals!A91</f>
        <v>1</v>
      </c>
      <c r="B91">
        <f>Arrivals!B91</f>
        <v>86</v>
      </c>
      <c r="C91" s="6">
        <f>Arrivals!F91</f>
        <v>579</v>
      </c>
      <c r="D91" s="6">
        <f>Arrivals!K91</f>
        <v>300</v>
      </c>
      <c r="E91" s="6">
        <f>D91*8/ACE_Input!S91+ACE_Input!T91</f>
        <v>24.02</v>
      </c>
      <c r="F91" s="6">
        <f t="shared" si="26"/>
        <v>579</v>
      </c>
      <c r="G91" s="6">
        <f t="shared" si="37"/>
        <v>2472.2599999999998</v>
      </c>
      <c r="H91" s="6">
        <f t="shared" si="27"/>
        <v>2472.2599999999998</v>
      </c>
      <c r="I91" s="6">
        <f>MOD(H91-Settings!$B$32,Settings!$B$33)</f>
        <v>312.25999999999976</v>
      </c>
      <c r="J91" s="6">
        <f>IF(I91&lt;Settings!$B$30,IF(Settings!$B$30-I91&gt;=E91,H91,H91+(Settings!$B$30-I91)+Settings!$B$31),H91+(Settings!$B$33-I91))</f>
        <v>2472.2599999999998</v>
      </c>
      <c r="K91" s="6">
        <f t="shared" si="28"/>
        <v>2496.2799999999997</v>
      </c>
      <c r="L91" s="6">
        <f t="shared" si="29"/>
        <v>2496.2799999999997</v>
      </c>
      <c r="M91" s="6">
        <f t="shared" si="38"/>
        <v>2477.0815504646594</v>
      </c>
      <c r="N91" s="6">
        <f t="shared" si="30"/>
        <v>2496.2799999999997</v>
      </c>
      <c r="O91" s="6">
        <f>Arrivals!I91</f>
        <v>0.11598043986057199</v>
      </c>
      <c r="P91" s="6">
        <f t="shared" si="31"/>
        <v>2496.3959804398605</v>
      </c>
      <c r="Q91" s="6">
        <f t="shared" si="32"/>
        <v>1917.3959804398605</v>
      </c>
      <c r="R91" s="6">
        <f t="shared" si="33"/>
        <v>1893.2599999999998</v>
      </c>
      <c r="S91" s="6">
        <f t="shared" si="34"/>
        <v>0</v>
      </c>
      <c r="T91" s="6">
        <f t="shared" si="35"/>
        <v>0</v>
      </c>
      <c r="U91" s="6">
        <f t="shared" si="36"/>
        <v>1893.2599999999998</v>
      </c>
      <c r="V91" s="6" t="str">
        <f>IF(MOD(C91-Settings!$B$32,Settings!$B$33)&lt;Settings!$B$30,"Up","Down")</f>
        <v>Up</v>
      </c>
      <c r="W91" s="6">
        <f>IF(OR(E91&gt;Settings!$B$30,Q91&gt;Settings!$B$37),0,1)</f>
        <v>0</v>
      </c>
      <c r="X91" s="6">
        <f>IF(AND(W91=1,Q91&lt;=Settings!$B$36),1,0)</f>
        <v>0</v>
      </c>
    </row>
    <row r="92" spans="1:24" x14ac:dyDescent="0.2">
      <c r="A92">
        <f>Arrivals!A92</f>
        <v>1</v>
      </c>
      <c r="B92">
        <f>Arrivals!B92</f>
        <v>87</v>
      </c>
      <c r="C92" s="6">
        <f>Arrivals!F92</f>
        <v>584</v>
      </c>
      <c r="D92" s="6">
        <f>Arrivals!K92</f>
        <v>300</v>
      </c>
      <c r="E92" s="6">
        <f>D92*8/ACE_Input!S92+ACE_Input!T92</f>
        <v>24.02</v>
      </c>
      <c r="F92" s="6">
        <f t="shared" si="26"/>
        <v>584</v>
      </c>
      <c r="G92" s="6">
        <f t="shared" si="37"/>
        <v>2496.2799999999997</v>
      </c>
      <c r="H92" s="6">
        <f t="shared" si="27"/>
        <v>2496.2799999999997</v>
      </c>
      <c r="I92" s="6">
        <f>MOD(H92-Settings!$B$32,Settings!$B$33)</f>
        <v>336.27999999999975</v>
      </c>
      <c r="J92" s="6">
        <f>IF(I92&lt;Settings!$B$30,IF(Settings!$B$30-I92&gt;=E92,H92,H92+(Settings!$B$30-I92)+Settings!$B$31),H92+(Settings!$B$33-I92))</f>
        <v>2496.2799999999997</v>
      </c>
      <c r="K92" s="6">
        <f t="shared" si="28"/>
        <v>2520.2999999999997</v>
      </c>
      <c r="L92" s="6">
        <f t="shared" si="29"/>
        <v>2520.2999999999997</v>
      </c>
      <c r="M92" s="6">
        <f t="shared" si="38"/>
        <v>2496.3959804398605</v>
      </c>
      <c r="N92" s="6">
        <f t="shared" si="30"/>
        <v>2520.2999999999997</v>
      </c>
      <c r="O92" s="6">
        <f>Arrivals!I92</f>
        <v>1.5641421979283203</v>
      </c>
      <c r="P92" s="6">
        <f t="shared" si="31"/>
        <v>2521.8641421979282</v>
      </c>
      <c r="Q92" s="6">
        <f t="shared" si="32"/>
        <v>1937.8641421979282</v>
      </c>
      <c r="R92" s="6">
        <f t="shared" si="33"/>
        <v>1912.2799999999997</v>
      </c>
      <c r="S92" s="6">
        <f t="shared" si="34"/>
        <v>0</v>
      </c>
      <c r="T92" s="6">
        <f t="shared" si="35"/>
        <v>0</v>
      </c>
      <c r="U92" s="6">
        <f t="shared" si="36"/>
        <v>1912.2799999999997</v>
      </c>
      <c r="V92" s="6" t="str">
        <f>IF(MOD(C92-Settings!$B$32,Settings!$B$33)&lt;Settings!$B$30,"Up","Down")</f>
        <v>Up</v>
      </c>
      <c r="W92" s="6">
        <f>IF(OR(E92&gt;Settings!$B$30,Q92&gt;Settings!$B$37),0,1)</f>
        <v>0</v>
      </c>
      <c r="X92" s="6">
        <f>IF(AND(W92=1,Q92&lt;=Settings!$B$36),1,0)</f>
        <v>0</v>
      </c>
    </row>
    <row r="93" spans="1:24" x14ac:dyDescent="0.2">
      <c r="A93">
        <f>Arrivals!A93</f>
        <v>1</v>
      </c>
      <c r="B93">
        <f>Arrivals!B93</f>
        <v>88</v>
      </c>
      <c r="C93" s="6">
        <f>Arrivals!F93</f>
        <v>589</v>
      </c>
      <c r="D93" s="6">
        <f>Arrivals!K93</f>
        <v>300</v>
      </c>
      <c r="E93" s="6">
        <f>D93*8/ACE_Input!S93+ACE_Input!T93</f>
        <v>24.02</v>
      </c>
      <c r="F93" s="6">
        <f t="shared" si="26"/>
        <v>589</v>
      </c>
      <c r="G93" s="6">
        <f t="shared" si="37"/>
        <v>2520.2999999999997</v>
      </c>
      <c r="H93" s="6">
        <f t="shared" si="27"/>
        <v>2520.2999999999997</v>
      </c>
      <c r="I93" s="6">
        <f>MOD(H93-Settings!$B$32,Settings!$B$33)</f>
        <v>360.29999999999973</v>
      </c>
      <c r="J93" s="6">
        <f>IF(I93&lt;Settings!$B$30,IF(Settings!$B$30-I93&gt;=E93,H93,H93+(Settings!$B$30-I93)+Settings!$B$31),H93+(Settings!$B$33-I93))</f>
        <v>2520.2999999999997</v>
      </c>
      <c r="K93" s="6">
        <f t="shared" si="28"/>
        <v>2544.3199999999997</v>
      </c>
      <c r="L93" s="6">
        <f t="shared" si="29"/>
        <v>2544.3199999999997</v>
      </c>
      <c r="M93" s="6">
        <f t="shared" si="38"/>
        <v>2521.8641421979282</v>
      </c>
      <c r="N93" s="6">
        <f t="shared" si="30"/>
        <v>2544.3199999999997</v>
      </c>
      <c r="O93" s="6">
        <f>Arrivals!I93</f>
        <v>2.6375653248990356</v>
      </c>
      <c r="P93" s="6">
        <f t="shared" si="31"/>
        <v>2546.957565324899</v>
      </c>
      <c r="Q93" s="6">
        <f t="shared" si="32"/>
        <v>1957.957565324899</v>
      </c>
      <c r="R93" s="6">
        <f t="shared" si="33"/>
        <v>1931.2999999999997</v>
      </c>
      <c r="S93" s="6">
        <f t="shared" si="34"/>
        <v>0</v>
      </c>
      <c r="T93" s="6">
        <f t="shared" si="35"/>
        <v>0</v>
      </c>
      <c r="U93" s="6">
        <f t="shared" si="36"/>
        <v>1931.2999999999997</v>
      </c>
      <c r="V93" s="6" t="str">
        <f>IF(MOD(C93-Settings!$B$32,Settings!$B$33)&lt;Settings!$B$30,"Up","Down")</f>
        <v>Up</v>
      </c>
      <c r="W93" s="6">
        <f>IF(OR(E93&gt;Settings!$B$30,Q93&gt;Settings!$B$37),0,1)</f>
        <v>0</v>
      </c>
      <c r="X93" s="6">
        <f>IF(AND(W93=1,Q93&lt;=Settings!$B$36),1,0)</f>
        <v>0</v>
      </c>
    </row>
    <row r="94" spans="1:24" x14ac:dyDescent="0.2">
      <c r="A94">
        <f>Arrivals!A94</f>
        <v>1</v>
      </c>
      <c r="B94">
        <f>Arrivals!B94</f>
        <v>89</v>
      </c>
      <c r="C94" s="6">
        <f>Arrivals!F94</f>
        <v>594</v>
      </c>
      <c r="D94" s="6">
        <f>Arrivals!K94</f>
        <v>300</v>
      </c>
      <c r="E94" s="6">
        <f>D94*8/ACE_Input!S94+ACE_Input!T94</f>
        <v>24.02</v>
      </c>
      <c r="F94" s="6">
        <f t="shared" si="26"/>
        <v>594</v>
      </c>
      <c r="G94" s="6">
        <f t="shared" si="37"/>
        <v>2544.3199999999997</v>
      </c>
      <c r="H94" s="6">
        <f t="shared" si="27"/>
        <v>2544.3199999999997</v>
      </c>
      <c r="I94" s="6">
        <f>MOD(H94-Settings!$B$32,Settings!$B$33)</f>
        <v>384.31999999999971</v>
      </c>
      <c r="J94" s="6">
        <f>IF(I94&lt;Settings!$B$30,IF(Settings!$B$30-I94&gt;=E94,H94,H94+(Settings!$B$30-I94)+Settings!$B$31),H94+(Settings!$B$33-I94))</f>
        <v>2544.3199999999997</v>
      </c>
      <c r="K94" s="6">
        <f t="shared" si="28"/>
        <v>2568.3399999999997</v>
      </c>
      <c r="L94" s="6">
        <f t="shared" si="29"/>
        <v>2568.3399999999997</v>
      </c>
      <c r="M94" s="6">
        <f t="shared" si="38"/>
        <v>2546.957565324899</v>
      </c>
      <c r="N94" s="6">
        <f t="shared" si="30"/>
        <v>2568.3399999999997</v>
      </c>
      <c r="O94" s="6">
        <f>Arrivals!I94</f>
        <v>18.700782789502373</v>
      </c>
      <c r="P94" s="6">
        <f t="shared" si="31"/>
        <v>2587.0407827895019</v>
      </c>
      <c r="Q94" s="6">
        <f t="shared" si="32"/>
        <v>1993.0407827895019</v>
      </c>
      <c r="R94" s="6">
        <f t="shared" si="33"/>
        <v>1950.3199999999997</v>
      </c>
      <c r="S94" s="6">
        <f t="shared" si="34"/>
        <v>0</v>
      </c>
      <c r="T94" s="6">
        <f t="shared" si="35"/>
        <v>0</v>
      </c>
      <c r="U94" s="6">
        <f t="shared" si="36"/>
        <v>1950.3199999999997</v>
      </c>
      <c r="V94" s="6" t="str">
        <f>IF(MOD(C94-Settings!$B$32,Settings!$B$33)&lt;Settings!$B$30,"Up","Down")</f>
        <v>Up</v>
      </c>
      <c r="W94" s="6">
        <f>IF(OR(E94&gt;Settings!$B$30,Q94&gt;Settings!$B$37),0,1)</f>
        <v>0</v>
      </c>
      <c r="X94" s="6">
        <f>IF(AND(W94=1,Q94&lt;=Settings!$B$36),1,0)</f>
        <v>0</v>
      </c>
    </row>
    <row r="95" spans="1:24" x14ac:dyDescent="0.2">
      <c r="A95">
        <f>Arrivals!A95</f>
        <v>1</v>
      </c>
      <c r="B95">
        <f>Arrivals!B95</f>
        <v>90</v>
      </c>
      <c r="C95" s="6">
        <f>Arrivals!F95</f>
        <v>599</v>
      </c>
      <c r="D95" s="6">
        <f>Arrivals!K95</f>
        <v>300</v>
      </c>
      <c r="E95" s="6">
        <f>D95*8/ACE_Input!S95+ACE_Input!T95</f>
        <v>24.02</v>
      </c>
      <c r="F95" s="6">
        <f t="shared" si="26"/>
        <v>599</v>
      </c>
      <c r="G95" s="6">
        <f t="shared" si="37"/>
        <v>2568.3399999999997</v>
      </c>
      <c r="H95" s="6">
        <f t="shared" si="27"/>
        <v>2568.3399999999997</v>
      </c>
      <c r="I95" s="6">
        <f>MOD(H95-Settings!$B$32,Settings!$B$33)</f>
        <v>408.33999999999969</v>
      </c>
      <c r="J95" s="6">
        <f>IF(I95&lt;Settings!$B$30,IF(Settings!$B$30-I95&gt;=E95,H95,H95+(Settings!$B$30-I95)+Settings!$B$31),H95+(Settings!$B$33-I95))</f>
        <v>2568.3399999999997</v>
      </c>
      <c r="K95" s="6">
        <f t="shared" si="28"/>
        <v>2592.3599999999997</v>
      </c>
      <c r="L95" s="6">
        <f t="shared" si="29"/>
        <v>2592.3599999999997</v>
      </c>
      <c r="M95" s="6">
        <f t="shared" si="38"/>
        <v>2587.0407827895019</v>
      </c>
      <c r="N95" s="6">
        <f t="shared" si="30"/>
        <v>2592.3599999999997</v>
      </c>
      <c r="O95" s="6">
        <f>Arrivals!I95</f>
        <v>1.4071388901522821</v>
      </c>
      <c r="P95" s="6">
        <f t="shared" si="31"/>
        <v>2593.7671388901517</v>
      </c>
      <c r="Q95" s="6">
        <f t="shared" si="32"/>
        <v>1994.7671388901517</v>
      </c>
      <c r="R95" s="6">
        <f t="shared" si="33"/>
        <v>1969.3399999999997</v>
      </c>
      <c r="S95" s="6">
        <f t="shared" si="34"/>
        <v>0</v>
      </c>
      <c r="T95" s="6">
        <f t="shared" si="35"/>
        <v>0</v>
      </c>
      <c r="U95" s="6">
        <f t="shared" si="36"/>
        <v>1969.3399999999997</v>
      </c>
      <c r="V95" s="6" t="str">
        <f>IF(MOD(C95-Settings!$B$32,Settings!$B$33)&lt;Settings!$B$30,"Up","Down")</f>
        <v>Up</v>
      </c>
      <c r="W95" s="6">
        <f>IF(OR(E95&gt;Settings!$B$30,Q95&gt;Settings!$B$37),0,1)</f>
        <v>0</v>
      </c>
      <c r="X95" s="6">
        <f>IF(AND(W95=1,Q95&lt;=Settings!$B$36),1,0)</f>
        <v>0</v>
      </c>
    </row>
    <row r="96" spans="1:24" x14ac:dyDescent="0.2">
      <c r="A96">
        <f>Arrivals!A96</f>
        <v>1</v>
      </c>
      <c r="B96">
        <f>Arrivals!B96</f>
        <v>91</v>
      </c>
      <c r="C96" s="6">
        <f>Arrivals!F96</f>
        <v>604</v>
      </c>
      <c r="D96" s="6">
        <f>Arrivals!K96</f>
        <v>300</v>
      </c>
      <c r="E96" s="6">
        <f>D96*8/ACE_Input!S96+ACE_Input!T96</f>
        <v>24.02</v>
      </c>
      <c r="F96" s="6">
        <f t="shared" si="26"/>
        <v>604</v>
      </c>
      <c r="G96" s="6">
        <f t="shared" si="37"/>
        <v>2592.3599999999997</v>
      </c>
      <c r="H96" s="6">
        <f t="shared" si="27"/>
        <v>2592.3599999999997</v>
      </c>
      <c r="I96" s="6">
        <f>MOD(H96-Settings!$B$32,Settings!$B$33)</f>
        <v>432.35999999999967</v>
      </c>
      <c r="J96" s="6">
        <f>IF(I96&lt;Settings!$B$30,IF(Settings!$B$30-I96&gt;=E96,H96,H96+(Settings!$B$30-I96)+Settings!$B$31),H96+(Settings!$B$33-I96))</f>
        <v>2592.3599999999997</v>
      </c>
      <c r="K96" s="6">
        <f t="shared" si="28"/>
        <v>2616.3799999999997</v>
      </c>
      <c r="L96" s="6">
        <f t="shared" si="29"/>
        <v>2616.3799999999997</v>
      </c>
      <c r="M96" s="6">
        <f t="shared" si="38"/>
        <v>2593.7671388901517</v>
      </c>
      <c r="N96" s="6">
        <f t="shared" si="30"/>
        <v>2616.3799999999997</v>
      </c>
      <c r="O96" s="6">
        <f>Arrivals!I96</f>
        <v>2.2214108305720774</v>
      </c>
      <c r="P96" s="6">
        <f t="shared" si="31"/>
        <v>2618.6014108305717</v>
      </c>
      <c r="Q96" s="6">
        <f t="shared" si="32"/>
        <v>2014.6014108305717</v>
      </c>
      <c r="R96" s="6">
        <f t="shared" si="33"/>
        <v>1988.3599999999997</v>
      </c>
      <c r="S96" s="6">
        <f t="shared" si="34"/>
        <v>0</v>
      </c>
      <c r="T96" s="6">
        <f t="shared" si="35"/>
        <v>0</v>
      </c>
      <c r="U96" s="6">
        <f t="shared" si="36"/>
        <v>1988.3599999999997</v>
      </c>
      <c r="V96" s="6" t="str">
        <f>IF(MOD(C96-Settings!$B$32,Settings!$B$33)&lt;Settings!$B$30,"Up","Down")</f>
        <v>Down</v>
      </c>
      <c r="W96" s="6">
        <f>IF(OR(E96&gt;Settings!$B$30,Q96&gt;Settings!$B$37),0,1)</f>
        <v>0</v>
      </c>
      <c r="X96" s="6">
        <f>IF(AND(W96=1,Q96&lt;=Settings!$B$36),1,0)</f>
        <v>0</v>
      </c>
    </row>
    <row r="97" spans="1:24" x14ac:dyDescent="0.2">
      <c r="A97">
        <f>Arrivals!A97</f>
        <v>1</v>
      </c>
      <c r="B97">
        <f>Arrivals!B97</f>
        <v>92</v>
      </c>
      <c r="C97" s="6">
        <f>Arrivals!F97</f>
        <v>609</v>
      </c>
      <c r="D97" s="6">
        <f>Arrivals!K97</f>
        <v>300</v>
      </c>
      <c r="E97" s="6">
        <f>D97*8/ACE_Input!S97+ACE_Input!T97</f>
        <v>24.02</v>
      </c>
      <c r="F97" s="6">
        <f t="shared" si="26"/>
        <v>609</v>
      </c>
      <c r="G97" s="6">
        <f t="shared" si="37"/>
        <v>2616.3799999999997</v>
      </c>
      <c r="H97" s="6">
        <f t="shared" si="27"/>
        <v>2616.3799999999997</v>
      </c>
      <c r="I97" s="6">
        <f>MOD(H97-Settings!$B$32,Settings!$B$33)</f>
        <v>456.37999999999965</v>
      </c>
      <c r="J97" s="6">
        <f>IF(I97&lt;Settings!$B$30,IF(Settings!$B$30-I97&gt;=E97,H97,H97+(Settings!$B$30-I97)+Settings!$B$31),H97+(Settings!$B$33-I97))</f>
        <v>2616.3799999999997</v>
      </c>
      <c r="K97" s="6">
        <f t="shared" si="28"/>
        <v>2640.3999999999996</v>
      </c>
      <c r="L97" s="6">
        <f t="shared" si="29"/>
        <v>2640.3999999999996</v>
      </c>
      <c r="M97" s="6">
        <f t="shared" si="38"/>
        <v>2618.6014108305717</v>
      </c>
      <c r="N97" s="6">
        <f t="shared" si="30"/>
        <v>2640.3999999999996</v>
      </c>
      <c r="O97" s="6">
        <f>Arrivals!I97</f>
        <v>14.023816369107895</v>
      </c>
      <c r="P97" s="6">
        <f t="shared" si="31"/>
        <v>2654.4238163691075</v>
      </c>
      <c r="Q97" s="6">
        <f t="shared" si="32"/>
        <v>2045.4238163691075</v>
      </c>
      <c r="R97" s="6">
        <f t="shared" si="33"/>
        <v>2007.3799999999997</v>
      </c>
      <c r="S97" s="6">
        <f t="shared" si="34"/>
        <v>0</v>
      </c>
      <c r="T97" s="6">
        <f t="shared" si="35"/>
        <v>0</v>
      </c>
      <c r="U97" s="6">
        <f t="shared" si="36"/>
        <v>2007.3799999999997</v>
      </c>
      <c r="V97" s="6" t="str">
        <f>IF(MOD(C97-Settings!$B$32,Settings!$B$33)&lt;Settings!$B$30,"Up","Down")</f>
        <v>Down</v>
      </c>
      <c r="W97" s="6">
        <f>IF(OR(E97&gt;Settings!$B$30,Q97&gt;Settings!$B$37),0,1)</f>
        <v>0</v>
      </c>
      <c r="X97" s="6">
        <f>IF(AND(W97=1,Q97&lt;=Settings!$B$36),1,0)</f>
        <v>0</v>
      </c>
    </row>
    <row r="98" spans="1:24" x14ac:dyDescent="0.2">
      <c r="A98">
        <f>Arrivals!A98</f>
        <v>1</v>
      </c>
      <c r="B98">
        <f>Arrivals!B98</f>
        <v>93</v>
      </c>
      <c r="C98" s="6">
        <f>Arrivals!F98</f>
        <v>614</v>
      </c>
      <c r="D98" s="6">
        <f>Arrivals!K98</f>
        <v>300</v>
      </c>
      <c r="E98" s="6">
        <f>D98*8/ACE_Input!S98+ACE_Input!T98</f>
        <v>24.02</v>
      </c>
      <c r="F98" s="6">
        <f t="shared" si="26"/>
        <v>614</v>
      </c>
      <c r="G98" s="6">
        <f t="shared" si="37"/>
        <v>2640.3999999999996</v>
      </c>
      <c r="H98" s="6">
        <f t="shared" si="27"/>
        <v>2640.3999999999996</v>
      </c>
      <c r="I98" s="6">
        <f>MOD(H98-Settings!$B$32,Settings!$B$33)</f>
        <v>480.39999999999964</v>
      </c>
      <c r="J98" s="6">
        <f>IF(I98&lt;Settings!$B$30,IF(Settings!$B$30-I98&gt;=E98,H98,H98+(Settings!$B$30-I98)+Settings!$B$31),H98+(Settings!$B$33-I98))</f>
        <v>2640.3999999999996</v>
      </c>
      <c r="K98" s="6">
        <f t="shared" si="28"/>
        <v>2664.4199999999996</v>
      </c>
      <c r="L98" s="6">
        <f t="shared" si="29"/>
        <v>2664.4199999999996</v>
      </c>
      <c r="M98" s="6">
        <f t="shared" si="38"/>
        <v>2654.4238163691075</v>
      </c>
      <c r="N98" s="6">
        <f t="shared" si="30"/>
        <v>2664.4199999999996</v>
      </c>
      <c r="O98" s="6">
        <f>Arrivals!I98</f>
        <v>2.657955353384283</v>
      </c>
      <c r="P98" s="6">
        <f t="shared" si="31"/>
        <v>2667.0779553533839</v>
      </c>
      <c r="Q98" s="6">
        <f t="shared" si="32"/>
        <v>2053.0779553533839</v>
      </c>
      <c r="R98" s="6">
        <f t="shared" si="33"/>
        <v>2026.3999999999996</v>
      </c>
      <c r="S98" s="6">
        <f t="shared" si="34"/>
        <v>0</v>
      </c>
      <c r="T98" s="6">
        <f t="shared" si="35"/>
        <v>0</v>
      </c>
      <c r="U98" s="6">
        <f t="shared" si="36"/>
        <v>2026.3999999999996</v>
      </c>
      <c r="V98" s="6" t="str">
        <f>IF(MOD(C98-Settings!$B$32,Settings!$B$33)&lt;Settings!$B$30,"Up","Down")</f>
        <v>Down</v>
      </c>
      <c r="W98" s="6">
        <f>IF(OR(E98&gt;Settings!$B$30,Q98&gt;Settings!$B$37),0,1)</f>
        <v>0</v>
      </c>
      <c r="X98" s="6">
        <f>IF(AND(W98=1,Q98&lt;=Settings!$B$36),1,0)</f>
        <v>0</v>
      </c>
    </row>
    <row r="99" spans="1:24" x14ac:dyDescent="0.2">
      <c r="A99">
        <f>Arrivals!A99</f>
        <v>1</v>
      </c>
      <c r="B99">
        <f>Arrivals!B99</f>
        <v>94</v>
      </c>
      <c r="C99" s="6">
        <f>Arrivals!F99</f>
        <v>619</v>
      </c>
      <c r="D99" s="6">
        <f>Arrivals!K99</f>
        <v>300</v>
      </c>
      <c r="E99" s="6">
        <f>D99*8/ACE_Input!S99+ACE_Input!T99</f>
        <v>24.02</v>
      </c>
      <c r="F99" s="6">
        <f t="shared" si="26"/>
        <v>619</v>
      </c>
      <c r="G99" s="6">
        <f t="shared" si="37"/>
        <v>2664.4199999999996</v>
      </c>
      <c r="H99" s="6">
        <f t="shared" si="27"/>
        <v>2664.4199999999996</v>
      </c>
      <c r="I99" s="6">
        <f>MOD(H99-Settings!$B$32,Settings!$B$33)</f>
        <v>504.41999999999962</v>
      </c>
      <c r="J99" s="6">
        <f>IF(I99&lt;Settings!$B$30,IF(Settings!$B$30-I99&gt;=E99,H99,H99+(Settings!$B$30-I99)+Settings!$B$31),H99+(Settings!$B$33-I99))</f>
        <v>2664.4199999999996</v>
      </c>
      <c r="K99" s="6">
        <f t="shared" si="28"/>
        <v>2688.4399999999996</v>
      </c>
      <c r="L99" s="6">
        <f t="shared" si="29"/>
        <v>2688.4399999999996</v>
      </c>
      <c r="M99" s="6">
        <f t="shared" si="38"/>
        <v>2667.0779553533839</v>
      </c>
      <c r="N99" s="6">
        <f t="shared" si="30"/>
        <v>2688.4399999999996</v>
      </c>
      <c r="O99" s="6">
        <f>Arrivals!I99</f>
        <v>0.8208131101258016</v>
      </c>
      <c r="P99" s="6">
        <f t="shared" si="31"/>
        <v>2689.2608131101256</v>
      </c>
      <c r="Q99" s="6">
        <f t="shared" si="32"/>
        <v>2070.2608131101256</v>
      </c>
      <c r="R99" s="6">
        <f t="shared" si="33"/>
        <v>2045.4199999999996</v>
      </c>
      <c r="S99" s="6">
        <f t="shared" si="34"/>
        <v>0</v>
      </c>
      <c r="T99" s="6">
        <f t="shared" si="35"/>
        <v>0</v>
      </c>
      <c r="U99" s="6">
        <f t="shared" si="36"/>
        <v>2045.4199999999996</v>
      </c>
      <c r="V99" s="6" t="str">
        <f>IF(MOD(C99-Settings!$B$32,Settings!$B$33)&lt;Settings!$B$30,"Up","Down")</f>
        <v>Down</v>
      </c>
      <c r="W99" s="6">
        <f>IF(OR(E99&gt;Settings!$B$30,Q99&gt;Settings!$B$37),0,1)</f>
        <v>0</v>
      </c>
      <c r="X99" s="6">
        <f>IF(AND(W99=1,Q99&lt;=Settings!$B$36),1,0)</f>
        <v>0</v>
      </c>
    </row>
    <row r="100" spans="1:24" x14ac:dyDescent="0.2">
      <c r="A100">
        <f>Arrivals!A100</f>
        <v>1</v>
      </c>
      <c r="B100">
        <f>Arrivals!B100</f>
        <v>95</v>
      </c>
      <c r="C100" s="6">
        <f>Arrivals!F100</f>
        <v>624</v>
      </c>
      <c r="D100" s="6">
        <f>Arrivals!K100</f>
        <v>300</v>
      </c>
      <c r="E100" s="6">
        <f>D100*8/ACE_Input!S100+ACE_Input!T100</f>
        <v>24.02</v>
      </c>
      <c r="F100" s="6">
        <f t="shared" si="26"/>
        <v>624</v>
      </c>
      <c r="G100" s="6">
        <f t="shared" si="37"/>
        <v>2688.4399999999996</v>
      </c>
      <c r="H100" s="6">
        <f t="shared" si="27"/>
        <v>2688.4399999999996</v>
      </c>
      <c r="I100" s="6">
        <f>MOD(H100-Settings!$B$32,Settings!$B$33)</f>
        <v>528.4399999999996</v>
      </c>
      <c r="J100" s="6">
        <f>IF(I100&lt;Settings!$B$30,IF(Settings!$B$30-I100&gt;=E100,H100,H100+(Settings!$B$30-I100)+Settings!$B$31),H100+(Settings!$B$33-I100))</f>
        <v>2688.4399999999996</v>
      </c>
      <c r="K100" s="6">
        <f t="shared" si="28"/>
        <v>2712.4599999999996</v>
      </c>
      <c r="L100" s="6">
        <f t="shared" si="29"/>
        <v>2712.4599999999996</v>
      </c>
      <c r="M100" s="6">
        <f t="shared" si="38"/>
        <v>2689.2608131101256</v>
      </c>
      <c r="N100" s="6">
        <f t="shared" si="30"/>
        <v>2712.4599999999996</v>
      </c>
      <c r="O100" s="6">
        <f>Arrivals!I100</f>
        <v>2.2064459172596911E-2</v>
      </c>
      <c r="P100" s="6">
        <f t="shared" si="31"/>
        <v>2712.4820644591723</v>
      </c>
      <c r="Q100" s="6">
        <f t="shared" si="32"/>
        <v>2088.4820644591723</v>
      </c>
      <c r="R100" s="6">
        <f t="shared" si="33"/>
        <v>2064.4399999999996</v>
      </c>
      <c r="S100" s="6">
        <f t="shared" si="34"/>
        <v>0</v>
      </c>
      <c r="T100" s="6">
        <f t="shared" si="35"/>
        <v>0</v>
      </c>
      <c r="U100" s="6">
        <f t="shared" si="36"/>
        <v>2064.4399999999996</v>
      </c>
      <c r="V100" s="6" t="str">
        <f>IF(MOD(C100-Settings!$B$32,Settings!$B$33)&lt;Settings!$B$30,"Up","Down")</f>
        <v>Down</v>
      </c>
      <c r="W100" s="6">
        <f>IF(OR(E100&gt;Settings!$B$30,Q100&gt;Settings!$B$37),0,1)</f>
        <v>0</v>
      </c>
      <c r="X100" s="6">
        <f>IF(AND(W100=1,Q100&lt;=Settings!$B$36),1,0)</f>
        <v>0</v>
      </c>
    </row>
    <row r="101" spans="1:24" x14ac:dyDescent="0.2">
      <c r="A101">
        <f>Arrivals!A101</f>
        <v>1</v>
      </c>
      <c r="B101">
        <f>Arrivals!B101</f>
        <v>96</v>
      </c>
      <c r="C101" s="6">
        <f>Arrivals!F101</f>
        <v>629</v>
      </c>
      <c r="D101" s="6">
        <f>Arrivals!K101</f>
        <v>300</v>
      </c>
      <c r="E101" s="6">
        <f>D101*8/ACE_Input!S101+ACE_Input!T101</f>
        <v>24.02</v>
      </c>
      <c r="F101" s="6">
        <f t="shared" si="26"/>
        <v>629</v>
      </c>
      <c r="G101" s="6">
        <f t="shared" si="37"/>
        <v>2712.4599999999996</v>
      </c>
      <c r="H101" s="6">
        <f t="shared" si="27"/>
        <v>2712.4599999999996</v>
      </c>
      <c r="I101" s="6">
        <f>MOD(H101-Settings!$B$32,Settings!$B$33)</f>
        <v>552.45999999999958</v>
      </c>
      <c r="J101" s="6">
        <f>IF(I101&lt;Settings!$B$30,IF(Settings!$B$30-I101&gt;=E101,H101,H101+(Settings!$B$30-I101)+Settings!$B$31),H101+(Settings!$B$33-I101))</f>
        <v>2712.4599999999996</v>
      </c>
      <c r="K101" s="6">
        <f t="shared" si="28"/>
        <v>2736.4799999999996</v>
      </c>
      <c r="L101" s="6">
        <f t="shared" si="29"/>
        <v>2736.4799999999996</v>
      </c>
      <c r="M101" s="6">
        <f t="shared" si="38"/>
        <v>2712.4820644591723</v>
      </c>
      <c r="N101" s="6">
        <f t="shared" si="30"/>
        <v>2736.4799999999996</v>
      </c>
      <c r="O101" s="6">
        <f>Arrivals!I101</f>
        <v>2.4213742280084003</v>
      </c>
      <c r="P101" s="6">
        <f t="shared" si="31"/>
        <v>2738.9013742280081</v>
      </c>
      <c r="Q101" s="6">
        <f t="shared" si="32"/>
        <v>2109.9013742280081</v>
      </c>
      <c r="R101" s="6">
        <f t="shared" si="33"/>
        <v>2083.4599999999996</v>
      </c>
      <c r="S101" s="6">
        <f t="shared" si="34"/>
        <v>0</v>
      </c>
      <c r="T101" s="6">
        <f t="shared" si="35"/>
        <v>0</v>
      </c>
      <c r="U101" s="6">
        <f t="shared" si="36"/>
        <v>2083.4599999999996</v>
      </c>
      <c r="V101" s="6" t="str">
        <f>IF(MOD(C101-Settings!$B$32,Settings!$B$33)&lt;Settings!$B$30,"Up","Down")</f>
        <v>Down</v>
      </c>
      <c r="W101" s="6">
        <f>IF(OR(E101&gt;Settings!$B$30,Q101&gt;Settings!$B$37),0,1)</f>
        <v>0</v>
      </c>
      <c r="X101" s="6">
        <f>IF(AND(W101=1,Q101&lt;=Settings!$B$36),1,0)</f>
        <v>0</v>
      </c>
    </row>
    <row r="102" spans="1:24" x14ac:dyDescent="0.2">
      <c r="A102">
        <f>Arrivals!A102</f>
        <v>1</v>
      </c>
      <c r="B102">
        <f>Arrivals!B102</f>
        <v>97</v>
      </c>
      <c r="C102" s="6">
        <f>Arrivals!F102</f>
        <v>634</v>
      </c>
      <c r="D102" s="6">
        <f>Arrivals!K102</f>
        <v>300</v>
      </c>
      <c r="E102" s="6">
        <f>D102*8/ACE_Input!S102+ACE_Input!T102</f>
        <v>24.02</v>
      </c>
      <c r="F102" s="6">
        <f t="shared" si="26"/>
        <v>634</v>
      </c>
      <c r="G102" s="6">
        <f t="shared" si="37"/>
        <v>2736.4799999999996</v>
      </c>
      <c r="H102" s="6">
        <f t="shared" ref="H102:H105" si="39">MAX(F102,G102)</f>
        <v>2736.4799999999996</v>
      </c>
      <c r="I102" s="6">
        <f>MOD(H102-Settings!$B$32,Settings!$B$33)</f>
        <v>576.47999999999956</v>
      </c>
      <c r="J102" s="6">
        <f>IF(I102&lt;Settings!$B$30,IF(Settings!$B$30-I102&gt;=E102,H102,H102+(Settings!$B$30-I102)+Settings!$B$31),H102+(Settings!$B$33-I102))</f>
        <v>2880</v>
      </c>
      <c r="K102" s="6">
        <f t="shared" ref="K102:K105" si="40">J102+E102</f>
        <v>2904.02</v>
      </c>
      <c r="L102" s="6">
        <f t="shared" ref="L102:L105" si="41">K102</f>
        <v>2904.02</v>
      </c>
      <c r="M102" s="6">
        <f t="shared" si="38"/>
        <v>2738.9013742280081</v>
      </c>
      <c r="N102" s="6">
        <f t="shared" ref="N102:N105" si="42">MAX(L102,M102)</f>
        <v>2904.02</v>
      </c>
      <c r="O102" s="6">
        <f>Arrivals!I102</f>
        <v>1.312307660692305</v>
      </c>
      <c r="P102" s="6">
        <f t="shared" ref="P102:P105" si="43">N102+O102</f>
        <v>2905.3323076606921</v>
      </c>
      <c r="Q102" s="6">
        <f t="shared" ref="Q102:Q105" si="44">P102-C102</f>
        <v>2271.3323076606921</v>
      </c>
      <c r="R102" s="6">
        <f t="shared" si="33"/>
        <v>2102.4799999999996</v>
      </c>
      <c r="S102" s="6">
        <f t="shared" si="34"/>
        <v>143.52000000000044</v>
      </c>
      <c r="T102" s="6">
        <f t="shared" si="35"/>
        <v>0</v>
      </c>
      <c r="U102" s="6">
        <f t="shared" ref="U102:U105" si="45">R102+S102+T102</f>
        <v>2246</v>
      </c>
      <c r="V102" s="6" t="str">
        <f>IF(MOD(C102-Settings!$B$32,Settings!$B$33)&lt;Settings!$B$30,"Up","Down")</f>
        <v>Down</v>
      </c>
      <c r="W102" s="6">
        <f>IF(OR(E102&gt;Settings!$B$30,Q102&gt;Settings!$B$37),0,1)</f>
        <v>0</v>
      </c>
      <c r="X102" s="6">
        <f>IF(AND(W102=1,Q102&lt;=Settings!$B$36),1,0)</f>
        <v>0</v>
      </c>
    </row>
    <row r="103" spans="1:24" x14ac:dyDescent="0.2">
      <c r="A103">
        <f>Arrivals!A103</f>
        <v>1</v>
      </c>
      <c r="B103">
        <f>Arrivals!B103</f>
        <v>98</v>
      </c>
      <c r="C103" s="6">
        <f>Arrivals!F103</f>
        <v>639</v>
      </c>
      <c r="D103" s="6">
        <f>Arrivals!K103</f>
        <v>300</v>
      </c>
      <c r="E103" s="6">
        <f>D103*8/ACE_Input!S103+ACE_Input!T103</f>
        <v>24.02</v>
      </c>
      <c r="F103" s="6">
        <f t="shared" si="26"/>
        <v>639</v>
      </c>
      <c r="G103" s="6">
        <f t="shared" si="37"/>
        <v>2904.02</v>
      </c>
      <c r="H103" s="6">
        <f t="shared" si="39"/>
        <v>2904.02</v>
      </c>
      <c r="I103" s="6">
        <f>MOD(H103-Settings!$B$32,Settings!$B$33)</f>
        <v>24.019999999999982</v>
      </c>
      <c r="J103" s="6">
        <f>IF(I103&lt;Settings!$B$30,IF(Settings!$B$30-I103&gt;=E103,H103,H103+(Settings!$B$30-I103)+Settings!$B$31),H103+(Settings!$B$33-I103))</f>
        <v>2904.02</v>
      </c>
      <c r="K103" s="6">
        <f t="shared" si="40"/>
        <v>2928.04</v>
      </c>
      <c r="L103" s="6">
        <f t="shared" si="41"/>
        <v>2928.04</v>
      </c>
      <c r="M103" s="6">
        <f t="shared" si="38"/>
        <v>2905.3323076606921</v>
      </c>
      <c r="N103" s="6">
        <f t="shared" si="42"/>
        <v>2928.04</v>
      </c>
      <c r="O103" s="6">
        <f>Arrivals!I103</f>
        <v>6.240969754852423</v>
      </c>
      <c r="P103" s="6">
        <f t="shared" si="43"/>
        <v>2934.2809697548523</v>
      </c>
      <c r="Q103" s="6">
        <f t="shared" si="44"/>
        <v>2295.2809697548523</v>
      </c>
      <c r="R103" s="6">
        <f t="shared" si="33"/>
        <v>2265.02</v>
      </c>
      <c r="S103" s="6">
        <f t="shared" si="34"/>
        <v>0</v>
      </c>
      <c r="T103" s="6">
        <f t="shared" si="35"/>
        <v>0</v>
      </c>
      <c r="U103" s="6">
        <f t="shared" si="45"/>
        <v>2265.02</v>
      </c>
      <c r="V103" s="6" t="str">
        <f>IF(MOD(C103-Settings!$B$32,Settings!$B$33)&lt;Settings!$B$30,"Up","Down")</f>
        <v>Down</v>
      </c>
      <c r="W103" s="6">
        <f>IF(OR(E103&gt;Settings!$B$30,Q103&gt;Settings!$B$37),0,1)</f>
        <v>0</v>
      </c>
      <c r="X103" s="6">
        <f>IF(AND(W103=1,Q103&lt;=Settings!$B$36),1,0)</f>
        <v>0</v>
      </c>
    </row>
    <row r="104" spans="1:24" x14ac:dyDescent="0.2">
      <c r="A104">
        <f>Arrivals!A104</f>
        <v>1</v>
      </c>
      <c r="B104">
        <f>Arrivals!B104</f>
        <v>99</v>
      </c>
      <c r="C104" s="6">
        <f>Arrivals!F104</f>
        <v>684</v>
      </c>
      <c r="D104" s="6">
        <f>Arrivals!K104</f>
        <v>300</v>
      </c>
      <c r="E104" s="6">
        <f>D104*8/ACE_Input!S104+ACE_Input!T104</f>
        <v>24.02</v>
      </c>
      <c r="F104" s="6">
        <f t="shared" si="26"/>
        <v>684</v>
      </c>
      <c r="G104" s="6">
        <f t="shared" si="37"/>
        <v>2928.04</v>
      </c>
      <c r="H104" s="6">
        <f t="shared" si="39"/>
        <v>2928.04</v>
      </c>
      <c r="I104" s="6">
        <f>MOD(H104-Settings!$B$32,Settings!$B$33)</f>
        <v>48.039999999999964</v>
      </c>
      <c r="J104" s="6">
        <f>IF(I104&lt;Settings!$B$30,IF(Settings!$B$30-I104&gt;=E104,H104,H104+(Settings!$B$30-I104)+Settings!$B$31),H104+(Settings!$B$33-I104))</f>
        <v>2928.04</v>
      </c>
      <c r="K104" s="6">
        <f t="shared" si="40"/>
        <v>2952.06</v>
      </c>
      <c r="L104" s="6">
        <f t="shared" si="41"/>
        <v>2952.06</v>
      </c>
      <c r="M104" s="6">
        <f t="shared" si="38"/>
        <v>2934.2809697548523</v>
      </c>
      <c r="N104" s="6">
        <f t="shared" si="42"/>
        <v>2952.06</v>
      </c>
      <c r="O104" s="6">
        <f>Arrivals!I104</f>
        <v>0.41780884455988448</v>
      </c>
      <c r="P104" s="6">
        <f t="shared" si="43"/>
        <v>2952.4778088445596</v>
      </c>
      <c r="Q104" s="6">
        <f t="shared" si="44"/>
        <v>2268.4778088445596</v>
      </c>
      <c r="R104" s="6">
        <f t="shared" si="33"/>
        <v>2244.04</v>
      </c>
      <c r="S104" s="6">
        <f t="shared" si="34"/>
        <v>0</v>
      </c>
      <c r="T104" s="6">
        <f t="shared" si="35"/>
        <v>0</v>
      </c>
      <c r="U104" s="6">
        <f t="shared" si="45"/>
        <v>2244.04</v>
      </c>
      <c r="V104" s="6" t="str">
        <f>IF(MOD(C104-Settings!$B$32,Settings!$B$33)&lt;Settings!$B$30,"Up","Down")</f>
        <v>Down</v>
      </c>
      <c r="W104" s="6">
        <f>IF(OR(E104&gt;Settings!$B$30,Q104&gt;Settings!$B$37),0,1)</f>
        <v>0</v>
      </c>
      <c r="X104" s="6">
        <f>IF(AND(W104=1,Q104&lt;=Settings!$B$36),1,0)</f>
        <v>0</v>
      </c>
    </row>
    <row r="105" spans="1:24" x14ac:dyDescent="0.2">
      <c r="A105">
        <f>Arrivals!A105</f>
        <v>1</v>
      </c>
      <c r="B105">
        <f>Arrivals!B105</f>
        <v>100</v>
      </c>
      <c r="C105" s="6">
        <f>Arrivals!F105</f>
        <v>689</v>
      </c>
      <c r="D105" s="6">
        <f>Arrivals!K105</f>
        <v>300</v>
      </c>
      <c r="E105" s="6">
        <f>D105*8/ACE_Input!S105+ACE_Input!T105</f>
        <v>24.02</v>
      </c>
      <c r="F105" s="6">
        <f t="shared" si="26"/>
        <v>689</v>
      </c>
      <c r="G105" s="6">
        <f t="shared" si="37"/>
        <v>2952.06</v>
      </c>
      <c r="H105" s="6">
        <f t="shared" si="39"/>
        <v>2952.06</v>
      </c>
      <c r="I105" s="6">
        <f>MOD(H105-Settings!$B$32,Settings!$B$33)</f>
        <v>72.059999999999945</v>
      </c>
      <c r="J105" s="6">
        <f>IF(I105&lt;Settings!$B$30,IF(Settings!$B$30-I105&gt;=E105,H105,H105+(Settings!$B$30-I105)+Settings!$B$31),H105+(Settings!$B$33-I105))</f>
        <v>2952.06</v>
      </c>
      <c r="K105" s="6">
        <f t="shared" si="40"/>
        <v>2976.08</v>
      </c>
      <c r="L105" s="6">
        <f t="shared" si="41"/>
        <v>2976.08</v>
      </c>
      <c r="M105" s="6">
        <f t="shared" si="38"/>
        <v>2952.4778088445596</v>
      </c>
      <c r="N105" s="6">
        <f t="shared" si="42"/>
        <v>2976.08</v>
      </c>
      <c r="O105" s="6">
        <f>Arrivals!I105</f>
        <v>12.357689407956707</v>
      </c>
      <c r="P105" s="6">
        <f t="shared" si="43"/>
        <v>2988.4376894079564</v>
      </c>
      <c r="Q105" s="6">
        <f t="shared" si="44"/>
        <v>2299.4376894079564</v>
      </c>
      <c r="R105" s="6">
        <f t="shared" si="33"/>
        <v>2263.06</v>
      </c>
      <c r="S105" s="6">
        <f t="shared" si="34"/>
        <v>0</v>
      </c>
      <c r="T105" s="6">
        <f t="shared" si="35"/>
        <v>0</v>
      </c>
      <c r="U105" s="6">
        <f t="shared" si="45"/>
        <v>2263.06</v>
      </c>
      <c r="V105" s="6" t="str">
        <f>IF(MOD(C105-Settings!$B$32,Settings!$B$33)&lt;Settings!$B$30,"Up","Down")</f>
        <v>Down</v>
      </c>
      <c r="W105" s="6">
        <f>IF(OR(E105&gt;Settings!$B$30,Q105&gt;Settings!$B$37),0,1)</f>
        <v>0</v>
      </c>
      <c r="X105" s="6">
        <f>IF(AND(W105=1,Q105&lt;=Settings!$B$36),1,0)</f>
        <v>0</v>
      </c>
    </row>
    <row r="106" spans="1:24" x14ac:dyDescent="0.2">
      <c r="C106" s="6"/>
      <c r="D106" s="6"/>
      <c r="E106" s="6"/>
      <c r="F106" s="6"/>
      <c r="G106" s="6"/>
      <c r="H106" s="6"/>
      <c r="I106" s="6"/>
      <c r="J106" s="6"/>
      <c r="K106" s="6"/>
      <c r="L106" s="6"/>
      <c r="M106" s="6"/>
      <c r="N106" s="6"/>
      <c r="O106" s="6"/>
      <c r="P106" s="6"/>
      <c r="Q106" s="6"/>
      <c r="R106" s="6"/>
      <c r="S106" s="6"/>
      <c r="T106" s="6"/>
      <c r="U106" s="6"/>
      <c r="V106" s="6"/>
      <c r="W106" s="6"/>
      <c r="X106" s="6"/>
    </row>
    <row r="107" spans="1:24" x14ac:dyDescent="0.2">
      <c r="C107" s="6"/>
      <c r="D107" s="6"/>
      <c r="E107" s="6"/>
      <c r="F107" s="6"/>
      <c r="G107" s="6"/>
      <c r="H107" s="6"/>
      <c r="I107" s="6"/>
      <c r="J107" s="6"/>
      <c r="K107" s="6"/>
      <c r="L107" s="6"/>
      <c r="M107" s="6"/>
      <c r="N107" s="6"/>
      <c r="O107" s="6"/>
      <c r="P107" s="6"/>
      <c r="Q107" s="6"/>
      <c r="R107" s="6"/>
      <c r="S107" s="6"/>
      <c r="T107" s="6"/>
      <c r="U107" s="6"/>
      <c r="V107" s="6"/>
      <c r="W107" s="6"/>
      <c r="X107" s="6"/>
    </row>
    <row r="108" spans="1:24" x14ac:dyDescent="0.2">
      <c r="C108" s="6"/>
      <c r="D108" s="6"/>
      <c r="E108" s="6"/>
      <c r="F108" s="6"/>
      <c r="G108" s="6"/>
      <c r="H108" s="6"/>
      <c r="I108" s="6"/>
      <c r="J108" s="6"/>
      <c r="K108" s="6"/>
      <c r="L108" s="6"/>
      <c r="M108" s="6"/>
      <c r="N108" s="6"/>
      <c r="O108" s="6"/>
      <c r="P108" s="6"/>
      <c r="Q108" s="6"/>
      <c r="R108" s="6"/>
      <c r="S108" s="6"/>
      <c r="T108" s="6"/>
      <c r="U108" s="6"/>
      <c r="V108" s="6"/>
      <c r="W108" s="6"/>
      <c r="X108" s="6"/>
    </row>
    <row r="109" spans="1:24" x14ac:dyDescent="0.2">
      <c r="C109" s="6"/>
      <c r="D109" s="6"/>
      <c r="E109" s="6"/>
      <c r="F109" s="6"/>
      <c r="G109" s="6"/>
      <c r="H109" s="6"/>
      <c r="I109" s="6"/>
      <c r="J109" s="6"/>
      <c r="K109" s="6"/>
      <c r="L109" s="6"/>
      <c r="M109" s="6"/>
      <c r="N109" s="6"/>
      <c r="O109" s="6"/>
      <c r="P109" s="6"/>
      <c r="Q109" s="6"/>
      <c r="R109" s="6"/>
      <c r="S109" s="6"/>
      <c r="T109" s="6"/>
      <c r="U109" s="6"/>
      <c r="V109" s="6"/>
      <c r="W109" s="6"/>
      <c r="X109" s="6"/>
    </row>
    <row r="110" spans="1:24" x14ac:dyDescent="0.2">
      <c r="C110" s="6"/>
      <c r="D110" s="6"/>
      <c r="E110" s="6"/>
      <c r="F110" s="6"/>
      <c r="G110" s="6"/>
      <c r="H110" s="6"/>
      <c r="I110" s="6"/>
      <c r="J110" s="6"/>
      <c r="K110" s="6"/>
      <c r="L110" s="6"/>
      <c r="M110" s="6"/>
      <c r="N110" s="6"/>
      <c r="O110" s="6"/>
      <c r="P110" s="6"/>
      <c r="Q110" s="6"/>
      <c r="R110" s="6"/>
      <c r="S110" s="6"/>
      <c r="T110" s="6"/>
      <c r="U110" s="6"/>
      <c r="V110" s="6"/>
      <c r="W110" s="6"/>
      <c r="X110" s="6"/>
    </row>
    <row r="111" spans="1:24" x14ac:dyDescent="0.2">
      <c r="C111" s="6"/>
      <c r="D111" s="6"/>
      <c r="E111" s="6"/>
      <c r="F111" s="6"/>
      <c r="G111" s="6"/>
      <c r="H111" s="6"/>
      <c r="I111" s="6"/>
      <c r="J111" s="6"/>
      <c r="K111" s="6"/>
      <c r="L111" s="6"/>
      <c r="M111" s="6"/>
      <c r="N111" s="6"/>
      <c r="O111" s="6"/>
      <c r="P111" s="6"/>
      <c r="Q111" s="6"/>
      <c r="R111" s="6"/>
      <c r="S111" s="6"/>
      <c r="T111" s="6"/>
      <c r="U111" s="6"/>
      <c r="V111" s="6"/>
      <c r="W111" s="6"/>
      <c r="X111" s="6"/>
    </row>
    <row r="112" spans="1:24" x14ac:dyDescent="0.2">
      <c r="C112" s="6"/>
      <c r="D112" s="6"/>
      <c r="E112" s="6"/>
      <c r="F112" s="6"/>
      <c r="G112" s="6"/>
      <c r="H112" s="6"/>
      <c r="I112" s="6"/>
      <c r="J112" s="6"/>
      <c r="K112" s="6"/>
      <c r="L112" s="6"/>
      <c r="M112" s="6"/>
      <c r="N112" s="6"/>
      <c r="O112" s="6"/>
      <c r="P112" s="6"/>
      <c r="Q112" s="6"/>
      <c r="R112" s="6"/>
      <c r="S112" s="6"/>
      <c r="T112" s="6"/>
      <c r="U112" s="6"/>
      <c r="V112" s="6"/>
      <c r="W112" s="6"/>
      <c r="X112" s="6"/>
    </row>
    <row r="113" spans="1:24" x14ac:dyDescent="0.2">
      <c r="C113" s="6"/>
      <c r="D113" s="6"/>
      <c r="E113" s="6"/>
      <c r="F113" s="6"/>
      <c r="G113" s="6"/>
      <c r="H113" s="6"/>
      <c r="I113" s="6"/>
      <c r="J113" s="6"/>
      <c r="K113" s="6"/>
      <c r="L113" s="6"/>
      <c r="M113" s="6"/>
      <c r="N113" s="6"/>
      <c r="O113" s="6"/>
      <c r="P113" s="6"/>
      <c r="Q113" s="6"/>
      <c r="R113" s="6"/>
      <c r="S113" s="6"/>
      <c r="T113" s="6"/>
      <c r="U113" s="6"/>
      <c r="V113" s="6"/>
      <c r="W113" s="6"/>
      <c r="X113" s="6"/>
    </row>
    <row r="114" spans="1:24" x14ac:dyDescent="0.2">
      <c r="C114" s="6"/>
      <c r="D114" s="6"/>
      <c r="E114" s="6"/>
      <c r="F114" s="6"/>
      <c r="G114" s="6"/>
      <c r="H114" s="6"/>
      <c r="I114" s="6"/>
      <c r="J114" s="6"/>
      <c r="K114" s="6"/>
      <c r="L114" s="6"/>
      <c r="M114" s="6"/>
      <c r="N114" s="6"/>
      <c r="O114" s="6"/>
      <c r="P114" s="6"/>
      <c r="Q114" s="6"/>
      <c r="R114" s="6"/>
      <c r="S114" s="6"/>
      <c r="T114" s="6"/>
      <c r="U114" s="6"/>
      <c r="V114" s="6"/>
      <c r="W114" s="6"/>
      <c r="X114" s="6"/>
    </row>
    <row r="115" spans="1:24" x14ac:dyDescent="0.2">
      <c r="C115" s="6"/>
      <c r="D115" s="6"/>
      <c r="E115" s="6"/>
      <c r="F115" s="6"/>
      <c r="G115" s="6"/>
      <c r="H115" s="6"/>
      <c r="I115" s="6"/>
      <c r="J115" s="6"/>
      <c r="K115" s="6"/>
      <c r="L115" s="6"/>
      <c r="M115" s="6"/>
      <c r="N115" s="6"/>
      <c r="O115" s="6"/>
      <c r="P115" s="6"/>
      <c r="Q115" s="6"/>
      <c r="R115" s="6"/>
      <c r="S115" s="6"/>
      <c r="T115" s="6"/>
      <c r="U115" s="6"/>
      <c r="V115" s="6"/>
      <c r="W115" s="6"/>
      <c r="X115" s="6"/>
    </row>
    <row r="116" spans="1:24" x14ac:dyDescent="0.2">
      <c r="C116" s="6"/>
      <c r="D116" s="6"/>
      <c r="E116" s="6"/>
      <c r="F116" s="6"/>
      <c r="G116" s="6"/>
      <c r="H116" s="6"/>
      <c r="I116" s="6"/>
      <c r="J116" s="6"/>
      <c r="K116" s="6"/>
      <c r="L116" s="6"/>
      <c r="M116" s="6"/>
      <c r="N116" s="6"/>
      <c r="O116" s="6"/>
      <c r="P116" s="6"/>
      <c r="Q116" s="6"/>
      <c r="R116" s="6"/>
      <c r="S116" s="6"/>
      <c r="T116" s="6"/>
      <c r="U116" s="6"/>
      <c r="V116" s="6"/>
      <c r="W116" s="6"/>
      <c r="X116" s="6"/>
    </row>
    <row r="117" spans="1:24" x14ac:dyDescent="0.2">
      <c r="C117" s="6"/>
      <c r="D117" s="6"/>
      <c r="E117" s="6"/>
      <c r="F117" s="6"/>
      <c r="G117" s="6"/>
      <c r="H117" s="6"/>
      <c r="I117" s="6"/>
      <c r="J117" s="6"/>
      <c r="K117" s="6"/>
      <c r="L117" s="6"/>
      <c r="M117" s="6"/>
      <c r="N117" s="6"/>
      <c r="O117" s="6"/>
      <c r="P117" s="6"/>
      <c r="Q117" s="6"/>
      <c r="R117" s="6"/>
      <c r="S117" s="6"/>
      <c r="T117" s="6"/>
      <c r="U117" s="6"/>
      <c r="V117" s="6"/>
      <c r="W117" s="6"/>
      <c r="X117" s="6"/>
    </row>
    <row r="118" spans="1:24" x14ac:dyDescent="0.2">
      <c r="C118" s="6"/>
      <c r="D118" s="6"/>
      <c r="E118" s="6"/>
      <c r="F118" s="6"/>
      <c r="G118" s="6"/>
      <c r="H118" s="6"/>
      <c r="I118" s="6"/>
      <c r="J118" s="6"/>
      <c r="K118" s="6"/>
      <c r="L118" s="6"/>
      <c r="M118" s="6"/>
      <c r="N118" s="6"/>
      <c r="O118" s="6"/>
      <c r="P118" s="6"/>
      <c r="Q118" s="6"/>
      <c r="R118" s="6"/>
      <c r="S118" s="6"/>
      <c r="T118" s="6"/>
      <c r="U118" s="6"/>
      <c r="V118" s="6"/>
      <c r="W118" s="6"/>
      <c r="X118" s="6"/>
    </row>
    <row r="119" spans="1:24" x14ac:dyDescent="0.2">
      <c r="C119" s="6"/>
      <c r="D119" s="6"/>
      <c r="E119" s="6"/>
      <c r="F119" s="6"/>
      <c r="G119" s="6"/>
      <c r="H119" s="6"/>
      <c r="I119" s="6"/>
      <c r="J119" s="6"/>
      <c r="K119" s="6"/>
      <c r="L119" s="6"/>
      <c r="M119" s="6"/>
      <c r="N119" s="6"/>
      <c r="O119" s="6"/>
      <c r="P119" s="6"/>
      <c r="Q119" s="6"/>
      <c r="R119" s="6"/>
      <c r="S119" s="6"/>
      <c r="T119" s="6"/>
      <c r="U119" s="6"/>
      <c r="V119" s="6"/>
      <c r="W119" s="6"/>
      <c r="X119" s="6"/>
    </row>
    <row r="120" spans="1:24" x14ac:dyDescent="0.2">
      <c r="C120" s="6"/>
      <c r="D120" s="6"/>
      <c r="E120" s="6"/>
      <c r="F120" s="6"/>
      <c r="G120" s="6"/>
      <c r="H120" s="6"/>
      <c r="I120" s="6"/>
      <c r="J120" s="6"/>
      <c r="K120" s="6"/>
      <c r="L120" s="6"/>
      <c r="M120" s="6"/>
      <c r="N120" s="6"/>
      <c r="O120" s="6"/>
      <c r="P120" s="6"/>
      <c r="Q120" s="6"/>
      <c r="R120" s="6"/>
      <c r="S120" s="6"/>
      <c r="T120" s="6"/>
      <c r="U120" s="6"/>
      <c r="V120" s="6"/>
      <c r="W120" s="6"/>
      <c r="X120" s="6"/>
    </row>
    <row r="121" spans="1:24" x14ac:dyDescent="0.2">
      <c r="C121" s="6"/>
      <c r="D121" s="6"/>
      <c r="E121" s="6"/>
      <c r="F121" s="6"/>
      <c r="G121" s="6"/>
      <c r="H121" s="6"/>
      <c r="I121" s="6"/>
      <c r="J121" s="6"/>
      <c r="K121" s="6"/>
      <c r="L121" s="6"/>
      <c r="M121" s="6"/>
      <c r="N121" s="6"/>
      <c r="O121" s="6"/>
      <c r="P121" s="6"/>
      <c r="Q121" s="6"/>
      <c r="R121" s="6"/>
      <c r="S121" s="6"/>
      <c r="T121" s="6"/>
      <c r="U121" s="6"/>
      <c r="V121" s="6"/>
      <c r="W121" s="6"/>
      <c r="X121" s="6"/>
    </row>
    <row r="122" spans="1:24" x14ac:dyDescent="0.2">
      <c r="C122" s="6"/>
      <c r="D122" s="6"/>
      <c r="E122" s="6"/>
      <c r="F122" s="6"/>
      <c r="G122" s="6"/>
      <c r="H122" s="6"/>
      <c r="I122" s="6"/>
      <c r="J122" s="6"/>
      <c r="K122" s="6"/>
      <c r="L122" s="6"/>
      <c r="M122" s="6"/>
      <c r="N122" s="6"/>
      <c r="O122" s="6"/>
      <c r="P122" s="6"/>
      <c r="Q122" s="6"/>
      <c r="R122" s="6"/>
      <c r="S122" s="6"/>
      <c r="T122" s="6"/>
      <c r="U122" s="6"/>
      <c r="V122" s="6"/>
      <c r="W122" s="6"/>
      <c r="X122" s="6"/>
    </row>
    <row r="123" spans="1:24" x14ac:dyDescent="0.2">
      <c r="C123" s="6"/>
      <c r="D123" s="6"/>
      <c r="E123" s="6"/>
      <c r="F123" s="6"/>
      <c r="G123" s="6"/>
      <c r="H123" s="6"/>
      <c r="I123" s="6"/>
      <c r="J123" s="6"/>
      <c r="K123" s="6"/>
      <c r="L123" s="6"/>
      <c r="M123" s="6"/>
      <c r="N123" s="6"/>
      <c r="O123" s="6"/>
      <c r="P123" s="6"/>
      <c r="Q123" s="6"/>
      <c r="R123" s="6"/>
      <c r="S123" s="6"/>
      <c r="T123" s="6"/>
      <c r="U123" s="6"/>
      <c r="V123" s="6"/>
      <c r="W123" s="6"/>
      <c r="X123" s="6"/>
    </row>
    <row r="124" spans="1:24" x14ac:dyDescent="0.2">
      <c r="C124" s="6"/>
      <c r="D124" s="6"/>
      <c r="E124" s="6"/>
      <c r="F124" s="6"/>
      <c r="G124" s="6"/>
      <c r="H124" s="6"/>
      <c r="I124" s="6"/>
      <c r="J124" s="6"/>
      <c r="K124" s="6"/>
      <c r="L124" s="6"/>
      <c r="M124" s="6"/>
      <c r="N124" s="6"/>
      <c r="O124" s="6"/>
      <c r="P124" s="6"/>
      <c r="Q124" s="6"/>
      <c r="R124" s="6"/>
      <c r="S124" s="6"/>
      <c r="T124" s="6"/>
      <c r="U124" s="6"/>
      <c r="V124" s="6"/>
      <c r="W124" s="6"/>
      <c r="X124" s="6"/>
    </row>
    <row r="125" spans="1:24" x14ac:dyDescent="0.2">
      <c r="C125" s="6"/>
      <c r="D125" s="6"/>
      <c r="E125" s="6"/>
      <c r="F125" s="6"/>
      <c r="G125" s="6"/>
      <c r="H125" s="6"/>
      <c r="I125" s="6"/>
      <c r="J125" s="6"/>
      <c r="K125" s="6"/>
      <c r="L125" s="6"/>
      <c r="M125" s="6"/>
      <c r="N125" s="6"/>
      <c r="O125" s="6"/>
      <c r="P125" s="6"/>
      <c r="Q125" s="6"/>
      <c r="R125" s="6"/>
      <c r="S125" s="6"/>
      <c r="T125" s="6"/>
      <c r="U125" s="6"/>
      <c r="V125" s="6"/>
      <c r="W125" s="6"/>
      <c r="X125" s="6"/>
    </row>
    <row r="126" spans="1:24" x14ac:dyDescent="0.2">
      <c r="A126">
        <f>Arrivals!A126</f>
        <v>2</v>
      </c>
      <c r="B126">
        <f>Arrivals!B126</f>
        <v>1</v>
      </c>
      <c r="C126" s="6">
        <f>Arrivals!F126</f>
        <v>2</v>
      </c>
      <c r="D126" s="6">
        <f>Arrivals!K126</f>
        <v>300</v>
      </c>
      <c r="E126" s="6">
        <f>D126*8/ACE_Input!S6+ACE_Input!T6</f>
        <v>24.02</v>
      </c>
      <c r="F126" s="6">
        <f t="shared" ref="F126:F157" si="46">C126</f>
        <v>2</v>
      </c>
      <c r="G126" s="6">
        <f>0</f>
        <v>0</v>
      </c>
      <c r="H126" s="6">
        <f t="shared" ref="H126:H157" si="47">MAX(F126,G126)</f>
        <v>2</v>
      </c>
      <c r="I126" s="6">
        <f>MOD(H126-Settings!$B$32,Settings!$B$33)</f>
        <v>2</v>
      </c>
      <c r="J126" s="6">
        <f>IF(I126&lt;Settings!$B$30,IF(Settings!$B$30-I126&gt;=E126,H126,H126+(Settings!$B$30-I126)+Settings!$B$31),H126+(Settings!$B$33-I126))</f>
        <v>2</v>
      </c>
      <c r="K126" s="6">
        <f t="shared" ref="K126:K157" si="48">J126+E126</f>
        <v>26.02</v>
      </c>
      <c r="L126" s="6">
        <f t="shared" ref="L126:L157" si="49">K126</f>
        <v>26.02</v>
      </c>
      <c r="M126" s="6">
        <f>0</f>
        <v>0</v>
      </c>
      <c r="N126" s="6">
        <f t="shared" ref="N126:N157" si="50">MAX(L126,M126)</f>
        <v>26.02</v>
      </c>
      <c r="O126" s="6">
        <f>Arrivals!I126</f>
        <v>3.2767564210398592</v>
      </c>
      <c r="P126" s="6">
        <f t="shared" ref="P126:P157" si="51">N126+O126</f>
        <v>29.296756421039859</v>
      </c>
      <c r="Q126" s="6">
        <f t="shared" ref="Q126:Q157" si="52">P126-C126</f>
        <v>27.296756421039859</v>
      </c>
      <c r="R126" s="6">
        <f t="shared" ref="R126:R157" si="53">H126-F126</f>
        <v>0</v>
      </c>
      <c r="S126" s="6">
        <f t="shared" ref="S126:S157" si="54">J126-H126</f>
        <v>0</v>
      </c>
      <c r="T126" s="6">
        <f t="shared" ref="T126:T157" si="55">N126-L126</f>
        <v>0</v>
      </c>
      <c r="U126" s="6">
        <f t="shared" ref="U126:U157" si="56">R126+S126+T126</f>
        <v>0</v>
      </c>
      <c r="V126" s="6" t="str">
        <f>IF(MOD(C126-Settings!$B$32,Settings!$B$33)&lt;Settings!$B$30,"Up","Down")</f>
        <v>Up</v>
      </c>
      <c r="W126" s="6">
        <f>IF(OR(E126&gt;Settings!$B$30,Q126&gt;Settings!$B$37),0,1)</f>
        <v>1</v>
      </c>
      <c r="X126" s="6">
        <f>IF(AND(W126=1,Q126&lt;=Settings!$B$36),1,0)</f>
        <v>1</v>
      </c>
    </row>
    <row r="127" spans="1:24" x14ac:dyDescent="0.2">
      <c r="A127">
        <f>Arrivals!A127</f>
        <v>2</v>
      </c>
      <c r="B127">
        <f>Arrivals!B127</f>
        <v>2</v>
      </c>
      <c r="C127" s="6">
        <f>Arrivals!F127</f>
        <v>7</v>
      </c>
      <c r="D127" s="6">
        <f>Arrivals!K127</f>
        <v>300</v>
      </c>
      <c r="E127" s="6">
        <f>D127*8/ACE_Input!S7+ACE_Input!T7</f>
        <v>24.02</v>
      </c>
      <c r="F127" s="6">
        <f t="shared" si="46"/>
        <v>7</v>
      </c>
      <c r="G127" s="6">
        <f t="shared" ref="G127:G158" si="57">K126</f>
        <v>26.02</v>
      </c>
      <c r="H127" s="6">
        <f t="shared" si="47"/>
        <v>26.02</v>
      </c>
      <c r="I127" s="6">
        <f>MOD(H127-Settings!$B$32,Settings!$B$33)</f>
        <v>26.02</v>
      </c>
      <c r="J127" s="6">
        <f>IF(I127&lt;Settings!$B$30,IF(Settings!$B$30-I127&gt;=E127,H127,H127+(Settings!$B$30-I127)+Settings!$B$31),H127+(Settings!$B$33-I127))</f>
        <v>26.02</v>
      </c>
      <c r="K127" s="6">
        <f t="shared" si="48"/>
        <v>50.04</v>
      </c>
      <c r="L127" s="6">
        <f t="shared" si="49"/>
        <v>50.04</v>
      </c>
      <c r="M127" s="6">
        <f t="shared" ref="M127:M158" si="58">P126</f>
        <v>29.296756421039859</v>
      </c>
      <c r="N127" s="6">
        <f t="shared" si="50"/>
        <v>50.04</v>
      </c>
      <c r="O127" s="6">
        <f>Arrivals!I127</f>
        <v>4.317992401803096</v>
      </c>
      <c r="P127" s="6">
        <f t="shared" si="51"/>
        <v>54.357992401803095</v>
      </c>
      <c r="Q127" s="6">
        <f t="shared" si="52"/>
        <v>47.357992401803095</v>
      </c>
      <c r="R127" s="6">
        <f t="shared" si="53"/>
        <v>19.02</v>
      </c>
      <c r="S127" s="6">
        <f t="shared" si="54"/>
        <v>0</v>
      </c>
      <c r="T127" s="6">
        <f t="shared" si="55"/>
        <v>0</v>
      </c>
      <c r="U127" s="6">
        <f t="shared" si="56"/>
        <v>19.02</v>
      </c>
      <c r="V127" s="6" t="str">
        <f>IF(MOD(C127-Settings!$B$32,Settings!$B$33)&lt;Settings!$B$30,"Up","Down")</f>
        <v>Up</v>
      </c>
      <c r="W127" s="6">
        <f>IF(OR(E127&gt;Settings!$B$30,Q127&gt;Settings!$B$37),0,1)</f>
        <v>1</v>
      </c>
      <c r="X127" s="6">
        <f>IF(AND(W127=1,Q127&lt;=Settings!$B$36),1,0)</f>
        <v>1</v>
      </c>
    </row>
    <row r="128" spans="1:24" x14ac:dyDescent="0.2">
      <c r="A128">
        <f>Arrivals!A128</f>
        <v>2</v>
      </c>
      <c r="B128">
        <f>Arrivals!B128</f>
        <v>3</v>
      </c>
      <c r="C128" s="6">
        <f>Arrivals!F128</f>
        <v>32</v>
      </c>
      <c r="D128" s="6">
        <f>Arrivals!K128</f>
        <v>300</v>
      </c>
      <c r="E128" s="6">
        <f>D128*8/ACE_Input!S8+ACE_Input!T8</f>
        <v>24.02</v>
      </c>
      <c r="F128" s="6">
        <f t="shared" si="46"/>
        <v>32</v>
      </c>
      <c r="G128" s="6">
        <f t="shared" si="57"/>
        <v>50.04</v>
      </c>
      <c r="H128" s="6">
        <f t="shared" si="47"/>
        <v>50.04</v>
      </c>
      <c r="I128" s="6">
        <f>MOD(H128-Settings!$B$32,Settings!$B$33)</f>
        <v>50.04</v>
      </c>
      <c r="J128" s="6">
        <f>IF(I128&lt;Settings!$B$30,IF(Settings!$B$30-I128&gt;=E128,H128,H128+(Settings!$B$30-I128)+Settings!$B$31),H128+(Settings!$B$33-I128))</f>
        <v>50.04</v>
      </c>
      <c r="K128" s="6">
        <f t="shared" si="48"/>
        <v>74.06</v>
      </c>
      <c r="L128" s="6">
        <f t="shared" si="49"/>
        <v>74.06</v>
      </c>
      <c r="M128" s="6">
        <f t="shared" si="58"/>
        <v>54.357992401803095</v>
      </c>
      <c r="N128" s="6">
        <f t="shared" si="50"/>
        <v>74.06</v>
      </c>
      <c r="O128" s="6">
        <f>Arrivals!I128</f>
        <v>3.2176439324829142</v>
      </c>
      <c r="P128" s="6">
        <f t="shared" si="51"/>
        <v>77.277643932482917</v>
      </c>
      <c r="Q128" s="6">
        <f t="shared" si="52"/>
        <v>45.277643932482917</v>
      </c>
      <c r="R128" s="6">
        <f t="shared" si="53"/>
        <v>18.04</v>
      </c>
      <c r="S128" s="6">
        <f t="shared" si="54"/>
        <v>0</v>
      </c>
      <c r="T128" s="6">
        <f t="shared" si="55"/>
        <v>0</v>
      </c>
      <c r="U128" s="6">
        <f t="shared" si="56"/>
        <v>18.04</v>
      </c>
      <c r="V128" s="6" t="str">
        <f>IF(MOD(C128-Settings!$B$32,Settings!$B$33)&lt;Settings!$B$30,"Up","Down")</f>
        <v>Up</v>
      </c>
      <c r="W128" s="6">
        <f>IF(OR(E128&gt;Settings!$B$30,Q128&gt;Settings!$B$37),0,1)</f>
        <v>1</v>
      </c>
      <c r="X128" s="6">
        <f>IF(AND(W128=1,Q128&lt;=Settings!$B$36),1,0)</f>
        <v>1</v>
      </c>
    </row>
    <row r="129" spans="1:24" x14ac:dyDescent="0.2">
      <c r="A129">
        <f>Arrivals!A129</f>
        <v>2</v>
      </c>
      <c r="B129">
        <f>Arrivals!B129</f>
        <v>4</v>
      </c>
      <c r="C129" s="6">
        <f>Arrivals!F129</f>
        <v>37</v>
      </c>
      <c r="D129" s="6">
        <f>Arrivals!K129</f>
        <v>300</v>
      </c>
      <c r="E129" s="6">
        <f>D129*8/ACE_Input!S9+ACE_Input!T9</f>
        <v>24.02</v>
      </c>
      <c r="F129" s="6">
        <f t="shared" si="46"/>
        <v>37</v>
      </c>
      <c r="G129" s="6">
        <f t="shared" si="57"/>
        <v>74.06</v>
      </c>
      <c r="H129" s="6">
        <f t="shared" si="47"/>
        <v>74.06</v>
      </c>
      <c r="I129" s="6">
        <f>MOD(H129-Settings!$B$32,Settings!$B$33)</f>
        <v>74.06</v>
      </c>
      <c r="J129" s="6">
        <f>IF(I129&lt;Settings!$B$30,IF(Settings!$B$30-I129&gt;=E129,H129,H129+(Settings!$B$30-I129)+Settings!$B$31),H129+(Settings!$B$33-I129))</f>
        <v>74.06</v>
      </c>
      <c r="K129" s="6">
        <f t="shared" si="48"/>
        <v>98.08</v>
      </c>
      <c r="L129" s="6">
        <f t="shared" si="49"/>
        <v>98.08</v>
      </c>
      <c r="M129" s="6">
        <f t="shared" si="58"/>
        <v>77.277643932482917</v>
      </c>
      <c r="N129" s="6">
        <f t="shared" si="50"/>
        <v>98.08</v>
      </c>
      <c r="O129" s="6">
        <f>Arrivals!I129</f>
        <v>1.8223202159540239</v>
      </c>
      <c r="P129" s="6">
        <f t="shared" si="51"/>
        <v>99.90232021595402</v>
      </c>
      <c r="Q129" s="6">
        <f t="shared" si="52"/>
        <v>62.90232021595402</v>
      </c>
      <c r="R129" s="6">
        <f t="shared" si="53"/>
        <v>37.06</v>
      </c>
      <c r="S129" s="6">
        <f t="shared" si="54"/>
        <v>0</v>
      </c>
      <c r="T129" s="6">
        <f t="shared" si="55"/>
        <v>0</v>
      </c>
      <c r="U129" s="6">
        <f t="shared" si="56"/>
        <v>37.06</v>
      </c>
      <c r="V129" s="6" t="str">
        <f>IF(MOD(C129-Settings!$B$32,Settings!$B$33)&lt;Settings!$B$30,"Up","Down")</f>
        <v>Up</v>
      </c>
      <c r="W129" s="6">
        <f>IF(OR(E129&gt;Settings!$B$30,Q129&gt;Settings!$B$37),0,1)</f>
        <v>1</v>
      </c>
      <c r="X129" s="6">
        <f>IF(AND(W129=1,Q129&lt;=Settings!$B$36),1,0)</f>
        <v>1</v>
      </c>
    </row>
    <row r="130" spans="1:24" x14ac:dyDescent="0.2">
      <c r="A130">
        <f>Arrivals!A130</f>
        <v>2</v>
      </c>
      <c r="B130">
        <f>Arrivals!B130</f>
        <v>5</v>
      </c>
      <c r="C130" s="6">
        <f>Arrivals!F130</f>
        <v>42</v>
      </c>
      <c r="D130" s="6">
        <f>Arrivals!K130</f>
        <v>300</v>
      </c>
      <c r="E130" s="6">
        <f>D130*8/ACE_Input!S10+ACE_Input!T10</f>
        <v>24.02</v>
      </c>
      <c r="F130" s="6">
        <f t="shared" si="46"/>
        <v>42</v>
      </c>
      <c r="G130" s="6">
        <f t="shared" si="57"/>
        <v>98.08</v>
      </c>
      <c r="H130" s="6">
        <f t="shared" si="47"/>
        <v>98.08</v>
      </c>
      <c r="I130" s="6">
        <f>MOD(H130-Settings!$B$32,Settings!$B$33)</f>
        <v>98.08</v>
      </c>
      <c r="J130" s="6">
        <f>IF(I130&lt;Settings!$B$30,IF(Settings!$B$30-I130&gt;=E130,H130,H130+(Settings!$B$30-I130)+Settings!$B$31),H130+(Settings!$B$33-I130))</f>
        <v>98.08</v>
      </c>
      <c r="K130" s="6">
        <f t="shared" si="48"/>
        <v>122.1</v>
      </c>
      <c r="L130" s="6">
        <f t="shared" si="49"/>
        <v>122.1</v>
      </c>
      <c r="M130" s="6">
        <f t="shared" si="58"/>
        <v>99.90232021595402</v>
      </c>
      <c r="N130" s="6">
        <f t="shared" si="50"/>
        <v>122.1</v>
      </c>
      <c r="O130" s="6">
        <f>Arrivals!I130</f>
        <v>6.6232160273717242E-2</v>
      </c>
      <c r="P130" s="6">
        <f t="shared" si="51"/>
        <v>122.16623216027371</v>
      </c>
      <c r="Q130" s="6">
        <f t="shared" si="52"/>
        <v>80.166232160273708</v>
      </c>
      <c r="R130" s="6">
        <f t="shared" si="53"/>
        <v>56.08</v>
      </c>
      <c r="S130" s="6">
        <f t="shared" si="54"/>
        <v>0</v>
      </c>
      <c r="T130" s="6">
        <f t="shared" si="55"/>
        <v>0</v>
      </c>
      <c r="U130" s="6">
        <f t="shared" si="56"/>
        <v>56.08</v>
      </c>
      <c r="V130" s="6" t="str">
        <f>IF(MOD(C130-Settings!$B$32,Settings!$B$33)&lt;Settings!$B$30,"Up","Down")</f>
        <v>Up</v>
      </c>
      <c r="W130" s="6">
        <f>IF(OR(E130&gt;Settings!$B$30,Q130&gt;Settings!$B$37),0,1)</f>
        <v>1</v>
      </c>
      <c r="X130" s="6">
        <f>IF(AND(W130=1,Q130&lt;=Settings!$B$36),1,0)</f>
        <v>1</v>
      </c>
    </row>
    <row r="131" spans="1:24" x14ac:dyDescent="0.2">
      <c r="A131">
        <f>Arrivals!A131</f>
        <v>2</v>
      </c>
      <c r="B131">
        <f>Arrivals!B131</f>
        <v>6</v>
      </c>
      <c r="C131" s="6">
        <f>Arrivals!F131</f>
        <v>47</v>
      </c>
      <c r="D131" s="6">
        <f>Arrivals!K131</f>
        <v>300</v>
      </c>
      <c r="E131" s="6">
        <f>D131*8/ACE_Input!S11+ACE_Input!T11</f>
        <v>24.02</v>
      </c>
      <c r="F131" s="6">
        <f t="shared" si="46"/>
        <v>47</v>
      </c>
      <c r="G131" s="6">
        <f t="shared" si="57"/>
        <v>122.1</v>
      </c>
      <c r="H131" s="6">
        <f t="shared" si="47"/>
        <v>122.1</v>
      </c>
      <c r="I131" s="6">
        <f>MOD(H131-Settings!$B$32,Settings!$B$33)</f>
        <v>122.1</v>
      </c>
      <c r="J131" s="6">
        <f>IF(I131&lt;Settings!$B$30,IF(Settings!$B$30-I131&gt;=E131,H131,H131+(Settings!$B$30-I131)+Settings!$B$31),H131+(Settings!$B$33-I131))</f>
        <v>122.1</v>
      </c>
      <c r="K131" s="6">
        <f t="shared" si="48"/>
        <v>146.12</v>
      </c>
      <c r="L131" s="6">
        <f t="shared" si="49"/>
        <v>146.12</v>
      </c>
      <c r="M131" s="6">
        <f t="shared" si="58"/>
        <v>122.16623216027371</v>
      </c>
      <c r="N131" s="6">
        <f t="shared" si="50"/>
        <v>146.12</v>
      </c>
      <c r="O131" s="6">
        <f>Arrivals!I131</f>
        <v>32.027258151936778</v>
      </c>
      <c r="P131" s="6">
        <f t="shared" si="51"/>
        <v>178.1472581519368</v>
      </c>
      <c r="Q131" s="6">
        <f t="shared" si="52"/>
        <v>131.1472581519368</v>
      </c>
      <c r="R131" s="6">
        <f t="shared" si="53"/>
        <v>75.099999999999994</v>
      </c>
      <c r="S131" s="6">
        <f t="shared" si="54"/>
        <v>0</v>
      </c>
      <c r="T131" s="6">
        <f t="shared" si="55"/>
        <v>0</v>
      </c>
      <c r="U131" s="6">
        <f t="shared" si="56"/>
        <v>75.099999999999994</v>
      </c>
      <c r="V131" s="6" t="str">
        <f>IF(MOD(C131-Settings!$B$32,Settings!$B$33)&lt;Settings!$B$30,"Up","Down")</f>
        <v>Up</v>
      </c>
      <c r="W131" s="6">
        <f>IF(OR(E131&gt;Settings!$B$30,Q131&gt;Settings!$B$37),0,1)</f>
        <v>1</v>
      </c>
      <c r="X131" s="6">
        <f>IF(AND(W131=1,Q131&lt;=Settings!$B$36),1,0)</f>
        <v>0</v>
      </c>
    </row>
    <row r="132" spans="1:24" x14ac:dyDescent="0.2">
      <c r="A132">
        <f>Arrivals!A132</f>
        <v>2</v>
      </c>
      <c r="B132">
        <f>Arrivals!B132</f>
        <v>7</v>
      </c>
      <c r="C132" s="6">
        <f>Arrivals!F132</f>
        <v>52</v>
      </c>
      <c r="D132" s="6">
        <f>Arrivals!K132</f>
        <v>300</v>
      </c>
      <c r="E132" s="6">
        <f>D132*8/ACE_Input!S12+ACE_Input!T12</f>
        <v>24.02</v>
      </c>
      <c r="F132" s="6">
        <f t="shared" si="46"/>
        <v>52</v>
      </c>
      <c r="G132" s="6">
        <f t="shared" si="57"/>
        <v>146.12</v>
      </c>
      <c r="H132" s="6">
        <f t="shared" si="47"/>
        <v>146.12</v>
      </c>
      <c r="I132" s="6">
        <f>MOD(H132-Settings!$B$32,Settings!$B$33)</f>
        <v>146.12</v>
      </c>
      <c r="J132" s="6">
        <f>IF(I132&lt;Settings!$B$30,IF(Settings!$B$30-I132&gt;=E132,H132,H132+(Settings!$B$30-I132)+Settings!$B$31),H132+(Settings!$B$33-I132))</f>
        <v>146.12</v>
      </c>
      <c r="K132" s="6">
        <f t="shared" si="48"/>
        <v>170.14000000000001</v>
      </c>
      <c r="L132" s="6">
        <f t="shared" si="49"/>
        <v>170.14000000000001</v>
      </c>
      <c r="M132" s="6">
        <f t="shared" si="58"/>
        <v>178.1472581519368</v>
      </c>
      <c r="N132" s="6">
        <f t="shared" si="50"/>
        <v>178.1472581519368</v>
      </c>
      <c r="O132" s="6">
        <f>Arrivals!I132</f>
        <v>2.0444372155102224</v>
      </c>
      <c r="P132" s="6">
        <f t="shared" si="51"/>
        <v>180.19169536744701</v>
      </c>
      <c r="Q132" s="6">
        <f t="shared" si="52"/>
        <v>128.19169536744701</v>
      </c>
      <c r="R132" s="6">
        <f t="shared" si="53"/>
        <v>94.12</v>
      </c>
      <c r="S132" s="6">
        <f t="shared" si="54"/>
        <v>0</v>
      </c>
      <c r="T132" s="6">
        <f t="shared" si="55"/>
        <v>8.0072581519367816</v>
      </c>
      <c r="U132" s="6">
        <f t="shared" si="56"/>
        <v>102.12725815193679</v>
      </c>
      <c r="V132" s="6" t="str">
        <f>IF(MOD(C132-Settings!$B$32,Settings!$B$33)&lt;Settings!$B$30,"Up","Down")</f>
        <v>Up</v>
      </c>
      <c r="W132" s="6">
        <f>IF(OR(E132&gt;Settings!$B$30,Q132&gt;Settings!$B$37),0,1)</f>
        <v>1</v>
      </c>
      <c r="X132" s="6">
        <f>IF(AND(W132=1,Q132&lt;=Settings!$B$36),1,0)</f>
        <v>0</v>
      </c>
    </row>
    <row r="133" spans="1:24" x14ac:dyDescent="0.2">
      <c r="A133">
        <f>Arrivals!A133</f>
        <v>2</v>
      </c>
      <c r="B133">
        <f>Arrivals!B133</f>
        <v>8</v>
      </c>
      <c r="C133" s="6">
        <f>Arrivals!F133</f>
        <v>57</v>
      </c>
      <c r="D133" s="6">
        <f>Arrivals!K133</f>
        <v>300</v>
      </c>
      <c r="E133" s="6">
        <f>D133*8/ACE_Input!S13+ACE_Input!T13</f>
        <v>24.02</v>
      </c>
      <c r="F133" s="6">
        <f t="shared" si="46"/>
        <v>57</v>
      </c>
      <c r="G133" s="6">
        <f t="shared" si="57"/>
        <v>170.14000000000001</v>
      </c>
      <c r="H133" s="6">
        <f t="shared" si="47"/>
        <v>170.14000000000001</v>
      </c>
      <c r="I133" s="6">
        <f>MOD(H133-Settings!$B$32,Settings!$B$33)</f>
        <v>170.14000000000001</v>
      </c>
      <c r="J133" s="6">
        <f>IF(I133&lt;Settings!$B$30,IF(Settings!$B$30-I133&gt;=E133,H133,H133+(Settings!$B$30-I133)+Settings!$B$31),H133+(Settings!$B$33-I133))</f>
        <v>170.14000000000001</v>
      </c>
      <c r="K133" s="6">
        <f t="shared" si="48"/>
        <v>194.16000000000003</v>
      </c>
      <c r="L133" s="6">
        <f t="shared" si="49"/>
        <v>194.16000000000003</v>
      </c>
      <c r="M133" s="6">
        <f t="shared" si="58"/>
        <v>180.19169536744701</v>
      </c>
      <c r="N133" s="6">
        <f t="shared" si="50"/>
        <v>194.16000000000003</v>
      </c>
      <c r="O133" s="6">
        <f>Arrivals!I133</f>
        <v>4.318548949089581</v>
      </c>
      <c r="P133" s="6">
        <f t="shared" si="51"/>
        <v>198.4785489490896</v>
      </c>
      <c r="Q133" s="6">
        <f t="shared" si="52"/>
        <v>141.4785489490896</v>
      </c>
      <c r="R133" s="6">
        <f t="shared" si="53"/>
        <v>113.14000000000001</v>
      </c>
      <c r="S133" s="6">
        <f t="shared" si="54"/>
        <v>0</v>
      </c>
      <c r="T133" s="6">
        <f t="shared" si="55"/>
        <v>0</v>
      </c>
      <c r="U133" s="6">
        <f t="shared" si="56"/>
        <v>113.14000000000001</v>
      </c>
      <c r="V133" s="6" t="str">
        <f>IF(MOD(C133-Settings!$B$32,Settings!$B$33)&lt;Settings!$B$30,"Up","Down")</f>
        <v>Up</v>
      </c>
      <c r="W133" s="6">
        <f>IF(OR(E133&gt;Settings!$B$30,Q133&gt;Settings!$B$37),0,1)</f>
        <v>1</v>
      </c>
      <c r="X133" s="6">
        <f>IF(AND(W133=1,Q133&lt;=Settings!$B$36),1,0)</f>
        <v>0</v>
      </c>
    </row>
    <row r="134" spans="1:24" x14ac:dyDescent="0.2">
      <c r="A134">
        <f>Arrivals!A134</f>
        <v>2</v>
      </c>
      <c r="B134">
        <f>Arrivals!B134</f>
        <v>9</v>
      </c>
      <c r="C134" s="6">
        <f>Arrivals!F134</f>
        <v>172</v>
      </c>
      <c r="D134" s="6">
        <f>Arrivals!K134</f>
        <v>300</v>
      </c>
      <c r="E134" s="6">
        <f>D134*8/ACE_Input!S14+ACE_Input!T14</f>
        <v>24.02</v>
      </c>
      <c r="F134" s="6">
        <f t="shared" si="46"/>
        <v>172</v>
      </c>
      <c r="G134" s="6">
        <f t="shared" si="57"/>
        <v>194.16000000000003</v>
      </c>
      <c r="H134" s="6">
        <f t="shared" si="47"/>
        <v>194.16000000000003</v>
      </c>
      <c r="I134" s="6">
        <f>MOD(H134-Settings!$B$32,Settings!$B$33)</f>
        <v>194.16000000000003</v>
      </c>
      <c r="J134" s="6">
        <f>IF(I134&lt;Settings!$B$30,IF(Settings!$B$30-I134&gt;=E134,H134,H134+(Settings!$B$30-I134)+Settings!$B$31),H134+(Settings!$B$33-I134))</f>
        <v>194.16000000000003</v>
      </c>
      <c r="K134" s="6">
        <f t="shared" si="48"/>
        <v>218.18000000000004</v>
      </c>
      <c r="L134" s="6">
        <f t="shared" si="49"/>
        <v>218.18000000000004</v>
      </c>
      <c r="M134" s="6">
        <f t="shared" si="58"/>
        <v>198.4785489490896</v>
      </c>
      <c r="N134" s="6">
        <f t="shared" si="50"/>
        <v>218.18000000000004</v>
      </c>
      <c r="O134" s="6">
        <f>Arrivals!I134</f>
        <v>1.7054898637118387</v>
      </c>
      <c r="P134" s="6">
        <f t="shared" si="51"/>
        <v>219.88548986371188</v>
      </c>
      <c r="Q134" s="6">
        <f t="shared" si="52"/>
        <v>47.885489863711882</v>
      </c>
      <c r="R134" s="6">
        <f t="shared" si="53"/>
        <v>22.160000000000025</v>
      </c>
      <c r="S134" s="6">
        <f t="shared" si="54"/>
        <v>0</v>
      </c>
      <c r="T134" s="6">
        <f t="shared" si="55"/>
        <v>0</v>
      </c>
      <c r="U134" s="6">
        <f t="shared" si="56"/>
        <v>22.160000000000025</v>
      </c>
      <c r="V134" s="6" t="str">
        <f>IF(MOD(C134-Settings!$B$32,Settings!$B$33)&lt;Settings!$B$30,"Up","Down")</f>
        <v>Up</v>
      </c>
      <c r="W134" s="6">
        <f>IF(OR(E134&gt;Settings!$B$30,Q134&gt;Settings!$B$37),0,1)</f>
        <v>1</v>
      </c>
      <c r="X134" s="6">
        <f>IF(AND(W134=1,Q134&lt;=Settings!$B$36),1,0)</f>
        <v>1</v>
      </c>
    </row>
    <row r="135" spans="1:24" x14ac:dyDescent="0.2">
      <c r="A135">
        <f>Arrivals!A135</f>
        <v>2</v>
      </c>
      <c r="B135">
        <f>Arrivals!B135</f>
        <v>10</v>
      </c>
      <c r="C135" s="6">
        <f>Arrivals!F135</f>
        <v>177</v>
      </c>
      <c r="D135" s="6">
        <f>Arrivals!K135</f>
        <v>300</v>
      </c>
      <c r="E135" s="6">
        <f>D135*8/ACE_Input!S15+ACE_Input!T15</f>
        <v>24.02</v>
      </c>
      <c r="F135" s="6">
        <f t="shared" si="46"/>
        <v>177</v>
      </c>
      <c r="G135" s="6">
        <f t="shared" si="57"/>
        <v>218.18000000000004</v>
      </c>
      <c r="H135" s="6">
        <f t="shared" si="47"/>
        <v>218.18000000000004</v>
      </c>
      <c r="I135" s="6">
        <f>MOD(H135-Settings!$B$32,Settings!$B$33)</f>
        <v>218.18000000000004</v>
      </c>
      <c r="J135" s="6">
        <f>IF(I135&lt;Settings!$B$30,IF(Settings!$B$30-I135&gt;=E135,H135,H135+(Settings!$B$30-I135)+Settings!$B$31),H135+(Settings!$B$33-I135))</f>
        <v>218.18000000000004</v>
      </c>
      <c r="K135" s="6">
        <f t="shared" si="48"/>
        <v>242.20000000000005</v>
      </c>
      <c r="L135" s="6">
        <f t="shared" si="49"/>
        <v>242.20000000000005</v>
      </c>
      <c r="M135" s="6">
        <f t="shared" si="58"/>
        <v>219.88548986371188</v>
      </c>
      <c r="N135" s="6">
        <f t="shared" si="50"/>
        <v>242.20000000000005</v>
      </c>
      <c r="O135" s="6">
        <f>Arrivals!I135</f>
        <v>0.70412258443694242</v>
      </c>
      <c r="P135" s="6">
        <f t="shared" si="51"/>
        <v>242.90412258443698</v>
      </c>
      <c r="Q135" s="6">
        <f t="shared" si="52"/>
        <v>65.904122584436976</v>
      </c>
      <c r="R135" s="6">
        <f t="shared" si="53"/>
        <v>41.180000000000035</v>
      </c>
      <c r="S135" s="6">
        <f t="shared" si="54"/>
        <v>0</v>
      </c>
      <c r="T135" s="6">
        <f t="shared" si="55"/>
        <v>0</v>
      </c>
      <c r="U135" s="6">
        <f t="shared" si="56"/>
        <v>41.180000000000035</v>
      </c>
      <c r="V135" s="6" t="str">
        <f>IF(MOD(C135-Settings!$B$32,Settings!$B$33)&lt;Settings!$B$30,"Up","Down")</f>
        <v>Up</v>
      </c>
      <c r="W135" s="6">
        <f>IF(OR(E135&gt;Settings!$B$30,Q135&gt;Settings!$B$37),0,1)</f>
        <v>1</v>
      </c>
      <c r="X135" s="6">
        <f>IF(AND(W135=1,Q135&lt;=Settings!$B$36),1,0)</f>
        <v>1</v>
      </c>
    </row>
    <row r="136" spans="1:24" x14ac:dyDescent="0.2">
      <c r="A136">
        <f>Arrivals!A136</f>
        <v>2</v>
      </c>
      <c r="B136">
        <f>Arrivals!B136</f>
        <v>11</v>
      </c>
      <c r="C136" s="6">
        <f>Arrivals!F136</f>
        <v>182</v>
      </c>
      <c r="D136" s="6">
        <f>Arrivals!K136</f>
        <v>300</v>
      </c>
      <c r="E136" s="6">
        <f>D136*8/ACE_Input!S16+ACE_Input!T16</f>
        <v>24.02</v>
      </c>
      <c r="F136" s="6">
        <f t="shared" si="46"/>
        <v>182</v>
      </c>
      <c r="G136" s="6">
        <f t="shared" si="57"/>
        <v>242.20000000000005</v>
      </c>
      <c r="H136" s="6">
        <f t="shared" si="47"/>
        <v>242.20000000000005</v>
      </c>
      <c r="I136" s="6">
        <f>MOD(H136-Settings!$B$32,Settings!$B$33)</f>
        <v>242.20000000000005</v>
      </c>
      <c r="J136" s="6">
        <f>IF(I136&lt;Settings!$B$30,IF(Settings!$B$30-I136&gt;=E136,H136,H136+(Settings!$B$30-I136)+Settings!$B$31),H136+(Settings!$B$33-I136))</f>
        <v>242.20000000000005</v>
      </c>
      <c r="K136" s="6">
        <f t="shared" si="48"/>
        <v>266.22000000000003</v>
      </c>
      <c r="L136" s="6">
        <f t="shared" si="49"/>
        <v>266.22000000000003</v>
      </c>
      <c r="M136" s="6">
        <f t="shared" si="58"/>
        <v>242.90412258443698</v>
      </c>
      <c r="N136" s="6">
        <f t="shared" si="50"/>
        <v>266.22000000000003</v>
      </c>
      <c r="O136" s="6">
        <f>Arrivals!I136</f>
        <v>6.0473159366621099</v>
      </c>
      <c r="P136" s="6">
        <f t="shared" si="51"/>
        <v>272.26731593666216</v>
      </c>
      <c r="Q136" s="6">
        <f t="shared" si="52"/>
        <v>90.267315936662158</v>
      </c>
      <c r="R136" s="6">
        <f t="shared" si="53"/>
        <v>60.200000000000045</v>
      </c>
      <c r="S136" s="6">
        <f t="shared" si="54"/>
        <v>0</v>
      </c>
      <c r="T136" s="6">
        <f t="shared" si="55"/>
        <v>0</v>
      </c>
      <c r="U136" s="6">
        <f t="shared" si="56"/>
        <v>60.200000000000045</v>
      </c>
      <c r="V136" s="6" t="str">
        <f>IF(MOD(C136-Settings!$B$32,Settings!$B$33)&lt;Settings!$B$30,"Up","Down")</f>
        <v>Up</v>
      </c>
      <c r="W136" s="6">
        <f>IF(OR(E136&gt;Settings!$B$30,Q136&gt;Settings!$B$37),0,1)</f>
        <v>1</v>
      </c>
      <c r="X136" s="6">
        <f>IF(AND(W136=1,Q136&lt;=Settings!$B$36),1,0)</f>
        <v>1</v>
      </c>
    </row>
    <row r="137" spans="1:24" x14ac:dyDescent="0.2">
      <c r="A137">
        <f>Arrivals!A137</f>
        <v>2</v>
      </c>
      <c r="B137">
        <f>Arrivals!B137</f>
        <v>12</v>
      </c>
      <c r="C137" s="6">
        <f>Arrivals!F137</f>
        <v>187</v>
      </c>
      <c r="D137" s="6">
        <f>Arrivals!K137</f>
        <v>300</v>
      </c>
      <c r="E137" s="6">
        <f>D137*8/ACE_Input!S17+ACE_Input!T17</f>
        <v>24.02</v>
      </c>
      <c r="F137" s="6">
        <f t="shared" si="46"/>
        <v>187</v>
      </c>
      <c r="G137" s="6">
        <f t="shared" si="57"/>
        <v>266.22000000000003</v>
      </c>
      <c r="H137" s="6">
        <f t="shared" si="47"/>
        <v>266.22000000000003</v>
      </c>
      <c r="I137" s="6">
        <f>MOD(H137-Settings!$B$32,Settings!$B$33)</f>
        <v>266.22000000000003</v>
      </c>
      <c r="J137" s="6">
        <f>IF(I137&lt;Settings!$B$30,IF(Settings!$B$30-I137&gt;=E137,H137,H137+(Settings!$B$30-I137)+Settings!$B$31),H137+(Settings!$B$33-I137))</f>
        <v>266.22000000000003</v>
      </c>
      <c r="K137" s="6">
        <f t="shared" si="48"/>
        <v>290.24</v>
      </c>
      <c r="L137" s="6">
        <f t="shared" si="49"/>
        <v>290.24</v>
      </c>
      <c r="M137" s="6">
        <f t="shared" si="58"/>
        <v>272.26731593666216</v>
      </c>
      <c r="N137" s="6">
        <f t="shared" si="50"/>
        <v>290.24</v>
      </c>
      <c r="O137" s="6">
        <f>Arrivals!I137</f>
        <v>12.023838438140757</v>
      </c>
      <c r="P137" s="6">
        <f t="shared" si="51"/>
        <v>302.26383843814074</v>
      </c>
      <c r="Q137" s="6">
        <f t="shared" si="52"/>
        <v>115.26383843814074</v>
      </c>
      <c r="R137" s="6">
        <f t="shared" si="53"/>
        <v>79.220000000000027</v>
      </c>
      <c r="S137" s="6">
        <f t="shared" si="54"/>
        <v>0</v>
      </c>
      <c r="T137" s="6">
        <f t="shared" si="55"/>
        <v>0</v>
      </c>
      <c r="U137" s="6">
        <f t="shared" si="56"/>
        <v>79.220000000000027</v>
      </c>
      <c r="V137" s="6" t="str">
        <f>IF(MOD(C137-Settings!$B$32,Settings!$B$33)&lt;Settings!$B$30,"Up","Down")</f>
        <v>Up</v>
      </c>
      <c r="W137" s="6">
        <f>IF(OR(E137&gt;Settings!$B$30,Q137&gt;Settings!$B$37),0,1)</f>
        <v>1</v>
      </c>
      <c r="X137" s="6">
        <f>IF(AND(W137=1,Q137&lt;=Settings!$B$36),1,0)</f>
        <v>1</v>
      </c>
    </row>
    <row r="138" spans="1:24" x14ac:dyDescent="0.2">
      <c r="A138">
        <f>Arrivals!A138</f>
        <v>2</v>
      </c>
      <c r="B138">
        <f>Arrivals!B138</f>
        <v>13</v>
      </c>
      <c r="C138" s="6">
        <f>Arrivals!F138</f>
        <v>192</v>
      </c>
      <c r="D138" s="6">
        <f>Arrivals!K138</f>
        <v>300</v>
      </c>
      <c r="E138" s="6">
        <f>D138*8/ACE_Input!S18+ACE_Input!T18</f>
        <v>24.02</v>
      </c>
      <c r="F138" s="6">
        <f t="shared" si="46"/>
        <v>192</v>
      </c>
      <c r="G138" s="6">
        <f t="shared" si="57"/>
        <v>290.24</v>
      </c>
      <c r="H138" s="6">
        <f t="shared" si="47"/>
        <v>290.24</v>
      </c>
      <c r="I138" s="6">
        <f>MOD(H138-Settings!$B$32,Settings!$B$33)</f>
        <v>290.24</v>
      </c>
      <c r="J138" s="6">
        <f>IF(I138&lt;Settings!$B$30,IF(Settings!$B$30-I138&gt;=E138,H138,H138+(Settings!$B$30-I138)+Settings!$B$31),H138+(Settings!$B$33-I138))</f>
        <v>290.24</v>
      </c>
      <c r="K138" s="6">
        <f t="shared" si="48"/>
        <v>314.26</v>
      </c>
      <c r="L138" s="6">
        <f t="shared" si="49"/>
        <v>314.26</v>
      </c>
      <c r="M138" s="6">
        <f t="shared" si="58"/>
        <v>302.26383843814074</v>
      </c>
      <c r="N138" s="6">
        <f t="shared" si="50"/>
        <v>314.26</v>
      </c>
      <c r="O138" s="6">
        <f>Arrivals!I138</f>
        <v>0.8962839523079893</v>
      </c>
      <c r="P138" s="6">
        <f t="shared" si="51"/>
        <v>315.156283952308</v>
      </c>
      <c r="Q138" s="6">
        <f t="shared" si="52"/>
        <v>123.156283952308</v>
      </c>
      <c r="R138" s="6">
        <f t="shared" si="53"/>
        <v>98.240000000000009</v>
      </c>
      <c r="S138" s="6">
        <f t="shared" si="54"/>
        <v>0</v>
      </c>
      <c r="T138" s="6">
        <f t="shared" si="55"/>
        <v>0</v>
      </c>
      <c r="U138" s="6">
        <f t="shared" si="56"/>
        <v>98.240000000000009</v>
      </c>
      <c r="V138" s="6" t="str">
        <f>IF(MOD(C138-Settings!$B$32,Settings!$B$33)&lt;Settings!$B$30,"Up","Down")</f>
        <v>Up</v>
      </c>
      <c r="W138" s="6">
        <f>IF(OR(E138&gt;Settings!$B$30,Q138&gt;Settings!$B$37),0,1)</f>
        <v>1</v>
      </c>
      <c r="X138" s="6">
        <f>IF(AND(W138=1,Q138&lt;=Settings!$B$36),1,0)</f>
        <v>0</v>
      </c>
    </row>
    <row r="139" spans="1:24" x14ac:dyDescent="0.2">
      <c r="A139">
        <f>Arrivals!A139</f>
        <v>2</v>
      </c>
      <c r="B139">
        <f>Arrivals!B139</f>
        <v>14</v>
      </c>
      <c r="C139" s="6">
        <f>Arrivals!F139</f>
        <v>197</v>
      </c>
      <c r="D139" s="6">
        <f>Arrivals!K139</f>
        <v>300</v>
      </c>
      <c r="E139" s="6">
        <f>D139*8/ACE_Input!S19+ACE_Input!T19</f>
        <v>24.02</v>
      </c>
      <c r="F139" s="6">
        <f t="shared" si="46"/>
        <v>197</v>
      </c>
      <c r="G139" s="6">
        <f t="shared" si="57"/>
        <v>314.26</v>
      </c>
      <c r="H139" s="6">
        <f t="shared" si="47"/>
        <v>314.26</v>
      </c>
      <c r="I139" s="6">
        <f>MOD(H139-Settings!$B$32,Settings!$B$33)</f>
        <v>314.26</v>
      </c>
      <c r="J139" s="6">
        <f>IF(I139&lt;Settings!$B$30,IF(Settings!$B$30-I139&gt;=E139,H139,H139+(Settings!$B$30-I139)+Settings!$B$31),H139+(Settings!$B$33-I139))</f>
        <v>314.26</v>
      </c>
      <c r="K139" s="6">
        <f t="shared" si="48"/>
        <v>338.28</v>
      </c>
      <c r="L139" s="6">
        <f t="shared" si="49"/>
        <v>338.28</v>
      </c>
      <c r="M139" s="6">
        <f t="shared" si="58"/>
        <v>315.156283952308</v>
      </c>
      <c r="N139" s="6">
        <f t="shared" si="50"/>
        <v>338.28</v>
      </c>
      <c r="O139" s="6">
        <f>Arrivals!I139</f>
        <v>7.9851980606776376</v>
      </c>
      <c r="P139" s="6">
        <f t="shared" si="51"/>
        <v>346.26519806067762</v>
      </c>
      <c r="Q139" s="6">
        <f t="shared" si="52"/>
        <v>149.26519806067762</v>
      </c>
      <c r="R139" s="6">
        <f t="shared" si="53"/>
        <v>117.25999999999999</v>
      </c>
      <c r="S139" s="6">
        <f t="shared" si="54"/>
        <v>0</v>
      </c>
      <c r="T139" s="6">
        <f t="shared" si="55"/>
        <v>0</v>
      </c>
      <c r="U139" s="6">
        <f t="shared" si="56"/>
        <v>117.25999999999999</v>
      </c>
      <c r="V139" s="6" t="str">
        <f>IF(MOD(C139-Settings!$B$32,Settings!$B$33)&lt;Settings!$B$30,"Up","Down")</f>
        <v>Up</v>
      </c>
      <c r="W139" s="6">
        <f>IF(OR(E139&gt;Settings!$B$30,Q139&gt;Settings!$B$37),0,1)</f>
        <v>1</v>
      </c>
      <c r="X139" s="6">
        <f>IF(AND(W139=1,Q139&lt;=Settings!$B$36),1,0)</f>
        <v>0</v>
      </c>
    </row>
    <row r="140" spans="1:24" x14ac:dyDescent="0.2">
      <c r="A140">
        <f>Arrivals!A140</f>
        <v>2</v>
      </c>
      <c r="B140">
        <f>Arrivals!B140</f>
        <v>15</v>
      </c>
      <c r="C140" s="6">
        <f>Arrivals!F140</f>
        <v>202</v>
      </c>
      <c r="D140" s="6">
        <f>Arrivals!K140</f>
        <v>300</v>
      </c>
      <c r="E140" s="6">
        <f>D140*8/ACE_Input!S20+ACE_Input!T20</f>
        <v>24.02</v>
      </c>
      <c r="F140" s="6">
        <f t="shared" si="46"/>
        <v>202</v>
      </c>
      <c r="G140" s="6">
        <f t="shared" si="57"/>
        <v>338.28</v>
      </c>
      <c r="H140" s="6">
        <f t="shared" si="47"/>
        <v>338.28</v>
      </c>
      <c r="I140" s="6">
        <f>MOD(H140-Settings!$B$32,Settings!$B$33)</f>
        <v>338.28</v>
      </c>
      <c r="J140" s="6">
        <f>IF(I140&lt;Settings!$B$30,IF(Settings!$B$30-I140&gt;=E140,H140,H140+(Settings!$B$30-I140)+Settings!$B$31),H140+(Settings!$B$33-I140))</f>
        <v>338.28</v>
      </c>
      <c r="K140" s="6">
        <f t="shared" si="48"/>
        <v>362.29999999999995</v>
      </c>
      <c r="L140" s="6">
        <f t="shared" si="49"/>
        <v>362.29999999999995</v>
      </c>
      <c r="M140" s="6">
        <f t="shared" si="58"/>
        <v>346.26519806067762</v>
      </c>
      <c r="N140" s="6">
        <f t="shared" si="50"/>
        <v>362.29999999999995</v>
      </c>
      <c r="O140" s="6">
        <f>Arrivals!I140</f>
        <v>17.44972977782049</v>
      </c>
      <c r="P140" s="6">
        <f t="shared" si="51"/>
        <v>379.74972977782045</v>
      </c>
      <c r="Q140" s="6">
        <f t="shared" si="52"/>
        <v>177.74972977782045</v>
      </c>
      <c r="R140" s="6">
        <f t="shared" si="53"/>
        <v>136.27999999999997</v>
      </c>
      <c r="S140" s="6">
        <f t="shared" si="54"/>
        <v>0</v>
      </c>
      <c r="T140" s="6">
        <f t="shared" si="55"/>
        <v>0</v>
      </c>
      <c r="U140" s="6">
        <f t="shared" si="56"/>
        <v>136.27999999999997</v>
      </c>
      <c r="V140" s="6" t="str">
        <f>IF(MOD(C140-Settings!$B$32,Settings!$B$33)&lt;Settings!$B$30,"Up","Down")</f>
        <v>Up</v>
      </c>
      <c r="W140" s="6">
        <f>IF(OR(E140&gt;Settings!$B$30,Q140&gt;Settings!$B$37),0,1)</f>
        <v>1</v>
      </c>
      <c r="X140" s="6">
        <f>IF(AND(W140=1,Q140&lt;=Settings!$B$36),1,0)</f>
        <v>0</v>
      </c>
    </row>
    <row r="141" spans="1:24" x14ac:dyDescent="0.2">
      <c r="A141">
        <f>Arrivals!A141</f>
        <v>2</v>
      </c>
      <c r="B141">
        <f>Arrivals!B141</f>
        <v>16</v>
      </c>
      <c r="C141" s="6">
        <f>Arrivals!F141</f>
        <v>207</v>
      </c>
      <c r="D141" s="6">
        <f>Arrivals!K141</f>
        <v>300</v>
      </c>
      <c r="E141" s="6">
        <f>D141*8/ACE_Input!S21+ACE_Input!T21</f>
        <v>24.02</v>
      </c>
      <c r="F141" s="6">
        <f t="shared" si="46"/>
        <v>207</v>
      </c>
      <c r="G141" s="6">
        <f t="shared" si="57"/>
        <v>362.29999999999995</v>
      </c>
      <c r="H141" s="6">
        <f t="shared" si="47"/>
        <v>362.29999999999995</v>
      </c>
      <c r="I141" s="6">
        <f>MOD(H141-Settings!$B$32,Settings!$B$33)</f>
        <v>362.29999999999995</v>
      </c>
      <c r="J141" s="6">
        <f>IF(I141&lt;Settings!$B$30,IF(Settings!$B$30-I141&gt;=E141,H141,H141+(Settings!$B$30-I141)+Settings!$B$31),H141+(Settings!$B$33-I141))</f>
        <v>362.29999999999995</v>
      </c>
      <c r="K141" s="6">
        <f t="shared" si="48"/>
        <v>386.31999999999994</v>
      </c>
      <c r="L141" s="6">
        <f t="shared" si="49"/>
        <v>386.31999999999994</v>
      </c>
      <c r="M141" s="6">
        <f t="shared" si="58"/>
        <v>379.74972977782045</v>
      </c>
      <c r="N141" s="6">
        <f t="shared" si="50"/>
        <v>386.31999999999994</v>
      </c>
      <c r="O141" s="6">
        <f>Arrivals!I141</f>
        <v>5.6327068977192694</v>
      </c>
      <c r="P141" s="6">
        <f t="shared" si="51"/>
        <v>391.95270689771922</v>
      </c>
      <c r="Q141" s="6">
        <f t="shared" si="52"/>
        <v>184.95270689771922</v>
      </c>
      <c r="R141" s="6">
        <f t="shared" si="53"/>
        <v>155.29999999999995</v>
      </c>
      <c r="S141" s="6">
        <f t="shared" si="54"/>
        <v>0</v>
      </c>
      <c r="T141" s="6">
        <f t="shared" si="55"/>
        <v>0</v>
      </c>
      <c r="U141" s="6">
        <f t="shared" si="56"/>
        <v>155.29999999999995</v>
      </c>
      <c r="V141" s="6" t="str">
        <f>IF(MOD(C141-Settings!$B$32,Settings!$B$33)&lt;Settings!$B$30,"Up","Down")</f>
        <v>Up</v>
      </c>
      <c r="W141" s="6">
        <f>IF(OR(E141&gt;Settings!$B$30,Q141&gt;Settings!$B$37),0,1)</f>
        <v>1</v>
      </c>
      <c r="X141" s="6">
        <f>IF(AND(W141=1,Q141&lt;=Settings!$B$36),1,0)</f>
        <v>0</v>
      </c>
    </row>
    <row r="142" spans="1:24" x14ac:dyDescent="0.2">
      <c r="A142">
        <f>Arrivals!A142</f>
        <v>2</v>
      </c>
      <c r="B142">
        <f>Arrivals!B142</f>
        <v>17</v>
      </c>
      <c r="C142" s="6">
        <f>Arrivals!F142</f>
        <v>212</v>
      </c>
      <c r="D142" s="6">
        <f>Arrivals!K142</f>
        <v>300</v>
      </c>
      <c r="E142" s="6">
        <f>D142*8/ACE_Input!S22+ACE_Input!T22</f>
        <v>24.02</v>
      </c>
      <c r="F142" s="6">
        <f t="shared" si="46"/>
        <v>212</v>
      </c>
      <c r="G142" s="6">
        <f t="shared" si="57"/>
        <v>386.31999999999994</v>
      </c>
      <c r="H142" s="6">
        <f t="shared" si="47"/>
        <v>386.31999999999994</v>
      </c>
      <c r="I142" s="6">
        <f>MOD(H142-Settings!$B$32,Settings!$B$33)</f>
        <v>386.31999999999994</v>
      </c>
      <c r="J142" s="6">
        <f>IF(I142&lt;Settings!$B$30,IF(Settings!$B$30-I142&gt;=E142,H142,H142+(Settings!$B$30-I142)+Settings!$B$31),H142+(Settings!$B$33-I142))</f>
        <v>386.31999999999994</v>
      </c>
      <c r="K142" s="6">
        <f t="shared" si="48"/>
        <v>410.33999999999992</v>
      </c>
      <c r="L142" s="6">
        <f t="shared" si="49"/>
        <v>410.33999999999992</v>
      </c>
      <c r="M142" s="6">
        <f t="shared" si="58"/>
        <v>391.95270689771922</v>
      </c>
      <c r="N142" s="6">
        <f t="shared" si="50"/>
        <v>410.33999999999992</v>
      </c>
      <c r="O142" s="6">
        <f>Arrivals!I142</f>
        <v>0.87033308165276879</v>
      </c>
      <c r="P142" s="6">
        <f t="shared" si="51"/>
        <v>411.21033308165266</v>
      </c>
      <c r="Q142" s="6">
        <f t="shared" si="52"/>
        <v>199.21033308165266</v>
      </c>
      <c r="R142" s="6">
        <f t="shared" si="53"/>
        <v>174.31999999999994</v>
      </c>
      <c r="S142" s="6">
        <f t="shared" si="54"/>
        <v>0</v>
      </c>
      <c r="T142" s="6">
        <f t="shared" si="55"/>
        <v>0</v>
      </c>
      <c r="U142" s="6">
        <f t="shared" si="56"/>
        <v>174.31999999999994</v>
      </c>
      <c r="V142" s="6" t="str">
        <f>IF(MOD(C142-Settings!$B$32,Settings!$B$33)&lt;Settings!$B$30,"Up","Down")</f>
        <v>Up</v>
      </c>
      <c r="W142" s="6">
        <f>IF(OR(E142&gt;Settings!$B$30,Q142&gt;Settings!$B$37),0,1)</f>
        <v>1</v>
      </c>
      <c r="X142" s="6">
        <f>IF(AND(W142=1,Q142&lt;=Settings!$B$36),1,0)</f>
        <v>0</v>
      </c>
    </row>
    <row r="143" spans="1:24" x14ac:dyDescent="0.2">
      <c r="A143">
        <f>Arrivals!A143</f>
        <v>2</v>
      </c>
      <c r="B143">
        <f>Arrivals!B143</f>
        <v>18</v>
      </c>
      <c r="C143" s="6">
        <f>Arrivals!F143</f>
        <v>217</v>
      </c>
      <c r="D143" s="6">
        <f>Arrivals!K143</f>
        <v>300</v>
      </c>
      <c r="E143" s="6">
        <f>D143*8/ACE_Input!S23+ACE_Input!T23</f>
        <v>24.02</v>
      </c>
      <c r="F143" s="6">
        <f t="shared" si="46"/>
        <v>217</v>
      </c>
      <c r="G143" s="6">
        <f t="shared" si="57"/>
        <v>410.33999999999992</v>
      </c>
      <c r="H143" s="6">
        <f t="shared" si="47"/>
        <v>410.33999999999992</v>
      </c>
      <c r="I143" s="6">
        <f>MOD(H143-Settings!$B$32,Settings!$B$33)</f>
        <v>410.33999999999992</v>
      </c>
      <c r="J143" s="6">
        <f>IF(I143&lt;Settings!$B$30,IF(Settings!$B$30-I143&gt;=E143,H143,H143+(Settings!$B$30-I143)+Settings!$B$31),H143+(Settings!$B$33-I143))</f>
        <v>410.33999999999992</v>
      </c>
      <c r="K143" s="6">
        <f t="shared" si="48"/>
        <v>434.3599999999999</v>
      </c>
      <c r="L143" s="6">
        <f t="shared" si="49"/>
        <v>434.3599999999999</v>
      </c>
      <c r="M143" s="6">
        <f t="shared" si="58"/>
        <v>411.21033308165266</v>
      </c>
      <c r="N143" s="6">
        <f t="shared" si="50"/>
        <v>434.3599999999999</v>
      </c>
      <c r="O143" s="6">
        <f>Arrivals!I143</f>
        <v>2.2516657300569412</v>
      </c>
      <c r="P143" s="6">
        <f t="shared" si="51"/>
        <v>436.61166573005681</v>
      </c>
      <c r="Q143" s="6">
        <f t="shared" si="52"/>
        <v>219.61166573005681</v>
      </c>
      <c r="R143" s="6">
        <f t="shared" si="53"/>
        <v>193.33999999999992</v>
      </c>
      <c r="S143" s="6">
        <f t="shared" si="54"/>
        <v>0</v>
      </c>
      <c r="T143" s="6">
        <f t="shared" si="55"/>
        <v>0</v>
      </c>
      <c r="U143" s="6">
        <f t="shared" si="56"/>
        <v>193.33999999999992</v>
      </c>
      <c r="V143" s="6" t="str">
        <f>IF(MOD(C143-Settings!$B$32,Settings!$B$33)&lt;Settings!$B$30,"Up","Down")</f>
        <v>Up</v>
      </c>
      <c r="W143" s="6">
        <f>IF(OR(E143&gt;Settings!$B$30,Q143&gt;Settings!$B$37),0,1)</f>
        <v>1</v>
      </c>
      <c r="X143" s="6">
        <f>IF(AND(W143=1,Q143&lt;=Settings!$B$36),1,0)</f>
        <v>0</v>
      </c>
    </row>
    <row r="144" spans="1:24" x14ac:dyDescent="0.2">
      <c r="A144">
        <f>Arrivals!A144</f>
        <v>2</v>
      </c>
      <c r="B144">
        <f>Arrivals!B144</f>
        <v>19</v>
      </c>
      <c r="C144" s="6">
        <f>Arrivals!F144</f>
        <v>222</v>
      </c>
      <c r="D144" s="6">
        <f>Arrivals!K144</f>
        <v>300</v>
      </c>
      <c r="E144" s="6">
        <f>D144*8/ACE_Input!S24+ACE_Input!T24</f>
        <v>24.02</v>
      </c>
      <c r="F144" s="6">
        <f t="shared" si="46"/>
        <v>222</v>
      </c>
      <c r="G144" s="6">
        <f t="shared" si="57"/>
        <v>434.3599999999999</v>
      </c>
      <c r="H144" s="6">
        <f t="shared" si="47"/>
        <v>434.3599999999999</v>
      </c>
      <c r="I144" s="6">
        <f>MOD(H144-Settings!$B$32,Settings!$B$33)</f>
        <v>434.3599999999999</v>
      </c>
      <c r="J144" s="6">
        <f>IF(I144&lt;Settings!$B$30,IF(Settings!$B$30-I144&gt;=E144,H144,H144+(Settings!$B$30-I144)+Settings!$B$31),H144+(Settings!$B$33-I144))</f>
        <v>434.3599999999999</v>
      </c>
      <c r="K144" s="6">
        <f t="shared" si="48"/>
        <v>458.37999999999988</v>
      </c>
      <c r="L144" s="6">
        <f t="shared" si="49"/>
        <v>458.37999999999988</v>
      </c>
      <c r="M144" s="6">
        <f t="shared" si="58"/>
        <v>436.61166573005681</v>
      </c>
      <c r="N144" s="6">
        <f t="shared" si="50"/>
        <v>458.37999999999988</v>
      </c>
      <c r="O144" s="6">
        <f>Arrivals!I144</f>
        <v>4.1666657033921464</v>
      </c>
      <c r="P144" s="6">
        <f t="shared" si="51"/>
        <v>462.54666570339202</v>
      </c>
      <c r="Q144" s="6">
        <f t="shared" si="52"/>
        <v>240.54666570339202</v>
      </c>
      <c r="R144" s="6">
        <f t="shared" si="53"/>
        <v>212.3599999999999</v>
      </c>
      <c r="S144" s="6">
        <f t="shared" si="54"/>
        <v>0</v>
      </c>
      <c r="T144" s="6">
        <f t="shared" si="55"/>
        <v>0</v>
      </c>
      <c r="U144" s="6">
        <f t="shared" si="56"/>
        <v>212.3599999999999</v>
      </c>
      <c r="V144" s="6" t="str">
        <f>IF(MOD(C144-Settings!$B$32,Settings!$B$33)&lt;Settings!$B$30,"Up","Down")</f>
        <v>Up</v>
      </c>
      <c r="W144" s="6">
        <f>IF(OR(E144&gt;Settings!$B$30,Q144&gt;Settings!$B$37),0,1)</f>
        <v>1</v>
      </c>
      <c r="X144" s="6">
        <f>IF(AND(W144=1,Q144&lt;=Settings!$B$36),1,0)</f>
        <v>0</v>
      </c>
    </row>
    <row r="145" spans="1:24" x14ac:dyDescent="0.2">
      <c r="A145">
        <f>Arrivals!A145</f>
        <v>2</v>
      </c>
      <c r="B145">
        <f>Arrivals!B145</f>
        <v>20</v>
      </c>
      <c r="C145" s="6">
        <f>Arrivals!F145</f>
        <v>227</v>
      </c>
      <c r="D145" s="6">
        <f>Arrivals!K145</f>
        <v>300</v>
      </c>
      <c r="E145" s="6">
        <f>D145*8/ACE_Input!S25+ACE_Input!T25</f>
        <v>24.02</v>
      </c>
      <c r="F145" s="6">
        <f t="shared" si="46"/>
        <v>227</v>
      </c>
      <c r="G145" s="6">
        <f t="shared" si="57"/>
        <v>458.37999999999988</v>
      </c>
      <c r="H145" s="6">
        <f t="shared" si="47"/>
        <v>458.37999999999988</v>
      </c>
      <c r="I145" s="6">
        <f>MOD(H145-Settings!$B$32,Settings!$B$33)</f>
        <v>458.37999999999988</v>
      </c>
      <c r="J145" s="6">
        <f>IF(I145&lt;Settings!$B$30,IF(Settings!$B$30-I145&gt;=E145,H145,H145+(Settings!$B$30-I145)+Settings!$B$31),H145+(Settings!$B$33-I145))</f>
        <v>458.37999999999988</v>
      </c>
      <c r="K145" s="6">
        <f t="shared" si="48"/>
        <v>482.39999999999986</v>
      </c>
      <c r="L145" s="6">
        <f t="shared" si="49"/>
        <v>482.39999999999986</v>
      </c>
      <c r="M145" s="6">
        <f t="shared" si="58"/>
        <v>462.54666570339202</v>
      </c>
      <c r="N145" s="6">
        <f t="shared" si="50"/>
        <v>482.39999999999986</v>
      </c>
      <c r="O145" s="6">
        <f>Arrivals!I145</f>
        <v>1.9014524521624507</v>
      </c>
      <c r="P145" s="6">
        <f t="shared" si="51"/>
        <v>484.30145245216232</v>
      </c>
      <c r="Q145" s="6">
        <f t="shared" si="52"/>
        <v>257.30145245216232</v>
      </c>
      <c r="R145" s="6">
        <f t="shared" si="53"/>
        <v>231.37999999999988</v>
      </c>
      <c r="S145" s="6">
        <f t="shared" si="54"/>
        <v>0</v>
      </c>
      <c r="T145" s="6">
        <f t="shared" si="55"/>
        <v>0</v>
      </c>
      <c r="U145" s="6">
        <f t="shared" si="56"/>
        <v>231.37999999999988</v>
      </c>
      <c r="V145" s="6" t="str">
        <f>IF(MOD(C145-Settings!$B$32,Settings!$B$33)&lt;Settings!$B$30,"Up","Down")</f>
        <v>Up</v>
      </c>
      <c r="W145" s="6">
        <f>IF(OR(E145&gt;Settings!$B$30,Q145&gt;Settings!$B$37),0,1)</f>
        <v>1</v>
      </c>
      <c r="X145" s="6">
        <f>IF(AND(W145=1,Q145&lt;=Settings!$B$36),1,0)</f>
        <v>0</v>
      </c>
    </row>
    <row r="146" spans="1:24" x14ac:dyDescent="0.2">
      <c r="A146">
        <f>Arrivals!A146</f>
        <v>2</v>
      </c>
      <c r="B146">
        <f>Arrivals!B146</f>
        <v>21</v>
      </c>
      <c r="C146" s="6">
        <f>Arrivals!F146</f>
        <v>232</v>
      </c>
      <c r="D146" s="6">
        <f>Arrivals!K146</f>
        <v>300</v>
      </c>
      <c r="E146" s="6">
        <f>D146*8/ACE_Input!S26+ACE_Input!T26</f>
        <v>24.02</v>
      </c>
      <c r="F146" s="6">
        <f t="shared" si="46"/>
        <v>232</v>
      </c>
      <c r="G146" s="6">
        <f t="shared" si="57"/>
        <v>482.39999999999986</v>
      </c>
      <c r="H146" s="6">
        <f t="shared" si="47"/>
        <v>482.39999999999986</v>
      </c>
      <c r="I146" s="6">
        <f>MOD(H146-Settings!$B$32,Settings!$B$33)</f>
        <v>482.39999999999986</v>
      </c>
      <c r="J146" s="6">
        <f>IF(I146&lt;Settings!$B$30,IF(Settings!$B$30-I146&gt;=E146,H146,H146+(Settings!$B$30-I146)+Settings!$B$31),H146+(Settings!$B$33-I146))</f>
        <v>482.39999999999986</v>
      </c>
      <c r="K146" s="6">
        <f t="shared" si="48"/>
        <v>506.41999999999985</v>
      </c>
      <c r="L146" s="6">
        <f t="shared" si="49"/>
        <v>506.41999999999985</v>
      </c>
      <c r="M146" s="6">
        <f t="shared" si="58"/>
        <v>484.30145245216232</v>
      </c>
      <c r="N146" s="6">
        <f t="shared" si="50"/>
        <v>506.41999999999985</v>
      </c>
      <c r="O146" s="6">
        <f>Arrivals!I146</f>
        <v>5.9212346124962849</v>
      </c>
      <c r="P146" s="6">
        <f t="shared" si="51"/>
        <v>512.34123461249612</v>
      </c>
      <c r="Q146" s="6">
        <f t="shared" si="52"/>
        <v>280.34123461249612</v>
      </c>
      <c r="R146" s="6">
        <f t="shared" si="53"/>
        <v>250.39999999999986</v>
      </c>
      <c r="S146" s="6">
        <f t="shared" si="54"/>
        <v>0</v>
      </c>
      <c r="T146" s="6">
        <f t="shared" si="55"/>
        <v>0</v>
      </c>
      <c r="U146" s="6">
        <f t="shared" si="56"/>
        <v>250.39999999999986</v>
      </c>
      <c r="V146" s="6" t="str">
        <f>IF(MOD(C146-Settings!$B$32,Settings!$B$33)&lt;Settings!$B$30,"Up","Down")</f>
        <v>Up</v>
      </c>
      <c r="W146" s="6">
        <f>IF(OR(E146&gt;Settings!$B$30,Q146&gt;Settings!$B$37),0,1)</f>
        <v>1</v>
      </c>
      <c r="X146" s="6">
        <f>IF(AND(W146=1,Q146&lt;=Settings!$B$36),1,0)</f>
        <v>0</v>
      </c>
    </row>
    <row r="147" spans="1:24" x14ac:dyDescent="0.2">
      <c r="A147">
        <f>Arrivals!A147</f>
        <v>2</v>
      </c>
      <c r="B147">
        <f>Arrivals!B147</f>
        <v>22</v>
      </c>
      <c r="C147" s="6">
        <f>Arrivals!F147</f>
        <v>237</v>
      </c>
      <c r="D147" s="6">
        <f>Arrivals!K147</f>
        <v>300</v>
      </c>
      <c r="E147" s="6">
        <f>D147*8/ACE_Input!S27+ACE_Input!T27</f>
        <v>24.02</v>
      </c>
      <c r="F147" s="6">
        <f t="shared" si="46"/>
        <v>237</v>
      </c>
      <c r="G147" s="6">
        <f t="shared" si="57"/>
        <v>506.41999999999985</v>
      </c>
      <c r="H147" s="6">
        <f t="shared" si="47"/>
        <v>506.41999999999985</v>
      </c>
      <c r="I147" s="6">
        <f>MOD(H147-Settings!$B$32,Settings!$B$33)</f>
        <v>506.41999999999985</v>
      </c>
      <c r="J147" s="6">
        <f>IF(I147&lt;Settings!$B$30,IF(Settings!$B$30-I147&gt;=E147,H147,H147+(Settings!$B$30-I147)+Settings!$B$31),H147+(Settings!$B$33-I147))</f>
        <v>506.41999999999985</v>
      </c>
      <c r="K147" s="6">
        <f t="shared" si="48"/>
        <v>530.43999999999983</v>
      </c>
      <c r="L147" s="6">
        <f t="shared" si="49"/>
        <v>530.43999999999983</v>
      </c>
      <c r="M147" s="6">
        <f t="shared" si="58"/>
        <v>512.34123461249612</v>
      </c>
      <c r="N147" s="6">
        <f t="shared" si="50"/>
        <v>530.43999999999983</v>
      </c>
      <c r="O147" s="6">
        <f>Arrivals!I147</f>
        <v>1.2811910159024009</v>
      </c>
      <c r="P147" s="6">
        <f t="shared" si="51"/>
        <v>531.72119101590226</v>
      </c>
      <c r="Q147" s="6">
        <f t="shared" si="52"/>
        <v>294.72119101590226</v>
      </c>
      <c r="R147" s="6">
        <f t="shared" si="53"/>
        <v>269.41999999999985</v>
      </c>
      <c r="S147" s="6">
        <f t="shared" si="54"/>
        <v>0</v>
      </c>
      <c r="T147" s="6">
        <f t="shared" si="55"/>
        <v>0</v>
      </c>
      <c r="U147" s="6">
        <f t="shared" si="56"/>
        <v>269.41999999999985</v>
      </c>
      <c r="V147" s="6" t="str">
        <f>IF(MOD(C147-Settings!$B$32,Settings!$B$33)&lt;Settings!$B$30,"Up","Down")</f>
        <v>Up</v>
      </c>
      <c r="W147" s="6">
        <f>IF(OR(E147&gt;Settings!$B$30,Q147&gt;Settings!$B$37),0,1)</f>
        <v>1</v>
      </c>
      <c r="X147" s="6">
        <f>IF(AND(W147=1,Q147&lt;=Settings!$B$36),1,0)</f>
        <v>0</v>
      </c>
    </row>
    <row r="148" spans="1:24" x14ac:dyDescent="0.2">
      <c r="A148">
        <f>Arrivals!A148</f>
        <v>2</v>
      </c>
      <c r="B148">
        <f>Arrivals!B148</f>
        <v>23</v>
      </c>
      <c r="C148" s="6">
        <f>Arrivals!F148</f>
        <v>242</v>
      </c>
      <c r="D148" s="6">
        <f>Arrivals!K148</f>
        <v>300</v>
      </c>
      <c r="E148" s="6">
        <f>D148*8/ACE_Input!S28+ACE_Input!T28</f>
        <v>24.02</v>
      </c>
      <c r="F148" s="6">
        <f t="shared" si="46"/>
        <v>242</v>
      </c>
      <c r="G148" s="6">
        <f t="shared" si="57"/>
        <v>530.43999999999983</v>
      </c>
      <c r="H148" s="6">
        <f t="shared" si="47"/>
        <v>530.43999999999983</v>
      </c>
      <c r="I148" s="6">
        <f>MOD(H148-Settings!$B$32,Settings!$B$33)</f>
        <v>530.43999999999983</v>
      </c>
      <c r="J148" s="6">
        <f>IF(I148&lt;Settings!$B$30,IF(Settings!$B$30-I148&gt;=E148,H148,H148+(Settings!$B$30-I148)+Settings!$B$31),H148+(Settings!$B$33-I148))</f>
        <v>530.43999999999983</v>
      </c>
      <c r="K148" s="6">
        <f t="shared" si="48"/>
        <v>554.45999999999981</v>
      </c>
      <c r="L148" s="6">
        <f t="shared" si="49"/>
        <v>554.45999999999981</v>
      </c>
      <c r="M148" s="6">
        <f t="shared" si="58"/>
        <v>531.72119101590226</v>
      </c>
      <c r="N148" s="6">
        <f t="shared" si="50"/>
        <v>554.45999999999981</v>
      </c>
      <c r="O148" s="6">
        <f>Arrivals!I148</f>
        <v>1.1320926244351432</v>
      </c>
      <c r="P148" s="6">
        <f t="shared" si="51"/>
        <v>555.59209262443494</v>
      </c>
      <c r="Q148" s="6">
        <f t="shared" si="52"/>
        <v>313.59209262443494</v>
      </c>
      <c r="R148" s="6">
        <f t="shared" si="53"/>
        <v>288.43999999999983</v>
      </c>
      <c r="S148" s="6">
        <f t="shared" si="54"/>
        <v>0</v>
      </c>
      <c r="T148" s="6">
        <f t="shared" si="55"/>
        <v>0</v>
      </c>
      <c r="U148" s="6">
        <f t="shared" si="56"/>
        <v>288.43999999999983</v>
      </c>
      <c r="V148" s="6" t="str">
        <f>IF(MOD(C148-Settings!$B$32,Settings!$B$33)&lt;Settings!$B$30,"Up","Down")</f>
        <v>Up</v>
      </c>
      <c r="W148" s="6">
        <f>IF(OR(E148&gt;Settings!$B$30,Q148&gt;Settings!$B$37),0,1)</f>
        <v>1</v>
      </c>
      <c r="X148" s="6">
        <f>IF(AND(W148=1,Q148&lt;=Settings!$B$36),1,0)</f>
        <v>0</v>
      </c>
    </row>
    <row r="149" spans="1:24" x14ac:dyDescent="0.2">
      <c r="A149">
        <f>Arrivals!A149</f>
        <v>2</v>
      </c>
      <c r="B149">
        <f>Arrivals!B149</f>
        <v>24</v>
      </c>
      <c r="C149" s="6">
        <f>Arrivals!F149</f>
        <v>247</v>
      </c>
      <c r="D149" s="6">
        <f>Arrivals!K149</f>
        <v>300</v>
      </c>
      <c r="E149" s="6">
        <f>D149*8/ACE_Input!S29+ACE_Input!T29</f>
        <v>24.02</v>
      </c>
      <c r="F149" s="6">
        <f t="shared" si="46"/>
        <v>247</v>
      </c>
      <c r="G149" s="6">
        <f t="shared" si="57"/>
        <v>554.45999999999981</v>
      </c>
      <c r="H149" s="6">
        <f t="shared" si="47"/>
        <v>554.45999999999981</v>
      </c>
      <c r="I149" s="6">
        <f>MOD(H149-Settings!$B$32,Settings!$B$33)</f>
        <v>554.45999999999981</v>
      </c>
      <c r="J149" s="6">
        <f>IF(I149&lt;Settings!$B$30,IF(Settings!$B$30-I149&gt;=E149,H149,H149+(Settings!$B$30-I149)+Settings!$B$31),H149+(Settings!$B$33-I149))</f>
        <v>554.45999999999981</v>
      </c>
      <c r="K149" s="6">
        <f t="shared" si="48"/>
        <v>578.47999999999979</v>
      </c>
      <c r="L149" s="6">
        <f t="shared" si="49"/>
        <v>578.47999999999979</v>
      </c>
      <c r="M149" s="6">
        <f t="shared" si="58"/>
        <v>555.59209262443494</v>
      </c>
      <c r="N149" s="6">
        <f t="shared" si="50"/>
        <v>578.47999999999979</v>
      </c>
      <c r="O149" s="6">
        <f>Arrivals!I149</f>
        <v>8.6925633667615365</v>
      </c>
      <c r="P149" s="6">
        <f t="shared" si="51"/>
        <v>587.17256336676132</v>
      </c>
      <c r="Q149" s="6">
        <f t="shared" si="52"/>
        <v>340.17256336676132</v>
      </c>
      <c r="R149" s="6">
        <f t="shared" si="53"/>
        <v>307.45999999999981</v>
      </c>
      <c r="S149" s="6">
        <f t="shared" si="54"/>
        <v>0</v>
      </c>
      <c r="T149" s="6">
        <f t="shared" si="55"/>
        <v>0</v>
      </c>
      <c r="U149" s="6">
        <f t="shared" si="56"/>
        <v>307.45999999999981</v>
      </c>
      <c r="V149" s="6" t="str">
        <f>IF(MOD(C149-Settings!$B$32,Settings!$B$33)&lt;Settings!$B$30,"Up","Down")</f>
        <v>Up</v>
      </c>
      <c r="W149" s="6">
        <f>IF(OR(E149&gt;Settings!$B$30,Q149&gt;Settings!$B$37),0,1)</f>
        <v>1</v>
      </c>
      <c r="X149" s="6">
        <f>IF(AND(W149=1,Q149&lt;=Settings!$B$36),1,0)</f>
        <v>0</v>
      </c>
    </row>
    <row r="150" spans="1:24" x14ac:dyDescent="0.2">
      <c r="A150">
        <f>Arrivals!A150</f>
        <v>2</v>
      </c>
      <c r="B150">
        <f>Arrivals!B150</f>
        <v>25</v>
      </c>
      <c r="C150" s="6">
        <f>Arrivals!F150</f>
        <v>252</v>
      </c>
      <c r="D150" s="6">
        <f>Arrivals!K150</f>
        <v>300</v>
      </c>
      <c r="E150" s="6">
        <f>D150*8/ACE_Input!S30+ACE_Input!T30</f>
        <v>24.02</v>
      </c>
      <c r="F150" s="6">
        <f t="shared" si="46"/>
        <v>252</v>
      </c>
      <c r="G150" s="6">
        <f t="shared" si="57"/>
        <v>578.47999999999979</v>
      </c>
      <c r="H150" s="6">
        <f t="shared" si="47"/>
        <v>578.47999999999979</v>
      </c>
      <c r="I150" s="6">
        <f>MOD(H150-Settings!$B$32,Settings!$B$33)</f>
        <v>578.47999999999979</v>
      </c>
      <c r="J150" s="6">
        <f>IF(I150&lt;Settings!$B$30,IF(Settings!$B$30-I150&gt;=E150,H150,H150+(Settings!$B$30-I150)+Settings!$B$31),H150+(Settings!$B$33-I150))</f>
        <v>720</v>
      </c>
      <c r="K150" s="6">
        <f t="shared" si="48"/>
        <v>744.02</v>
      </c>
      <c r="L150" s="6">
        <f t="shared" si="49"/>
        <v>744.02</v>
      </c>
      <c r="M150" s="6">
        <f t="shared" si="58"/>
        <v>587.17256336676132</v>
      </c>
      <c r="N150" s="6">
        <f t="shared" si="50"/>
        <v>744.02</v>
      </c>
      <c r="O150" s="6">
        <f>Arrivals!I150</f>
        <v>0.1406839109591394</v>
      </c>
      <c r="P150" s="6">
        <f t="shared" si="51"/>
        <v>744.16068391095916</v>
      </c>
      <c r="Q150" s="6">
        <f t="shared" si="52"/>
        <v>492.16068391095916</v>
      </c>
      <c r="R150" s="6">
        <f t="shared" si="53"/>
        <v>326.47999999999979</v>
      </c>
      <c r="S150" s="6">
        <f t="shared" si="54"/>
        <v>141.52000000000021</v>
      </c>
      <c r="T150" s="6">
        <f t="shared" si="55"/>
        <v>0</v>
      </c>
      <c r="U150" s="6">
        <f t="shared" si="56"/>
        <v>468</v>
      </c>
      <c r="V150" s="6" t="str">
        <f>IF(MOD(C150-Settings!$B$32,Settings!$B$33)&lt;Settings!$B$30,"Up","Down")</f>
        <v>Up</v>
      </c>
      <c r="W150" s="6">
        <f>IF(OR(E150&gt;Settings!$B$30,Q150&gt;Settings!$B$37),0,1)</f>
        <v>1</v>
      </c>
      <c r="X150" s="6">
        <f>IF(AND(W150=1,Q150&lt;=Settings!$B$36),1,0)</f>
        <v>0</v>
      </c>
    </row>
    <row r="151" spans="1:24" x14ac:dyDescent="0.2">
      <c r="A151">
        <f>Arrivals!A151</f>
        <v>2</v>
      </c>
      <c r="B151">
        <f>Arrivals!B151</f>
        <v>26</v>
      </c>
      <c r="C151" s="6">
        <f>Arrivals!F151</f>
        <v>257</v>
      </c>
      <c r="D151" s="6">
        <f>Arrivals!K151</f>
        <v>300</v>
      </c>
      <c r="E151" s="6">
        <f>D151*8/ACE_Input!S31+ACE_Input!T31</f>
        <v>24.02</v>
      </c>
      <c r="F151" s="6">
        <f t="shared" si="46"/>
        <v>257</v>
      </c>
      <c r="G151" s="6">
        <f t="shared" si="57"/>
        <v>744.02</v>
      </c>
      <c r="H151" s="6">
        <f t="shared" si="47"/>
        <v>744.02</v>
      </c>
      <c r="I151" s="6">
        <f>MOD(H151-Settings!$B$32,Settings!$B$33)</f>
        <v>24.019999999999982</v>
      </c>
      <c r="J151" s="6">
        <f>IF(I151&lt;Settings!$B$30,IF(Settings!$B$30-I151&gt;=E151,H151,H151+(Settings!$B$30-I151)+Settings!$B$31),H151+(Settings!$B$33-I151))</f>
        <v>744.02</v>
      </c>
      <c r="K151" s="6">
        <f t="shared" si="48"/>
        <v>768.04</v>
      </c>
      <c r="L151" s="6">
        <f t="shared" si="49"/>
        <v>768.04</v>
      </c>
      <c r="M151" s="6">
        <f t="shared" si="58"/>
        <v>744.16068391095916</v>
      </c>
      <c r="N151" s="6">
        <f t="shared" si="50"/>
        <v>768.04</v>
      </c>
      <c r="O151" s="6">
        <f>Arrivals!I151</f>
        <v>7.4397481895536632</v>
      </c>
      <c r="P151" s="6">
        <f t="shared" si="51"/>
        <v>775.47974818955367</v>
      </c>
      <c r="Q151" s="6">
        <f t="shared" si="52"/>
        <v>518.47974818955367</v>
      </c>
      <c r="R151" s="6">
        <f t="shared" si="53"/>
        <v>487.02</v>
      </c>
      <c r="S151" s="6">
        <f t="shared" si="54"/>
        <v>0</v>
      </c>
      <c r="T151" s="6">
        <f t="shared" si="55"/>
        <v>0</v>
      </c>
      <c r="U151" s="6">
        <f t="shared" si="56"/>
        <v>487.02</v>
      </c>
      <c r="V151" s="6" t="str">
        <f>IF(MOD(C151-Settings!$B$32,Settings!$B$33)&lt;Settings!$B$30,"Up","Down")</f>
        <v>Up</v>
      </c>
      <c r="W151" s="6">
        <f>IF(OR(E151&gt;Settings!$B$30,Q151&gt;Settings!$B$37),0,1)</f>
        <v>1</v>
      </c>
      <c r="X151" s="6">
        <f>IF(AND(W151=1,Q151&lt;=Settings!$B$36),1,0)</f>
        <v>0</v>
      </c>
    </row>
    <row r="152" spans="1:24" x14ac:dyDescent="0.2">
      <c r="A152">
        <f>Arrivals!A152</f>
        <v>2</v>
      </c>
      <c r="B152">
        <f>Arrivals!B152</f>
        <v>27</v>
      </c>
      <c r="C152" s="6">
        <f>Arrivals!F152</f>
        <v>262</v>
      </c>
      <c r="D152" s="6">
        <f>Arrivals!K152</f>
        <v>300</v>
      </c>
      <c r="E152" s="6">
        <f>D152*8/ACE_Input!S32+ACE_Input!T32</f>
        <v>24.02</v>
      </c>
      <c r="F152" s="6">
        <f t="shared" si="46"/>
        <v>262</v>
      </c>
      <c r="G152" s="6">
        <f t="shared" si="57"/>
        <v>768.04</v>
      </c>
      <c r="H152" s="6">
        <f t="shared" si="47"/>
        <v>768.04</v>
      </c>
      <c r="I152" s="6">
        <f>MOD(H152-Settings!$B$32,Settings!$B$33)</f>
        <v>48.039999999999964</v>
      </c>
      <c r="J152" s="6">
        <f>IF(I152&lt;Settings!$B$30,IF(Settings!$B$30-I152&gt;=E152,H152,H152+(Settings!$B$30-I152)+Settings!$B$31),H152+(Settings!$B$33-I152))</f>
        <v>768.04</v>
      </c>
      <c r="K152" s="6">
        <f t="shared" si="48"/>
        <v>792.06</v>
      </c>
      <c r="L152" s="6">
        <f t="shared" si="49"/>
        <v>792.06</v>
      </c>
      <c r="M152" s="6">
        <f t="shared" si="58"/>
        <v>775.47974818955367</v>
      </c>
      <c r="N152" s="6">
        <f t="shared" si="50"/>
        <v>792.06</v>
      </c>
      <c r="O152" s="6">
        <f>Arrivals!I152</f>
        <v>2.3579434641345514</v>
      </c>
      <c r="P152" s="6">
        <f t="shared" si="51"/>
        <v>794.41794346413451</v>
      </c>
      <c r="Q152" s="6">
        <f t="shared" si="52"/>
        <v>532.41794346413451</v>
      </c>
      <c r="R152" s="6">
        <f t="shared" si="53"/>
        <v>506.03999999999996</v>
      </c>
      <c r="S152" s="6">
        <f t="shared" si="54"/>
        <v>0</v>
      </c>
      <c r="T152" s="6">
        <f t="shared" si="55"/>
        <v>0</v>
      </c>
      <c r="U152" s="6">
        <f t="shared" si="56"/>
        <v>506.03999999999996</v>
      </c>
      <c r="V152" s="6" t="str">
        <f>IF(MOD(C152-Settings!$B$32,Settings!$B$33)&lt;Settings!$B$30,"Up","Down")</f>
        <v>Up</v>
      </c>
      <c r="W152" s="6">
        <f>IF(OR(E152&gt;Settings!$B$30,Q152&gt;Settings!$B$37),0,1)</f>
        <v>1</v>
      </c>
      <c r="X152" s="6">
        <f>IF(AND(W152=1,Q152&lt;=Settings!$B$36),1,0)</f>
        <v>0</v>
      </c>
    </row>
    <row r="153" spans="1:24" x14ac:dyDescent="0.2">
      <c r="A153">
        <f>Arrivals!A153</f>
        <v>2</v>
      </c>
      <c r="B153">
        <f>Arrivals!B153</f>
        <v>28</v>
      </c>
      <c r="C153" s="6">
        <f>Arrivals!F153</f>
        <v>268</v>
      </c>
      <c r="D153" s="6">
        <f>Arrivals!K153</f>
        <v>300</v>
      </c>
      <c r="E153" s="6">
        <f>D153*8/ACE_Input!S33+ACE_Input!T33</f>
        <v>24.02</v>
      </c>
      <c r="F153" s="6">
        <f t="shared" si="46"/>
        <v>268</v>
      </c>
      <c r="G153" s="6">
        <f t="shared" si="57"/>
        <v>792.06</v>
      </c>
      <c r="H153" s="6">
        <f t="shared" si="47"/>
        <v>792.06</v>
      </c>
      <c r="I153" s="6">
        <f>MOD(H153-Settings!$B$32,Settings!$B$33)</f>
        <v>72.059999999999945</v>
      </c>
      <c r="J153" s="6">
        <f>IF(I153&lt;Settings!$B$30,IF(Settings!$B$30-I153&gt;=E153,H153,H153+(Settings!$B$30-I153)+Settings!$B$31),H153+(Settings!$B$33-I153))</f>
        <v>792.06</v>
      </c>
      <c r="K153" s="6">
        <f t="shared" si="48"/>
        <v>816.07999999999993</v>
      </c>
      <c r="L153" s="6">
        <f t="shared" si="49"/>
        <v>816.07999999999993</v>
      </c>
      <c r="M153" s="6">
        <f t="shared" si="58"/>
        <v>794.41794346413451</v>
      </c>
      <c r="N153" s="6">
        <f t="shared" si="50"/>
        <v>816.07999999999993</v>
      </c>
      <c r="O153" s="6">
        <f>Arrivals!I153</f>
        <v>3.9783538188920575</v>
      </c>
      <c r="P153" s="6">
        <f t="shared" si="51"/>
        <v>820.05835381889199</v>
      </c>
      <c r="Q153" s="6">
        <f t="shared" si="52"/>
        <v>552.05835381889199</v>
      </c>
      <c r="R153" s="6">
        <f t="shared" si="53"/>
        <v>524.05999999999995</v>
      </c>
      <c r="S153" s="6">
        <f t="shared" si="54"/>
        <v>0</v>
      </c>
      <c r="T153" s="6">
        <f t="shared" si="55"/>
        <v>0</v>
      </c>
      <c r="U153" s="6">
        <f t="shared" si="56"/>
        <v>524.05999999999995</v>
      </c>
      <c r="V153" s="6" t="str">
        <f>IF(MOD(C153-Settings!$B$32,Settings!$B$33)&lt;Settings!$B$30,"Up","Down")</f>
        <v>Up</v>
      </c>
      <c r="W153" s="6">
        <f>IF(OR(E153&gt;Settings!$B$30,Q153&gt;Settings!$B$37),0,1)</f>
        <v>1</v>
      </c>
      <c r="X153" s="6">
        <f>IF(AND(W153=1,Q153&lt;=Settings!$B$36),1,0)</f>
        <v>0</v>
      </c>
    </row>
    <row r="154" spans="1:24" x14ac:dyDescent="0.2">
      <c r="A154">
        <f>Arrivals!A154</f>
        <v>2</v>
      </c>
      <c r="B154">
        <f>Arrivals!B154</f>
        <v>29</v>
      </c>
      <c r="C154" s="6">
        <f>Arrivals!F154</f>
        <v>273</v>
      </c>
      <c r="D154" s="6">
        <f>Arrivals!K154</f>
        <v>300</v>
      </c>
      <c r="E154" s="6">
        <f>D154*8/ACE_Input!S34+ACE_Input!T34</f>
        <v>24.02</v>
      </c>
      <c r="F154" s="6">
        <f t="shared" si="46"/>
        <v>273</v>
      </c>
      <c r="G154" s="6">
        <f t="shared" si="57"/>
        <v>816.07999999999993</v>
      </c>
      <c r="H154" s="6">
        <f t="shared" si="47"/>
        <v>816.07999999999993</v>
      </c>
      <c r="I154" s="6">
        <f>MOD(H154-Settings!$B$32,Settings!$B$33)</f>
        <v>96.079999999999927</v>
      </c>
      <c r="J154" s="6">
        <f>IF(I154&lt;Settings!$B$30,IF(Settings!$B$30-I154&gt;=E154,H154,H154+(Settings!$B$30-I154)+Settings!$B$31),H154+(Settings!$B$33-I154))</f>
        <v>816.07999999999993</v>
      </c>
      <c r="K154" s="6">
        <f t="shared" si="48"/>
        <v>840.09999999999991</v>
      </c>
      <c r="L154" s="6">
        <f t="shared" si="49"/>
        <v>840.09999999999991</v>
      </c>
      <c r="M154" s="6">
        <f t="shared" si="58"/>
        <v>820.05835381889199</v>
      </c>
      <c r="N154" s="6">
        <f t="shared" si="50"/>
        <v>840.09999999999991</v>
      </c>
      <c r="O154" s="6">
        <f>Arrivals!I154</f>
        <v>2.7743714864685773</v>
      </c>
      <c r="P154" s="6">
        <f t="shared" si="51"/>
        <v>842.87437148646848</v>
      </c>
      <c r="Q154" s="6">
        <f t="shared" si="52"/>
        <v>569.87437148646848</v>
      </c>
      <c r="R154" s="6">
        <f t="shared" si="53"/>
        <v>543.07999999999993</v>
      </c>
      <c r="S154" s="6">
        <f t="shared" si="54"/>
        <v>0</v>
      </c>
      <c r="T154" s="6">
        <f t="shared" si="55"/>
        <v>0</v>
      </c>
      <c r="U154" s="6">
        <f t="shared" si="56"/>
        <v>543.07999999999993</v>
      </c>
      <c r="V154" s="6" t="str">
        <f>IF(MOD(C154-Settings!$B$32,Settings!$B$33)&lt;Settings!$B$30,"Up","Down")</f>
        <v>Up</v>
      </c>
      <c r="W154" s="6">
        <f>IF(OR(E154&gt;Settings!$B$30,Q154&gt;Settings!$B$37),0,1)</f>
        <v>1</v>
      </c>
      <c r="X154" s="6">
        <f>IF(AND(W154=1,Q154&lt;=Settings!$B$36),1,0)</f>
        <v>0</v>
      </c>
    </row>
    <row r="155" spans="1:24" x14ac:dyDescent="0.2">
      <c r="A155">
        <f>Arrivals!A155</f>
        <v>2</v>
      </c>
      <c r="B155">
        <f>Arrivals!B155</f>
        <v>30</v>
      </c>
      <c r="C155" s="6">
        <f>Arrivals!F155</f>
        <v>278</v>
      </c>
      <c r="D155" s="6">
        <f>Arrivals!K155</f>
        <v>300</v>
      </c>
      <c r="E155" s="6">
        <f>D155*8/ACE_Input!S35+ACE_Input!T35</f>
        <v>24.02</v>
      </c>
      <c r="F155" s="6">
        <f t="shared" si="46"/>
        <v>278</v>
      </c>
      <c r="G155" s="6">
        <f t="shared" si="57"/>
        <v>840.09999999999991</v>
      </c>
      <c r="H155" s="6">
        <f t="shared" si="47"/>
        <v>840.09999999999991</v>
      </c>
      <c r="I155" s="6">
        <f>MOD(H155-Settings!$B$32,Settings!$B$33)</f>
        <v>120.09999999999991</v>
      </c>
      <c r="J155" s="6">
        <f>IF(I155&lt;Settings!$B$30,IF(Settings!$B$30-I155&gt;=E155,H155,H155+(Settings!$B$30-I155)+Settings!$B$31),H155+(Settings!$B$33-I155))</f>
        <v>840.09999999999991</v>
      </c>
      <c r="K155" s="6">
        <f t="shared" si="48"/>
        <v>864.11999999999989</v>
      </c>
      <c r="L155" s="6">
        <f t="shared" si="49"/>
        <v>864.11999999999989</v>
      </c>
      <c r="M155" s="6">
        <f t="shared" si="58"/>
        <v>842.87437148646848</v>
      </c>
      <c r="N155" s="6">
        <f t="shared" si="50"/>
        <v>864.11999999999989</v>
      </c>
      <c r="O155" s="6">
        <f>Arrivals!I155</f>
        <v>1.121662338323415</v>
      </c>
      <c r="P155" s="6">
        <f t="shared" si="51"/>
        <v>865.24166233832329</v>
      </c>
      <c r="Q155" s="6">
        <f t="shared" si="52"/>
        <v>587.24166233832329</v>
      </c>
      <c r="R155" s="6">
        <f t="shared" si="53"/>
        <v>562.09999999999991</v>
      </c>
      <c r="S155" s="6">
        <f t="shared" si="54"/>
        <v>0</v>
      </c>
      <c r="T155" s="6">
        <f t="shared" si="55"/>
        <v>0</v>
      </c>
      <c r="U155" s="6">
        <f t="shared" si="56"/>
        <v>562.09999999999991</v>
      </c>
      <c r="V155" s="6" t="str">
        <f>IF(MOD(C155-Settings!$B$32,Settings!$B$33)&lt;Settings!$B$30,"Up","Down")</f>
        <v>Up</v>
      </c>
      <c r="W155" s="6">
        <f>IF(OR(E155&gt;Settings!$B$30,Q155&gt;Settings!$B$37),0,1)</f>
        <v>1</v>
      </c>
      <c r="X155" s="6">
        <f>IF(AND(W155=1,Q155&lt;=Settings!$B$36),1,0)</f>
        <v>0</v>
      </c>
    </row>
    <row r="156" spans="1:24" x14ac:dyDescent="0.2">
      <c r="A156">
        <f>Arrivals!A156</f>
        <v>2</v>
      </c>
      <c r="B156">
        <f>Arrivals!B156</f>
        <v>31</v>
      </c>
      <c r="C156" s="6">
        <f>Arrivals!F156</f>
        <v>283</v>
      </c>
      <c r="D156" s="6">
        <f>Arrivals!K156</f>
        <v>300</v>
      </c>
      <c r="E156" s="6">
        <f>D156*8/ACE_Input!S36+ACE_Input!T36</f>
        <v>24.02</v>
      </c>
      <c r="F156" s="6">
        <f t="shared" si="46"/>
        <v>283</v>
      </c>
      <c r="G156" s="6">
        <f t="shared" si="57"/>
        <v>864.11999999999989</v>
      </c>
      <c r="H156" s="6">
        <f t="shared" si="47"/>
        <v>864.11999999999989</v>
      </c>
      <c r="I156" s="6">
        <f>MOD(H156-Settings!$B$32,Settings!$B$33)</f>
        <v>144.11999999999989</v>
      </c>
      <c r="J156" s="6">
        <f>IF(I156&lt;Settings!$B$30,IF(Settings!$B$30-I156&gt;=E156,H156,H156+(Settings!$B$30-I156)+Settings!$B$31),H156+(Settings!$B$33-I156))</f>
        <v>864.11999999999989</v>
      </c>
      <c r="K156" s="6">
        <f t="shared" si="48"/>
        <v>888.13999999999987</v>
      </c>
      <c r="L156" s="6">
        <f t="shared" si="49"/>
        <v>888.13999999999987</v>
      </c>
      <c r="M156" s="6">
        <f t="shared" si="58"/>
        <v>865.24166233832329</v>
      </c>
      <c r="N156" s="6">
        <f t="shared" si="50"/>
        <v>888.13999999999987</v>
      </c>
      <c r="O156" s="6">
        <f>Arrivals!I156</f>
        <v>6.8704538120189396</v>
      </c>
      <c r="P156" s="6">
        <f t="shared" si="51"/>
        <v>895.0104538120188</v>
      </c>
      <c r="Q156" s="6">
        <f t="shared" si="52"/>
        <v>612.0104538120188</v>
      </c>
      <c r="R156" s="6">
        <f t="shared" si="53"/>
        <v>581.11999999999989</v>
      </c>
      <c r="S156" s="6">
        <f t="shared" si="54"/>
        <v>0</v>
      </c>
      <c r="T156" s="6">
        <f t="shared" si="55"/>
        <v>0</v>
      </c>
      <c r="U156" s="6">
        <f t="shared" si="56"/>
        <v>581.11999999999989</v>
      </c>
      <c r="V156" s="6" t="str">
        <f>IF(MOD(C156-Settings!$B$32,Settings!$B$33)&lt;Settings!$B$30,"Up","Down")</f>
        <v>Up</v>
      </c>
      <c r="W156" s="6">
        <f>IF(OR(E156&gt;Settings!$B$30,Q156&gt;Settings!$B$37),0,1)</f>
        <v>1</v>
      </c>
      <c r="X156" s="6">
        <f>IF(AND(W156=1,Q156&lt;=Settings!$B$36),1,0)</f>
        <v>0</v>
      </c>
    </row>
    <row r="157" spans="1:24" x14ac:dyDescent="0.2">
      <c r="A157">
        <f>Arrivals!A157</f>
        <v>2</v>
      </c>
      <c r="B157">
        <f>Arrivals!B157</f>
        <v>32</v>
      </c>
      <c r="C157" s="6">
        <f>Arrivals!F157</f>
        <v>288</v>
      </c>
      <c r="D157" s="6">
        <f>Arrivals!K157</f>
        <v>300</v>
      </c>
      <c r="E157" s="6">
        <f>D157*8/ACE_Input!S37+ACE_Input!T37</f>
        <v>24.02</v>
      </c>
      <c r="F157" s="6">
        <f t="shared" si="46"/>
        <v>288</v>
      </c>
      <c r="G157" s="6">
        <f t="shared" si="57"/>
        <v>888.13999999999987</v>
      </c>
      <c r="H157" s="6">
        <f t="shared" si="47"/>
        <v>888.13999999999987</v>
      </c>
      <c r="I157" s="6">
        <f>MOD(H157-Settings!$B$32,Settings!$B$33)</f>
        <v>168.13999999999987</v>
      </c>
      <c r="J157" s="6">
        <f>IF(I157&lt;Settings!$B$30,IF(Settings!$B$30-I157&gt;=E157,H157,H157+(Settings!$B$30-I157)+Settings!$B$31),H157+(Settings!$B$33-I157))</f>
        <v>888.13999999999987</v>
      </c>
      <c r="K157" s="6">
        <f t="shared" si="48"/>
        <v>912.15999999999985</v>
      </c>
      <c r="L157" s="6">
        <f t="shared" si="49"/>
        <v>912.15999999999985</v>
      </c>
      <c r="M157" s="6">
        <f t="shared" si="58"/>
        <v>895.0104538120188</v>
      </c>
      <c r="N157" s="6">
        <f t="shared" si="50"/>
        <v>912.15999999999985</v>
      </c>
      <c r="O157" s="6">
        <f>Arrivals!I157</f>
        <v>1.1199503363703516</v>
      </c>
      <c r="P157" s="6">
        <f t="shared" si="51"/>
        <v>913.27995033637023</v>
      </c>
      <c r="Q157" s="6">
        <f t="shared" si="52"/>
        <v>625.27995033637023</v>
      </c>
      <c r="R157" s="6">
        <f t="shared" si="53"/>
        <v>600.13999999999987</v>
      </c>
      <c r="S157" s="6">
        <f t="shared" si="54"/>
        <v>0</v>
      </c>
      <c r="T157" s="6">
        <f t="shared" si="55"/>
        <v>0</v>
      </c>
      <c r="U157" s="6">
        <f t="shared" si="56"/>
        <v>600.13999999999987</v>
      </c>
      <c r="V157" s="6" t="str">
        <f>IF(MOD(C157-Settings!$B$32,Settings!$B$33)&lt;Settings!$B$30,"Up","Down")</f>
        <v>Up</v>
      </c>
      <c r="W157" s="6">
        <f>IF(OR(E157&gt;Settings!$B$30,Q157&gt;Settings!$B$37),0,1)</f>
        <v>1</v>
      </c>
      <c r="X157" s="6">
        <f>IF(AND(W157=1,Q157&lt;=Settings!$B$36),1,0)</f>
        <v>0</v>
      </c>
    </row>
    <row r="158" spans="1:24" x14ac:dyDescent="0.2">
      <c r="A158">
        <f>Arrivals!A158</f>
        <v>2</v>
      </c>
      <c r="B158">
        <f>Arrivals!B158</f>
        <v>33</v>
      </c>
      <c r="C158" s="6">
        <f>Arrivals!F158</f>
        <v>293</v>
      </c>
      <c r="D158" s="6">
        <f>Arrivals!K158</f>
        <v>300</v>
      </c>
      <c r="E158" s="6">
        <f>D158*8/ACE_Input!S38+ACE_Input!T38</f>
        <v>24.02</v>
      </c>
      <c r="F158" s="6">
        <f t="shared" ref="F158:F189" si="59">C158</f>
        <v>293</v>
      </c>
      <c r="G158" s="6">
        <f t="shared" si="57"/>
        <v>912.15999999999985</v>
      </c>
      <c r="H158" s="6">
        <f t="shared" ref="H158:H189" si="60">MAX(F158,G158)</f>
        <v>912.15999999999985</v>
      </c>
      <c r="I158" s="6">
        <f>MOD(H158-Settings!$B$32,Settings!$B$33)</f>
        <v>192.15999999999985</v>
      </c>
      <c r="J158" s="6">
        <f>IF(I158&lt;Settings!$B$30,IF(Settings!$B$30-I158&gt;=E158,H158,H158+(Settings!$B$30-I158)+Settings!$B$31),H158+(Settings!$B$33-I158))</f>
        <v>912.15999999999985</v>
      </c>
      <c r="K158" s="6">
        <f t="shared" ref="K158:K189" si="61">J158+E158</f>
        <v>936.17999999999984</v>
      </c>
      <c r="L158" s="6">
        <f t="shared" ref="L158:L189" si="62">K158</f>
        <v>936.17999999999984</v>
      </c>
      <c r="M158" s="6">
        <f t="shared" si="58"/>
        <v>913.27995033637023</v>
      </c>
      <c r="N158" s="6">
        <f t="shared" ref="N158:N189" si="63">MAX(L158,M158)</f>
        <v>936.17999999999984</v>
      </c>
      <c r="O158" s="6">
        <f>Arrivals!I158</f>
        <v>1.9441667948629091</v>
      </c>
      <c r="P158" s="6">
        <f t="shared" ref="P158:P189" si="64">N158+O158</f>
        <v>938.12416679486273</v>
      </c>
      <c r="Q158" s="6">
        <f t="shared" ref="Q158:Q189" si="65">P158-C158</f>
        <v>645.12416679486273</v>
      </c>
      <c r="R158" s="6">
        <f t="shared" ref="R158:R189" si="66">H158-F158</f>
        <v>619.15999999999985</v>
      </c>
      <c r="S158" s="6">
        <f t="shared" ref="S158:S189" si="67">J158-H158</f>
        <v>0</v>
      </c>
      <c r="T158" s="6">
        <f t="shared" ref="T158:T189" si="68">N158-L158</f>
        <v>0</v>
      </c>
      <c r="U158" s="6">
        <f t="shared" ref="U158:U189" si="69">R158+S158+T158</f>
        <v>619.15999999999985</v>
      </c>
      <c r="V158" s="6" t="str">
        <f>IF(MOD(C158-Settings!$B$32,Settings!$B$33)&lt;Settings!$B$30,"Up","Down")</f>
        <v>Up</v>
      </c>
      <c r="W158" s="6">
        <f>IF(OR(E158&gt;Settings!$B$30,Q158&gt;Settings!$B$37),0,1)</f>
        <v>1</v>
      </c>
      <c r="X158" s="6">
        <f>IF(AND(W158=1,Q158&lt;=Settings!$B$36),1,0)</f>
        <v>0</v>
      </c>
    </row>
    <row r="159" spans="1:24" x14ac:dyDescent="0.2">
      <c r="A159">
        <f>Arrivals!A159</f>
        <v>2</v>
      </c>
      <c r="B159">
        <f>Arrivals!B159</f>
        <v>34</v>
      </c>
      <c r="C159" s="6">
        <f>Arrivals!F159</f>
        <v>298</v>
      </c>
      <c r="D159" s="6">
        <f>Arrivals!K159</f>
        <v>300</v>
      </c>
      <c r="E159" s="6">
        <f>D159*8/ACE_Input!S39+ACE_Input!T39</f>
        <v>24.02</v>
      </c>
      <c r="F159" s="6">
        <f t="shared" si="59"/>
        <v>298</v>
      </c>
      <c r="G159" s="6">
        <f t="shared" ref="G159:G190" si="70">K158</f>
        <v>936.17999999999984</v>
      </c>
      <c r="H159" s="6">
        <f t="shared" si="60"/>
        <v>936.17999999999984</v>
      </c>
      <c r="I159" s="6">
        <f>MOD(H159-Settings!$B$32,Settings!$B$33)</f>
        <v>216.17999999999984</v>
      </c>
      <c r="J159" s="6">
        <f>IF(I159&lt;Settings!$B$30,IF(Settings!$B$30-I159&gt;=E159,H159,H159+(Settings!$B$30-I159)+Settings!$B$31),H159+(Settings!$B$33-I159))</f>
        <v>936.17999999999984</v>
      </c>
      <c r="K159" s="6">
        <f t="shared" si="61"/>
        <v>960.19999999999982</v>
      </c>
      <c r="L159" s="6">
        <f t="shared" si="62"/>
        <v>960.19999999999982</v>
      </c>
      <c r="M159" s="6">
        <f t="shared" ref="M159:M190" si="71">P158</f>
        <v>938.12416679486273</v>
      </c>
      <c r="N159" s="6">
        <f t="shared" si="63"/>
        <v>960.19999999999982</v>
      </c>
      <c r="O159" s="6">
        <f>Arrivals!I159</f>
        <v>5.5631934930007576</v>
      </c>
      <c r="P159" s="6">
        <f t="shared" si="64"/>
        <v>965.76319349300059</v>
      </c>
      <c r="Q159" s="6">
        <f t="shared" si="65"/>
        <v>667.76319349300059</v>
      </c>
      <c r="R159" s="6">
        <f t="shared" si="66"/>
        <v>638.17999999999984</v>
      </c>
      <c r="S159" s="6">
        <f t="shared" si="67"/>
        <v>0</v>
      </c>
      <c r="T159" s="6">
        <f t="shared" si="68"/>
        <v>0</v>
      </c>
      <c r="U159" s="6">
        <f t="shared" si="69"/>
        <v>638.17999999999984</v>
      </c>
      <c r="V159" s="6" t="str">
        <f>IF(MOD(C159-Settings!$B$32,Settings!$B$33)&lt;Settings!$B$30,"Up","Down")</f>
        <v>Up</v>
      </c>
      <c r="W159" s="6">
        <f>IF(OR(E159&gt;Settings!$B$30,Q159&gt;Settings!$B$37),0,1)</f>
        <v>1</v>
      </c>
      <c r="X159" s="6">
        <f>IF(AND(W159=1,Q159&lt;=Settings!$B$36),1,0)</f>
        <v>0</v>
      </c>
    </row>
    <row r="160" spans="1:24" x14ac:dyDescent="0.2">
      <c r="A160">
        <f>Arrivals!A160</f>
        <v>2</v>
      </c>
      <c r="B160">
        <f>Arrivals!B160</f>
        <v>35</v>
      </c>
      <c r="C160" s="6">
        <f>Arrivals!F160</f>
        <v>303</v>
      </c>
      <c r="D160" s="6">
        <f>Arrivals!K160</f>
        <v>300</v>
      </c>
      <c r="E160" s="6">
        <f>D160*8/ACE_Input!S40+ACE_Input!T40</f>
        <v>24.02</v>
      </c>
      <c r="F160" s="6">
        <f t="shared" si="59"/>
        <v>303</v>
      </c>
      <c r="G160" s="6">
        <f t="shared" si="70"/>
        <v>960.19999999999982</v>
      </c>
      <c r="H160" s="6">
        <f t="shared" si="60"/>
        <v>960.19999999999982</v>
      </c>
      <c r="I160" s="6">
        <f>MOD(H160-Settings!$B$32,Settings!$B$33)</f>
        <v>240.19999999999982</v>
      </c>
      <c r="J160" s="6">
        <f>IF(I160&lt;Settings!$B$30,IF(Settings!$B$30-I160&gt;=E160,H160,H160+(Settings!$B$30-I160)+Settings!$B$31),H160+(Settings!$B$33-I160))</f>
        <v>960.19999999999982</v>
      </c>
      <c r="K160" s="6">
        <f t="shared" si="61"/>
        <v>984.2199999999998</v>
      </c>
      <c r="L160" s="6">
        <f t="shared" si="62"/>
        <v>984.2199999999998</v>
      </c>
      <c r="M160" s="6">
        <f t="shared" si="71"/>
        <v>965.76319349300059</v>
      </c>
      <c r="N160" s="6">
        <f t="shared" si="63"/>
        <v>984.2199999999998</v>
      </c>
      <c r="O160" s="6">
        <f>Arrivals!I160</f>
        <v>0.56707585313926889</v>
      </c>
      <c r="P160" s="6">
        <f t="shared" si="64"/>
        <v>984.78707585313907</v>
      </c>
      <c r="Q160" s="6">
        <f t="shared" si="65"/>
        <v>681.78707585313907</v>
      </c>
      <c r="R160" s="6">
        <f t="shared" si="66"/>
        <v>657.19999999999982</v>
      </c>
      <c r="S160" s="6">
        <f t="shared" si="67"/>
        <v>0</v>
      </c>
      <c r="T160" s="6">
        <f t="shared" si="68"/>
        <v>0</v>
      </c>
      <c r="U160" s="6">
        <f t="shared" si="69"/>
        <v>657.19999999999982</v>
      </c>
      <c r="V160" s="6" t="str">
        <f>IF(MOD(C160-Settings!$B$32,Settings!$B$33)&lt;Settings!$B$30,"Up","Down")</f>
        <v>Up</v>
      </c>
      <c r="W160" s="6">
        <f>IF(OR(E160&gt;Settings!$B$30,Q160&gt;Settings!$B$37),0,1)</f>
        <v>1</v>
      </c>
      <c r="X160" s="6">
        <f>IF(AND(W160=1,Q160&lt;=Settings!$B$36),1,0)</f>
        <v>0</v>
      </c>
    </row>
    <row r="161" spans="1:24" x14ac:dyDescent="0.2">
      <c r="A161">
        <f>Arrivals!A161</f>
        <v>2</v>
      </c>
      <c r="B161">
        <f>Arrivals!B161</f>
        <v>36</v>
      </c>
      <c r="C161" s="6">
        <f>Arrivals!F161</f>
        <v>308</v>
      </c>
      <c r="D161" s="6">
        <f>Arrivals!K161</f>
        <v>300</v>
      </c>
      <c r="E161" s="6">
        <f>D161*8/ACE_Input!S41+ACE_Input!T41</f>
        <v>24.02</v>
      </c>
      <c r="F161" s="6">
        <f t="shared" si="59"/>
        <v>308</v>
      </c>
      <c r="G161" s="6">
        <f t="shared" si="70"/>
        <v>984.2199999999998</v>
      </c>
      <c r="H161" s="6">
        <f t="shared" si="60"/>
        <v>984.2199999999998</v>
      </c>
      <c r="I161" s="6">
        <f>MOD(H161-Settings!$B$32,Settings!$B$33)</f>
        <v>264.2199999999998</v>
      </c>
      <c r="J161" s="6">
        <f>IF(I161&lt;Settings!$B$30,IF(Settings!$B$30-I161&gt;=E161,H161,H161+(Settings!$B$30-I161)+Settings!$B$31),H161+(Settings!$B$33-I161))</f>
        <v>984.2199999999998</v>
      </c>
      <c r="K161" s="6">
        <f t="shared" si="61"/>
        <v>1008.2399999999998</v>
      </c>
      <c r="L161" s="6">
        <f t="shared" si="62"/>
        <v>1008.2399999999998</v>
      </c>
      <c r="M161" s="6">
        <f t="shared" si="71"/>
        <v>984.78707585313907</v>
      </c>
      <c r="N161" s="6">
        <f t="shared" si="63"/>
        <v>1008.2399999999998</v>
      </c>
      <c r="O161" s="6">
        <f>Arrivals!I161</f>
        <v>2.9371279709618983</v>
      </c>
      <c r="P161" s="6">
        <f t="shared" si="64"/>
        <v>1011.1771279709617</v>
      </c>
      <c r="Q161" s="6">
        <f t="shared" si="65"/>
        <v>703.17712797096169</v>
      </c>
      <c r="R161" s="6">
        <f t="shared" si="66"/>
        <v>676.2199999999998</v>
      </c>
      <c r="S161" s="6">
        <f t="shared" si="67"/>
        <v>0</v>
      </c>
      <c r="T161" s="6">
        <f t="shared" si="68"/>
        <v>0</v>
      </c>
      <c r="U161" s="6">
        <f t="shared" si="69"/>
        <v>676.2199999999998</v>
      </c>
      <c r="V161" s="6" t="str">
        <f>IF(MOD(C161-Settings!$B$32,Settings!$B$33)&lt;Settings!$B$30,"Up","Down")</f>
        <v>Up</v>
      </c>
      <c r="W161" s="6">
        <f>IF(OR(E161&gt;Settings!$B$30,Q161&gt;Settings!$B$37),0,1)</f>
        <v>1</v>
      </c>
      <c r="X161" s="6">
        <f>IF(AND(W161=1,Q161&lt;=Settings!$B$36),1,0)</f>
        <v>0</v>
      </c>
    </row>
    <row r="162" spans="1:24" x14ac:dyDescent="0.2">
      <c r="A162">
        <f>Arrivals!A162</f>
        <v>2</v>
      </c>
      <c r="B162">
        <f>Arrivals!B162</f>
        <v>37</v>
      </c>
      <c r="C162" s="6">
        <f>Arrivals!F162</f>
        <v>313</v>
      </c>
      <c r="D162" s="6">
        <f>Arrivals!K162</f>
        <v>300</v>
      </c>
      <c r="E162" s="6">
        <f>D162*8/ACE_Input!S42+ACE_Input!T42</f>
        <v>24.02</v>
      </c>
      <c r="F162" s="6">
        <f t="shared" si="59"/>
        <v>313</v>
      </c>
      <c r="G162" s="6">
        <f t="shared" si="70"/>
        <v>1008.2399999999998</v>
      </c>
      <c r="H162" s="6">
        <f t="shared" si="60"/>
        <v>1008.2399999999998</v>
      </c>
      <c r="I162" s="6">
        <f>MOD(H162-Settings!$B$32,Settings!$B$33)</f>
        <v>288.23999999999978</v>
      </c>
      <c r="J162" s="6">
        <f>IF(I162&lt;Settings!$B$30,IF(Settings!$B$30-I162&gt;=E162,H162,H162+(Settings!$B$30-I162)+Settings!$B$31),H162+(Settings!$B$33-I162))</f>
        <v>1008.2399999999998</v>
      </c>
      <c r="K162" s="6">
        <f t="shared" si="61"/>
        <v>1032.2599999999998</v>
      </c>
      <c r="L162" s="6">
        <f t="shared" si="62"/>
        <v>1032.2599999999998</v>
      </c>
      <c r="M162" s="6">
        <f t="shared" si="71"/>
        <v>1011.1771279709617</v>
      </c>
      <c r="N162" s="6">
        <f t="shared" si="63"/>
        <v>1032.2599999999998</v>
      </c>
      <c r="O162" s="6">
        <f>Arrivals!I162</f>
        <v>0.71276681261928676</v>
      </c>
      <c r="P162" s="6">
        <f t="shared" si="64"/>
        <v>1032.9727668126191</v>
      </c>
      <c r="Q162" s="6">
        <f t="shared" si="65"/>
        <v>719.97276681261906</v>
      </c>
      <c r="R162" s="6">
        <f t="shared" si="66"/>
        <v>695.23999999999978</v>
      </c>
      <c r="S162" s="6">
        <f t="shared" si="67"/>
        <v>0</v>
      </c>
      <c r="T162" s="6">
        <f t="shared" si="68"/>
        <v>0</v>
      </c>
      <c r="U162" s="6">
        <f t="shared" si="69"/>
        <v>695.23999999999978</v>
      </c>
      <c r="V162" s="6" t="str">
        <f>IF(MOD(C162-Settings!$B$32,Settings!$B$33)&lt;Settings!$B$30,"Up","Down")</f>
        <v>Up</v>
      </c>
      <c r="W162" s="6">
        <f>IF(OR(E162&gt;Settings!$B$30,Q162&gt;Settings!$B$37),0,1)</f>
        <v>1</v>
      </c>
      <c r="X162" s="6">
        <f>IF(AND(W162=1,Q162&lt;=Settings!$B$36),1,0)</f>
        <v>0</v>
      </c>
    </row>
    <row r="163" spans="1:24" x14ac:dyDescent="0.2">
      <c r="A163">
        <f>Arrivals!A163</f>
        <v>2</v>
      </c>
      <c r="B163">
        <f>Arrivals!B163</f>
        <v>38</v>
      </c>
      <c r="C163" s="6">
        <f>Arrivals!F163</f>
        <v>318</v>
      </c>
      <c r="D163" s="6">
        <f>Arrivals!K163</f>
        <v>300</v>
      </c>
      <c r="E163" s="6">
        <f>D163*8/ACE_Input!S43+ACE_Input!T43</f>
        <v>24.02</v>
      </c>
      <c r="F163" s="6">
        <f t="shared" si="59"/>
        <v>318</v>
      </c>
      <c r="G163" s="6">
        <f t="shared" si="70"/>
        <v>1032.2599999999998</v>
      </c>
      <c r="H163" s="6">
        <f t="shared" si="60"/>
        <v>1032.2599999999998</v>
      </c>
      <c r="I163" s="6">
        <f>MOD(H163-Settings!$B$32,Settings!$B$33)</f>
        <v>312.25999999999976</v>
      </c>
      <c r="J163" s="6">
        <f>IF(I163&lt;Settings!$B$30,IF(Settings!$B$30-I163&gt;=E163,H163,H163+(Settings!$B$30-I163)+Settings!$B$31),H163+(Settings!$B$33-I163))</f>
        <v>1032.2599999999998</v>
      </c>
      <c r="K163" s="6">
        <f t="shared" si="61"/>
        <v>1056.2799999999997</v>
      </c>
      <c r="L163" s="6">
        <f t="shared" si="62"/>
        <v>1056.2799999999997</v>
      </c>
      <c r="M163" s="6">
        <f t="shared" si="71"/>
        <v>1032.9727668126191</v>
      </c>
      <c r="N163" s="6">
        <f t="shared" si="63"/>
        <v>1056.2799999999997</v>
      </c>
      <c r="O163" s="6">
        <f>Arrivals!I163</f>
        <v>0.91775696062583889</v>
      </c>
      <c r="P163" s="6">
        <f t="shared" si="64"/>
        <v>1057.1977569606256</v>
      </c>
      <c r="Q163" s="6">
        <f t="shared" si="65"/>
        <v>739.19775696062561</v>
      </c>
      <c r="R163" s="6">
        <f t="shared" si="66"/>
        <v>714.25999999999976</v>
      </c>
      <c r="S163" s="6">
        <f t="shared" si="67"/>
        <v>0</v>
      </c>
      <c r="T163" s="6">
        <f t="shared" si="68"/>
        <v>0</v>
      </c>
      <c r="U163" s="6">
        <f t="shared" si="69"/>
        <v>714.25999999999976</v>
      </c>
      <c r="V163" s="6" t="str">
        <f>IF(MOD(C163-Settings!$B$32,Settings!$B$33)&lt;Settings!$B$30,"Up","Down")</f>
        <v>Up</v>
      </c>
      <c r="W163" s="6">
        <f>IF(OR(E163&gt;Settings!$B$30,Q163&gt;Settings!$B$37),0,1)</f>
        <v>1</v>
      </c>
      <c r="X163" s="6">
        <f>IF(AND(W163=1,Q163&lt;=Settings!$B$36),1,0)</f>
        <v>0</v>
      </c>
    </row>
    <row r="164" spans="1:24" x14ac:dyDescent="0.2">
      <c r="A164">
        <f>Arrivals!A164</f>
        <v>2</v>
      </c>
      <c r="B164">
        <f>Arrivals!B164</f>
        <v>39</v>
      </c>
      <c r="C164" s="6">
        <f>Arrivals!F164</f>
        <v>323</v>
      </c>
      <c r="D164" s="6">
        <f>Arrivals!K164</f>
        <v>300</v>
      </c>
      <c r="E164" s="6">
        <f>D164*8/ACE_Input!S44+ACE_Input!T44</f>
        <v>24.02</v>
      </c>
      <c r="F164" s="6">
        <f t="shared" si="59"/>
        <v>323</v>
      </c>
      <c r="G164" s="6">
        <f t="shared" si="70"/>
        <v>1056.2799999999997</v>
      </c>
      <c r="H164" s="6">
        <f t="shared" si="60"/>
        <v>1056.2799999999997</v>
      </c>
      <c r="I164" s="6">
        <f>MOD(H164-Settings!$B$32,Settings!$B$33)</f>
        <v>336.27999999999975</v>
      </c>
      <c r="J164" s="6">
        <f>IF(I164&lt;Settings!$B$30,IF(Settings!$B$30-I164&gt;=E164,H164,H164+(Settings!$B$30-I164)+Settings!$B$31),H164+(Settings!$B$33-I164))</f>
        <v>1056.2799999999997</v>
      </c>
      <c r="K164" s="6">
        <f t="shared" si="61"/>
        <v>1080.2999999999997</v>
      </c>
      <c r="L164" s="6">
        <f t="shared" si="62"/>
        <v>1080.2999999999997</v>
      </c>
      <c r="M164" s="6">
        <f t="shared" si="71"/>
        <v>1057.1977569606256</v>
      </c>
      <c r="N164" s="6">
        <f t="shared" si="63"/>
        <v>1080.2999999999997</v>
      </c>
      <c r="O164" s="6">
        <f>Arrivals!I164</f>
        <v>6.1189842088314146</v>
      </c>
      <c r="P164" s="6">
        <f t="shared" si="64"/>
        <v>1086.418984208831</v>
      </c>
      <c r="Q164" s="6">
        <f t="shared" si="65"/>
        <v>763.41898420883103</v>
      </c>
      <c r="R164" s="6">
        <f t="shared" si="66"/>
        <v>733.27999999999975</v>
      </c>
      <c r="S164" s="6">
        <f t="shared" si="67"/>
        <v>0</v>
      </c>
      <c r="T164" s="6">
        <f t="shared" si="68"/>
        <v>0</v>
      </c>
      <c r="U164" s="6">
        <f t="shared" si="69"/>
        <v>733.27999999999975</v>
      </c>
      <c r="V164" s="6" t="str">
        <f>IF(MOD(C164-Settings!$B$32,Settings!$B$33)&lt;Settings!$B$30,"Up","Down")</f>
        <v>Up</v>
      </c>
      <c r="W164" s="6">
        <f>IF(OR(E164&gt;Settings!$B$30,Q164&gt;Settings!$B$37),0,1)</f>
        <v>1</v>
      </c>
      <c r="X164" s="6">
        <f>IF(AND(W164=1,Q164&lt;=Settings!$B$36),1,0)</f>
        <v>0</v>
      </c>
    </row>
    <row r="165" spans="1:24" x14ac:dyDescent="0.2">
      <c r="A165">
        <f>Arrivals!A165</f>
        <v>2</v>
      </c>
      <c r="B165">
        <f>Arrivals!B165</f>
        <v>40</v>
      </c>
      <c r="C165" s="6">
        <f>Arrivals!F165</f>
        <v>328</v>
      </c>
      <c r="D165" s="6">
        <f>Arrivals!K165</f>
        <v>300</v>
      </c>
      <c r="E165" s="6">
        <f>D165*8/ACE_Input!S45+ACE_Input!T45</f>
        <v>24.02</v>
      </c>
      <c r="F165" s="6">
        <f t="shared" si="59"/>
        <v>328</v>
      </c>
      <c r="G165" s="6">
        <f t="shared" si="70"/>
        <v>1080.2999999999997</v>
      </c>
      <c r="H165" s="6">
        <f t="shared" si="60"/>
        <v>1080.2999999999997</v>
      </c>
      <c r="I165" s="6">
        <f>MOD(H165-Settings!$B$32,Settings!$B$33)</f>
        <v>360.29999999999973</v>
      </c>
      <c r="J165" s="6">
        <f>IF(I165&lt;Settings!$B$30,IF(Settings!$B$30-I165&gt;=E165,H165,H165+(Settings!$B$30-I165)+Settings!$B$31),H165+(Settings!$B$33-I165))</f>
        <v>1080.2999999999997</v>
      </c>
      <c r="K165" s="6">
        <f t="shared" si="61"/>
        <v>1104.3199999999997</v>
      </c>
      <c r="L165" s="6">
        <f t="shared" si="62"/>
        <v>1104.3199999999997</v>
      </c>
      <c r="M165" s="6">
        <f t="shared" si="71"/>
        <v>1086.418984208831</v>
      </c>
      <c r="N165" s="6">
        <f t="shared" si="63"/>
        <v>1104.3199999999997</v>
      </c>
      <c r="O165" s="6">
        <f>Arrivals!I165</f>
        <v>5.7205847973353752</v>
      </c>
      <c r="P165" s="6">
        <f t="shared" si="64"/>
        <v>1110.040584797335</v>
      </c>
      <c r="Q165" s="6">
        <f t="shared" si="65"/>
        <v>782.04058479733499</v>
      </c>
      <c r="R165" s="6">
        <f t="shared" si="66"/>
        <v>752.29999999999973</v>
      </c>
      <c r="S165" s="6">
        <f t="shared" si="67"/>
        <v>0</v>
      </c>
      <c r="T165" s="6">
        <f t="shared" si="68"/>
        <v>0</v>
      </c>
      <c r="U165" s="6">
        <f t="shared" si="69"/>
        <v>752.29999999999973</v>
      </c>
      <c r="V165" s="6" t="str">
        <f>IF(MOD(C165-Settings!$B$32,Settings!$B$33)&lt;Settings!$B$30,"Up","Down")</f>
        <v>Up</v>
      </c>
      <c r="W165" s="6">
        <f>IF(OR(E165&gt;Settings!$B$30,Q165&gt;Settings!$B$37),0,1)</f>
        <v>1</v>
      </c>
      <c r="X165" s="6">
        <f>IF(AND(W165=1,Q165&lt;=Settings!$B$36),1,0)</f>
        <v>0</v>
      </c>
    </row>
    <row r="166" spans="1:24" x14ac:dyDescent="0.2">
      <c r="A166">
        <f>Arrivals!A166</f>
        <v>2</v>
      </c>
      <c r="B166">
        <f>Arrivals!B166</f>
        <v>41</v>
      </c>
      <c r="C166" s="6">
        <f>Arrivals!F166</f>
        <v>333</v>
      </c>
      <c r="D166" s="6">
        <f>Arrivals!K166</f>
        <v>300</v>
      </c>
      <c r="E166" s="6">
        <f>D166*8/ACE_Input!S46+ACE_Input!T46</f>
        <v>24.02</v>
      </c>
      <c r="F166" s="6">
        <f t="shared" si="59"/>
        <v>333</v>
      </c>
      <c r="G166" s="6">
        <f t="shared" si="70"/>
        <v>1104.3199999999997</v>
      </c>
      <c r="H166" s="6">
        <f t="shared" si="60"/>
        <v>1104.3199999999997</v>
      </c>
      <c r="I166" s="6">
        <f>MOD(H166-Settings!$B$32,Settings!$B$33)</f>
        <v>384.31999999999971</v>
      </c>
      <c r="J166" s="6">
        <f>IF(I166&lt;Settings!$B$30,IF(Settings!$B$30-I166&gt;=E166,H166,H166+(Settings!$B$30-I166)+Settings!$B$31),H166+(Settings!$B$33-I166))</f>
        <v>1104.3199999999997</v>
      </c>
      <c r="K166" s="6">
        <f t="shared" si="61"/>
        <v>1128.3399999999997</v>
      </c>
      <c r="L166" s="6">
        <f t="shared" si="62"/>
        <v>1128.3399999999997</v>
      </c>
      <c r="M166" s="6">
        <f t="shared" si="71"/>
        <v>1110.040584797335</v>
      </c>
      <c r="N166" s="6">
        <f t="shared" si="63"/>
        <v>1128.3399999999997</v>
      </c>
      <c r="O166" s="6">
        <f>Arrivals!I166</f>
        <v>2.960318715758679</v>
      </c>
      <c r="P166" s="6">
        <f t="shared" si="64"/>
        <v>1131.3003187157583</v>
      </c>
      <c r="Q166" s="6">
        <f t="shared" si="65"/>
        <v>798.30031871575829</v>
      </c>
      <c r="R166" s="6">
        <f t="shared" si="66"/>
        <v>771.31999999999971</v>
      </c>
      <c r="S166" s="6">
        <f t="shared" si="67"/>
        <v>0</v>
      </c>
      <c r="T166" s="6">
        <f t="shared" si="68"/>
        <v>0</v>
      </c>
      <c r="U166" s="6">
        <f t="shared" si="69"/>
        <v>771.31999999999971</v>
      </c>
      <c r="V166" s="6" t="str">
        <f>IF(MOD(C166-Settings!$B$32,Settings!$B$33)&lt;Settings!$B$30,"Up","Down")</f>
        <v>Up</v>
      </c>
      <c r="W166" s="6">
        <f>IF(OR(E166&gt;Settings!$B$30,Q166&gt;Settings!$B$37),0,1)</f>
        <v>1</v>
      </c>
      <c r="X166" s="6">
        <f>IF(AND(W166=1,Q166&lt;=Settings!$B$36),1,0)</f>
        <v>0</v>
      </c>
    </row>
    <row r="167" spans="1:24" x14ac:dyDescent="0.2">
      <c r="A167">
        <f>Arrivals!A167</f>
        <v>2</v>
      </c>
      <c r="B167">
        <f>Arrivals!B167</f>
        <v>42</v>
      </c>
      <c r="C167" s="6">
        <f>Arrivals!F167</f>
        <v>338</v>
      </c>
      <c r="D167" s="6">
        <f>Arrivals!K167</f>
        <v>300</v>
      </c>
      <c r="E167" s="6">
        <f>D167*8/ACE_Input!S47+ACE_Input!T47</f>
        <v>24.02</v>
      </c>
      <c r="F167" s="6">
        <f t="shared" si="59"/>
        <v>338</v>
      </c>
      <c r="G167" s="6">
        <f t="shared" si="70"/>
        <v>1128.3399999999997</v>
      </c>
      <c r="H167" s="6">
        <f t="shared" si="60"/>
        <v>1128.3399999999997</v>
      </c>
      <c r="I167" s="6">
        <f>MOD(H167-Settings!$B$32,Settings!$B$33)</f>
        <v>408.33999999999969</v>
      </c>
      <c r="J167" s="6">
        <f>IF(I167&lt;Settings!$B$30,IF(Settings!$B$30-I167&gt;=E167,H167,H167+(Settings!$B$30-I167)+Settings!$B$31),H167+(Settings!$B$33-I167))</f>
        <v>1128.3399999999997</v>
      </c>
      <c r="K167" s="6">
        <f t="shared" si="61"/>
        <v>1152.3599999999997</v>
      </c>
      <c r="L167" s="6">
        <f t="shared" si="62"/>
        <v>1152.3599999999997</v>
      </c>
      <c r="M167" s="6">
        <f t="shared" si="71"/>
        <v>1131.3003187157583</v>
      </c>
      <c r="N167" s="6">
        <f t="shared" si="63"/>
        <v>1152.3599999999997</v>
      </c>
      <c r="O167" s="6">
        <f>Arrivals!I167</f>
        <v>6.15461575813036</v>
      </c>
      <c r="P167" s="6">
        <f t="shared" si="64"/>
        <v>1158.51461575813</v>
      </c>
      <c r="Q167" s="6">
        <f t="shared" si="65"/>
        <v>820.51461575813005</v>
      </c>
      <c r="R167" s="6">
        <f t="shared" si="66"/>
        <v>790.33999999999969</v>
      </c>
      <c r="S167" s="6">
        <f t="shared" si="67"/>
        <v>0</v>
      </c>
      <c r="T167" s="6">
        <f t="shared" si="68"/>
        <v>0</v>
      </c>
      <c r="U167" s="6">
        <f t="shared" si="69"/>
        <v>790.33999999999969</v>
      </c>
      <c r="V167" s="6" t="str">
        <f>IF(MOD(C167-Settings!$B$32,Settings!$B$33)&lt;Settings!$B$30,"Up","Down")</f>
        <v>Up</v>
      </c>
      <c r="W167" s="6">
        <f>IF(OR(E167&gt;Settings!$B$30,Q167&gt;Settings!$B$37),0,1)</f>
        <v>1</v>
      </c>
      <c r="X167" s="6">
        <f>IF(AND(W167=1,Q167&lt;=Settings!$B$36),1,0)</f>
        <v>0</v>
      </c>
    </row>
    <row r="168" spans="1:24" x14ac:dyDescent="0.2">
      <c r="A168">
        <f>Arrivals!A168</f>
        <v>2</v>
      </c>
      <c r="B168">
        <f>Arrivals!B168</f>
        <v>43</v>
      </c>
      <c r="C168" s="6">
        <f>Arrivals!F168</f>
        <v>343</v>
      </c>
      <c r="D168" s="6">
        <f>Arrivals!K168</f>
        <v>300</v>
      </c>
      <c r="E168" s="6">
        <f>D168*8/ACE_Input!S48+ACE_Input!T48</f>
        <v>24.02</v>
      </c>
      <c r="F168" s="6">
        <f t="shared" si="59"/>
        <v>343</v>
      </c>
      <c r="G168" s="6">
        <f t="shared" si="70"/>
        <v>1152.3599999999997</v>
      </c>
      <c r="H168" s="6">
        <f t="shared" si="60"/>
        <v>1152.3599999999997</v>
      </c>
      <c r="I168" s="6">
        <f>MOD(H168-Settings!$B$32,Settings!$B$33)</f>
        <v>432.35999999999967</v>
      </c>
      <c r="J168" s="6">
        <f>IF(I168&lt;Settings!$B$30,IF(Settings!$B$30-I168&gt;=E168,H168,H168+(Settings!$B$30-I168)+Settings!$B$31),H168+(Settings!$B$33-I168))</f>
        <v>1152.3599999999997</v>
      </c>
      <c r="K168" s="6">
        <f t="shared" si="61"/>
        <v>1176.3799999999997</v>
      </c>
      <c r="L168" s="6">
        <f t="shared" si="62"/>
        <v>1176.3799999999997</v>
      </c>
      <c r="M168" s="6">
        <f t="shared" si="71"/>
        <v>1158.51461575813</v>
      </c>
      <c r="N168" s="6">
        <f t="shared" si="63"/>
        <v>1176.3799999999997</v>
      </c>
      <c r="O168" s="6">
        <f>Arrivals!I168</f>
        <v>0.1781820026620094</v>
      </c>
      <c r="P168" s="6">
        <f t="shared" si="64"/>
        <v>1176.5581820026616</v>
      </c>
      <c r="Q168" s="6">
        <f t="shared" si="65"/>
        <v>833.55818200266162</v>
      </c>
      <c r="R168" s="6">
        <f t="shared" si="66"/>
        <v>809.35999999999967</v>
      </c>
      <c r="S168" s="6">
        <f t="shared" si="67"/>
        <v>0</v>
      </c>
      <c r="T168" s="6">
        <f t="shared" si="68"/>
        <v>0</v>
      </c>
      <c r="U168" s="6">
        <f t="shared" si="69"/>
        <v>809.35999999999967</v>
      </c>
      <c r="V168" s="6" t="str">
        <f>IF(MOD(C168-Settings!$B$32,Settings!$B$33)&lt;Settings!$B$30,"Up","Down")</f>
        <v>Up</v>
      </c>
      <c r="W168" s="6">
        <f>IF(OR(E168&gt;Settings!$B$30,Q168&gt;Settings!$B$37),0,1)</f>
        <v>1</v>
      </c>
      <c r="X168" s="6">
        <f>IF(AND(W168=1,Q168&lt;=Settings!$B$36),1,0)</f>
        <v>0</v>
      </c>
    </row>
    <row r="169" spans="1:24" x14ac:dyDescent="0.2">
      <c r="A169">
        <f>Arrivals!A169</f>
        <v>2</v>
      </c>
      <c r="B169">
        <f>Arrivals!B169</f>
        <v>44</v>
      </c>
      <c r="C169" s="6">
        <f>Arrivals!F169</f>
        <v>348</v>
      </c>
      <c r="D169" s="6">
        <f>Arrivals!K169</f>
        <v>300</v>
      </c>
      <c r="E169" s="6">
        <f>D169*8/ACE_Input!S49+ACE_Input!T49</f>
        <v>24.02</v>
      </c>
      <c r="F169" s="6">
        <f t="shared" si="59"/>
        <v>348</v>
      </c>
      <c r="G169" s="6">
        <f t="shared" si="70"/>
        <v>1176.3799999999997</v>
      </c>
      <c r="H169" s="6">
        <f t="shared" si="60"/>
        <v>1176.3799999999997</v>
      </c>
      <c r="I169" s="6">
        <f>MOD(H169-Settings!$B$32,Settings!$B$33)</f>
        <v>456.37999999999965</v>
      </c>
      <c r="J169" s="6">
        <f>IF(I169&lt;Settings!$B$30,IF(Settings!$B$30-I169&gt;=E169,H169,H169+(Settings!$B$30-I169)+Settings!$B$31),H169+(Settings!$B$33-I169))</f>
        <v>1176.3799999999997</v>
      </c>
      <c r="K169" s="6">
        <f t="shared" si="61"/>
        <v>1200.3999999999996</v>
      </c>
      <c r="L169" s="6">
        <f t="shared" si="62"/>
        <v>1200.3999999999996</v>
      </c>
      <c r="M169" s="6">
        <f t="shared" si="71"/>
        <v>1176.5581820026616</v>
      </c>
      <c r="N169" s="6">
        <f t="shared" si="63"/>
        <v>1200.3999999999996</v>
      </c>
      <c r="O169" s="6">
        <f>Arrivals!I169</f>
        <v>1.1295464493056038</v>
      </c>
      <c r="P169" s="6">
        <f t="shared" si="64"/>
        <v>1201.5295464493051</v>
      </c>
      <c r="Q169" s="6">
        <f t="shared" si="65"/>
        <v>853.52954644930514</v>
      </c>
      <c r="R169" s="6">
        <f t="shared" si="66"/>
        <v>828.37999999999965</v>
      </c>
      <c r="S169" s="6">
        <f t="shared" si="67"/>
        <v>0</v>
      </c>
      <c r="T169" s="6">
        <f t="shared" si="68"/>
        <v>0</v>
      </c>
      <c r="U169" s="6">
        <f t="shared" si="69"/>
        <v>828.37999999999965</v>
      </c>
      <c r="V169" s="6" t="str">
        <f>IF(MOD(C169-Settings!$B$32,Settings!$B$33)&lt;Settings!$B$30,"Up","Down")</f>
        <v>Up</v>
      </c>
      <c r="W169" s="6">
        <f>IF(OR(E169&gt;Settings!$B$30,Q169&gt;Settings!$B$37),0,1)</f>
        <v>1</v>
      </c>
      <c r="X169" s="6">
        <f>IF(AND(W169=1,Q169&lt;=Settings!$B$36),1,0)</f>
        <v>0</v>
      </c>
    </row>
    <row r="170" spans="1:24" x14ac:dyDescent="0.2">
      <c r="A170">
        <f>Arrivals!A170</f>
        <v>2</v>
      </c>
      <c r="B170">
        <f>Arrivals!B170</f>
        <v>45</v>
      </c>
      <c r="C170" s="6">
        <f>Arrivals!F170</f>
        <v>354</v>
      </c>
      <c r="D170" s="6">
        <f>Arrivals!K170</f>
        <v>300</v>
      </c>
      <c r="E170" s="6">
        <f>D170*8/ACE_Input!S50+ACE_Input!T50</f>
        <v>24.02</v>
      </c>
      <c r="F170" s="6">
        <f t="shared" si="59"/>
        <v>354</v>
      </c>
      <c r="G170" s="6">
        <f t="shared" si="70"/>
        <v>1200.3999999999996</v>
      </c>
      <c r="H170" s="6">
        <f t="shared" si="60"/>
        <v>1200.3999999999996</v>
      </c>
      <c r="I170" s="6">
        <f>MOD(H170-Settings!$B$32,Settings!$B$33)</f>
        <v>480.39999999999964</v>
      </c>
      <c r="J170" s="6">
        <f>IF(I170&lt;Settings!$B$30,IF(Settings!$B$30-I170&gt;=E170,H170,H170+(Settings!$B$30-I170)+Settings!$B$31),H170+(Settings!$B$33-I170))</f>
        <v>1200.3999999999996</v>
      </c>
      <c r="K170" s="6">
        <f t="shared" si="61"/>
        <v>1224.4199999999996</v>
      </c>
      <c r="L170" s="6">
        <f t="shared" si="62"/>
        <v>1224.4199999999996</v>
      </c>
      <c r="M170" s="6">
        <f t="shared" si="71"/>
        <v>1201.5295464493051</v>
      </c>
      <c r="N170" s="6">
        <f t="shared" si="63"/>
        <v>1224.4199999999996</v>
      </c>
      <c r="O170" s="6">
        <f>Arrivals!I170</f>
        <v>6.9117892142270527</v>
      </c>
      <c r="P170" s="6">
        <f t="shared" si="64"/>
        <v>1231.3317892142268</v>
      </c>
      <c r="Q170" s="6">
        <f t="shared" si="65"/>
        <v>877.33178921422677</v>
      </c>
      <c r="R170" s="6">
        <f t="shared" si="66"/>
        <v>846.39999999999964</v>
      </c>
      <c r="S170" s="6">
        <f t="shared" si="67"/>
        <v>0</v>
      </c>
      <c r="T170" s="6">
        <f t="shared" si="68"/>
        <v>0</v>
      </c>
      <c r="U170" s="6">
        <f t="shared" si="69"/>
        <v>846.39999999999964</v>
      </c>
      <c r="V170" s="6" t="str">
        <f>IF(MOD(C170-Settings!$B$32,Settings!$B$33)&lt;Settings!$B$30,"Up","Down")</f>
        <v>Up</v>
      </c>
      <c r="W170" s="6">
        <f>IF(OR(E170&gt;Settings!$B$30,Q170&gt;Settings!$B$37),0,1)</f>
        <v>1</v>
      </c>
      <c r="X170" s="6">
        <f>IF(AND(W170=1,Q170&lt;=Settings!$B$36),1,0)</f>
        <v>0</v>
      </c>
    </row>
    <row r="171" spans="1:24" x14ac:dyDescent="0.2">
      <c r="A171">
        <f>Arrivals!A171</f>
        <v>2</v>
      </c>
      <c r="B171">
        <f>Arrivals!B171</f>
        <v>46</v>
      </c>
      <c r="C171" s="6">
        <f>Arrivals!F171</f>
        <v>359</v>
      </c>
      <c r="D171" s="6">
        <f>Arrivals!K171</f>
        <v>300</v>
      </c>
      <c r="E171" s="6">
        <f>D171*8/ACE_Input!S51+ACE_Input!T51</f>
        <v>24.02</v>
      </c>
      <c r="F171" s="6">
        <f t="shared" si="59"/>
        <v>359</v>
      </c>
      <c r="G171" s="6">
        <f t="shared" si="70"/>
        <v>1224.4199999999996</v>
      </c>
      <c r="H171" s="6">
        <f t="shared" si="60"/>
        <v>1224.4199999999996</v>
      </c>
      <c r="I171" s="6">
        <f>MOD(H171-Settings!$B$32,Settings!$B$33)</f>
        <v>504.41999999999962</v>
      </c>
      <c r="J171" s="6">
        <f>IF(I171&lt;Settings!$B$30,IF(Settings!$B$30-I171&gt;=E171,H171,H171+(Settings!$B$30-I171)+Settings!$B$31),H171+(Settings!$B$33-I171))</f>
        <v>1224.4199999999996</v>
      </c>
      <c r="K171" s="6">
        <f t="shared" si="61"/>
        <v>1248.4399999999996</v>
      </c>
      <c r="L171" s="6">
        <f t="shared" si="62"/>
        <v>1248.4399999999996</v>
      </c>
      <c r="M171" s="6">
        <f t="shared" si="71"/>
        <v>1231.3317892142268</v>
      </c>
      <c r="N171" s="6">
        <f t="shared" si="63"/>
        <v>1248.4399999999996</v>
      </c>
      <c r="O171" s="6">
        <f>Arrivals!I171</f>
        <v>1.1957079668804198</v>
      </c>
      <c r="P171" s="6">
        <f t="shared" si="64"/>
        <v>1249.6357079668801</v>
      </c>
      <c r="Q171" s="6">
        <f t="shared" si="65"/>
        <v>890.63570796688009</v>
      </c>
      <c r="R171" s="6">
        <f t="shared" si="66"/>
        <v>865.41999999999962</v>
      </c>
      <c r="S171" s="6">
        <f t="shared" si="67"/>
        <v>0</v>
      </c>
      <c r="T171" s="6">
        <f t="shared" si="68"/>
        <v>0</v>
      </c>
      <c r="U171" s="6">
        <f t="shared" si="69"/>
        <v>865.41999999999962</v>
      </c>
      <c r="V171" s="6" t="str">
        <f>IF(MOD(C171-Settings!$B$32,Settings!$B$33)&lt;Settings!$B$30,"Up","Down")</f>
        <v>Up</v>
      </c>
      <c r="W171" s="6">
        <f>IF(OR(E171&gt;Settings!$B$30,Q171&gt;Settings!$B$37),0,1)</f>
        <v>1</v>
      </c>
      <c r="X171" s="6">
        <f>IF(AND(W171=1,Q171&lt;=Settings!$B$36),1,0)</f>
        <v>0</v>
      </c>
    </row>
    <row r="172" spans="1:24" x14ac:dyDescent="0.2">
      <c r="A172">
        <f>Arrivals!A172</f>
        <v>2</v>
      </c>
      <c r="B172">
        <f>Arrivals!B172</f>
        <v>47</v>
      </c>
      <c r="C172" s="6">
        <f>Arrivals!F172</f>
        <v>364</v>
      </c>
      <c r="D172" s="6">
        <f>Arrivals!K172</f>
        <v>300</v>
      </c>
      <c r="E172" s="6">
        <f>D172*8/ACE_Input!S52+ACE_Input!T52</f>
        <v>24.02</v>
      </c>
      <c r="F172" s="6">
        <f t="shared" si="59"/>
        <v>364</v>
      </c>
      <c r="G172" s="6">
        <f t="shared" si="70"/>
        <v>1248.4399999999996</v>
      </c>
      <c r="H172" s="6">
        <f t="shared" si="60"/>
        <v>1248.4399999999996</v>
      </c>
      <c r="I172" s="6">
        <f>MOD(H172-Settings!$B$32,Settings!$B$33)</f>
        <v>528.4399999999996</v>
      </c>
      <c r="J172" s="6">
        <f>IF(I172&lt;Settings!$B$30,IF(Settings!$B$30-I172&gt;=E172,H172,H172+(Settings!$B$30-I172)+Settings!$B$31),H172+(Settings!$B$33-I172))</f>
        <v>1248.4399999999996</v>
      </c>
      <c r="K172" s="6">
        <f t="shared" si="61"/>
        <v>1272.4599999999996</v>
      </c>
      <c r="L172" s="6">
        <f t="shared" si="62"/>
        <v>1272.4599999999996</v>
      </c>
      <c r="M172" s="6">
        <f t="shared" si="71"/>
        <v>1249.6357079668801</v>
      </c>
      <c r="N172" s="6">
        <f t="shared" si="63"/>
        <v>1272.4599999999996</v>
      </c>
      <c r="O172" s="6">
        <f>Arrivals!I172</f>
        <v>4.8298062808134725</v>
      </c>
      <c r="P172" s="6">
        <f t="shared" si="64"/>
        <v>1277.2898062808131</v>
      </c>
      <c r="Q172" s="6">
        <f t="shared" si="65"/>
        <v>913.28980628081308</v>
      </c>
      <c r="R172" s="6">
        <f t="shared" si="66"/>
        <v>884.4399999999996</v>
      </c>
      <c r="S172" s="6">
        <f t="shared" si="67"/>
        <v>0</v>
      </c>
      <c r="T172" s="6">
        <f t="shared" si="68"/>
        <v>0</v>
      </c>
      <c r="U172" s="6">
        <f t="shared" si="69"/>
        <v>884.4399999999996</v>
      </c>
      <c r="V172" s="6" t="str">
        <f>IF(MOD(C172-Settings!$B$32,Settings!$B$33)&lt;Settings!$B$30,"Up","Down")</f>
        <v>Up</v>
      </c>
      <c r="W172" s="6">
        <f>IF(OR(E172&gt;Settings!$B$30,Q172&gt;Settings!$B$37),0,1)</f>
        <v>0</v>
      </c>
      <c r="X172" s="6">
        <f>IF(AND(W172=1,Q172&lt;=Settings!$B$36),1,0)</f>
        <v>0</v>
      </c>
    </row>
    <row r="173" spans="1:24" x14ac:dyDescent="0.2">
      <c r="A173">
        <f>Arrivals!A173</f>
        <v>2</v>
      </c>
      <c r="B173">
        <f>Arrivals!B173</f>
        <v>48</v>
      </c>
      <c r="C173" s="6">
        <f>Arrivals!F173</f>
        <v>369</v>
      </c>
      <c r="D173" s="6">
        <f>Arrivals!K173</f>
        <v>300</v>
      </c>
      <c r="E173" s="6">
        <f>D173*8/ACE_Input!S53+ACE_Input!T53</f>
        <v>24.02</v>
      </c>
      <c r="F173" s="6">
        <f t="shared" si="59"/>
        <v>369</v>
      </c>
      <c r="G173" s="6">
        <f t="shared" si="70"/>
        <v>1272.4599999999996</v>
      </c>
      <c r="H173" s="6">
        <f t="shared" si="60"/>
        <v>1272.4599999999996</v>
      </c>
      <c r="I173" s="6">
        <f>MOD(H173-Settings!$B$32,Settings!$B$33)</f>
        <v>552.45999999999958</v>
      </c>
      <c r="J173" s="6">
        <f>IF(I173&lt;Settings!$B$30,IF(Settings!$B$30-I173&gt;=E173,H173,H173+(Settings!$B$30-I173)+Settings!$B$31),H173+(Settings!$B$33-I173))</f>
        <v>1272.4599999999996</v>
      </c>
      <c r="K173" s="6">
        <f t="shared" si="61"/>
        <v>1296.4799999999996</v>
      </c>
      <c r="L173" s="6">
        <f t="shared" si="62"/>
        <v>1296.4799999999996</v>
      </c>
      <c r="M173" s="6">
        <f t="shared" si="71"/>
        <v>1277.2898062808131</v>
      </c>
      <c r="N173" s="6">
        <f t="shared" si="63"/>
        <v>1296.4799999999996</v>
      </c>
      <c r="O173" s="6">
        <f>Arrivals!I173</f>
        <v>2.1092532391485528</v>
      </c>
      <c r="P173" s="6">
        <f t="shared" si="64"/>
        <v>1298.5892532391481</v>
      </c>
      <c r="Q173" s="6">
        <f t="shared" si="65"/>
        <v>929.58925323914809</v>
      </c>
      <c r="R173" s="6">
        <f t="shared" si="66"/>
        <v>903.45999999999958</v>
      </c>
      <c r="S173" s="6">
        <f t="shared" si="67"/>
        <v>0</v>
      </c>
      <c r="T173" s="6">
        <f t="shared" si="68"/>
        <v>0</v>
      </c>
      <c r="U173" s="6">
        <f t="shared" si="69"/>
        <v>903.45999999999958</v>
      </c>
      <c r="V173" s="6" t="str">
        <f>IF(MOD(C173-Settings!$B$32,Settings!$B$33)&lt;Settings!$B$30,"Up","Down")</f>
        <v>Up</v>
      </c>
      <c r="W173" s="6">
        <f>IF(OR(E173&gt;Settings!$B$30,Q173&gt;Settings!$B$37),0,1)</f>
        <v>0</v>
      </c>
      <c r="X173" s="6">
        <f>IF(AND(W173=1,Q173&lt;=Settings!$B$36),1,0)</f>
        <v>0</v>
      </c>
    </row>
    <row r="174" spans="1:24" x14ac:dyDescent="0.2">
      <c r="A174">
        <f>Arrivals!A174</f>
        <v>2</v>
      </c>
      <c r="B174">
        <f>Arrivals!B174</f>
        <v>49</v>
      </c>
      <c r="C174" s="6">
        <f>Arrivals!F174</f>
        <v>374</v>
      </c>
      <c r="D174" s="6">
        <f>Arrivals!K174</f>
        <v>300</v>
      </c>
      <c r="E174" s="6">
        <f>D174*8/ACE_Input!S54+ACE_Input!T54</f>
        <v>24.02</v>
      </c>
      <c r="F174" s="6">
        <f t="shared" si="59"/>
        <v>374</v>
      </c>
      <c r="G174" s="6">
        <f t="shared" si="70"/>
        <v>1296.4799999999996</v>
      </c>
      <c r="H174" s="6">
        <f t="shared" si="60"/>
        <v>1296.4799999999996</v>
      </c>
      <c r="I174" s="6">
        <f>MOD(H174-Settings!$B$32,Settings!$B$33)</f>
        <v>576.47999999999956</v>
      </c>
      <c r="J174" s="6">
        <f>IF(I174&lt;Settings!$B$30,IF(Settings!$B$30-I174&gt;=E174,H174,H174+(Settings!$B$30-I174)+Settings!$B$31),H174+(Settings!$B$33-I174))</f>
        <v>1440</v>
      </c>
      <c r="K174" s="6">
        <f t="shared" si="61"/>
        <v>1464.02</v>
      </c>
      <c r="L174" s="6">
        <f t="shared" si="62"/>
        <v>1464.02</v>
      </c>
      <c r="M174" s="6">
        <f t="shared" si="71"/>
        <v>1298.5892532391481</v>
      </c>
      <c r="N174" s="6">
        <f t="shared" si="63"/>
        <v>1464.02</v>
      </c>
      <c r="O174" s="6">
        <f>Arrivals!I174</f>
        <v>4.8421354490487527</v>
      </c>
      <c r="P174" s="6">
        <f t="shared" si="64"/>
        <v>1468.8621354490488</v>
      </c>
      <c r="Q174" s="6">
        <f t="shared" si="65"/>
        <v>1094.8621354490488</v>
      </c>
      <c r="R174" s="6">
        <f t="shared" si="66"/>
        <v>922.47999999999956</v>
      </c>
      <c r="S174" s="6">
        <f t="shared" si="67"/>
        <v>143.52000000000044</v>
      </c>
      <c r="T174" s="6">
        <f t="shared" si="68"/>
        <v>0</v>
      </c>
      <c r="U174" s="6">
        <f t="shared" si="69"/>
        <v>1066</v>
      </c>
      <c r="V174" s="6" t="str">
        <f>IF(MOD(C174-Settings!$B$32,Settings!$B$33)&lt;Settings!$B$30,"Up","Down")</f>
        <v>Up</v>
      </c>
      <c r="W174" s="6">
        <f>IF(OR(E174&gt;Settings!$B$30,Q174&gt;Settings!$B$37),0,1)</f>
        <v>0</v>
      </c>
      <c r="X174" s="6">
        <f>IF(AND(W174=1,Q174&lt;=Settings!$B$36),1,0)</f>
        <v>0</v>
      </c>
    </row>
    <row r="175" spans="1:24" x14ac:dyDescent="0.2">
      <c r="A175">
        <f>Arrivals!A175</f>
        <v>2</v>
      </c>
      <c r="B175">
        <f>Arrivals!B175</f>
        <v>50</v>
      </c>
      <c r="C175" s="6">
        <f>Arrivals!F175</f>
        <v>379</v>
      </c>
      <c r="D175" s="6">
        <f>Arrivals!K175</f>
        <v>300</v>
      </c>
      <c r="E175" s="6">
        <f>D175*8/ACE_Input!S55+ACE_Input!T55</f>
        <v>24.02</v>
      </c>
      <c r="F175" s="6">
        <f t="shared" si="59"/>
        <v>379</v>
      </c>
      <c r="G175" s="6">
        <f t="shared" si="70"/>
        <v>1464.02</v>
      </c>
      <c r="H175" s="6">
        <f t="shared" si="60"/>
        <v>1464.02</v>
      </c>
      <c r="I175" s="6">
        <f>MOD(H175-Settings!$B$32,Settings!$B$33)</f>
        <v>24.019999999999982</v>
      </c>
      <c r="J175" s="6">
        <f>IF(I175&lt;Settings!$B$30,IF(Settings!$B$30-I175&gt;=E175,H175,H175+(Settings!$B$30-I175)+Settings!$B$31),H175+(Settings!$B$33-I175))</f>
        <v>1464.02</v>
      </c>
      <c r="K175" s="6">
        <f t="shared" si="61"/>
        <v>1488.04</v>
      </c>
      <c r="L175" s="6">
        <f t="shared" si="62"/>
        <v>1488.04</v>
      </c>
      <c r="M175" s="6">
        <f t="shared" si="71"/>
        <v>1468.8621354490488</v>
      </c>
      <c r="N175" s="6">
        <f t="shared" si="63"/>
        <v>1488.04</v>
      </c>
      <c r="O175" s="6">
        <f>Arrivals!I175</f>
        <v>8.261281266644529</v>
      </c>
      <c r="P175" s="6">
        <f t="shared" si="64"/>
        <v>1496.3012812666445</v>
      </c>
      <c r="Q175" s="6">
        <f t="shared" si="65"/>
        <v>1117.3012812666445</v>
      </c>
      <c r="R175" s="6">
        <f t="shared" si="66"/>
        <v>1085.02</v>
      </c>
      <c r="S175" s="6">
        <f t="shared" si="67"/>
        <v>0</v>
      </c>
      <c r="T175" s="6">
        <f t="shared" si="68"/>
        <v>0</v>
      </c>
      <c r="U175" s="6">
        <f t="shared" si="69"/>
        <v>1085.02</v>
      </c>
      <c r="V175" s="6" t="str">
        <f>IF(MOD(C175-Settings!$B$32,Settings!$B$33)&lt;Settings!$B$30,"Up","Down")</f>
        <v>Up</v>
      </c>
      <c r="W175" s="6">
        <f>IF(OR(E175&gt;Settings!$B$30,Q175&gt;Settings!$B$37),0,1)</f>
        <v>0</v>
      </c>
      <c r="X175" s="6">
        <f>IF(AND(W175=1,Q175&lt;=Settings!$B$36),1,0)</f>
        <v>0</v>
      </c>
    </row>
    <row r="176" spans="1:24" x14ac:dyDescent="0.2">
      <c r="A176">
        <f>Arrivals!A176</f>
        <v>2</v>
      </c>
      <c r="B176">
        <f>Arrivals!B176</f>
        <v>51</v>
      </c>
      <c r="C176" s="6">
        <f>Arrivals!F176</f>
        <v>384</v>
      </c>
      <c r="D176" s="6">
        <f>Arrivals!K176</f>
        <v>300</v>
      </c>
      <c r="E176" s="6">
        <f>D176*8/ACE_Input!S56+ACE_Input!T56</f>
        <v>24.02</v>
      </c>
      <c r="F176" s="6">
        <f t="shared" si="59"/>
        <v>384</v>
      </c>
      <c r="G176" s="6">
        <f t="shared" si="70"/>
        <v>1488.04</v>
      </c>
      <c r="H176" s="6">
        <f t="shared" si="60"/>
        <v>1488.04</v>
      </c>
      <c r="I176" s="6">
        <f>MOD(H176-Settings!$B$32,Settings!$B$33)</f>
        <v>48.039999999999964</v>
      </c>
      <c r="J176" s="6">
        <f>IF(I176&lt;Settings!$B$30,IF(Settings!$B$30-I176&gt;=E176,H176,H176+(Settings!$B$30-I176)+Settings!$B$31),H176+(Settings!$B$33-I176))</f>
        <v>1488.04</v>
      </c>
      <c r="K176" s="6">
        <f t="shared" si="61"/>
        <v>1512.06</v>
      </c>
      <c r="L176" s="6">
        <f t="shared" si="62"/>
        <v>1512.06</v>
      </c>
      <c r="M176" s="6">
        <f t="shared" si="71"/>
        <v>1496.3012812666445</v>
      </c>
      <c r="N176" s="6">
        <f t="shared" si="63"/>
        <v>1512.06</v>
      </c>
      <c r="O176" s="6">
        <f>Arrivals!I176</f>
        <v>1.1380297238901842</v>
      </c>
      <c r="P176" s="6">
        <f t="shared" si="64"/>
        <v>1513.1980297238902</v>
      </c>
      <c r="Q176" s="6">
        <f t="shared" si="65"/>
        <v>1129.1980297238902</v>
      </c>
      <c r="R176" s="6">
        <f t="shared" si="66"/>
        <v>1104.04</v>
      </c>
      <c r="S176" s="6">
        <f t="shared" si="67"/>
        <v>0</v>
      </c>
      <c r="T176" s="6">
        <f t="shared" si="68"/>
        <v>0</v>
      </c>
      <c r="U176" s="6">
        <f t="shared" si="69"/>
        <v>1104.04</v>
      </c>
      <c r="V176" s="6" t="str">
        <f>IF(MOD(C176-Settings!$B$32,Settings!$B$33)&lt;Settings!$B$30,"Up","Down")</f>
        <v>Up</v>
      </c>
      <c r="W176" s="6">
        <f>IF(OR(E176&gt;Settings!$B$30,Q176&gt;Settings!$B$37),0,1)</f>
        <v>0</v>
      </c>
      <c r="X176" s="6">
        <f>IF(AND(W176=1,Q176&lt;=Settings!$B$36),1,0)</f>
        <v>0</v>
      </c>
    </row>
    <row r="177" spans="1:24" x14ac:dyDescent="0.2">
      <c r="A177">
        <f>Arrivals!A177</f>
        <v>2</v>
      </c>
      <c r="B177">
        <f>Arrivals!B177</f>
        <v>52</v>
      </c>
      <c r="C177" s="6">
        <f>Arrivals!F177</f>
        <v>389</v>
      </c>
      <c r="D177" s="6">
        <f>Arrivals!K177</f>
        <v>300</v>
      </c>
      <c r="E177" s="6">
        <f>D177*8/ACE_Input!S57+ACE_Input!T57</f>
        <v>24.02</v>
      </c>
      <c r="F177" s="6">
        <f t="shared" si="59"/>
        <v>389</v>
      </c>
      <c r="G177" s="6">
        <f t="shared" si="70"/>
        <v>1512.06</v>
      </c>
      <c r="H177" s="6">
        <f t="shared" si="60"/>
        <v>1512.06</v>
      </c>
      <c r="I177" s="6">
        <f>MOD(H177-Settings!$B$32,Settings!$B$33)</f>
        <v>72.059999999999945</v>
      </c>
      <c r="J177" s="6">
        <f>IF(I177&lt;Settings!$B$30,IF(Settings!$B$30-I177&gt;=E177,H177,H177+(Settings!$B$30-I177)+Settings!$B$31),H177+(Settings!$B$33-I177))</f>
        <v>1512.06</v>
      </c>
      <c r="K177" s="6">
        <f t="shared" si="61"/>
        <v>1536.08</v>
      </c>
      <c r="L177" s="6">
        <f t="shared" si="62"/>
        <v>1536.08</v>
      </c>
      <c r="M177" s="6">
        <f t="shared" si="71"/>
        <v>1513.1980297238902</v>
      </c>
      <c r="N177" s="6">
        <f t="shared" si="63"/>
        <v>1536.08</v>
      </c>
      <c r="O177" s="6">
        <f>Arrivals!I177</f>
        <v>4.4257291977470716</v>
      </c>
      <c r="P177" s="6">
        <f t="shared" si="64"/>
        <v>1540.5057291977471</v>
      </c>
      <c r="Q177" s="6">
        <f t="shared" si="65"/>
        <v>1151.5057291977471</v>
      </c>
      <c r="R177" s="6">
        <f t="shared" si="66"/>
        <v>1123.06</v>
      </c>
      <c r="S177" s="6">
        <f t="shared" si="67"/>
        <v>0</v>
      </c>
      <c r="T177" s="6">
        <f t="shared" si="68"/>
        <v>0</v>
      </c>
      <c r="U177" s="6">
        <f t="shared" si="69"/>
        <v>1123.06</v>
      </c>
      <c r="V177" s="6" t="str">
        <f>IF(MOD(C177-Settings!$B$32,Settings!$B$33)&lt;Settings!$B$30,"Up","Down")</f>
        <v>Up</v>
      </c>
      <c r="W177" s="6">
        <f>IF(OR(E177&gt;Settings!$B$30,Q177&gt;Settings!$B$37),0,1)</f>
        <v>0</v>
      </c>
      <c r="X177" s="6">
        <f>IF(AND(W177=1,Q177&lt;=Settings!$B$36),1,0)</f>
        <v>0</v>
      </c>
    </row>
    <row r="178" spans="1:24" x14ac:dyDescent="0.2">
      <c r="A178">
        <f>Arrivals!A178</f>
        <v>2</v>
      </c>
      <c r="B178">
        <f>Arrivals!B178</f>
        <v>53</v>
      </c>
      <c r="C178" s="6">
        <f>Arrivals!F178</f>
        <v>394</v>
      </c>
      <c r="D178" s="6">
        <f>Arrivals!K178</f>
        <v>300</v>
      </c>
      <c r="E178" s="6">
        <f>D178*8/ACE_Input!S58+ACE_Input!T58</f>
        <v>24.02</v>
      </c>
      <c r="F178" s="6">
        <f t="shared" si="59"/>
        <v>394</v>
      </c>
      <c r="G178" s="6">
        <f t="shared" si="70"/>
        <v>1536.08</v>
      </c>
      <c r="H178" s="6">
        <f t="shared" si="60"/>
        <v>1536.08</v>
      </c>
      <c r="I178" s="6">
        <f>MOD(H178-Settings!$B$32,Settings!$B$33)</f>
        <v>96.079999999999927</v>
      </c>
      <c r="J178" s="6">
        <f>IF(I178&lt;Settings!$B$30,IF(Settings!$B$30-I178&gt;=E178,H178,H178+(Settings!$B$30-I178)+Settings!$B$31),H178+(Settings!$B$33-I178))</f>
        <v>1536.08</v>
      </c>
      <c r="K178" s="6">
        <f t="shared" si="61"/>
        <v>1560.1</v>
      </c>
      <c r="L178" s="6">
        <f t="shared" si="62"/>
        <v>1560.1</v>
      </c>
      <c r="M178" s="6">
        <f t="shared" si="71"/>
        <v>1540.5057291977471</v>
      </c>
      <c r="N178" s="6">
        <f t="shared" si="63"/>
        <v>1560.1</v>
      </c>
      <c r="O178" s="6">
        <f>Arrivals!I178</f>
        <v>1.46182943776314</v>
      </c>
      <c r="P178" s="6">
        <f t="shared" si="64"/>
        <v>1561.561829437763</v>
      </c>
      <c r="Q178" s="6">
        <f t="shared" si="65"/>
        <v>1167.561829437763</v>
      </c>
      <c r="R178" s="6">
        <f t="shared" si="66"/>
        <v>1142.08</v>
      </c>
      <c r="S178" s="6">
        <f t="shared" si="67"/>
        <v>0</v>
      </c>
      <c r="T178" s="6">
        <f t="shared" si="68"/>
        <v>0</v>
      </c>
      <c r="U178" s="6">
        <f t="shared" si="69"/>
        <v>1142.08</v>
      </c>
      <c r="V178" s="6" t="str">
        <f>IF(MOD(C178-Settings!$B$32,Settings!$B$33)&lt;Settings!$B$30,"Up","Down")</f>
        <v>Up</v>
      </c>
      <c r="W178" s="6">
        <f>IF(OR(E178&gt;Settings!$B$30,Q178&gt;Settings!$B$37),0,1)</f>
        <v>0</v>
      </c>
      <c r="X178" s="6">
        <f>IF(AND(W178=1,Q178&lt;=Settings!$B$36),1,0)</f>
        <v>0</v>
      </c>
    </row>
    <row r="179" spans="1:24" x14ac:dyDescent="0.2">
      <c r="A179">
        <f>Arrivals!A179</f>
        <v>2</v>
      </c>
      <c r="B179">
        <f>Arrivals!B179</f>
        <v>54</v>
      </c>
      <c r="C179" s="6">
        <f>Arrivals!F179</f>
        <v>399</v>
      </c>
      <c r="D179" s="6">
        <f>Arrivals!K179</f>
        <v>300</v>
      </c>
      <c r="E179" s="6">
        <f>D179*8/ACE_Input!S59+ACE_Input!T59</f>
        <v>24.02</v>
      </c>
      <c r="F179" s="6">
        <f t="shared" si="59"/>
        <v>399</v>
      </c>
      <c r="G179" s="6">
        <f t="shared" si="70"/>
        <v>1560.1</v>
      </c>
      <c r="H179" s="6">
        <f t="shared" si="60"/>
        <v>1560.1</v>
      </c>
      <c r="I179" s="6">
        <f>MOD(H179-Settings!$B$32,Settings!$B$33)</f>
        <v>120.09999999999991</v>
      </c>
      <c r="J179" s="6">
        <f>IF(I179&lt;Settings!$B$30,IF(Settings!$B$30-I179&gt;=E179,H179,H179+(Settings!$B$30-I179)+Settings!$B$31),H179+(Settings!$B$33-I179))</f>
        <v>1560.1</v>
      </c>
      <c r="K179" s="6">
        <f t="shared" si="61"/>
        <v>1584.12</v>
      </c>
      <c r="L179" s="6">
        <f t="shared" si="62"/>
        <v>1584.12</v>
      </c>
      <c r="M179" s="6">
        <f t="shared" si="71"/>
        <v>1561.561829437763</v>
      </c>
      <c r="N179" s="6">
        <f t="shared" si="63"/>
        <v>1584.12</v>
      </c>
      <c r="O179" s="6">
        <f>Arrivals!I179</f>
        <v>14.280444078608712</v>
      </c>
      <c r="P179" s="6">
        <f t="shared" si="64"/>
        <v>1598.4004440786086</v>
      </c>
      <c r="Q179" s="6">
        <f t="shared" si="65"/>
        <v>1199.4004440786086</v>
      </c>
      <c r="R179" s="6">
        <f t="shared" si="66"/>
        <v>1161.0999999999999</v>
      </c>
      <c r="S179" s="6">
        <f t="shared" si="67"/>
        <v>0</v>
      </c>
      <c r="T179" s="6">
        <f t="shared" si="68"/>
        <v>0</v>
      </c>
      <c r="U179" s="6">
        <f t="shared" si="69"/>
        <v>1161.0999999999999</v>
      </c>
      <c r="V179" s="6" t="str">
        <f>IF(MOD(C179-Settings!$B$32,Settings!$B$33)&lt;Settings!$B$30,"Up","Down")</f>
        <v>Up</v>
      </c>
      <c r="W179" s="6">
        <f>IF(OR(E179&gt;Settings!$B$30,Q179&gt;Settings!$B$37),0,1)</f>
        <v>0</v>
      </c>
      <c r="X179" s="6">
        <f>IF(AND(W179=1,Q179&lt;=Settings!$B$36),1,0)</f>
        <v>0</v>
      </c>
    </row>
    <row r="180" spans="1:24" x14ac:dyDescent="0.2">
      <c r="A180">
        <f>Arrivals!A180</f>
        <v>2</v>
      </c>
      <c r="B180">
        <f>Arrivals!B180</f>
        <v>55</v>
      </c>
      <c r="C180" s="6">
        <f>Arrivals!F180</f>
        <v>404</v>
      </c>
      <c r="D180" s="6">
        <f>Arrivals!K180</f>
        <v>300</v>
      </c>
      <c r="E180" s="6">
        <f>D180*8/ACE_Input!S60+ACE_Input!T60</f>
        <v>24.02</v>
      </c>
      <c r="F180" s="6">
        <f t="shared" si="59"/>
        <v>404</v>
      </c>
      <c r="G180" s="6">
        <f t="shared" si="70"/>
        <v>1584.12</v>
      </c>
      <c r="H180" s="6">
        <f t="shared" si="60"/>
        <v>1584.12</v>
      </c>
      <c r="I180" s="6">
        <f>MOD(H180-Settings!$B$32,Settings!$B$33)</f>
        <v>144.11999999999989</v>
      </c>
      <c r="J180" s="6">
        <f>IF(I180&lt;Settings!$B$30,IF(Settings!$B$30-I180&gt;=E180,H180,H180+(Settings!$B$30-I180)+Settings!$B$31),H180+(Settings!$B$33-I180))</f>
        <v>1584.12</v>
      </c>
      <c r="K180" s="6">
        <f t="shared" si="61"/>
        <v>1608.1399999999999</v>
      </c>
      <c r="L180" s="6">
        <f t="shared" si="62"/>
        <v>1608.1399999999999</v>
      </c>
      <c r="M180" s="6">
        <f t="shared" si="71"/>
        <v>1598.4004440786086</v>
      </c>
      <c r="N180" s="6">
        <f t="shared" si="63"/>
        <v>1608.1399999999999</v>
      </c>
      <c r="O180" s="6">
        <f>Arrivals!I180</f>
        <v>7.2584871292216615</v>
      </c>
      <c r="P180" s="6">
        <f t="shared" si="64"/>
        <v>1615.3984871292216</v>
      </c>
      <c r="Q180" s="6">
        <f t="shared" si="65"/>
        <v>1211.3984871292216</v>
      </c>
      <c r="R180" s="6">
        <f t="shared" si="66"/>
        <v>1180.1199999999999</v>
      </c>
      <c r="S180" s="6">
        <f t="shared" si="67"/>
        <v>0</v>
      </c>
      <c r="T180" s="6">
        <f t="shared" si="68"/>
        <v>0</v>
      </c>
      <c r="U180" s="6">
        <f t="shared" si="69"/>
        <v>1180.1199999999999</v>
      </c>
      <c r="V180" s="6" t="str">
        <f>IF(MOD(C180-Settings!$B$32,Settings!$B$33)&lt;Settings!$B$30,"Up","Down")</f>
        <v>Up</v>
      </c>
      <c r="W180" s="6">
        <f>IF(OR(E180&gt;Settings!$B$30,Q180&gt;Settings!$B$37),0,1)</f>
        <v>0</v>
      </c>
      <c r="X180" s="6">
        <f>IF(AND(W180=1,Q180&lt;=Settings!$B$36),1,0)</f>
        <v>0</v>
      </c>
    </row>
    <row r="181" spans="1:24" x14ac:dyDescent="0.2">
      <c r="A181">
        <f>Arrivals!A181</f>
        <v>2</v>
      </c>
      <c r="B181">
        <f>Arrivals!B181</f>
        <v>56</v>
      </c>
      <c r="C181" s="6">
        <f>Arrivals!F181</f>
        <v>409</v>
      </c>
      <c r="D181" s="6">
        <f>Arrivals!K181</f>
        <v>300</v>
      </c>
      <c r="E181" s="6">
        <f>D181*8/ACE_Input!S61+ACE_Input!T61</f>
        <v>24.02</v>
      </c>
      <c r="F181" s="6">
        <f t="shared" si="59"/>
        <v>409</v>
      </c>
      <c r="G181" s="6">
        <f t="shared" si="70"/>
        <v>1608.1399999999999</v>
      </c>
      <c r="H181" s="6">
        <f t="shared" si="60"/>
        <v>1608.1399999999999</v>
      </c>
      <c r="I181" s="6">
        <f>MOD(H181-Settings!$B$32,Settings!$B$33)</f>
        <v>168.13999999999987</v>
      </c>
      <c r="J181" s="6">
        <f>IF(I181&lt;Settings!$B$30,IF(Settings!$B$30-I181&gt;=E181,H181,H181+(Settings!$B$30-I181)+Settings!$B$31),H181+(Settings!$B$33-I181))</f>
        <v>1608.1399999999999</v>
      </c>
      <c r="K181" s="6">
        <f t="shared" si="61"/>
        <v>1632.1599999999999</v>
      </c>
      <c r="L181" s="6">
        <f t="shared" si="62"/>
        <v>1632.1599999999999</v>
      </c>
      <c r="M181" s="6">
        <f t="shared" si="71"/>
        <v>1615.3984871292216</v>
      </c>
      <c r="N181" s="6">
        <f t="shared" si="63"/>
        <v>1632.1599999999999</v>
      </c>
      <c r="O181" s="6">
        <f>Arrivals!I181</f>
        <v>0.64051256879846064</v>
      </c>
      <c r="P181" s="6">
        <f t="shared" si="64"/>
        <v>1632.8005125687982</v>
      </c>
      <c r="Q181" s="6">
        <f t="shared" si="65"/>
        <v>1223.8005125687982</v>
      </c>
      <c r="R181" s="6">
        <f t="shared" si="66"/>
        <v>1199.1399999999999</v>
      </c>
      <c r="S181" s="6">
        <f t="shared" si="67"/>
        <v>0</v>
      </c>
      <c r="T181" s="6">
        <f t="shared" si="68"/>
        <v>0</v>
      </c>
      <c r="U181" s="6">
        <f t="shared" si="69"/>
        <v>1199.1399999999999</v>
      </c>
      <c r="V181" s="6" t="str">
        <f>IF(MOD(C181-Settings!$B$32,Settings!$B$33)&lt;Settings!$B$30,"Up","Down")</f>
        <v>Up</v>
      </c>
      <c r="W181" s="6">
        <f>IF(OR(E181&gt;Settings!$B$30,Q181&gt;Settings!$B$37),0,1)</f>
        <v>0</v>
      </c>
      <c r="X181" s="6">
        <f>IF(AND(W181=1,Q181&lt;=Settings!$B$36),1,0)</f>
        <v>0</v>
      </c>
    </row>
    <row r="182" spans="1:24" x14ac:dyDescent="0.2">
      <c r="A182">
        <f>Arrivals!A182</f>
        <v>2</v>
      </c>
      <c r="B182">
        <f>Arrivals!B182</f>
        <v>57</v>
      </c>
      <c r="C182" s="6">
        <f>Arrivals!F182</f>
        <v>414</v>
      </c>
      <c r="D182" s="6">
        <f>Arrivals!K182</f>
        <v>300</v>
      </c>
      <c r="E182" s="6">
        <f>D182*8/ACE_Input!S62+ACE_Input!T62</f>
        <v>24.02</v>
      </c>
      <c r="F182" s="6">
        <f t="shared" si="59"/>
        <v>414</v>
      </c>
      <c r="G182" s="6">
        <f t="shared" si="70"/>
        <v>1632.1599999999999</v>
      </c>
      <c r="H182" s="6">
        <f t="shared" si="60"/>
        <v>1632.1599999999999</v>
      </c>
      <c r="I182" s="6">
        <f>MOD(H182-Settings!$B$32,Settings!$B$33)</f>
        <v>192.15999999999985</v>
      </c>
      <c r="J182" s="6">
        <f>IF(I182&lt;Settings!$B$30,IF(Settings!$B$30-I182&gt;=E182,H182,H182+(Settings!$B$30-I182)+Settings!$B$31),H182+(Settings!$B$33-I182))</f>
        <v>1632.1599999999999</v>
      </c>
      <c r="K182" s="6">
        <f t="shared" si="61"/>
        <v>1656.1799999999998</v>
      </c>
      <c r="L182" s="6">
        <f t="shared" si="62"/>
        <v>1656.1799999999998</v>
      </c>
      <c r="M182" s="6">
        <f t="shared" si="71"/>
        <v>1632.8005125687982</v>
      </c>
      <c r="N182" s="6">
        <f t="shared" si="63"/>
        <v>1656.1799999999998</v>
      </c>
      <c r="O182" s="6">
        <f>Arrivals!I182</f>
        <v>7.7095297178943483</v>
      </c>
      <c r="P182" s="6">
        <f t="shared" si="64"/>
        <v>1663.8895297178942</v>
      </c>
      <c r="Q182" s="6">
        <f t="shared" si="65"/>
        <v>1249.8895297178942</v>
      </c>
      <c r="R182" s="6">
        <f t="shared" si="66"/>
        <v>1218.1599999999999</v>
      </c>
      <c r="S182" s="6">
        <f t="shared" si="67"/>
        <v>0</v>
      </c>
      <c r="T182" s="6">
        <f t="shared" si="68"/>
        <v>0</v>
      </c>
      <c r="U182" s="6">
        <f t="shared" si="69"/>
        <v>1218.1599999999999</v>
      </c>
      <c r="V182" s="6" t="str">
        <f>IF(MOD(C182-Settings!$B$32,Settings!$B$33)&lt;Settings!$B$30,"Up","Down")</f>
        <v>Up</v>
      </c>
      <c r="W182" s="6">
        <f>IF(OR(E182&gt;Settings!$B$30,Q182&gt;Settings!$B$37),0,1)</f>
        <v>0</v>
      </c>
      <c r="X182" s="6">
        <f>IF(AND(W182=1,Q182&lt;=Settings!$B$36),1,0)</f>
        <v>0</v>
      </c>
    </row>
    <row r="183" spans="1:24" x14ac:dyDescent="0.2">
      <c r="A183">
        <f>Arrivals!A183</f>
        <v>2</v>
      </c>
      <c r="B183">
        <f>Arrivals!B183</f>
        <v>58</v>
      </c>
      <c r="C183" s="6">
        <f>Arrivals!F183</f>
        <v>419</v>
      </c>
      <c r="D183" s="6">
        <f>Arrivals!K183</f>
        <v>300</v>
      </c>
      <c r="E183" s="6">
        <f>D183*8/ACE_Input!S63+ACE_Input!T63</f>
        <v>24.02</v>
      </c>
      <c r="F183" s="6">
        <f t="shared" si="59"/>
        <v>419</v>
      </c>
      <c r="G183" s="6">
        <f t="shared" si="70"/>
        <v>1656.1799999999998</v>
      </c>
      <c r="H183" s="6">
        <f t="shared" si="60"/>
        <v>1656.1799999999998</v>
      </c>
      <c r="I183" s="6">
        <f>MOD(H183-Settings!$B$32,Settings!$B$33)</f>
        <v>216.17999999999984</v>
      </c>
      <c r="J183" s="6">
        <f>IF(I183&lt;Settings!$B$30,IF(Settings!$B$30-I183&gt;=E183,H183,H183+(Settings!$B$30-I183)+Settings!$B$31),H183+(Settings!$B$33-I183))</f>
        <v>1656.1799999999998</v>
      </c>
      <c r="K183" s="6">
        <f t="shared" si="61"/>
        <v>1680.1999999999998</v>
      </c>
      <c r="L183" s="6">
        <f t="shared" si="62"/>
        <v>1680.1999999999998</v>
      </c>
      <c r="M183" s="6">
        <f t="shared" si="71"/>
        <v>1663.8895297178942</v>
      </c>
      <c r="N183" s="6">
        <f t="shared" si="63"/>
        <v>1680.1999999999998</v>
      </c>
      <c r="O183" s="6">
        <f>Arrivals!I183</f>
        <v>0.42270906541643688</v>
      </c>
      <c r="P183" s="6">
        <f t="shared" si="64"/>
        <v>1680.6227090654163</v>
      </c>
      <c r="Q183" s="6">
        <f t="shared" si="65"/>
        <v>1261.6227090654163</v>
      </c>
      <c r="R183" s="6">
        <f t="shared" si="66"/>
        <v>1237.1799999999998</v>
      </c>
      <c r="S183" s="6">
        <f t="shared" si="67"/>
        <v>0</v>
      </c>
      <c r="T183" s="6">
        <f t="shared" si="68"/>
        <v>0</v>
      </c>
      <c r="U183" s="6">
        <f t="shared" si="69"/>
        <v>1237.1799999999998</v>
      </c>
      <c r="V183" s="6" t="str">
        <f>IF(MOD(C183-Settings!$B$32,Settings!$B$33)&lt;Settings!$B$30,"Up","Down")</f>
        <v>Up</v>
      </c>
      <c r="W183" s="6">
        <f>IF(OR(E183&gt;Settings!$B$30,Q183&gt;Settings!$B$37),0,1)</f>
        <v>0</v>
      </c>
      <c r="X183" s="6">
        <f>IF(AND(W183=1,Q183&lt;=Settings!$B$36),1,0)</f>
        <v>0</v>
      </c>
    </row>
    <row r="184" spans="1:24" x14ac:dyDescent="0.2">
      <c r="A184">
        <f>Arrivals!A184</f>
        <v>2</v>
      </c>
      <c r="B184">
        <f>Arrivals!B184</f>
        <v>59</v>
      </c>
      <c r="C184" s="6">
        <f>Arrivals!F184</f>
        <v>424</v>
      </c>
      <c r="D184" s="6">
        <f>Arrivals!K184</f>
        <v>300</v>
      </c>
      <c r="E184" s="6">
        <f>D184*8/ACE_Input!S64+ACE_Input!T64</f>
        <v>24.02</v>
      </c>
      <c r="F184" s="6">
        <f t="shared" si="59"/>
        <v>424</v>
      </c>
      <c r="G184" s="6">
        <f t="shared" si="70"/>
        <v>1680.1999999999998</v>
      </c>
      <c r="H184" s="6">
        <f t="shared" si="60"/>
        <v>1680.1999999999998</v>
      </c>
      <c r="I184" s="6">
        <f>MOD(H184-Settings!$B$32,Settings!$B$33)</f>
        <v>240.19999999999982</v>
      </c>
      <c r="J184" s="6">
        <f>IF(I184&lt;Settings!$B$30,IF(Settings!$B$30-I184&gt;=E184,H184,H184+(Settings!$B$30-I184)+Settings!$B$31),H184+(Settings!$B$33-I184))</f>
        <v>1680.1999999999998</v>
      </c>
      <c r="K184" s="6">
        <f t="shared" si="61"/>
        <v>1704.2199999999998</v>
      </c>
      <c r="L184" s="6">
        <f t="shared" si="62"/>
        <v>1704.2199999999998</v>
      </c>
      <c r="M184" s="6">
        <f t="shared" si="71"/>
        <v>1680.6227090654163</v>
      </c>
      <c r="N184" s="6">
        <f t="shared" si="63"/>
        <v>1704.2199999999998</v>
      </c>
      <c r="O184" s="6">
        <f>Arrivals!I184</f>
        <v>2.6973591648985722</v>
      </c>
      <c r="P184" s="6">
        <f t="shared" si="64"/>
        <v>1706.9173591648985</v>
      </c>
      <c r="Q184" s="6">
        <f t="shared" si="65"/>
        <v>1282.9173591648985</v>
      </c>
      <c r="R184" s="6">
        <f t="shared" si="66"/>
        <v>1256.1999999999998</v>
      </c>
      <c r="S184" s="6">
        <f t="shared" si="67"/>
        <v>0</v>
      </c>
      <c r="T184" s="6">
        <f t="shared" si="68"/>
        <v>0</v>
      </c>
      <c r="U184" s="6">
        <f t="shared" si="69"/>
        <v>1256.1999999999998</v>
      </c>
      <c r="V184" s="6" t="str">
        <f>IF(MOD(C184-Settings!$B$32,Settings!$B$33)&lt;Settings!$B$30,"Up","Down")</f>
        <v>Up</v>
      </c>
      <c r="W184" s="6">
        <f>IF(OR(E184&gt;Settings!$B$30,Q184&gt;Settings!$B$37),0,1)</f>
        <v>0</v>
      </c>
      <c r="X184" s="6">
        <f>IF(AND(W184=1,Q184&lt;=Settings!$B$36),1,0)</f>
        <v>0</v>
      </c>
    </row>
    <row r="185" spans="1:24" x14ac:dyDescent="0.2">
      <c r="A185">
        <f>Arrivals!A185</f>
        <v>2</v>
      </c>
      <c r="B185">
        <f>Arrivals!B185</f>
        <v>60</v>
      </c>
      <c r="C185" s="6">
        <f>Arrivals!F185</f>
        <v>429</v>
      </c>
      <c r="D185" s="6">
        <f>Arrivals!K185</f>
        <v>300</v>
      </c>
      <c r="E185" s="6">
        <f>D185*8/ACE_Input!S65+ACE_Input!T65</f>
        <v>24.02</v>
      </c>
      <c r="F185" s="6">
        <f t="shared" si="59"/>
        <v>429</v>
      </c>
      <c r="G185" s="6">
        <f t="shared" si="70"/>
        <v>1704.2199999999998</v>
      </c>
      <c r="H185" s="6">
        <f t="shared" si="60"/>
        <v>1704.2199999999998</v>
      </c>
      <c r="I185" s="6">
        <f>MOD(H185-Settings!$B$32,Settings!$B$33)</f>
        <v>264.2199999999998</v>
      </c>
      <c r="J185" s="6">
        <f>IF(I185&lt;Settings!$B$30,IF(Settings!$B$30-I185&gt;=E185,H185,H185+(Settings!$B$30-I185)+Settings!$B$31),H185+(Settings!$B$33-I185))</f>
        <v>1704.2199999999998</v>
      </c>
      <c r="K185" s="6">
        <f t="shared" si="61"/>
        <v>1728.2399999999998</v>
      </c>
      <c r="L185" s="6">
        <f t="shared" si="62"/>
        <v>1728.2399999999998</v>
      </c>
      <c r="M185" s="6">
        <f t="shared" si="71"/>
        <v>1706.9173591648985</v>
      </c>
      <c r="N185" s="6">
        <f t="shared" si="63"/>
        <v>1728.2399999999998</v>
      </c>
      <c r="O185" s="6">
        <f>Arrivals!I185</f>
        <v>12.540730741480308</v>
      </c>
      <c r="P185" s="6">
        <f t="shared" si="64"/>
        <v>1740.7807307414801</v>
      </c>
      <c r="Q185" s="6">
        <f t="shared" si="65"/>
        <v>1311.7807307414801</v>
      </c>
      <c r="R185" s="6">
        <f t="shared" si="66"/>
        <v>1275.2199999999998</v>
      </c>
      <c r="S185" s="6">
        <f t="shared" si="67"/>
        <v>0</v>
      </c>
      <c r="T185" s="6">
        <f t="shared" si="68"/>
        <v>0</v>
      </c>
      <c r="U185" s="6">
        <f t="shared" si="69"/>
        <v>1275.2199999999998</v>
      </c>
      <c r="V185" s="6" t="str">
        <f>IF(MOD(C185-Settings!$B$32,Settings!$B$33)&lt;Settings!$B$30,"Up","Down")</f>
        <v>Up</v>
      </c>
      <c r="W185" s="6">
        <f>IF(OR(E185&gt;Settings!$B$30,Q185&gt;Settings!$B$37),0,1)</f>
        <v>0</v>
      </c>
      <c r="X185" s="6">
        <f>IF(AND(W185=1,Q185&lt;=Settings!$B$36),1,0)</f>
        <v>0</v>
      </c>
    </row>
    <row r="186" spans="1:24" x14ac:dyDescent="0.2">
      <c r="A186">
        <f>Arrivals!A186</f>
        <v>2</v>
      </c>
      <c r="B186">
        <f>Arrivals!B186</f>
        <v>61</v>
      </c>
      <c r="C186" s="6">
        <f>Arrivals!F186</f>
        <v>434</v>
      </c>
      <c r="D186" s="6">
        <f>Arrivals!K186</f>
        <v>300</v>
      </c>
      <c r="E186" s="6">
        <f>D186*8/ACE_Input!S66+ACE_Input!T66</f>
        <v>24.02</v>
      </c>
      <c r="F186" s="6">
        <f t="shared" si="59"/>
        <v>434</v>
      </c>
      <c r="G186" s="6">
        <f t="shared" si="70"/>
        <v>1728.2399999999998</v>
      </c>
      <c r="H186" s="6">
        <f t="shared" si="60"/>
        <v>1728.2399999999998</v>
      </c>
      <c r="I186" s="6">
        <f>MOD(H186-Settings!$B$32,Settings!$B$33)</f>
        <v>288.23999999999978</v>
      </c>
      <c r="J186" s="6">
        <f>IF(I186&lt;Settings!$B$30,IF(Settings!$B$30-I186&gt;=E186,H186,H186+(Settings!$B$30-I186)+Settings!$B$31),H186+(Settings!$B$33-I186))</f>
        <v>1728.2399999999998</v>
      </c>
      <c r="K186" s="6">
        <f t="shared" si="61"/>
        <v>1752.2599999999998</v>
      </c>
      <c r="L186" s="6">
        <f t="shared" si="62"/>
        <v>1752.2599999999998</v>
      </c>
      <c r="M186" s="6">
        <f t="shared" si="71"/>
        <v>1740.7807307414801</v>
      </c>
      <c r="N186" s="6">
        <f t="shared" si="63"/>
        <v>1752.2599999999998</v>
      </c>
      <c r="O186" s="6">
        <f>Arrivals!I186</f>
        <v>0.13499879947184287</v>
      </c>
      <c r="P186" s="6">
        <f t="shared" si="64"/>
        <v>1752.3949987994715</v>
      </c>
      <c r="Q186" s="6">
        <f t="shared" si="65"/>
        <v>1318.3949987994715</v>
      </c>
      <c r="R186" s="6">
        <f t="shared" si="66"/>
        <v>1294.2399999999998</v>
      </c>
      <c r="S186" s="6">
        <f t="shared" si="67"/>
        <v>0</v>
      </c>
      <c r="T186" s="6">
        <f t="shared" si="68"/>
        <v>0</v>
      </c>
      <c r="U186" s="6">
        <f t="shared" si="69"/>
        <v>1294.2399999999998</v>
      </c>
      <c r="V186" s="6" t="str">
        <f>IF(MOD(C186-Settings!$B$32,Settings!$B$33)&lt;Settings!$B$30,"Up","Down")</f>
        <v>Up</v>
      </c>
      <c r="W186" s="6">
        <f>IF(OR(E186&gt;Settings!$B$30,Q186&gt;Settings!$B$37),0,1)</f>
        <v>0</v>
      </c>
      <c r="X186" s="6">
        <f>IF(AND(W186=1,Q186&lt;=Settings!$B$36),1,0)</f>
        <v>0</v>
      </c>
    </row>
    <row r="187" spans="1:24" x14ac:dyDescent="0.2">
      <c r="A187">
        <f>Arrivals!A187</f>
        <v>2</v>
      </c>
      <c r="B187">
        <f>Arrivals!B187</f>
        <v>62</v>
      </c>
      <c r="C187" s="6">
        <f>Arrivals!F187</f>
        <v>439</v>
      </c>
      <c r="D187" s="6">
        <f>Arrivals!K187</f>
        <v>300</v>
      </c>
      <c r="E187" s="6">
        <f>D187*8/ACE_Input!S67+ACE_Input!T67</f>
        <v>24.02</v>
      </c>
      <c r="F187" s="6">
        <f t="shared" si="59"/>
        <v>439</v>
      </c>
      <c r="G187" s="6">
        <f t="shared" si="70"/>
        <v>1752.2599999999998</v>
      </c>
      <c r="H187" s="6">
        <f t="shared" si="60"/>
        <v>1752.2599999999998</v>
      </c>
      <c r="I187" s="6">
        <f>MOD(H187-Settings!$B$32,Settings!$B$33)</f>
        <v>312.25999999999976</v>
      </c>
      <c r="J187" s="6">
        <f>IF(I187&lt;Settings!$B$30,IF(Settings!$B$30-I187&gt;=E187,H187,H187+(Settings!$B$30-I187)+Settings!$B$31),H187+(Settings!$B$33-I187))</f>
        <v>1752.2599999999998</v>
      </c>
      <c r="K187" s="6">
        <f t="shared" si="61"/>
        <v>1776.2799999999997</v>
      </c>
      <c r="L187" s="6">
        <f t="shared" si="62"/>
        <v>1776.2799999999997</v>
      </c>
      <c r="M187" s="6">
        <f t="shared" si="71"/>
        <v>1752.3949987994715</v>
      </c>
      <c r="N187" s="6">
        <f t="shared" si="63"/>
        <v>1776.2799999999997</v>
      </c>
      <c r="O187" s="6">
        <f>Arrivals!I187</f>
        <v>5.8105079944842153</v>
      </c>
      <c r="P187" s="6">
        <f t="shared" si="64"/>
        <v>1782.0905079944839</v>
      </c>
      <c r="Q187" s="6">
        <f t="shared" si="65"/>
        <v>1343.0905079944839</v>
      </c>
      <c r="R187" s="6">
        <f t="shared" si="66"/>
        <v>1313.2599999999998</v>
      </c>
      <c r="S187" s="6">
        <f t="shared" si="67"/>
        <v>0</v>
      </c>
      <c r="T187" s="6">
        <f t="shared" si="68"/>
        <v>0</v>
      </c>
      <c r="U187" s="6">
        <f t="shared" si="69"/>
        <v>1313.2599999999998</v>
      </c>
      <c r="V187" s="6" t="str">
        <f>IF(MOD(C187-Settings!$B$32,Settings!$B$33)&lt;Settings!$B$30,"Up","Down")</f>
        <v>Up</v>
      </c>
      <c r="W187" s="6">
        <f>IF(OR(E187&gt;Settings!$B$30,Q187&gt;Settings!$B$37),0,1)</f>
        <v>0</v>
      </c>
      <c r="X187" s="6">
        <f>IF(AND(W187=1,Q187&lt;=Settings!$B$36),1,0)</f>
        <v>0</v>
      </c>
    </row>
    <row r="188" spans="1:24" x14ac:dyDescent="0.2">
      <c r="A188">
        <f>Arrivals!A188</f>
        <v>2</v>
      </c>
      <c r="B188">
        <f>Arrivals!B188</f>
        <v>63</v>
      </c>
      <c r="C188" s="6">
        <f>Arrivals!F188</f>
        <v>444</v>
      </c>
      <c r="D188" s="6">
        <f>Arrivals!K188</f>
        <v>300</v>
      </c>
      <c r="E188" s="6">
        <f>D188*8/ACE_Input!S68+ACE_Input!T68</f>
        <v>24.02</v>
      </c>
      <c r="F188" s="6">
        <f t="shared" si="59"/>
        <v>444</v>
      </c>
      <c r="G188" s="6">
        <f t="shared" si="70"/>
        <v>1776.2799999999997</v>
      </c>
      <c r="H188" s="6">
        <f t="shared" si="60"/>
        <v>1776.2799999999997</v>
      </c>
      <c r="I188" s="6">
        <f>MOD(H188-Settings!$B$32,Settings!$B$33)</f>
        <v>336.27999999999975</v>
      </c>
      <c r="J188" s="6">
        <f>IF(I188&lt;Settings!$B$30,IF(Settings!$B$30-I188&gt;=E188,H188,H188+(Settings!$B$30-I188)+Settings!$B$31),H188+(Settings!$B$33-I188))</f>
        <v>1776.2799999999997</v>
      </c>
      <c r="K188" s="6">
        <f t="shared" si="61"/>
        <v>1800.2999999999997</v>
      </c>
      <c r="L188" s="6">
        <f t="shared" si="62"/>
        <v>1800.2999999999997</v>
      </c>
      <c r="M188" s="6">
        <f t="shared" si="71"/>
        <v>1782.0905079944839</v>
      </c>
      <c r="N188" s="6">
        <f t="shared" si="63"/>
        <v>1800.2999999999997</v>
      </c>
      <c r="O188" s="6">
        <f>Arrivals!I188</f>
        <v>10.118730061219519</v>
      </c>
      <c r="P188" s="6">
        <f t="shared" si="64"/>
        <v>1810.4187300612193</v>
      </c>
      <c r="Q188" s="6">
        <f t="shared" si="65"/>
        <v>1366.4187300612193</v>
      </c>
      <c r="R188" s="6">
        <f t="shared" si="66"/>
        <v>1332.2799999999997</v>
      </c>
      <c r="S188" s="6">
        <f t="shared" si="67"/>
        <v>0</v>
      </c>
      <c r="T188" s="6">
        <f t="shared" si="68"/>
        <v>0</v>
      </c>
      <c r="U188" s="6">
        <f t="shared" si="69"/>
        <v>1332.2799999999997</v>
      </c>
      <c r="V188" s="6" t="str">
        <f>IF(MOD(C188-Settings!$B$32,Settings!$B$33)&lt;Settings!$B$30,"Up","Down")</f>
        <v>Up</v>
      </c>
      <c r="W188" s="6">
        <f>IF(OR(E188&gt;Settings!$B$30,Q188&gt;Settings!$B$37),0,1)</f>
        <v>0</v>
      </c>
      <c r="X188" s="6">
        <f>IF(AND(W188=1,Q188&lt;=Settings!$B$36),1,0)</f>
        <v>0</v>
      </c>
    </row>
    <row r="189" spans="1:24" x14ac:dyDescent="0.2">
      <c r="A189">
        <f>Arrivals!A189</f>
        <v>2</v>
      </c>
      <c r="B189">
        <f>Arrivals!B189</f>
        <v>64</v>
      </c>
      <c r="C189" s="6">
        <f>Arrivals!F189</f>
        <v>449</v>
      </c>
      <c r="D189" s="6">
        <f>Arrivals!K189</f>
        <v>300</v>
      </c>
      <c r="E189" s="6">
        <f>D189*8/ACE_Input!S69+ACE_Input!T69</f>
        <v>24.02</v>
      </c>
      <c r="F189" s="6">
        <f t="shared" si="59"/>
        <v>449</v>
      </c>
      <c r="G189" s="6">
        <f t="shared" si="70"/>
        <v>1800.2999999999997</v>
      </c>
      <c r="H189" s="6">
        <f t="shared" si="60"/>
        <v>1800.2999999999997</v>
      </c>
      <c r="I189" s="6">
        <f>MOD(H189-Settings!$B$32,Settings!$B$33)</f>
        <v>360.29999999999973</v>
      </c>
      <c r="J189" s="6">
        <f>IF(I189&lt;Settings!$B$30,IF(Settings!$B$30-I189&gt;=E189,H189,H189+(Settings!$B$30-I189)+Settings!$B$31),H189+(Settings!$B$33-I189))</f>
        <v>1800.2999999999997</v>
      </c>
      <c r="K189" s="6">
        <f t="shared" si="61"/>
        <v>1824.3199999999997</v>
      </c>
      <c r="L189" s="6">
        <f t="shared" si="62"/>
        <v>1824.3199999999997</v>
      </c>
      <c r="M189" s="6">
        <f t="shared" si="71"/>
        <v>1810.4187300612193</v>
      </c>
      <c r="N189" s="6">
        <f t="shared" si="63"/>
        <v>1824.3199999999997</v>
      </c>
      <c r="O189" s="6">
        <f>Arrivals!I189</f>
        <v>5.4772897277627539</v>
      </c>
      <c r="P189" s="6">
        <f t="shared" si="64"/>
        <v>1829.7972897277625</v>
      </c>
      <c r="Q189" s="6">
        <f t="shared" si="65"/>
        <v>1380.7972897277625</v>
      </c>
      <c r="R189" s="6">
        <f t="shared" si="66"/>
        <v>1351.2999999999997</v>
      </c>
      <c r="S189" s="6">
        <f t="shared" si="67"/>
        <v>0</v>
      </c>
      <c r="T189" s="6">
        <f t="shared" si="68"/>
        <v>0</v>
      </c>
      <c r="U189" s="6">
        <f t="shared" si="69"/>
        <v>1351.2999999999997</v>
      </c>
      <c r="V189" s="6" t="str">
        <f>IF(MOD(C189-Settings!$B$32,Settings!$B$33)&lt;Settings!$B$30,"Up","Down")</f>
        <v>Up</v>
      </c>
      <c r="W189" s="6">
        <f>IF(OR(E189&gt;Settings!$B$30,Q189&gt;Settings!$B$37),0,1)</f>
        <v>0</v>
      </c>
      <c r="X189" s="6">
        <f>IF(AND(W189=1,Q189&lt;=Settings!$B$36),1,0)</f>
        <v>0</v>
      </c>
    </row>
    <row r="190" spans="1:24" x14ac:dyDescent="0.2">
      <c r="A190">
        <f>Arrivals!A190</f>
        <v>2</v>
      </c>
      <c r="B190">
        <f>Arrivals!B190</f>
        <v>65</v>
      </c>
      <c r="C190" s="6">
        <f>Arrivals!F190</f>
        <v>454</v>
      </c>
      <c r="D190" s="6">
        <f>Arrivals!K190</f>
        <v>300</v>
      </c>
      <c r="E190" s="6">
        <f>D190*8/ACE_Input!S70+ACE_Input!T70</f>
        <v>24.02</v>
      </c>
      <c r="F190" s="6">
        <f t="shared" ref="F190:F225" si="72">C190</f>
        <v>454</v>
      </c>
      <c r="G190" s="6">
        <f t="shared" si="70"/>
        <v>1824.3199999999997</v>
      </c>
      <c r="H190" s="6">
        <f t="shared" ref="H190:H221" si="73">MAX(F190,G190)</f>
        <v>1824.3199999999997</v>
      </c>
      <c r="I190" s="6">
        <f>MOD(H190-Settings!$B$32,Settings!$B$33)</f>
        <v>384.31999999999971</v>
      </c>
      <c r="J190" s="6">
        <f>IF(I190&lt;Settings!$B$30,IF(Settings!$B$30-I190&gt;=E190,H190,H190+(Settings!$B$30-I190)+Settings!$B$31),H190+(Settings!$B$33-I190))</f>
        <v>1824.3199999999997</v>
      </c>
      <c r="K190" s="6">
        <f t="shared" ref="K190:K221" si="74">J190+E190</f>
        <v>1848.3399999999997</v>
      </c>
      <c r="L190" s="6">
        <f t="shared" ref="L190:L221" si="75">K190</f>
        <v>1848.3399999999997</v>
      </c>
      <c r="M190" s="6">
        <f t="shared" si="71"/>
        <v>1829.7972897277625</v>
      </c>
      <c r="N190" s="6">
        <f t="shared" ref="N190:N221" si="76">MAX(L190,M190)</f>
        <v>1848.3399999999997</v>
      </c>
      <c r="O190" s="6">
        <f>Arrivals!I190</f>
        <v>1.5995768539468753</v>
      </c>
      <c r="P190" s="6">
        <f t="shared" ref="P190:P221" si="77">N190+O190</f>
        <v>1849.9395768539466</v>
      </c>
      <c r="Q190" s="6">
        <f t="shared" ref="Q190:Q221" si="78">P190-C190</f>
        <v>1395.9395768539466</v>
      </c>
      <c r="R190" s="6">
        <f t="shared" ref="R190:R225" si="79">H190-F190</f>
        <v>1370.3199999999997</v>
      </c>
      <c r="S190" s="6">
        <f t="shared" ref="S190:S225" si="80">J190-H190</f>
        <v>0</v>
      </c>
      <c r="T190" s="6">
        <f t="shared" ref="T190:T225" si="81">N190-L190</f>
        <v>0</v>
      </c>
      <c r="U190" s="6">
        <f t="shared" ref="U190:U221" si="82">R190+S190+T190</f>
        <v>1370.3199999999997</v>
      </c>
      <c r="V190" s="6" t="str">
        <f>IF(MOD(C190-Settings!$B$32,Settings!$B$33)&lt;Settings!$B$30,"Up","Down")</f>
        <v>Up</v>
      </c>
      <c r="W190" s="6">
        <f>IF(OR(E190&gt;Settings!$B$30,Q190&gt;Settings!$B$37),0,1)</f>
        <v>0</v>
      </c>
      <c r="X190" s="6">
        <f>IF(AND(W190=1,Q190&lt;=Settings!$B$36),1,0)</f>
        <v>0</v>
      </c>
    </row>
    <row r="191" spans="1:24" x14ac:dyDescent="0.2">
      <c r="A191">
        <f>Arrivals!A191</f>
        <v>2</v>
      </c>
      <c r="B191">
        <f>Arrivals!B191</f>
        <v>66</v>
      </c>
      <c r="C191" s="6">
        <f>Arrivals!F191</f>
        <v>459</v>
      </c>
      <c r="D191" s="6">
        <f>Arrivals!K191</f>
        <v>300</v>
      </c>
      <c r="E191" s="6">
        <f>D191*8/ACE_Input!S71+ACE_Input!T71</f>
        <v>24.02</v>
      </c>
      <c r="F191" s="6">
        <f t="shared" si="72"/>
        <v>459</v>
      </c>
      <c r="G191" s="6">
        <f t="shared" ref="G191:G225" si="83">K190</f>
        <v>1848.3399999999997</v>
      </c>
      <c r="H191" s="6">
        <f t="shared" si="73"/>
        <v>1848.3399999999997</v>
      </c>
      <c r="I191" s="6">
        <f>MOD(H191-Settings!$B$32,Settings!$B$33)</f>
        <v>408.33999999999969</v>
      </c>
      <c r="J191" s="6">
        <f>IF(I191&lt;Settings!$B$30,IF(Settings!$B$30-I191&gt;=E191,H191,H191+(Settings!$B$30-I191)+Settings!$B$31),H191+(Settings!$B$33-I191))</f>
        <v>1848.3399999999997</v>
      </c>
      <c r="K191" s="6">
        <f t="shared" si="74"/>
        <v>1872.3599999999997</v>
      </c>
      <c r="L191" s="6">
        <f t="shared" si="75"/>
        <v>1872.3599999999997</v>
      </c>
      <c r="M191" s="6">
        <f t="shared" ref="M191:M225" si="84">P190</f>
        <v>1849.9395768539466</v>
      </c>
      <c r="N191" s="6">
        <f t="shared" si="76"/>
        <v>1872.3599999999997</v>
      </c>
      <c r="O191" s="6">
        <f>Arrivals!I191</f>
        <v>5.3748568710731721</v>
      </c>
      <c r="P191" s="6">
        <f t="shared" si="77"/>
        <v>1877.7348568710729</v>
      </c>
      <c r="Q191" s="6">
        <f t="shared" si="78"/>
        <v>1418.7348568710729</v>
      </c>
      <c r="R191" s="6">
        <f t="shared" si="79"/>
        <v>1389.3399999999997</v>
      </c>
      <c r="S191" s="6">
        <f t="shared" si="80"/>
        <v>0</v>
      </c>
      <c r="T191" s="6">
        <f t="shared" si="81"/>
        <v>0</v>
      </c>
      <c r="U191" s="6">
        <f t="shared" si="82"/>
        <v>1389.3399999999997</v>
      </c>
      <c r="V191" s="6" t="str">
        <f>IF(MOD(C191-Settings!$B$32,Settings!$B$33)&lt;Settings!$B$30,"Up","Down")</f>
        <v>Up</v>
      </c>
      <c r="W191" s="6">
        <f>IF(OR(E191&gt;Settings!$B$30,Q191&gt;Settings!$B$37),0,1)</f>
        <v>0</v>
      </c>
      <c r="X191" s="6">
        <f>IF(AND(W191=1,Q191&lt;=Settings!$B$36),1,0)</f>
        <v>0</v>
      </c>
    </row>
    <row r="192" spans="1:24" x14ac:dyDescent="0.2">
      <c r="A192">
        <f>Arrivals!A192</f>
        <v>2</v>
      </c>
      <c r="B192">
        <f>Arrivals!B192</f>
        <v>67</v>
      </c>
      <c r="C192" s="6">
        <f>Arrivals!F192</f>
        <v>474</v>
      </c>
      <c r="D192" s="6">
        <f>Arrivals!K192</f>
        <v>300</v>
      </c>
      <c r="E192" s="6">
        <f>D192*8/ACE_Input!S72+ACE_Input!T72</f>
        <v>24.02</v>
      </c>
      <c r="F192" s="6">
        <f t="shared" si="72"/>
        <v>474</v>
      </c>
      <c r="G192" s="6">
        <f t="shared" si="83"/>
        <v>1872.3599999999997</v>
      </c>
      <c r="H192" s="6">
        <f t="shared" si="73"/>
        <v>1872.3599999999997</v>
      </c>
      <c r="I192" s="6">
        <f>MOD(H192-Settings!$B$32,Settings!$B$33)</f>
        <v>432.35999999999967</v>
      </c>
      <c r="J192" s="6">
        <f>IF(I192&lt;Settings!$B$30,IF(Settings!$B$30-I192&gt;=E192,H192,H192+(Settings!$B$30-I192)+Settings!$B$31),H192+(Settings!$B$33-I192))</f>
        <v>1872.3599999999997</v>
      </c>
      <c r="K192" s="6">
        <f t="shared" si="74"/>
        <v>1896.3799999999997</v>
      </c>
      <c r="L192" s="6">
        <f t="shared" si="75"/>
        <v>1896.3799999999997</v>
      </c>
      <c r="M192" s="6">
        <f t="shared" si="84"/>
        <v>1877.7348568710729</v>
      </c>
      <c r="N192" s="6">
        <f t="shared" si="76"/>
        <v>1896.3799999999997</v>
      </c>
      <c r="O192" s="6">
        <f>Arrivals!I192</f>
        <v>2.5790184799081515</v>
      </c>
      <c r="P192" s="6">
        <f t="shared" si="77"/>
        <v>1898.9590184799079</v>
      </c>
      <c r="Q192" s="6">
        <f t="shared" si="78"/>
        <v>1424.9590184799079</v>
      </c>
      <c r="R192" s="6">
        <f t="shared" si="79"/>
        <v>1398.3599999999997</v>
      </c>
      <c r="S192" s="6">
        <f t="shared" si="80"/>
        <v>0</v>
      </c>
      <c r="T192" s="6">
        <f t="shared" si="81"/>
        <v>0</v>
      </c>
      <c r="U192" s="6">
        <f t="shared" si="82"/>
        <v>1398.3599999999997</v>
      </c>
      <c r="V192" s="6" t="str">
        <f>IF(MOD(C192-Settings!$B$32,Settings!$B$33)&lt;Settings!$B$30,"Up","Down")</f>
        <v>Up</v>
      </c>
      <c r="W192" s="6">
        <f>IF(OR(E192&gt;Settings!$B$30,Q192&gt;Settings!$B$37),0,1)</f>
        <v>0</v>
      </c>
      <c r="X192" s="6">
        <f>IF(AND(W192=1,Q192&lt;=Settings!$B$36),1,0)</f>
        <v>0</v>
      </c>
    </row>
    <row r="193" spans="1:24" x14ac:dyDescent="0.2">
      <c r="A193">
        <f>Arrivals!A193</f>
        <v>2</v>
      </c>
      <c r="B193">
        <f>Arrivals!B193</f>
        <v>68</v>
      </c>
      <c r="C193" s="6">
        <f>Arrivals!F193</f>
        <v>479</v>
      </c>
      <c r="D193" s="6">
        <f>Arrivals!K193</f>
        <v>300</v>
      </c>
      <c r="E193" s="6">
        <f>D193*8/ACE_Input!S73+ACE_Input!T73</f>
        <v>24.02</v>
      </c>
      <c r="F193" s="6">
        <f t="shared" si="72"/>
        <v>479</v>
      </c>
      <c r="G193" s="6">
        <f t="shared" si="83"/>
        <v>1896.3799999999997</v>
      </c>
      <c r="H193" s="6">
        <f t="shared" si="73"/>
        <v>1896.3799999999997</v>
      </c>
      <c r="I193" s="6">
        <f>MOD(H193-Settings!$B$32,Settings!$B$33)</f>
        <v>456.37999999999965</v>
      </c>
      <c r="J193" s="6">
        <f>IF(I193&lt;Settings!$B$30,IF(Settings!$B$30-I193&gt;=E193,H193,H193+(Settings!$B$30-I193)+Settings!$B$31),H193+(Settings!$B$33-I193))</f>
        <v>1896.3799999999997</v>
      </c>
      <c r="K193" s="6">
        <f t="shared" si="74"/>
        <v>1920.3999999999996</v>
      </c>
      <c r="L193" s="6">
        <f t="shared" si="75"/>
        <v>1920.3999999999996</v>
      </c>
      <c r="M193" s="6">
        <f t="shared" si="84"/>
        <v>1898.9590184799079</v>
      </c>
      <c r="N193" s="6">
        <f t="shared" si="76"/>
        <v>1920.3999999999996</v>
      </c>
      <c r="O193" s="6">
        <f>Arrivals!I193</f>
        <v>7.1501326304382227</v>
      </c>
      <c r="P193" s="6">
        <f t="shared" si="77"/>
        <v>1927.5501326304379</v>
      </c>
      <c r="Q193" s="6">
        <f t="shared" si="78"/>
        <v>1448.5501326304379</v>
      </c>
      <c r="R193" s="6">
        <f t="shared" si="79"/>
        <v>1417.3799999999997</v>
      </c>
      <c r="S193" s="6">
        <f t="shared" si="80"/>
        <v>0</v>
      </c>
      <c r="T193" s="6">
        <f t="shared" si="81"/>
        <v>0</v>
      </c>
      <c r="U193" s="6">
        <f t="shared" si="82"/>
        <v>1417.3799999999997</v>
      </c>
      <c r="V193" s="6" t="str">
        <f>IF(MOD(C193-Settings!$B$32,Settings!$B$33)&lt;Settings!$B$30,"Up","Down")</f>
        <v>Up</v>
      </c>
      <c r="W193" s="6">
        <f>IF(OR(E193&gt;Settings!$B$30,Q193&gt;Settings!$B$37),0,1)</f>
        <v>0</v>
      </c>
      <c r="X193" s="6">
        <f>IF(AND(W193=1,Q193&lt;=Settings!$B$36),1,0)</f>
        <v>0</v>
      </c>
    </row>
    <row r="194" spans="1:24" x14ac:dyDescent="0.2">
      <c r="A194">
        <f>Arrivals!A194</f>
        <v>2</v>
      </c>
      <c r="B194">
        <f>Arrivals!B194</f>
        <v>69</v>
      </c>
      <c r="C194" s="6">
        <f>Arrivals!F194</f>
        <v>494</v>
      </c>
      <c r="D194" s="6">
        <f>Arrivals!K194</f>
        <v>300</v>
      </c>
      <c r="E194" s="6">
        <f>D194*8/ACE_Input!S74+ACE_Input!T74</f>
        <v>24.02</v>
      </c>
      <c r="F194" s="6">
        <f t="shared" si="72"/>
        <v>494</v>
      </c>
      <c r="G194" s="6">
        <f t="shared" si="83"/>
        <v>1920.3999999999996</v>
      </c>
      <c r="H194" s="6">
        <f t="shared" si="73"/>
        <v>1920.3999999999996</v>
      </c>
      <c r="I194" s="6">
        <f>MOD(H194-Settings!$B$32,Settings!$B$33)</f>
        <v>480.39999999999964</v>
      </c>
      <c r="J194" s="6">
        <f>IF(I194&lt;Settings!$B$30,IF(Settings!$B$30-I194&gt;=E194,H194,H194+(Settings!$B$30-I194)+Settings!$B$31),H194+(Settings!$B$33-I194))</f>
        <v>1920.3999999999996</v>
      </c>
      <c r="K194" s="6">
        <f t="shared" si="74"/>
        <v>1944.4199999999996</v>
      </c>
      <c r="L194" s="6">
        <f t="shared" si="75"/>
        <v>1944.4199999999996</v>
      </c>
      <c r="M194" s="6">
        <f t="shared" si="84"/>
        <v>1927.5501326304379</v>
      </c>
      <c r="N194" s="6">
        <f t="shared" si="76"/>
        <v>1944.4199999999996</v>
      </c>
      <c r="O194" s="6">
        <f>Arrivals!I194</f>
        <v>13.983528512449585</v>
      </c>
      <c r="P194" s="6">
        <f t="shared" si="77"/>
        <v>1958.4035285124492</v>
      </c>
      <c r="Q194" s="6">
        <f t="shared" si="78"/>
        <v>1464.4035285124492</v>
      </c>
      <c r="R194" s="6">
        <f t="shared" si="79"/>
        <v>1426.3999999999996</v>
      </c>
      <c r="S194" s="6">
        <f t="shared" si="80"/>
        <v>0</v>
      </c>
      <c r="T194" s="6">
        <f t="shared" si="81"/>
        <v>0</v>
      </c>
      <c r="U194" s="6">
        <f t="shared" si="82"/>
        <v>1426.3999999999996</v>
      </c>
      <c r="V194" s="6" t="str">
        <f>IF(MOD(C194-Settings!$B$32,Settings!$B$33)&lt;Settings!$B$30,"Up","Down")</f>
        <v>Up</v>
      </c>
      <c r="W194" s="6">
        <f>IF(OR(E194&gt;Settings!$B$30,Q194&gt;Settings!$B$37),0,1)</f>
        <v>0</v>
      </c>
      <c r="X194" s="6">
        <f>IF(AND(W194=1,Q194&lt;=Settings!$B$36),1,0)</f>
        <v>0</v>
      </c>
    </row>
    <row r="195" spans="1:24" x14ac:dyDescent="0.2">
      <c r="A195">
        <f>Arrivals!A195</f>
        <v>2</v>
      </c>
      <c r="B195">
        <f>Arrivals!B195</f>
        <v>70</v>
      </c>
      <c r="C195" s="6">
        <f>Arrivals!F195</f>
        <v>499</v>
      </c>
      <c r="D195" s="6">
        <f>Arrivals!K195</f>
        <v>300</v>
      </c>
      <c r="E195" s="6">
        <f>D195*8/ACE_Input!S75+ACE_Input!T75</f>
        <v>24.02</v>
      </c>
      <c r="F195" s="6">
        <f t="shared" si="72"/>
        <v>499</v>
      </c>
      <c r="G195" s="6">
        <f t="shared" si="83"/>
        <v>1944.4199999999996</v>
      </c>
      <c r="H195" s="6">
        <f t="shared" si="73"/>
        <v>1944.4199999999996</v>
      </c>
      <c r="I195" s="6">
        <f>MOD(H195-Settings!$B$32,Settings!$B$33)</f>
        <v>504.41999999999962</v>
      </c>
      <c r="J195" s="6">
        <f>IF(I195&lt;Settings!$B$30,IF(Settings!$B$30-I195&gt;=E195,H195,H195+(Settings!$B$30-I195)+Settings!$B$31),H195+(Settings!$B$33-I195))</f>
        <v>1944.4199999999996</v>
      </c>
      <c r="K195" s="6">
        <f t="shared" si="74"/>
        <v>1968.4399999999996</v>
      </c>
      <c r="L195" s="6">
        <f t="shared" si="75"/>
        <v>1968.4399999999996</v>
      </c>
      <c r="M195" s="6">
        <f t="shared" si="84"/>
        <v>1958.4035285124492</v>
      </c>
      <c r="N195" s="6">
        <f t="shared" si="76"/>
        <v>1968.4399999999996</v>
      </c>
      <c r="O195" s="6">
        <f>Arrivals!I195</f>
        <v>1.9014154247056767</v>
      </c>
      <c r="P195" s="6">
        <f t="shared" si="77"/>
        <v>1970.3414154247052</v>
      </c>
      <c r="Q195" s="6">
        <f t="shared" si="78"/>
        <v>1471.3414154247052</v>
      </c>
      <c r="R195" s="6">
        <f t="shared" si="79"/>
        <v>1445.4199999999996</v>
      </c>
      <c r="S195" s="6">
        <f t="shared" si="80"/>
        <v>0</v>
      </c>
      <c r="T195" s="6">
        <f t="shared" si="81"/>
        <v>0</v>
      </c>
      <c r="U195" s="6">
        <f t="shared" si="82"/>
        <v>1445.4199999999996</v>
      </c>
      <c r="V195" s="6" t="str">
        <f>IF(MOD(C195-Settings!$B$32,Settings!$B$33)&lt;Settings!$B$30,"Up","Down")</f>
        <v>Up</v>
      </c>
      <c r="W195" s="6">
        <f>IF(OR(E195&gt;Settings!$B$30,Q195&gt;Settings!$B$37),0,1)</f>
        <v>0</v>
      </c>
      <c r="X195" s="6">
        <f>IF(AND(W195=1,Q195&lt;=Settings!$B$36),1,0)</f>
        <v>0</v>
      </c>
    </row>
    <row r="196" spans="1:24" x14ac:dyDescent="0.2">
      <c r="A196">
        <f>Arrivals!A196</f>
        <v>2</v>
      </c>
      <c r="B196">
        <f>Arrivals!B196</f>
        <v>71</v>
      </c>
      <c r="C196" s="6">
        <f>Arrivals!F196</f>
        <v>504</v>
      </c>
      <c r="D196" s="6">
        <f>Arrivals!K196</f>
        <v>300</v>
      </c>
      <c r="E196" s="6">
        <f>D196*8/ACE_Input!S76+ACE_Input!T76</f>
        <v>24.02</v>
      </c>
      <c r="F196" s="6">
        <f t="shared" si="72"/>
        <v>504</v>
      </c>
      <c r="G196" s="6">
        <f t="shared" si="83"/>
        <v>1968.4399999999996</v>
      </c>
      <c r="H196" s="6">
        <f t="shared" si="73"/>
        <v>1968.4399999999996</v>
      </c>
      <c r="I196" s="6">
        <f>MOD(H196-Settings!$B$32,Settings!$B$33)</f>
        <v>528.4399999999996</v>
      </c>
      <c r="J196" s="6">
        <f>IF(I196&lt;Settings!$B$30,IF(Settings!$B$30-I196&gt;=E196,H196,H196+(Settings!$B$30-I196)+Settings!$B$31),H196+(Settings!$B$33-I196))</f>
        <v>1968.4399999999996</v>
      </c>
      <c r="K196" s="6">
        <f t="shared" si="74"/>
        <v>1992.4599999999996</v>
      </c>
      <c r="L196" s="6">
        <f t="shared" si="75"/>
        <v>1992.4599999999996</v>
      </c>
      <c r="M196" s="6">
        <f t="shared" si="84"/>
        <v>1970.3414154247052</v>
      </c>
      <c r="N196" s="6">
        <f t="shared" si="76"/>
        <v>1992.4599999999996</v>
      </c>
      <c r="O196" s="6">
        <f>Arrivals!I196</f>
        <v>4.5045213298936808</v>
      </c>
      <c r="P196" s="6">
        <f t="shared" si="77"/>
        <v>1996.9645213298932</v>
      </c>
      <c r="Q196" s="6">
        <f t="shared" si="78"/>
        <v>1492.9645213298932</v>
      </c>
      <c r="R196" s="6">
        <f t="shared" si="79"/>
        <v>1464.4399999999996</v>
      </c>
      <c r="S196" s="6">
        <f t="shared" si="80"/>
        <v>0</v>
      </c>
      <c r="T196" s="6">
        <f t="shared" si="81"/>
        <v>0</v>
      </c>
      <c r="U196" s="6">
        <f t="shared" si="82"/>
        <v>1464.4399999999996</v>
      </c>
      <c r="V196" s="6" t="str">
        <f>IF(MOD(C196-Settings!$B$32,Settings!$B$33)&lt;Settings!$B$30,"Up","Down")</f>
        <v>Up</v>
      </c>
      <c r="W196" s="6">
        <f>IF(OR(E196&gt;Settings!$B$30,Q196&gt;Settings!$B$37),0,1)</f>
        <v>0</v>
      </c>
      <c r="X196" s="6">
        <f>IF(AND(W196=1,Q196&lt;=Settings!$B$36),1,0)</f>
        <v>0</v>
      </c>
    </row>
    <row r="197" spans="1:24" x14ac:dyDescent="0.2">
      <c r="A197">
        <f>Arrivals!A197</f>
        <v>2</v>
      </c>
      <c r="B197">
        <f>Arrivals!B197</f>
        <v>72</v>
      </c>
      <c r="C197" s="6">
        <f>Arrivals!F197</f>
        <v>509</v>
      </c>
      <c r="D197" s="6">
        <f>Arrivals!K197</f>
        <v>300</v>
      </c>
      <c r="E197" s="6">
        <f>D197*8/ACE_Input!S77+ACE_Input!T77</f>
        <v>24.02</v>
      </c>
      <c r="F197" s="6">
        <f t="shared" si="72"/>
        <v>509</v>
      </c>
      <c r="G197" s="6">
        <f t="shared" si="83"/>
        <v>1992.4599999999996</v>
      </c>
      <c r="H197" s="6">
        <f t="shared" si="73"/>
        <v>1992.4599999999996</v>
      </c>
      <c r="I197" s="6">
        <f>MOD(H197-Settings!$B$32,Settings!$B$33)</f>
        <v>552.45999999999958</v>
      </c>
      <c r="J197" s="6">
        <f>IF(I197&lt;Settings!$B$30,IF(Settings!$B$30-I197&gt;=E197,H197,H197+(Settings!$B$30-I197)+Settings!$B$31),H197+(Settings!$B$33-I197))</f>
        <v>1992.4599999999996</v>
      </c>
      <c r="K197" s="6">
        <f t="shared" si="74"/>
        <v>2016.4799999999996</v>
      </c>
      <c r="L197" s="6">
        <f t="shared" si="75"/>
        <v>2016.4799999999996</v>
      </c>
      <c r="M197" s="6">
        <f t="shared" si="84"/>
        <v>1996.9645213298932</v>
      </c>
      <c r="N197" s="6">
        <f t="shared" si="76"/>
        <v>2016.4799999999996</v>
      </c>
      <c r="O197" s="6">
        <f>Arrivals!I197</f>
        <v>5.2385374797641315</v>
      </c>
      <c r="P197" s="6">
        <f t="shared" si="77"/>
        <v>2021.7185374797637</v>
      </c>
      <c r="Q197" s="6">
        <f t="shared" si="78"/>
        <v>1512.7185374797637</v>
      </c>
      <c r="R197" s="6">
        <f t="shared" si="79"/>
        <v>1483.4599999999996</v>
      </c>
      <c r="S197" s="6">
        <f t="shared" si="80"/>
        <v>0</v>
      </c>
      <c r="T197" s="6">
        <f t="shared" si="81"/>
        <v>0</v>
      </c>
      <c r="U197" s="6">
        <f t="shared" si="82"/>
        <v>1483.4599999999996</v>
      </c>
      <c r="V197" s="6" t="str">
        <f>IF(MOD(C197-Settings!$B$32,Settings!$B$33)&lt;Settings!$B$30,"Up","Down")</f>
        <v>Up</v>
      </c>
      <c r="W197" s="6">
        <f>IF(OR(E197&gt;Settings!$B$30,Q197&gt;Settings!$B$37),0,1)</f>
        <v>0</v>
      </c>
      <c r="X197" s="6">
        <f>IF(AND(W197=1,Q197&lt;=Settings!$B$36),1,0)</f>
        <v>0</v>
      </c>
    </row>
    <row r="198" spans="1:24" x14ac:dyDescent="0.2">
      <c r="A198">
        <f>Arrivals!A198</f>
        <v>2</v>
      </c>
      <c r="B198">
        <f>Arrivals!B198</f>
        <v>73</v>
      </c>
      <c r="C198" s="6">
        <f>Arrivals!F198</f>
        <v>514</v>
      </c>
      <c r="D198" s="6">
        <f>Arrivals!K198</f>
        <v>300</v>
      </c>
      <c r="E198" s="6">
        <f>D198*8/ACE_Input!S78+ACE_Input!T78</f>
        <v>24.02</v>
      </c>
      <c r="F198" s="6">
        <f t="shared" si="72"/>
        <v>514</v>
      </c>
      <c r="G198" s="6">
        <f t="shared" si="83"/>
        <v>2016.4799999999996</v>
      </c>
      <c r="H198" s="6">
        <f t="shared" si="73"/>
        <v>2016.4799999999996</v>
      </c>
      <c r="I198" s="6">
        <f>MOD(H198-Settings!$B$32,Settings!$B$33)</f>
        <v>576.47999999999956</v>
      </c>
      <c r="J198" s="6">
        <f>IF(I198&lt;Settings!$B$30,IF(Settings!$B$30-I198&gt;=E198,H198,H198+(Settings!$B$30-I198)+Settings!$B$31),H198+(Settings!$B$33-I198))</f>
        <v>2160</v>
      </c>
      <c r="K198" s="6">
        <f t="shared" si="74"/>
        <v>2184.02</v>
      </c>
      <c r="L198" s="6">
        <f t="shared" si="75"/>
        <v>2184.02</v>
      </c>
      <c r="M198" s="6">
        <f t="shared" si="84"/>
        <v>2021.7185374797637</v>
      </c>
      <c r="N198" s="6">
        <f t="shared" si="76"/>
        <v>2184.02</v>
      </c>
      <c r="O198" s="6">
        <f>Arrivals!I198</f>
        <v>2.5844893369050661</v>
      </c>
      <c r="P198" s="6">
        <f t="shared" si="77"/>
        <v>2186.6044893369049</v>
      </c>
      <c r="Q198" s="6">
        <f t="shared" si="78"/>
        <v>1672.6044893369049</v>
      </c>
      <c r="R198" s="6">
        <f t="shared" si="79"/>
        <v>1502.4799999999996</v>
      </c>
      <c r="S198" s="6">
        <f t="shared" si="80"/>
        <v>143.52000000000044</v>
      </c>
      <c r="T198" s="6">
        <f t="shared" si="81"/>
        <v>0</v>
      </c>
      <c r="U198" s="6">
        <f t="shared" si="82"/>
        <v>1646</v>
      </c>
      <c r="V198" s="6" t="str">
        <f>IF(MOD(C198-Settings!$B$32,Settings!$B$33)&lt;Settings!$B$30,"Up","Down")</f>
        <v>Up</v>
      </c>
      <c r="W198" s="6">
        <f>IF(OR(E198&gt;Settings!$B$30,Q198&gt;Settings!$B$37),0,1)</f>
        <v>0</v>
      </c>
      <c r="X198" s="6">
        <f>IF(AND(W198=1,Q198&lt;=Settings!$B$36),1,0)</f>
        <v>0</v>
      </c>
    </row>
    <row r="199" spans="1:24" x14ac:dyDescent="0.2">
      <c r="A199">
        <f>Arrivals!A199</f>
        <v>2</v>
      </c>
      <c r="B199">
        <f>Arrivals!B199</f>
        <v>74</v>
      </c>
      <c r="C199" s="6">
        <f>Arrivals!F199</f>
        <v>519</v>
      </c>
      <c r="D199" s="6">
        <f>Arrivals!K199</f>
        <v>300</v>
      </c>
      <c r="E199" s="6">
        <f>D199*8/ACE_Input!S79+ACE_Input!T79</f>
        <v>24.02</v>
      </c>
      <c r="F199" s="6">
        <f t="shared" si="72"/>
        <v>519</v>
      </c>
      <c r="G199" s="6">
        <f t="shared" si="83"/>
        <v>2184.02</v>
      </c>
      <c r="H199" s="6">
        <f t="shared" si="73"/>
        <v>2184.02</v>
      </c>
      <c r="I199" s="6">
        <f>MOD(H199-Settings!$B$32,Settings!$B$33)</f>
        <v>24.019999999999982</v>
      </c>
      <c r="J199" s="6">
        <f>IF(I199&lt;Settings!$B$30,IF(Settings!$B$30-I199&gt;=E199,H199,H199+(Settings!$B$30-I199)+Settings!$B$31),H199+(Settings!$B$33-I199))</f>
        <v>2184.02</v>
      </c>
      <c r="K199" s="6">
        <f t="shared" si="74"/>
        <v>2208.04</v>
      </c>
      <c r="L199" s="6">
        <f t="shared" si="75"/>
        <v>2208.04</v>
      </c>
      <c r="M199" s="6">
        <f t="shared" si="84"/>
        <v>2186.6044893369049</v>
      </c>
      <c r="N199" s="6">
        <f t="shared" si="76"/>
        <v>2208.04</v>
      </c>
      <c r="O199" s="6">
        <f>Arrivals!I199</f>
        <v>8.7516765067236264</v>
      </c>
      <c r="P199" s="6">
        <f t="shared" si="77"/>
        <v>2216.7916765067234</v>
      </c>
      <c r="Q199" s="6">
        <f t="shared" si="78"/>
        <v>1697.7916765067234</v>
      </c>
      <c r="R199" s="6">
        <f t="shared" si="79"/>
        <v>1665.02</v>
      </c>
      <c r="S199" s="6">
        <f t="shared" si="80"/>
        <v>0</v>
      </c>
      <c r="T199" s="6">
        <f t="shared" si="81"/>
        <v>0</v>
      </c>
      <c r="U199" s="6">
        <f t="shared" si="82"/>
        <v>1665.02</v>
      </c>
      <c r="V199" s="6" t="str">
        <f>IF(MOD(C199-Settings!$B$32,Settings!$B$33)&lt;Settings!$B$30,"Up","Down")</f>
        <v>Up</v>
      </c>
      <c r="W199" s="6">
        <f>IF(OR(E199&gt;Settings!$B$30,Q199&gt;Settings!$B$37),0,1)</f>
        <v>0</v>
      </c>
      <c r="X199" s="6">
        <f>IF(AND(W199=1,Q199&lt;=Settings!$B$36),1,0)</f>
        <v>0</v>
      </c>
    </row>
    <row r="200" spans="1:24" x14ac:dyDescent="0.2">
      <c r="A200">
        <f>Arrivals!A200</f>
        <v>2</v>
      </c>
      <c r="B200">
        <f>Arrivals!B200</f>
        <v>75</v>
      </c>
      <c r="C200" s="6">
        <f>Arrivals!F200</f>
        <v>524</v>
      </c>
      <c r="D200" s="6">
        <f>Arrivals!K200</f>
        <v>300</v>
      </c>
      <c r="E200" s="6">
        <f>D200*8/ACE_Input!S80+ACE_Input!T80</f>
        <v>24.02</v>
      </c>
      <c r="F200" s="6">
        <f t="shared" si="72"/>
        <v>524</v>
      </c>
      <c r="G200" s="6">
        <f t="shared" si="83"/>
        <v>2208.04</v>
      </c>
      <c r="H200" s="6">
        <f t="shared" si="73"/>
        <v>2208.04</v>
      </c>
      <c r="I200" s="6">
        <f>MOD(H200-Settings!$B$32,Settings!$B$33)</f>
        <v>48.039999999999964</v>
      </c>
      <c r="J200" s="6">
        <f>IF(I200&lt;Settings!$B$30,IF(Settings!$B$30-I200&gt;=E200,H200,H200+(Settings!$B$30-I200)+Settings!$B$31),H200+(Settings!$B$33-I200))</f>
        <v>2208.04</v>
      </c>
      <c r="K200" s="6">
        <f t="shared" si="74"/>
        <v>2232.06</v>
      </c>
      <c r="L200" s="6">
        <f t="shared" si="75"/>
        <v>2232.06</v>
      </c>
      <c r="M200" s="6">
        <f t="shared" si="84"/>
        <v>2216.7916765067234</v>
      </c>
      <c r="N200" s="6">
        <f t="shared" si="76"/>
        <v>2232.06</v>
      </c>
      <c r="O200" s="6">
        <f>Arrivals!I200</f>
        <v>0.40830688430959799</v>
      </c>
      <c r="P200" s="6">
        <f t="shared" si="77"/>
        <v>2232.4683068843096</v>
      </c>
      <c r="Q200" s="6">
        <f t="shared" si="78"/>
        <v>1708.4683068843096</v>
      </c>
      <c r="R200" s="6">
        <f t="shared" si="79"/>
        <v>1684.04</v>
      </c>
      <c r="S200" s="6">
        <f t="shared" si="80"/>
        <v>0</v>
      </c>
      <c r="T200" s="6">
        <f t="shared" si="81"/>
        <v>0</v>
      </c>
      <c r="U200" s="6">
        <f t="shared" si="82"/>
        <v>1684.04</v>
      </c>
      <c r="V200" s="6" t="str">
        <f>IF(MOD(C200-Settings!$B$32,Settings!$B$33)&lt;Settings!$B$30,"Up","Down")</f>
        <v>Up</v>
      </c>
      <c r="W200" s="6">
        <f>IF(OR(E200&gt;Settings!$B$30,Q200&gt;Settings!$B$37),0,1)</f>
        <v>0</v>
      </c>
      <c r="X200" s="6">
        <f>IF(AND(W200=1,Q200&lt;=Settings!$B$36),1,0)</f>
        <v>0</v>
      </c>
    </row>
    <row r="201" spans="1:24" x14ac:dyDescent="0.2">
      <c r="A201">
        <f>Arrivals!A201</f>
        <v>2</v>
      </c>
      <c r="B201">
        <f>Arrivals!B201</f>
        <v>76</v>
      </c>
      <c r="C201" s="6">
        <f>Arrivals!F201</f>
        <v>529</v>
      </c>
      <c r="D201" s="6">
        <f>Arrivals!K201</f>
        <v>300</v>
      </c>
      <c r="E201" s="6">
        <f>D201*8/ACE_Input!S81+ACE_Input!T81</f>
        <v>24.02</v>
      </c>
      <c r="F201" s="6">
        <f t="shared" si="72"/>
        <v>529</v>
      </c>
      <c r="G201" s="6">
        <f t="shared" si="83"/>
        <v>2232.06</v>
      </c>
      <c r="H201" s="6">
        <f t="shared" si="73"/>
        <v>2232.06</v>
      </c>
      <c r="I201" s="6">
        <f>MOD(H201-Settings!$B$32,Settings!$B$33)</f>
        <v>72.059999999999945</v>
      </c>
      <c r="J201" s="6">
        <f>IF(I201&lt;Settings!$B$30,IF(Settings!$B$30-I201&gt;=E201,H201,H201+(Settings!$B$30-I201)+Settings!$B$31),H201+(Settings!$B$33-I201))</f>
        <v>2232.06</v>
      </c>
      <c r="K201" s="6">
        <f t="shared" si="74"/>
        <v>2256.08</v>
      </c>
      <c r="L201" s="6">
        <f t="shared" si="75"/>
        <v>2256.08</v>
      </c>
      <c r="M201" s="6">
        <f t="shared" si="84"/>
        <v>2232.4683068843096</v>
      </c>
      <c r="N201" s="6">
        <f t="shared" si="76"/>
        <v>2256.08</v>
      </c>
      <c r="O201" s="6">
        <f>Arrivals!I201</f>
        <v>11.726745003523176</v>
      </c>
      <c r="P201" s="6">
        <f t="shared" si="77"/>
        <v>2267.8067450035232</v>
      </c>
      <c r="Q201" s="6">
        <f t="shared" si="78"/>
        <v>1738.8067450035232</v>
      </c>
      <c r="R201" s="6">
        <f t="shared" si="79"/>
        <v>1703.06</v>
      </c>
      <c r="S201" s="6">
        <f t="shared" si="80"/>
        <v>0</v>
      </c>
      <c r="T201" s="6">
        <f t="shared" si="81"/>
        <v>0</v>
      </c>
      <c r="U201" s="6">
        <f t="shared" si="82"/>
        <v>1703.06</v>
      </c>
      <c r="V201" s="6" t="str">
        <f>IF(MOD(C201-Settings!$B$32,Settings!$B$33)&lt;Settings!$B$30,"Up","Down")</f>
        <v>Up</v>
      </c>
      <c r="W201" s="6">
        <f>IF(OR(E201&gt;Settings!$B$30,Q201&gt;Settings!$B$37),0,1)</f>
        <v>0</v>
      </c>
      <c r="X201" s="6">
        <f>IF(AND(W201=1,Q201&lt;=Settings!$B$36),1,0)</f>
        <v>0</v>
      </c>
    </row>
    <row r="202" spans="1:24" x14ac:dyDescent="0.2">
      <c r="A202">
        <f>Arrivals!A202</f>
        <v>2</v>
      </c>
      <c r="B202">
        <f>Arrivals!B202</f>
        <v>77</v>
      </c>
      <c r="C202" s="6">
        <f>Arrivals!F202</f>
        <v>534</v>
      </c>
      <c r="D202" s="6">
        <f>Arrivals!K202</f>
        <v>300</v>
      </c>
      <c r="E202" s="6">
        <f>D202*8/ACE_Input!S82+ACE_Input!T82</f>
        <v>24.02</v>
      </c>
      <c r="F202" s="6">
        <f t="shared" si="72"/>
        <v>534</v>
      </c>
      <c r="G202" s="6">
        <f t="shared" si="83"/>
        <v>2256.08</v>
      </c>
      <c r="H202" s="6">
        <f t="shared" si="73"/>
        <v>2256.08</v>
      </c>
      <c r="I202" s="6">
        <f>MOD(H202-Settings!$B$32,Settings!$B$33)</f>
        <v>96.079999999999927</v>
      </c>
      <c r="J202" s="6">
        <f>IF(I202&lt;Settings!$B$30,IF(Settings!$B$30-I202&gt;=E202,H202,H202+(Settings!$B$30-I202)+Settings!$B$31),H202+(Settings!$B$33-I202))</f>
        <v>2256.08</v>
      </c>
      <c r="K202" s="6">
        <f t="shared" si="74"/>
        <v>2280.1</v>
      </c>
      <c r="L202" s="6">
        <f t="shared" si="75"/>
        <v>2280.1</v>
      </c>
      <c r="M202" s="6">
        <f t="shared" si="84"/>
        <v>2267.8067450035232</v>
      </c>
      <c r="N202" s="6">
        <f t="shared" si="76"/>
        <v>2280.1</v>
      </c>
      <c r="O202" s="6">
        <f>Arrivals!I202</f>
        <v>0.28177769027122379</v>
      </c>
      <c r="P202" s="6">
        <f t="shared" si="77"/>
        <v>2280.3817776902711</v>
      </c>
      <c r="Q202" s="6">
        <f t="shared" si="78"/>
        <v>1746.3817776902711</v>
      </c>
      <c r="R202" s="6">
        <f t="shared" si="79"/>
        <v>1722.08</v>
      </c>
      <c r="S202" s="6">
        <f t="shared" si="80"/>
        <v>0</v>
      </c>
      <c r="T202" s="6">
        <f t="shared" si="81"/>
        <v>0</v>
      </c>
      <c r="U202" s="6">
        <f t="shared" si="82"/>
        <v>1722.08</v>
      </c>
      <c r="V202" s="6" t="str">
        <f>IF(MOD(C202-Settings!$B$32,Settings!$B$33)&lt;Settings!$B$30,"Up","Down")</f>
        <v>Up</v>
      </c>
      <c r="W202" s="6">
        <f>IF(OR(E202&gt;Settings!$B$30,Q202&gt;Settings!$B$37),0,1)</f>
        <v>0</v>
      </c>
      <c r="X202" s="6">
        <f>IF(AND(W202=1,Q202&lt;=Settings!$B$36),1,0)</f>
        <v>0</v>
      </c>
    </row>
    <row r="203" spans="1:24" x14ac:dyDescent="0.2">
      <c r="A203">
        <f>Arrivals!A203</f>
        <v>2</v>
      </c>
      <c r="B203">
        <f>Arrivals!B203</f>
        <v>78</v>
      </c>
      <c r="C203" s="6">
        <f>Arrivals!F203</f>
        <v>539</v>
      </c>
      <c r="D203" s="6">
        <f>Arrivals!K203</f>
        <v>300</v>
      </c>
      <c r="E203" s="6">
        <f>D203*8/ACE_Input!S83+ACE_Input!T83</f>
        <v>24.02</v>
      </c>
      <c r="F203" s="6">
        <f t="shared" si="72"/>
        <v>539</v>
      </c>
      <c r="G203" s="6">
        <f t="shared" si="83"/>
        <v>2280.1</v>
      </c>
      <c r="H203" s="6">
        <f t="shared" si="73"/>
        <v>2280.1</v>
      </c>
      <c r="I203" s="6">
        <f>MOD(H203-Settings!$B$32,Settings!$B$33)</f>
        <v>120.09999999999991</v>
      </c>
      <c r="J203" s="6">
        <f>IF(I203&lt;Settings!$B$30,IF(Settings!$B$30-I203&gt;=E203,H203,H203+(Settings!$B$30-I203)+Settings!$B$31),H203+(Settings!$B$33-I203))</f>
        <v>2280.1</v>
      </c>
      <c r="K203" s="6">
        <f t="shared" si="74"/>
        <v>2304.12</v>
      </c>
      <c r="L203" s="6">
        <f t="shared" si="75"/>
        <v>2304.12</v>
      </c>
      <c r="M203" s="6">
        <f t="shared" si="84"/>
        <v>2280.3817776902711</v>
      </c>
      <c r="N203" s="6">
        <f t="shared" si="76"/>
        <v>2304.12</v>
      </c>
      <c r="O203" s="6">
        <f>Arrivals!I203</f>
        <v>0.99360599573868724</v>
      </c>
      <c r="P203" s="6">
        <f t="shared" si="77"/>
        <v>2305.1136059957385</v>
      </c>
      <c r="Q203" s="6">
        <f t="shared" si="78"/>
        <v>1766.1136059957385</v>
      </c>
      <c r="R203" s="6">
        <f t="shared" si="79"/>
        <v>1741.1</v>
      </c>
      <c r="S203" s="6">
        <f t="shared" si="80"/>
        <v>0</v>
      </c>
      <c r="T203" s="6">
        <f t="shared" si="81"/>
        <v>0</v>
      </c>
      <c r="U203" s="6">
        <f t="shared" si="82"/>
        <v>1741.1</v>
      </c>
      <c r="V203" s="6" t="str">
        <f>IF(MOD(C203-Settings!$B$32,Settings!$B$33)&lt;Settings!$B$30,"Up","Down")</f>
        <v>Up</v>
      </c>
      <c r="W203" s="6">
        <f>IF(OR(E203&gt;Settings!$B$30,Q203&gt;Settings!$B$37),0,1)</f>
        <v>0</v>
      </c>
      <c r="X203" s="6">
        <f>IF(AND(W203=1,Q203&lt;=Settings!$B$36),1,0)</f>
        <v>0</v>
      </c>
    </row>
    <row r="204" spans="1:24" x14ac:dyDescent="0.2">
      <c r="A204">
        <f>Arrivals!A204</f>
        <v>2</v>
      </c>
      <c r="B204">
        <f>Arrivals!B204</f>
        <v>79</v>
      </c>
      <c r="C204" s="6">
        <f>Arrivals!F204</f>
        <v>544</v>
      </c>
      <c r="D204" s="6">
        <f>Arrivals!K204</f>
        <v>300</v>
      </c>
      <c r="E204" s="6">
        <f>D204*8/ACE_Input!S84+ACE_Input!T84</f>
        <v>24.02</v>
      </c>
      <c r="F204" s="6">
        <f t="shared" si="72"/>
        <v>544</v>
      </c>
      <c r="G204" s="6">
        <f t="shared" si="83"/>
        <v>2304.12</v>
      </c>
      <c r="H204" s="6">
        <f t="shared" si="73"/>
        <v>2304.12</v>
      </c>
      <c r="I204" s="6">
        <f>MOD(H204-Settings!$B$32,Settings!$B$33)</f>
        <v>144.11999999999989</v>
      </c>
      <c r="J204" s="6">
        <f>IF(I204&lt;Settings!$B$30,IF(Settings!$B$30-I204&gt;=E204,H204,H204+(Settings!$B$30-I204)+Settings!$B$31),H204+(Settings!$B$33-I204))</f>
        <v>2304.12</v>
      </c>
      <c r="K204" s="6">
        <f t="shared" si="74"/>
        <v>2328.14</v>
      </c>
      <c r="L204" s="6">
        <f t="shared" si="75"/>
        <v>2328.14</v>
      </c>
      <c r="M204" s="6">
        <f t="shared" si="84"/>
        <v>2305.1136059957385</v>
      </c>
      <c r="N204" s="6">
        <f t="shared" si="76"/>
        <v>2328.14</v>
      </c>
      <c r="O204" s="6">
        <f>Arrivals!I204</f>
        <v>5.6298998513561678</v>
      </c>
      <c r="P204" s="6">
        <f t="shared" si="77"/>
        <v>2333.7698998513561</v>
      </c>
      <c r="Q204" s="6">
        <f t="shared" si="78"/>
        <v>1789.7698998513561</v>
      </c>
      <c r="R204" s="6">
        <f t="shared" si="79"/>
        <v>1760.12</v>
      </c>
      <c r="S204" s="6">
        <f t="shared" si="80"/>
        <v>0</v>
      </c>
      <c r="T204" s="6">
        <f t="shared" si="81"/>
        <v>0</v>
      </c>
      <c r="U204" s="6">
        <f t="shared" si="82"/>
        <v>1760.12</v>
      </c>
      <c r="V204" s="6" t="str">
        <f>IF(MOD(C204-Settings!$B$32,Settings!$B$33)&lt;Settings!$B$30,"Up","Down")</f>
        <v>Up</v>
      </c>
      <c r="W204" s="6">
        <f>IF(OR(E204&gt;Settings!$B$30,Q204&gt;Settings!$B$37),0,1)</f>
        <v>0</v>
      </c>
      <c r="X204" s="6">
        <f>IF(AND(W204=1,Q204&lt;=Settings!$B$36),1,0)</f>
        <v>0</v>
      </c>
    </row>
    <row r="205" spans="1:24" x14ac:dyDescent="0.2">
      <c r="A205">
        <f>Arrivals!A205</f>
        <v>2</v>
      </c>
      <c r="B205">
        <f>Arrivals!B205</f>
        <v>80</v>
      </c>
      <c r="C205" s="6">
        <f>Arrivals!F205</f>
        <v>549</v>
      </c>
      <c r="D205" s="6">
        <f>Arrivals!K205</f>
        <v>300</v>
      </c>
      <c r="E205" s="6">
        <f>D205*8/ACE_Input!S85+ACE_Input!T85</f>
        <v>24.02</v>
      </c>
      <c r="F205" s="6">
        <f t="shared" si="72"/>
        <v>549</v>
      </c>
      <c r="G205" s="6">
        <f t="shared" si="83"/>
        <v>2328.14</v>
      </c>
      <c r="H205" s="6">
        <f t="shared" si="73"/>
        <v>2328.14</v>
      </c>
      <c r="I205" s="6">
        <f>MOD(H205-Settings!$B$32,Settings!$B$33)</f>
        <v>168.13999999999987</v>
      </c>
      <c r="J205" s="6">
        <f>IF(I205&lt;Settings!$B$30,IF(Settings!$B$30-I205&gt;=E205,H205,H205+(Settings!$B$30-I205)+Settings!$B$31),H205+(Settings!$B$33-I205))</f>
        <v>2328.14</v>
      </c>
      <c r="K205" s="6">
        <f t="shared" si="74"/>
        <v>2352.16</v>
      </c>
      <c r="L205" s="6">
        <f t="shared" si="75"/>
        <v>2352.16</v>
      </c>
      <c r="M205" s="6">
        <f t="shared" si="84"/>
        <v>2333.7698998513561</v>
      </c>
      <c r="N205" s="6">
        <f t="shared" si="76"/>
        <v>2352.16</v>
      </c>
      <c r="O205" s="6">
        <f>Arrivals!I205</f>
        <v>1.4826448965594441</v>
      </c>
      <c r="P205" s="6">
        <f t="shared" si="77"/>
        <v>2353.6426448965594</v>
      </c>
      <c r="Q205" s="6">
        <f t="shared" si="78"/>
        <v>1804.6426448965594</v>
      </c>
      <c r="R205" s="6">
        <f t="shared" si="79"/>
        <v>1779.1399999999999</v>
      </c>
      <c r="S205" s="6">
        <f t="shared" si="80"/>
        <v>0</v>
      </c>
      <c r="T205" s="6">
        <f t="shared" si="81"/>
        <v>0</v>
      </c>
      <c r="U205" s="6">
        <f t="shared" si="82"/>
        <v>1779.1399999999999</v>
      </c>
      <c r="V205" s="6" t="str">
        <f>IF(MOD(C205-Settings!$B$32,Settings!$B$33)&lt;Settings!$B$30,"Up","Down")</f>
        <v>Up</v>
      </c>
      <c r="W205" s="6">
        <f>IF(OR(E205&gt;Settings!$B$30,Q205&gt;Settings!$B$37),0,1)</f>
        <v>0</v>
      </c>
      <c r="X205" s="6">
        <f>IF(AND(W205=1,Q205&lt;=Settings!$B$36),1,0)</f>
        <v>0</v>
      </c>
    </row>
    <row r="206" spans="1:24" x14ac:dyDescent="0.2">
      <c r="A206">
        <f>Arrivals!A206</f>
        <v>2</v>
      </c>
      <c r="B206">
        <f>Arrivals!B206</f>
        <v>81</v>
      </c>
      <c r="C206" s="6">
        <f>Arrivals!F206</f>
        <v>554</v>
      </c>
      <c r="D206" s="6">
        <f>Arrivals!K206</f>
        <v>300</v>
      </c>
      <c r="E206" s="6">
        <f>D206*8/ACE_Input!S86+ACE_Input!T86</f>
        <v>24.02</v>
      </c>
      <c r="F206" s="6">
        <f t="shared" si="72"/>
        <v>554</v>
      </c>
      <c r="G206" s="6">
        <f t="shared" si="83"/>
        <v>2352.16</v>
      </c>
      <c r="H206" s="6">
        <f t="shared" si="73"/>
        <v>2352.16</v>
      </c>
      <c r="I206" s="6">
        <f>MOD(H206-Settings!$B$32,Settings!$B$33)</f>
        <v>192.15999999999985</v>
      </c>
      <c r="J206" s="6">
        <f>IF(I206&lt;Settings!$B$30,IF(Settings!$B$30-I206&gt;=E206,H206,H206+(Settings!$B$30-I206)+Settings!$B$31),H206+(Settings!$B$33-I206))</f>
        <v>2352.16</v>
      </c>
      <c r="K206" s="6">
        <f t="shared" si="74"/>
        <v>2376.1799999999998</v>
      </c>
      <c r="L206" s="6">
        <f t="shared" si="75"/>
        <v>2376.1799999999998</v>
      </c>
      <c r="M206" s="6">
        <f t="shared" si="84"/>
        <v>2353.6426448965594</v>
      </c>
      <c r="N206" s="6">
        <f t="shared" si="76"/>
        <v>2376.1799999999998</v>
      </c>
      <c r="O206" s="6">
        <f>Arrivals!I206</f>
        <v>2.7872746269667852</v>
      </c>
      <c r="P206" s="6">
        <f t="shared" si="77"/>
        <v>2378.9672746269666</v>
      </c>
      <c r="Q206" s="6">
        <f t="shared" si="78"/>
        <v>1824.9672746269666</v>
      </c>
      <c r="R206" s="6">
        <f t="shared" si="79"/>
        <v>1798.1599999999999</v>
      </c>
      <c r="S206" s="6">
        <f t="shared" si="80"/>
        <v>0</v>
      </c>
      <c r="T206" s="6">
        <f t="shared" si="81"/>
        <v>0</v>
      </c>
      <c r="U206" s="6">
        <f t="shared" si="82"/>
        <v>1798.1599999999999</v>
      </c>
      <c r="V206" s="6" t="str">
        <f>IF(MOD(C206-Settings!$B$32,Settings!$B$33)&lt;Settings!$B$30,"Up","Down")</f>
        <v>Up</v>
      </c>
      <c r="W206" s="6">
        <f>IF(OR(E206&gt;Settings!$B$30,Q206&gt;Settings!$B$37),0,1)</f>
        <v>0</v>
      </c>
      <c r="X206" s="6">
        <f>IF(AND(W206=1,Q206&lt;=Settings!$B$36),1,0)</f>
        <v>0</v>
      </c>
    </row>
    <row r="207" spans="1:24" x14ac:dyDescent="0.2">
      <c r="A207">
        <f>Arrivals!A207</f>
        <v>2</v>
      </c>
      <c r="B207">
        <f>Arrivals!B207</f>
        <v>82</v>
      </c>
      <c r="C207" s="6">
        <f>Arrivals!F207</f>
        <v>559</v>
      </c>
      <c r="D207" s="6">
        <f>Arrivals!K207</f>
        <v>300</v>
      </c>
      <c r="E207" s="6">
        <f>D207*8/ACE_Input!S87+ACE_Input!T87</f>
        <v>24.02</v>
      </c>
      <c r="F207" s="6">
        <f t="shared" si="72"/>
        <v>559</v>
      </c>
      <c r="G207" s="6">
        <f t="shared" si="83"/>
        <v>2376.1799999999998</v>
      </c>
      <c r="H207" s="6">
        <f t="shared" si="73"/>
        <v>2376.1799999999998</v>
      </c>
      <c r="I207" s="6">
        <f>MOD(H207-Settings!$B$32,Settings!$B$33)</f>
        <v>216.17999999999984</v>
      </c>
      <c r="J207" s="6">
        <f>IF(I207&lt;Settings!$B$30,IF(Settings!$B$30-I207&gt;=E207,H207,H207+(Settings!$B$30-I207)+Settings!$B$31),H207+(Settings!$B$33-I207))</f>
        <v>2376.1799999999998</v>
      </c>
      <c r="K207" s="6">
        <f t="shared" si="74"/>
        <v>2400.1999999999998</v>
      </c>
      <c r="L207" s="6">
        <f t="shared" si="75"/>
        <v>2400.1999999999998</v>
      </c>
      <c r="M207" s="6">
        <f t="shared" si="84"/>
        <v>2378.9672746269666</v>
      </c>
      <c r="N207" s="6">
        <f t="shared" si="76"/>
        <v>2400.1999999999998</v>
      </c>
      <c r="O207" s="6">
        <f>Arrivals!I207</f>
        <v>1.4077780800138879</v>
      </c>
      <c r="P207" s="6">
        <f t="shared" si="77"/>
        <v>2401.6077780800138</v>
      </c>
      <c r="Q207" s="6">
        <f t="shared" si="78"/>
        <v>1842.6077780800138</v>
      </c>
      <c r="R207" s="6">
        <f t="shared" si="79"/>
        <v>1817.1799999999998</v>
      </c>
      <c r="S207" s="6">
        <f t="shared" si="80"/>
        <v>0</v>
      </c>
      <c r="T207" s="6">
        <f t="shared" si="81"/>
        <v>0</v>
      </c>
      <c r="U207" s="6">
        <f t="shared" si="82"/>
        <v>1817.1799999999998</v>
      </c>
      <c r="V207" s="6" t="str">
        <f>IF(MOD(C207-Settings!$B$32,Settings!$B$33)&lt;Settings!$B$30,"Up","Down")</f>
        <v>Up</v>
      </c>
      <c r="W207" s="6">
        <f>IF(OR(E207&gt;Settings!$B$30,Q207&gt;Settings!$B$37),0,1)</f>
        <v>0</v>
      </c>
      <c r="X207" s="6">
        <f>IF(AND(W207=1,Q207&lt;=Settings!$B$36),1,0)</f>
        <v>0</v>
      </c>
    </row>
    <row r="208" spans="1:24" x14ac:dyDescent="0.2">
      <c r="A208">
        <f>Arrivals!A208</f>
        <v>2</v>
      </c>
      <c r="B208">
        <f>Arrivals!B208</f>
        <v>83</v>
      </c>
      <c r="C208" s="6">
        <f>Arrivals!F208</f>
        <v>564</v>
      </c>
      <c r="D208" s="6">
        <f>Arrivals!K208</f>
        <v>300</v>
      </c>
      <c r="E208" s="6">
        <f>D208*8/ACE_Input!S88+ACE_Input!T88</f>
        <v>24.02</v>
      </c>
      <c r="F208" s="6">
        <f t="shared" si="72"/>
        <v>564</v>
      </c>
      <c r="G208" s="6">
        <f t="shared" si="83"/>
        <v>2400.1999999999998</v>
      </c>
      <c r="H208" s="6">
        <f t="shared" si="73"/>
        <v>2400.1999999999998</v>
      </c>
      <c r="I208" s="6">
        <f>MOD(H208-Settings!$B$32,Settings!$B$33)</f>
        <v>240.19999999999982</v>
      </c>
      <c r="J208" s="6">
        <f>IF(I208&lt;Settings!$B$30,IF(Settings!$B$30-I208&gt;=E208,H208,H208+(Settings!$B$30-I208)+Settings!$B$31),H208+(Settings!$B$33-I208))</f>
        <v>2400.1999999999998</v>
      </c>
      <c r="K208" s="6">
        <f t="shared" si="74"/>
        <v>2424.2199999999998</v>
      </c>
      <c r="L208" s="6">
        <f t="shared" si="75"/>
        <v>2424.2199999999998</v>
      </c>
      <c r="M208" s="6">
        <f t="shared" si="84"/>
        <v>2401.6077780800138</v>
      </c>
      <c r="N208" s="6">
        <f t="shared" si="76"/>
        <v>2424.2199999999998</v>
      </c>
      <c r="O208" s="6">
        <f>Arrivals!I208</f>
        <v>1.5144938614108663</v>
      </c>
      <c r="P208" s="6">
        <f t="shared" si="77"/>
        <v>2425.7344938614106</v>
      </c>
      <c r="Q208" s="6">
        <f t="shared" si="78"/>
        <v>1861.7344938614106</v>
      </c>
      <c r="R208" s="6">
        <f t="shared" si="79"/>
        <v>1836.1999999999998</v>
      </c>
      <c r="S208" s="6">
        <f t="shared" si="80"/>
        <v>0</v>
      </c>
      <c r="T208" s="6">
        <f t="shared" si="81"/>
        <v>0</v>
      </c>
      <c r="U208" s="6">
        <f t="shared" si="82"/>
        <v>1836.1999999999998</v>
      </c>
      <c r="V208" s="6" t="str">
        <f>IF(MOD(C208-Settings!$B$32,Settings!$B$33)&lt;Settings!$B$30,"Up","Down")</f>
        <v>Up</v>
      </c>
      <c r="W208" s="6">
        <f>IF(OR(E208&gt;Settings!$B$30,Q208&gt;Settings!$B$37),0,1)</f>
        <v>0</v>
      </c>
      <c r="X208" s="6">
        <f>IF(AND(W208=1,Q208&lt;=Settings!$B$36),1,0)</f>
        <v>0</v>
      </c>
    </row>
    <row r="209" spans="1:24" x14ac:dyDescent="0.2">
      <c r="A209">
        <f>Arrivals!A209</f>
        <v>2</v>
      </c>
      <c r="B209">
        <f>Arrivals!B209</f>
        <v>84</v>
      </c>
      <c r="C209" s="6">
        <f>Arrivals!F209</f>
        <v>569</v>
      </c>
      <c r="D209" s="6">
        <f>Arrivals!K209</f>
        <v>300</v>
      </c>
      <c r="E209" s="6">
        <f>D209*8/ACE_Input!S89+ACE_Input!T89</f>
        <v>24.02</v>
      </c>
      <c r="F209" s="6">
        <f t="shared" si="72"/>
        <v>569</v>
      </c>
      <c r="G209" s="6">
        <f t="shared" si="83"/>
        <v>2424.2199999999998</v>
      </c>
      <c r="H209" s="6">
        <f t="shared" si="73"/>
        <v>2424.2199999999998</v>
      </c>
      <c r="I209" s="6">
        <f>MOD(H209-Settings!$B$32,Settings!$B$33)</f>
        <v>264.2199999999998</v>
      </c>
      <c r="J209" s="6">
        <f>IF(I209&lt;Settings!$B$30,IF(Settings!$B$30-I209&gt;=E209,H209,H209+(Settings!$B$30-I209)+Settings!$B$31),H209+(Settings!$B$33-I209))</f>
        <v>2424.2199999999998</v>
      </c>
      <c r="K209" s="6">
        <f t="shared" si="74"/>
        <v>2448.2399999999998</v>
      </c>
      <c r="L209" s="6">
        <f t="shared" si="75"/>
        <v>2448.2399999999998</v>
      </c>
      <c r="M209" s="6">
        <f t="shared" si="84"/>
        <v>2425.7344938614106</v>
      </c>
      <c r="N209" s="6">
        <f t="shared" si="76"/>
        <v>2448.2399999999998</v>
      </c>
      <c r="O209" s="6">
        <f>Arrivals!I209</f>
        <v>2.84509448700629</v>
      </c>
      <c r="P209" s="6">
        <f t="shared" si="77"/>
        <v>2451.0850944870062</v>
      </c>
      <c r="Q209" s="6">
        <f t="shared" si="78"/>
        <v>1882.0850944870062</v>
      </c>
      <c r="R209" s="6">
        <f t="shared" si="79"/>
        <v>1855.2199999999998</v>
      </c>
      <c r="S209" s="6">
        <f t="shared" si="80"/>
        <v>0</v>
      </c>
      <c r="T209" s="6">
        <f t="shared" si="81"/>
        <v>0</v>
      </c>
      <c r="U209" s="6">
        <f t="shared" si="82"/>
        <v>1855.2199999999998</v>
      </c>
      <c r="V209" s="6" t="str">
        <f>IF(MOD(C209-Settings!$B$32,Settings!$B$33)&lt;Settings!$B$30,"Up","Down")</f>
        <v>Up</v>
      </c>
      <c r="W209" s="6">
        <f>IF(OR(E209&gt;Settings!$B$30,Q209&gt;Settings!$B$37),0,1)</f>
        <v>0</v>
      </c>
      <c r="X209" s="6">
        <f>IF(AND(W209=1,Q209&lt;=Settings!$B$36),1,0)</f>
        <v>0</v>
      </c>
    </row>
    <row r="210" spans="1:24" x14ac:dyDescent="0.2">
      <c r="A210">
        <f>Arrivals!A210</f>
        <v>2</v>
      </c>
      <c r="B210">
        <f>Arrivals!B210</f>
        <v>85</v>
      </c>
      <c r="C210" s="6">
        <f>Arrivals!F210</f>
        <v>574</v>
      </c>
      <c r="D210" s="6">
        <f>Arrivals!K210</f>
        <v>300</v>
      </c>
      <c r="E210" s="6">
        <f>D210*8/ACE_Input!S90+ACE_Input!T90</f>
        <v>24.02</v>
      </c>
      <c r="F210" s="6">
        <f t="shared" si="72"/>
        <v>574</v>
      </c>
      <c r="G210" s="6">
        <f t="shared" si="83"/>
        <v>2448.2399999999998</v>
      </c>
      <c r="H210" s="6">
        <f t="shared" si="73"/>
        <v>2448.2399999999998</v>
      </c>
      <c r="I210" s="6">
        <f>MOD(H210-Settings!$B$32,Settings!$B$33)</f>
        <v>288.23999999999978</v>
      </c>
      <c r="J210" s="6">
        <f>IF(I210&lt;Settings!$B$30,IF(Settings!$B$30-I210&gt;=E210,H210,H210+(Settings!$B$30-I210)+Settings!$B$31),H210+(Settings!$B$33-I210))</f>
        <v>2448.2399999999998</v>
      </c>
      <c r="K210" s="6">
        <f t="shared" si="74"/>
        <v>2472.2599999999998</v>
      </c>
      <c r="L210" s="6">
        <f t="shared" si="75"/>
        <v>2472.2599999999998</v>
      </c>
      <c r="M210" s="6">
        <f t="shared" si="84"/>
        <v>2451.0850944870062</v>
      </c>
      <c r="N210" s="6">
        <f t="shared" si="76"/>
        <v>2472.2599999999998</v>
      </c>
      <c r="O210" s="6">
        <f>Arrivals!I210</f>
        <v>2.4153645967091122</v>
      </c>
      <c r="P210" s="6">
        <f t="shared" si="77"/>
        <v>2474.6753645967087</v>
      </c>
      <c r="Q210" s="6">
        <f t="shared" si="78"/>
        <v>1900.6753645967087</v>
      </c>
      <c r="R210" s="6">
        <f t="shared" si="79"/>
        <v>1874.2399999999998</v>
      </c>
      <c r="S210" s="6">
        <f t="shared" si="80"/>
        <v>0</v>
      </c>
      <c r="T210" s="6">
        <f t="shared" si="81"/>
        <v>0</v>
      </c>
      <c r="U210" s="6">
        <f t="shared" si="82"/>
        <v>1874.2399999999998</v>
      </c>
      <c r="V210" s="6" t="str">
        <f>IF(MOD(C210-Settings!$B$32,Settings!$B$33)&lt;Settings!$B$30,"Up","Down")</f>
        <v>Up</v>
      </c>
      <c r="W210" s="6">
        <f>IF(OR(E210&gt;Settings!$B$30,Q210&gt;Settings!$B$37),0,1)</f>
        <v>0</v>
      </c>
      <c r="X210" s="6">
        <f>IF(AND(W210=1,Q210&lt;=Settings!$B$36),1,0)</f>
        <v>0</v>
      </c>
    </row>
    <row r="211" spans="1:24" x14ac:dyDescent="0.2">
      <c r="A211">
        <f>Arrivals!A211</f>
        <v>2</v>
      </c>
      <c r="B211">
        <f>Arrivals!B211</f>
        <v>86</v>
      </c>
      <c r="C211" s="6">
        <f>Arrivals!F211</f>
        <v>579</v>
      </c>
      <c r="D211" s="6">
        <f>Arrivals!K211</f>
        <v>300</v>
      </c>
      <c r="E211" s="6">
        <f>D211*8/ACE_Input!S91+ACE_Input!T91</f>
        <v>24.02</v>
      </c>
      <c r="F211" s="6">
        <f t="shared" si="72"/>
        <v>579</v>
      </c>
      <c r="G211" s="6">
        <f t="shared" si="83"/>
        <v>2472.2599999999998</v>
      </c>
      <c r="H211" s="6">
        <f t="shared" si="73"/>
        <v>2472.2599999999998</v>
      </c>
      <c r="I211" s="6">
        <f>MOD(H211-Settings!$B$32,Settings!$B$33)</f>
        <v>312.25999999999976</v>
      </c>
      <c r="J211" s="6">
        <f>IF(I211&lt;Settings!$B$30,IF(Settings!$B$30-I211&gt;=E211,H211,H211+(Settings!$B$30-I211)+Settings!$B$31),H211+(Settings!$B$33-I211))</f>
        <v>2472.2599999999998</v>
      </c>
      <c r="K211" s="6">
        <f t="shared" si="74"/>
        <v>2496.2799999999997</v>
      </c>
      <c r="L211" s="6">
        <f t="shared" si="75"/>
        <v>2496.2799999999997</v>
      </c>
      <c r="M211" s="6">
        <f t="shared" si="84"/>
        <v>2474.6753645967087</v>
      </c>
      <c r="N211" s="6">
        <f t="shared" si="76"/>
        <v>2496.2799999999997</v>
      </c>
      <c r="O211" s="6">
        <f>Arrivals!I211</f>
        <v>2.6556033633167306</v>
      </c>
      <c r="P211" s="6">
        <f t="shared" si="77"/>
        <v>2498.9356033633167</v>
      </c>
      <c r="Q211" s="6">
        <f t="shared" si="78"/>
        <v>1919.9356033633167</v>
      </c>
      <c r="R211" s="6">
        <f t="shared" si="79"/>
        <v>1893.2599999999998</v>
      </c>
      <c r="S211" s="6">
        <f t="shared" si="80"/>
        <v>0</v>
      </c>
      <c r="T211" s="6">
        <f t="shared" si="81"/>
        <v>0</v>
      </c>
      <c r="U211" s="6">
        <f t="shared" si="82"/>
        <v>1893.2599999999998</v>
      </c>
      <c r="V211" s="6" t="str">
        <f>IF(MOD(C211-Settings!$B$32,Settings!$B$33)&lt;Settings!$B$30,"Up","Down")</f>
        <v>Up</v>
      </c>
      <c r="W211" s="6">
        <f>IF(OR(E211&gt;Settings!$B$30,Q211&gt;Settings!$B$37),0,1)</f>
        <v>0</v>
      </c>
      <c r="X211" s="6">
        <f>IF(AND(W211=1,Q211&lt;=Settings!$B$36),1,0)</f>
        <v>0</v>
      </c>
    </row>
    <row r="212" spans="1:24" x14ac:dyDescent="0.2">
      <c r="A212">
        <f>Arrivals!A212</f>
        <v>2</v>
      </c>
      <c r="B212">
        <f>Arrivals!B212</f>
        <v>87</v>
      </c>
      <c r="C212" s="6">
        <f>Arrivals!F212</f>
        <v>584</v>
      </c>
      <c r="D212" s="6">
        <f>Arrivals!K212</f>
        <v>300</v>
      </c>
      <c r="E212" s="6">
        <f>D212*8/ACE_Input!S92+ACE_Input!T92</f>
        <v>24.02</v>
      </c>
      <c r="F212" s="6">
        <f t="shared" si="72"/>
        <v>584</v>
      </c>
      <c r="G212" s="6">
        <f t="shared" si="83"/>
        <v>2496.2799999999997</v>
      </c>
      <c r="H212" s="6">
        <f t="shared" si="73"/>
        <v>2496.2799999999997</v>
      </c>
      <c r="I212" s="6">
        <f>MOD(H212-Settings!$B$32,Settings!$B$33)</f>
        <v>336.27999999999975</v>
      </c>
      <c r="J212" s="6">
        <f>IF(I212&lt;Settings!$B$30,IF(Settings!$B$30-I212&gt;=E212,H212,H212+(Settings!$B$30-I212)+Settings!$B$31),H212+(Settings!$B$33-I212))</f>
        <v>2496.2799999999997</v>
      </c>
      <c r="K212" s="6">
        <f t="shared" si="74"/>
        <v>2520.2999999999997</v>
      </c>
      <c r="L212" s="6">
        <f t="shared" si="75"/>
        <v>2520.2999999999997</v>
      </c>
      <c r="M212" s="6">
        <f t="shared" si="84"/>
        <v>2498.9356033633167</v>
      </c>
      <c r="N212" s="6">
        <f t="shared" si="76"/>
        <v>2520.2999999999997</v>
      </c>
      <c r="O212" s="6">
        <f>Arrivals!I212</f>
        <v>0.41757539468438948</v>
      </c>
      <c r="P212" s="6">
        <f t="shared" si="77"/>
        <v>2520.717575394684</v>
      </c>
      <c r="Q212" s="6">
        <f t="shared" si="78"/>
        <v>1936.717575394684</v>
      </c>
      <c r="R212" s="6">
        <f t="shared" si="79"/>
        <v>1912.2799999999997</v>
      </c>
      <c r="S212" s="6">
        <f t="shared" si="80"/>
        <v>0</v>
      </c>
      <c r="T212" s="6">
        <f t="shared" si="81"/>
        <v>0</v>
      </c>
      <c r="U212" s="6">
        <f t="shared" si="82"/>
        <v>1912.2799999999997</v>
      </c>
      <c r="V212" s="6" t="str">
        <f>IF(MOD(C212-Settings!$B$32,Settings!$B$33)&lt;Settings!$B$30,"Up","Down")</f>
        <v>Up</v>
      </c>
      <c r="W212" s="6">
        <f>IF(OR(E212&gt;Settings!$B$30,Q212&gt;Settings!$B$37),0,1)</f>
        <v>0</v>
      </c>
      <c r="X212" s="6">
        <f>IF(AND(W212=1,Q212&lt;=Settings!$B$36),1,0)</f>
        <v>0</v>
      </c>
    </row>
    <row r="213" spans="1:24" x14ac:dyDescent="0.2">
      <c r="A213">
        <f>Arrivals!A213</f>
        <v>2</v>
      </c>
      <c r="B213">
        <f>Arrivals!B213</f>
        <v>88</v>
      </c>
      <c r="C213" s="6">
        <f>Arrivals!F213</f>
        <v>589</v>
      </c>
      <c r="D213" s="6">
        <f>Arrivals!K213</f>
        <v>300</v>
      </c>
      <c r="E213" s="6">
        <f>D213*8/ACE_Input!S93+ACE_Input!T93</f>
        <v>24.02</v>
      </c>
      <c r="F213" s="6">
        <f t="shared" si="72"/>
        <v>589</v>
      </c>
      <c r="G213" s="6">
        <f t="shared" si="83"/>
        <v>2520.2999999999997</v>
      </c>
      <c r="H213" s="6">
        <f t="shared" si="73"/>
        <v>2520.2999999999997</v>
      </c>
      <c r="I213" s="6">
        <f>MOD(H213-Settings!$B$32,Settings!$B$33)</f>
        <v>360.29999999999973</v>
      </c>
      <c r="J213" s="6">
        <f>IF(I213&lt;Settings!$B$30,IF(Settings!$B$30-I213&gt;=E213,H213,H213+(Settings!$B$30-I213)+Settings!$B$31),H213+(Settings!$B$33-I213))</f>
        <v>2520.2999999999997</v>
      </c>
      <c r="K213" s="6">
        <f t="shared" si="74"/>
        <v>2544.3199999999997</v>
      </c>
      <c r="L213" s="6">
        <f t="shared" si="75"/>
        <v>2544.3199999999997</v>
      </c>
      <c r="M213" s="6">
        <f t="shared" si="84"/>
        <v>2520.717575394684</v>
      </c>
      <c r="N213" s="6">
        <f t="shared" si="76"/>
        <v>2544.3199999999997</v>
      </c>
      <c r="O213" s="6">
        <f>Arrivals!I213</f>
        <v>0.29387807546422551</v>
      </c>
      <c r="P213" s="6">
        <f t="shared" si="77"/>
        <v>2544.6138780754641</v>
      </c>
      <c r="Q213" s="6">
        <f t="shared" si="78"/>
        <v>1955.6138780754641</v>
      </c>
      <c r="R213" s="6">
        <f t="shared" si="79"/>
        <v>1931.2999999999997</v>
      </c>
      <c r="S213" s="6">
        <f t="shared" si="80"/>
        <v>0</v>
      </c>
      <c r="T213" s="6">
        <f t="shared" si="81"/>
        <v>0</v>
      </c>
      <c r="U213" s="6">
        <f t="shared" si="82"/>
        <v>1931.2999999999997</v>
      </c>
      <c r="V213" s="6" t="str">
        <f>IF(MOD(C213-Settings!$B$32,Settings!$B$33)&lt;Settings!$B$30,"Up","Down")</f>
        <v>Up</v>
      </c>
      <c r="W213" s="6">
        <f>IF(OR(E213&gt;Settings!$B$30,Q213&gt;Settings!$B$37),0,1)</f>
        <v>0</v>
      </c>
      <c r="X213" s="6">
        <f>IF(AND(W213=1,Q213&lt;=Settings!$B$36),1,0)</f>
        <v>0</v>
      </c>
    </row>
    <row r="214" spans="1:24" x14ac:dyDescent="0.2">
      <c r="A214">
        <f>Arrivals!A214</f>
        <v>2</v>
      </c>
      <c r="B214">
        <f>Arrivals!B214</f>
        <v>89</v>
      </c>
      <c r="C214" s="6">
        <f>Arrivals!F214</f>
        <v>594</v>
      </c>
      <c r="D214" s="6">
        <f>Arrivals!K214</f>
        <v>300</v>
      </c>
      <c r="E214" s="6">
        <f>D214*8/ACE_Input!S94+ACE_Input!T94</f>
        <v>24.02</v>
      </c>
      <c r="F214" s="6">
        <f t="shared" si="72"/>
        <v>594</v>
      </c>
      <c r="G214" s="6">
        <f t="shared" si="83"/>
        <v>2544.3199999999997</v>
      </c>
      <c r="H214" s="6">
        <f t="shared" si="73"/>
        <v>2544.3199999999997</v>
      </c>
      <c r="I214" s="6">
        <f>MOD(H214-Settings!$B$32,Settings!$B$33)</f>
        <v>384.31999999999971</v>
      </c>
      <c r="J214" s="6">
        <f>IF(I214&lt;Settings!$B$30,IF(Settings!$B$30-I214&gt;=E214,H214,H214+(Settings!$B$30-I214)+Settings!$B$31),H214+(Settings!$B$33-I214))</f>
        <v>2544.3199999999997</v>
      </c>
      <c r="K214" s="6">
        <f t="shared" si="74"/>
        <v>2568.3399999999997</v>
      </c>
      <c r="L214" s="6">
        <f t="shared" si="75"/>
        <v>2568.3399999999997</v>
      </c>
      <c r="M214" s="6">
        <f t="shared" si="84"/>
        <v>2544.6138780754641</v>
      </c>
      <c r="N214" s="6">
        <f t="shared" si="76"/>
        <v>2568.3399999999997</v>
      </c>
      <c r="O214" s="6">
        <f>Arrivals!I214</f>
        <v>3.0439683416124472</v>
      </c>
      <c r="P214" s="6">
        <f t="shared" si="77"/>
        <v>2571.3839683416122</v>
      </c>
      <c r="Q214" s="6">
        <f t="shared" si="78"/>
        <v>1977.3839683416122</v>
      </c>
      <c r="R214" s="6">
        <f t="shared" si="79"/>
        <v>1950.3199999999997</v>
      </c>
      <c r="S214" s="6">
        <f t="shared" si="80"/>
        <v>0</v>
      </c>
      <c r="T214" s="6">
        <f t="shared" si="81"/>
        <v>0</v>
      </c>
      <c r="U214" s="6">
        <f t="shared" si="82"/>
        <v>1950.3199999999997</v>
      </c>
      <c r="V214" s="6" t="str">
        <f>IF(MOD(C214-Settings!$B$32,Settings!$B$33)&lt;Settings!$B$30,"Up","Down")</f>
        <v>Up</v>
      </c>
      <c r="W214" s="6">
        <f>IF(OR(E214&gt;Settings!$B$30,Q214&gt;Settings!$B$37),0,1)</f>
        <v>0</v>
      </c>
      <c r="X214" s="6">
        <f>IF(AND(W214=1,Q214&lt;=Settings!$B$36),1,0)</f>
        <v>0</v>
      </c>
    </row>
    <row r="215" spans="1:24" x14ac:dyDescent="0.2">
      <c r="A215">
        <f>Arrivals!A215</f>
        <v>2</v>
      </c>
      <c r="B215">
        <f>Arrivals!B215</f>
        <v>90</v>
      </c>
      <c r="C215" s="6">
        <f>Arrivals!F215</f>
        <v>599</v>
      </c>
      <c r="D215" s="6">
        <f>Arrivals!K215</f>
        <v>300</v>
      </c>
      <c r="E215" s="6">
        <f>D215*8/ACE_Input!S95+ACE_Input!T95</f>
        <v>24.02</v>
      </c>
      <c r="F215" s="6">
        <f t="shared" si="72"/>
        <v>599</v>
      </c>
      <c r="G215" s="6">
        <f t="shared" si="83"/>
        <v>2568.3399999999997</v>
      </c>
      <c r="H215" s="6">
        <f t="shared" si="73"/>
        <v>2568.3399999999997</v>
      </c>
      <c r="I215" s="6">
        <f>MOD(H215-Settings!$B$32,Settings!$B$33)</f>
        <v>408.33999999999969</v>
      </c>
      <c r="J215" s="6">
        <f>IF(I215&lt;Settings!$B$30,IF(Settings!$B$30-I215&gt;=E215,H215,H215+(Settings!$B$30-I215)+Settings!$B$31),H215+(Settings!$B$33-I215))</f>
        <v>2568.3399999999997</v>
      </c>
      <c r="K215" s="6">
        <f t="shared" si="74"/>
        <v>2592.3599999999997</v>
      </c>
      <c r="L215" s="6">
        <f t="shared" si="75"/>
        <v>2592.3599999999997</v>
      </c>
      <c r="M215" s="6">
        <f t="shared" si="84"/>
        <v>2571.3839683416122</v>
      </c>
      <c r="N215" s="6">
        <f t="shared" si="76"/>
        <v>2592.3599999999997</v>
      </c>
      <c r="O215" s="6">
        <f>Arrivals!I215</f>
        <v>5.1545631005843866</v>
      </c>
      <c r="P215" s="6">
        <f t="shared" si="77"/>
        <v>2597.5145631005839</v>
      </c>
      <c r="Q215" s="6">
        <f t="shared" si="78"/>
        <v>1998.5145631005839</v>
      </c>
      <c r="R215" s="6">
        <f t="shared" si="79"/>
        <v>1969.3399999999997</v>
      </c>
      <c r="S215" s="6">
        <f t="shared" si="80"/>
        <v>0</v>
      </c>
      <c r="T215" s="6">
        <f t="shared" si="81"/>
        <v>0</v>
      </c>
      <c r="U215" s="6">
        <f t="shared" si="82"/>
        <v>1969.3399999999997</v>
      </c>
      <c r="V215" s="6" t="str">
        <f>IF(MOD(C215-Settings!$B$32,Settings!$B$33)&lt;Settings!$B$30,"Up","Down")</f>
        <v>Up</v>
      </c>
      <c r="W215" s="6">
        <f>IF(OR(E215&gt;Settings!$B$30,Q215&gt;Settings!$B$37),0,1)</f>
        <v>0</v>
      </c>
      <c r="X215" s="6">
        <f>IF(AND(W215=1,Q215&lt;=Settings!$B$36),1,0)</f>
        <v>0</v>
      </c>
    </row>
    <row r="216" spans="1:24" x14ac:dyDescent="0.2">
      <c r="A216">
        <f>Arrivals!A216</f>
        <v>2</v>
      </c>
      <c r="B216">
        <f>Arrivals!B216</f>
        <v>91</v>
      </c>
      <c r="C216" s="6">
        <f>Arrivals!F216</f>
        <v>604</v>
      </c>
      <c r="D216" s="6">
        <f>Arrivals!K216</f>
        <v>300</v>
      </c>
      <c r="E216" s="6">
        <f>D216*8/ACE_Input!S96+ACE_Input!T96</f>
        <v>24.02</v>
      </c>
      <c r="F216" s="6">
        <f t="shared" si="72"/>
        <v>604</v>
      </c>
      <c r="G216" s="6">
        <f t="shared" si="83"/>
        <v>2592.3599999999997</v>
      </c>
      <c r="H216" s="6">
        <f t="shared" si="73"/>
        <v>2592.3599999999997</v>
      </c>
      <c r="I216" s="6">
        <f>MOD(H216-Settings!$B$32,Settings!$B$33)</f>
        <v>432.35999999999967</v>
      </c>
      <c r="J216" s="6">
        <f>IF(I216&lt;Settings!$B$30,IF(Settings!$B$30-I216&gt;=E216,H216,H216+(Settings!$B$30-I216)+Settings!$B$31),H216+(Settings!$B$33-I216))</f>
        <v>2592.3599999999997</v>
      </c>
      <c r="K216" s="6">
        <f t="shared" si="74"/>
        <v>2616.3799999999997</v>
      </c>
      <c r="L216" s="6">
        <f t="shared" si="75"/>
        <v>2616.3799999999997</v>
      </c>
      <c r="M216" s="6">
        <f t="shared" si="84"/>
        <v>2597.5145631005839</v>
      </c>
      <c r="N216" s="6">
        <f t="shared" si="76"/>
        <v>2616.3799999999997</v>
      </c>
      <c r="O216" s="6">
        <f>Arrivals!I216</f>
        <v>1.051966941597104</v>
      </c>
      <c r="P216" s="6">
        <f t="shared" si="77"/>
        <v>2617.4319669415968</v>
      </c>
      <c r="Q216" s="6">
        <f t="shared" si="78"/>
        <v>2013.4319669415968</v>
      </c>
      <c r="R216" s="6">
        <f t="shared" si="79"/>
        <v>1988.3599999999997</v>
      </c>
      <c r="S216" s="6">
        <f t="shared" si="80"/>
        <v>0</v>
      </c>
      <c r="T216" s="6">
        <f t="shared" si="81"/>
        <v>0</v>
      </c>
      <c r="U216" s="6">
        <f t="shared" si="82"/>
        <v>1988.3599999999997</v>
      </c>
      <c r="V216" s="6" t="str">
        <f>IF(MOD(C216-Settings!$B$32,Settings!$B$33)&lt;Settings!$B$30,"Up","Down")</f>
        <v>Down</v>
      </c>
      <c r="W216" s="6">
        <f>IF(OR(E216&gt;Settings!$B$30,Q216&gt;Settings!$B$37),0,1)</f>
        <v>0</v>
      </c>
      <c r="X216" s="6">
        <f>IF(AND(W216=1,Q216&lt;=Settings!$B$36),1,0)</f>
        <v>0</v>
      </c>
    </row>
    <row r="217" spans="1:24" x14ac:dyDescent="0.2">
      <c r="A217">
        <f>Arrivals!A217</f>
        <v>2</v>
      </c>
      <c r="B217">
        <f>Arrivals!B217</f>
        <v>92</v>
      </c>
      <c r="C217" s="6">
        <f>Arrivals!F217</f>
        <v>609</v>
      </c>
      <c r="D217" s="6">
        <f>Arrivals!K217</f>
        <v>300</v>
      </c>
      <c r="E217" s="6">
        <f>D217*8/ACE_Input!S97+ACE_Input!T97</f>
        <v>24.02</v>
      </c>
      <c r="F217" s="6">
        <f t="shared" si="72"/>
        <v>609</v>
      </c>
      <c r="G217" s="6">
        <f t="shared" si="83"/>
        <v>2616.3799999999997</v>
      </c>
      <c r="H217" s="6">
        <f t="shared" si="73"/>
        <v>2616.3799999999997</v>
      </c>
      <c r="I217" s="6">
        <f>MOD(H217-Settings!$B$32,Settings!$B$33)</f>
        <v>456.37999999999965</v>
      </c>
      <c r="J217" s="6">
        <f>IF(I217&lt;Settings!$B$30,IF(Settings!$B$30-I217&gt;=E217,H217,H217+(Settings!$B$30-I217)+Settings!$B$31),H217+(Settings!$B$33-I217))</f>
        <v>2616.3799999999997</v>
      </c>
      <c r="K217" s="6">
        <f t="shared" si="74"/>
        <v>2640.3999999999996</v>
      </c>
      <c r="L217" s="6">
        <f t="shared" si="75"/>
        <v>2640.3999999999996</v>
      </c>
      <c r="M217" s="6">
        <f t="shared" si="84"/>
        <v>2617.4319669415968</v>
      </c>
      <c r="N217" s="6">
        <f t="shared" si="76"/>
        <v>2640.3999999999996</v>
      </c>
      <c r="O217" s="6">
        <f>Arrivals!I217</f>
        <v>4.1782102276058097</v>
      </c>
      <c r="P217" s="6">
        <f t="shared" si="77"/>
        <v>2644.5782102276053</v>
      </c>
      <c r="Q217" s="6">
        <f t="shared" si="78"/>
        <v>2035.5782102276053</v>
      </c>
      <c r="R217" s="6">
        <f t="shared" si="79"/>
        <v>2007.3799999999997</v>
      </c>
      <c r="S217" s="6">
        <f t="shared" si="80"/>
        <v>0</v>
      </c>
      <c r="T217" s="6">
        <f t="shared" si="81"/>
        <v>0</v>
      </c>
      <c r="U217" s="6">
        <f t="shared" si="82"/>
        <v>2007.3799999999997</v>
      </c>
      <c r="V217" s="6" t="str">
        <f>IF(MOD(C217-Settings!$B$32,Settings!$B$33)&lt;Settings!$B$30,"Up","Down")</f>
        <v>Down</v>
      </c>
      <c r="W217" s="6">
        <f>IF(OR(E217&gt;Settings!$B$30,Q217&gt;Settings!$B$37),0,1)</f>
        <v>0</v>
      </c>
      <c r="X217" s="6">
        <f>IF(AND(W217=1,Q217&lt;=Settings!$B$36),1,0)</f>
        <v>0</v>
      </c>
    </row>
    <row r="218" spans="1:24" x14ac:dyDescent="0.2">
      <c r="A218">
        <f>Arrivals!A218</f>
        <v>2</v>
      </c>
      <c r="B218">
        <f>Arrivals!B218</f>
        <v>93</v>
      </c>
      <c r="C218" s="6">
        <f>Arrivals!F218</f>
        <v>614</v>
      </c>
      <c r="D218" s="6">
        <f>Arrivals!K218</f>
        <v>300</v>
      </c>
      <c r="E218" s="6">
        <f>D218*8/ACE_Input!S98+ACE_Input!T98</f>
        <v>24.02</v>
      </c>
      <c r="F218" s="6">
        <f t="shared" si="72"/>
        <v>614</v>
      </c>
      <c r="G218" s="6">
        <f t="shared" si="83"/>
        <v>2640.3999999999996</v>
      </c>
      <c r="H218" s="6">
        <f t="shared" si="73"/>
        <v>2640.3999999999996</v>
      </c>
      <c r="I218" s="6">
        <f>MOD(H218-Settings!$B$32,Settings!$B$33)</f>
        <v>480.39999999999964</v>
      </c>
      <c r="J218" s="6">
        <f>IF(I218&lt;Settings!$B$30,IF(Settings!$B$30-I218&gt;=E218,H218,H218+(Settings!$B$30-I218)+Settings!$B$31),H218+(Settings!$B$33-I218))</f>
        <v>2640.3999999999996</v>
      </c>
      <c r="K218" s="6">
        <f t="shared" si="74"/>
        <v>2664.4199999999996</v>
      </c>
      <c r="L218" s="6">
        <f t="shared" si="75"/>
        <v>2664.4199999999996</v>
      </c>
      <c r="M218" s="6">
        <f t="shared" si="84"/>
        <v>2644.5782102276053</v>
      </c>
      <c r="N218" s="6">
        <f t="shared" si="76"/>
        <v>2664.4199999999996</v>
      </c>
      <c r="O218" s="6">
        <f>Arrivals!I218</f>
        <v>2.5411397940380489</v>
      </c>
      <c r="P218" s="6">
        <f t="shared" si="77"/>
        <v>2666.9611397940375</v>
      </c>
      <c r="Q218" s="6">
        <f t="shared" si="78"/>
        <v>2052.9611397940375</v>
      </c>
      <c r="R218" s="6">
        <f t="shared" si="79"/>
        <v>2026.3999999999996</v>
      </c>
      <c r="S218" s="6">
        <f t="shared" si="80"/>
        <v>0</v>
      </c>
      <c r="T218" s="6">
        <f t="shared" si="81"/>
        <v>0</v>
      </c>
      <c r="U218" s="6">
        <f t="shared" si="82"/>
        <v>2026.3999999999996</v>
      </c>
      <c r="V218" s="6" t="str">
        <f>IF(MOD(C218-Settings!$B$32,Settings!$B$33)&lt;Settings!$B$30,"Up","Down")</f>
        <v>Down</v>
      </c>
      <c r="W218" s="6">
        <f>IF(OR(E218&gt;Settings!$B$30,Q218&gt;Settings!$B$37),0,1)</f>
        <v>0</v>
      </c>
      <c r="X218" s="6">
        <f>IF(AND(W218=1,Q218&lt;=Settings!$B$36),1,0)</f>
        <v>0</v>
      </c>
    </row>
    <row r="219" spans="1:24" x14ac:dyDescent="0.2">
      <c r="A219">
        <f>Arrivals!A219</f>
        <v>2</v>
      </c>
      <c r="B219">
        <f>Arrivals!B219</f>
        <v>94</v>
      </c>
      <c r="C219" s="6">
        <f>Arrivals!F219</f>
        <v>619</v>
      </c>
      <c r="D219" s="6">
        <f>Arrivals!K219</f>
        <v>300</v>
      </c>
      <c r="E219" s="6">
        <f>D219*8/ACE_Input!S99+ACE_Input!T99</f>
        <v>24.02</v>
      </c>
      <c r="F219" s="6">
        <f t="shared" si="72"/>
        <v>619</v>
      </c>
      <c r="G219" s="6">
        <f t="shared" si="83"/>
        <v>2664.4199999999996</v>
      </c>
      <c r="H219" s="6">
        <f t="shared" si="73"/>
        <v>2664.4199999999996</v>
      </c>
      <c r="I219" s="6">
        <f>MOD(H219-Settings!$B$32,Settings!$B$33)</f>
        <v>504.41999999999962</v>
      </c>
      <c r="J219" s="6">
        <f>IF(I219&lt;Settings!$B$30,IF(Settings!$B$30-I219&gt;=E219,H219,H219+(Settings!$B$30-I219)+Settings!$B$31),H219+(Settings!$B$33-I219))</f>
        <v>2664.4199999999996</v>
      </c>
      <c r="K219" s="6">
        <f t="shared" si="74"/>
        <v>2688.4399999999996</v>
      </c>
      <c r="L219" s="6">
        <f t="shared" si="75"/>
        <v>2688.4399999999996</v>
      </c>
      <c r="M219" s="6">
        <f t="shared" si="84"/>
        <v>2666.9611397940375</v>
      </c>
      <c r="N219" s="6">
        <f t="shared" si="76"/>
        <v>2688.4399999999996</v>
      </c>
      <c r="O219" s="6">
        <f>Arrivals!I219</f>
        <v>9.7133200501011174</v>
      </c>
      <c r="P219" s="6">
        <f t="shared" si="77"/>
        <v>2698.1533200501008</v>
      </c>
      <c r="Q219" s="6">
        <f t="shared" si="78"/>
        <v>2079.1533200501008</v>
      </c>
      <c r="R219" s="6">
        <f t="shared" si="79"/>
        <v>2045.4199999999996</v>
      </c>
      <c r="S219" s="6">
        <f t="shared" si="80"/>
        <v>0</v>
      </c>
      <c r="T219" s="6">
        <f t="shared" si="81"/>
        <v>0</v>
      </c>
      <c r="U219" s="6">
        <f t="shared" si="82"/>
        <v>2045.4199999999996</v>
      </c>
      <c r="V219" s="6" t="str">
        <f>IF(MOD(C219-Settings!$B$32,Settings!$B$33)&lt;Settings!$B$30,"Up","Down")</f>
        <v>Down</v>
      </c>
      <c r="W219" s="6">
        <f>IF(OR(E219&gt;Settings!$B$30,Q219&gt;Settings!$B$37),0,1)</f>
        <v>0</v>
      </c>
      <c r="X219" s="6">
        <f>IF(AND(W219=1,Q219&lt;=Settings!$B$36),1,0)</f>
        <v>0</v>
      </c>
    </row>
    <row r="220" spans="1:24" x14ac:dyDescent="0.2">
      <c r="A220">
        <f>Arrivals!A220</f>
        <v>2</v>
      </c>
      <c r="B220">
        <f>Arrivals!B220</f>
        <v>95</v>
      </c>
      <c r="C220" s="6">
        <f>Arrivals!F220</f>
        <v>624</v>
      </c>
      <c r="D220" s="6">
        <f>Arrivals!K220</f>
        <v>300</v>
      </c>
      <c r="E220" s="6">
        <f>D220*8/ACE_Input!S100+ACE_Input!T100</f>
        <v>24.02</v>
      </c>
      <c r="F220" s="6">
        <f t="shared" si="72"/>
        <v>624</v>
      </c>
      <c r="G220" s="6">
        <f t="shared" si="83"/>
        <v>2688.4399999999996</v>
      </c>
      <c r="H220" s="6">
        <f t="shared" si="73"/>
        <v>2688.4399999999996</v>
      </c>
      <c r="I220" s="6">
        <f>MOD(H220-Settings!$B$32,Settings!$B$33)</f>
        <v>528.4399999999996</v>
      </c>
      <c r="J220" s="6">
        <f>IF(I220&lt;Settings!$B$30,IF(Settings!$B$30-I220&gt;=E220,H220,H220+(Settings!$B$30-I220)+Settings!$B$31),H220+(Settings!$B$33-I220))</f>
        <v>2688.4399999999996</v>
      </c>
      <c r="K220" s="6">
        <f t="shared" si="74"/>
        <v>2712.4599999999996</v>
      </c>
      <c r="L220" s="6">
        <f t="shared" si="75"/>
        <v>2712.4599999999996</v>
      </c>
      <c r="M220" s="6">
        <f t="shared" si="84"/>
        <v>2698.1533200501008</v>
      </c>
      <c r="N220" s="6">
        <f t="shared" si="76"/>
        <v>2712.4599999999996</v>
      </c>
      <c r="O220" s="6">
        <f>Arrivals!I220</f>
        <v>8.8994751356967612</v>
      </c>
      <c r="P220" s="6">
        <f t="shared" si="77"/>
        <v>2721.3594751356964</v>
      </c>
      <c r="Q220" s="6">
        <f t="shared" si="78"/>
        <v>2097.3594751356964</v>
      </c>
      <c r="R220" s="6">
        <f t="shared" si="79"/>
        <v>2064.4399999999996</v>
      </c>
      <c r="S220" s="6">
        <f t="shared" si="80"/>
        <v>0</v>
      </c>
      <c r="T220" s="6">
        <f t="shared" si="81"/>
        <v>0</v>
      </c>
      <c r="U220" s="6">
        <f t="shared" si="82"/>
        <v>2064.4399999999996</v>
      </c>
      <c r="V220" s="6" t="str">
        <f>IF(MOD(C220-Settings!$B$32,Settings!$B$33)&lt;Settings!$B$30,"Up","Down")</f>
        <v>Down</v>
      </c>
      <c r="W220" s="6">
        <f>IF(OR(E220&gt;Settings!$B$30,Q220&gt;Settings!$B$37),0,1)</f>
        <v>0</v>
      </c>
      <c r="X220" s="6">
        <f>IF(AND(W220=1,Q220&lt;=Settings!$B$36),1,0)</f>
        <v>0</v>
      </c>
    </row>
    <row r="221" spans="1:24" x14ac:dyDescent="0.2">
      <c r="A221">
        <f>Arrivals!A221</f>
        <v>2</v>
      </c>
      <c r="B221">
        <f>Arrivals!B221</f>
        <v>96</v>
      </c>
      <c r="C221" s="6">
        <f>Arrivals!F221</f>
        <v>629</v>
      </c>
      <c r="D221" s="6">
        <f>Arrivals!K221</f>
        <v>300</v>
      </c>
      <c r="E221" s="6">
        <f>D221*8/ACE_Input!S101+ACE_Input!T101</f>
        <v>24.02</v>
      </c>
      <c r="F221" s="6">
        <f t="shared" si="72"/>
        <v>629</v>
      </c>
      <c r="G221" s="6">
        <f t="shared" si="83"/>
        <v>2712.4599999999996</v>
      </c>
      <c r="H221" s="6">
        <f t="shared" si="73"/>
        <v>2712.4599999999996</v>
      </c>
      <c r="I221" s="6">
        <f>MOD(H221-Settings!$B$32,Settings!$B$33)</f>
        <v>552.45999999999958</v>
      </c>
      <c r="J221" s="6">
        <f>IF(I221&lt;Settings!$B$30,IF(Settings!$B$30-I221&gt;=E221,H221,H221+(Settings!$B$30-I221)+Settings!$B$31),H221+(Settings!$B$33-I221))</f>
        <v>2712.4599999999996</v>
      </c>
      <c r="K221" s="6">
        <f t="shared" si="74"/>
        <v>2736.4799999999996</v>
      </c>
      <c r="L221" s="6">
        <f t="shared" si="75"/>
        <v>2736.4799999999996</v>
      </c>
      <c r="M221" s="6">
        <f t="shared" si="84"/>
        <v>2721.3594751356964</v>
      </c>
      <c r="N221" s="6">
        <f t="shared" si="76"/>
        <v>2736.4799999999996</v>
      </c>
      <c r="O221" s="6">
        <f>Arrivals!I221</f>
        <v>2.5588278641250422</v>
      </c>
      <c r="P221" s="6">
        <f t="shared" si="77"/>
        <v>2739.0388278641244</v>
      </c>
      <c r="Q221" s="6">
        <f t="shared" si="78"/>
        <v>2110.0388278641244</v>
      </c>
      <c r="R221" s="6">
        <f t="shared" si="79"/>
        <v>2083.4599999999996</v>
      </c>
      <c r="S221" s="6">
        <f t="shared" si="80"/>
        <v>0</v>
      </c>
      <c r="T221" s="6">
        <f t="shared" si="81"/>
        <v>0</v>
      </c>
      <c r="U221" s="6">
        <f t="shared" si="82"/>
        <v>2083.4599999999996</v>
      </c>
      <c r="V221" s="6" t="str">
        <f>IF(MOD(C221-Settings!$B$32,Settings!$B$33)&lt;Settings!$B$30,"Up","Down")</f>
        <v>Down</v>
      </c>
      <c r="W221" s="6">
        <f>IF(OR(E221&gt;Settings!$B$30,Q221&gt;Settings!$B$37),0,1)</f>
        <v>0</v>
      </c>
      <c r="X221" s="6">
        <f>IF(AND(W221=1,Q221&lt;=Settings!$B$36),1,0)</f>
        <v>0</v>
      </c>
    </row>
    <row r="222" spans="1:24" x14ac:dyDescent="0.2">
      <c r="A222">
        <f>Arrivals!A222</f>
        <v>2</v>
      </c>
      <c r="B222">
        <f>Arrivals!B222</f>
        <v>97</v>
      </c>
      <c r="C222" s="6">
        <f>Arrivals!F222</f>
        <v>634</v>
      </c>
      <c r="D222" s="6">
        <f>Arrivals!K222</f>
        <v>300</v>
      </c>
      <c r="E222" s="6">
        <f>D222*8/ACE_Input!S102+ACE_Input!T102</f>
        <v>24.02</v>
      </c>
      <c r="F222" s="6">
        <f t="shared" si="72"/>
        <v>634</v>
      </c>
      <c r="G222" s="6">
        <f t="shared" si="83"/>
        <v>2736.4799999999996</v>
      </c>
      <c r="H222" s="6">
        <f t="shared" ref="H222:H225" si="85">MAX(F222,G222)</f>
        <v>2736.4799999999996</v>
      </c>
      <c r="I222" s="6">
        <f>MOD(H222-Settings!$B$32,Settings!$B$33)</f>
        <v>576.47999999999956</v>
      </c>
      <c r="J222" s="6">
        <f>IF(I222&lt;Settings!$B$30,IF(Settings!$B$30-I222&gt;=E222,H222,H222+(Settings!$B$30-I222)+Settings!$B$31),H222+(Settings!$B$33-I222))</f>
        <v>2880</v>
      </c>
      <c r="K222" s="6">
        <f t="shared" ref="K222:K225" si="86">J222+E222</f>
        <v>2904.02</v>
      </c>
      <c r="L222" s="6">
        <f t="shared" ref="L222:L225" si="87">K222</f>
        <v>2904.02</v>
      </c>
      <c r="M222" s="6">
        <f t="shared" si="84"/>
        <v>2739.0388278641244</v>
      </c>
      <c r="N222" s="6">
        <f t="shared" ref="N222:N225" si="88">MAX(L222,M222)</f>
        <v>2904.02</v>
      </c>
      <c r="O222" s="6">
        <f>Arrivals!I222</f>
        <v>0.8871870080075529</v>
      </c>
      <c r="P222" s="6">
        <f t="shared" ref="P222:P225" si="89">N222+O222</f>
        <v>2904.9071870080074</v>
      </c>
      <c r="Q222" s="6">
        <f t="shared" ref="Q222:Q225" si="90">P222-C222</f>
        <v>2270.9071870080074</v>
      </c>
      <c r="R222" s="6">
        <f t="shared" si="79"/>
        <v>2102.4799999999996</v>
      </c>
      <c r="S222" s="6">
        <f t="shared" si="80"/>
        <v>143.52000000000044</v>
      </c>
      <c r="T222" s="6">
        <f t="shared" si="81"/>
        <v>0</v>
      </c>
      <c r="U222" s="6">
        <f t="shared" ref="U222:U225" si="91">R222+S222+T222</f>
        <v>2246</v>
      </c>
      <c r="V222" s="6" t="str">
        <f>IF(MOD(C222-Settings!$B$32,Settings!$B$33)&lt;Settings!$B$30,"Up","Down")</f>
        <v>Down</v>
      </c>
      <c r="W222" s="6">
        <f>IF(OR(E222&gt;Settings!$B$30,Q222&gt;Settings!$B$37),0,1)</f>
        <v>0</v>
      </c>
      <c r="X222" s="6">
        <f>IF(AND(W222=1,Q222&lt;=Settings!$B$36),1,0)</f>
        <v>0</v>
      </c>
    </row>
    <row r="223" spans="1:24" x14ac:dyDescent="0.2">
      <c r="A223">
        <f>Arrivals!A223</f>
        <v>2</v>
      </c>
      <c r="B223">
        <f>Arrivals!B223</f>
        <v>98</v>
      </c>
      <c r="C223" s="6">
        <f>Arrivals!F223</f>
        <v>639</v>
      </c>
      <c r="D223" s="6">
        <f>Arrivals!K223</f>
        <v>300</v>
      </c>
      <c r="E223" s="6">
        <f>D223*8/ACE_Input!S103+ACE_Input!T103</f>
        <v>24.02</v>
      </c>
      <c r="F223" s="6">
        <f t="shared" si="72"/>
        <v>639</v>
      </c>
      <c r="G223" s="6">
        <f t="shared" si="83"/>
        <v>2904.02</v>
      </c>
      <c r="H223" s="6">
        <f t="shared" si="85"/>
        <v>2904.02</v>
      </c>
      <c r="I223" s="6">
        <f>MOD(H223-Settings!$B$32,Settings!$B$33)</f>
        <v>24.019999999999982</v>
      </c>
      <c r="J223" s="6">
        <f>IF(I223&lt;Settings!$B$30,IF(Settings!$B$30-I223&gt;=E223,H223,H223+(Settings!$B$30-I223)+Settings!$B$31),H223+(Settings!$B$33-I223))</f>
        <v>2904.02</v>
      </c>
      <c r="K223" s="6">
        <f t="shared" si="86"/>
        <v>2928.04</v>
      </c>
      <c r="L223" s="6">
        <f t="shared" si="87"/>
        <v>2928.04</v>
      </c>
      <c r="M223" s="6">
        <f t="shared" si="84"/>
        <v>2904.9071870080074</v>
      </c>
      <c r="N223" s="6">
        <f t="shared" si="88"/>
        <v>2928.04</v>
      </c>
      <c r="O223" s="6">
        <f>Arrivals!I223</f>
        <v>1.3099928231651108</v>
      </c>
      <c r="P223" s="6">
        <f t="shared" si="89"/>
        <v>2929.3499928231649</v>
      </c>
      <c r="Q223" s="6">
        <f t="shared" si="90"/>
        <v>2290.3499928231649</v>
      </c>
      <c r="R223" s="6">
        <f t="shared" si="79"/>
        <v>2265.02</v>
      </c>
      <c r="S223" s="6">
        <f t="shared" si="80"/>
        <v>0</v>
      </c>
      <c r="T223" s="6">
        <f t="shared" si="81"/>
        <v>0</v>
      </c>
      <c r="U223" s="6">
        <f t="shared" si="91"/>
        <v>2265.02</v>
      </c>
      <c r="V223" s="6" t="str">
        <f>IF(MOD(C223-Settings!$B$32,Settings!$B$33)&lt;Settings!$B$30,"Up","Down")</f>
        <v>Down</v>
      </c>
      <c r="W223" s="6">
        <f>IF(OR(E223&gt;Settings!$B$30,Q223&gt;Settings!$B$37),0,1)</f>
        <v>0</v>
      </c>
      <c r="X223" s="6">
        <f>IF(AND(W223=1,Q223&lt;=Settings!$B$36),1,0)</f>
        <v>0</v>
      </c>
    </row>
    <row r="224" spans="1:24" x14ac:dyDescent="0.2">
      <c r="A224">
        <f>Arrivals!A224</f>
        <v>2</v>
      </c>
      <c r="B224">
        <f>Arrivals!B224</f>
        <v>99</v>
      </c>
      <c r="C224" s="6">
        <f>Arrivals!F224</f>
        <v>684</v>
      </c>
      <c r="D224" s="6">
        <f>Arrivals!K224</f>
        <v>300</v>
      </c>
      <c r="E224" s="6">
        <f>D224*8/ACE_Input!S104+ACE_Input!T104</f>
        <v>24.02</v>
      </c>
      <c r="F224" s="6">
        <f t="shared" si="72"/>
        <v>684</v>
      </c>
      <c r="G224" s="6">
        <f t="shared" si="83"/>
        <v>2928.04</v>
      </c>
      <c r="H224" s="6">
        <f t="shared" si="85"/>
        <v>2928.04</v>
      </c>
      <c r="I224" s="6">
        <f>MOD(H224-Settings!$B$32,Settings!$B$33)</f>
        <v>48.039999999999964</v>
      </c>
      <c r="J224" s="6">
        <f>IF(I224&lt;Settings!$B$30,IF(Settings!$B$30-I224&gt;=E224,H224,H224+(Settings!$B$30-I224)+Settings!$B$31),H224+(Settings!$B$33-I224))</f>
        <v>2928.04</v>
      </c>
      <c r="K224" s="6">
        <f t="shared" si="86"/>
        <v>2952.06</v>
      </c>
      <c r="L224" s="6">
        <f t="shared" si="87"/>
        <v>2952.06</v>
      </c>
      <c r="M224" s="6">
        <f t="shared" si="84"/>
        <v>2929.3499928231649</v>
      </c>
      <c r="N224" s="6">
        <f t="shared" si="88"/>
        <v>2952.06</v>
      </c>
      <c r="O224" s="6">
        <f>Arrivals!I224</f>
        <v>6.0913881774174286</v>
      </c>
      <c r="P224" s="6">
        <f t="shared" si="89"/>
        <v>2958.1513881774172</v>
      </c>
      <c r="Q224" s="6">
        <f t="shared" si="90"/>
        <v>2274.1513881774172</v>
      </c>
      <c r="R224" s="6">
        <f t="shared" si="79"/>
        <v>2244.04</v>
      </c>
      <c r="S224" s="6">
        <f t="shared" si="80"/>
        <v>0</v>
      </c>
      <c r="T224" s="6">
        <f t="shared" si="81"/>
        <v>0</v>
      </c>
      <c r="U224" s="6">
        <f t="shared" si="91"/>
        <v>2244.04</v>
      </c>
      <c r="V224" s="6" t="str">
        <f>IF(MOD(C224-Settings!$B$32,Settings!$B$33)&lt;Settings!$B$30,"Up","Down")</f>
        <v>Down</v>
      </c>
      <c r="W224" s="6">
        <f>IF(OR(E224&gt;Settings!$B$30,Q224&gt;Settings!$B$37),0,1)</f>
        <v>0</v>
      </c>
      <c r="X224" s="6">
        <f>IF(AND(W224=1,Q224&lt;=Settings!$B$36),1,0)</f>
        <v>0</v>
      </c>
    </row>
    <row r="225" spans="1:24" x14ac:dyDescent="0.2">
      <c r="A225">
        <f>Arrivals!A225</f>
        <v>2</v>
      </c>
      <c r="B225">
        <f>Arrivals!B225</f>
        <v>100</v>
      </c>
      <c r="C225" s="6">
        <f>Arrivals!F225</f>
        <v>689</v>
      </c>
      <c r="D225" s="6">
        <f>Arrivals!K225</f>
        <v>300</v>
      </c>
      <c r="E225" s="6">
        <f>D225*8/ACE_Input!S105+ACE_Input!T105</f>
        <v>24.02</v>
      </c>
      <c r="F225" s="6">
        <f t="shared" si="72"/>
        <v>689</v>
      </c>
      <c r="G225" s="6">
        <f t="shared" si="83"/>
        <v>2952.06</v>
      </c>
      <c r="H225" s="6">
        <f t="shared" si="85"/>
        <v>2952.06</v>
      </c>
      <c r="I225" s="6">
        <f>MOD(H225-Settings!$B$32,Settings!$B$33)</f>
        <v>72.059999999999945</v>
      </c>
      <c r="J225" s="6">
        <f>IF(I225&lt;Settings!$B$30,IF(Settings!$B$30-I225&gt;=E225,H225,H225+(Settings!$B$30-I225)+Settings!$B$31),H225+(Settings!$B$33-I225))</f>
        <v>2952.06</v>
      </c>
      <c r="K225" s="6">
        <f t="shared" si="86"/>
        <v>2976.08</v>
      </c>
      <c r="L225" s="6">
        <f t="shared" si="87"/>
        <v>2976.08</v>
      </c>
      <c r="M225" s="6">
        <f t="shared" si="84"/>
        <v>2958.1513881774172</v>
      </c>
      <c r="N225" s="6">
        <f t="shared" si="88"/>
        <v>2976.08</v>
      </c>
      <c r="O225" s="6">
        <f>Arrivals!I225</f>
        <v>3.2826149537322751</v>
      </c>
      <c r="P225" s="6">
        <f t="shared" si="89"/>
        <v>2979.3626149537322</v>
      </c>
      <c r="Q225" s="6">
        <f t="shared" si="90"/>
        <v>2290.3626149537322</v>
      </c>
      <c r="R225" s="6">
        <f t="shared" si="79"/>
        <v>2263.06</v>
      </c>
      <c r="S225" s="6">
        <f t="shared" si="80"/>
        <v>0</v>
      </c>
      <c r="T225" s="6">
        <f t="shared" si="81"/>
        <v>0</v>
      </c>
      <c r="U225" s="6">
        <f t="shared" si="91"/>
        <v>2263.06</v>
      </c>
      <c r="V225" s="6" t="str">
        <f>IF(MOD(C225-Settings!$B$32,Settings!$B$33)&lt;Settings!$B$30,"Up","Down")</f>
        <v>Down</v>
      </c>
      <c r="W225" s="6">
        <f>IF(OR(E225&gt;Settings!$B$30,Q225&gt;Settings!$B$37),0,1)</f>
        <v>0</v>
      </c>
      <c r="X225" s="6">
        <f>IF(AND(W225=1,Q225&lt;=Settings!$B$36),1,0)</f>
        <v>0</v>
      </c>
    </row>
    <row r="226" spans="1:24" x14ac:dyDescent="0.2">
      <c r="C226" s="6"/>
      <c r="D226" s="6"/>
      <c r="E226" s="6"/>
      <c r="F226" s="6"/>
      <c r="G226" s="6"/>
      <c r="H226" s="6"/>
      <c r="I226" s="6"/>
      <c r="J226" s="6"/>
      <c r="K226" s="6"/>
      <c r="L226" s="6"/>
      <c r="M226" s="6"/>
      <c r="N226" s="6"/>
      <c r="O226" s="6"/>
      <c r="P226" s="6"/>
      <c r="Q226" s="6"/>
      <c r="R226" s="6"/>
      <c r="S226" s="6"/>
      <c r="T226" s="6"/>
      <c r="U226" s="6"/>
      <c r="V226" s="6"/>
      <c r="W226" s="6"/>
      <c r="X226" s="6"/>
    </row>
    <row r="227" spans="1:24" x14ac:dyDescent="0.2">
      <c r="C227" s="6"/>
      <c r="D227" s="6"/>
      <c r="E227" s="6"/>
      <c r="F227" s="6"/>
      <c r="G227" s="6"/>
      <c r="H227" s="6"/>
      <c r="I227" s="6"/>
      <c r="J227" s="6"/>
      <c r="K227" s="6"/>
      <c r="L227" s="6"/>
      <c r="M227" s="6"/>
      <c r="N227" s="6"/>
      <c r="O227" s="6"/>
      <c r="P227" s="6"/>
      <c r="Q227" s="6"/>
      <c r="R227" s="6"/>
      <c r="S227" s="6"/>
      <c r="T227" s="6"/>
      <c r="U227" s="6"/>
      <c r="V227" s="6"/>
      <c r="W227" s="6"/>
      <c r="X227" s="6"/>
    </row>
    <row r="228" spans="1:24" x14ac:dyDescent="0.2">
      <c r="C228" s="6"/>
      <c r="D228" s="6"/>
      <c r="E228" s="6"/>
      <c r="F228" s="6"/>
      <c r="G228" s="6"/>
      <c r="H228" s="6"/>
      <c r="I228" s="6"/>
      <c r="J228" s="6"/>
      <c r="K228" s="6"/>
      <c r="L228" s="6"/>
      <c r="M228" s="6"/>
      <c r="N228" s="6"/>
      <c r="O228" s="6"/>
      <c r="P228" s="6"/>
      <c r="Q228" s="6"/>
      <c r="R228" s="6"/>
      <c r="S228" s="6"/>
      <c r="T228" s="6"/>
      <c r="U228" s="6"/>
      <c r="V228" s="6"/>
      <c r="W228" s="6"/>
      <c r="X228" s="6"/>
    </row>
    <row r="229" spans="1:24" x14ac:dyDescent="0.2">
      <c r="C229" s="6"/>
      <c r="D229" s="6"/>
      <c r="E229" s="6"/>
      <c r="F229" s="6"/>
      <c r="G229" s="6"/>
      <c r="H229" s="6"/>
      <c r="I229" s="6"/>
      <c r="J229" s="6"/>
      <c r="K229" s="6"/>
      <c r="L229" s="6"/>
      <c r="M229" s="6"/>
      <c r="N229" s="6"/>
      <c r="O229" s="6"/>
      <c r="P229" s="6"/>
      <c r="Q229" s="6"/>
      <c r="R229" s="6"/>
      <c r="S229" s="6"/>
      <c r="T229" s="6"/>
      <c r="U229" s="6"/>
      <c r="V229" s="6"/>
      <c r="W229" s="6"/>
      <c r="X229" s="6"/>
    </row>
    <row r="230" spans="1:24" x14ac:dyDescent="0.2">
      <c r="C230" s="6"/>
      <c r="D230" s="6"/>
      <c r="E230" s="6"/>
      <c r="F230" s="6"/>
      <c r="G230" s="6"/>
      <c r="H230" s="6"/>
      <c r="I230" s="6"/>
      <c r="J230" s="6"/>
      <c r="K230" s="6"/>
      <c r="L230" s="6"/>
      <c r="M230" s="6"/>
      <c r="N230" s="6"/>
      <c r="O230" s="6"/>
      <c r="P230" s="6"/>
      <c r="Q230" s="6"/>
      <c r="R230" s="6"/>
      <c r="S230" s="6"/>
      <c r="T230" s="6"/>
      <c r="U230" s="6"/>
      <c r="V230" s="6"/>
      <c r="W230" s="6"/>
      <c r="X230" s="6"/>
    </row>
    <row r="231" spans="1:24" x14ac:dyDescent="0.2">
      <c r="C231" s="6"/>
      <c r="D231" s="6"/>
      <c r="E231" s="6"/>
      <c r="F231" s="6"/>
      <c r="G231" s="6"/>
      <c r="H231" s="6"/>
      <c r="I231" s="6"/>
      <c r="J231" s="6"/>
      <c r="K231" s="6"/>
      <c r="L231" s="6"/>
      <c r="M231" s="6"/>
      <c r="N231" s="6"/>
      <c r="O231" s="6"/>
      <c r="P231" s="6"/>
      <c r="Q231" s="6"/>
      <c r="R231" s="6"/>
      <c r="S231" s="6"/>
      <c r="T231" s="6"/>
      <c r="U231" s="6"/>
      <c r="V231" s="6"/>
      <c r="W231" s="6"/>
      <c r="X231" s="6"/>
    </row>
    <row r="232" spans="1:24" x14ac:dyDescent="0.2">
      <c r="C232" s="6"/>
      <c r="D232" s="6"/>
      <c r="E232" s="6"/>
      <c r="F232" s="6"/>
      <c r="G232" s="6"/>
      <c r="H232" s="6"/>
      <c r="I232" s="6"/>
      <c r="J232" s="6"/>
      <c r="K232" s="6"/>
      <c r="L232" s="6"/>
      <c r="M232" s="6"/>
      <c r="N232" s="6"/>
      <c r="O232" s="6"/>
      <c r="P232" s="6"/>
      <c r="Q232" s="6"/>
      <c r="R232" s="6"/>
      <c r="S232" s="6"/>
      <c r="T232" s="6"/>
      <c r="U232" s="6"/>
      <c r="V232" s="6"/>
      <c r="W232" s="6"/>
      <c r="X232" s="6"/>
    </row>
    <row r="233" spans="1:24" x14ac:dyDescent="0.2">
      <c r="C233" s="6"/>
      <c r="D233" s="6"/>
      <c r="E233" s="6"/>
      <c r="F233" s="6"/>
      <c r="G233" s="6"/>
      <c r="H233" s="6"/>
      <c r="I233" s="6"/>
      <c r="J233" s="6"/>
      <c r="K233" s="6"/>
      <c r="L233" s="6"/>
      <c r="M233" s="6"/>
      <c r="N233" s="6"/>
      <c r="O233" s="6"/>
      <c r="P233" s="6"/>
      <c r="Q233" s="6"/>
      <c r="R233" s="6"/>
      <c r="S233" s="6"/>
      <c r="T233" s="6"/>
      <c r="U233" s="6"/>
      <c r="V233" s="6"/>
      <c r="W233" s="6"/>
      <c r="X233" s="6"/>
    </row>
    <row r="234" spans="1:24" x14ac:dyDescent="0.2">
      <c r="C234" s="6"/>
      <c r="D234" s="6"/>
      <c r="E234" s="6"/>
      <c r="F234" s="6"/>
      <c r="G234" s="6"/>
      <c r="H234" s="6"/>
      <c r="I234" s="6"/>
      <c r="J234" s="6"/>
      <c r="K234" s="6"/>
      <c r="L234" s="6"/>
      <c r="M234" s="6"/>
      <c r="N234" s="6"/>
      <c r="O234" s="6"/>
      <c r="P234" s="6"/>
      <c r="Q234" s="6"/>
      <c r="R234" s="6"/>
      <c r="S234" s="6"/>
      <c r="T234" s="6"/>
      <c r="U234" s="6"/>
      <c r="V234" s="6"/>
      <c r="W234" s="6"/>
      <c r="X234" s="6"/>
    </row>
    <row r="235" spans="1:24" x14ac:dyDescent="0.2">
      <c r="C235" s="6"/>
      <c r="D235" s="6"/>
      <c r="E235" s="6"/>
      <c r="F235" s="6"/>
      <c r="G235" s="6"/>
      <c r="H235" s="6"/>
      <c r="I235" s="6"/>
      <c r="J235" s="6"/>
      <c r="K235" s="6"/>
      <c r="L235" s="6"/>
      <c r="M235" s="6"/>
      <c r="N235" s="6"/>
      <c r="O235" s="6"/>
      <c r="P235" s="6"/>
      <c r="Q235" s="6"/>
      <c r="R235" s="6"/>
      <c r="S235" s="6"/>
      <c r="T235" s="6"/>
      <c r="U235" s="6"/>
      <c r="V235" s="6"/>
      <c r="W235" s="6"/>
      <c r="X235" s="6"/>
    </row>
    <row r="236" spans="1:24" x14ac:dyDescent="0.2">
      <c r="C236" s="6"/>
      <c r="D236" s="6"/>
      <c r="E236" s="6"/>
      <c r="F236" s="6"/>
      <c r="G236" s="6"/>
      <c r="H236" s="6"/>
      <c r="I236" s="6"/>
      <c r="J236" s="6"/>
      <c r="K236" s="6"/>
      <c r="L236" s="6"/>
      <c r="M236" s="6"/>
      <c r="N236" s="6"/>
      <c r="O236" s="6"/>
      <c r="P236" s="6"/>
      <c r="Q236" s="6"/>
      <c r="R236" s="6"/>
      <c r="S236" s="6"/>
      <c r="T236" s="6"/>
      <c r="U236" s="6"/>
      <c r="V236" s="6"/>
      <c r="W236" s="6"/>
      <c r="X236" s="6"/>
    </row>
    <row r="237" spans="1:24" x14ac:dyDescent="0.2">
      <c r="C237" s="6"/>
      <c r="D237" s="6"/>
      <c r="E237" s="6"/>
      <c r="F237" s="6"/>
      <c r="G237" s="6"/>
      <c r="H237" s="6"/>
      <c r="I237" s="6"/>
      <c r="J237" s="6"/>
      <c r="K237" s="6"/>
      <c r="L237" s="6"/>
      <c r="M237" s="6"/>
      <c r="N237" s="6"/>
      <c r="O237" s="6"/>
      <c r="P237" s="6"/>
      <c r="Q237" s="6"/>
      <c r="R237" s="6"/>
      <c r="S237" s="6"/>
      <c r="T237" s="6"/>
      <c r="U237" s="6"/>
      <c r="V237" s="6"/>
      <c r="W237" s="6"/>
      <c r="X237" s="6"/>
    </row>
    <row r="238" spans="1:24" x14ac:dyDescent="0.2">
      <c r="C238" s="6"/>
      <c r="D238" s="6"/>
      <c r="E238" s="6"/>
      <c r="F238" s="6"/>
      <c r="G238" s="6"/>
      <c r="H238" s="6"/>
      <c r="I238" s="6"/>
      <c r="J238" s="6"/>
      <c r="K238" s="6"/>
      <c r="L238" s="6"/>
      <c r="M238" s="6"/>
      <c r="N238" s="6"/>
      <c r="O238" s="6"/>
      <c r="P238" s="6"/>
      <c r="Q238" s="6"/>
      <c r="R238" s="6"/>
      <c r="S238" s="6"/>
      <c r="T238" s="6"/>
      <c r="U238" s="6"/>
      <c r="V238" s="6"/>
      <c r="W238" s="6"/>
      <c r="X238" s="6"/>
    </row>
    <row r="239" spans="1:24" x14ac:dyDescent="0.2">
      <c r="C239" s="6"/>
      <c r="D239" s="6"/>
      <c r="E239" s="6"/>
      <c r="F239" s="6"/>
      <c r="G239" s="6"/>
      <c r="H239" s="6"/>
      <c r="I239" s="6"/>
      <c r="J239" s="6"/>
      <c r="K239" s="6"/>
      <c r="L239" s="6"/>
      <c r="M239" s="6"/>
      <c r="N239" s="6"/>
      <c r="O239" s="6"/>
      <c r="P239" s="6"/>
      <c r="Q239" s="6"/>
      <c r="R239" s="6"/>
      <c r="S239" s="6"/>
      <c r="T239" s="6"/>
      <c r="U239" s="6"/>
      <c r="V239" s="6"/>
      <c r="W239" s="6"/>
      <c r="X239" s="6"/>
    </row>
    <row r="240" spans="1:24" x14ac:dyDescent="0.2">
      <c r="C240" s="6"/>
      <c r="D240" s="6"/>
      <c r="E240" s="6"/>
      <c r="F240" s="6"/>
      <c r="G240" s="6"/>
      <c r="H240" s="6"/>
      <c r="I240" s="6"/>
      <c r="J240" s="6"/>
      <c r="K240" s="6"/>
      <c r="L240" s="6"/>
      <c r="M240" s="6"/>
      <c r="N240" s="6"/>
      <c r="O240" s="6"/>
      <c r="P240" s="6"/>
      <c r="Q240" s="6"/>
      <c r="R240" s="6"/>
      <c r="S240" s="6"/>
      <c r="T240" s="6"/>
      <c r="U240" s="6"/>
      <c r="V240" s="6"/>
      <c r="W240" s="6"/>
      <c r="X240" s="6"/>
    </row>
    <row r="241" spans="1:24" x14ac:dyDescent="0.2">
      <c r="C241" s="6"/>
      <c r="D241" s="6"/>
      <c r="E241" s="6"/>
      <c r="F241" s="6"/>
      <c r="G241" s="6"/>
      <c r="H241" s="6"/>
      <c r="I241" s="6"/>
      <c r="J241" s="6"/>
      <c r="K241" s="6"/>
      <c r="L241" s="6"/>
      <c r="M241" s="6"/>
      <c r="N241" s="6"/>
      <c r="O241" s="6"/>
      <c r="P241" s="6"/>
      <c r="Q241" s="6"/>
      <c r="R241" s="6"/>
      <c r="S241" s="6"/>
      <c r="T241" s="6"/>
      <c r="U241" s="6"/>
      <c r="V241" s="6"/>
      <c r="W241" s="6"/>
      <c r="X241" s="6"/>
    </row>
    <row r="242" spans="1:24" x14ac:dyDescent="0.2">
      <c r="C242" s="6"/>
      <c r="D242" s="6"/>
      <c r="E242" s="6"/>
      <c r="F242" s="6"/>
      <c r="G242" s="6"/>
      <c r="H242" s="6"/>
      <c r="I242" s="6"/>
      <c r="J242" s="6"/>
      <c r="K242" s="6"/>
      <c r="L242" s="6"/>
      <c r="M242" s="6"/>
      <c r="N242" s="6"/>
      <c r="O242" s="6"/>
      <c r="P242" s="6"/>
      <c r="Q242" s="6"/>
      <c r="R242" s="6"/>
      <c r="S242" s="6"/>
      <c r="T242" s="6"/>
      <c r="U242" s="6"/>
      <c r="V242" s="6"/>
      <c r="W242" s="6"/>
      <c r="X242" s="6"/>
    </row>
    <row r="243" spans="1:24" x14ac:dyDescent="0.2">
      <c r="C243" s="6"/>
      <c r="D243" s="6"/>
      <c r="E243" s="6"/>
      <c r="F243" s="6"/>
      <c r="G243" s="6"/>
      <c r="H243" s="6"/>
      <c r="I243" s="6"/>
      <c r="J243" s="6"/>
      <c r="K243" s="6"/>
      <c r="L243" s="6"/>
      <c r="M243" s="6"/>
      <c r="N243" s="6"/>
      <c r="O243" s="6"/>
      <c r="P243" s="6"/>
      <c r="Q243" s="6"/>
      <c r="R243" s="6"/>
      <c r="S243" s="6"/>
      <c r="T243" s="6"/>
      <c r="U243" s="6"/>
      <c r="V243" s="6"/>
      <c r="W243" s="6"/>
      <c r="X243" s="6"/>
    </row>
    <row r="244" spans="1:24" x14ac:dyDescent="0.2">
      <c r="C244" s="6"/>
      <c r="D244" s="6"/>
      <c r="E244" s="6"/>
      <c r="F244" s="6"/>
      <c r="G244" s="6"/>
      <c r="H244" s="6"/>
      <c r="I244" s="6"/>
      <c r="J244" s="6"/>
      <c r="K244" s="6"/>
      <c r="L244" s="6"/>
      <c r="M244" s="6"/>
      <c r="N244" s="6"/>
      <c r="O244" s="6"/>
      <c r="P244" s="6"/>
      <c r="Q244" s="6"/>
      <c r="R244" s="6"/>
      <c r="S244" s="6"/>
      <c r="T244" s="6"/>
      <c r="U244" s="6"/>
      <c r="V244" s="6"/>
      <c r="W244" s="6"/>
      <c r="X244" s="6"/>
    </row>
    <row r="245" spans="1:24" x14ac:dyDescent="0.2">
      <c r="C245" s="6"/>
      <c r="D245" s="6"/>
      <c r="E245" s="6"/>
      <c r="F245" s="6"/>
      <c r="G245" s="6"/>
      <c r="H245" s="6"/>
      <c r="I245" s="6"/>
      <c r="J245" s="6"/>
      <c r="K245" s="6"/>
      <c r="L245" s="6"/>
      <c r="M245" s="6"/>
      <c r="N245" s="6"/>
      <c r="O245" s="6"/>
      <c r="P245" s="6"/>
      <c r="Q245" s="6"/>
      <c r="R245" s="6"/>
      <c r="S245" s="6"/>
      <c r="T245" s="6"/>
      <c r="U245" s="6"/>
      <c r="V245" s="6"/>
      <c r="W245" s="6"/>
      <c r="X245" s="6"/>
    </row>
    <row r="246" spans="1:24" x14ac:dyDescent="0.2">
      <c r="A246">
        <f>Arrivals!A246</f>
        <v>3</v>
      </c>
      <c r="B246">
        <f>Arrivals!B246</f>
        <v>1</v>
      </c>
      <c r="C246" s="6">
        <f>Arrivals!F246</f>
        <v>2</v>
      </c>
      <c r="D246" s="6">
        <f>Arrivals!K246</f>
        <v>300</v>
      </c>
      <c r="E246" s="6">
        <f>D246*8/ACE_Input!S6+ACE_Input!T6</f>
        <v>24.02</v>
      </c>
      <c r="F246" s="6">
        <f t="shared" ref="F246:F277" si="92">C246</f>
        <v>2</v>
      </c>
      <c r="G246" s="6">
        <f>0</f>
        <v>0</v>
      </c>
      <c r="H246" s="6">
        <f t="shared" ref="H246:H277" si="93">MAX(F246,G246)</f>
        <v>2</v>
      </c>
      <c r="I246" s="6">
        <f>MOD(H246-Settings!$B$32,Settings!$B$33)</f>
        <v>2</v>
      </c>
      <c r="J246" s="6">
        <f>IF(I246&lt;Settings!$B$30,IF(Settings!$B$30-I246&gt;=E246,H246,H246+(Settings!$B$30-I246)+Settings!$B$31),H246+(Settings!$B$33-I246))</f>
        <v>2</v>
      </c>
      <c r="K246" s="6">
        <f t="shared" ref="K246:K277" si="94">J246+E246</f>
        <v>26.02</v>
      </c>
      <c r="L246" s="6">
        <f t="shared" ref="L246:L277" si="95">K246</f>
        <v>26.02</v>
      </c>
      <c r="M246" s="6">
        <f>0</f>
        <v>0</v>
      </c>
      <c r="N246" s="6">
        <f t="shared" ref="N246:N277" si="96">MAX(L246,M246)</f>
        <v>26.02</v>
      </c>
      <c r="O246" s="6">
        <f>Arrivals!I246</f>
        <v>3.2063580956339663</v>
      </c>
      <c r="P246" s="6">
        <f t="shared" ref="P246:P277" si="97">N246+O246</f>
        <v>29.226358095633966</v>
      </c>
      <c r="Q246" s="6">
        <f t="shared" ref="Q246:Q277" si="98">P246-C246</f>
        <v>27.226358095633966</v>
      </c>
      <c r="R246" s="6">
        <f t="shared" ref="R246:R277" si="99">H246-F246</f>
        <v>0</v>
      </c>
      <c r="S246" s="6">
        <f t="shared" ref="S246:S277" si="100">J246-H246</f>
        <v>0</v>
      </c>
      <c r="T246" s="6">
        <f t="shared" ref="T246:T277" si="101">N246-L246</f>
        <v>0</v>
      </c>
      <c r="U246" s="6">
        <f t="shared" ref="U246:U277" si="102">R246+S246+T246</f>
        <v>0</v>
      </c>
      <c r="V246" s="6" t="str">
        <f>IF(MOD(C246-Settings!$B$32,Settings!$B$33)&lt;Settings!$B$30,"Up","Down")</f>
        <v>Up</v>
      </c>
      <c r="W246" s="6">
        <f>IF(OR(E246&gt;Settings!$B$30,Q246&gt;Settings!$B$37),0,1)</f>
        <v>1</v>
      </c>
      <c r="X246" s="6">
        <f>IF(AND(W246=1,Q246&lt;=Settings!$B$36),1,0)</f>
        <v>1</v>
      </c>
    </row>
    <row r="247" spans="1:24" x14ac:dyDescent="0.2">
      <c r="A247">
        <f>Arrivals!A247</f>
        <v>3</v>
      </c>
      <c r="B247">
        <f>Arrivals!B247</f>
        <v>2</v>
      </c>
      <c r="C247" s="6">
        <f>Arrivals!F247</f>
        <v>7</v>
      </c>
      <c r="D247" s="6">
        <f>Arrivals!K247</f>
        <v>300</v>
      </c>
      <c r="E247" s="6">
        <f>D247*8/ACE_Input!S7+ACE_Input!T7</f>
        <v>24.02</v>
      </c>
      <c r="F247" s="6">
        <f t="shared" si="92"/>
        <v>7</v>
      </c>
      <c r="G247" s="6">
        <f t="shared" ref="G247:G278" si="103">K246</f>
        <v>26.02</v>
      </c>
      <c r="H247" s="6">
        <f t="shared" si="93"/>
        <v>26.02</v>
      </c>
      <c r="I247" s="6">
        <f>MOD(H247-Settings!$B$32,Settings!$B$33)</f>
        <v>26.02</v>
      </c>
      <c r="J247" s="6">
        <f>IF(I247&lt;Settings!$B$30,IF(Settings!$B$30-I247&gt;=E247,H247,H247+(Settings!$B$30-I247)+Settings!$B$31),H247+(Settings!$B$33-I247))</f>
        <v>26.02</v>
      </c>
      <c r="K247" s="6">
        <f t="shared" si="94"/>
        <v>50.04</v>
      </c>
      <c r="L247" s="6">
        <f t="shared" si="95"/>
        <v>50.04</v>
      </c>
      <c r="M247" s="6">
        <f t="shared" ref="M247:M278" si="104">P246</f>
        <v>29.226358095633966</v>
      </c>
      <c r="N247" s="6">
        <f t="shared" si="96"/>
        <v>50.04</v>
      </c>
      <c r="O247" s="6">
        <f>Arrivals!I247</f>
        <v>0.52246644437503209</v>
      </c>
      <c r="P247" s="6">
        <f t="shared" si="97"/>
        <v>50.562466444375033</v>
      </c>
      <c r="Q247" s="6">
        <f t="shared" si="98"/>
        <v>43.562466444375033</v>
      </c>
      <c r="R247" s="6">
        <f t="shared" si="99"/>
        <v>19.02</v>
      </c>
      <c r="S247" s="6">
        <f t="shared" si="100"/>
        <v>0</v>
      </c>
      <c r="T247" s="6">
        <f t="shared" si="101"/>
        <v>0</v>
      </c>
      <c r="U247" s="6">
        <f t="shared" si="102"/>
        <v>19.02</v>
      </c>
      <c r="V247" s="6" t="str">
        <f>IF(MOD(C247-Settings!$B$32,Settings!$B$33)&lt;Settings!$B$30,"Up","Down")</f>
        <v>Up</v>
      </c>
      <c r="W247" s="6">
        <f>IF(OR(E247&gt;Settings!$B$30,Q247&gt;Settings!$B$37),0,1)</f>
        <v>1</v>
      </c>
      <c r="X247" s="6">
        <f>IF(AND(W247=1,Q247&lt;=Settings!$B$36),1,0)</f>
        <v>1</v>
      </c>
    </row>
    <row r="248" spans="1:24" x14ac:dyDescent="0.2">
      <c r="A248">
        <f>Arrivals!A248</f>
        <v>3</v>
      </c>
      <c r="B248">
        <f>Arrivals!B248</f>
        <v>3</v>
      </c>
      <c r="C248" s="6">
        <f>Arrivals!F248</f>
        <v>32</v>
      </c>
      <c r="D248" s="6">
        <f>Arrivals!K248</f>
        <v>300</v>
      </c>
      <c r="E248" s="6">
        <f>D248*8/ACE_Input!S8+ACE_Input!T8</f>
        <v>24.02</v>
      </c>
      <c r="F248" s="6">
        <f t="shared" si="92"/>
        <v>32</v>
      </c>
      <c r="G248" s="6">
        <f t="shared" si="103"/>
        <v>50.04</v>
      </c>
      <c r="H248" s="6">
        <f t="shared" si="93"/>
        <v>50.04</v>
      </c>
      <c r="I248" s="6">
        <f>MOD(H248-Settings!$B$32,Settings!$B$33)</f>
        <v>50.04</v>
      </c>
      <c r="J248" s="6">
        <f>IF(I248&lt;Settings!$B$30,IF(Settings!$B$30-I248&gt;=E248,H248,H248+(Settings!$B$30-I248)+Settings!$B$31),H248+(Settings!$B$33-I248))</f>
        <v>50.04</v>
      </c>
      <c r="K248" s="6">
        <f t="shared" si="94"/>
        <v>74.06</v>
      </c>
      <c r="L248" s="6">
        <f t="shared" si="95"/>
        <v>74.06</v>
      </c>
      <c r="M248" s="6">
        <f t="shared" si="104"/>
        <v>50.562466444375033</v>
      </c>
      <c r="N248" s="6">
        <f t="shared" si="96"/>
        <v>74.06</v>
      </c>
      <c r="O248" s="6">
        <f>Arrivals!I248</f>
        <v>11.774568033357525</v>
      </c>
      <c r="P248" s="6">
        <f t="shared" si="97"/>
        <v>85.834568033357527</v>
      </c>
      <c r="Q248" s="6">
        <f t="shared" si="98"/>
        <v>53.834568033357527</v>
      </c>
      <c r="R248" s="6">
        <f t="shared" si="99"/>
        <v>18.04</v>
      </c>
      <c r="S248" s="6">
        <f t="shared" si="100"/>
        <v>0</v>
      </c>
      <c r="T248" s="6">
        <f t="shared" si="101"/>
        <v>0</v>
      </c>
      <c r="U248" s="6">
        <f t="shared" si="102"/>
        <v>18.04</v>
      </c>
      <c r="V248" s="6" t="str">
        <f>IF(MOD(C248-Settings!$B$32,Settings!$B$33)&lt;Settings!$B$30,"Up","Down")</f>
        <v>Up</v>
      </c>
      <c r="W248" s="6">
        <f>IF(OR(E248&gt;Settings!$B$30,Q248&gt;Settings!$B$37),0,1)</f>
        <v>1</v>
      </c>
      <c r="X248" s="6">
        <f>IF(AND(W248=1,Q248&lt;=Settings!$B$36),1,0)</f>
        <v>1</v>
      </c>
    </row>
    <row r="249" spans="1:24" x14ac:dyDescent="0.2">
      <c r="A249">
        <f>Arrivals!A249</f>
        <v>3</v>
      </c>
      <c r="B249">
        <f>Arrivals!B249</f>
        <v>4</v>
      </c>
      <c r="C249" s="6">
        <f>Arrivals!F249</f>
        <v>37</v>
      </c>
      <c r="D249" s="6">
        <f>Arrivals!K249</f>
        <v>300</v>
      </c>
      <c r="E249" s="6">
        <f>D249*8/ACE_Input!S9+ACE_Input!T9</f>
        <v>24.02</v>
      </c>
      <c r="F249" s="6">
        <f t="shared" si="92"/>
        <v>37</v>
      </c>
      <c r="G249" s="6">
        <f t="shared" si="103"/>
        <v>74.06</v>
      </c>
      <c r="H249" s="6">
        <f t="shared" si="93"/>
        <v>74.06</v>
      </c>
      <c r="I249" s="6">
        <f>MOD(H249-Settings!$B$32,Settings!$B$33)</f>
        <v>74.06</v>
      </c>
      <c r="J249" s="6">
        <f>IF(I249&lt;Settings!$B$30,IF(Settings!$B$30-I249&gt;=E249,H249,H249+(Settings!$B$30-I249)+Settings!$B$31),H249+(Settings!$B$33-I249))</f>
        <v>74.06</v>
      </c>
      <c r="K249" s="6">
        <f t="shared" si="94"/>
        <v>98.08</v>
      </c>
      <c r="L249" s="6">
        <f t="shared" si="95"/>
        <v>98.08</v>
      </c>
      <c r="M249" s="6">
        <f t="shared" si="104"/>
        <v>85.834568033357527</v>
      </c>
      <c r="N249" s="6">
        <f t="shared" si="96"/>
        <v>98.08</v>
      </c>
      <c r="O249" s="6">
        <f>Arrivals!I249</f>
        <v>5.0321395863669478</v>
      </c>
      <c r="P249" s="6">
        <f t="shared" si="97"/>
        <v>103.11213958636695</v>
      </c>
      <c r="Q249" s="6">
        <f t="shared" si="98"/>
        <v>66.112139586366951</v>
      </c>
      <c r="R249" s="6">
        <f t="shared" si="99"/>
        <v>37.06</v>
      </c>
      <c r="S249" s="6">
        <f t="shared" si="100"/>
        <v>0</v>
      </c>
      <c r="T249" s="6">
        <f t="shared" si="101"/>
        <v>0</v>
      </c>
      <c r="U249" s="6">
        <f t="shared" si="102"/>
        <v>37.06</v>
      </c>
      <c r="V249" s="6" t="str">
        <f>IF(MOD(C249-Settings!$B$32,Settings!$B$33)&lt;Settings!$B$30,"Up","Down")</f>
        <v>Up</v>
      </c>
      <c r="W249" s="6">
        <f>IF(OR(E249&gt;Settings!$B$30,Q249&gt;Settings!$B$37),0,1)</f>
        <v>1</v>
      </c>
      <c r="X249" s="6">
        <f>IF(AND(W249=1,Q249&lt;=Settings!$B$36),1,0)</f>
        <v>1</v>
      </c>
    </row>
    <row r="250" spans="1:24" x14ac:dyDescent="0.2">
      <c r="A250">
        <f>Arrivals!A250</f>
        <v>3</v>
      </c>
      <c r="B250">
        <f>Arrivals!B250</f>
        <v>5</v>
      </c>
      <c r="C250" s="6">
        <f>Arrivals!F250</f>
        <v>42</v>
      </c>
      <c r="D250" s="6">
        <f>Arrivals!K250</f>
        <v>300</v>
      </c>
      <c r="E250" s="6">
        <f>D250*8/ACE_Input!S10+ACE_Input!T10</f>
        <v>24.02</v>
      </c>
      <c r="F250" s="6">
        <f t="shared" si="92"/>
        <v>42</v>
      </c>
      <c r="G250" s="6">
        <f t="shared" si="103"/>
        <v>98.08</v>
      </c>
      <c r="H250" s="6">
        <f t="shared" si="93"/>
        <v>98.08</v>
      </c>
      <c r="I250" s="6">
        <f>MOD(H250-Settings!$B$32,Settings!$B$33)</f>
        <v>98.08</v>
      </c>
      <c r="J250" s="6">
        <f>IF(I250&lt;Settings!$B$30,IF(Settings!$B$30-I250&gt;=E250,H250,H250+(Settings!$B$30-I250)+Settings!$B$31),H250+(Settings!$B$33-I250))</f>
        <v>98.08</v>
      </c>
      <c r="K250" s="6">
        <f t="shared" si="94"/>
        <v>122.1</v>
      </c>
      <c r="L250" s="6">
        <f t="shared" si="95"/>
        <v>122.1</v>
      </c>
      <c r="M250" s="6">
        <f t="shared" si="104"/>
        <v>103.11213958636695</v>
      </c>
      <c r="N250" s="6">
        <f t="shared" si="96"/>
        <v>122.1</v>
      </c>
      <c r="O250" s="6">
        <f>Arrivals!I250</f>
        <v>1.1463802381143915</v>
      </c>
      <c r="P250" s="6">
        <f t="shared" si="97"/>
        <v>123.24638023811438</v>
      </c>
      <c r="Q250" s="6">
        <f t="shared" si="98"/>
        <v>81.246380238114384</v>
      </c>
      <c r="R250" s="6">
        <f t="shared" si="99"/>
        <v>56.08</v>
      </c>
      <c r="S250" s="6">
        <f t="shared" si="100"/>
        <v>0</v>
      </c>
      <c r="T250" s="6">
        <f t="shared" si="101"/>
        <v>0</v>
      </c>
      <c r="U250" s="6">
        <f t="shared" si="102"/>
        <v>56.08</v>
      </c>
      <c r="V250" s="6" t="str">
        <f>IF(MOD(C250-Settings!$B$32,Settings!$B$33)&lt;Settings!$B$30,"Up","Down")</f>
        <v>Up</v>
      </c>
      <c r="W250" s="6">
        <f>IF(OR(E250&gt;Settings!$B$30,Q250&gt;Settings!$B$37),0,1)</f>
        <v>1</v>
      </c>
      <c r="X250" s="6">
        <f>IF(AND(W250=1,Q250&lt;=Settings!$B$36),1,0)</f>
        <v>1</v>
      </c>
    </row>
    <row r="251" spans="1:24" x14ac:dyDescent="0.2">
      <c r="A251">
        <f>Arrivals!A251</f>
        <v>3</v>
      </c>
      <c r="B251">
        <f>Arrivals!B251</f>
        <v>6</v>
      </c>
      <c r="C251" s="6">
        <f>Arrivals!F251</f>
        <v>47</v>
      </c>
      <c r="D251" s="6">
        <f>Arrivals!K251</f>
        <v>300</v>
      </c>
      <c r="E251" s="6">
        <f>D251*8/ACE_Input!S11+ACE_Input!T11</f>
        <v>24.02</v>
      </c>
      <c r="F251" s="6">
        <f t="shared" si="92"/>
        <v>47</v>
      </c>
      <c r="G251" s="6">
        <f t="shared" si="103"/>
        <v>122.1</v>
      </c>
      <c r="H251" s="6">
        <f t="shared" si="93"/>
        <v>122.1</v>
      </c>
      <c r="I251" s="6">
        <f>MOD(H251-Settings!$B$32,Settings!$B$33)</f>
        <v>122.1</v>
      </c>
      <c r="J251" s="6">
        <f>IF(I251&lt;Settings!$B$30,IF(Settings!$B$30-I251&gt;=E251,H251,H251+(Settings!$B$30-I251)+Settings!$B$31),H251+(Settings!$B$33-I251))</f>
        <v>122.1</v>
      </c>
      <c r="K251" s="6">
        <f t="shared" si="94"/>
        <v>146.12</v>
      </c>
      <c r="L251" s="6">
        <f t="shared" si="95"/>
        <v>146.12</v>
      </c>
      <c r="M251" s="6">
        <f t="shared" si="104"/>
        <v>123.24638023811438</v>
      </c>
      <c r="N251" s="6">
        <f t="shared" si="96"/>
        <v>146.12</v>
      </c>
      <c r="O251" s="6">
        <f>Arrivals!I251</f>
        <v>0.16529051065254058</v>
      </c>
      <c r="P251" s="6">
        <f t="shared" si="97"/>
        <v>146.28529051065254</v>
      </c>
      <c r="Q251" s="6">
        <f t="shared" si="98"/>
        <v>99.285290510652544</v>
      </c>
      <c r="R251" s="6">
        <f t="shared" si="99"/>
        <v>75.099999999999994</v>
      </c>
      <c r="S251" s="6">
        <f t="shared" si="100"/>
        <v>0</v>
      </c>
      <c r="T251" s="6">
        <f t="shared" si="101"/>
        <v>0</v>
      </c>
      <c r="U251" s="6">
        <f t="shared" si="102"/>
        <v>75.099999999999994</v>
      </c>
      <c r="V251" s="6" t="str">
        <f>IF(MOD(C251-Settings!$B$32,Settings!$B$33)&lt;Settings!$B$30,"Up","Down")</f>
        <v>Up</v>
      </c>
      <c r="W251" s="6">
        <f>IF(OR(E251&gt;Settings!$B$30,Q251&gt;Settings!$B$37),0,1)</f>
        <v>1</v>
      </c>
      <c r="X251" s="6">
        <f>IF(AND(W251=1,Q251&lt;=Settings!$B$36),1,0)</f>
        <v>1</v>
      </c>
    </row>
    <row r="252" spans="1:24" x14ac:dyDescent="0.2">
      <c r="A252">
        <f>Arrivals!A252</f>
        <v>3</v>
      </c>
      <c r="B252">
        <f>Arrivals!B252</f>
        <v>7</v>
      </c>
      <c r="C252" s="6">
        <f>Arrivals!F252</f>
        <v>52</v>
      </c>
      <c r="D252" s="6">
        <f>Arrivals!K252</f>
        <v>300</v>
      </c>
      <c r="E252" s="6">
        <f>D252*8/ACE_Input!S12+ACE_Input!T12</f>
        <v>24.02</v>
      </c>
      <c r="F252" s="6">
        <f t="shared" si="92"/>
        <v>52</v>
      </c>
      <c r="G252" s="6">
        <f t="shared" si="103"/>
        <v>146.12</v>
      </c>
      <c r="H252" s="6">
        <f t="shared" si="93"/>
        <v>146.12</v>
      </c>
      <c r="I252" s="6">
        <f>MOD(H252-Settings!$B$32,Settings!$B$33)</f>
        <v>146.12</v>
      </c>
      <c r="J252" s="6">
        <f>IF(I252&lt;Settings!$B$30,IF(Settings!$B$30-I252&gt;=E252,H252,H252+(Settings!$B$30-I252)+Settings!$B$31),H252+(Settings!$B$33-I252))</f>
        <v>146.12</v>
      </c>
      <c r="K252" s="6">
        <f t="shared" si="94"/>
        <v>170.14000000000001</v>
      </c>
      <c r="L252" s="6">
        <f t="shared" si="95"/>
        <v>170.14000000000001</v>
      </c>
      <c r="M252" s="6">
        <f t="shared" si="104"/>
        <v>146.28529051065254</v>
      </c>
      <c r="N252" s="6">
        <f t="shared" si="96"/>
        <v>170.14000000000001</v>
      </c>
      <c r="O252" s="6">
        <f>Arrivals!I252</f>
        <v>1.7574567942971298</v>
      </c>
      <c r="P252" s="6">
        <f t="shared" si="97"/>
        <v>171.89745679429714</v>
      </c>
      <c r="Q252" s="6">
        <f t="shared" si="98"/>
        <v>119.89745679429714</v>
      </c>
      <c r="R252" s="6">
        <f t="shared" si="99"/>
        <v>94.12</v>
      </c>
      <c r="S252" s="6">
        <f t="shared" si="100"/>
        <v>0</v>
      </c>
      <c r="T252" s="6">
        <f t="shared" si="101"/>
        <v>0</v>
      </c>
      <c r="U252" s="6">
        <f t="shared" si="102"/>
        <v>94.12</v>
      </c>
      <c r="V252" s="6" t="str">
        <f>IF(MOD(C252-Settings!$B$32,Settings!$B$33)&lt;Settings!$B$30,"Up","Down")</f>
        <v>Up</v>
      </c>
      <c r="W252" s="6">
        <f>IF(OR(E252&gt;Settings!$B$30,Q252&gt;Settings!$B$37),0,1)</f>
        <v>1</v>
      </c>
      <c r="X252" s="6">
        <f>IF(AND(W252=1,Q252&lt;=Settings!$B$36),1,0)</f>
        <v>1</v>
      </c>
    </row>
    <row r="253" spans="1:24" x14ac:dyDescent="0.2">
      <c r="A253">
        <f>Arrivals!A253</f>
        <v>3</v>
      </c>
      <c r="B253">
        <f>Arrivals!B253</f>
        <v>8</v>
      </c>
      <c r="C253" s="6">
        <f>Arrivals!F253</f>
        <v>57</v>
      </c>
      <c r="D253" s="6">
        <f>Arrivals!K253</f>
        <v>300</v>
      </c>
      <c r="E253" s="6">
        <f>D253*8/ACE_Input!S13+ACE_Input!T13</f>
        <v>24.02</v>
      </c>
      <c r="F253" s="6">
        <f t="shared" si="92"/>
        <v>57</v>
      </c>
      <c r="G253" s="6">
        <f t="shared" si="103"/>
        <v>170.14000000000001</v>
      </c>
      <c r="H253" s="6">
        <f t="shared" si="93"/>
        <v>170.14000000000001</v>
      </c>
      <c r="I253" s="6">
        <f>MOD(H253-Settings!$B$32,Settings!$B$33)</f>
        <v>170.14000000000001</v>
      </c>
      <c r="J253" s="6">
        <f>IF(I253&lt;Settings!$B$30,IF(Settings!$B$30-I253&gt;=E253,H253,H253+(Settings!$B$30-I253)+Settings!$B$31),H253+(Settings!$B$33-I253))</f>
        <v>170.14000000000001</v>
      </c>
      <c r="K253" s="6">
        <f t="shared" si="94"/>
        <v>194.16000000000003</v>
      </c>
      <c r="L253" s="6">
        <f t="shared" si="95"/>
        <v>194.16000000000003</v>
      </c>
      <c r="M253" s="6">
        <f t="shared" si="104"/>
        <v>171.89745679429714</v>
      </c>
      <c r="N253" s="6">
        <f t="shared" si="96"/>
        <v>194.16000000000003</v>
      </c>
      <c r="O253" s="6">
        <f>Arrivals!I253</f>
        <v>6.3500088957373197</v>
      </c>
      <c r="P253" s="6">
        <f t="shared" si="97"/>
        <v>200.51000889573734</v>
      </c>
      <c r="Q253" s="6">
        <f t="shared" si="98"/>
        <v>143.51000889573734</v>
      </c>
      <c r="R253" s="6">
        <f t="shared" si="99"/>
        <v>113.14000000000001</v>
      </c>
      <c r="S253" s="6">
        <f t="shared" si="100"/>
        <v>0</v>
      </c>
      <c r="T253" s="6">
        <f t="shared" si="101"/>
        <v>0</v>
      </c>
      <c r="U253" s="6">
        <f t="shared" si="102"/>
        <v>113.14000000000001</v>
      </c>
      <c r="V253" s="6" t="str">
        <f>IF(MOD(C253-Settings!$B$32,Settings!$B$33)&lt;Settings!$B$30,"Up","Down")</f>
        <v>Up</v>
      </c>
      <c r="W253" s="6">
        <f>IF(OR(E253&gt;Settings!$B$30,Q253&gt;Settings!$B$37),0,1)</f>
        <v>1</v>
      </c>
      <c r="X253" s="6">
        <f>IF(AND(W253=1,Q253&lt;=Settings!$B$36),1,0)</f>
        <v>0</v>
      </c>
    </row>
    <row r="254" spans="1:24" x14ac:dyDescent="0.2">
      <c r="A254">
        <f>Arrivals!A254</f>
        <v>3</v>
      </c>
      <c r="B254">
        <f>Arrivals!B254</f>
        <v>9</v>
      </c>
      <c r="C254" s="6">
        <f>Arrivals!F254</f>
        <v>172</v>
      </c>
      <c r="D254" s="6">
        <f>Arrivals!K254</f>
        <v>300</v>
      </c>
      <c r="E254" s="6">
        <f>D254*8/ACE_Input!S14+ACE_Input!T14</f>
        <v>24.02</v>
      </c>
      <c r="F254" s="6">
        <f t="shared" si="92"/>
        <v>172</v>
      </c>
      <c r="G254" s="6">
        <f t="shared" si="103"/>
        <v>194.16000000000003</v>
      </c>
      <c r="H254" s="6">
        <f t="shared" si="93"/>
        <v>194.16000000000003</v>
      </c>
      <c r="I254" s="6">
        <f>MOD(H254-Settings!$B$32,Settings!$B$33)</f>
        <v>194.16000000000003</v>
      </c>
      <c r="J254" s="6">
        <f>IF(I254&lt;Settings!$B$30,IF(Settings!$B$30-I254&gt;=E254,H254,H254+(Settings!$B$30-I254)+Settings!$B$31),H254+(Settings!$B$33-I254))</f>
        <v>194.16000000000003</v>
      </c>
      <c r="K254" s="6">
        <f t="shared" si="94"/>
        <v>218.18000000000004</v>
      </c>
      <c r="L254" s="6">
        <f t="shared" si="95"/>
        <v>218.18000000000004</v>
      </c>
      <c r="M254" s="6">
        <f t="shared" si="104"/>
        <v>200.51000889573734</v>
      </c>
      <c r="N254" s="6">
        <f t="shared" si="96"/>
        <v>218.18000000000004</v>
      </c>
      <c r="O254" s="6">
        <f>Arrivals!I254</f>
        <v>0.20821028627689131</v>
      </c>
      <c r="P254" s="6">
        <f t="shared" si="97"/>
        <v>218.38821028627692</v>
      </c>
      <c r="Q254" s="6">
        <f t="shared" si="98"/>
        <v>46.388210286276916</v>
      </c>
      <c r="R254" s="6">
        <f t="shared" si="99"/>
        <v>22.160000000000025</v>
      </c>
      <c r="S254" s="6">
        <f t="shared" si="100"/>
        <v>0</v>
      </c>
      <c r="T254" s="6">
        <f t="shared" si="101"/>
        <v>0</v>
      </c>
      <c r="U254" s="6">
        <f t="shared" si="102"/>
        <v>22.160000000000025</v>
      </c>
      <c r="V254" s="6" t="str">
        <f>IF(MOD(C254-Settings!$B$32,Settings!$B$33)&lt;Settings!$B$30,"Up","Down")</f>
        <v>Up</v>
      </c>
      <c r="W254" s="6">
        <f>IF(OR(E254&gt;Settings!$B$30,Q254&gt;Settings!$B$37),0,1)</f>
        <v>1</v>
      </c>
      <c r="X254" s="6">
        <f>IF(AND(W254=1,Q254&lt;=Settings!$B$36),1,0)</f>
        <v>1</v>
      </c>
    </row>
    <row r="255" spans="1:24" x14ac:dyDescent="0.2">
      <c r="A255">
        <f>Arrivals!A255</f>
        <v>3</v>
      </c>
      <c r="B255">
        <f>Arrivals!B255</f>
        <v>10</v>
      </c>
      <c r="C255" s="6">
        <f>Arrivals!F255</f>
        <v>177</v>
      </c>
      <c r="D255" s="6">
        <f>Arrivals!K255</f>
        <v>300</v>
      </c>
      <c r="E255" s="6">
        <f>D255*8/ACE_Input!S15+ACE_Input!T15</f>
        <v>24.02</v>
      </c>
      <c r="F255" s="6">
        <f t="shared" si="92"/>
        <v>177</v>
      </c>
      <c r="G255" s="6">
        <f t="shared" si="103"/>
        <v>218.18000000000004</v>
      </c>
      <c r="H255" s="6">
        <f t="shared" si="93"/>
        <v>218.18000000000004</v>
      </c>
      <c r="I255" s="6">
        <f>MOD(H255-Settings!$B$32,Settings!$B$33)</f>
        <v>218.18000000000004</v>
      </c>
      <c r="J255" s="6">
        <f>IF(I255&lt;Settings!$B$30,IF(Settings!$B$30-I255&gt;=E255,H255,H255+(Settings!$B$30-I255)+Settings!$B$31),H255+(Settings!$B$33-I255))</f>
        <v>218.18000000000004</v>
      </c>
      <c r="K255" s="6">
        <f t="shared" si="94"/>
        <v>242.20000000000005</v>
      </c>
      <c r="L255" s="6">
        <f t="shared" si="95"/>
        <v>242.20000000000005</v>
      </c>
      <c r="M255" s="6">
        <f t="shared" si="104"/>
        <v>218.38821028627692</v>
      </c>
      <c r="N255" s="6">
        <f t="shared" si="96"/>
        <v>242.20000000000005</v>
      </c>
      <c r="O255" s="6">
        <f>Arrivals!I255</f>
        <v>2.5282969490735496</v>
      </c>
      <c r="P255" s="6">
        <f t="shared" si="97"/>
        <v>244.72829694907358</v>
      </c>
      <c r="Q255" s="6">
        <f t="shared" si="98"/>
        <v>67.728296949073581</v>
      </c>
      <c r="R255" s="6">
        <f t="shared" si="99"/>
        <v>41.180000000000035</v>
      </c>
      <c r="S255" s="6">
        <f t="shared" si="100"/>
        <v>0</v>
      </c>
      <c r="T255" s="6">
        <f t="shared" si="101"/>
        <v>0</v>
      </c>
      <c r="U255" s="6">
        <f t="shared" si="102"/>
        <v>41.180000000000035</v>
      </c>
      <c r="V255" s="6" t="str">
        <f>IF(MOD(C255-Settings!$B$32,Settings!$B$33)&lt;Settings!$B$30,"Up","Down")</f>
        <v>Up</v>
      </c>
      <c r="W255" s="6">
        <f>IF(OR(E255&gt;Settings!$B$30,Q255&gt;Settings!$B$37),0,1)</f>
        <v>1</v>
      </c>
      <c r="X255" s="6">
        <f>IF(AND(W255=1,Q255&lt;=Settings!$B$36),1,0)</f>
        <v>1</v>
      </c>
    </row>
    <row r="256" spans="1:24" x14ac:dyDescent="0.2">
      <c r="A256">
        <f>Arrivals!A256</f>
        <v>3</v>
      </c>
      <c r="B256">
        <f>Arrivals!B256</f>
        <v>11</v>
      </c>
      <c r="C256" s="6">
        <f>Arrivals!F256</f>
        <v>182</v>
      </c>
      <c r="D256" s="6">
        <f>Arrivals!K256</f>
        <v>300</v>
      </c>
      <c r="E256" s="6">
        <f>D256*8/ACE_Input!S16+ACE_Input!T16</f>
        <v>24.02</v>
      </c>
      <c r="F256" s="6">
        <f t="shared" si="92"/>
        <v>182</v>
      </c>
      <c r="G256" s="6">
        <f t="shared" si="103"/>
        <v>242.20000000000005</v>
      </c>
      <c r="H256" s="6">
        <f t="shared" si="93"/>
        <v>242.20000000000005</v>
      </c>
      <c r="I256" s="6">
        <f>MOD(H256-Settings!$B$32,Settings!$B$33)</f>
        <v>242.20000000000005</v>
      </c>
      <c r="J256" s="6">
        <f>IF(I256&lt;Settings!$B$30,IF(Settings!$B$30-I256&gt;=E256,H256,H256+(Settings!$B$30-I256)+Settings!$B$31),H256+(Settings!$B$33-I256))</f>
        <v>242.20000000000005</v>
      </c>
      <c r="K256" s="6">
        <f t="shared" si="94"/>
        <v>266.22000000000003</v>
      </c>
      <c r="L256" s="6">
        <f t="shared" si="95"/>
        <v>266.22000000000003</v>
      </c>
      <c r="M256" s="6">
        <f t="shared" si="104"/>
        <v>244.72829694907358</v>
      </c>
      <c r="N256" s="6">
        <f t="shared" si="96"/>
        <v>266.22000000000003</v>
      </c>
      <c r="O256" s="6">
        <f>Arrivals!I256</f>
        <v>1.2996875390956424</v>
      </c>
      <c r="P256" s="6">
        <f t="shared" si="97"/>
        <v>267.51968753909568</v>
      </c>
      <c r="Q256" s="6">
        <f t="shared" si="98"/>
        <v>85.519687539095685</v>
      </c>
      <c r="R256" s="6">
        <f t="shared" si="99"/>
        <v>60.200000000000045</v>
      </c>
      <c r="S256" s="6">
        <f t="shared" si="100"/>
        <v>0</v>
      </c>
      <c r="T256" s="6">
        <f t="shared" si="101"/>
        <v>0</v>
      </c>
      <c r="U256" s="6">
        <f t="shared" si="102"/>
        <v>60.200000000000045</v>
      </c>
      <c r="V256" s="6" t="str">
        <f>IF(MOD(C256-Settings!$B$32,Settings!$B$33)&lt;Settings!$B$30,"Up","Down")</f>
        <v>Up</v>
      </c>
      <c r="W256" s="6">
        <f>IF(OR(E256&gt;Settings!$B$30,Q256&gt;Settings!$B$37),0,1)</f>
        <v>1</v>
      </c>
      <c r="X256" s="6">
        <f>IF(AND(W256=1,Q256&lt;=Settings!$B$36),1,0)</f>
        <v>1</v>
      </c>
    </row>
    <row r="257" spans="1:24" x14ac:dyDescent="0.2">
      <c r="A257">
        <f>Arrivals!A257</f>
        <v>3</v>
      </c>
      <c r="B257">
        <f>Arrivals!B257</f>
        <v>12</v>
      </c>
      <c r="C257" s="6">
        <f>Arrivals!F257</f>
        <v>187</v>
      </c>
      <c r="D257" s="6">
        <f>Arrivals!K257</f>
        <v>300</v>
      </c>
      <c r="E257" s="6">
        <f>D257*8/ACE_Input!S17+ACE_Input!T17</f>
        <v>24.02</v>
      </c>
      <c r="F257" s="6">
        <f t="shared" si="92"/>
        <v>187</v>
      </c>
      <c r="G257" s="6">
        <f t="shared" si="103"/>
        <v>266.22000000000003</v>
      </c>
      <c r="H257" s="6">
        <f t="shared" si="93"/>
        <v>266.22000000000003</v>
      </c>
      <c r="I257" s="6">
        <f>MOD(H257-Settings!$B$32,Settings!$B$33)</f>
        <v>266.22000000000003</v>
      </c>
      <c r="J257" s="6">
        <f>IF(I257&lt;Settings!$B$30,IF(Settings!$B$30-I257&gt;=E257,H257,H257+(Settings!$B$30-I257)+Settings!$B$31),H257+(Settings!$B$33-I257))</f>
        <v>266.22000000000003</v>
      </c>
      <c r="K257" s="6">
        <f t="shared" si="94"/>
        <v>290.24</v>
      </c>
      <c r="L257" s="6">
        <f t="shared" si="95"/>
        <v>290.24</v>
      </c>
      <c r="M257" s="6">
        <f t="shared" si="104"/>
        <v>267.51968753909568</v>
      </c>
      <c r="N257" s="6">
        <f t="shared" si="96"/>
        <v>290.24</v>
      </c>
      <c r="O257" s="6">
        <f>Arrivals!I257</f>
        <v>3.0554520800999727</v>
      </c>
      <c r="P257" s="6">
        <f t="shared" si="97"/>
        <v>293.29545208010001</v>
      </c>
      <c r="Q257" s="6">
        <f t="shared" si="98"/>
        <v>106.29545208010001</v>
      </c>
      <c r="R257" s="6">
        <f t="shared" si="99"/>
        <v>79.220000000000027</v>
      </c>
      <c r="S257" s="6">
        <f t="shared" si="100"/>
        <v>0</v>
      </c>
      <c r="T257" s="6">
        <f t="shared" si="101"/>
        <v>0</v>
      </c>
      <c r="U257" s="6">
        <f t="shared" si="102"/>
        <v>79.220000000000027</v>
      </c>
      <c r="V257" s="6" t="str">
        <f>IF(MOD(C257-Settings!$B$32,Settings!$B$33)&lt;Settings!$B$30,"Up","Down")</f>
        <v>Up</v>
      </c>
      <c r="W257" s="6">
        <f>IF(OR(E257&gt;Settings!$B$30,Q257&gt;Settings!$B$37),0,1)</f>
        <v>1</v>
      </c>
      <c r="X257" s="6">
        <f>IF(AND(W257=1,Q257&lt;=Settings!$B$36),1,0)</f>
        <v>1</v>
      </c>
    </row>
    <row r="258" spans="1:24" x14ac:dyDescent="0.2">
      <c r="A258">
        <f>Arrivals!A258</f>
        <v>3</v>
      </c>
      <c r="B258">
        <f>Arrivals!B258</f>
        <v>13</v>
      </c>
      <c r="C258" s="6">
        <f>Arrivals!F258</f>
        <v>192</v>
      </c>
      <c r="D258" s="6">
        <f>Arrivals!K258</f>
        <v>300</v>
      </c>
      <c r="E258" s="6">
        <f>D258*8/ACE_Input!S18+ACE_Input!T18</f>
        <v>24.02</v>
      </c>
      <c r="F258" s="6">
        <f t="shared" si="92"/>
        <v>192</v>
      </c>
      <c r="G258" s="6">
        <f t="shared" si="103"/>
        <v>290.24</v>
      </c>
      <c r="H258" s="6">
        <f t="shared" si="93"/>
        <v>290.24</v>
      </c>
      <c r="I258" s="6">
        <f>MOD(H258-Settings!$B$32,Settings!$B$33)</f>
        <v>290.24</v>
      </c>
      <c r="J258" s="6">
        <f>IF(I258&lt;Settings!$B$30,IF(Settings!$B$30-I258&gt;=E258,H258,H258+(Settings!$B$30-I258)+Settings!$B$31),H258+(Settings!$B$33-I258))</f>
        <v>290.24</v>
      </c>
      <c r="K258" s="6">
        <f t="shared" si="94"/>
        <v>314.26</v>
      </c>
      <c r="L258" s="6">
        <f t="shared" si="95"/>
        <v>314.26</v>
      </c>
      <c r="M258" s="6">
        <f t="shared" si="104"/>
        <v>293.29545208010001</v>
      </c>
      <c r="N258" s="6">
        <f t="shared" si="96"/>
        <v>314.26</v>
      </c>
      <c r="O258" s="6">
        <f>Arrivals!I258</f>
        <v>1.073586253106565</v>
      </c>
      <c r="P258" s="6">
        <f t="shared" si="97"/>
        <v>315.33358625310655</v>
      </c>
      <c r="Q258" s="6">
        <f t="shared" si="98"/>
        <v>123.33358625310655</v>
      </c>
      <c r="R258" s="6">
        <f t="shared" si="99"/>
        <v>98.240000000000009</v>
      </c>
      <c r="S258" s="6">
        <f t="shared" si="100"/>
        <v>0</v>
      </c>
      <c r="T258" s="6">
        <f t="shared" si="101"/>
        <v>0</v>
      </c>
      <c r="U258" s="6">
        <f t="shared" si="102"/>
        <v>98.240000000000009</v>
      </c>
      <c r="V258" s="6" t="str">
        <f>IF(MOD(C258-Settings!$B$32,Settings!$B$33)&lt;Settings!$B$30,"Up","Down")</f>
        <v>Up</v>
      </c>
      <c r="W258" s="6">
        <f>IF(OR(E258&gt;Settings!$B$30,Q258&gt;Settings!$B$37),0,1)</f>
        <v>1</v>
      </c>
      <c r="X258" s="6">
        <f>IF(AND(W258=1,Q258&lt;=Settings!$B$36),1,0)</f>
        <v>0</v>
      </c>
    </row>
    <row r="259" spans="1:24" x14ac:dyDescent="0.2">
      <c r="A259">
        <f>Arrivals!A259</f>
        <v>3</v>
      </c>
      <c r="B259">
        <f>Arrivals!B259</f>
        <v>14</v>
      </c>
      <c r="C259" s="6">
        <f>Arrivals!F259</f>
        <v>197</v>
      </c>
      <c r="D259" s="6">
        <f>Arrivals!K259</f>
        <v>300</v>
      </c>
      <c r="E259" s="6">
        <f>D259*8/ACE_Input!S19+ACE_Input!T19</f>
        <v>24.02</v>
      </c>
      <c r="F259" s="6">
        <f t="shared" si="92"/>
        <v>197</v>
      </c>
      <c r="G259" s="6">
        <f t="shared" si="103"/>
        <v>314.26</v>
      </c>
      <c r="H259" s="6">
        <f t="shared" si="93"/>
        <v>314.26</v>
      </c>
      <c r="I259" s="6">
        <f>MOD(H259-Settings!$B$32,Settings!$B$33)</f>
        <v>314.26</v>
      </c>
      <c r="J259" s="6">
        <f>IF(I259&lt;Settings!$B$30,IF(Settings!$B$30-I259&gt;=E259,H259,H259+(Settings!$B$30-I259)+Settings!$B$31),H259+(Settings!$B$33-I259))</f>
        <v>314.26</v>
      </c>
      <c r="K259" s="6">
        <f t="shared" si="94"/>
        <v>338.28</v>
      </c>
      <c r="L259" s="6">
        <f t="shared" si="95"/>
        <v>338.28</v>
      </c>
      <c r="M259" s="6">
        <f t="shared" si="104"/>
        <v>315.33358625310655</v>
      </c>
      <c r="N259" s="6">
        <f t="shared" si="96"/>
        <v>338.28</v>
      </c>
      <c r="O259" s="6">
        <f>Arrivals!I259</f>
        <v>1.3815411102256421</v>
      </c>
      <c r="P259" s="6">
        <f t="shared" si="97"/>
        <v>339.66154111022564</v>
      </c>
      <c r="Q259" s="6">
        <f t="shared" si="98"/>
        <v>142.66154111022564</v>
      </c>
      <c r="R259" s="6">
        <f t="shared" si="99"/>
        <v>117.25999999999999</v>
      </c>
      <c r="S259" s="6">
        <f t="shared" si="100"/>
        <v>0</v>
      </c>
      <c r="T259" s="6">
        <f t="shared" si="101"/>
        <v>0</v>
      </c>
      <c r="U259" s="6">
        <f t="shared" si="102"/>
        <v>117.25999999999999</v>
      </c>
      <c r="V259" s="6" t="str">
        <f>IF(MOD(C259-Settings!$B$32,Settings!$B$33)&lt;Settings!$B$30,"Up","Down")</f>
        <v>Up</v>
      </c>
      <c r="W259" s="6">
        <f>IF(OR(E259&gt;Settings!$B$30,Q259&gt;Settings!$B$37),0,1)</f>
        <v>1</v>
      </c>
      <c r="X259" s="6">
        <f>IF(AND(W259=1,Q259&lt;=Settings!$B$36),1,0)</f>
        <v>0</v>
      </c>
    </row>
    <row r="260" spans="1:24" x14ac:dyDescent="0.2">
      <c r="A260">
        <f>Arrivals!A260</f>
        <v>3</v>
      </c>
      <c r="B260">
        <f>Arrivals!B260</f>
        <v>15</v>
      </c>
      <c r="C260" s="6">
        <f>Arrivals!F260</f>
        <v>202</v>
      </c>
      <c r="D260" s="6">
        <f>Arrivals!K260</f>
        <v>300</v>
      </c>
      <c r="E260" s="6">
        <f>D260*8/ACE_Input!S20+ACE_Input!T20</f>
        <v>24.02</v>
      </c>
      <c r="F260" s="6">
        <f t="shared" si="92"/>
        <v>202</v>
      </c>
      <c r="G260" s="6">
        <f t="shared" si="103"/>
        <v>338.28</v>
      </c>
      <c r="H260" s="6">
        <f t="shared" si="93"/>
        <v>338.28</v>
      </c>
      <c r="I260" s="6">
        <f>MOD(H260-Settings!$B$32,Settings!$B$33)</f>
        <v>338.28</v>
      </c>
      <c r="J260" s="6">
        <f>IF(I260&lt;Settings!$B$30,IF(Settings!$B$30-I260&gt;=E260,H260,H260+(Settings!$B$30-I260)+Settings!$B$31),H260+(Settings!$B$33-I260))</f>
        <v>338.28</v>
      </c>
      <c r="K260" s="6">
        <f t="shared" si="94"/>
        <v>362.29999999999995</v>
      </c>
      <c r="L260" s="6">
        <f t="shared" si="95"/>
        <v>362.29999999999995</v>
      </c>
      <c r="M260" s="6">
        <f t="shared" si="104"/>
        <v>339.66154111022564</v>
      </c>
      <c r="N260" s="6">
        <f t="shared" si="96"/>
        <v>362.29999999999995</v>
      </c>
      <c r="O260" s="6">
        <f>Arrivals!I260</f>
        <v>2.9829662336054308</v>
      </c>
      <c r="P260" s="6">
        <f t="shared" si="97"/>
        <v>365.28296623360541</v>
      </c>
      <c r="Q260" s="6">
        <f t="shared" si="98"/>
        <v>163.28296623360541</v>
      </c>
      <c r="R260" s="6">
        <f t="shared" si="99"/>
        <v>136.27999999999997</v>
      </c>
      <c r="S260" s="6">
        <f t="shared" si="100"/>
        <v>0</v>
      </c>
      <c r="T260" s="6">
        <f t="shared" si="101"/>
        <v>0</v>
      </c>
      <c r="U260" s="6">
        <f t="shared" si="102"/>
        <v>136.27999999999997</v>
      </c>
      <c r="V260" s="6" t="str">
        <f>IF(MOD(C260-Settings!$B$32,Settings!$B$33)&lt;Settings!$B$30,"Up","Down")</f>
        <v>Up</v>
      </c>
      <c r="W260" s="6">
        <f>IF(OR(E260&gt;Settings!$B$30,Q260&gt;Settings!$B$37),0,1)</f>
        <v>1</v>
      </c>
      <c r="X260" s="6">
        <f>IF(AND(W260=1,Q260&lt;=Settings!$B$36),1,0)</f>
        <v>0</v>
      </c>
    </row>
    <row r="261" spans="1:24" x14ac:dyDescent="0.2">
      <c r="A261">
        <f>Arrivals!A261</f>
        <v>3</v>
      </c>
      <c r="B261">
        <f>Arrivals!B261</f>
        <v>16</v>
      </c>
      <c r="C261" s="6">
        <f>Arrivals!F261</f>
        <v>207</v>
      </c>
      <c r="D261" s="6">
        <f>Arrivals!K261</f>
        <v>300</v>
      </c>
      <c r="E261" s="6">
        <f>D261*8/ACE_Input!S21+ACE_Input!T21</f>
        <v>24.02</v>
      </c>
      <c r="F261" s="6">
        <f t="shared" si="92"/>
        <v>207</v>
      </c>
      <c r="G261" s="6">
        <f t="shared" si="103"/>
        <v>362.29999999999995</v>
      </c>
      <c r="H261" s="6">
        <f t="shared" si="93"/>
        <v>362.29999999999995</v>
      </c>
      <c r="I261" s="6">
        <f>MOD(H261-Settings!$B$32,Settings!$B$33)</f>
        <v>362.29999999999995</v>
      </c>
      <c r="J261" s="6">
        <f>IF(I261&lt;Settings!$B$30,IF(Settings!$B$30-I261&gt;=E261,H261,H261+(Settings!$B$30-I261)+Settings!$B$31),H261+(Settings!$B$33-I261))</f>
        <v>362.29999999999995</v>
      </c>
      <c r="K261" s="6">
        <f t="shared" si="94"/>
        <v>386.31999999999994</v>
      </c>
      <c r="L261" s="6">
        <f t="shared" si="95"/>
        <v>386.31999999999994</v>
      </c>
      <c r="M261" s="6">
        <f t="shared" si="104"/>
        <v>365.28296623360541</v>
      </c>
      <c r="N261" s="6">
        <f t="shared" si="96"/>
        <v>386.31999999999994</v>
      </c>
      <c r="O261" s="6">
        <f>Arrivals!I261</f>
        <v>0.22720356577320372</v>
      </c>
      <c r="P261" s="6">
        <f t="shared" si="97"/>
        <v>386.54720356577315</v>
      </c>
      <c r="Q261" s="6">
        <f t="shared" si="98"/>
        <v>179.54720356577315</v>
      </c>
      <c r="R261" s="6">
        <f t="shared" si="99"/>
        <v>155.29999999999995</v>
      </c>
      <c r="S261" s="6">
        <f t="shared" si="100"/>
        <v>0</v>
      </c>
      <c r="T261" s="6">
        <f t="shared" si="101"/>
        <v>0</v>
      </c>
      <c r="U261" s="6">
        <f t="shared" si="102"/>
        <v>155.29999999999995</v>
      </c>
      <c r="V261" s="6" t="str">
        <f>IF(MOD(C261-Settings!$B$32,Settings!$B$33)&lt;Settings!$B$30,"Up","Down")</f>
        <v>Up</v>
      </c>
      <c r="W261" s="6">
        <f>IF(OR(E261&gt;Settings!$B$30,Q261&gt;Settings!$B$37),0,1)</f>
        <v>1</v>
      </c>
      <c r="X261" s="6">
        <f>IF(AND(W261=1,Q261&lt;=Settings!$B$36),1,0)</f>
        <v>0</v>
      </c>
    </row>
    <row r="262" spans="1:24" x14ac:dyDescent="0.2">
      <c r="A262">
        <f>Arrivals!A262</f>
        <v>3</v>
      </c>
      <c r="B262">
        <f>Arrivals!B262</f>
        <v>17</v>
      </c>
      <c r="C262" s="6">
        <f>Arrivals!F262</f>
        <v>212</v>
      </c>
      <c r="D262" s="6">
        <f>Arrivals!K262</f>
        <v>300</v>
      </c>
      <c r="E262" s="6">
        <f>D262*8/ACE_Input!S22+ACE_Input!T22</f>
        <v>24.02</v>
      </c>
      <c r="F262" s="6">
        <f t="shared" si="92"/>
        <v>212</v>
      </c>
      <c r="G262" s="6">
        <f t="shared" si="103"/>
        <v>386.31999999999994</v>
      </c>
      <c r="H262" s="6">
        <f t="shared" si="93"/>
        <v>386.31999999999994</v>
      </c>
      <c r="I262" s="6">
        <f>MOD(H262-Settings!$B$32,Settings!$B$33)</f>
        <v>386.31999999999994</v>
      </c>
      <c r="J262" s="6">
        <f>IF(I262&lt;Settings!$B$30,IF(Settings!$B$30-I262&gt;=E262,H262,H262+(Settings!$B$30-I262)+Settings!$B$31),H262+(Settings!$B$33-I262))</f>
        <v>386.31999999999994</v>
      </c>
      <c r="K262" s="6">
        <f t="shared" si="94"/>
        <v>410.33999999999992</v>
      </c>
      <c r="L262" s="6">
        <f t="shared" si="95"/>
        <v>410.33999999999992</v>
      </c>
      <c r="M262" s="6">
        <f t="shared" si="104"/>
        <v>386.54720356577315</v>
      </c>
      <c r="N262" s="6">
        <f t="shared" si="96"/>
        <v>410.33999999999992</v>
      </c>
      <c r="O262" s="6">
        <f>Arrivals!I262</f>
        <v>0.18901767138492964</v>
      </c>
      <c r="P262" s="6">
        <f t="shared" si="97"/>
        <v>410.52901767138485</v>
      </c>
      <c r="Q262" s="6">
        <f t="shared" si="98"/>
        <v>198.52901767138485</v>
      </c>
      <c r="R262" s="6">
        <f t="shared" si="99"/>
        <v>174.31999999999994</v>
      </c>
      <c r="S262" s="6">
        <f t="shared" si="100"/>
        <v>0</v>
      </c>
      <c r="T262" s="6">
        <f t="shared" si="101"/>
        <v>0</v>
      </c>
      <c r="U262" s="6">
        <f t="shared" si="102"/>
        <v>174.31999999999994</v>
      </c>
      <c r="V262" s="6" t="str">
        <f>IF(MOD(C262-Settings!$B$32,Settings!$B$33)&lt;Settings!$B$30,"Up","Down")</f>
        <v>Up</v>
      </c>
      <c r="W262" s="6">
        <f>IF(OR(E262&gt;Settings!$B$30,Q262&gt;Settings!$B$37),0,1)</f>
        <v>1</v>
      </c>
      <c r="X262" s="6">
        <f>IF(AND(W262=1,Q262&lt;=Settings!$B$36),1,0)</f>
        <v>0</v>
      </c>
    </row>
    <row r="263" spans="1:24" x14ac:dyDescent="0.2">
      <c r="A263">
        <f>Arrivals!A263</f>
        <v>3</v>
      </c>
      <c r="B263">
        <f>Arrivals!B263</f>
        <v>18</v>
      </c>
      <c r="C263" s="6">
        <f>Arrivals!F263</f>
        <v>217</v>
      </c>
      <c r="D263" s="6">
        <f>Arrivals!K263</f>
        <v>300</v>
      </c>
      <c r="E263" s="6">
        <f>D263*8/ACE_Input!S23+ACE_Input!T23</f>
        <v>24.02</v>
      </c>
      <c r="F263" s="6">
        <f t="shared" si="92"/>
        <v>217</v>
      </c>
      <c r="G263" s="6">
        <f t="shared" si="103"/>
        <v>410.33999999999992</v>
      </c>
      <c r="H263" s="6">
        <f t="shared" si="93"/>
        <v>410.33999999999992</v>
      </c>
      <c r="I263" s="6">
        <f>MOD(H263-Settings!$B$32,Settings!$B$33)</f>
        <v>410.33999999999992</v>
      </c>
      <c r="J263" s="6">
        <f>IF(I263&lt;Settings!$B$30,IF(Settings!$B$30-I263&gt;=E263,H263,H263+(Settings!$B$30-I263)+Settings!$B$31),H263+(Settings!$B$33-I263))</f>
        <v>410.33999999999992</v>
      </c>
      <c r="K263" s="6">
        <f t="shared" si="94"/>
        <v>434.3599999999999</v>
      </c>
      <c r="L263" s="6">
        <f t="shared" si="95"/>
        <v>434.3599999999999</v>
      </c>
      <c r="M263" s="6">
        <f t="shared" si="104"/>
        <v>410.52901767138485</v>
      </c>
      <c r="N263" s="6">
        <f t="shared" si="96"/>
        <v>434.3599999999999</v>
      </c>
      <c r="O263" s="6">
        <f>Arrivals!I263</f>
        <v>5.2710780461016862</v>
      </c>
      <c r="P263" s="6">
        <f t="shared" si="97"/>
        <v>439.63107804610161</v>
      </c>
      <c r="Q263" s="6">
        <f t="shared" si="98"/>
        <v>222.63107804610161</v>
      </c>
      <c r="R263" s="6">
        <f t="shared" si="99"/>
        <v>193.33999999999992</v>
      </c>
      <c r="S263" s="6">
        <f t="shared" si="100"/>
        <v>0</v>
      </c>
      <c r="T263" s="6">
        <f t="shared" si="101"/>
        <v>0</v>
      </c>
      <c r="U263" s="6">
        <f t="shared" si="102"/>
        <v>193.33999999999992</v>
      </c>
      <c r="V263" s="6" t="str">
        <f>IF(MOD(C263-Settings!$B$32,Settings!$B$33)&lt;Settings!$B$30,"Up","Down")</f>
        <v>Up</v>
      </c>
      <c r="W263" s="6">
        <f>IF(OR(E263&gt;Settings!$B$30,Q263&gt;Settings!$B$37),0,1)</f>
        <v>1</v>
      </c>
      <c r="X263" s="6">
        <f>IF(AND(W263=1,Q263&lt;=Settings!$B$36),1,0)</f>
        <v>0</v>
      </c>
    </row>
    <row r="264" spans="1:24" x14ac:dyDescent="0.2">
      <c r="A264">
        <f>Arrivals!A264</f>
        <v>3</v>
      </c>
      <c r="B264">
        <f>Arrivals!B264</f>
        <v>19</v>
      </c>
      <c r="C264" s="6">
        <f>Arrivals!F264</f>
        <v>222</v>
      </c>
      <c r="D264" s="6">
        <f>Arrivals!K264</f>
        <v>300</v>
      </c>
      <c r="E264" s="6">
        <f>D264*8/ACE_Input!S24+ACE_Input!T24</f>
        <v>24.02</v>
      </c>
      <c r="F264" s="6">
        <f t="shared" si="92"/>
        <v>222</v>
      </c>
      <c r="G264" s="6">
        <f t="shared" si="103"/>
        <v>434.3599999999999</v>
      </c>
      <c r="H264" s="6">
        <f t="shared" si="93"/>
        <v>434.3599999999999</v>
      </c>
      <c r="I264" s="6">
        <f>MOD(H264-Settings!$B$32,Settings!$B$33)</f>
        <v>434.3599999999999</v>
      </c>
      <c r="J264" s="6">
        <f>IF(I264&lt;Settings!$B$30,IF(Settings!$B$30-I264&gt;=E264,H264,H264+(Settings!$B$30-I264)+Settings!$B$31),H264+(Settings!$B$33-I264))</f>
        <v>434.3599999999999</v>
      </c>
      <c r="K264" s="6">
        <f t="shared" si="94"/>
        <v>458.37999999999988</v>
      </c>
      <c r="L264" s="6">
        <f t="shared" si="95"/>
        <v>458.37999999999988</v>
      </c>
      <c r="M264" s="6">
        <f t="shared" si="104"/>
        <v>439.63107804610161</v>
      </c>
      <c r="N264" s="6">
        <f t="shared" si="96"/>
        <v>458.37999999999988</v>
      </c>
      <c r="O264" s="6">
        <f>Arrivals!I264</f>
        <v>1.0531707903941963</v>
      </c>
      <c r="P264" s="6">
        <f t="shared" si="97"/>
        <v>459.43317079039406</v>
      </c>
      <c r="Q264" s="6">
        <f t="shared" si="98"/>
        <v>237.43317079039406</v>
      </c>
      <c r="R264" s="6">
        <f t="shared" si="99"/>
        <v>212.3599999999999</v>
      </c>
      <c r="S264" s="6">
        <f t="shared" si="100"/>
        <v>0</v>
      </c>
      <c r="T264" s="6">
        <f t="shared" si="101"/>
        <v>0</v>
      </c>
      <c r="U264" s="6">
        <f t="shared" si="102"/>
        <v>212.3599999999999</v>
      </c>
      <c r="V264" s="6" t="str">
        <f>IF(MOD(C264-Settings!$B$32,Settings!$B$33)&lt;Settings!$B$30,"Up","Down")</f>
        <v>Up</v>
      </c>
      <c r="W264" s="6">
        <f>IF(OR(E264&gt;Settings!$B$30,Q264&gt;Settings!$B$37),0,1)</f>
        <v>1</v>
      </c>
      <c r="X264" s="6">
        <f>IF(AND(W264=1,Q264&lt;=Settings!$B$36),1,0)</f>
        <v>0</v>
      </c>
    </row>
    <row r="265" spans="1:24" x14ac:dyDescent="0.2">
      <c r="A265">
        <f>Arrivals!A265</f>
        <v>3</v>
      </c>
      <c r="B265">
        <f>Arrivals!B265</f>
        <v>20</v>
      </c>
      <c r="C265" s="6">
        <f>Arrivals!F265</f>
        <v>227</v>
      </c>
      <c r="D265" s="6">
        <f>Arrivals!K265</f>
        <v>300</v>
      </c>
      <c r="E265" s="6">
        <f>D265*8/ACE_Input!S25+ACE_Input!T25</f>
        <v>24.02</v>
      </c>
      <c r="F265" s="6">
        <f t="shared" si="92"/>
        <v>227</v>
      </c>
      <c r="G265" s="6">
        <f t="shared" si="103"/>
        <v>458.37999999999988</v>
      </c>
      <c r="H265" s="6">
        <f t="shared" si="93"/>
        <v>458.37999999999988</v>
      </c>
      <c r="I265" s="6">
        <f>MOD(H265-Settings!$B$32,Settings!$B$33)</f>
        <v>458.37999999999988</v>
      </c>
      <c r="J265" s="6">
        <f>IF(I265&lt;Settings!$B$30,IF(Settings!$B$30-I265&gt;=E265,H265,H265+(Settings!$B$30-I265)+Settings!$B$31),H265+(Settings!$B$33-I265))</f>
        <v>458.37999999999988</v>
      </c>
      <c r="K265" s="6">
        <f t="shared" si="94"/>
        <v>482.39999999999986</v>
      </c>
      <c r="L265" s="6">
        <f t="shared" si="95"/>
        <v>482.39999999999986</v>
      </c>
      <c r="M265" s="6">
        <f t="shared" si="104"/>
        <v>459.43317079039406</v>
      </c>
      <c r="N265" s="6">
        <f t="shared" si="96"/>
        <v>482.39999999999986</v>
      </c>
      <c r="O265" s="6">
        <f>Arrivals!I265</f>
        <v>3.0723726486816911</v>
      </c>
      <c r="P265" s="6">
        <f t="shared" si="97"/>
        <v>485.47237264868153</v>
      </c>
      <c r="Q265" s="6">
        <f t="shared" si="98"/>
        <v>258.47237264868153</v>
      </c>
      <c r="R265" s="6">
        <f t="shared" si="99"/>
        <v>231.37999999999988</v>
      </c>
      <c r="S265" s="6">
        <f t="shared" si="100"/>
        <v>0</v>
      </c>
      <c r="T265" s="6">
        <f t="shared" si="101"/>
        <v>0</v>
      </c>
      <c r="U265" s="6">
        <f t="shared" si="102"/>
        <v>231.37999999999988</v>
      </c>
      <c r="V265" s="6" t="str">
        <f>IF(MOD(C265-Settings!$B$32,Settings!$B$33)&lt;Settings!$B$30,"Up","Down")</f>
        <v>Up</v>
      </c>
      <c r="W265" s="6">
        <f>IF(OR(E265&gt;Settings!$B$30,Q265&gt;Settings!$B$37),0,1)</f>
        <v>1</v>
      </c>
      <c r="X265" s="6">
        <f>IF(AND(W265=1,Q265&lt;=Settings!$B$36),1,0)</f>
        <v>0</v>
      </c>
    </row>
    <row r="266" spans="1:24" x14ac:dyDescent="0.2">
      <c r="A266">
        <f>Arrivals!A266</f>
        <v>3</v>
      </c>
      <c r="B266">
        <f>Arrivals!B266</f>
        <v>21</v>
      </c>
      <c r="C266" s="6">
        <f>Arrivals!F266</f>
        <v>232</v>
      </c>
      <c r="D266" s="6">
        <f>Arrivals!K266</f>
        <v>300</v>
      </c>
      <c r="E266" s="6">
        <f>D266*8/ACE_Input!S26+ACE_Input!T26</f>
        <v>24.02</v>
      </c>
      <c r="F266" s="6">
        <f t="shared" si="92"/>
        <v>232</v>
      </c>
      <c r="G266" s="6">
        <f t="shared" si="103"/>
        <v>482.39999999999986</v>
      </c>
      <c r="H266" s="6">
        <f t="shared" si="93"/>
        <v>482.39999999999986</v>
      </c>
      <c r="I266" s="6">
        <f>MOD(H266-Settings!$B$32,Settings!$B$33)</f>
        <v>482.39999999999986</v>
      </c>
      <c r="J266" s="6">
        <f>IF(I266&lt;Settings!$B$30,IF(Settings!$B$30-I266&gt;=E266,H266,H266+(Settings!$B$30-I266)+Settings!$B$31),H266+(Settings!$B$33-I266))</f>
        <v>482.39999999999986</v>
      </c>
      <c r="K266" s="6">
        <f t="shared" si="94"/>
        <v>506.41999999999985</v>
      </c>
      <c r="L266" s="6">
        <f t="shared" si="95"/>
        <v>506.41999999999985</v>
      </c>
      <c r="M266" s="6">
        <f t="shared" si="104"/>
        <v>485.47237264868153</v>
      </c>
      <c r="N266" s="6">
        <f t="shared" si="96"/>
        <v>506.41999999999985</v>
      </c>
      <c r="O266" s="6">
        <f>Arrivals!I266</f>
        <v>1.3500564994785076</v>
      </c>
      <c r="P266" s="6">
        <f t="shared" si="97"/>
        <v>507.77005649947836</v>
      </c>
      <c r="Q266" s="6">
        <f t="shared" si="98"/>
        <v>275.77005649947836</v>
      </c>
      <c r="R266" s="6">
        <f t="shared" si="99"/>
        <v>250.39999999999986</v>
      </c>
      <c r="S266" s="6">
        <f t="shared" si="100"/>
        <v>0</v>
      </c>
      <c r="T266" s="6">
        <f t="shared" si="101"/>
        <v>0</v>
      </c>
      <c r="U266" s="6">
        <f t="shared" si="102"/>
        <v>250.39999999999986</v>
      </c>
      <c r="V266" s="6" t="str">
        <f>IF(MOD(C266-Settings!$B$32,Settings!$B$33)&lt;Settings!$B$30,"Up","Down")</f>
        <v>Up</v>
      </c>
      <c r="W266" s="6">
        <f>IF(OR(E266&gt;Settings!$B$30,Q266&gt;Settings!$B$37),0,1)</f>
        <v>1</v>
      </c>
      <c r="X266" s="6">
        <f>IF(AND(W266=1,Q266&lt;=Settings!$B$36),1,0)</f>
        <v>0</v>
      </c>
    </row>
    <row r="267" spans="1:24" x14ac:dyDescent="0.2">
      <c r="A267">
        <f>Arrivals!A267</f>
        <v>3</v>
      </c>
      <c r="B267">
        <f>Arrivals!B267</f>
        <v>22</v>
      </c>
      <c r="C267" s="6">
        <f>Arrivals!F267</f>
        <v>237</v>
      </c>
      <c r="D267" s="6">
        <f>Arrivals!K267</f>
        <v>300</v>
      </c>
      <c r="E267" s="6">
        <f>D267*8/ACE_Input!S27+ACE_Input!T27</f>
        <v>24.02</v>
      </c>
      <c r="F267" s="6">
        <f t="shared" si="92"/>
        <v>237</v>
      </c>
      <c r="G267" s="6">
        <f t="shared" si="103"/>
        <v>506.41999999999985</v>
      </c>
      <c r="H267" s="6">
        <f t="shared" si="93"/>
        <v>506.41999999999985</v>
      </c>
      <c r="I267" s="6">
        <f>MOD(H267-Settings!$B$32,Settings!$B$33)</f>
        <v>506.41999999999985</v>
      </c>
      <c r="J267" s="6">
        <f>IF(I267&lt;Settings!$B$30,IF(Settings!$B$30-I267&gt;=E267,H267,H267+(Settings!$B$30-I267)+Settings!$B$31),H267+(Settings!$B$33-I267))</f>
        <v>506.41999999999985</v>
      </c>
      <c r="K267" s="6">
        <f t="shared" si="94"/>
        <v>530.43999999999983</v>
      </c>
      <c r="L267" s="6">
        <f t="shared" si="95"/>
        <v>530.43999999999983</v>
      </c>
      <c r="M267" s="6">
        <f t="shared" si="104"/>
        <v>507.77005649947836</v>
      </c>
      <c r="N267" s="6">
        <f t="shared" si="96"/>
        <v>530.43999999999983</v>
      </c>
      <c r="O267" s="6">
        <f>Arrivals!I267</f>
        <v>2.7834417043905058</v>
      </c>
      <c r="P267" s="6">
        <f t="shared" si="97"/>
        <v>533.22344170439032</v>
      </c>
      <c r="Q267" s="6">
        <f t="shared" si="98"/>
        <v>296.22344170439032</v>
      </c>
      <c r="R267" s="6">
        <f t="shared" si="99"/>
        <v>269.41999999999985</v>
      </c>
      <c r="S267" s="6">
        <f t="shared" si="100"/>
        <v>0</v>
      </c>
      <c r="T267" s="6">
        <f t="shared" si="101"/>
        <v>0</v>
      </c>
      <c r="U267" s="6">
        <f t="shared" si="102"/>
        <v>269.41999999999985</v>
      </c>
      <c r="V267" s="6" t="str">
        <f>IF(MOD(C267-Settings!$B$32,Settings!$B$33)&lt;Settings!$B$30,"Up","Down")</f>
        <v>Up</v>
      </c>
      <c r="W267" s="6">
        <f>IF(OR(E267&gt;Settings!$B$30,Q267&gt;Settings!$B$37),0,1)</f>
        <v>1</v>
      </c>
      <c r="X267" s="6">
        <f>IF(AND(W267=1,Q267&lt;=Settings!$B$36),1,0)</f>
        <v>0</v>
      </c>
    </row>
    <row r="268" spans="1:24" x14ac:dyDescent="0.2">
      <c r="A268">
        <f>Arrivals!A268</f>
        <v>3</v>
      </c>
      <c r="B268">
        <f>Arrivals!B268</f>
        <v>23</v>
      </c>
      <c r="C268" s="6">
        <f>Arrivals!F268</f>
        <v>242</v>
      </c>
      <c r="D268" s="6">
        <f>Arrivals!K268</f>
        <v>300</v>
      </c>
      <c r="E268" s="6">
        <f>D268*8/ACE_Input!S28+ACE_Input!T28</f>
        <v>24.02</v>
      </c>
      <c r="F268" s="6">
        <f t="shared" si="92"/>
        <v>242</v>
      </c>
      <c r="G268" s="6">
        <f t="shared" si="103"/>
        <v>530.43999999999983</v>
      </c>
      <c r="H268" s="6">
        <f t="shared" si="93"/>
        <v>530.43999999999983</v>
      </c>
      <c r="I268" s="6">
        <f>MOD(H268-Settings!$B$32,Settings!$B$33)</f>
        <v>530.43999999999983</v>
      </c>
      <c r="J268" s="6">
        <f>IF(I268&lt;Settings!$B$30,IF(Settings!$B$30-I268&gt;=E268,H268,H268+(Settings!$B$30-I268)+Settings!$B$31),H268+(Settings!$B$33-I268))</f>
        <v>530.43999999999983</v>
      </c>
      <c r="K268" s="6">
        <f t="shared" si="94"/>
        <v>554.45999999999981</v>
      </c>
      <c r="L268" s="6">
        <f t="shared" si="95"/>
        <v>554.45999999999981</v>
      </c>
      <c r="M268" s="6">
        <f t="shared" si="104"/>
        <v>533.22344170439032</v>
      </c>
      <c r="N268" s="6">
        <f t="shared" si="96"/>
        <v>554.45999999999981</v>
      </c>
      <c r="O268" s="6">
        <f>Arrivals!I268</f>
        <v>1.2580474622797038</v>
      </c>
      <c r="P268" s="6">
        <f t="shared" si="97"/>
        <v>555.71804746227951</v>
      </c>
      <c r="Q268" s="6">
        <f t="shared" si="98"/>
        <v>313.71804746227951</v>
      </c>
      <c r="R268" s="6">
        <f t="shared" si="99"/>
        <v>288.43999999999983</v>
      </c>
      <c r="S268" s="6">
        <f t="shared" si="100"/>
        <v>0</v>
      </c>
      <c r="T268" s="6">
        <f t="shared" si="101"/>
        <v>0</v>
      </c>
      <c r="U268" s="6">
        <f t="shared" si="102"/>
        <v>288.43999999999983</v>
      </c>
      <c r="V268" s="6" t="str">
        <f>IF(MOD(C268-Settings!$B$32,Settings!$B$33)&lt;Settings!$B$30,"Up","Down")</f>
        <v>Up</v>
      </c>
      <c r="W268" s="6">
        <f>IF(OR(E268&gt;Settings!$B$30,Q268&gt;Settings!$B$37),0,1)</f>
        <v>1</v>
      </c>
      <c r="X268" s="6">
        <f>IF(AND(W268=1,Q268&lt;=Settings!$B$36),1,0)</f>
        <v>0</v>
      </c>
    </row>
    <row r="269" spans="1:24" x14ac:dyDescent="0.2">
      <c r="A269">
        <f>Arrivals!A269</f>
        <v>3</v>
      </c>
      <c r="B269">
        <f>Arrivals!B269</f>
        <v>24</v>
      </c>
      <c r="C269" s="6">
        <f>Arrivals!F269</f>
        <v>247</v>
      </c>
      <c r="D269" s="6">
        <f>Arrivals!K269</f>
        <v>300</v>
      </c>
      <c r="E269" s="6">
        <f>D269*8/ACE_Input!S29+ACE_Input!T29</f>
        <v>24.02</v>
      </c>
      <c r="F269" s="6">
        <f t="shared" si="92"/>
        <v>247</v>
      </c>
      <c r="G269" s="6">
        <f t="shared" si="103"/>
        <v>554.45999999999981</v>
      </c>
      <c r="H269" s="6">
        <f t="shared" si="93"/>
        <v>554.45999999999981</v>
      </c>
      <c r="I269" s="6">
        <f>MOD(H269-Settings!$B$32,Settings!$B$33)</f>
        <v>554.45999999999981</v>
      </c>
      <c r="J269" s="6">
        <f>IF(I269&lt;Settings!$B$30,IF(Settings!$B$30-I269&gt;=E269,H269,H269+(Settings!$B$30-I269)+Settings!$B$31),H269+(Settings!$B$33-I269))</f>
        <v>554.45999999999981</v>
      </c>
      <c r="K269" s="6">
        <f t="shared" si="94"/>
        <v>578.47999999999979</v>
      </c>
      <c r="L269" s="6">
        <f t="shared" si="95"/>
        <v>578.47999999999979</v>
      </c>
      <c r="M269" s="6">
        <f t="shared" si="104"/>
        <v>555.71804746227951</v>
      </c>
      <c r="N269" s="6">
        <f t="shared" si="96"/>
        <v>578.47999999999979</v>
      </c>
      <c r="O269" s="6">
        <f>Arrivals!I269</f>
        <v>2.3890628849637192</v>
      </c>
      <c r="P269" s="6">
        <f t="shared" si="97"/>
        <v>580.86906288496345</v>
      </c>
      <c r="Q269" s="6">
        <f t="shared" si="98"/>
        <v>333.86906288496345</v>
      </c>
      <c r="R269" s="6">
        <f t="shared" si="99"/>
        <v>307.45999999999981</v>
      </c>
      <c r="S269" s="6">
        <f t="shared" si="100"/>
        <v>0</v>
      </c>
      <c r="T269" s="6">
        <f t="shared" si="101"/>
        <v>0</v>
      </c>
      <c r="U269" s="6">
        <f t="shared" si="102"/>
        <v>307.45999999999981</v>
      </c>
      <c r="V269" s="6" t="str">
        <f>IF(MOD(C269-Settings!$B$32,Settings!$B$33)&lt;Settings!$B$30,"Up","Down")</f>
        <v>Up</v>
      </c>
      <c r="W269" s="6">
        <f>IF(OR(E269&gt;Settings!$B$30,Q269&gt;Settings!$B$37),0,1)</f>
        <v>1</v>
      </c>
      <c r="X269" s="6">
        <f>IF(AND(W269=1,Q269&lt;=Settings!$B$36),1,0)</f>
        <v>0</v>
      </c>
    </row>
    <row r="270" spans="1:24" x14ac:dyDescent="0.2">
      <c r="A270">
        <f>Arrivals!A270</f>
        <v>3</v>
      </c>
      <c r="B270">
        <f>Arrivals!B270</f>
        <v>25</v>
      </c>
      <c r="C270" s="6">
        <f>Arrivals!F270</f>
        <v>252</v>
      </c>
      <c r="D270" s="6">
        <f>Arrivals!K270</f>
        <v>300</v>
      </c>
      <c r="E270" s="6">
        <f>D270*8/ACE_Input!S30+ACE_Input!T30</f>
        <v>24.02</v>
      </c>
      <c r="F270" s="6">
        <f t="shared" si="92"/>
        <v>252</v>
      </c>
      <c r="G270" s="6">
        <f t="shared" si="103"/>
        <v>578.47999999999979</v>
      </c>
      <c r="H270" s="6">
        <f t="shared" si="93"/>
        <v>578.47999999999979</v>
      </c>
      <c r="I270" s="6">
        <f>MOD(H270-Settings!$B$32,Settings!$B$33)</f>
        <v>578.47999999999979</v>
      </c>
      <c r="J270" s="6">
        <f>IF(I270&lt;Settings!$B$30,IF(Settings!$B$30-I270&gt;=E270,H270,H270+(Settings!$B$30-I270)+Settings!$B$31),H270+(Settings!$B$33-I270))</f>
        <v>720</v>
      </c>
      <c r="K270" s="6">
        <f t="shared" si="94"/>
        <v>744.02</v>
      </c>
      <c r="L270" s="6">
        <f t="shared" si="95"/>
        <v>744.02</v>
      </c>
      <c r="M270" s="6">
        <f t="shared" si="104"/>
        <v>580.86906288496345</v>
      </c>
      <c r="N270" s="6">
        <f t="shared" si="96"/>
        <v>744.02</v>
      </c>
      <c r="O270" s="6">
        <f>Arrivals!I270</f>
        <v>8.0898004560036334</v>
      </c>
      <c r="P270" s="6">
        <f t="shared" si="97"/>
        <v>752.10980045600365</v>
      </c>
      <c r="Q270" s="6">
        <f t="shared" si="98"/>
        <v>500.10980045600365</v>
      </c>
      <c r="R270" s="6">
        <f t="shared" si="99"/>
        <v>326.47999999999979</v>
      </c>
      <c r="S270" s="6">
        <f t="shared" si="100"/>
        <v>141.52000000000021</v>
      </c>
      <c r="T270" s="6">
        <f t="shared" si="101"/>
        <v>0</v>
      </c>
      <c r="U270" s="6">
        <f t="shared" si="102"/>
        <v>468</v>
      </c>
      <c r="V270" s="6" t="str">
        <f>IF(MOD(C270-Settings!$B$32,Settings!$B$33)&lt;Settings!$B$30,"Up","Down")</f>
        <v>Up</v>
      </c>
      <c r="W270" s="6">
        <f>IF(OR(E270&gt;Settings!$B$30,Q270&gt;Settings!$B$37),0,1)</f>
        <v>1</v>
      </c>
      <c r="X270" s="6">
        <f>IF(AND(W270=1,Q270&lt;=Settings!$B$36),1,0)</f>
        <v>0</v>
      </c>
    </row>
    <row r="271" spans="1:24" x14ac:dyDescent="0.2">
      <c r="A271">
        <f>Arrivals!A271</f>
        <v>3</v>
      </c>
      <c r="B271">
        <f>Arrivals!B271</f>
        <v>26</v>
      </c>
      <c r="C271" s="6">
        <f>Arrivals!F271</f>
        <v>257</v>
      </c>
      <c r="D271" s="6">
        <f>Arrivals!K271</f>
        <v>300</v>
      </c>
      <c r="E271" s="6">
        <f>D271*8/ACE_Input!S31+ACE_Input!T31</f>
        <v>24.02</v>
      </c>
      <c r="F271" s="6">
        <f t="shared" si="92"/>
        <v>257</v>
      </c>
      <c r="G271" s="6">
        <f t="shared" si="103"/>
        <v>744.02</v>
      </c>
      <c r="H271" s="6">
        <f t="shared" si="93"/>
        <v>744.02</v>
      </c>
      <c r="I271" s="6">
        <f>MOD(H271-Settings!$B$32,Settings!$B$33)</f>
        <v>24.019999999999982</v>
      </c>
      <c r="J271" s="6">
        <f>IF(I271&lt;Settings!$B$30,IF(Settings!$B$30-I271&gt;=E271,H271,H271+(Settings!$B$30-I271)+Settings!$B$31),H271+(Settings!$B$33-I271))</f>
        <v>744.02</v>
      </c>
      <c r="K271" s="6">
        <f t="shared" si="94"/>
        <v>768.04</v>
      </c>
      <c r="L271" s="6">
        <f t="shared" si="95"/>
        <v>768.04</v>
      </c>
      <c r="M271" s="6">
        <f t="shared" si="104"/>
        <v>752.10980045600365</v>
      </c>
      <c r="N271" s="6">
        <f t="shared" si="96"/>
        <v>768.04</v>
      </c>
      <c r="O271" s="6">
        <f>Arrivals!I271</f>
        <v>9.8859081201309476</v>
      </c>
      <c r="P271" s="6">
        <f t="shared" si="97"/>
        <v>777.92590812013088</v>
      </c>
      <c r="Q271" s="6">
        <f t="shared" si="98"/>
        <v>520.92590812013088</v>
      </c>
      <c r="R271" s="6">
        <f t="shared" si="99"/>
        <v>487.02</v>
      </c>
      <c r="S271" s="6">
        <f t="shared" si="100"/>
        <v>0</v>
      </c>
      <c r="T271" s="6">
        <f t="shared" si="101"/>
        <v>0</v>
      </c>
      <c r="U271" s="6">
        <f t="shared" si="102"/>
        <v>487.02</v>
      </c>
      <c r="V271" s="6" t="str">
        <f>IF(MOD(C271-Settings!$B$32,Settings!$B$33)&lt;Settings!$B$30,"Up","Down")</f>
        <v>Up</v>
      </c>
      <c r="W271" s="6">
        <f>IF(OR(E271&gt;Settings!$B$30,Q271&gt;Settings!$B$37),0,1)</f>
        <v>1</v>
      </c>
      <c r="X271" s="6">
        <f>IF(AND(W271=1,Q271&lt;=Settings!$B$36),1,0)</f>
        <v>0</v>
      </c>
    </row>
    <row r="272" spans="1:24" x14ac:dyDescent="0.2">
      <c r="A272">
        <f>Arrivals!A272</f>
        <v>3</v>
      </c>
      <c r="B272">
        <f>Arrivals!B272</f>
        <v>27</v>
      </c>
      <c r="C272" s="6">
        <f>Arrivals!F272</f>
        <v>262</v>
      </c>
      <c r="D272" s="6">
        <f>Arrivals!K272</f>
        <v>300</v>
      </c>
      <c r="E272" s="6">
        <f>D272*8/ACE_Input!S32+ACE_Input!T32</f>
        <v>24.02</v>
      </c>
      <c r="F272" s="6">
        <f t="shared" si="92"/>
        <v>262</v>
      </c>
      <c r="G272" s="6">
        <f t="shared" si="103"/>
        <v>768.04</v>
      </c>
      <c r="H272" s="6">
        <f t="shared" si="93"/>
        <v>768.04</v>
      </c>
      <c r="I272" s="6">
        <f>MOD(H272-Settings!$B$32,Settings!$B$33)</f>
        <v>48.039999999999964</v>
      </c>
      <c r="J272" s="6">
        <f>IF(I272&lt;Settings!$B$30,IF(Settings!$B$30-I272&gt;=E272,H272,H272+(Settings!$B$30-I272)+Settings!$B$31),H272+(Settings!$B$33-I272))</f>
        <v>768.04</v>
      </c>
      <c r="K272" s="6">
        <f t="shared" si="94"/>
        <v>792.06</v>
      </c>
      <c r="L272" s="6">
        <f t="shared" si="95"/>
        <v>792.06</v>
      </c>
      <c r="M272" s="6">
        <f t="shared" si="104"/>
        <v>777.92590812013088</v>
      </c>
      <c r="N272" s="6">
        <f t="shared" si="96"/>
        <v>792.06</v>
      </c>
      <c r="O272" s="6">
        <f>Arrivals!I272</f>
        <v>2.6195298965142304</v>
      </c>
      <c r="P272" s="6">
        <f t="shared" si="97"/>
        <v>794.67952989651417</v>
      </c>
      <c r="Q272" s="6">
        <f t="shared" si="98"/>
        <v>532.67952989651417</v>
      </c>
      <c r="R272" s="6">
        <f t="shared" si="99"/>
        <v>506.03999999999996</v>
      </c>
      <c r="S272" s="6">
        <f t="shared" si="100"/>
        <v>0</v>
      </c>
      <c r="T272" s="6">
        <f t="shared" si="101"/>
        <v>0</v>
      </c>
      <c r="U272" s="6">
        <f t="shared" si="102"/>
        <v>506.03999999999996</v>
      </c>
      <c r="V272" s="6" t="str">
        <f>IF(MOD(C272-Settings!$B$32,Settings!$B$33)&lt;Settings!$B$30,"Up","Down")</f>
        <v>Up</v>
      </c>
      <c r="W272" s="6">
        <f>IF(OR(E272&gt;Settings!$B$30,Q272&gt;Settings!$B$37),0,1)</f>
        <v>1</v>
      </c>
      <c r="X272" s="6">
        <f>IF(AND(W272=1,Q272&lt;=Settings!$B$36),1,0)</f>
        <v>0</v>
      </c>
    </row>
    <row r="273" spans="1:24" x14ac:dyDescent="0.2">
      <c r="A273">
        <f>Arrivals!A273</f>
        <v>3</v>
      </c>
      <c r="B273">
        <f>Arrivals!B273</f>
        <v>28</v>
      </c>
      <c r="C273" s="6">
        <f>Arrivals!F273</f>
        <v>268</v>
      </c>
      <c r="D273" s="6">
        <f>Arrivals!K273</f>
        <v>300</v>
      </c>
      <c r="E273" s="6">
        <f>D273*8/ACE_Input!S33+ACE_Input!T33</f>
        <v>24.02</v>
      </c>
      <c r="F273" s="6">
        <f t="shared" si="92"/>
        <v>268</v>
      </c>
      <c r="G273" s="6">
        <f t="shared" si="103"/>
        <v>792.06</v>
      </c>
      <c r="H273" s="6">
        <f t="shared" si="93"/>
        <v>792.06</v>
      </c>
      <c r="I273" s="6">
        <f>MOD(H273-Settings!$B$32,Settings!$B$33)</f>
        <v>72.059999999999945</v>
      </c>
      <c r="J273" s="6">
        <f>IF(I273&lt;Settings!$B$30,IF(Settings!$B$30-I273&gt;=E273,H273,H273+(Settings!$B$30-I273)+Settings!$B$31),H273+(Settings!$B$33-I273))</f>
        <v>792.06</v>
      </c>
      <c r="K273" s="6">
        <f t="shared" si="94"/>
        <v>816.07999999999993</v>
      </c>
      <c r="L273" s="6">
        <f t="shared" si="95"/>
        <v>816.07999999999993</v>
      </c>
      <c r="M273" s="6">
        <f t="shared" si="104"/>
        <v>794.67952989651417</v>
      </c>
      <c r="N273" s="6">
        <f t="shared" si="96"/>
        <v>816.07999999999993</v>
      </c>
      <c r="O273" s="6">
        <f>Arrivals!I273</f>
        <v>4.9675581393848596</v>
      </c>
      <c r="P273" s="6">
        <f t="shared" si="97"/>
        <v>821.04755813938482</v>
      </c>
      <c r="Q273" s="6">
        <f t="shared" si="98"/>
        <v>553.04755813938482</v>
      </c>
      <c r="R273" s="6">
        <f t="shared" si="99"/>
        <v>524.05999999999995</v>
      </c>
      <c r="S273" s="6">
        <f t="shared" si="100"/>
        <v>0</v>
      </c>
      <c r="T273" s="6">
        <f t="shared" si="101"/>
        <v>0</v>
      </c>
      <c r="U273" s="6">
        <f t="shared" si="102"/>
        <v>524.05999999999995</v>
      </c>
      <c r="V273" s="6" t="str">
        <f>IF(MOD(C273-Settings!$B$32,Settings!$B$33)&lt;Settings!$B$30,"Up","Down")</f>
        <v>Up</v>
      </c>
      <c r="W273" s="6">
        <f>IF(OR(E273&gt;Settings!$B$30,Q273&gt;Settings!$B$37),0,1)</f>
        <v>1</v>
      </c>
      <c r="X273" s="6">
        <f>IF(AND(W273=1,Q273&lt;=Settings!$B$36),1,0)</f>
        <v>0</v>
      </c>
    </row>
    <row r="274" spans="1:24" x14ac:dyDescent="0.2">
      <c r="A274">
        <f>Arrivals!A274</f>
        <v>3</v>
      </c>
      <c r="B274">
        <f>Arrivals!B274</f>
        <v>29</v>
      </c>
      <c r="C274" s="6">
        <f>Arrivals!F274</f>
        <v>273</v>
      </c>
      <c r="D274" s="6">
        <f>Arrivals!K274</f>
        <v>300</v>
      </c>
      <c r="E274" s="6">
        <f>D274*8/ACE_Input!S34+ACE_Input!T34</f>
        <v>24.02</v>
      </c>
      <c r="F274" s="6">
        <f t="shared" si="92"/>
        <v>273</v>
      </c>
      <c r="G274" s="6">
        <f t="shared" si="103"/>
        <v>816.07999999999993</v>
      </c>
      <c r="H274" s="6">
        <f t="shared" si="93"/>
        <v>816.07999999999993</v>
      </c>
      <c r="I274" s="6">
        <f>MOD(H274-Settings!$B$32,Settings!$B$33)</f>
        <v>96.079999999999927</v>
      </c>
      <c r="J274" s="6">
        <f>IF(I274&lt;Settings!$B$30,IF(Settings!$B$30-I274&gt;=E274,H274,H274+(Settings!$B$30-I274)+Settings!$B$31),H274+(Settings!$B$33-I274))</f>
        <v>816.07999999999993</v>
      </c>
      <c r="K274" s="6">
        <f t="shared" si="94"/>
        <v>840.09999999999991</v>
      </c>
      <c r="L274" s="6">
        <f t="shared" si="95"/>
        <v>840.09999999999991</v>
      </c>
      <c r="M274" s="6">
        <f t="shared" si="104"/>
        <v>821.04755813938482</v>
      </c>
      <c r="N274" s="6">
        <f t="shared" si="96"/>
        <v>840.09999999999991</v>
      </c>
      <c r="O274" s="6">
        <f>Arrivals!I274</f>
        <v>2.7795222872150145</v>
      </c>
      <c r="P274" s="6">
        <f t="shared" si="97"/>
        <v>842.87952228721497</v>
      </c>
      <c r="Q274" s="6">
        <f t="shared" si="98"/>
        <v>569.87952228721497</v>
      </c>
      <c r="R274" s="6">
        <f t="shared" si="99"/>
        <v>543.07999999999993</v>
      </c>
      <c r="S274" s="6">
        <f t="shared" si="100"/>
        <v>0</v>
      </c>
      <c r="T274" s="6">
        <f t="shared" si="101"/>
        <v>0</v>
      </c>
      <c r="U274" s="6">
        <f t="shared" si="102"/>
        <v>543.07999999999993</v>
      </c>
      <c r="V274" s="6" t="str">
        <f>IF(MOD(C274-Settings!$B$32,Settings!$B$33)&lt;Settings!$B$30,"Up","Down")</f>
        <v>Up</v>
      </c>
      <c r="W274" s="6">
        <f>IF(OR(E274&gt;Settings!$B$30,Q274&gt;Settings!$B$37),0,1)</f>
        <v>1</v>
      </c>
      <c r="X274" s="6">
        <f>IF(AND(W274=1,Q274&lt;=Settings!$B$36),1,0)</f>
        <v>0</v>
      </c>
    </row>
    <row r="275" spans="1:24" x14ac:dyDescent="0.2">
      <c r="A275">
        <f>Arrivals!A275</f>
        <v>3</v>
      </c>
      <c r="B275">
        <f>Arrivals!B275</f>
        <v>30</v>
      </c>
      <c r="C275" s="6">
        <f>Arrivals!F275</f>
        <v>278</v>
      </c>
      <c r="D275" s="6">
        <f>Arrivals!K275</f>
        <v>300</v>
      </c>
      <c r="E275" s="6">
        <f>D275*8/ACE_Input!S35+ACE_Input!T35</f>
        <v>24.02</v>
      </c>
      <c r="F275" s="6">
        <f t="shared" si="92"/>
        <v>278</v>
      </c>
      <c r="G275" s="6">
        <f t="shared" si="103"/>
        <v>840.09999999999991</v>
      </c>
      <c r="H275" s="6">
        <f t="shared" si="93"/>
        <v>840.09999999999991</v>
      </c>
      <c r="I275" s="6">
        <f>MOD(H275-Settings!$B$32,Settings!$B$33)</f>
        <v>120.09999999999991</v>
      </c>
      <c r="J275" s="6">
        <f>IF(I275&lt;Settings!$B$30,IF(Settings!$B$30-I275&gt;=E275,H275,H275+(Settings!$B$30-I275)+Settings!$B$31),H275+(Settings!$B$33-I275))</f>
        <v>840.09999999999991</v>
      </c>
      <c r="K275" s="6">
        <f t="shared" si="94"/>
        <v>864.11999999999989</v>
      </c>
      <c r="L275" s="6">
        <f t="shared" si="95"/>
        <v>864.11999999999989</v>
      </c>
      <c r="M275" s="6">
        <f t="shared" si="104"/>
        <v>842.87952228721497</v>
      </c>
      <c r="N275" s="6">
        <f t="shared" si="96"/>
        <v>864.11999999999989</v>
      </c>
      <c r="O275" s="6">
        <f>Arrivals!I275</f>
        <v>0.22177956245510763</v>
      </c>
      <c r="P275" s="6">
        <f t="shared" si="97"/>
        <v>864.34177956245503</v>
      </c>
      <c r="Q275" s="6">
        <f t="shared" si="98"/>
        <v>586.34177956245503</v>
      </c>
      <c r="R275" s="6">
        <f t="shared" si="99"/>
        <v>562.09999999999991</v>
      </c>
      <c r="S275" s="6">
        <f t="shared" si="100"/>
        <v>0</v>
      </c>
      <c r="T275" s="6">
        <f t="shared" si="101"/>
        <v>0</v>
      </c>
      <c r="U275" s="6">
        <f t="shared" si="102"/>
        <v>562.09999999999991</v>
      </c>
      <c r="V275" s="6" t="str">
        <f>IF(MOD(C275-Settings!$B$32,Settings!$B$33)&lt;Settings!$B$30,"Up","Down")</f>
        <v>Up</v>
      </c>
      <c r="W275" s="6">
        <f>IF(OR(E275&gt;Settings!$B$30,Q275&gt;Settings!$B$37),0,1)</f>
        <v>1</v>
      </c>
      <c r="X275" s="6">
        <f>IF(AND(W275=1,Q275&lt;=Settings!$B$36),1,0)</f>
        <v>0</v>
      </c>
    </row>
    <row r="276" spans="1:24" x14ac:dyDescent="0.2">
      <c r="A276">
        <f>Arrivals!A276</f>
        <v>3</v>
      </c>
      <c r="B276">
        <f>Arrivals!B276</f>
        <v>31</v>
      </c>
      <c r="C276" s="6">
        <f>Arrivals!F276</f>
        <v>283</v>
      </c>
      <c r="D276" s="6">
        <f>Arrivals!K276</f>
        <v>300</v>
      </c>
      <c r="E276" s="6">
        <f>D276*8/ACE_Input!S36+ACE_Input!T36</f>
        <v>24.02</v>
      </c>
      <c r="F276" s="6">
        <f t="shared" si="92"/>
        <v>283</v>
      </c>
      <c r="G276" s="6">
        <f t="shared" si="103"/>
        <v>864.11999999999989</v>
      </c>
      <c r="H276" s="6">
        <f t="shared" si="93"/>
        <v>864.11999999999989</v>
      </c>
      <c r="I276" s="6">
        <f>MOD(H276-Settings!$B$32,Settings!$B$33)</f>
        <v>144.11999999999989</v>
      </c>
      <c r="J276" s="6">
        <f>IF(I276&lt;Settings!$B$30,IF(Settings!$B$30-I276&gt;=E276,H276,H276+(Settings!$B$30-I276)+Settings!$B$31),H276+(Settings!$B$33-I276))</f>
        <v>864.11999999999989</v>
      </c>
      <c r="K276" s="6">
        <f t="shared" si="94"/>
        <v>888.13999999999987</v>
      </c>
      <c r="L276" s="6">
        <f t="shared" si="95"/>
        <v>888.13999999999987</v>
      </c>
      <c r="M276" s="6">
        <f t="shared" si="104"/>
        <v>864.34177956245503</v>
      </c>
      <c r="N276" s="6">
        <f t="shared" si="96"/>
        <v>888.13999999999987</v>
      </c>
      <c r="O276" s="6">
        <f>Arrivals!I276</f>
        <v>2.7699935826813271</v>
      </c>
      <c r="P276" s="6">
        <f t="shared" si="97"/>
        <v>890.90999358268118</v>
      </c>
      <c r="Q276" s="6">
        <f t="shared" si="98"/>
        <v>607.90999358268118</v>
      </c>
      <c r="R276" s="6">
        <f t="shared" si="99"/>
        <v>581.11999999999989</v>
      </c>
      <c r="S276" s="6">
        <f t="shared" si="100"/>
        <v>0</v>
      </c>
      <c r="T276" s="6">
        <f t="shared" si="101"/>
        <v>0</v>
      </c>
      <c r="U276" s="6">
        <f t="shared" si="102"/>
        <v>581.11999999999989</v>
      </c>
      <c r="V276" s="6" t="str">
        <f>IF(MOD(C276-Settings!$B$32,Settings!$B$33)&lt;Settings!$B$30,"Up","Down")</f>
        <v>Up</v>
      </c>
      <c r="W276" s="6">
        <f>IF(OR(E276&gt;Settings!$B$30,Q276&gt;Settings!$B$37),0,1)</f>
        <v>1</v>
      </c>
      <c r="X276" s="6">
        <f>IF(AND(W276=1,Q276&lt;=Settings!$B$36),1,0)</f>
        <v>0</v>
      </c>
    </row>
    <row r="277" spans="1:24" x14ac:dyDescent="0.2">
      <c r="A277">
        <f>Arrivals!A277</f>
        <v>3</v>
      </c>
      <c r="B277">
        <f>Arrivals!B277</f>
        <v>32</v>
      </c>
      <c r="C277" s="6">
        <f>Arrivals!F277</f>
        <v>288</v>
      </c>
      <c r="D277" s="6">
        <f>Arrivals!K277</f>
        <v>300</v>
      </c>
      <c r="E277" s="6">
        <f>D277*8/ACE_Input!S37+ACE_Input!T37</f>
        <v>24.02</v>
      </c>
      <c r="F277" s="6">
        <f t="shared" si="92"/>
        <v>288</v>
      </c>
      <c r="G277" s="6">
        <f t="shared" si="103"/>
        <v>888.13999999999987</v>
      </c>
      <c r="H277" s="6">
        <f t="shared" si="93"/>
        <v>888.13999999999987</v>
      </c>
      <c r="I277" s="6">
        <f>MOD(H277-Settings!$B$32,Settings!$B$33)</f>
        <v>168.13999999999987</v>
      </c>
      <c r="J277" s="6">
        <f>IF(I277&lt;Settings!$B$30,IF(Settings!$B$30-I277&gt;=E277,H277,H277+(Settings!$B$30-I277)+Settings!$B$31),H277+(Settings!$B$33-I277))</f>
        <v>888.13999999999987</v>
      </c>
      <c r="K277" s="6">
        <f t="shared" si="94"/>
        <v>912.15999999999985</v>
      </c>
      <c r="L277" s="6">
        <f t="shared" si="95"/>
        <v>912.15999999999985</v>
      </c>
      <c r="M277" s="6">
        <f t="shared" si="104"/>
        <v>890.90999358268118</v>
      </c>
      <c r="N277" s="6">
        <f t="shared" si="96"/>
        <v>912.15999999999985</v>
      </c>
      <c r="O277" s="6">
        <f>Arrivals!I277</f>
        <v>0.18906749482552931</v>
      </c>
      <c r="P277" s="6">
        <f t="shared" si="97"/>
        <v>912.34906749482536</v>
      </c>
      <c r="Q277" s="6">
        <f t="shared" si="98"/>
        <v>624.34906749482536</v>
      </c>
      <c r="R277" s="6">
        <f t="shared" si="99"/>
        <v>600.13999999999987</v>
      </c>
      <c r="S277" s="6">
        <f t="shared" si="100"/>
        <v>0</v>
      </c>
      <c r="T277" s="6">
        <f t="shared" si="101"/>
        <v>0</v>
      </c>
      <c r="U277" s="6">
        <f t="shared" si="102"/>
        <v>600.13999999999987</v>
      </c>
      <c r="V277" s="6" t="str">
        <f>IF(MOD(C277-Settings!$B$32,Settings!$B$33)&lt;Settings!$B$30,"Up","Down")</f>
        <v>Up</v>
      </c>
      <c r="W277" s="6">
        <f>IF(OR(E277&gt;Settings!$B$30,Q277&gt;Settings!$B$37),0,1)</f>
        <v>1</v>
      </c>
      <c r="X277" s="6">
        <f>IF(AND(W277=1,Q277&lt;=Settings!$B$36),1,0)</f>
        <v>0</v>
      </c>
    </row>
    <row r="278" spans="1:24" x14ac:dyDescent="0.2">
      <c r="A278">
        <f>Arrivals!A278</f>
        <v>3</v>
      </c>
      <c r="B278">
        <f>Arrivals!B278</f>
        <v>33</v>
      </c>
      <c r="C278" s="6">
        <f>Arrivals!F278</f>
        <v>293</v>
      </c>
      <c r="D278" s="6">
        <f>Arrivals!K278</f>
        <v>300</v>
      </c>
      <c r="E278" s="6">
        <f>D278*8/ACE_Input!S38+ACE_Input!T38</f>
        <v>24.02</v>
      </c>
      <c r="F278" s="6">
        <f t="shared" ref="F278:F309" si="105">C278</f>
        <v>293</v>
      </c>
      <c r="G278" s="6">
        <f t="shared" si="103"/>
        <v>912.15999999999985</v>
      </c>
      <c r="H278" s="6">
        <f t="shared" ref="H278:H309" si="106">MAX(F278,G278)</f>
        <v>912.15999999999985</v>
      </c>
      <c r="I278" s="6">
        <f>MOD(H278-Settings!$B$32,Settings!$B$33)</f>
        <v>192.15999999999985</v>
      </c>
      <c r="J278" s="6">
        <f>IF(I278&lt;Settings!$B$30,IF(Settings!$B$30-I278&gt;=E278,H278,H278+(Settings!$B$30-I278)+Settings!$B$31),H278+(Settings!$B$33-I278))</f>
        <v>912.15999999999985</v>
      </c>
      <c r="K278" s="6">
        <f t="shared" ref="K278:K309" si="107">J278+E278</f>
        <v>936.17999999999984</v>
      </c>
      <c r="L278" s="6">
        <f t="shared" ref="L278:L309" si="108">K278</f>
        <v>936.17999999999984</v>
      </c>
      <c r="M278" s="6">
        <f t="shared" si="104"/>
        <v>912.34906749482536</v>
      </c>
      <c r="N278" s="6">
        <f t="shared" ref="N278:N309" si="109">MAX(L278,M278)</f>
        <v>936.17999999999984</v>
      </c>
      <c r="O278" s="6">
        <f>Arrivals!I278</f>
        <v>10.750060550941749</v>
      </c>
      <c r="P278" s="6">
        <f t="shared" ref="P278:P309" si="110">N278+O278</f>
        <v>946.93006055094156</v>
      </c>
      <c r="Q278" s="6">
        <f t="shared" ref="Q278:Q309" si="111">P278-C278</f>
        <v>653.93006055094156</v>
      </c>
      <c r="R278" s="6">
        <f t="shared" ref="R278:R309" si="112">H278-F278</f>
        <v>619.15999999999985</v>
      </c>
      <c r="S278" s="6">
        <f t="shared" ref="S278:S309" si="113">J278-H278</f>
        <v>0</v>
      </c>
      <c r="T278" s="6">
        <f t="shared" ref="T278:T309" si="114">N278-L278</f>
        <v>0</v>
      </c>
      <c r="U278" s="6">
        <f t="shared" ref="U278:U309" si="115">R278+S278+T278</f>
        <v>619.15999999999985</v>
      </c>
      <c r="V278" s="6" t="str">
        <f>IF(MOD(C278-Settings!$B$32,Settings!$B$33)&lt;Settings!$B$30,"Up","Down")</f>
        <v>Up</v>
      </c>
      <c r="W278" s="6">
        <f>IF(OR(E278&gt;Settings!$B$30,Q278&gt;Settings!$B$37),0,1)</f>
        <v>1</v>
      </c>
      <c r="X278" s="6">
        <f>IF(AND(W278=1,Q278&lt;=Settings!$B$36),1,0)</f>
        <v>0</v>
      </c>
    </row>
    <row r="279" spans="1:24" x14ac:dyDescent="0.2">
      <c r="A279">
        <f>Arrivals!A279</f>
        <v>3</v>
      </c>
      <c r="B279">
        <f>Arrivals!B279</f>
        <v>34</v>
      </c>
      <c r="C279" s="6">
        <f>Arrivals!F279</f>
        <v>298</v>
      </c>
      <c r="D279" s="6">
        <f>Arrivals!K279</f>
        <v>300</v>
      </c>
      <c r="E279" s="6">
        <f>D279*8/ACE_Input!S39+ACE_Input!T39</f>
        <v>24.02</v>
      </c>
      <c r="F279" s="6">
        <f t="shared" si="105"/>
        <v>298</v>
      </c>
      <c r="G279" s="6">
        <f t="shared" ref="G279:G310" si="116">K278</f>
        <v>936.17999999999984</v>
      </c>
      <c r="H279" s="6">
        <f t="shared" si="106"/>
        <v>936.17999999999984</v>
      </c>
      <c r="I279" s="6">
        <f>MOD(H279-Settings!$B$32,Settings!$B$33)</f>
        <v>216.17999999999984</v>
      </c>
      <c r="J279" s="6">
        <f>IF(I279&lt;Settings!$B$30,IF(Settings!$B$30-I279&gt;=E279,H279,H279+(Settings!$B$30-I279)+Settings!$B$31),H279+(Settings!$B$33-I279))</f>
        <v>936.17999999999984</v>
      </c>
      <c r="K279" s="6">
        <f t="shared" si="107"/>
        <v>960.19999999999982</v>
      </c>
      <c r="L279" s="6">
        <f t="shared" si="108"/>
        <v>960.19999999999982</v>
      </c>
      <c r="M279" s="6">
        <f t="shared" ref="M279:M310" si="117">P278</f>
        <v>946.93006055094156</v>
      </c>
      <c r="N279" s="6">
        <f t="shared" si="109"/>
        <v>960.19999999999982</v>
      </c>
      <c r="O279" s="6">
        <f>Arrivals!I279</f>
        <v>1.3509067675982127</v>
      </c>
      <c r="P279" s="6">
        <f t="shared" si="110"/>
        <v>961.55090676759801</v>
      </c>
      <c r="Q279" s="6">
        <f t="shared" si="111"/>
        <v>663.55090676759801</v>
      </c>
      <c r="R279" s="6">
        <f t="shared" si="112"/>
        <v>638.17999999999984</v>
      </c>
      <c r="S279" s="6">
        <f t="shared" si="113"/>
        <v>0</v>
      </c>
      <c r="T279" s="6">
        <f t="shared" si="114"/>
        <v>0</v>
      </c>
      <c r="U279" s="6">
        <f t="shared" si="115"/>
        <v>638.17999999999984</v>
      </c>
      <c r="V279" s="6" t="str">
        <f>IF(MOD(C279-Settings!$B$32,Settings!$B$33)&lt;Settings!$B$30,"Up","Down")</f>
        <v>Up</v>
      </c>
      <c r="W279" s="6">
        <f>IF(OR(E279&gt;Settings!$B$30,Q279&gt;Settings!$B$37),0,1)</f>
        <v>1</v>
      </c>
      <c r="X279" s="6">
        <f>IF(AND(W279=1,Q279&lt;=Settings!$B$36),1,0)</f>
        <v>0</v>
      </c>
    </row>
    <row r="280" spans="1:24" x14ac:dyDescent="0.2">
      <c r="A280">
        <f>Arrivals!A280</f>
        <v>3</v>
      </c>
      <c r="B280">
        <f>Arrivals!B280</f>
        <v>35</v>
      </c>
      <c r="C280" s="6">
        <f>Arrivals!F280</f>
        <v>303</v>
      </c>
      <c r="D280" s="6">
        <f>Arrivals!K280</f>
        <v>300</v>
      </c>
      <c r="E280" s="6">
        <f>D280*8/ACE_Input!S40+ACE_Input!T40</f>
        <v>24.02</v>
      </c>
      <c r="F280" s="6">
        <f t="shared" si="105"/>
        <v>303</v>
      </c>
      <c r="G280" s="6">
        <f t="shared" si="116"/>
        <v>960.19999999999982</v>
      </c>
      <c r="H280" s="6">
        <f t="shared" si="106"/>
        <v>960.19999999999982</v>
      </c>
      <c r="I280" s="6">
        <f>MOD(H280-Settings!$B$32,Settings!$B$33)</f>
        <v>240.19999999999982</v>
      </c>
      <c r="J280" s="6">
        <f>IF(I280&lt;Settings!$B$30,IF(Settings!$B$30-I280&gt;=E280,H280,H280+(Settings!$B$30-I280)+Settings!$B$31),H280+(Settings!$B$33-I280))</f>
        <v>960.19999999999982</v>
      </c>
      <c r="K280" s="6">
        <f t="shared" si="107"/>
        <v>984.2199999999998</v>
      </c>
      <c r="L280" s="6">
        <f t="shared" si="108"/>
        <v>984.2199999999998</v>
      </c>
      <c r="M280" s="6">
        <f t="shared" si="117"/>
        <v>961.55090676759801</v>
      </c>
      <c r="N280" s="6">
        <f t="shared" si="109"/>
        <v>984.2199999999998</v>
      </c>
      <c r="O280" s="6">
        <f>Arrivals!I280</f>
        <v>0.20640992717545906</v>
      </c>
      <c r="P280" s="6">
        <f t="shared" si="110"/>
        <v>984.42640992717531</v>
      </c>
      <c r="Q280" s="6">
        <f t="shared" si="111"/>
        <v>681.42640992717531</v>
      </c>
      <c r="R280" s="6">
        <f t="shared" si="112"/>
        <v>657.19999999999982</v>
      </c>
      <c r="S280" s="6">
        <f t="shared" si="113"/>
        <v>0</v>
      </c>
      <c r="T280" s="6">
        <f t="shared" si="114"/>
        <v>0</v>
      </c>
      <c r="U280" s="6">
        <f t="shared" si="115"/>
        <v>657.19999999999982</v>
      </c>
      <c r="V280" s="6" t="str">
        <f>IF(MOD(C280-Settings!$B$32,Settings!$B$33)&lt;Settings!$B$30,"Up","Down")</f>
        <v>Up</v>
      </c>
      <c r="W280" s="6">
        <f>IF(OR(E280&gt;Settings!$B$30,Q280&gt;Settings!$B$37),0,1)</f>
        <v>1</v>
      </c>
      <c r="X280" s="6">
        <f>IF(AND(W280=1,Q280&lt;=Settings!$B$36),1,0)</f>
        <v>0</v>
      </c>
    </row>
    <row r="281" spans="1:24" x14ac:dyDescent="0.2">
      <c r="A281">
        <f>Arrivals!A281</f>
        <v>3</v>
      </c>
      <c r="B281">
        <f>Arrivals!B281</f>
        <v>36</v>
      </c>
      <c r="C281" s="6">
        <f>Arrivals!F281</f>
        <v>308</v>
      </c>
      <c r="D281" s="6">
        <f>Arrivals!K281</f>
        <v>300</v>
      </c>
      <c r="E281" s="6">
        <f>D281*8/ACE_Input!S41+ACE_Input!T41</f>
        <v>24.02</v>
      </c>
      <c r="F281" s="6">
        <f t="shared" si="105"/>
        <v>308</v>
      </c>
      <c r="G281" s="6">
        <f t="shared" si="116"/>
        <v>984.2199999999998</v>
      </c>
      <c r="H281" s="6">
        <f t="shared" si="106"/>
        <v>984.2199999999998</v>
      </c>
      <c r="I281" s="6">
        <f>MOD(H281-Settings!$B$32,Settings!$B$33)</f>
        <v>264.2199999999998</v>
      </c>
      <c r="J281" s="6">
        <f>IF(I281&lt;Settings!$B$30,IF(Settings!$B$30-I281&gt;=E281,H281,H281+(Settings!$B$30-I281)+Settings!$B$31),H281+(Settings!$B$33-I281))</f>
        <v>984.2199999999998</v>
      </c>
      <c r="K281" s="6">
        <f t="shared" si="107"/>
        <v>1008.2399999999998</v>
      </c>
      <c r="L281" s="6">
        <f t="shared" si="108"/>
        <v>1008.2399999999998</v>
      </c>
      <c r="M281" s="6">
        <f t="shared" si="117"/>
        <v>984.42640992717531</v>
      </c>
      <c r="N281" s="6">
        <f t="shared" si="109"/>
        <v>1008.2399999999998</v>
      </c>
      <c r="O281" s="6">
        <f>Arrivals!I281</f>
        <v>1.3470635129606208</v>
      </c>
      <c r="P281" s="6">
        <f t="shared" si="110"/>
        <v>1009.5870635129604</v>
      </c>
      <c r="Q281" s="6">
        <f t="shared" si="111"/>
        <v>701.58706351296041</v>
      </c>
      <c r="R281" s="6">
        <f t="shared" si="112"/>
        <v>676.2199999999998</v>
      </c>
      <c r="S281" s="6">
        <f t="shared" si="113"/>
        <v>0</v>
      </c>
      <c r="T281" s="6">
        <f t="shared" si="114"/>
        <v>0</v>
      </c>
      <c r="U281" s="6">
        <f t="shared" si="115"/>
        <v>676.2199999999998</v>
      </c>
      <c r="V281" s="6" t="str">
        <f>IF(MOD(C281-Settings!$B$32,Settings!$B$33)&lt;Settings!$B$30,"Up","Down")</f>
        <v>Up</v>
      </c>
      <c r="W281" s="6">
        <f>IF(OR(E281&gt;Settings!$B$30,Q281&gt;Settings!$B$37),0,1)</f>
        <v>1</v>
      </c>
      <c r="X281" s="6">
        <f>IF(AND(W281=1,Q281&lt;=Settings!$B$36),1,0)</f>
        <v>0</v>
      </c>
    </row>
    <row r="282" spans="1:24" x14ac:dyDescent="0.2">
      <c r="A282">
        <f>Arrivals!A282</f>
        <v>3</v>
      </c>
      <c r="B282">
        <f>Arrivals!B282</f>
        <v>37</v>
      </c>
      <c r="C282" s="6">
        <f>Arrivals!F282</f>
        <v>313</v>
      </c>
      <c r="D282" s="6">
        <f>Arrivals!K282</f>
        <v>300</v>
      </c>
      <c r="E282" s="6">
        <f>D282*8/ACE_Input!S42+ACE_Input!T42</f>
        <v>24.02</v>
      </c>
      <c r="F282" s="6">
        <f t="shared" si="105"/>
        <v>313</v>
      </c>
      <c r="G282" s="6">
        <f t="shared" si="116"/>
        <v>1008.2399999999998</v>
      </c>
      <c r="H282" s="6">
        <f t="shared" si="106"/>
        <v>1008.2399999999998</v>
      </c>
      <c r="I282" s="6">
        <f>MOD(H282-Settings!$B$32,Settings!$B$33)</f>
        <v>288.23999999999978</v>
      </c>
      <c r="J282" s="6">
        <f>IF(I282&lt;Settings!$B$30,IF(Settings!$B$30-I282&gt;=E282,H282,H282+(Settings!$B$30-I282)+Settings!$B$31),H282+(Settings!$B$33-I282))</f>
        <v>1008.2399999999998</v>
      </c>
      <c r="K282" s="6">
        <f t="shared" si="107"/>
        <v>1032.2599999999998</v>
      </c>
      <c r="L282" s="6">
        <f t="shared" si="108"/>
        <v>1032.2599999999998</v>
      </c>
      <c r="M282" s="6">
        <f t="shared" si="117"/>
        <v>1009.5870635129604</v>
      </c>
      <c r="N282" s="6">
        <f t="shared" si="109"/>
        <v>1032.2599999999998</v>
      </c>
      <c r="O282" s="6">
        <f>Arrivals!I282</f>
        <v>2.9748166104384199</v>
      </c>
      <c r="P282" s="6">
        <f t="shared" si="110"/>
        <v>1035.2348166104382</v>
      </c>
      <c r="Q282" s="6">
        <f t="shared" si="111"/>
        <v>722.2348166104382</v>
      </c>
      <c r="R282" s="6">
        <f t="shared" si="112"/>
        <v>695.23999999999978</v>
      </c>
      <c r="S282" s="6">
        <f t="shared" si="113"/>
        <v>0</v>
      </c>
      <c r="T282" s="6">
        <f t="shared" si="114"/>
        <v>0</v>
      </c>
      <c r="U282" s="6">
        <f t="shared" si="115"/>
        <v>695.23999999999978</v>
      </c>
      <c r="V282" s="6" t="str">
        <f>IF(MOD(C282-Settings!$B$32,Settings!$B$33)&lt;Settings!$B$30,"Up","Down")</f>
        <v>Up</v>
      </c>
      <c r="W282" s="6">
        <f>IF(OR(E282&gt;Settings!$B$30,Q282&gt;Settings!$B$37),0,1)</f>
        <v>1</v>
      </c>
      <c r="X282" s="6">
        <f>IF(AND(W282=1,Q282&lt;=Settings!$B$36),1,0)</f>
        <v>0</v>
      </c>
    </row>
    <row r="283" spans="1:24" x14ac:dyDescent="0.2">
      <c r="A283">
        <f>Arrivals!A283</f>
        <v>3</v>
      </c>
      <c r="B283">
        <f>Arrivals!B283</f>
        <v>38</v>
      </c>
      <c r="C283" s="6">
        <f>Arrivals!F283</f>
        <v>318</v>
      </c>
      <c r="D283" s="6">
        <f>Arrivals!K283</f>
        <v>300</v>
      </c>
      <c r="E283" s="6">
        <f>D283*8/ACE_Input!S43+ACE_Input!T43</f>
        <v>24.02</v>
      </c>
      <c r="F283" s="6">
        <f t="shared" si="105"/>
        <v>318</v>
      </c>
      <c r="G283" s="6">
        <f t="shared" si="116"/>
        <v>1032.2599999999998</v>
      </c>
      <c r="H283" s="6">
        <f t="shared" si="106"/>
        <v>1032.2599999999998</v>
      </c>
      <c r="I283" s="6">
        <f>MOD(H283-Settings!$B$32,Settings!$B$33)</f>
        <v>312.25999999999976</v>
      </c>
      <c r="J283" s="6">
        <f>IF(I283&lt;Settings!$B$30,IF(Settings!$B$30-I283&gt;=E283,H283,H283+(Settings!$B$30-I283)+Settings!$B$31),H283+(Settings!$B$33-I283))</f>
        <v>1032.2599999999998</v>
      </c>
      <c r="K283" s="6">
        <f t="shared" si="107"/>
        <v>1056.2799999999997</v>
      </c>
      <c r="L283" s="6">
        <f t="shared" si="108"/>
        <v>1056.2799999999997</v>
      </c>
      <c r="M283" s="6">
        <f t="shared" si="117"/>
        <v>1035.2348166104382</v>
      </c>
      <c r="N283" s="6">
        <f t="shared" si="109"/>
        <v>1056.2799999999997</v>
      </c>
      <c r="O283" s="6">
        <f>Arrivals!I283</f>
        <v>6.3299139930437915</v>
      </c>
      <c r="P283" s="6">
        <f t="shared" si="110"/>
        <v>1062.6099139930436</v>
      </c>
      <c r="Q283" s="6">
        <f t="shared" si="111"/>
        <v>744.60991399304362</v>
      </c>
      <c r="R283" s="6">
        <f t="shared" si="112"/>
        <v>714.25999999999976</v>
      </c>
      <c r="S283" s="6">
        <f t="shared" si="113"/>
        <v>0</v>
      </c>
      <c r="T283" s="6">
        <f t="shared" si="114"/>
        <v>0</v>
      </c>
      <c r="U283" s="6">
        <f t="shared" si="115"/>
        <v>714.25999999999976</v>
      </c>
      <c r="V283" s="6" t="str">
        <f>IF(MOD(C283-Settings!$B$32,Settings!$B$33)&lt;Settings!$B$30,"Up","Down")</f>
        <v>Up</v>
      </c>
      <c r="W283" s="6">
        <f>IF(OR(E283&gt;Settings!$B$30,Q283&gt;Settings!$B$37),0,1)</f>
        <v>1</v>
      </c>
      <c r="X283" s="6">
        <f>IF(AND(W283=1,Q283&lt;=Settings!$B$36),1,0)</f>
        <v>0</v>
      </c>
    </row>
    <row r="284" spans="1:24" x14ac:dyDescent="0.2">
      <c r="A284">
        <f>Arrivals!A284</f>
        <v>3</v>
      </c>
      <c r="B284">
        <f>Arrivals!B284</f>
        <v>39</v>
      </c>
      <c r="C284" s="6">
        <f>Arrivals!F284</f>
        <v>323</v>
      </c>
      <c r="D284" s="6">
        <f>Arrivals!K284</f>
        <v>300</v>
      </c>
      <c r="E284" s="6">
        <f>D284*8/ACE_Input!S44+ACE_Input!T44</f>
        <v>24.02</v>
      </c>
      <c r="F284" s="6">
        <f t="shared" si="105"/>
        <v>323</v>
      </c>
      <c r="G284" s="6">
        <f t="shared" si="116"/>
        <v>1056.2799999999997</v>
      </c>
      <c r="H284" s="6">
        <f t="shared" si="106"/>
        <v>1056.2799999999997</v>
      </c>
      <c r="I284" s="6">
        <f>MOD(H284-Settings!$B$32,Settings!$B$33)</f>
        <v>336.27999999999975</v>
      </c>
      <c r="J284" s="6">
        <f>IF(I284&lt;Settings!$B$30,IF(Settings!$B$30-I284&gt;=E284,H284,H284+(Settings!$B$30-I284)+Settings!$B$31),H284+(Settings!$B$33-I284))</f>
        <v>1056.2799999999997</v>
      </c>
      <c r="K284" s="6">
        <f t="shared" si="107"/>
        <v>1080.2999999999997</v>
      </c>
      <c r="L284" s="6">
        <f t="shared" si="108"/>
        <v>1080.2999999999997</v>
      </c>
      <c r="M284" s="6">
        <f t="shared" si="117"/>
        <v>1062.6099139930436</v>
      </c>
      <c r="N284" s="6">
        <f t="shared" si="109"/>
        <v>1080.2999999999997</v>
      </c>
      <c r="O284" s="6">
        <f>Arrivals!I284</f>
        <v>5.4820589142346758</v>
      </c>
      <c r="P284" s="6">
        <f t="shared" si="110"/>
        <v>1085.7820589142343</v>
      </c>
      <c r="Q284" s="6">
        <f t="shared" si="111"/>
        <v>762.78205891423431</v>
      </c>
      <c r="R284" s="6">
        <f t="shared" si="112"/>
        <v>733.27999999999975</v>
      </c>
      <c r="S284" s="6">
        <f t="shared" si="113"/>
        <v>0</v>
      </c>
      <c r="T284" s="6">
        <f t="shared" si="114"/>
        <v>0</v>
      </c>
      <c r="U284" s="6">
        <f t="shared" si="115"/>
        <v>733.27999999999975</v>
      </c>
      <c r="V284" s="6" t="str">
        <f>IF(MOD(C284-Settings!$B$32,Settings!$B$33)&lt;Settings!$B$30,"Up","Down")</f>
        <v>Up</v>
      </c>
      <c r="W284" s="6">
        <f>IF(OR(E284&gt;Settings!$B$30,Q284&gt;Settings!$B$37),0,1)</f>
        <v>1</v>
      </c>
      <c r="X284" s="6">
        <f>IF(AND(W284=1,Q284&lt;=Settings!$B$36),1,0)</f>
        <v>0</v>
      </c>
    </row>
    <row r="285" spans="1:24" x14ac:dyDescent="0.2">
      <c r="A285">
        <f>Arrivals!A285</f>
        <v>3</v>
      </c>
      <c r="B285">
        <f>Arrivals!B285</f>
        <v>40</v>
      </c>
      <c r="C285" s="6">
        <f>Arrivals!F285</f>
        <v>328</v>
      </c>
      <c r="D285" s="6">
        <f>Arrivals!K285</f>
        <v>300</v>
      </c>
      <c r="E285" s="6">
        <f>D285*8/ACE_Input!S45+ACE_Input!T45</f>
        <v>24.02</v>
      </c>
      <c r="F285" s="6">
        <f t="shared" si="105"/>
        <v>328</v>
      </c>
      <c r="G285" s="6">
        <f t="shared" si="116"/>
        <v>1080.2999999999997</v>
      </c>
      <c r="H285" s="6">
        <f t="shared" si="106"/>
        <v>1080.2999999999997</v>
      </c>
      <c r="I285" s="6">
        <f>MOD(H285-Settings!$B$32,Settings!$B$33)</f>
        <v>360.29999999999973</v>
      </c>
      <c r="J285" s="6">
        <f>IF(I285&lt;Settings!$B$30,IF(Settings!$B$30-I285&gt;=E285,H285,H285+(Settings!$B$30-I285)+Settings!$B$31),H285+(Settings!$B$33-I285))</f>
        <v>1080.2999999999997</v>
      </c>
      <c r="K285" s="6">
        <f t="shared" si="107"/>
        <v>1104.3199999999997</v>
      </c>
      <c r="L285" s="6">
        <f t="shared" si="108"/>
        <v>1104.3199999999997</v>
      </c>
      <c r="M285" s="6">
        <f t="shared" si="117"/>
        <v>1085.7820589142343</v>
      </c>
      <c r="N285" s="6">
        <f t="shared" si="109"/>
        <v>1104.3199999999997</v>
      </c>
      <c r="O285" s="6">
        <f>Arrivals!I285</f>
        <v>2.1931086102817123</v>
      </c>
      <c r="P285" s="6">
        <f t="shared" si="110"/>
        <v>1106.5131086102815</v>
      </c>
      <c r="Q285" s="6">
        <f t="shared" si="111"/>
        <v>778.51310861028151</v>
      </c>
      <c r="R285" s="6">
        <f t="shared" si="112"/>
        <v>752.29999999999973</v>
      </c>
      <c r="S285" s="6">
        <f t="shared" si="113"/>
        <v>0</v>
      </c>
      <c r="T285" s="6">
        <f t="shared" si="114"/>
        <v>0</v>
      </c>
      <c r="U285" s="6">
        <f t="shared" si="115"/>
        <v>752.29999999999973</v>
      </c>
      <c r="V285" s="6" t="str">
        <f>IF(MOD(C285-Settings!$B$32,Settings!$B$33)&lt;Settings!$B$30,"Up","Down")</f>
        <v>Up</v>
      </c>
      <c r="W285" s="6">
        <f>IF(OR(E285&gt;Settings!$B$30,Q285&gt;Settings!$B$37),0,1)</f>
        <v>1</v>
      </c>
      <c r="X285" s="6">
        <f>IF(AND(W285=1,Q285&lt;=Settings!$B$36),1,0)</f>
        <v>0</v>
      </c>
    </row>
    <row r="286" spans="1:24" x14ac:dyDescent="0.2">
      <c r="A286">
        <f>Arrivals!A286</f>
        <v>3</v>
      </c>
      <c r="B286">
        <f>Arrivals!B286</f>
        <v>41</v>
      </c>
      <c r="C286" s="6">
        <f>Arrivals!F286</f>
        <v>333</v>
      </c>
      <c r="D286" s="6">
        <f>Arrivals!K286</f>
        <v>300</v>
      </c>
      <c r="E286" s="6">
        <f>D286*8/ACE_Input!S46+ACE_Input!T46</f>
        <v>24.02</v>
      </c>
      <c r="F286" s="6">
        <f t="shared" si="105"/>
        <v>333</v>
      </c>
      <c r="G286" s="6">
        <f t="shared" si="116"/>
        <v>1104.3199999999997</v>
      </c>
      <c r="H286" s="6">
        <f t="shared" si="106"/>
        <v>1104.3199999999997</v>
      </c>
      <c r="I286" s="6">
        <f>MOD(H286-Settings!$B$32,Settings!$B$33)</f>
        <v>384.31999999999971</v>
      </c>
      <c r="J286" s="6">
        <f>IF(I286&lt;Settings!$B$30,IF(Settings!$B$30-I286&gt;=E286,H286,H286+(Settings!$B$30-I286)+Settings!$B$31),H286+(Settings!$B$33-I286))</f>
        <v>1104.3199999999997</v>
      </c>
      <c r="K286" s="6">
        <f t="shared" si="107"/>
        <v>1128.3399999999997</v>
      </c>
      <c r="L286" s="6">
        <f t="shared" si="108"/>
        <v>1128.3399999999997</v>
      </c>
      <c r="M286" s="6">
        <f t="shared" si="117"/>
        <v>1106.5131086102815</v>
      </c>
      <c r="N286" s="6">
        <f t="shared" si="109"/>
        <v>1128.3399999999997</v>
      </c>
      <c r="O286" s="6">
        <f>Arrivals!I286</f>
        <v>2.6468925029501649</v>
      </c>
      <c r="P286" s="6">
        <f t="shared" si="110"/>
        <v>1130.9868925029498</v>
      </c>
      <c r="Q286" s="6">
        <f t="shared" si="111"/>
        <v>797.98689250294979</v>
      </c>
      <c r="R286" s="6">
        <f t="shared" si="112"/>
        <v>771.31999999999971</v>
      </c>
      <c r="S286" s="6">
        <f t="shared" si="113"/>
        <v>0</v>
      </c>
      <c r="T286" s="6">
        <f t="shared" si="114"/>
        <v>0</v>
      </c>
      <c r="U286" s="6">
        <f t="shared" si="115"/>
        <v>771.31999999999971</v>
      </c>
      <c r="V286" s="6" t="str">
        <f>IF(MOD(C286-Settings!$B$32,Settings!$B$33)&lt;Settings!$B$30,"Up","Down")</f>
        <v>Up</v>
      </c>
      <c r="W286" s="6">
        <f>IF(OR(E286&gt;Settings!$B$30,Q286&gt;Settings!$B$37),0,1)</f>
        <v>1</v>
      </c>
      <c r="X286" s="6">
        <f>IF(AND(W286=1,Q286&lt;=Settings!$B$36),1,0)</f>
        <v>0</v>
      </c>
    </row>
    <row r="287" spans="1:24" x14ac:dyDescent="0.2">
      <c r="A287">
        <f>Arrivals!A287</f>
        <v>3</v>
      </c>
      <c r="B287">
        <f>Arrivals!B287</f>
        <v>42</v>
      </c>
      <c r="C287" s="6">
        <f>Arrivals!F287</f>
        <v>338</v>
      </c>
      <c r="D287" s="6">
        <f>Arrivals!K287</f>
        <v>300</v>
      </c>
      <c r="E287" s="6">
        <f>D287*8/ACE_Input!S47+ACE_Input!T47</f>
        <v>24.02</v>
      </c>
      <c r="F287" s="6">
        <f t="shared" si="105"/>
        <v>338</v>
      </c>
      <c r="G287" s="6">
        <f t="shared" si="116"/>
        <v>1128.3399999999997</v>
      </c>
      <c r="H287" s="6">
        <f t="shared" si="106"/>
        <v>1128.3399999999997</v>
      </c>
      <c r="I287" s="6">
        <f>MOD(H287-Settings!$B$32,Settings!$B$33)</f>
        <v>408.33999999999969</v>
      </c>
      <c r="J287" s="6">
        <f>IF(I287&lt;Settings!$B$30,IF(Settings!$B$30-I287&gt;=E287,H287,H287+(Settings!$B$30-I287)+Settings!$B$31),H287+(Settings!$B$33-I287))</f>
        <v>1128.3399999999997</v>
      </c>
      <c r="K287" s="6">
        <f t="shared" si="107"/>
        <v>1152.3599999999997</v>
      </c>
      <c r="L287" s="6">
        <f t="shared" si="108"/>
        <v>1152.3599999999997</v>
      </c>
      <c r="M287" s="6">
        <f t="shared" si="117"/>
        <v>1130.9868925029498</v>
      </c>
      <c r="N287" s="6">
        <f t="shared" si="109"/>
        <v>1152.3599999999997</v>
      </c>
      <c r="O287" s="6">
        <f>Arrivals!I287</f>
        <v>1.0717474354259882</v>
      </c>
      <c r="P287" s="6">
        <f t="shared" si="110"/>
        <v>1153.4317474354257</v>
      </c>
      <c r="Q287" s="6">
        <f t="shared" si="111"/>
        <v>815.43174743542568</v>
      </c>
      <c r="R287" s="6">
        <f t="shared" si="112"/>
        <v>790.33999999999969</v>
      </c>
      <c r="S287" s="6">
        <f t="shared" si="113"/>
        <v>0</v>
      </c>
      <c r="T287" s="6">
        <f t="shared" si="114"/>
        <v>0</v>
      </c>
      <c r="U287" s="6">
        <f t="shared" si="115"/>
        <v>790.33999999999969</v>
      </c>
      <c r="V287" s="6" t="str">
        <f>IF(MOD(C287-Settings!$B$32,Settings!$B$33)&lt;Settings!$B$30,"Up","Down")</f>
        <v>Up</v>
      </c>
      <c r="W287" s="6">
        <f>IF(OR(E287&gt;Settings!$B$30,Q287&gt;Settings!$B$37),0,1)</f>
        <v>1</v>
      </c>
      <c r="X287" s="6">
        <f>IF(AND(W287=1,Q287&lt;=Settings!$B$36),1,0)</f>
        <v>0</v>
      </c>
    </row>
    <row r="288" spans="1:24" x14ac:dyDescent="0.2">
      <c r="A288">
        <f>Arrivals!A288</f>
        <v>3</v>
      </c>
      <c r="B288">
        <f>Arrivals!B288</f>
        <v>43</v>
      </c>
      <c r="C288" s="6">
        <f>Arrivals!F288</f>
        <v>343</v>
      </c>
      <c r="D288" s="6">
        <f>Arrivals!K288</f>
        <v>300</v>
      </c>
      <c r="E288" s="6">
        <f>D288*8/ACE_Input!S48+ACE_Input!T48</f>
        <v>24.02</v>
      </c>
      <c r="F288" s="6">
        <f t="shared" si="105"/>
        <v>343</v>
      </c>
      <c r="G288" s="6">
        <f t="shared" si="116"/>
        <v>1152.3599999999997</v>
      </c>
      <c r="H288" s="6">
        <f t="shared" si="106"/>
        <v>1152.3599999999997</v>
      </c>
      <c r="I288" s="6">
        <f>MOD(H288-Settings!$B$32,Settings!$B$33)</f>
        <v>432.35999999999967</v>
      </c>
      <c r="J288" s="6">
        <f>IF(I288&lt;Settings!$B$30,IF(Settings!$B$30-I288&gt;=E288,H288,H288+(Settings!$B$30-I288)+Settings!$B$31),H288+(Settings!$B$33-I288))</f>
        <v>1152.3599999999997</v>
      </c>
      <c r="K288" s="6">
        <f t="shared" si="107"/>
        <v>1176.3799999999997</v>
      </c>
      <c r="L288" s="6">
        <f t="shared" si="108"/>
        <v>1176.3799999999997</v>
      </c>
      <c r="M288" s="6">
        <f t="shared" si="117"/>
        <v>1153.4317474354257</v>
      </c>
      <c r="N288" s="6">
        <f t="shared" si="109"/>
        <v>1176.3799999999997</v>
      </c>
      <c r="O288" s="6">
        <f>Arrivals!I288</f>
        <v>1.9326287562379814</v>
      </c>
      <c r="P288" s="6">
        <f t="shared" si="110"/>
        <v>1178.3126287562377</v>
      </c>
      <c r="Q288" s="6">
        <f t="shared" si="111"/>
        <v>835.3126287562377</v>
      </c>
      <c r="R288" s="6">
        <f t="shared" si="112"/>
        <v>809.35999999999967</v>
      </c>
      <c r="S288" s="6">
        <f t="shared" si="113"/>
        <v>0</v>
      </c>
      <c r="T288" s="6">
        <f t="shared" si="114"/>
        <v>0</v>
      </c>
      <c r="U288" s="6">
        <f t="shared" si="115"/>
        <v>809.35999999999967</v>
      </c>
      <c r="V288" s="6" t="str">
        <f>IF(MOD(C288-Settings!$B$32,Settings!$B$33)&lt;Settings!$B$30,"Up","Down")</f>
        <v>Up</v>
      </c>
      <c r="W288" s="6">
        <f>IF(OR(E288&gt;Settings!$B$30,Q288&gt;Settings!$B$37),0,1)</f>
        <v>1</v>
      </c>
      <c r="X288" s="6">
        <f>IF(AND(W288=1,Q288&lt;=Settings!$B$36),1,0)</f>
        <v>0</v>
      </c>
    </row>
    <row r="289" spans="1:24" x14ac:dyDescent="0.2">
      <c r="A289">
        <f>Arrivals!A289</f>
        <v>3</v>
      </c>
      <c r="B289">
        <f>Arrivals!B289</f>
        <v>44</v>
      </c>
      <c r="C289" s="6">
        <f>Arrivals!F289</f>
        <v>348</v>
      </c>
      <c r="D289" s="6">
        <f>Arrivals!K289</f>
        <v>300</v>
      </c>
      <c r="E289" s="6">
        <f>D289*8/ACE_Input!S49+ACE_Input!T49</f>
        <v>24.02</v>
      </c>
      <c r="F289" s="6">
        <f t="shared" si="105"/>
        <v>348</v>
      </c>
      <c r="G289" s="6">
        <f t="shared" si="116"/>
        <v>1176.3799999999997</v>
      </c>
      <c r="H289" s="6">
        <f t="shared" si="106"/>
        <v>1176.3799999999997</v>
      </c>
      <c r="I289" s="6">
        <f>MOD(H289-Settings!$B$32,Settings!$B$33)</f>
        <v>456.37999999999965</v>
      </c>
      <c r="J289" s="6">
        <f>IF(I289&lt;Settings!$B$30,IF(Settings!$B$30-I289&gt;=E289,H289,H289+(Settings!$B$30-I289)+Settings!$B$31),H289+(Settings!$B$33-I289))</f>
        <v>1176.3799999999997</v>
      </c>
      <c r="K289" s="6">
        <f t="shared" si="107"/>
        <v>1200.3999999999996</v>
      </c>
      <c r="L289" s="6">
        <f t="shared" si="108"/>
        <v>1200.3999999999996</v>
      </c>
      <c r="M289" s="6">
        <f t="shared" si="117"/>
        <v>1178.3126287562377</v>
      </c>
      <c r="N289" s="6">
        <f t="shared" si="109"/>
        <v>1200.3999999999996</v>
      </c>
      <c r="O289" s="6">
        <f>Arrivals!I289</f>
        <v>8.835755612402254</v>
      </c>
      <c r="P289" s="6">
        <f t="shared" si="110"/>
        <v>1209.2357556124018</v>
      </c>
      <c r="Q289" s="6">
        <f t="shared" si="111"/>
        <v>861.23575561240182</v>
      </c>
      <c r="R289" s="6">
        <f t="shared" si="112"/>
        <v>828.37999999999965</v>
      </c>
      <c r="S289" s="6">
        <f t="shared" si="113"/>
        <v>0</v>
      </c>
      <c r="T289" s="6">
        <f t="shared" si="114"/>
        <v>0</v>
      </c>
      <c r="U289" s="6">
        <f t="shared" si="115"/>
        <v>828.37999999999965</v>
      </c>
      <c r="V289" s="6" t="str">
        <f>IF(MOD(C289-Settings!$B$32,Settings!$B$33)&lt;Settings!$B$30,"Up","Down")</f>
        <v>Up</v>
      </c>
      <c r="W289" s="6">
        <f>IF(OR(E289&gt;Settings!$B$30,Q289&gt;Settings!$B$37),0,1)</f>
        <v>1</v>
      </c>
      <c r="X289" s="6">
        <f>IF(AND(W289=1,Q289&lt;=Settings!$B$36),1,0)</f>
        <v>0</v>
      </c>
    </row>
    <row r="290" spans="1:24" x14ac:dyDescent="0.2">
      <c r="A290">
        <f>Arrivals!A290</f>
        <v>3</v>
      </c>
      <c r="B290">
        <f>Arrivals!B290</f>
        <v>45</v>
      </c>
      <c r="C290" s="6">
        <f>Arrivals!F290</f>
        <v>354</v>
      </c>
      <c r="D290" s="6">
        <f>Arrivals!K290</f>
        <v>300</v>
      </c>
      <c r="E290" s="6">
        <f>D290*8/ACE_Input!S50+ACE_Input!T50</f>
        <v>24.02</v>
      </c>
      <c r="F290" s="6">
        <f t="shared" si="105"/>
        <v>354</v>
      </c>
      <c r="G290" s="6">
        <f t="shared" si="116"/>
        <v>1200.3999999999996</v>
      </c>
      <c r="H290" s="6">
        <f t="shared" si="106"/>
        <v>1200.3999999999996</v>
      </c>
      <c r="I290" s="6">
        <f>MOD(H290-Settings!$B$32,Settings!$B$33)</f>
        <v>480.39999999999964</v>
      </c>
      <c r="J290" s="6">
        <f>IF(I290&lt;Settings!$B$30,IF(Settings!$B$30-I290&gt;=E290,H290,H290+(Settings!$B$30-I290)+Settings!$B$31),H290+(Settings!$B$33-I290))</f>
        <v>1200.3999999999996</v>
      </c>
      <c r="K290" s="6">
        <f t="shared" si="107"/>
        <v>1224.4199999999996</v>
      </c>
      <c r="L290" s="6">
        <f t="shared" si="108"/>
        <v>1224.4199999999996</v>
      </c>
      <c r="M290" s="6">
        <f t="shared" si="117"/>
        <v>1209.2357556124018</v>
      </c>
      <c r="N290" s="6">
        <f t="shared" si="109"/>
        <v>1224.4199999999996</v>
      </c>
      <c r="O290" s="6">
        <f>Arrivals!I290</f>
        <v>1.4483384947410107</v>
      </c>
      <c r="P290" s="6">
        <f t="shared" si="110"/>
        <v>1225.8683384947406</v>
      </c>
      <c r="Q290" s="6">
        <f t="shared" si="111"/>
        <v>871.86833849474056</v>
      </c>
      <c r="R290" s="6">
        <f t="shared" si="112"/>
        <v>846.39999999999964</v>
      </c>
      <c r="S290" s="6">
        <f t="shared" si="113"/>
        <v>0</v>
      </c>
      <c r="T290" s="6">
        <f t="shared" si="114"/>
        <v>0</v>
      </c>
      <c r="U290" s="6">
        <f t="shared" si="115"/>
        <v>846.39999999999964</v>
      </c>
      <c r="V290" s="6" t="str">
        <f>IF(MOD(C290-Settings!$B$32,Settings!$B$33)&lt;Settings!$B$30,"Up","Down")</f>
        <v>Up</v>
      </c>
      <c r="W290" s="6">
        <f>IF(OR(E290&gt;Settings!$B$30,Q290&gt;Settings!$B$37),0,1)</f>
        <v>1</v>
      </c>
      <c r="X290" s="6">
        <f>IF(AND(W290=1,Q290&lt;=Settings!$B$36),1,0)</f>
        <v>0</v>
      </c>
    </row>
    <row r="291" spans="1:24" x14ac:dyDescent="0.2">
      <c r="A291">
        <f>Arrivals!A291</f>
        <v>3</v>
      </c>
      <c r="B291">
        <f>Arrivals!B291</f>
        <v>46</v>
      </c>
      <c r="C291" s="6">
        <f>Arrivals!F291</f>
        <v>359</v>
      </c>
      <c r="D291" s="6">
        <f>Arrivals!K291</f>
        <v>300</v>
      </c>
      <c r="E291" s="6">
        <f>D291*8/ACE_Input!S51+ACE_Input!T51</f>
        <v>24.02</v>
      </c>
      <c r="F291" s="6">
        <f t="shared" si="105"/>
        <v>359</v>
      </c>
      <c r="G291" s="6">
        <f t="shared" si="116"/>
        <v>1224.4199999999996</v>
      </c>
      <c r="H291" s="6">
        <f t="shared" si="106"/>
        <v>1224.4199999999996</v>
      </c>
      <c r="I291" s="6">
        <f>MOD(H291-Settings!$B$32,Settings!$B$33)</f>
        <v>504.41999999999962</v>
      </c>
      <c r="J291" s="6">
        <f>IF(I291&lt;Settings!$B$30,IF(Settings!$B$30-I291&gt;=E291,H291,H291+(Settings!$B$30-I291)+Settings!$B$31),H291+(Settings!$B$33-I291))</f>
        <v>1224.4199999999996</v>
      </c>
      <c r="K291" s="6">
        <f t="shared" si="107"/>
        <v>1248.4399999999996</v>
      </c>
      <c r="L291" s="6">
        <f t="shared" si="108"/>
        <v>1248.4399999999996</v>
      </c>
      <c r="M291" s="6">
        <f t="shared" si="117"/>
        <v>1225.8683384947406</v>
      </c>
      <c r="N291" s="6">
        <f t="shared" si="109"/>
        <v>1248.4399999999996</v>
      </c>
      <c r="O291" s="6">
        <f>Arrivals!I291</f>
        <v>3.3992367106564965</v>
      </c>
      <c r="P291" s="6">
        <f t="shared" si="110"/>
        <v>1251.839236710656</v>
      </c>
      <c r="Q291" s="6">
        <f t="shared" si="111"/>
        <v>892.839236710656</v>
      </c>
      <c r="R291" s="6">
        <f t="shared" si="112"/>
        <v>865.41999999999962</v>
      </c>
      <c r="S291" s="6">
        <f t="shared" si="113"/>
        <v>0</v>
      </c>
      <c r="T291" s="6">
        <f t="shared" si="114"/>
        <v>0</v>
      </c>
      <c r="U291" s="6">
        <f t="shared" si="115"/>
        <v>865.41999999999962</v>
      </c>
      <c r="V291" s="6" t="str">
        <f>IF(MOD(C291-Settings!$B$32,Settings!$B$33)&lt;Settings!$B$30,"Up","Down")</f>
        <v>Up</v>
      </c>
      <c r="W291" s="6">
        <f>IF(OR(E291&gt;Settings!$B$30,Q291&gt;Settings!$B$37),0,1)</f>
        <v>1</v>
      </c>
      <c r="X291" s="6">
        <f>IF(AND(W291=1,Q291&lt;=Settings!$B$36),1,0)</f>
        <v>0</v>
      </c>
    </row>
    <row r="292" spans="1:24" x14ac:dyDescent="0.2">
      <c r="A292">
        <f>Arrivals!A292</f>
        <v>3</v>
      </c>
      <c r="B292">
        <f>Arrivals!B292</f>
        <v>47</v>
      </c>
      <c r="C292" s="6">
        <f>Arrivals!F292</f>
        <v>364</v>
      </c>
      <c r="D292" s="6">
        <f>Arrivals!K292</f>
        <v>300</v>
      </c>
      <c r="E292" s="6">
        <f>D292*8/ACE_Input!S52+ACE_Input!T52</f>
        <v>24.02</v>
      </c>
      <c r="F292" s="6">
        <f t="shared" si="105"/>
        <v>364</v>
      </c>
      <c r="G292" s="6">
        <f t="shared" si="116"/>
        <v>1248.4399999999996</v>
      </c>
      <c r="H292" s="6">
        <f t="shared" si="106"/>
        <v>1248.4399999999996</v>
      </c>
      <c r="I292" s="6">
        <f>MOD(H292-Settings!$B$32,Settings!$B$33)</f>
        <v>528.4399999999996</v>
      </c>
      <c r="J292" s="6">
        <f>IF(I292&lt;Settings!$B$30,IF(Settings!$B$30-I292&gt;=E292,H292,H292+(Settings!$B$30-I292)+Settings!$B$31),H292+(Settings!$B$33-I292))</f>
        <v>1248.4399999999996</v>
      </c>
      <c r="K292" s="6">
        <f t="shared" si="107"/>
        <v>1272.4599999999996</v>
      </c>
      <c r="L292" s="6">
        <f t="shared" si="108"/>
        <v>1272.4599999999996</v>
      </c>
      <c r="M292" s="6">
        <f t="shared" si="117"/>
        <v>1251.839236710656</v>
      </c>
      <c r="N292" s="6">
        <f t="shared" si="109"/>
        <v>1272.4599999999996</v>
      </c>
      <c r="O292" s="6">
        <f>Arrivals!I292</f>
        <v>0.27450196431616247</v>
      </c>
      <c r="P292" s="6">
        <f t="shared" si="110"/>
        <v>1272.7345019643158</v>
      </c>
      <c r="Q292" s="6">
        <f t="shared" si="111"/>
        <v>908.73450196431577</v>
      </c>
      <c r="R292" s="6">
        <f t="shared" si="112"/>
        <v>884.4399999999996</v>
      </c>
      <c r="S292" s="6">
        <f t="shared" si="113"/>
        <v>0</v>
      </c>
      <c r="T292" s="6">
        <f t="shared" si="114"/>
        <v>0</v>
      </c>
      <c r="U292" s="6">
        <f t="shared" si="115"/>
        <v>884.4399999999996</v>
      </c>
      <c r="V292" s="6" t="str">
        <f>IF(MOD(C292-Settings!$B$32,Settings!$B$33)&lt;Settings!$B$30,"Up","Down")</f>
        <v>Up</v>
      </c>
      <c r="W292" s="6">
        <f>IF(OR(E292&gt;Settings!$B$30,Q292&gt;Settings!$B$37),0,1)</f>
        <v>0</v>
      </c>
      <c r="X292" s="6">
        <f>IF(AND(W292=1,Q292&lt;=Settings!$B$36),1,0)</f>
        <v>0</v>
      </c>
    </row>
    <row r="293" spans="1:24" x14ac:dyDescent="0.2">
      <c r="A293">
        <f>Arrivals!A293</f>
        <v>3</v>
      </c>
      <c r="B293">
        <f>Arrivals!B293</f>
        <v>48</v>
      </c>
      <c r="C293" s="6">
        <f>Arrivals!F293</f>
        <v>369</v>
      </c>
      <c r="D293" s="6">
        <f>Arrivals!K293</f>
        <v>300</v>
      </c>
      <c r="E293" s="6">
        <f>D293*8/ACE_Input!S53+ACE_Input!T53</f>
        <v>24.02</v>
      </c>
      <c r="F293" s="6">
        <f t="shared" si="105"/>
        <v>369</v>
      </c>
      <c r="G293" s="6">
        <f t="shared" si="116"/>
        <v>1272.4599999999996</v>
      </c>
      <c r="H293" s="6">
        <f t="shared" si="106"/>
        <v>1272.4599999999996</v>
      </c>
      <c r="I293" s="6">
        <f>MOD(H293-Settings!$B$32,Settings!$B$33)</f>
        <v>552.45999999999958</v>
      </c>
      <c r="J293" s="6">
        <f>IF(I293&lt;Settings!$B$30,IF(Settings!$B$30-I293&gt;=E293,H293,H293+(Settings!$B$30-I293)+Settings!$B$31),H293+(Settings!$B$33-I293))</f>
        <v>1272.4599999999996</v>
      </c>
      <c r="K293" s="6">
        <f t="shared" si="107"/>
        <v>1296.4799999999996</v>
      </c>
      <c r="L293" s="6">
        <f t="shared" si="108"/>
        <v>1296.4799999999996</v>
      </c>
      <c r="M293" s="6">
        <f t="shared" si="117"/>
        <v>1272.7345019643158</v>
      </c>
      <c r="N293" s="6">
        <f t="shared" si="109"/>
        <v>1296.4799999999996</v>
      </c>
      <c r="O293" s="6">
        <f>Arrivals!I293</f>
        <v>4.8518245279780627</v>
      </c>
      <c r="P293" s="6">
        <f t="shared" si="110"/>
        <v>1301.3318245279777</v>
      </c>
      <c r="Q293" s="6">
        <f t="shared" si="111"/>
        <v>932.33182452797769</v>
      </c>
      <c r="R293" s="6">
        <f t="shared" si="112"/>
        <v>903.45999999999958</v>
      </c>
      <c r="S293" s="6">
        <f t="shared" si="113"/>
        <v>0</v>
      </c>
      <c r="T293" s="6">
        <f t="shared" si="114"/>
        <v>0</v>
      </c>
      <c r="U293" s="6">
        <f t="shared" si="115"/>
        <v>903.45999999999958</v>
      </c>
      <c r="V293" s="6" t="str">
        <f>IF(MOD(C293-Settings!$B$32,Settings!$B$33)&lt;Settings!$B$30,"Up","Down")</f>
        <v>Up</v>
      </c>
      <c r="W293" s="6">
        <f>IF(OR(E293&gt;Settings!$B$30,Q293&gt;Settings!$B$37),0,1)</f>
        <v>0</v>
      </c>
      <c r="X293" s="6">
        <f>IF(AND(W293=1,Q293&lt;=Settings!$B$36),1,0)</f>
        <v>0</v>
      </c>
    </row>
    <row r="294" spans="1:24" x14ac:dyDescent="0.2">
      <c r="A294">
        <f>Arrivals!A294</f>
        <v>3</v>
      </c>
      <c r="B294">
        <f>Arrivals!B294</f>
        <v>49</v>
      </c>
      <c r="C294" s="6">
        <f>Arrivals!F294</f>
        <v>374</v>
      </c>
      <c r="D294" s="6">
        <f>Arrivals!K294</f>
        <v>300</v>
      </c>
      <c r="E294" s="6">
        <f>D294*8/ACE_Input!S54+ACE_Input!T54</f>
        <v>24.02</v>
      </c>
      <c r="F294" s="6">
        <f t="shared" si="105"/>
        <v>374</v>
      </c>
      <c r="G294" s="6">
        <f t="shared" si="116"/>
        <v>1296.4799999999996</v>
      </c>
      <c r="H294" s="6">
        <f t="shared" si="106"/>
        <v>1296.4799999999996</v>
      </c>
      <c r="I294" s="6">
        <f>MOD(H294-Settings!$B$32,Settings!$B$33)</f>
        <v>576.47999999999956</v>
      </c>
      <c r="J294" s="6">
        <f>IF(I294&lt;Settings!$B$30,IF(Settings!$B$30-I294&gt;=E294,H294,H294+(Settings!$B$30-I294)+Settings!$B$31),H294+(Settings!$B$33-I294))</f>
        <v>1440</v>
      </c>
      <c r="K294" s="6">
        <f t="shared" si="107"/>
        <v>1464.02</v>
      </c>
      <c r="L294" s="6">
        <f t="shared" si="108"/>
        <v>1464.02</v>
      </c>
      <c r="M294" s="6">
        <f t="shared" si="117"/>
        <v>1301.3318245279777</v>
      </c>
      <c r="N294" s="6">
        <f t="shared" si="109"/>
        <v>1464.02</v>
      </c>
      <c r="O294" s="6">
        <f>Arrivals!I294</f>
        <v>19.310810782493238</v>
      </c>
      <c r="P294" s="6">
        <f t="shared" si="110"/>
        <v>1483.3308107824932</v>
      </c>
      <c r="Q294" s="6">
        <f t="shared" si="111"/>
        <v>1109.3308107824932</v>
      </c>
      <c r="R294" s="6">
        <f t="shared" si="112"/>
        <v>922.47999999999956</v>
      </c>
      <c r="S294" s="6">
        <f t="shared" si="113"/>
        <v>143.52000000000044</v>
      </c>
      <c r="T294" s="6">
        <f t="shared" si="114"/>
        <v>0</v>
      </c>
      <c r="U294" s="6">
        <f t="shared" si="115"/>
        <v>1066</v>
      </c>
      <c r="V294" s="6" t="str">
        <f>IF(MOD(C294-Settings!$B$32,Settings!$B$33)&lt;Settings!$B$30,"Up","Down")</f>
        <v>Up</v>
      </c>
      <c r="W294" s="6">
        <f>IF(OR(E294&gt;Settings!$B$30,Q294&gt;Settings!$B$37),0,1)</f>
        <v>0</v>
      </c>
      <c r="X294" s="6">
        <f>IF(AND(W294=1,Q294&lt;=Settings!$B$36),1,0)</f>
        <v>0</v>
      </c>
    </row>
    <row r="295" spans="1:24" x14ac:dyDescent="0.2">
      <c r="A295">
        <f>Arrivals!A295</f>
        <v>3</v>
      </c>
      <c r="B295">
        <f>Arrivals!B295</f>
        <v>50</v>
      </c>
      <c r="C295" s="6">
        <f>Arrivals!F295</f>
        <v>379</v>
      </c>
      <c r="D295" s="6">
        <f>Arrivals!K295</f>
        <v>300</v>
      </c>
      <c r="E295" s="6">
        <f>D295*8/ACE_Input!S55+ACE_Input!T55</f>
        <v>24.02</v>
      </c>
      <c r="F295" s="6">
        <f t="shared" si="105"/>
        <v>379</v>
      </c>
      <c r="G295" s="6">
        <f t="shared" si="116"/>
        <v>1464.02</v>
      </c>
      <c r="H295" s="6">
        <f t="shared" si="106"/>
        <v>1464.02</v>
      </c>
      <c r="I295" s="6">
        <f>MOD(H295-Settings!$B$32,Settings!$B$33)</f>
        <v>24.019999999999982</v>
      </c>
      <c r="J295" s="6">
        <f>IF(I295&lt;Settings!$B$30,IF(Settings!$B$30-I295&gt;=E295,H295,H295+(Settings!$B$30-I295)+Settings!$B$31),H295+(Settings!$B$33-I295))</f>
        <v>1464.02</v>
      </c>
      <c r="K295" s="6">
        <f t="shared" si="107"/>
        <v>1488.04</v>
      </c>
      <c r="L295" s="6">
        <f t="shared" si="108"/>
        <v>1488.04</v>
      </c>
      <c r="M295" s="6">
        <f t="shared" si="117"/>
        <v>1483.3308107824932</v>
      </c>
      <c r="N295" s="6">
        <f t="shared" si="109"/>
        <v>1488.04</v>
      </c>
      <c r="O295" s="6">
        <f>Arrivals!I295</f>
        <v>2.4782240877372668</v>
      </c>
      <c r="P295" s="6">
        <f t="shared" si="110"/>
        <v>1490.5182240877373</v>
      </c>
      <c r="Q295" s="6">
        <f t="shared" si="111"/>
        <v>1111.5182240877373</v>
      </c>
      <c r="R295" s="6">
        <f t="shared" si="112"/>
        <v>1085.02</v>
      </c>
      <c r="S295" s="6">
        <f t="shared" si="113"/>
        <v>0</v>
      </c>
      <c r="T295" s="6">
        <f t="shared" si="114"/>
        <v>0</v>
      </c>
      <c r="U295" s="6">
        <f t="shared" si="115"/>
        <v>1085.02</v>
      </c>
      <c r="V295" s="6" t="str">
        <f>IF(MOD(C295-Settings!$B$32,Settings!$B$33)&lt;Settings!$B$30,"Up","Down")</f>
        <v>Up</v>
      </c>
      <c r="W295" s="6">
        <f>IF(OR(E295&gt;Settings!$B$30,Q295&gt;Settings!$B$37),0,1)</f>
        <v>0</v>
      </c>
      <c r="X295" s="6">
        <f>IF(AND(W295=1,Q295&lt;=Settings!$B$36),1,0)</f>
        <v>0</v>
      </c>
    </row>
    <row r="296" spans="1:24" x14ac:dyDescent="0.2">
      <c r="A296">
        <f>Arrivals!A296</f>
        <v>3</v>
      </c>
      <c r="B296">
        <f>Arrivals!B296</f>
        <v>51</v>
      </c>
      <c r="C296" s="6">
        <f>Arrivals!F296</f>
        <v>384</v>
      </c>
      <c r="D296" s="6">
        <f>Arrivals!K296</f>
        <v>300</v>
      </c>
      <c r="E296" s="6">
        <f>D296*8/ACE_Input!S56+ACE_Input!T56</f>
        <v>24.02</v>
      </c>
      <c r="F296" s="6">
        <f t="shared" si="105"/>
        <v>384</v>
      </c>
      <c r="G296" s="6">
        <f t="shared" si="116"/>
        <v>1488.04</v>
      </c>
      <c r="H296" s="6">
        <f t="shared" si="106"/>
        <v>1488.04</v>
      </c>
      <c r="I296" s="6">
        <f>MOD(H296-Settings!$B$32,Settings!$B$33)</f>
        <v>48.039999999999964</v>
      </c>
      <c r="J296" s="6">
        <f>IF(I296&lt;Settings!$B$30,IF(Settings!$B$30-I296&gt;=E296,H296,H296+(Settings!$B$30-I296)+Settings!$B$31),H296+(Settings!$B$33-I296))</f>
        <v>1488.04</v>
      </c>
      <c r="K296" s="6">
        <f t="shared" si="107"/>
        <v>1512.06</v>
      </c>
      <c r="L296" s="6">
        <f t="shared" si="108"/>
        <v>1512.06</v>
      </c>
      <c r="M296" s="6">
        <f t="shared" si="117"/>
        <v>1490.5182240877373</v>
      </c>
      <c r="N296" s="6">
        <f t="shared" si="109"/>
        <v>1512.06</v>
      </c>
      <c r="O296" s="6">
        <f>Arrivals!I296</f>
        <v>5.5908347790932487</v>
      </c>
      <c r="P296" s="6">
        <f t="shared" si="110"/>
        <v>1517.6508347790932</v>
      </c>
      <c r="Q296" s="6">
        <f t="shared" si="111"/>
        <v>1133.6508347790932</v>
      </c>
      <c r="R296" s="6">
        <f t="shared" si="112"/>
        <v>1104.04</v>
      </c>
      <c r="S296" s="6">
        <f t="shared" si="113"/>
        <v>0</v>
      </c>
      <c r="T296" s="6">
        <f t="shared" si="114"/>
        <v>0</v>
      </c>
      <c r="U296" s="6">
        <f t="shared" si="115"/>
        <v>1104.04</v>
      </c>
      <c r="V296" s="6" t="str">
        <f>IF(MOD(C296-Settings!$B$32,Settings!$B$33)&lt;Settings!$B$30,"Up","Down")</f>
        <v>Up</v>
      </c>
      <c r="W296" s="6">
        <f>IF(OR(E296&gt;Settings!$B$30,Q296&gt;Settings!$B$37),0,1)</f>
        <v>0</v>
      </c>
      <c r="X296" s="6">
        <f>IF(AND(W296=1,Q296&lt;=Settings!$B$36),1,0)</f>
        <v>0</v>
      </c>
    </row>
    <row r="297" spans="1:24" x14ac:dyDescent="0.2">
      <c r="A297">
        <f>Arrivals!A297</f>
        <v>3</v>
      </c>
      <c r="B297">
        <f>Arrivals!B297</f>
        <v>52</v>
      </c>
      <c r="C297" s="6">
        <f>Arrivals!F297</f>
        <v>389</v>
      </c>
      <c r="D297" s="6">
        <f>Arrivals!K297</f>
        <v>300</v>
      </c>
      <c r="E297" s="6">
        <f>D297*8/ACE_Input!S57+ACE_Input!T57</f>
        <v>24.02</v>
      </c>
      <c r="F297" s="6">
        <f t="shared" si="105"/>
        <v>389</v>
      </c>
      <c r="G297" s="6">
        <f t="shared" si="116"/>
        <v>1512.06</v>
      </c>
      <c r="H297" s="6">
        <f t="shared" si="106"/>
        <v>1512.06</v>
      </c>
      <c r="I297" s="6">
        <f>MOD(H297-Settings!$B$32,Settings!$B$33)</f>
        <v>72.059999999999945</v>
      </c>
      <c r="J297" s="6">
        <f>IF(I297&lt;Settings!$B$30,IF(Settings!$B$30-I297&gt;=E297,H297,H297+(Settings!$B$30-I297)+Settings!$B$31),H297+(Settings!$B$33-I297))</f>
        <v>1512.06</v>
      </c>
      <c r="K297" s="6">
        <f t="shared" si="107"/>
        <v>1536.08</v>
      </c>
      <c r="L297" s="6">
        <f t="shared" si="108"/>
        <v>1536.08</v>
      </c>
      <c r="M297" s="6">
        <f t="shared" si="117"/>
        <v>1517.6508347790932</v>
      </c>
      <c r="N297" s="6">
        <f t="shared" si="109"/>
        <v>1536.08</v>
      </c>
      <c r="O297" s="6">
        <f>Arrivals!I297</f>
        <v>11.090237557074047</v>
      </c>
      <c r="P297" s="6">
        <f t="shared" si="110"/>
        <v>1547.170237557074</v>
      </c>
      <c r="Q297" s="6">
        <f t="shared" si="111"/>
        <v>1158.170237557074</v>
      </c>
      <c r="R297" s="6">
        <f t="shared" si="112"/>
        <v>1123.06</v>
      </c>
      <c r="S297" s="6">
        <f t="shared" si="113"/>
        <v>0</v>
      </c>
      <c r="T297" s="6">
        <f t="shared" si="114"/>
        <v>0</v>
      </c>
      <c r="U297" s="6">
        <f t="shared" si="115"/>
        <v>1123.06</v>
      </c>
      <c r="V297" s="6" t="str">
        <f>IF(MOD(C297-Settings!$B$32,Settings!$B$33)&lt;Settings!$B$30,"Up","Down")</f>
        <v>Up</v>
      </c>
      <c r="W297" s="6">
        <f>IF(OR(E297&gt;Settings!$B$30,Q297&gt;Settings!$B$37),0,1)</f>
        <v>0</v>
      </c>
      <c r="X297" s="6">
        <f>IF(AND(W297=1,Q297&lt;=Settings!$B$36),1,0)</f>
        <v>0</v>
      </c>
    </row>
    <row r="298" spans="1:24" x14ac:dyDescent="0.2">
      <c r="A298">
        <f>Arrivals!A298</f>
        <v>3</v>
      </c>
      <c r="B298">
        <f>Arrivals!B298</f>
        <v>53</v>
      </c>
      <c r="C298" s="6">
        <f>Arrivals!F298</f>
        <v>394</v>
      </c>
      <c r="D298" s="6">
        <f>Arrivals!K298</f>
        <v>300</v>
      </c>
      <c r="E298" s="6">
        <f>D298*8/ACE_Input!S58+ACE_Input!T58</f>
        <v>24.02</v>
      </c>
      <c r="F298" s="6">
        <f t="shared" si="105"/>
        <v>394</v>
      </c>
      <c r="G298" s="6">
        <f t="shared" si="116"/>
        <v>1536.08</v>
      </c>
      <c r="H298" s="6">
        <f t="shared" si="106"/>
        <v>1536.08</v>
      </c>
      <c r="I298" s="6">
        <f>MOD(H298-Settings!$B$32,Settings!$B$33)</f>
        <v>96.079999999999927</v>
      </c>
      <c r="J298" s="6">
        <f>IF(I298&lt;Settings!$B$30,IF(Settings!$B$30-I298&gt;=E298,H298,H298+(Settings!$B$30-I298)+Settings!$B$31),H298+(Settings!$B$33-I298))</f>
        <v>1536.08</v>
      </c>
      <c r="K298" s="6">
        <f t="shared" si="107"/>
        <v>1560.1</v>
      </c>
      <c r="L298" s="6">
        <f t="shared" si="108"/>
        <v>1560.1</v>
      </c>
      <c r="M298" s="6">
        <f t="shared" si="117"/>
        <v>1547.170237557074</v>
      </c>
      <c r="N298" s="6">
        <f t="shared" si="109"/>
        <v>1560.1</v>
      </c>
      <c r="O298" s="6">
        <f>Arrivals!I298</f>
        <v>3.0344744248657984</v>
      </c>
      <c r="P298" s="6">
        <f t="shared" si="110"/>
        <v>1563.1344744248656</v>
      </c>
      <c r="Q298" s="6">
        <f t="shared" si="111"/>
        <v>1169.1344744248656</v>
      </c>
      <c r="R298" s="6">
        <f t="shared" si="112"/>
        <v>1142.08</v>
      </c>
      <c r="S298" s="6">
        <f t="shared" si="113"/>
        <v>0</v>
      </c>
      <c r="T298" s="6">
        <f t="shared" si="114"/>
        <v>0</v>
      </c>
      <c r="U298" s="6">
        <f t="shared" si="115"/>
        <v>1142.08</v>
      </c>
      <c r="V298" s="6" t="str">
        <f>IF(MOD(C298-Settings!$B$32,Settings!$B$33)&lt;Settings!$B$30,"Up","Down")</f>
        <v>Up</v>
      </c>
      <c r="W298" s="6">
        <f>IF(OR(E298&gt;Settings!$B$30,Q298&gt;Settings!$B$37),0,1)</f>
        <v>0</v>
      </c>
      <c r="X298" s="6">
        <f>IF(AND(W298=1,Q298&lt;=Settings!$B$36),1,0)</f>
        <v>0</v>
      </c>
    </row>
    <row r="299" spans="1:24" x14ac:dyDescent="0.2">
      <c r="A299">
        <f>Arrivals!A299</f>
        <v>3</v>
      </c>
      <c r="B299">
        <f>Arrivals!B299</f>
        <v>54</v>
      </c>
      <c r="C299" s="6">
        <f>Arrivals!F299</f>
        <v>399</v>
      </c>
      <c r="D299" s="6">
        <f>Arrivals!K299</f>
        <v>300</v>
      </c>
      <c r="E299" s="6">
        <f>D299*8/ACE_Input!S59+ACE_Input!T59</f>
        <v>24.02</v>
      </c>
      <c r="F299" s="6">
        <f t="shared" si="105"/>
        <v>399</v>
      </c>
      <c r="G299" s="6">
        <f t="shared" si="116"/>
        <v>1560.1</v>
      </c>
      <c r="H299" s="6">
        <f t="shared" si="106"/>
        <v>1560.1</v>
      </c>
      <c r="I299" s="6">
        <f>MOD(H299-Settings!$B$32,Settings!$B$33)</f>
        <v>120.09999999999991</v>
      </c>
      <c r="J299" s="6">
        <f>IF(I299&lt;Settings!$B$30,IF(Settings!$B$30-I299&gt;=E299,H299,H299+(Settings!$B$30-I299)+Settings!$B$31),H299+(Settings!$B$33-I299))</f>
        <v>1560.1</v>
      </c>
      <c r="K299" s="6">
        <f t="shared" si="107"/>
        <v>1584.12</v>
      </c>
      <c r="L299" s="6">
        <f t="shared" si="108"/>
        <v>1584.12</v>
      </c>
      <c r="M299" s="6">
        <f t="shared" si="117"/>
        <v>1563.1344744248656</v>
      </c>
      <c r="N299" s="6">
        <f t="shared" si="109"/>
        <v>1584.12</v>
      </c>
      <c r="O299" s="6">
        <f>Arrivals!I299</f>
        <v>0.26886481105839993</v>
      </c>
      <c r="P299" s="6">
        <f t="shared" si="110"/>
        <v>1584.3888648110583</v>
      </c>
      <c r="Q299" s="6">
        <f t="shared" si="111"/>
        <v>1185.3888648110583</v>
      </c>
      <c r="R299" s="6">
        <f t="shared" si="112"/>
        <v>1161.0999999999999</v>
      </c>
      <c r="S299" s="6">
        <f t="shared" si="113"/>
        <v>0</v>
      </c>
      <c r="T299" s="6">
        <f t="shared" si="114"/>
        <v>0</v>
      </c>
      <c r="U299" s="6">
        <f t="shared" si="115"/>
        <v>1161.0999999999999</v>
      </c>
      <c r="V299" s="6" t="str">
        <f>IF(MOD(C299-Settings!$B$32,Settings!$B$33)&lt;Settings!$B$30,"Up","Down")</f>
        <v>Up</v>
      </c>
      <c r="W299" s="6">
        <f>IF(OR(E299&gt;Settings!$B$30,Q299&gt;Settings!$B$37),0,1)</f>
        <v>0</v>
      </c>
      <c r="X299" s="6">
        <f>IF(AND(W299=1,Q299&lt;=Settings!$B$36),1,0)</f>
        <v>0</v>
      </c>
    </row>
    <row r="300" spans="1:24" x14ac:dyDescent="0.2">
      <c r="A300">
        <f>Arrivals!A300</f>
        <v>3</v>
      </c>
      <c r="B300">
        <f>Arrivals!B300</f>
        <v>55</v>
      </c>
      <c r="C300" s="6">
        <f>Arrivals!F300</f>
        <v>404</v>
      </c>
      <c r="D300" s="6">
        <f>Arrivals!K300</f>
        <v>300</v>
      </c>
      <c r="E300" s="6">
        <f>D300*8/ACE_Input!S60+ACE_Input!T60</f>
        <v>24.02</v>
      </c>
      <c r="F300" s="6">
        <f t="shared" si="105"/>
        <v>404</v>
      </c>
      <c r="G300" s="6">
        <f t="shared" si="116"/>
        <v>1584.12</v>
      </c>
      <c r="H300" s="6">
        <f t="shared" si="106"/>
        <v>1584.12</v>
      </c>
      <c r="I300" s="6">
        <f>MOD(H300-Settings!$B$32,Settings!$B$33)</f>
        <v>144.11999999999989</v>
      </c>
      <c r="J300" s="6">
        <f>IF(I300&lt;Settings!$B$30,IF(Settings!$B$30-I300&gt;=E300,H300,H300+(Settings!$B$30-I300)+Settings!$B$31),H300+(Settings!$B$33-I300))</f>
        <v>1584.12</v>
      </c>
      <c r="K300" s="6">
        <f t="shared" si="107"/>
        <v>1608.1399999999999</v>
      </c>
      <c r="L300" s="6">
        <f t="shared" si="108"/>
        <v>1608.1399999999999</v>
      </c>
      <c r="M300" s="6">
        <f t="shared" si="117"/>
        <v>1584.3888648110583</v>
      </c>
      <c r="N300" s="6">
        <f t="shared" si="109"/>
        <v>1608.1399999999999</v>
      </c>
      <c r="O300" s="6">
        <f>Arrivals!I300</f>
        <v>3.3956610688975655</v>
      </c>
      <c r="P300" s="6">
        <f t="shared" si="110"/>
        <v>1611.5356610688975</v>
      </c>
      <c r="Q300" s="6">
        <f t="shared" si="111"/>
        <v>1207.5356610688975</v>
      </c>
      <c r="R300" s="6">
        <f t="shared" si="112"/>
        <v>1180.1199999999999</v>
      </c>
      <c r="S300" s="6">
        <f t="shared" si="113"/>
        <v>0</v>
      </c>
      <c r="T300" s="6">
        <f t="shared" si="114"/>
        <v>0</v>
      </c>
      <c r="U300" s="6">
        <f t="shared" si="115"/>
        <v>1180.1199999999999</v>
      </c>
      <c r="V300" s="6" t="str">
        <f>IF(MOD(C300-Settings!$B$32,Settings!$B$33)&lt;Settings!$B$30,"Up","Down")</f>
        <v>Up</v>
      </c>
      <c r="W300" s="6">
        <f>IF(OR(E300&gt;Settings!$B$30,Q300&gt;Settings!$B$37),0,1)</f>
        <v>0</v>
      </c>
      <c r="X300" s="6">
        <f>IF(AND(W300=1,Q300&lt;=Settings!$B$36),1,0)</f>
        <v>0</v>
      </c>
    </row>
    <row r="301" spans="1:24" x14ac:dyDescent="0.2">
      <c r="A301">
        <f>Arrivals!A301</f>
        <v>3</v>
      </c>
      <c r="B301">
        <f>Arrivals!B301</f>
        <v>56</v>
      </c>
      <c r="C301" s="6">
        <f>Arrivals!F301</f>
        <v>409</v>
      </c>
      <c r="D301" s="6">
        <f>Arrivals!K301</f>
        <v>300</v>
      </c>
      <c r="E301" s="6">
        <f>D301*8/ACE_Input!S61+ACE_Input!T61</f>
        <v>24.02</v>
      </c>
      <c r="F301" s="6">
        <f t="shared" si="105"/>
        <v>409</v>
      </c>
      <c r="G301" s="6">
        <f t="shared" si="116"/>
        <v>1608.1399999999999</v>
      </c>
      <c r="H301" s="6">
        <f t="shared" si="106"/>
        <v>1608.1399999999999</v>
      </c>
      <c r="I301" s="6">
        <f>MOD(H301-Settings!$B$32,Settings!$B$33)</f>
        <v>168.13999999999987</v>
      </c>
      <c r="J301" s="6">
        <f>IF(I301&lt;Settings!$B$30,IF(Settings!$B$30-I301&gt;=E301,H301,H301+(Settings!$B$30-I301)+Settings!$B$31),H301+(Settings!$B$33-I301))</f>
        <v>1608.1399999999999</v>
      </c>
      <c r="K301" s="6">
        <f t="shared" si="107"/>
        <v>1632.1599999999999</v>
      </c>
      <c r="L301" s="6">
        <f t="shared" si="108"/>
        <v>1632.1599999999999</v>
      </c>
      <c r="M301" s="6">
        <f t="shared" si="117"/>
        <v>1611.5356610688975</v>
      </c>
      <c r="N301" s="6">
        <f t="shared" si="109"/>
        <v>1632.1599999999999</v>
      </c>
      <c r="O301" s="6">
        <f>Arrivals!I301</f>
        <v>4.0951138575388013</v>
      </c>
      <c r="P301" s="6">
        <f t="shared" si="110"/>
        <v>1636.2551138575386</v>
      </c>
      <c r="Q301" s="6">
        <f t="shared" si="111"/>
        <v>1227.2551138575386</v>
      </c>
      <c r="R301" s="6">
        <f t="shared" si="112"/>
        <v>1199.1399999999999</v>
      </c>
      <c r="S301" s="6">
        <f t="shared" si="113"/>
        <v>0</v>
      </c>
      <c r="T301" s="6">
        <f t="shared" si="114"/>
        <v>0</v>
      </c>
      <c r="U301" s="6">
        <f t="shared" si="115"/>
        <v>1199.1399999999999</v>
      </c>
      <c r="V301" s="6" t="str">
        <f>IF(MOD(C301-Settings!$B$32,Settings!$B$33)&lt;Settings!$B$30,"Up","Down")</f>
        <v>Up</v>
      </c>
      <c r="W301" s="6">
        <f>IF(OR(E301&gt;Settings!$B$30,Q301&gt;Settings!$B$37),0,1)</f>
        <v>0</v>
      </c>
      <c r="X301" s="6">
        <f>IF(AND(W301=1,Q301&lt;=Settings!$B$36),1,0)</f>
        <v>0</v>
      </c>
    </row>
    <row r="302" spans="1:24" x14ac:dyDescent="0.2">
      <c r="A302">
        <f>Arrivals!A302</f>
        <v>3</v>
      </c>
      <c r="B302">
        <f>Arrivals!B302</f>
        <v>57</v>
      </c>
      <c r="C302" s="6">
        <f>Arrivals!F302</f>
        <v>414</v>
      </c>
      <c r="D302" s="6">
        <f>Arrivals!K302</f>
        <v>300</v>
      </c>
      <c r="E302" s="6">
        <f>D302*8/ACE_Input!S62+ACE_Input!T62</f>
        <v>24.02</v>
      </c>
      <c r="F302" s="6">
        <f t="shared" si="105"/>
        <v>414</v>
      </c>
      <c r="G302" s="6">
        <f t="shared" si="116"/>
        <v>1632.1599999999999</v>
      </c>
      <c r="H302" s="6">
        <f t="shared" si="106"/>
        <v>1632.1599999999999</v>
      </c>
      <c r="I302" s="6">
        <f>MOD(H302-Settings!$B$32,Settings!$B$33)</f>
        <v>192.15999999999985</v>
      </c>
      <c r="J302" s="6">
        <f>IF(I302&lt;Settings!$B$30,IF(Settings!$B$30-I302&gt;=E302,H302,H302+(Settings!$B$30-I302)+Settings!$B$31),H302+(Settings!$B$33-I302))</f>
        <v>1632.1599999999999</v>
      </c>
      <c r="K302" s="6">
        <f t="shared" si="107"/>
        <v>1656.1799999999998</v>
      </c>
      <c r="L302" s="6">
        <f t="shared" si="108"/>
        <v>1656.1799999999998</v>
      </c>
      <c r="M302" s="6">
        <f t="shared" si="117"/>
        <v>1636.2551138575386</v>
      </c>
      <c r="N302" s="6">
        <f t="shared" si="109"/>
        <v>1656.1799999999998</v>
      </c>
      <c r="O302" s="6">
        <f>Arrivals!I302</f>
        <v>1.6444542582891872</v>
      </c>
      <c r="P302" s="6">
        <f t="shared" si="110"/>
        <v>1657.8244542582891</v>
      </c>
      <c r="Q302" s="6">
        <f t="shared" si="111"/>
        <v>1243.8244542582891</v>
      </c>
      <c r="R302" s="6">
        <f t="shared" si="112"/>
        <v>1218.1599999999999</v>
      </c>
      <c r="S302" s="6">
        <f t="shared" si="113"/>
        <v>0</v>
      </c>
      <c r="T302" s="6">
        <f t="shared" si="114"/>
        <v>0</v>
      </c>
      <c r="U302" s="6">
        <f t="shared" si="115"/>
        <v>1218.1599999999999</v>
      </c>
      <c r="V302" s="6" t="str">
        <f>IF(MOD(C302-Settings!$B$32,Settings!$B$33)&lt;Settings!$B$30,"Up","Down")</f>
        <v>Up</v>
      </c>
      <c r="W302" s="6">
        <f>IF(OR(E302&gt;Settings!$B$30,Q302&gt;Settings!$B$37),0,1)</f>
        <v>0</v>
      </c>
      <c r="X302" s="6">
        <f>IF(AND(W302=1,Q302&lt;=Settings!$B$36),1,0)</f>
        <v>0</v>
      </c>
    </row>
    <row r="303" spans="1:24" x14ac:dyDescent="0.2">
      <c r="A303">
        <f>Arrivals!A303</f>
        <v>3</v>
      </c>
      <c r="B303">
        <f>Arrivals!B303</f>
        <v>58</v>
      </c>
      <c r="C303" s="6">
        <f>Arrivals!F303</f>
        <v>419</v>
      </c>
      <c r="D303" s="6">
        <f>Arrivals!K303</f>
        <v>300</v>
      </c>
      <c r="E303" s="6">
        <f>D303*8/ACE_Input!S63+ACE_Input!T63</f>
        <v>24.02</v>
      </c>
      <c r="F303" s="6">
        <f t="shared" si="105"/>
        <v>419</v>
      </c>
      <c r="G303" s="6">
        <f t="shared" si="116"/>
        <v>1656.1799999999998</v>
      </c>
      <c r="H303" s="6">
        <f t="shared" si="106"/>
        <v>1656.1799999999998</v>
      </c>
      <c r="I303" s="6">
        <f>MOD(H303-Settings!$B$32,Settings!$B$33)</f>
        <v>216.17999999999984</v>
      </c>
      <c r="J303" s="6">
        <f>IF(I303&lt;Settings!$B$30,IF(Settings!$B$30-I303&gt;=E303,H303,H303+(Settings!$B$30-I303)+Settings!$B$31),H303+(Settings!$B$33-I303))</f>
        <v>1656.1799999999998</v>
      </c>
      <c r="K303" s="6">
        <f t="shared" si="107"/>
        <v>1680.1999999999998</v>
      </c>
      <c r="L303" s="6">
        <f t="shared" si="108"/>
        <v>1680.1999999999998</v>
      </c>
      <c r="M303" s="6">
        <f t="shared" si="117"/>
        <v>1657.8244542582891</v>
      </c>
      <c r="N303" s="6">
        <f t="shared" si="109"/>
        <v>1680.1999999999998</v>
      </c>
      <c r="O303" s="6">
        <f>Arrivals!I303</f>
        <v>2.3479369832778594</v>
      </c>
      <c r="P303" s="6">
        <f t="shared" si="110"/>
        <v>1682.5479369832776</v>
      </c>
      <c r="Q303" s="6">
        <f t="shared" si="111"/>
        <v>1263.5479369832776</v>
      </c>
      <c r="R303" s="6">
        <f t="shared" si="112"/>
        <v>1237.1799999999998</v>
      </c>
      <c r="S303" s="6">
        <f t="shared" si="113"/>
        <v>0</v>
      </c>
      <c r="T303" s="6">
        <f t="shared" si="114"/>
        <v>0</v>
      </c>
      <c r="U303" s="6">
        <f t="shared" si="115"/>
        <v>1237.1799999999998</v>
      </c>
      <c r="V303" s="6" t="str">
        <f>IF(MOD(C303-Settings!$B$32,Settings!$B$33)&lt;Settings!$B$30,"Up","Down")</f>
        <v>Up</v>
      </c>
      <c r="W303" s="6">
        <f>IF(OR(E303&gt;Settings!$B$30,Q303&gt;Settings!$B$37),0,1)</f>
        <v>0</v>
      </c>
      <c r="X303" s="6">
        <f>IF(AND(W303=1,Q303&lt;=Settings!$B$36),1,0)</f>
        <v>0</v>
      </c>
    </row>
    <row r="304" spans="1:24" x14ac:dyDescent="0.2">
      <c r="A304">
        <f>Arrivals!A304</f>
        <v>3</v>
      </c>
      <c r="B304">
        <f>Arrivals!B304</f>
        <v>59</v>
      </c>
      <c r="C304" s="6">
        <f>Arrivals!F304</f>
        <v>424</v>
      </c>
      <c r="D304" s="6">
        <f>Arrivals!K304</f>
        <v>300</v>
      </c>
      <c r="E304" s="6">
        <f>D304*8/ACE_Input!S64+ACE_Input!T64</f>
        <v>24.02</v>
      </c>
      <c r="F304" s="6">
        <f t="shared" si="105"/>
        <v>424</v>
      </c>
      <c r="G304" s="6">
        <f t="shared" si="116"/>
        <v>1680.1999999999998</v>
      </c>
      <c r="H304" s="6">
        <f t="shared" si="106"/>
        <v>1680.1999999999998</v>
      </c>
      <c r="I304" s="6">
        <f>MOD(H304-Settings!$B$32,Settings!$B$33)</f>
        <v>240.19999999999982</v>
      </c>
      <c r="J304" s="6">
        <f>IF(I304&lt;Settings!$B$30,IF(Settings!$B$30-I304&gt;=E304,H304,H304+(Settings!$B$30-I304)+Settings!$B$31),H304+(Settings!$B$33-I304))</f>
        <v>1680.1999999999998</v>
      </c>
      <c r="K304" s="6">
        <f t="shared" si="107"/>
        <v>1704.2199999999998</v>
      </c>
      <c r="L304" s="6">
        <f t="shared" si="108"/>
        <v>1704.2199999999998</v>
      </c>
      <c r="M304" s="6">
        <f t="shared" si="117"/>
        <v>1682.5479369832776</v>
      </c>
      <c r="N304" s="6">
        <f t="shared" si="109"/>
        <v>1704.2199999999998</v>
      </c>
      <c r="O304" s="6">
        <f>Arrivals!I304</f>
        <v>1.3274035066021375</v>
      </c>
      <c r="P304" s="6">
        <f t="shared" si="110"/>
        <v>1705.547403506602</v>
      </c>
      <c r="Q304" s="6">
        <f t="shared" si="111"/>
        <v>1281.547403506602</v>
      </c>
      <c r="R304" s="6">
        <f t="shared" si="112"/>
        <v>1256.1999999999998</v>
      </c>
      <c r="S304" s="6">
        <f t="shared" si="113"/>
        <v>0</v>
      </c>
      <c r="T304" s="6">
        <f t="shared" si="114"/>
        <v>0</v>
      </c>
      <c r="U304" s="6">
        <f t="shared" si="115"/>
        <v>1256.1999999999998</v>
      </c>
      <c r="V304" s="6" t="str">
        <f>IF(MOD(C304-Settings!$B$32,Settings!$B$33)&lt;Settings!$B$30,"Up","Down")</f>
        <v>Up</v>
      </c>
      <c r="W304" s="6">
        <f>IF(OR(E304&gt;Settings!$B$30,Q304&gt;Settings!$B$37),0,1)</f>
        <v>0</v>
      </c>
      <c r="X304" s="6">
        <f>IF(AND(W304=1,Q304&lt;=Settings!$B$36),1,0)</f>
        <v>0</v>
      </c>
    </row>
    <row r="305" spans="1:24" x14ac:dyDescent="0.2">
      <c r="A305">
        <f>Arrivals!A305</f>
        <v>3</v>
      </c>
      <c r="B305">
        <f>Arrivals!B305</f>
        <v>60</v>
      </c>
      <c r="C305" s="6">
        <f>Arrivals!F305</f>
        <v>429</v>
      </c>
      <c r="D305" s="6">
        <f>Arrivals!K305</f>
        <v>300</v>
      </c>
      <c r="E305" s="6">
        <f>D305*8/ACE_Input!S65+ACE_Input!T65</f>
        <v>24.02</v>
      </c>
      <c r="F305" s="6">
        <f t="shared" si="105"/>
        <v>429</v>
      </c>
      <c r="G305" s="6">
        <f t="shared" si="116"/>
        <v>1704.2199999999998</v>
      </c>
      <c r="H305" s="6">
        <f t="shared" si="106"/>
        <v>1704.2199999999998</v>
      </c>
      <c r="I305" s="6">
        <f>MOD(H305-Settings!$B$32,Settings!$B$33)</f>
        <v>264.2199999999998</v>
      </c>
      <c r="J305" s="6">
        <f>IF(I305&lt;Settings!$B$30,IF(Settings!$B$30-I305&gt;=E305,H305,H305+(Settings!$B$30-I305)+Settings!$B$31),H305+(Settings!$B$33-I305))</f>
        <v>1704.2199999999998</v>
      </c>
      <c r="K305" s="6">
        <f t="shared" si="107"/>
        <v>1728.2399999999998</v>
      </c>
      <c r="L305" s="6">
        <f t="shared" si="108"/>
        <v>1728.2399999999998</v>
      </c>
      <c r="M305" s="6">
        <f t="shared" si="117"/>
        <v>1705.547403506602</v>
      </c>
      <c r="N305" s="6">
        <f t="shared" si="109"/>
        <v>1728.2399999999998</v>
      </c>
      <c r="O305" s="6">
        <f>Arrivals!I305</f>
        <v>1.9915102161247833</v>
      </c>
      <c r="P305" s="6">
        <f t="shared" si="110"/>
        <v>1730.2315102161247</v>
      </c>
      <c r="Q305" s="6">
        <f t="shared" si="111"/>
        <v>1301.2315102161247</v>
      </c>
      <c r="R305" s="6">
        <f t="shared" si="112"/>
        <v>1275.2199999999998</v>
      </c>
      <c r="S305" s="6">
        <f t="shared" si="113"/>
        <v>0</v>
      </c>
      <c r="T305" s="6">
        <f t="shared" si="114"/>
        <v>0</v>
      </c>
      <c r="U305" s="6">
        <f t="shared" si="115"/>
        <v>1275.2199999999998</v>
      </c>
      <c r="V305" s="6" t="str">
        <f>IF(MOD(C305-Settings!$B$32,Settings!$B$33)&lt;Settings!$B$30,"Up","Down")</f>
        <v>Up</v>
      </c>
      <c r="W305" s="6">
        <f>IF(OR(E305&gt;Settings!$B$30,Q305&gt;Settings!$B$37),0,1)</f>
        <v>0</v>
      </c>
      <c r="X305" s="6">
        <f>IF(AND(W305=1,Q305&lt;=Settings!$B$36),1,0)</f>
        <v>0</v>
      </c>
    </row>
    <row r="306" spans="1:24" x14ac:dyDescent="0.2">
      <c r="A306">
        <f>Arrivals!A306</f>
        <v>3</v>
      </c>
      <c r="B306">
        <f>Arrivals!B306</f>
        <v>61</v>
      </c>
      <c r="C306" s="6">
        <f>Arrivals!F306</f>
        <v>434</v>
      </c>
      <c r="D306" s="6">
        <f>Arrivals!K306</f>
        <v>300</v>
      </c>
      <c r="E306" s="6">
        <f>D306*8/ACE_Input!S66+ACE_Input!T66</f>
        <v>24.02</v>
      </c>
      <c r="F306" s="6">
        <f t="shared" si="105"/>
        <v>434</v>
      </c>
      <c r="G306" s="6">
        <f t="shared" si="116"/>
        <v>1728.2399999999998</v>
      </c>
      <c r="H306" s="6">
        <f t="shared" si="106"/>
        <v>1728.2399999999998</v>
      </c>
      <c r="I306" s="6">
        <f>MOD(H306-Settings!$B$32,Settings!$B$33)</f>
        <v>288.23999999999978</v>
      </c>
      <c r="J306" s="6">
        <f>IF(I306&lt;Settings!$B$30,IF(Settings!$B$30-I306&gt;=E306,H306,H306+(Settings!$B$30-I306)+Settings!$B$31),H306+(Settings!$B$33-I306))</f>
        <v>1728.2399999999998</v>
      </c>
      <c r="K306" s="6">
        <f t="shared" si="107"/>
        <v>1752.2599999999998</v>
      </c>
      <c r="L306" s="6">
        <f t="shared" si="108"/>
        <v>1752.2599999999998</v>
      </c>
      <c r="M306" s="6">
        <f t="shared" si="117"/>
        <v>1730.2315102161247</v>
      </c>
      <c r="N306" s="6">
        <f t="shared" si="109"/>
        <v>1752.2599999999998</v>
      </c>
      <c r="O306" s="6">
        <f>Arrivals!I306</f>
        <v>1.9127509653806469</v>
      </c>
      <c r="P306" s="6">
        <f t="shared" si="110"/>
        <v>1754.1727509653804</v>
      </c>
      <c r="Q306" s="6">
        <f t="shared" si="111"/>
        <v>1320.1727509653804</v>
      </c>
      <c r="R306" s="6">
        <f t="shared" si="112"/>
        <v>1294.2399999999998</v>
      </c>
      <c r="S306" s="6">
        <f t="shared" si="113"/>
        <v>0</v>
      </c>
      <c r="T306" s="6">
        <f t="shared" si="114"/>
        <v>0</v>
      </c>
      <c r="U306" s="6">
        <f t="shared" si="115"/>
        <v>1294.2399999999998</v>
      </c>
      <c r="V306" s="6" t="str">
        <f>IF(MOD(C306-Settings!$B$32,Settings!$B$33)&lt;Settings!$B$30,"Up","Down")</f>
        <v>Up</v>
      </c>
      <c r="W306" s="6">
        <f>IF(OR(E306&gt;Settings!$B$30,Q306&gt;Settings!$B$37),0,1)</f>
        <v>0</v>
      </c>
      <c r="X306" s="6">
        <f>IF(AND(W306=1,Q306&lt;=Settings!$B$36),1,0)</f>
        <v>0</v>
      </c>
    </row>
    <row r="307" spans="1:24" x14ac:dyDescent="0.2">
      <c r="A307">
        <f>Arrivals!A307</f>
        <v>3</v>
      </c>
      <c r="B307">
        <f>Arrivals!B307</f>
        <v>62</v>
      </c>
      <c r="C307" s="6">
        <f>Arrivals!F307</f>
        <v>439</v>
      </c>
      <c r="D307" s="6">
        <f>Arrivals!K307</f>
        <v>300</v>
      </c>
      <c r="E307" s="6">
        <f>D307*8/ACE_Input!S67+ACE_Input!T67</f>
        <v>24.02</v>
      </c>
      <c r="F307" s="6">
        <f t="shared" si="105"/>
        <v>439</v>
      </c>
      <c r="G307" s="6">
        <f t="shared" si="116"/>
        <v>1752.2599999999998</v>
      </c>
      <c r="H307" s="6">
        <f t="shared" si="106"/>
        <v>1752.2599999999998</v>
      </c>
      <c r="I307" s="6">
        <f>MOD(H307-Settings!$B$32,Settings!$B$33)</f>
        <v>312.25999999999976</v>
      </c>
      <c r="J307" s="6">
        <f>IF(I307&lt;Settings!$B$30,IF(Settings!$B$30-I307&gt;=E307,H307,H307+(Settings!$B$30-I307)+Settings!$B$31),H307+(Settings!$B$33-I307))</f>
        <v>1752.2599999999998</v>
      </c>
      <c r="K307" s="6">
        <f t="shared" si="107"/>
        <v>1776.2799999999997</v>
      </c>
      <c r="L307" s="6">
        <f t="shared" si="108"/>
        <v>1776.2799999999997</v>
      </c>
      <c r="M307" s="6">
        <f t="shared" si="117"/>
        <v>1754.1727509653804</v>
      </c>
      <c r="N307" s="6">
        <f t="shared" si="109"/>
        <v>1776.2799999999997</v>
      </c>
      <c r="O307" s="6">
        <f>Arrivals!I307</f>
        <v>1.1143627648102561</v>
      </c>
      <c r="P307" s="6">
        <f t="shared" si="110"/>
        <v>1777.39436276481</v>
      </c>
      <c r="Q307" s="6">
        <f t="shared" si="111"/>
        <v>1338.39436276481</v>
      </c>
      <c r="R307" s="6">
        <f t="shared" si="112"/>
        <v>1313.2599999999998</v>
      </c>
      <c r="S307" s="6">
        <f t="shared" si="113"/>
        <v>0</v>
      </c>
      <c r="T307" s="6">
        <f t="shared" si="114"/>
        <v>0</v>
      </c>
      <c r="U307" s="6">
        <f t="shared" si="115"/>
        <v>1313.2599999999998</v>
      </c>
      <c r="V307" s="6" t="str">
        <f>IF(MOD(C307-Settings!$B$32,Settings!$B$33)&lt;Settings!$B$30,"Up","Down")</f>
        <v>Up</v>
      </c>
      <c r="W307" s="6">
        <f>IF(OR(E307&gt;Settings!$B$30,Q307&gt;Settings!$B$37),0,1)</f>
        <v>0</v>
      </c>
      <c r="X307" s="6">
        <f>IF(AND(W307=1,Q307&lt;=Settings!$B$36),1,0)</f>
        <v>0</v>
      </c>
    </row>
    <row r="308" spans="1:24" x14ac:dyDescent="0.2">
      <c r="A308">
        <f>Arrivals!A308</f>
        <v>3</v>
      </c>
      <c r="B308">
        <f>Arrivals!B308</f>
        <v>63</v>
      </c>
      <c r="C308" s="6">
        <f>Arrivals!F308</f>
        <v>444</v>
      </c>
      <c r="D308" s="6">
        <f>Arrivals!K308</f>
        <v>300</v>
      </c>
      <c r="E308" s="6">
        <f>D308*8/ACE_Input!S68+ACE_Input!T68</f>
        <v>24.02</v>
      </c>
      <c r="F308" s="6">
        <f t="shared" si="105"/>
        <v>444</v>
      </c>
      <c r="G308" s="6">
        <f t="shared" si="116"/>
        <v>1776.2799999999997</v>
      </c>
      <c r="H308" s="6">
        <f t="shared" si="106"/>
        <v>1776.2799999999997</v>
      </c>
      <c r="I308" s="6">
        <f>MOD(H308-Settings!$B$32,Settings!$B$33)</f>
        <v>336.27999999999975</v>
      </c>
      <c r="J308" s="6">
        <f>IF(I308&lt;Settings!$B$30,IF(Settings!$B$30-I308&gt;=E308,H308,H308+(Settings!$B$30-I308)+Settings!$B$31),H308+(Settings!$B$33-I308))</f>
        <v>1776.2799999999997</v>
      </c>
      <c r="K308" s="6">
        <f t="shared" si="107"/>
        <v>1800.2999999999997</v>
      </c>
      <c r="L308" s="6">
        <f t="shared" si="108"/>
        <v>1800.2999999999997</v>
      </c>
      <c r="M308" s="6">
        <f t="shared" si="117"/>
        <v>1777.39436276481</v>
      </c>
      <c r="N308" s="6">
        <f t="shared" si="109"/>
        <v>1800.2999999999997</v>
      </c>
      <c r="O308" s="6">
        <f>Arrivals!I308</f>
        <v>3.9592328952153588</v>
      </c>
      <c r="P308" s="6">
        <f t="shared" si="110"/>
        <v>1804.2592328952151</v>
      </c>
      <c r="Q308" s="6">
        <f t="shared" si="111"/>
        <v>1360.2592328952151</v>
      </c>
      <c r="R308" s="6">
        <f t="shared" si="112"/>
        <v>1332.2799999999997</v>
      </c>
      <c r="S308" s="6">
        <f t="shared" si="113"/>
        <v>0</v>
      </c>
      <c r="T308" s="6">
        <f t="shared" si="114"/>
        <v>0</v>
      </c>
      <c r="U308" s="6">
        <f t="shared" si="115"/>
        <v>1332.2799999999997</v>
      </c>
      <c r="V308" s="6" t="str">
        <f>IF(MOD(C308-Settings!$B$32,Settings!$B$33)&lt;Settings!$B$30,"Up","Down")</f>
        <v>Up</v>
      </c>
      <c r="W308" s="6">
        <f>IF(OR(E308&gt;Settings!$B$30,Q308&gt;Settings!$B$37),0,1)</f>
        <v>0</v>
      </c>
      <c r="X308" s="6">
        <f>IF(AND(W308=1,Q308&lt;=Settings!$B$36),1,0)</f>
        <v>0</v>
      </c>
    </row>
    <row r="309" spans="1:24" x14ac:dyDescent="0.2">
      <c r="A309">
        <f>Arrivals!A309</f>
        <v>3</v>
      </c>
      <c r="B309">
        <f>Arrivals!B309</f>
        <v>64</v>
      </c>
      <c r="C309" s="6">
        <f>Arrivals!F309</f>
        <v>449</v>
      </c>
      <c r="D309" s="6">
        <f>Arrivals!K309</f>
        <v>300</v>
      </c>
      <c r="E309" s="6">
        <f>D309*8/ACE_Input!S69+ACE_Input!T69</f>
        <v>24.02</v>
      </c>
      <c r="F309" s="6">
        <f t="shared" si="105"/>
        <v>449</v>
      </c>
      <c r="G309" s="6">
        <f t="shared" si="116"/>
        <v>1800.2999999999997</v>
      </c>
      <c r="H309" s="6">
        <f t="shared" si="106"/>
        <v>1800.2999999999997</v>
      </c>
      <c r="I309" s="6">
        <f>MOD(H309-Settings!$B$32,Settings!$B$33)</f>
        <v>360.29999999999973</v>
      </c>
      <c r="J309" s="6">
        <f>IF(I309&lt;Settings!$B$30,IF(Settings!$B$30-I309&gt;=E309,H309,H309+(Settings!$B$30-I309)+Settings!$B$31),H309+(Settings!$B$33-I309))</f>
        <v>1800.2999999999997</v>
      </c>
      <c r="K309" s="6">
        <f t="shared" si="107"/>
        <v>1824.3199999999997</v>
      </c>
      <c r="L309" s="6">
        <f t="shared" si="108"/>
        <v>1824.3199999999997</v>
      </c>
      <c r="M309" s="6">
        <f t="shared" si="117"/>
        <v>1804.2592328952151</v>
      </c>
      <c r="N309" s="6">
        <f t="shared" si="109"/>
        <v>1824.3199999999997</v>
      </c>
      <c r="O309" s="6">
        <f>Arrivals!I309</f>
        <v>4.9900222843618431</v>
      </c>
      <c r="P309" s="6">
        <f t="shared" si="110"/>
        <v>1829.3100222843616</v>
      </c>
      <c r="Q309" s="6">
        <f t="shared" si="111"/>
        <v>1380.3100222843616</v>
      </c>
      <c r="R309" s="6">
        <f t="shared" si="112"/>
        <v>1351.2999999999997</v>
      </c>
      <c r="S309" s="6">
        <f t="shared" si="113"/>
        <v>0</v>
      </c>
      <c r="T309" s="6">
        <f t="shared" si="114"/>
        <v>0</v>
      </c>
      <c r="U309" s="6">
        <f t="shared" si="115"/>
        <v>1351.2999999999997</v>
      </c>
      <c r="V309" s="6" t="str">
        <f>IF(MOD(C309-Settings!$B$32,Settings!$B$33)&lt;Settings!$B$30,"Up","Down")</f>
        <v>Up</v>
      </c>
      <c r="W309" s="6">
        <f>IF(OR(E309&gt;Settings!$B$30,Q309&gt;Settings!$B$37),0,1)</f>
        <v>0</v>
      </c>
      <c r="X309" s="6">
        <f>IF(AND(W309=1,Q309&lt;=Settings!$B$36),1,0)</f>
        <v>0</v>
      </c>
    </row>
    <row r="310" spans="1:24" x14ac:dyDescent="0.2">
      <c r="A310">
        <f>Arrivals!A310</f>
        <v>3</v>
      </c>
      <c r="B310">
        <f>Arrivals!B310</f>
        <v>65</v>
      </c>
      <c r="C310" s="6">
        <f>Arrivals!F310</f>
        <v>454</v>
      </c>
      <c r="D310" s="6">
        <f>Arrivals!K310</f>
        <v>300</v>
      </c>
      <c r="E310" s="6">
        <f>D310*8/ACE_Input!S70+ACE_Input!T70</f>
        <v>24.02</v>
      </c>
      <c r="F310" s="6">
        <f t="shared" ref="F310:F345" si="118">C310</f>
        <v>454</v>
      </c>
      <c r="G310" s="6">
        <f t="shared" si="116"/>
        <v>1824.3199999999997</v>
      </c>
      <c r="H310" s="6">
        <f t="shared" ref="H310:H341" si="119">MAX(F310,G310)</f>
        <v>1824.3199999999997</v>
      </c>
      <c r="I310" s="6">
        <f>MOD(H310-Settings!$B$32,Settings!$B$33)</f>
        <v>384.31999999999971</v>
      </c>
      <c r="J310" s="6">
        <f>IF(I310&lt;Settings!$B$30,IF(Settings!$B$30-I310&gt;=E310,H310,H310+(Settings!$B$30-I310)+Settings!$B$31),H310+(Settings!$B$33-I310))</f>
        <v>1824.3199999999997</v>
      </c>
      <c r="K310" s="6">
        <f t="shared" ref="K310:K341" si="120">J310+E310</f>
        <v>1848.3399999999997</v>
      </c>
      <c r="L310" s="6">
        <f t="shared" ref="L310:L341" si="121">K310</f>
        <v>1848.3399999999997</v>
      </c>
      <c r="M310" s="6">
        <f t="shared" si="117"/>
        <v>1829.3100222843616</v>
      </c>
      <c r="N310" s="6">
        <f t="shared" ref="N310:N341" si="122">MAX(L310,M310)</f>
        <v>1848.3399999999997</v>
      </c>
      <c r="O310" s="6">
        <f>Arrivals!I310</f>
        <v>4.6525651144109501</v>
      </c>
      <c r="P310" s="6">
        <f t="shared" ref="P310:P341" si="123">N310+O310</f>
        <v>1852.9925651144106</v>
      </c>
      <c r="Q310" s="6">
        <f t="shared" ref="Q310:Q341" si="124">P310-C310</f>
        <v>1398.9925651144106</v>
      </c>
      <c r="R310" s="6">
        <f t="shared" ref="R310:R345" si="125">H310-F310</f>
        <v>1370.3199999999997</v>
      </c>
      <c r="S310" s="6">
        <f t="shared" ref="S310:S345" si="126">J310-H310</f>
        <v>0</v>
      </c>
      <c r="T310" s="6">
        <f t="shared" ref="T310:T345" si="127">N310-L310</f>
        <v>0</v>
      </c>
      <c r="U310" s="6">
        <f t="shared" ref="U310:U341" si="128">R310+S310+T310</f>
        <v>1370.3199999999997</v>
      </c>
      <c r="V310" s="6" t="str">
        <f>IF(MOD(C310-Settings!$B$32,Settings!$B$33)&lt;Settings!$B$30,"Up","Down")</f>
        <v>Up</v>
      </c>
      <c r="W310" s="6">
        <f>IF(OR(E310&gt;Settings!$B$30,Q310&gt;Settings!$B$37),0,1)</f>
        <v>0</v>
      </c>
      <c r="X310" s="6">
        <f>IF(AND(W310=1,Q310&lt;=Settings!$B$36),1,0)</f>
        <v>0</v>
      </c>
    </row>
    <row r="311" spans="1:24" x14ac:dyDescent="0.2">
      <c r="A311">
        <f>Arrivals!A311</f>
        <v>3</v>
      </c>
      <c r="B311">
        <f>Arrivals!B311</f>
        <v>66</v>
      </c>
      <c r="C311" s="6">
        <f>Arrivals!F311</f>
        <v>459</v>
      </c>
      <c r="D311" s="6">
        <f>Arrivals!K311</f>
        <v>300</v>
      </c>
      <c r="E311" s="6">
        <f>D311*8/ACE_Input!S71+ACE_Input!T71</f>
        <v>24.02</v>
      </c>
      <c r="F311" s="6">
        <f t="shared" si="118"/>
        <v>459</v>
      </c>
      <c r="G311" s="6">
        <f t="shared" ref="G311:G345" si="129">K310</f>
        <v>1848.3399999999997</v>
      </c>
      <c r="H311" s="6">
        <f t="shared" si="119"/>
        <v>1848.3399999999997</v>
      </c>
      <c r="I311" s="6">
        <f>MOD(H311-Settings!$B$32,Settings!$B$33)</f>
        <v>408.33999999999969</v>
      </c>
      <c r="J311" s="6">
        <f>IF(I311&lt;Settings!$B$30,IF(Settings!$B$30-I311&gt;=E311,H311,H311+(Settings!$B$30-I311)+Settings!$B$31),H311+(Settings!$B$33-I311))</f>
        <v>1848.3399999999997</v>
      </c>
      <c r="K311" s="6">
        <f t="shared" si="120"/>
        <v>1872.3599999999997</v>
      </c>
      <c r="L311" s="6">
        <f t="shared" si="121"/>
        <v>1872.3599999999997</v>
      </c>
      <c r="M311" s="6">
        <f t="shared" ref="M311:M345" si="130">P310</f>
        <v>1852.9925651144106</v>
      </c>
      <c r="N311" s="6">
        <f t="shared" si="122"/>
        <v>1872.3599999999997</v>
      </c>
      <c r="O311" s="6">
        <f>Arrivals!I311</f>
        <v>5.7493418477921923</v>
      </c>
      <c r="P311" s="6">
        <f t="shared" si="123"/>
        <v>1878.1093418477919</v>
      </c>
      <c r="Q311" s="6">
        <f t="shared" si="124"/>
        <v>1419.1093418477919</v>
      </c>
      <c r="R311" s="6">
        <f t="shared" si="125"/>
        <v>1389.3399999999997</v>
      </c>
      <c r="S311" s="6">
        <f t="shared" si="126"/>
        <v>0</v>
      </c>
      <c r="T311" s="6">
        <f t="shared" si="127"/>
        <v>0</v>
      </c>
      <c r="U311" s="6">
        <f t="shared" si="128"/>
        <v>1389.3399999999997</v>
      </c>
      <c r="V311" s="6" t="str">
        <f>IF(MOD(C311-Settings!$B$32,Settings!$B$33)&lt;Settings!$B$30,"Up","Down")</f>
        <v>Up</v>
      </c>
      <c r="W311" s="6">
        <f>IF(OR(E311&gt;Settings!$B$30,Q311&gt;Settings!$B$37),0,1)</f>
        <v>0</v>
      </c>
      <c r="X311" s="6">
        <f>IF(AND(W311=1,Q311&lt;=Settings!$B$36),1,0)</f>
        <v>0</v>
      </c>
    </row>
    <row r="312" spans="1:24" x14ac:dyDescent="0.2">
      <c r="A312">
        <f>Arrivals!A312</f>
        <v>3</v>
      </c>
      <c r="B312">
        <f>Arrivals!B312</f>
        <v>67</v>
      </c>
      <c r="C312" s="6">
        <f>Arrivals!F312</f>
        <v>474</v>
      </c>
      <c r="D312" s="6">
        <f>Arrivals!K312</f>
        <v>300</v>
      </c>
      <c r="E312" s="6">
        <f>D312*8/ACE_Input!S72+ACE_Input!T72</f>
        <v>24.02</v>
      </c>
      <c r="F312" s="6">
        <f t="shared" si="118"/>
        <v>474</v>
      </c>
      <c r="G312" s="6">
        <f t="shared" si="129"/>
        <v>1872.3599999999997</v>
      </c>
      <c r="H312" s="6">
        <f t="shared" si="119"/>
        <v>1872.3599999999997</v>
      </c>
      <c r="I312" s="6">
        <f>MOD(H312-Settings!$B$32,Settings!$B$33)</f>
        <v>432.35999999999967</v>
      </c>
      <c r="J312" s="6">
        <f>IF(I312&lt;Settings!$B$30,IF(Settings!$B$30-I312&gt;=E312,H312,H312+(Settings!$B$30-I312)+Settings!$B$31),H312+(Settings!$B$33-I312))</f>
        <v>1872.3599999999997</v>
      </c>
      <c r="K312" s="6">
        <f t="shared" si="120"/>
        <v>1896.3799999999997</v>
      </c>
      <c r="L312" s="6">
        <f t="shared" si="121"/>
        <v>1896.3799999999997</v>
      </c>
      <c r="M312" s="6">
        <f t="shared" si="130"/>
        <v>1878.1093418477919</v>
      </c>
      <c r="N312" s="6">
        <f t="shared" si="122"/>
        <v>1896.3799999999997</v>
      </c>
      <c r="O312" s="6">
        <f>Arrivals!I312</f>
        <v>1.6061003857164524</v>
      </c>
      <c r="P312" s="6">
        <f t="shared" si="123"/>
        <v>1897.9861003857161</v>
      </c>
      <c r="Q312" s="6">
        <f t="shared" si="124"/>
        <v>1423.9861003857161</v>
      </c>
      <c r="R312" s="6">
        <f t="shared" si="125"/>
        <v>1398.3599999999997</v>
      </c>
      <c r="S312" s="6">
        <f t="shared" si="126"/>
        <v>0</v>
      </c>
      <c r="T312" s="6">
        <f t="shared" si="127"/>
        <v>0</v>
      </c>
      <c r="U312" s="6">
        <f t="shared" si="128"/>
        <v>1398.3599999999997</v>
      </c>
      <c r="V312" s="6" t="str">
        <f>IF(MOD(C312-Settings!$B$32,Settings!$B$33)&lt;Settings!$B$30,"Up","Down")</f>
        <v>Up</v>
      </c>
      <c r="W312" s="6">
        <f>IF(OR(E312&gt;Settings!$B$30,Q312&gt;Settings!$B$37),0,1)</f>
        <v>0</v>
      </c>
      <c r="X312" s="6">
        <f>IF(AND(W312=1,Q312&lt;=Settings!$B$36),1,0)</f>
        <v>0</v>
      </c>
    </row>
    <row r="313" spans="1:24" x14ac:dyDescent="0.2">
      <c r="A313">
        <f>Arrivals!A313</f>
        <v>3</v>
      </c>
      <c r="B313">
        <f>Arrivals!B313</f>
        <v>68</v>
      </c>
      <c r="C313" s="6">
        <f>Arrivals!F313</f>
        <v>479</v>
      </c>
      <c r="D313" s="6">
        <f>Arrivals!K313</f>
        <v>300</v>
      </c>
      <c r="E313" s="6">
        <f>D313*8/ACE_Input!S73+ACE_Input!T73</f>
        <v>24.02</v>
      </c>
      <c r="F313" s="6">
        <f t="shared" si="118"/>
        <v>479</v>
      </c>
      <c r="G313" s="6">
        <f t="shared" si="129"/>
        <v>1896.3799999999997</v>
      </c>
      <c r="H313" s="6">
        <f t="shared" si="119"/>
        <v>1896.3799999999997</v>
      </c>
      <c r="I313" s="6">
        <f>MOD(H313-Settings!$B$32,Settings!$B$33)</f>
        <v>456.37999999999965</v>
      </c>
      <c r="J313" s="6">
        <f>IF(I313&lt;Settings!$B$30,IF(Settings!$B$30-I313&gt;=E313,H313,H313+(Settings!$B$30-I313)+Settings!$B$31),H313+(Settings!$B$33-I313))</f>
        <v>1896.3799999999997</v>
      </c>
      <c r="K313" s="6">
        <f t="shared" si="120"/>
        <v>1920.3999999999996</v>
      </c>
      <c r="L313" s="6">
        <f t="shared" si="121"/>
        <v>1920.3999999999996</v>
      </c>
      <c r="M313" s="6">
        <f t="shared" si="130"/>
        <v>1897.9861003857161</v>
      </c>
      <c r="N313" s="6">
        <f t="shared" si="122"/>
        <v>1920.3999999999996</v>
      </c>
      <c r="O313" s="6">
        <f>Arrivals!I313</f>
        <v>0.42025369420525466</v>
      </c>
      <c r="P313" s="6">
        <f t="shared" si="123"/>
        <v>1920.8202536942049</v>
      </c>
      <c r="Q313" s="6">
        <f t="shared" si="124"/>
        <v>1441.8202536942049</v>
      </c>
      <c r="R313" s="6">
        <f t="shared" si="125"/>
        <v>1417.3799999999997</v>
      </c>
      <c r="S313" s="6">
        <f t="shared" si="126"/>
        <v>0</v>
      </c>
      <c r="T313" s="6">
        <f t="shared" si="127"/>
        <v>0</v>
      </c>
      <c r="U313" s="6">
        <f t="shared" si="128"/>
        <v>1417.3799999999997</v>
      </c>
      <c r="V313" s="6" t="str">
        <f>IF(MOD(C313-Settings!$B$32,Settings!$B$33)&lt;Settings!$B$30,"Up","Down")</f>
        <v>Up</v>
      </c>
      <c r="W313" s="6">
        <f>IF(OR(E313&gt;Settings!$B$30,Q313&gt;Settings!$B$37),0,1)</f>
        <v>0</v>
      </c>
      <c r="X313" s="6">
        <f>IF(AND(W313=1,Q313&lt;=Settings!$B$36),1,0)</f>
        <v>0</v>
      </c>
    </row>
    <row r="314" spans="1:24" x14ac:dyDescent="0.2">
      <c r="A314">
        <f>Arrivals!A314</f>
        <v>3</v>
      </c>
      <c r="B314">
        <f>Arrivals!B314</f>
        <v>69</v>
      </c>
      <c r="C314" s="6">
        <f>Arrivals!F314</f>
        <v>494</v>
      </c>
      <c r="D314" s="6">
        <f>Arrivals!K314</f>
        <v>300</v>
      </c>
      <c r="E314" s="6">
        <f>D314*8/ACE_Input!S74+ACE_Input!T74</f>
        <v>24.02</v>
      </c>
      <c r="F314" s="6">
        <f t="shared" si="118"/>
        <v>494</v>
      </c>
      <c r="G314" s="6">
        <f t="shared" si="129"/>
        <v>1920.3999999999996</v>
      </c>
      <c r="H314" s="6">
        <f t="shared" si="119"/>
        <v>1920.3999999999996</v>
      </c>
      <c r="I314" s="6">
        <f>MOD(H314-Settings!$B$32,Settings!$B$33)</f>
        <v>480.39999999999964</v>
      </c>
      <c r="J314" s="6">
        <f>IF(I314&lt;Settings!$B$30,IF(Settings!$B$30-I314&gt;=E314,H314,H314+(Settings!$B$30-I314)+Settings!$B$31),H314+(Settings!$B$33-I314))</f>
        <v>1920.3999999999996</v>
      </c>
      <c r="K314" s="6">
        <f t="shared" si="120"/>
        <v>1944.4199999999996</v>
      </c>
      <c r="L314" s="6">
        <f t="shared" si="121"/>
        <v>1944.4199999999996</v>
      </c>
      <c r="M314" s="6">
        <f t="shared" si="130"/>
        <v>1920.8202536942049</v>
      </c>
      <c r="N314" s="6">
        <f t="shared" si="122"/>
        <v>1944.4199999999996</v>
      </c>
      <c r="O314" s="6">
        <f>Arrivals!I314</f>
        <v>0.91980695502893361</v>
      </c>
      <c r="P314" s="6">
        <f t="shared" si="123"/>
        <v>1945.3398069550285</v>
      </c>
      <c r="Q314" s="6">
        <f t="shared" si="124"/>
        <v>1451.3398069550285</v>
      </c>
      <c r="R314" s="6">
        <f t="shared" si="125"/>
        <v>1426.3999999999996</v>
      </c>
      <c r="S314" s="6">
        <f t="shared" si="126"/>
        <v>0</v>
      </c>
      <c r="T314" s="6">
        <f t="shared" si="127"/>
        <v>0</v>
      </c>
      <c r="U314" s="6">
        <f t="shared" si="128"/>
        <v>1426.3999999999996</v>
      </c>
      <c r="V314" s="6" t="str">
        <f>IF(MOD(C314-Settings!$B$32,Settings!$B$33)&lt;Settings!$B$30,"Up","Down")</f>
        <v>Up</v>
      </c>
      <c r="W314" s="6">
        <f>IF(OR(E314&gt;Settings!$B$30,Q314&gt;Settings!$B$37),0,1)</f>
        <v>0</v>
      </c>
      <c r="X314" s="6">
        <f>IF(AND(W314=1,Q314&lt;=Settings!$B$36),1,0)</f>
        <v>0</v>
      </c>
    </row>
    <row r="315" spans="1:24" x14ac:dyDescent="0.2">
      <c r="A315">
        <f>Arrivals!A315</f>
        <v>3</v>
      </c>
      <c r="B315">
        <f>Arrivals!B315</f>
        <v>70</v>
      </c>
      <c r="C315" s="6">
        <f>Arrivals!F315</f>
        <v>499</v>
      </c>
      <c r="D315" s="6">
        <f>Arrivals!K315</f>
        <v>300</v>
      </c>
      <c r="E315" s="6">
        <f>D315*8/ACE_Input!S75+ACE_Input!T75</f>
        <v>24.02</v>
      </c>
      <c r="F315" s="6">
        <f t="shared" si="118"/>
        <v>499</v>
      </c>
      <c r="G315" s="6">
        <f t="shared" si="129"/>
        <v>1944.4199999999996</v>
      </c>
      <c r="H315" s="6">
        <f t="shared" si="119"/>
        <v>1944.4199999999996</v>
      </c>
      <c r="I315" s="6">
        <f>MOD(H315-Settings!$B$32,Settings!$B$33)</f>
        <v>504.41999999999962</v>
      </c>
      <c r="J315" s="6">
        <f>IF(I315&lt;Settings!$B$30,IF(Settings!$B$30-I315&gt;=E315,H315,H315+(Settings!$B$30-I315)+Settings!$B$31),H315+(Settings!$B$33-I315))</f>
        <v>1944.4199999999996</v>
      </c>
      <c r="K315" s="6">
        <f t="shared" si="120"/>
        <v>1968.4399999999996</v>
      </c>
      <c r="L315" s="6">
        <f t="shared" si="121"/>
        <v>1968.4399999999996</v>
      </c>
      <c r="M315" s="6">
        <f t="shared" si="130"/>
        <v>1945.3398069550285</v>
      </c>
      <c r="N315" s="6">
        <f t="shared" si="122"/>
        <v>1968.4399999999996</v>
      </c>
      <c r="O315" s="6">
        <f>Arrivals!I315</f>
        <v>3.9690143862199094</v>
      </c>
      <c r="P315" s="6">
        <f t="shared" si="123"/>
        <v>1972.4090143862195</v>
      </c>
      <c r="Q315" s="6">
        <f t="shared" si="124"/>
        <v>1473.4090143862195</v>
      </c>
      <c r="R315" s="6">
        <f t="shared" si="125"/>
        <v>1445.4199999999996</v>
      </c>
      <c r="S315" s="6">
        <f t="shared" si="126"/>
        <v>0</v>
      </c>
      <c r="T315" s="6">
        <f t="shared" si="127"/>
        <v>0</v>
      </c>
      <c r="U315" s="6">
        <f t="shared" si="128"/>
        <v>1445.4199999999996</v>
      </c>
      <c r="V315" s="6" t="str">
        <f>IF(MOD(C315-Settings!$B$32,Settings!$B$33)&lt;Settings!$B$30,"Up","Down")</f>
        <v>Up</v>
      </c>
      <c r="W315" s="6">
        <f>IF(OR(E315&gt;Settings!$B$30,Q315&gt;Settings!$B$37),0,1)</f>
        <v>0</v>
      </c>
      <c r="X315" s="6">
        <f>IF(AND(W315=1,Q315&lt;=Settings!$B$36),1,0)</f>
        <v>0</v>
      </c>
    </row>
    <row r="316" spans="1:24" x14ac:dyDescent="0.2">
      <c r="A316">
        <f>Arrivals!A316</f>
        <v>3</v>
      </c>
      <c r="B316">
        <f>Arrivals!B316</f>
        <v>71</v>
      </c>
      <c r="C316" s="6">
        <f>Arrivals!F316</f>
        <v>504</v>
      </c>
      <c r="D316" s="6">
        <f>Arrivals!K316</f>
        <v>300</v>
      </c>
      <c r="E316" s="6">
        <f>D316*8/ACE_Input!S76+ACE_Input!T76</f>
        <v>24.02</v>
      </c>
      <c r="F316" s="6">
        <f t="shared" si="118"/>
        <v>504</v>
      </c>
      <c r="G316" s="6">
        <f t="shared" si="129"/>
        <v>1968.4399999999996</v>
      </c>
      <c r="H316" s="6">
        <f t="shared" si="119"/>
        <v>1968.4399999999996</v>
      </c>
      <c r="I316" s="6">
        <f>MOD(H316-Settings!$B$32,Settings!$B$33)</f>
        <v>528.4399999999996</v>
      </c>
      <c r="J316" s="6">
        <f>IF(I316&lt;Settings!$B$30,IF(Settings!$B$30-I316&gt;=E316,H316,H316+(Settings!$B$30-I316)+Settings!$B$31),H316+(Settings!$B$33-I316))</f>
        <v>1968.4399999999996</v>
      </c>
      <c r="K316" s="6">
        <f t="shared" si="120"/>
        <v>1992.4599999999996</v>
      </c>
      <c r="L316" s="6">
        <f t="shared" si="121"/>
        <v>1992.4599999999996</v>
      </c>
      <c r="M316" s="6">
        <f t="shared" si="130"/>
        <v>1972.4090143862195</v>
      </c>
      <c r="N316" s="6">
        <f t="shared" si="122"/>
        <v>1992.4599999999996</v>
      </c>
      <c r="O316" s="6">
        <f>Arrivals!I316</f>
        <v>13.846274367701946</v>
      </c>
      <c r="P316" s="6">
        <f t="shared" si="123"/>
        <v>2006.3062743677015</v>
      </c>
      <c r="Q316" s="6">
        <f t="shared" si="124"/>
        <v>1502.3062743677015</v>
      </c>
      <c r="R316" s="6">
        <f t="shared" si="125"/>
        <v>1464.4399999999996</v>
      </c>
      <c r="S316" s="6">
        <f t="shared" si="126"/>
        <v>0</v>
      </c>
      <c r="T316" s="6">
        <f t="shared" si="127"/>
        <v>0</v>
      </c>
      <c r="U316" s="6">
        <f t="shared" si="128"/>
        <v>1464.4399999999996</v>
      </c>
      <c r="V316" s="6" t="str">
        <f>IF(MOD(C316-Settings!$B$32,Settings!$B$33)&lt;Settings!$B$30,"Up","Down")</f>
        <v>Up</v>
      </c>
      <c r="W316" s="6">
        <f>IF(OR(E316&gt;Settings!$B$30,Q316&gt;Settings!$B$37),0,1)</f>
        <v>0</v>
      </c>
      <c r="X316" s="6">
        <f>IF(AND(W316=1,Q316&lt;=Settings!$B$36),1,0)</f>
        <v>0</v>
      </c>
    </row>
    <row r="317" spans="1:24" x14ac:dyDescent="0.2">
      <c r="A317">
        <f>Arrivals!A317</f>
        <v>3</v>
      </c>
      <c r="B317">
        <f>Arrivals!B317</f>
        <v>72</v>
      </c>
      <c r="C317" s="6">
        <f>Arrivals!F317</f>
        <v>509</v>
      </c>
      <c r="D317" s="6">
        <f>Arrivals!K317</f>
        <v>300</v>
      </c>
      <c r="E317" s="6">
        <f>D317*8/ACE_Input!S77+ACE_Input!T77</f>
        <v>24.02</v>
      </c>
      <c r="F317" s="6">
        <f t="shared" si="118"/>
        <v>509</v>
      </c>
      <c r="G317" s="6">
        <f t="shared" si="129"/>
        <v>1992.4599999999996</v>
      </c>
      <c r="H317" s="6">
        <f t="shared" si="119"/>
        <v>1992.4599999999996</v>
      </c>
      <c r="I317" s="6">
        <f>MOD(H317-Settings!$B$32,Settings!$B$33)</f>
        <v>552.45999999999958</v>
      </c>
      <c r="J317" s="6">
        <f>IF(I317&lt;Settings!$B$30,IF(Settings!$B$30-I317&gt;=E317,H317,H317+(Settings!$B$30-I317)+Settings!$B$31),H317+(Settings!$B$33-I317))</f>
        <v>1992.4599999999996</v>
      </c>
      <c r="K317" s="6">
        <f t="shared" si="120"/>
        <v>2016.4799999999996</v>
      </c>
      <c r="L317" s="6">
        <f t="shared" si="121"/>
        <v>2016.4799999999996</v>
      </c>
      <c r="M317" s="6">
        <f t="shared" si="130"/>
        <v>2006.3062743677015</v>
      </c>
      <c r="N317" s="6">
        <f t="shared" si="122"/>
        <v>2016.4799999999996</v>
      </c>
      <c r="O317" s="6">
        <f>Arrivals!I317</f>
        <v>3.5462797086899731</v>
      </c>
      <c r="P317" s="6">
        <f t="shared" si="123"/>
        <v>2020.0262797086896</v>
      </c>
      <c r="Q317" s="6">
        <f t="shared" si="124"/>
        <v>1511.0262797086896</v>
      </c>
      <c r="R317" s="6">
        <f t="shared" si="125"/>
        <v>1483.4599999999996</v>
      </c>
      <c r="S317" s="6">
        <f t="shared" si="126"/>
        <v>0</v>
      </c>
      <c r="T317" s="6">
        <f t="shared" si="127"/>
        <v>0</v>
      </c>
      <c r="U317" s="6">
        <f t="shared" si="128"/>
        <v>1483.4599999999996</v>
      </c>
      <c r="V317" s="6" t="str">
        <f>IF(MOD(C317-Settings!$B$32,Settings!$B$33)&lt;Settings!$B$30,"Up","Down")</f>
        <v>Up</v>
      </c>
      <c r="W317" s="6">
        <f>IF(OR(E317&gt;Settings!$B$30,Q317&gt;Settings!$B$37),0,1)</f>
        <v>0</v>
      </c>
      <c r="X317" s="6">
        <f>IF(AND(W317=1,Q317&lt;=Settings!$B$36),1,0)</f>
        <v>0</v>
      </c>
    </row>
    <row r="318" spans="1:24" x14ac:dyDescent="0.2">
      <c r="A318">
        <f>Arrivals!A318</f>
        <v>3</v>
      </c>
      <c r="B318">
        <f>Arrivals!B318</f>
        <v>73</v>
      </c>
      <c r="C318" s="6">
        <f>Arrivals!F318</f>
        <v>514</v>
      </c>
      <c r="D318" s="6">
        <f>Arrivals!K318</f>
        <v>300</v>
      </c>
      <c r="E318" s="6">
        <f>D318*8/ACE_Input!S78+ACE_Input!T78</f>
        <v>24.02</v>
      </c>
      <c r="F318" s="6">
        <f t="shared" si="118"/>
        <v>514</v>
      </c>
      <c r="G318" s="6">
        <f t="shared" si="129"/>
        <v>2016.4799999999996</v>
      </c>
      <c r="H318" s="6">
        <f t="shared" si="119"/>
        <v>2016.4799999999996</v>
      </c>
      <c r="I318" s="6">
        <f>MOD(H318-Settings!$B$32,Settings!$B$33)</f>
        <v>576.47999999999956</v>
      </c>
      <c r="J318" s="6">
        <f>IF(I318&lt;Settings!$B$30,IF(Settings!$B$30-I318&gt;=E318,H318,H318+(Settings!$B$30-I318)+Settings!$B$31),H318+(Settings!$B$33-I318))</f>
        <v>2160</v>
      </c>
      <c r="K318" s="6">
        <f t="shared" si="120"/>
        <v>2184.02</v>
      </c>
      <c r="L318" s="6">
        <f t="shared" si="121"/>
        <v>2184.02</v>
      </c>
      <c r="M318" s="6">
        <f t="shared" si="130"/>
        <v>2020.0262797086896</v>
      </c>
      <c r="N318" s="6">
        <f t="shared" si="122"/>
        <v>2184.02</v>
      </c>
      <c r="O318" s="6">
        <f>Arrivals!I318</f>
        <v>2.0043308696465969</v>
      </c>
      <c r="P318" s="6">
        <f t="shared" si="123"/>
        <v>2186.0243308696467</v>
      </c>
      <c r="Q318" s="6">
        <f t="shared" si="124"/>
        <v>1672.0243308696467</v>
      </c>
      <c r="R318" s="6">
        <f t="shared" si="125"/>
        <v>1502.4799999999996</v>
      </c>
      <c r="S318" s="6">
        <f t="shared" si="126"/>
        <v>143.52000000000044</v>
      </c>
      <c r="T318" s="6">
        <f t="shared" si="127"/>
        <v>0</v>
      </c>
      <c r="U318" s="6">
        <f t="shared" si="128"/>
        <v>1646</v>
      </c>
      <c r="V318" s="6" t="str">
        <f>IF(MOD(C318-Settings!$B$32,Settings!$B$33)&lt;Settings!$B$30,"Up","Down")</f>
        <v>Up</v>
      </c>
      <c r="W318" s="6">
        <f>IF(OR(E318&gt;Settings!$B$30,Q318&gt;Settings!$B$37),0,1)</f>
        <v>0</v>
      </c>
      <c r="X318" s="6">
        <f>IF(AND(W318=1,Q318&lt;=Settings!$B$36),1,0)</f>
        <v>0</v>
      </c>
    </row>
    <row r="319" spans="1:24" x14ac:dyDescent="0.2">
      <c r="A319">
        <f>Arrivals!A319</f>
        <v>3</v>
      </c>
      <c r="B319">
        <f>Arrivals!B319</f>
        <v>74</v>
      </c>
      <c r="C319" s="6">
        <f>Arrivals!F319</f>
        <v>519</v>
      </c>
      <c r="D319" s="6">
        <f>Arrivals!K319</f>
        <v>300</v>
      </c>
      <c r="E319" s="6">
        <f>D319*8/ACE_Input!S79+ACE_Input!T79</f>
        <v>24.02</v>
      </c>
      <c r="F319" s="6">
        <f t="shared" si="118"/>
        <v>519</v>
      </c>
      <c r="G319" s="6">
        <f t="shared" si="129"/>
        <v>2184.02</v>
      </c>
      <c r="H319" s="6">
        <f t="shared" si="119"/>
        <v>2184.02</v>
      </c>
      <c r="I319" s="6">
        <f>MOD(H319-Settings!$B$32,Settings!$B$33)</f>
        <v>24.019999999999982</v>
      </c>
      <c r="J319" s="6">
        <f>IF(I319&lt;Settings!$B$30,IF(Settings!$B$30-I319&gt;=E319,H319,H319+(Settings!$B$30-I319)+Settings!$B$31),H319+(Settings!$B$33-I319))</f>
        <v>2184.02</v>
      </c>
      <c r="K319" s="6">
        <f t="shared" si="120"/>
        <v>2208.04</v>
      </c>
      <c r="L319" s="6">
        <f t="shared" si="121"/>
        <v>2208.04</v>
      </c>
      <c r="M319" s="6">
        <f t="shared" si="130"/>
        <v>2186.0243308696467</v>
      </c>
      <c r="N319" s="6">
        <f t="shared" si="122"/>
        <v>2208.04</v>
      </c>
      <c r="O319" s="6">
        <f>Arrivals!I319</f>
        <v>0.29203860699512435</v>
      </c>
      <c r="P319" s="6">
        <f t="shared" si="123"/>
        <v>2208.332038606995</v>
      </c>
      <c r="Q319" s="6">
        <f t="shared" si="124"/>
        <v>1689.332038606995</v>
      </c>
      <c r="R319" s="6">
        <f t="shared" si="125"/>
        <v>1665.02</v>
      </c>
      <c r="S319" s="6">
        <f t="shared" si="126"/>
        <v>0</v>
      </c>
      <c r="T319" s="6">
        <f t="shared" si="127"/>
        <v>0</v>
      </c>
      <c r="U319" s="6">
        <f t="shared" si="128"/>
        <v>1665.02</v>
      </c>
      <c r="V319" s="6" t="str">
        <f>IF(MOD(C319-Settings!$B$32,Settings!$B$33)&lt;Settings!$B$30,"Up","Down")</f>
        <v>Up</v>
      </c>
      <c r="W319" s="6">
        <f>IF(OR(E319&gt;Settings!$B$30,Q319&gt;Settings!$B$37),0,1)</f>
        <v>0</v>
      </c>
      <c r="X319" s="6">
        <f>IF(AND(W319=1,Q319&lt;=Settings!$B$36),1,0)</f>
        <v>0</v>
      </c>
    </row>
    <row r="320" spans="1:24" x14ac:dyDescent="0.2">
      <c r="A320">
        <f>Arrivals!A320</f>
        <v>3</v>
      </c>
      <c r="B320">
        <f>Arrivals!B320</f>
        <v>75</v>
      </c>
      <c r="C320" s="6">
        <f>Arrivals!F320</f>
        <v>524</v>
      </c>
      <c r="D320" s="6">
        <f>Arrivals!K320</f>
        <v>300</v>
      </c>
      <c r="E320" s="6">
        <f>D320*8/ACE_Input!S80+ACE_Input!T80</f>
        <v>24.02</v>
      </c>
      <c r="F320" s="6">
        <f t="shared" si="118"/>
        <v>524</v>
      </c>
      <c r="G320" s="6">
        <f t="shared" si="129"/>
        <v>2208.04</v>
      </c>
      <c r="H320" s="6">
        <f t="shared" si="119"/>
        <v>2208.04</v>
      </c>
      <c r="I320" s="6">
        <f>MOD(H320-Settings!$B$32,Settings!$B$33)</f>
        <v>48.039999999999964</v>
      </c>
      <c r="J320" s="6">
        <f>IF(I320&lt;Settings!$B$30,IF(Settings!$B$30-I320&gt;=E320,H320,H320+(Settings!$B$30-I320)+Settings!$B$31),H320+(Settings!$B$33-I320))</f>
        <v>2208.04</v>
      </c>
      <c r="K320" s="6">
        <f t="shared" si="120"/>
        <v>2232.06</v>
      </c>
      <c r="L320" s="6">
        <f t="shared" si="121"/>
        <v>2232.06</v>
      </c>
      <c r="M320" s="6">
        <f t="shared" si="130"/>
        <v>2208.332038606995</v>
      </c>
      <c r="N320" s="6">
        <f t="shared" si="122"/>
        <v>2232.06</v>
      </c>
      <c r="O320" s="6">
        <f>Arrivals!I320</f>
        <v>1.7209539956268709</v>
      </c>
      <c r="P320" s="6">
        <f t="shared" si="123"/>
        <v>2233.780953995627</v>
      </c>
      <c r="Q320" s="6">
        <f t="shared" si="124"/>
        <v>1709.780953995627</v>
      </c>
      <c r="R320" s="6">
        <f t="shared" si="125"/>
        <v>1684.04</v>
      </c>
      <c r="S320" s="6">
        <f t="shared" si="126"/>
        <v>0</v>
      </c>
      <c r="T320" s="6">
        <f t="shared" si="127"/>
        <v>0</v>
      </c>
      <c r="U320" s="6">
        <f t="shared" si="128"/>
        <v>1684.04</v>
      </c>
      <c r="V320" s="6" t="str">
        <f>IF(MOD(C320-Settings!$B$32,Settings!$B$33)&lt;Settings!$B$30,"Up","Down")</f>
        <v>Up</v>
      </c>
      <c r="W320" s="6">
        <f>IF(OR(E320&gt;Settings!$B$30,Q320&gt;Settings!$B$37),0,1)</f>
        <v>0</v>
      </c>
      <c r="X320" s="6">
        <f>IF(AND(W320=1,Q320&lt;=Settings!$B$36),1,0)</f>
        <v>0</v>
      </c>
    </row>
    <row r="321" spans="1:24" x14ac:dyDescent="0.2">
      <c r="A321">
        <f>Arrivals!A321</f>
        <v>3</v>
      </c>
      <c r="B321">
        <f>Arrivals!B321</f>
        <v>76</v>
      </c>
      <c r="C321" s="6">
        <f>Arrivals!F321</f>
        <v>529</v>
      </c>
      <c r="D321" s="6">
        <f>Arrivals!K321</f>
        <v>300</v>
      </c>
      <c r="E321" s="6">
        <f>D321*8/ACE_Input!S81+ACE_Input!T81</f>
        <v>24.02</v>
      </c>
      <c r="F321" s="6">
        <f t="shared" si="118"/>
        <v>529</v>
      </c>
      <c r="G321" s="6">
        <f t="shared" si="129"/>
        <v>2232.06</v>
      </c>
      <c r="H321" s="6">
        <f t="shared" si="119"/>
        <v>2232.06</v>
      </c>
      <c r="I321" s="6">
        <f>MOD(H321-Settings!$B$32,Settings!$B$33)</f>
        <v>72.059999999999945</v>
      </c>
      <c r="J321" s="6">
        <f>IF(I321&lt;Settings!$B$30,IF(Settings!$B$30-I321&gt;=E321,H321,H321+(Settings!$B$30-I321)+Settings!$B$31),H321+(Settings!$B$33-I321))</f>
        <v>2232.06</v>
      </c>
      <c r="K321" s="6">
        <f t="shared" si="120"/>
        <v>2256.08</v>
      </c>
      <c r="L321" s="6">
        <f t="shared" si="121"/>
        <v>2256.08</v>
      </c>
      <c r="M321" s="6">
        <f t="shared" si="130"/>
        <v>2233.780953995627</v>
      </c>
      <c r="N321" s="6">
        <f t="shared" si="122"/>
        <v>2256.08</v>
      </c>
      <c r="O321" s="6">
        <f>Arrivals!I321</f>
        <v>2.7795385614241992</v>
      </c>
      <c r="P321" s="6">
        <f t="shared" si="123"/>
        <v>2258.859538561424</v>
      </c>
      <c r="Q321" s="6">
        <f t="shared" si="124"/>
        <v>1729.859538561424</v>
      </c>
      <c r="R321" s="6">
        <f t="shared" si="125"/>
        <v>1703.06</v>
      </c>
      <c r="S321" s="6">
        <f t="shared" si="126"/>
        <v>0</v>
      </c>
      <c r="T321" s="6">
        <f t="shared" si="127"/>
        <v>0</v>
      </c>
      <c r="U321" s="6">
        <f t="shared" si="128"/>
        <v>1703.06</v>
      </c>
      <c r="V321" s="6" t="str">
        <f>IF(MOD(C321-Settings!$B$32,Settings!$B$33)&lt;Settings!$B$30,"Up","Down")</f>
        <v>Up</v>
      </c>
      <c r="W321" s="6">
        <f>IF(OR(E321&gt;Settings!$B$30,Q321&gt;Settings!$B$37),0,1)</f>
        <v>0</v>
      </c>
      <c r="X321" s="6">
        <f>IF(AND(W321=1,Q321&lt;=Settings!$B$36),1,0)</f>
        <v>0</v>
      </c>
    </row>
    <row r="322" spans="1:24" x14ac:dyDescent="0.2">
      <c r="A322">
        <f>Arrivals!A322</f>
        <v>3</v>
      </c>
      <c r="B322">
        <f>Arrivals!B322</f>
        <v>77</v>
      </c>
      <c r="C322" s="6">
        <f>Arrivals!F322</f>
        <v>534</v>
      </c>
      <c r="D322" s="6">
        <f>Arrivals!K322</f>
        <v>300</v>
      </c>
      <c r="E322" s="6">
        <f>D322*8/ACE_Input!S82+ACE_Input!T82</f>
        <v>24.02</v>
      </c>
      <c r="F322" s="6">
        <f t="shared" si="118"/>
        <v>534</v>
      </c>
      <c r="G322" s="6">
        <f t="shared" si="129"/>
        <v>2256.08</v>
      </c>
      <c r="H322" s="6">
        <f t="shared" si="119"/>
        <v>2256.08</v>
      </c>
      <c r="I322" s="6">
        <f>MOD(H322-Settings!$B$32,Settings!$B$33)</f>
        <v>96.079999999999927</v>
      </c>
      <c r="J322" s="6">
        <f>IF(I322&lt;Settings!$B$30,IF(Settings!$B$30-I322&gt;=E322,H322,H322+(Settings!$B$30-I322)+Settings!$B$31),H322+(Settings!$B$33-I322))</f>
        <v>2256.08</v>
      </c>
      <c r="K322" s="6">
        <f t="shared" si="120"/>
        <v>2280.1</v>
      </c>
      <c r="L322" s="6">
        <f t="shared" si="121"/>
        <v>2280.1</v>
      </c>
      <c r="M322" s="6">
        <f t="shared" si="130"/>
        <v>2258.859538561424</v>
      </c>
      <c r="N322" s="6">
        <f t="shared" si="122"/>
        <v>2280.1</v>
      </c>
      <c r="O322" s="6">
        <f>Arrivals!I322</f>
        <v>0.36875343425391538</v>
      </c>
      <c r="P322" s="6">
        <f t="shared" si="123"/>
        <v>2280.4687534342538</v>
      </c>
      <c r="Q322" s="6">
        <f t="shared" si="124"/>
        <v>1746.4687534342538</v>
      </c>
      <c r="R322" s="6">
        <f t="shared" si="125"/>
        <v>1722.08</v>
      </c>
      <c r="S322" s="6">
        <f t="shared" si="126"/>
        <v>0</v>
      </c>
      <c r="T322" s="6">
        <f t="shared" si="127"/>
        <v>0</v>
      </c>
      <c r="U322" s="6">
        <f t="shared" si="128"/>
        <v>1722.08</v>
      </c>
      <c r="V322" s="6" t="str">
        <f>IF(MOD(C322-Settings!$B$32,Settings!$B$33)&lt;Settings!$B$30,"Up","Down")</f>
        <v>Up</v>
      </c>
      <c r="W322" s="6">
        <f>IF(OR(E322&gt;Settings!$B$30,Q322&gt;Settings!$B$37),0,1)</f>
        <v>0</v>
      </c>
      <c r="X322" s="6">
        <f>IF(AND(W322=1,Q322&lt;=Settings!$B$36),1,0)</f>
        <v>0</v>
      </c>
    </row>
    <row r="323" spans="1:24" x14ac:dyDescent="0.2">
      <c r="A323">
        <f>Arrivals!A323</f>
        <v>3</v>
      </c>
      <c r="B323">
        <f>Arrivals!B323</f>
        <v>78</v>
      </c>
      <c r="C323" s="6">
        <f>Arrivals!F323</f>
        <v>539</v>
      </c>
      <c r="D323" s="6">
        <f>Arrivals!K323</f>
        <v>300</v>
      </c>
      <c r="E323" s="6">
        <f>D323*8/ACE_Input!S83+ACE_Input!T83</f>
        <v>24.02</v>
      </c>
      <c r="F323" s="6">
        <f t="shared" si="118"/>
        <v>539</v>
      </c>
      <c r="G323" s="6">
        <f t="shared" si="129"/>
        <v>2280.1</v>
      </c>
      <c r="H323" s="6">
        <f t="shared" si="119"/>
        <v>2280.1</v>
      </c>
      <c r="I323" s="6">
        <f>MOD(H323-Settings!$B$32,Settings!$B$33)</f>
        <v>120.09999999999991</v>
      </c>
      <c r="J323" s="6">
        <f>IF(I323&lt;Settings!$B$30,IF(Settings!$B$30-I323&gt;=E323,H323,H323+(Settings!$B$30-I323)+Settings!$B$31),H323+(Settings!$B$33-I323))</f>
        <v>2280.1</v>
      </c>
      <c r="K323" s="6">
        <f t="shared" si="120"/>
        <v>2304.12</v>
      </c>
      <c r="L323" s="6">
        <f t="shared" si="121"/>
        <v>2304.12</v>
      </c>
      <c r="M323" s="6">
        <f t="shared" si="130"/>
        <v>2280.4687534342538</v>
      </c>
      <c r="N323" s="6">
        <f t="shared" si="122"/>
        <v>2304.12</v>
      </c>
      <c r="O323" s="6">
        <f>Arrivals!I323</f>
        <v>0.5845892776796725</v>
      </c>
      <c r="P323" s="6">
        <f t="shared" si="123"/>
        <v>2304.7045892776796</v>
      </c>
      <c r="Q323" s="6">
        <f t="shared" si="124"/>
        <v>1765.7045892776796</v>
      </c>
      <c r="R323" s="6">
        <f t="shared" si="125"/>
        <v>1741.1</v>
      </c>
      <c r="S323" s="6">
        <f t="shared" si="126"/>
        <v>0</v>
      </c>
      <c r="T323" s="6">
        <f t="shared" si="127"/>
        <v>0</v>
      </c>
      <c r="U323" s="6">
        <f t="shared" si="128"/>
        <v>1741.1</v>
      </c>
      <c r="V323" s="6" t="str">
        <f>IF(MOD(C323-Settings!$B$32,Settings!$B$33)&lt;Settings!$B$30,"Up","Down")</f>
        <v>Up</v>
      </c>
      <c r="W323" s="6">
        <f>IF(OR(E323&gt;Settings!$B$30,Q323&gt;Settings!$B$37),0,1)</f>
        <v>0</v>
      </c>
      <c r="X323" s="6">
        <f>IF(AND(W323=1,Q323&lt;=Settings!$B$36),1,0)</f>
        <v>0</v>
      </c>
    </row>
    <row r="324" spans="1:24" x14ac:dyDescent="0.2">
      <c r="A324">
        <f>Arrivals!A324</f>
        <v>3</v>
      </c>
      <c r="B324">
        <f>Arrivals!B324</f>
        <v>79</v>
      </c>
      <c r="C324" s="6">
        <f>Arrivals!F324</f>
        <v>544</v>
      </c>
      <c r="D324" s="6">
        <f>Arrivals!K324</f>
        <v>300</v>
      </c>
      <c r="E324" s="6">
        <f>D324*8/ACE_Input!S84+ACE_Input!T84</f>
        <v>24.02</v>
      </c>
      <c r="F324" s="6">
        <f t="shared" si="118"/>
        <v>544</v>
      </c>
      <c r="G324" s="6">
        <f t="shared" si="129"/>
        <v>2304.12</v>
      </c>
      <c r="H324" s="6">
        <f t="shared" si="119"/>
        <v>2304.12</v>
      </c>
      <c r="I324" s="6">
        <f>MOD(H324-Settings!$B$32,Settings!$B$33)</f>
        <v>144.11999999999989</v>
      </c>
      <c r="J324" s="6">
        <f>IF(I324&lt;Settings!$B$30,IF(Settings!$B$30-I324&gt;=E324,H324,H324+(Settings!$B$30-I324)+Settings!$B$31),H324+(Settings!$B$33-I324))</f>
        <v>2304.12</v>
      </c>
      <c r="K324" s="6">
        <f t="shared" si="120"/>
        <v>2328.14</v>
      </c>
      <c r="L324" s="6">
        <f t="shared" si="121"/>
        <v>2328.14</v>
      </c>
      <c r="M324" s="6">
        <f t="shared" si="130"/>
        <v>2304.7045892776796</v>
      </c>
      <c r="N324" s="6">
        <f t="shared" si="122"/>
        <v>2328.14</v>
      </c>
      <c r="O324" s="6">
        <f>Arrivals!I324</f>
        <v>1.1028942812169076</v>
      </c>
      <c r="P324" s="6">
        <f t="shared" si="123"/>
        <v>2329.2428942812166</v>
      </c>
      <c r="Q324" s="6">
        <f t="shared" si="124"/>
        <v>1785.2428942812166</v>
      </c>
      <c r="R324" s="6">
        <f t="shared" si="125"/>
        <v>1760.12</v>
      </c>
      <c r="S324" s="6">
        <f t="shared" si="126"/>
        <v>0</v>
      </c>
      <c r="T324" s="6">
        <f t="shared" si="127"/>
        <v>0</v>
      </c>
      <c r="U324" s="6">
        <f t="shared" si="128"/>
        <v>1760.12</v>
      </c>
      <c r="V324" s="6" t="str">
        <f>IF(MOD(C324-Settings!$B$32,Settings!$B$33)&lt;Settings!$B$30,"Up","Down")</f>
        <v>Up</v>
      </c>
      <c r="W324" s="6">
        <f>IF(OR(E324&gt;Settings!$B$30,Q324&gt;Settings!$B$37),0,1)</f>
        <v>0</v>
      </c>
      <c r="X324" s="6">
        <f>IF(AND(W324=1,Q324&lt;=Settings!$B$36),1,0)</f>
        <v>0</v>
      </c>
    </row>
    <row r="325" spans="1:24" x14ac:dyDescent="0.2">
      <c r="A325">
        <f>Arrivals!A325</f>
        <v>3</v>
      </c>
      <c r="B325">
        <f>Arrivals!B325</f>
        <v>80</v>
      </c>
      <c r="C325" s="6">
        <f>Arrivals!F325</f>
        <v>549</v>
      </c>
      <c r="D325" s="6">
        <f>Arrivals!K325</f>
        <v>300</v>
      </c>
      <c r="E325" s="6">
        <f>D325*8/ACE_Input!S85+ACE_Input!T85</f>
        <v>24.02</v>
      </c>
      <c r="F325" s="6">
        <f t="shared" si="118"/>
        <v>549</v>
      </c>
      <c r="G325" s="6">
        <f t="shared" si="129"/>
        <v>2328.14</v>
      </c>
      <c r="H325" s="6">
        <f t="shared" si="119"/>
        <v>2328.14</v>
      </c>
      <c r="I325" s="6">
        <f>MOD(H325-Settings!$B$32,Settings!$B$33)</f>
        <v>168.13999999999987</v>
      </c>
      <c r="J325" s="6">
        <f>IF(I325&lt;Settings!$B$30,IF(Settings!$B$30-I325&gt;=E325,H325,H325+(Settings!$B$30-I325)+Settings!$B$31),H325+(Settings!$B$33-I325))</f>
        <v>2328.14</v>
      </c>
      <c r="K325" s="6">
        <f t="shared" si="120"/>
        <v>2352.16</v>
      </c>
      <c r="L325" s="6">
        <f t="shared" si="121"/>
        <v>2352.16</v>
      </c>
      <c r="M325" s="6">
        <f t="shared" si="130"/>
        <v>2329.2428942812166</v>
      </c>
      <c r="N325" s="6">
        <f t="shared" si="122"/>
        <v>2352.16</v>
      </c>
      <c r="O325" s="6">
        <f>Arrivals!I325</f>
        <v>0.44451065164846637</v>
      </c>
      <c r="P325" s="6">
        <f t="shared" si="123"/>
        <v>2352.6045106516485</v>
      </c>
      <c r="Q325" s="6">
        <f t="shared" si="124"/>
        <v>1803.6045106516485</v>
      </c>
      <c r="R325" s="6">
        <f t="shared" si="125"/>
        <v>1779.1399999999999</v>
      </c>
      <c r="S325" s="6">
        <f t="shared" si="126"/>
        <v>0</v>
      </c>
      <c r="T325" s="6">
        <f t="shared" si="127"/>
        <v>0</v>
      </c>
      <c r="U325" s="6">
        <f t="shared" si="128"/>
        <v>1779.1399999999999</v>
      </c>
      <c r="V325" s="6" t="str">
        <f>IF(MOD(C325-Settings!$B$32,Settings!$B$33)&lt;Settings!$B$30,"Up","Down")</f>
        <v>Up</v>
      </c>
      <c r="W325" s="6">
        <f>IF(OR(E325&gt;Settings!$B$30,Q325&gt;Settings!$B$37),0,1)</f>
        <v>0</v>
      </c>
      <c r="X325" s="6">
        <f>IF(AND(W325=1,Q325&lt;=Settings!$B$36),1,0)</f>
        <v>0</v>
      </c>
    </row>
    <row r="326" spans="1:24" x14ac:dyDescent="0.2">
      <c r="A326">
        <f>Arrivals!A326</f>
        <v>3</v>
      </c>
      <c r="B326">
        <f>Arrivals!B326</f>
        <v>81</v>
      </c>
      <c r="C326" s="6">
        <f>Arrivals!F326</f>
        <v>554</v>
      </c>
      <c r="D326" s="6">
        <f>Arrivals!K326</f>
        <v>300</v>
      </c>
      <c r="E326" s="6">
        <f>D326*8/ACE_Input!S86+ACE_Input!T86</f>
        <v>24.02</v>
      </c>
      <c r="F326" s="6">
        <f t="shared" si="118"/>
        <v>554</v>
      </c>
      <c r="G326" s="6">
        <f t="shared" si="129"/>
        <v>2352.16</v>
      </c>
      <c r="H326" s="6">
        <f t="shared" si="119"/>
        <v>2352.16</v>
      </c>
      <c r="I326" s="6">
        <f>MOD(H326-Settings!$B$32,Settings!$B$33)</f>
        <v>192.15999999999985</v>
      </c>
      <c r="J326" s="6">
        <f>IF(I326&lt;Settings!$B$30,IF(Settings!$B$30-I326&gt;=E326,H326,H326+(Settings!$B$30-I326)+Settings!$B$31),H326+(Settings!$B$33-I326))</f>
        <v>2352.16</v>
      </c>
      <c r="K326" s="6">
        <f t="shared" si="120"/>
        <v>2376.1799999999998</v>
      </c>
      <c r="L326" s="6">
        <f t="shared" si="121"/>
        <v>2376.1799999999998</v>
      </c>
      <c r="M326" s="6">
        <f t="shared" si="130"/>
        <v>2352.6045106516485</v>
      </c>
      <c r="N326" s="6">
        <f t="shared" si="122"/>
        <v>2376.1799999999998</v>
      </c>
      <c r="O326" s="6">
        <f>Arrivals!I326</f>
        <v>4.6147936085157006</v>
      </c>
      <c r="P326" s="6">
        <f t="shared" si="123"/>
        <v>2380.7947936085156</v>
      </c>
      <c r="Q326" s="6">
        <f t="shared" si="124"/>
        <v>1826.7947936085156</v>
      </c>
      <c r="R326" s="6">
        <f t="shared" si="125"/>
        <v>1798.1599999999999</v>
      </c>
      <c r="S326" s="6">
        <f t="shared" si="126"/>
        <v>0</v>
      </c>
      <c r="T326" s="6">
        <f t="shared" si="127"/>
        <v>0</v>
      </c>
      <c r="U326" s="6">
        <f t="shared" si="128"/>
        <v>1798.1599999999999</v>
      </c>
      <c r="V326" s="6" t="str">
        <f>IF(MOD(C326-Settings!$B$32,Settings!$B$33)&lt;Settings!$B$30,"Up","Down")</f>
        <v>Up</v>
      </c>
      <c r="W326" s="6">
        <f>IF(OR(E326&gt;Settings!$B$30,Q326&gt;Settings!$B$37),0,1)</f>
        <v>0</v>
      </c>
      <c r="X326" s="6">
        <f>IF(AND(W326=1,Q326&lt;=Settings!$B$36),1,0)</f>
        <v>0</v>
      </c>
    </row>
    <row r="327" spans="1:24" x14ac:dyDescent="0.2">
      <c r="A327">
        <f>Arrivals!A327</f>
        <v>3</v>
      </c>
      <c r="B327">
        <f>Arrivals!B327</f>
        <v>82</v>
      </c>
      <c r="C327" s="6">
        <f>Arrivals!F327</f>
        <v>559</v>
      </c>
      <c r="D327" s="6">
        <f>Arrivals!K327</f>
        <v>300</v>
      </c>
      <c r="E327" s="6">
        <f>D327*8/ACE_Input!S87+ACE_Input!T87</f>
        <v>24.02</v>
      </c>
      <c r="F327" s="6">
        <f t="shared" si="118"/>
        <v>559</v>
      </c>
      <c r="G327" s="6">
        <f t="shared" si="129"/>
        <v>2376.1799999999998</v>
      </c>
      <c r="H327" s="6">
        <f t="shared" si="119"/>
        <v>2376.1799999999998</v>
      </c>
      <c r="I327" s="6">
        <f>MOD(H327-Settings!$B$32,Settings!$B$33)</f>
        <v>216.17999999999984</v>
      </c>
      <c r="J327" s="6">
        <f>IF(I327&lt;Settings!$B$30,IF(Settings!$B$30-I327&gt;=E327,H327,H327+(Settings!$B$30-I327)+Settings!$B$31),H327+(Settings!$B$33-I327))</f>
        <v>2376.1799999999998</v>
      </c>
      <c r="K327" s="6">
        <f t="shared" si="120"/>
        <v>2400.1999999999998</v>
      </c>
      <c r="L327" s="6">
        <f t="shared" si="121"/>
        <v>2400.1999999999998</v>
      </c>
      <c r="M327" s="6">
        <f t="shared" si="130"/>
        <v>2380.7947936085156</v>
      </c>
      <c r="N327" s="6">
        <f t="shared" si="122"/>
        <v>2400.1999999999998</v>
      </c>
      <c r="O327" s="6">
        <f>Arrivals!I327</f>
        <v>10.712330556891031</v>
      </c>
      <c r="P327" s="6">
        <f t="shared" si="123"/>
        <v>2410.912330556891</v>
      </c>
      <c r="Q327" s="6">
        <f t="shared" si="124"/>
        <v>1851.912330556891</v>
      </c>
      <c r="R327" s="6">
        <f t="shared" si="125"/>
        <v>1817.1799999999998</v>
      </c>
      <c r="S327" s="6">
        <f t="shared" si="126"/>
        <v>0</v>
      </c>
      <c r="T327" s="6">
        <f t="shared" si="127"/>
        <v>0</v>
      </c>
      <c r="U327" s="6">
        <f t="shared" si="128"/>
        <v>1817.1799999999998</v>
      </c>
      <c r="V327" s="6" t="str">
        <f>IF(MOD(C327-Settings!$B$32,Settings!$B$33)&lt;Settings!$B$30,"Up","Down")</f>
        <v>Up</v>
      </c>
      <c r="W327" s="6">
        <f>IF(OR(E327&gt;Settings!$B$30,Q327&gt;Settings!$B$37),0,1)</f>
        <v>0</v>
      </c>
      <c r="X327" s="6">
        <f>IF(AND(W327=1,Q327&lt;=Settings!$B$36),1,0)</f>
        <v>0</v>
      </c>
    </row>
    <row r="328" spans="1:24" x14ac:dyDescent="0.2">
      <c r="A328">
        <f>Arrivals!A328</f>
        <v>3</v>
      </c>
      <c r="B328">
        <f>Arrivals!B328</f>
        <v>83</v>
      </c>
      <c r="C328" s="6">
        <f>Arrivals!F328</f>
        <v>564</v>
      </c>
      <c r="D328" s="6">
        <f>Arrivals!K328</f>
        <v>300</v>
      </c>
      <c r="E328" s="6">
        <f>D328*8/ACE_Input!S88+ACE_Input!T88</f>
        <v>24.02</v>
      </c>
      <c r="F328" s="6">
        <f t="shared" si="118"/>
        <v>564</v>
      </c>
      <c r="G328" s="6">
        <f t="shared" si="129"/>
        <v>2400.1999999999998</v>
      </c>
      <c r="H328" s="6">
        <f t="shared" si="119"/>
        <v>2400.1999999999998</v>
      </c>
      <c r="I328" s="6">
        <f>MOD(H328-Settings!$B$32,Settings!$B$33)</f>
        <v>240.19999999999982</v>
      </c>
      <c r="J328" s="6">
        <f>IF(I328&lt;Settings!$B$30,IF(Settings!$B$30-I328&gt;=E328,H328,H328+(Settings!$B$30-I328)+Settings!$B$31),H328+(Settings!$B$33-I328))</f>
        <v>2400.1999999999998</v>
      </c>
      <c r="K328" s="6">
        <f t="shared" si="120"/>
        <v>2424.2199999999998</v>
      </c>
      <c r="L328" s="6">
        <f t="shared" si="121"/>
        <v>2424.2199999999998</v>
      </c>
      <c r="M328" s="6">
        <f t="shared" si="130"/>
        <v>2410.912330556891</v>
      </c>
      <c r="N328" s="6">
        <f t="shared" si="122"/>
        <v>2424.2199999999998</v>
      </c>
      <c r="O328" s="6">
        <f>Arrivals!I328</f>
        <v>2.3731734299985097</v>
      </c>
      <c r="P328" s="6">
        <f t="shared" si="123"/>
        <v>2426.5931734299984</v>
      </c>
      <c r="Q328" s="6">
        <f t="shared" si="124"/>
        <v>1862.5931734299984</v>
      </c>
      <c r="R328" s="6">
        <f t="shared" si="125"/>
        <v>1836.1999999999998</v>
      </c>
      <c r="S328" s="6">
        <f t="shared" si="126"/>
        <v>0</v>
      </c>
      <c r="T328" s="6">
        <f t="shared" si="127"/>
        <v>0</v>
      </c>
      <c r="U328" s="6">
        <f t="shared" si="128"/>
        <v>1836.1999999999998</v>
      </c>
      <c r="V328" s="6" t="str">
        <f>IF(MOD(C328-Settings!$B$32,Settings!$B$33)&lt;Settings!$B$30,"Up","Down")</f>
        <v>Up</v>
      </c>
      <c r="W328" s="6">
        <f>IF(OR(E328&gt;Settings!$B$30,Q328&gt;Settings!$B$37),0,1)</f>
        <v>0</v>
      </c>
      <c r="X328" s="6">
        <f>IF(AND(W328=1,Q328&lt;=Settings!$B$36),1,0)</f>
        <v>0</v>
      </c>
    </row>
    <row r="329" spans="1:24" x14ac:dyDescent="0.2">
      <c r="A329">
        <f>Arrivals!A329</f>
        <v>3</v>
      </c>
      <c r="B329">
        <f>Arrivals!B329</f>
        <v>84</v>
      </c>
      <c r="C329" s="6">
        <f>Arrivals!F329</f>
        <v>569</v>
      </c>
      <c r="D329" s="6">
        <f>Arrivals!K329</f>
        <v>300</v>
      </c>
      <c r="E329" s="6">
        <f>D329*8/ACE_Input!S89+ACE_Input!T89</f>
        <v>24.02</v>
      </c>
      <c r="F329" s="6">
        <f t="shared" si="118"/>
        <v>569</v>
      </c>
      <c r="G329" s="6">
        <f t="shared" si="129"/>
        <v>2424.2199999999998</v>
      </c>
      <c r="H329" s="6">
        <f t="shared" si="119"/>
        <v>2424.2199999999998</v>
      </c>
      <c r="I329" s="6">
        <f>MOD(H329-Settings!$B$32,Settings!$B$33)</f>
        <v>264.2199999999998</v>
      </c>
      <c r="J329" s="6">
        <f>IF(I329&lt;Settings!$B$30,IF(Settings!$B$30-I329&gt;=E329,H329,H329+(Settings!$B$30-I329)+Settings!$B$31),H329+(Settings!$B$33-I329))</f>
        <v>2424.2199999999998</v>
      </c>
      <c r="K329" s="6">
        <f t="shared" si="120"/>
        <v>2448.2399999999998</v>
      </c>
      <c r="L329" s="6">
        <f t="shared" si="121"/>
        <v>2448.2399999999998</v>
      </c>
      <c r="M329" s="6">
        <f t="shared" si="130"/>
        <v>2426.5931734299984</v>
      </c>
      <c r="N329" s="6">
        <f t="shared" si="122"/>
        <v>2448.2399999999998</v>
      </c>
      <c r="O329" s="6">
        <f>Arrivals!I329</f>
        <v>0.22069961271486557</v>
      </c>
      <c r="P329" s="6">
        <f t="shared" si="123"/>
        <v>2448.4606996127145</v>
      </c>
      <c r="Q329" s="6">
        <f t="shared" si="124"/>
        <v>1879.4606996127145</v>
      </c>
      <c r="R329" s="6">
        <f t="shared" si="125"/>
        <v>1855.2199999999998</v>
      </c>
      <c r="S329" s="6">
        <f t="shared" si="126"/>
        <v>0</v>
      </c>
      <c r="T329" s="6">
        <f t="shared" si="127"/>
        <v>0</v>
      </c>
      <c r="U329" s="6">
        <f t="shared" si="128"/>
        <v>1855.2199999999998</v>
      </c>
      <c r="V329" s="6" t="str">
        <f>IF(MOD(C329-Settings!$B$32,Settings!$B$33)&lt;Settings!$B$30,"Up","Down")</f>
        <v>Up</v>
      </c>
      <c r="W329" s="6">
        <f>IF(OR(E329&gt;Settings!$B$30,Q329&gt;Settings!$B$37),0,1)</f>
        <v>0</v>
      </c>
      <c r="X329" s="6">
        <f>IF(AND(W329=1,Q329&lt;=Settings!$B$36),1,0)</f>
        <v>0</v>
      </c>
    </row>
    <row r="330" spans="1:24" x14ac:dyDescent="0.2">
      <c r="A330">
        <f>Arrivals!A330</f>
        <v>3</v>
      </c>
      <c r="B330">
        <f>Arrivals!B330</f>
        <v>85</v>
      </c>
      <c r="C330" s="6">
        <f>Arrivals!F330</f>
        <v>574</v>
      </c>
      <c r="D330" s="6">
        <f>Arrivals!K330</f>
        <v>300</v>
      </c>
      <c r="E330" s="6">
        <f>D330*8/ACE_Input!S90+ACE_Input!T90</f>
        <v>24.02</v>
      </c>
      <c r="F330" s="6">
        <f t="shared" si="118"/>
        <v>574</v>
      </c>
      <c r="G330" s="6">
        <f t="shared" si="129"/>
        <v>2448.2399999999998</v>
      </c>
      <c r="H330" s="6">
        <f t="shared" si="119"/>
        <v>2448.2399999999998</v>
      </c>
      <c r="I330" s="6">
        <f>MOD(H330-Settings!$B$32,Settings!$B$33)</f>
        <v>288.23999999999978</v>
      </c>
      <c r="J330" s="6">
        <f>IF(I330&lt;Settings!$B$30,IF(Settings!$B$30-I330&gt;=E330,H330,H330+(Settings!$B$30-I330)+Settings!$B$31),H330+(Settings!$B$33-I330))</f>
        <v>2448.2399999999998</v>
      </c>
      <c r="K330" s="6">
        <f t="shared" si="120"/>
        <v>2472.2599999999998</v>
      </c>
      <c r="L330" s="6">
        <f t="shared" si="121"/>
        <v>2472.2599999999998</v>
      </c>
      <c r="M330" s="6">
        <f t="shared" si="130"/>
        <v>2448.4606996127145</v>
      </c>
      <c r="N330" s="6">
        <f t="shared" si="122"/>
        <v>2472.2599999999998</v>
      </c>
      <c r="O330" s="6">
        <f>Arrivals!I330</f>
        <v>0.92349658231954468</v>
      </c>
      <c r="P330" s="6">
        <f t="shared" si="123"/>
        <v>2473.1834965823191</v>
      </c>
      <c r="Q330" s="6">
        <f t="shared" si="124"/>
        <v>1899.1834965823191</v>
      </c>
      <c r="R330" s="6">
        <f t="shared" si="125"/>
        <v>1874.2399999999998</v>
      </c>
      <c r="S330" s="6">
        <f t="shared" si="126"/>
        <v>0</v>
      </c>
      <c r="T330" s="6">
        <f t="shared" si="127"/>
        <v>0</v>
      </c>
      <c r="U330" s="6">
        <f t="shared" si="128"/>
        <v>1874.2399999999998</v>
      </c>
      <c r="V330" s="6" t="str">
        <f>IF(MOD(C330-Settings!$B$32,Settings!$B$33)&lt;Settings!$B$30,"Up","Down")</f>
        <v>Up</v>
      </c>
      <c r="W330" s="6">
        <f>IF(OR(E330&gt;Settings!$B$30,Q330&gt;Settings!$B$37),0,1)</f>
        <v>0</v>
      </c>
      <c r="X330" s="6">
        <f>IF(AND(W330=1,Q330&lt;=Settings!$B$36),1,0)</f>
        <v>0</v>
      </c>
    </row>
    <row r="331" spans="1:24" x14ac:dyDescent="0.2">
      <c r="A331">
        <f>Arrivals!A331</f>
        <v>3</v>
      </c>
      <c r="B331">
        <f>Arrivals!B331</f>
        <v>86</v>
      </c>
      <c r="C331" s="6">
        <f>Arrivals!F331</f>
        <v>579</v>
      </c>
      <c r="D331" s="6">
        <f>Arrivals!K331</f>
        <v>300</v>
      </c>
      <c r="E331" s="6">
        <f>D331*8/ACE_Input!S91+ACE_Input!T91</f>
        <v>24.02</v>
      </c>
      <c r="F331" s="6">
        <f t="shared" si="118"/>
        <v>579</v>
      </c>
      <c r="G331" s="6">
        <f t="shared" si="129"/>
        <v>2472.2599999999998</v>
      </c>
      <c r="H331" s="6">
        <f t="shared" si="119"/>
        <v>2472.2599999999998</v>
      </c>
      <c r="I331" s="6">
        <f>MOD(H331-Settings!$B$32,Settings!$B$33)</f>
        <v>312.25999999999976</v>
      </c>
      <c r="J331" s="6">
        <f>IF(I331&lt;Settings!$B$30,IF(Settings!$B$30-I331&gt;=E331,H331,H331+(Settings!$B$30-I331)+Settings!$B$31),H331+(Settings!$B$33-I331))</f>
        <v>2472.2599999999998</v>
      </c>
      <c r="K331" s="6">
        <f t="shared" si="120"/>
        <v>2496.2799999999997</v>
      </c>
      <c r="L331" s="6">
        <f t="shared" si="121"/>
        <v>2496.2799999999997</v>
      </c>
      <c r="M331" s="6">
        <f t="shared" si="130"/>
        <v>2473.1834965823191</v>
      </c>
      <c r="N331" s="6">
        <f t="shared" si="122"/>
        <v>2496.2799999999997</v>
      </c>
      <c r="O331" s="6">
        <f>Arrivals!I331</f>
        <v>11.371564146625692</v>
      </c>
      <c r="P331" s="6">
        <f t="shared" si="123"/>
        <v>2507.6515641466253</v>
      </c>
      <c r="Q331" s="6">
        <f t="shared" si="124"/>
        <v>1928.6515641466253</v>
      </c>
      <c r="R331" s="6">
        <f t="shared" si="125"/>
        <v>1893.2599999999998</v>
      </c>
      <c r="S331" s="6">
        <f t="shared" si="126"/>
        <v>0</v>
      </c>
      <c r="T331" s="6">
        <f t="shared" si="127"/>
        <v>0</v>
      </c>
      <c r="U331" s="6">
        <f t="shared" si="128"/>
        <v>1893.2599999999998</v>
      </c>
      <c r="V331" s="6" t="str">
        <f>IF(MOD(C331-Settings!$B$32,Settings!$B$33)&lt;Settings!$B$30,"Up","Down")</f>
        <v>Up</v>
      </c>
      <c r="W331" s="6">
        <f>IF(OR(E331&gt;Settings!$B$30,Q331&gt;Settings!$B$37),0,1)</f>
        <v>0</v>
      </c>
      <c r="X331" s="6">
        <f>IF(AND(W331=1,Q331&lt;=Settings!$B$36),1,0)</f>
        <v>0</v>
      </c>
    </row>
    <row r="332" spans="1:24" x14ac:dyDescent="0.2">
      <c r="A332">
        <f>Arrivals!A332</f>
        <v>3</v>
      </c>
      <c r="B332">
        <f>Arrivals!B332</f>
        <v>87</v>
      </c>
      <c r="C332" s="6">
        <f>Arrivals!F332</f>
        <v>584</v>
      </c>
      <c r="D332" s="6">
        <f>Arrivals!K332</f>
        <v>300</v>
      </c>
      <c r="E332" s="6">
        <f>D332*8/ACE_Input!S92+ACE_Input!T92</f>
        <v>24.02</v>
      </c>
      <c r="F332" s="6">
        <f t="shared" si="118"/>
        <v>584</v>
      </c>
      <c r="G332" s="6">
        <f t="shared" si="129"/>
        <v>2496.2799999999997</v>
      </c>
      <c r="H332" s="6">
        <f t="shared" si="119"/>
        <v>2496.2799999999997</v>
      </c>
      <c r="I332" s="6">
        <f>MOD(H332-Settings!$B$32,Settings!$B$33)</f>
        <v>336.27999999999975</v>
      </c>
      <c r="J332" s="6">
        <f>IF(I332&lt;Settings!$B$30,IF(Settings!$B$30-I332&gt;=E332,H332,H332+(Settings!$B$30-I332)+Settings!$B$31),H332+(Settings!$B$33-I332))</f>
        <v>2496.2799999999997</v>
      </c>
      <c r="K332" s="6">
        <f t="shared" si="120"/>
        <v>2520.2999999999997</v>
      </c>
      <c r="L332" s="6">
        <f t="shared" si="121"/>
        <v>2520.2999999999997</v>
      </c>
      <c r="M332" s="6">
        <f t="shared" si="130"/>
        <v>2507.6515641466253</v>
      </c>
      <c r="N332" s="6">
        <f t="shared" si="122"/>
        <v>2520.2999999999997</v>
      </c>
      <c r="O332" s="6">
        <f>Arrivals!I332</f>
        <v>8.3054737031162613</v>
      </c>
      <c r="P332" s="6">
        <f t="shared" si="123"/>
        <v>2528.6054737031159</v>
      </c>
      <c r="Q332" s="6">
        <f t="shared" si="124"/>
        <v>1944.6054737031159</v>
      </c>
      <c r="R332" s="6">
        <f t="shared" si="125"/>
        <v>1912.2799999999997</v>
      </c>
      <c r="S332" s="6">
        <f t="shared" si="126"/>
        <v>0</v>
      </c>
      <c r="T332" s="6">
        <f t="shared" si="127"/>
        <v>0</v>
      </c>
      <c r="U332" s="6">
        <f t="shared" si="128"/>
        <v>1912.2799999999997</v>
      </c>
      <c r="V332" s="6" t="str">
        <f>IF(MOD(C332-Settings!$B$32,Settings!$B$33)&lt;Settings!$B$30,"Up","Down")</f>
        <v>Up</v>
      </c>
      <c r="W332" s="6">
        <f>IF(OR(E332&gt;Settings!$B$30,Q332&gt;Settings!$B$37),0,1)</f>
        <v>0</v>
      </c>
      <c r="X332" s="6">
        <f>IF(AND(W332=1,Q332&lt;=Settings!$B$36),1,0)</f>
        <v>0</v>
      </c>
    </row>
    <row r="333" spans="1:24" x14ac:dyDescent="0.2">
      <c r="A333">
        <f>Arrivals!A333</f>
        <v>3</v>
      </c>
      <c r="B333">
        <f>Arrivals!B333</f>
        <v>88</v>
      </c>
      <c r="C333" s="6">
        <f>Arrivals!F333</f>
        <v>589</v>
      </c>
      <c r="D333" s="6">
        <f>Arrivals!K333</f>
        <v>300</v>
      </c>
      <c r="E333" s="6">
        <f>D333*8/ACE_Input!S93+ACE_Input!T93</f>
        <v>24.02</v>
      </c>
      <c r="F333" s="6">
        <f t="shared" si="118"/>
        <v>589</v>
      </c>
      <c r="G333" s="6">
        <f t="shared" si="129"/>
        <v>2520.2999999999997</v>
      </c>
      <c r="H333" s="6">
        <f t="shared" si="119"/>
        <v>2520.2999999999997</v>
      </c>
      <c r="I333" s="6">
        <f>MOD(H333-Settings!$B$32,Settings!$B$33)</f>
        <v>360.29999999999973</v>
      </c>
      <c r="J333" s="6">
        <f>IF(I333&lt;Settings!$B$30,IF(Settings!$B$30-I333&gt;=E333,H333,H333+(Settings!$B$30-I333)+Settings!$B$31),H333+(Settings!$B$33-I333))</f>
        <v>2520.2999999999997</v>
      </c>
      <c r="K333" s="6">
        <f t="shared" si="120"/>
        <v>2544.3199999999997</v>
      </c>
      <c r="L333" s="6">
        <f t="shared" si="121"/>
        <v>2544.3199999999997</v>
      </c>
      <c r="M333" s="6">
        <f t="shared" si="130"/>
        <v>2528.6054737031159</v>
      </c>
      <c r="N333" s="6">
        <f t="shared" si="122"/>
        <v>2544.3199999999997</v>
      </c>
      <c r="O333" s="6">
        <f>Arrivals!I333</f>
        <v>4.3015806581901233</v>
      </c>
      <c r="P333" s="6">
        <f t="shared" si="123"/>
        <v>2548.6215806581899</v>
      </c>
      <c r="Q333" s="6">
        <f t="shared" si="124"/>
        <v>1959.6215806581899</v>
      </c>
      <c r="R333" s="6">
        <f t="shared" si="125"/>
        <v>1931.2999999999997</v>
      </c>
      <c r="S333" s="6">
        <f t="shared" si="126"/>
        <v>0</v>
      </c>
      <c r="T333" s="6">
        <f t="shared" si="127"/>
        <v>0</v>
      </c>
      <c r="U333" s="6">
        <f t="shared" si="128"/>
        <v>1931.2999999999997</v>
      </c>
      <c r="V333" s="6" t="str">
        <f>IF(MOD(C333-Settings!$B$32,Settings!$B$33)&lt;Settings!$B$30,"Up","Down")</f>
        <v>Up</v>
      </c>
      <c r="W333" s="6">
        <f>IF(OR(E333&gt;Settings!$B$30,Q333&gt;Settings!$B$37),0,1)</f>
        <v>0</v>
      </c>
      <c r="X333" s="6">
        <f>IF(AND(W333=1,Q333&lt;=Settings!$B$36),1,0)</f>
        <v>0</v>
      </c>
    </row>
    <row r="334" spans="1:24" x14ac:dyDescent="0.2">
      <c r="A334">
        <f>Arrivals!A334</f>
        <v>3</v>
      </c>
      <c r="B334">
        <f>Arrivals!B334</f>
        <v>89</v>
      </c>
      <c r="C334" s="6">
        <f>Arrivals!F334</f>
        <v>594</v>
      </c>
      <c r="D334" s="6">
        <f>Arrivals!K334</f>
        <v>300</v>
      </c>
      <c r="E334" s="6">
        <f>D334*8/ACE_Input!S94+ACE_Input!T94</f>
        <v>24.02</v>
      </c>
      <c r="F334" s="6">
        <f t="shared" si="118"/>
        <v>594</v>
      </c>
      <c r="G334" s="6">
        <f t="shared" si="129"/>
        <v>2544.3199999999997</v>
      </c>
      <c r="H334" s="6">
        <f t="shared" si="119"/>
        <v>2544.3199999999997</v>
      </c>
      <c r="I334" s="6">
        <f>MOD(H334-Settings!$B$32,Settings!$B$33)</f>
        <v>384.31999999999971</v>
      </c>
      <c r="J334" s="6">
        <f>IF(I334&lt;Settings!$B$30,IF(Settings!$B$30-I334&gt;=E334,H334,H334+(Settings!$B$30-I334)+Settings!$B$31),H334+(Settings!$B$33-I334))</f>
        <v>2544.3199999999997</v>
      </c>
      <c r="K334" s="6">
        <f t="shared" si="120"/>
        <v>2568.3399999999997</v>
      </c>
      <c r="L334" s="6">
        <f t="shared" si="121"/>
        <v>2568.3399999999997</v>
      </c>
      <c r="M334" s="6">
        <f t="shared" si="130"/>
        <v>2548.6215806581899</v>
      </c>
      <c r="N334" s="6">
        <f t="shared" si="122"/>
        <v>2568.3399999999997</v>
      </c>
      <c r="O334" s="6">
        <f>Arrivals!I334</f>
        <v>0.31149295443166686</v>
      </c>
      <c r="P334" s="6">
        <f t="shared" si="123"/>
        <v>2568.6514929544314</v>
      </c>
      <c r="Q334" s="6">
        <f t="shared" si="124"/>
        <v>1974.6514929544314</v>
      </c>
      <c r="R334" s="6">
        <f t="shared" si="125"/>
        <v>1950.3199999999997</v>
      </c>
      <c r="S334" s="6">
        <f t="shared" si="126"/>
        <v>0</v>
      </c>
      <c r="T334" s="6">
        <f t="shared" si="127"/>
        <v>0</v>
      </c>
      <c r="U334" s="6">
        <f t="shared" si="128"/>
        <v>1950.3199999999997</v>
      </c>
      <c r="V334" s="6" t="str">
        <f>IF(MOD(C334-Settings!$B$32,Settings!$B$33)&lt;Settings!$B$30,"Up","Down")</f>
        <v>Up</v>
      </c>
      <c r="W334" s="6">
        <f>IF(OR(E334&gt;Settings!$B$30,Q334&gt;Settings!$B$37),0,1)</f>
        <v>0</v>
      </c>
      <c r="X334" s="6">
        <f>IF(AND(W334=1,Q334&lt;=Settings!$B$36),1,0)</f>
        <v>0</v>
      </c>
    </row>
    <row r="335" spans="1:24" x14ac:dyDescent="0.2">
      <c r="A335">
        <f>Arrivals!A335</f>
        <v>3</v>
      </c>
      <c r="B335">
        <f>Arrivals!B335</f>
        <v>90</v>
      </c>
      <c r="C335" s="6">
        <f>Arrivals!F335</f>
        <v>599</v>
      </c>
      <c r="D335" s="6">
        <f>Arrivals!K335</f>
        <v>300</v>
      </c>
      <c r="E335" s="6">
        <f>D335*8/ACE_Input!S95+ACE_Input!T95</f>
        <v>24.02</v>
      </c>
      <c r="F335" s="6">
        <f t="shared" si="118"/>
        <v>599</v>
      </c>
      <c r="G335" s="6">
        <f t="shared" si="129"/>
        <v>2568.3399999999997</v>
      </c>
      <c r="H335" s="6">
        <f t="shared" si="119"/>
        <v>2568.3399999999997</v>
      </c>
      <c r="I335" s="6">
        <f>MOD(H335-Settings!$B$32,Settings!$B$33)</f>
        <v>408.33999999999969</v>
      </c>
      <c r="J335" s="6">
        <f>IF(I335&lt;Settings!$B$30,IF(Settings!$B$30-I335&gt;=E335,H335,H335+(Settings!$B$30-I335)+Settings!$B$31),H335+(Settings!$B$33-I335))</f>
        <v>2568.3399999999997</v>
      </c>
      <c r="K335" s="6">
        <f t="shared" si="120"/>
        <v>2592.3599999999997</v>
      </c>
      <c r="L335" s="6">
        <f t="shared" si="121"/>
        <v>2592.3599999999997</v>
      </c>
      <c r="M335" s="6">
        <f t="shared" si="130"/>
        <v>2568.6514929544314</v>
      </c>
      <c r="N335" s="6">
        <f t="shared" si="122"/>
        <v>2592.3599999999997</v>
      </c>
      <c r="O335" s="6">
        <f>Arrivals!I335</f>
        <v>0.66016444838568544</v>
      </c>
      <c r="P335" s="6">
        <f t="shared" si="123"/>
        <v>2593.0201644483855</v>
      </c>
      <c r="Q335" s="6">
        <f t="shared" si="124"/>
        <v>1994.0201644483855</v>
      </c>
      <c r="R335" s="6">
        <f t="shared" si="125"/>
        <v>1969.3399999999997</v>
      </c>
      <c r="S335" s="6">
        <f t="shared" si="126"/>
        <v>0</v>
      </c>
      <c r="T335" s="6">
        <f t="shared" si="127"/>
        <v>0</v>
      </c>
      <c r="U335" s="6">
        <f t="shared" si="128"/>
        <v>1969.3399999999997</v>
      </c>
      <c r="V335" s="6" t="str">
        <f>IF(MOD(C335-Settings!$B$32,Settings!$B$33)&lt;Settings!$B$30,"Up","Down")</f>
        <v>Up</v>
      </c>
      <c r="W335" s="6">
        <f>IF(OR(E335&gt;Settings!$B$30,Q335&gt;Settings!$B$37),0,1)</f>
        <v>0</v>
      </c>
      <c r="X335" s="6">
        <f>IF(AND(W335=1,Q335&lt;=Settings!$B$36),1,0)</f>
        <v>0</v>
      </c>
    </row>
    <row r="336" spans="1:24" x14ac:dyDescent="0.2">
      <c r="A336">
        <f>Arrivals!A336</f>
        <v>3</v>
      </c>
      <c r="B336">
        <f>Arrivals!B336</f>
        <v>91</v>
      </c>
      <c r="C336" s="6">
        <f>Arrivals!F336</f>
        <v>604</v>
      </c>
      <c r="D336" s="6">
        <f>Arrivals!K336</f>
        <v>300</v>
      </c>
      <c r="E336" s="6">
        <f>D336*8/ACE_Input!S96+ACE_Input!T96</f>
        <v>24.02</v>
      </c>
      <c r="F336" s="6">
        <f t="shared" si="118"/>
        <v>604</v>
      </c>
      <c r="G336" s="6">
        <f t="shared" si="129"/>
        <v>2592.3599999999997</v>
      </c>
      <c r="H336" s="6">
        <f t="shared" si="119"/>
        <v>2592.3599999999997</v>
      </c>
      <c r="I336" s="6">
        <f>MOD(H336-Settings!$B$32,Settings!$B$33)</f>
        <v>432.35999999999967</v>
      </c>
      <c r="J336" s="6">
        <f>IF(I336&lt;Settings!$B$30,IF(Settings!$B$30-I336&gt;=E336,H336,H336+(Settings!$B$30-I336)+Settings!$B$31),H336+(Settings!$B$33-I336))</f>
        <v>2592.3599999999997</v>
      </c>
      <c r="K336" s="6">
        <f t="shared" si="120"/>
        <v>2616.3799999999997</v>
      </c>
      <c r="L336" s="6">
        <f t="shared" si="121"/>
        <v>2616.3799999999997</v>
      </c>
      <c r="M336" s="6">
        <f t="shared" si="130"/>
        <v>2593.0201644483855</v>
      </c>
      <c r="N336" s="6">
        <f t="shared" si="122"/>
        <v>2616.3799999999997</v>
      </c>
      <c r="O336" s="6">
        <f>Arrivals!I336</f>
        <v>0.14820526597143657</v>
      </c>
      <c r="P336" s="6">
        <f t="shared" si="123"/>
        <v>2616.5282052659709</v>
      </c>
      <c r="Q336" s="6">
        <f t="shared" si="124"/>
        <v>2012.5282052659709</v>
      </c>
      <c r="R336" s="6">
        <f t="shared" si="125"/>
        <v>1988.3599999999997</v>
      </c>
      <c r="S336" s="6">
        <f t="shared" si="126"/>
        <v>0</v>
      </c>
      <c r="T336" s="6">
        <f t="shared" si="127"/>
        <v>0</v>
      </c>
      <c r="U336" s="6">
        <f t="shared" si="128"/>
        <v>1988.3599999999997</v>
      </c>
      <c r="V336" s="6" t="str">
        <f>IF(MOD(C336-Settings!$B$32,Settings!$B$33)&lt;Settings!$B$30,"Up","Down")</f>
        <v>Down</v>
      </c>
      <c r="W336" s="6">
        <f>IF(OR(E336&gt;Settings!$B$30,Q336&gt;Settings!$B$37),0,1)</f>
        <v>0</v>
      </c>
      <c r="X336" s="6">
        <f>IF(AND(W336=1,Q336&lt;=Settings!$B$36),1,0)</f>
        <v>0</v>
      </c>
    </row>
    <row r="337" spans="1:24" x14ac:dyDescent="0.2">
      <c r="A337">
        <f>Arrivals!A337</f>
        <v>3</v>
      </c>
      <c r="B337">
        <f>Arrivals!B337</f>
        <v>92</v>
      </c>
      <c r="C337" s="6">
        <f>Arrivals!F337</f>
        <v>609</v>
      </c>
      <c r="D337" s="6">
        <f>Arrivals!K337</f>
        <v>300</v>
      </c>
      <c r="E337" s="6">
        <f>D337*8/ACE_Input!S97+ACE_Input!T97</f>
        <v>24.02</v>
      </c>
      <c r="F337" s="6">
        <f t="shared" si="118"/>
        <v>609</v>
      </c>
      <c r="G337" s="6">
        <f t="shared" si="129"/>
        <v>2616.3799999999997</v>
      </c>
      <c r="H337" s="6">
        <f t="shared" si="119"/>
        <v>2616.3799999999997</v>
      </c>
      <c r="I337" s="6">
        <f>MOD(H337-Settings!$B$32,Settings!$B$33)</f>
        <v>456.37999999999965</v>
      </c>
      <c r="J337" s="6">
        <f>IF(I337&lt;Settings!$B$30,IF(Settings!$B$30-I337&gt;=E337,H337,H337+(Settings!$B$30-I337)+Settings!$B$31),H337+(Settings!$B$33-I337))</f>
        <v>2616.3799999999997</v>
      </c>
      <c r="K337" s="6">
        <f t="shared" si="120"/>
        <v>2640.3999999999996</v>
      </c>
      <c r="L337" s="6">
        <f t="shared" si="121"/>
        <v>2640.3999999999996</v>
      </c>
      <c r="M337" s="6">
        <f t="shared" si="130"/>
        <v>2616.5282052659709</v>
      </c>
      <c r="N337" s="6">
        <f t="shared" si="122"/>
        <v>2640.3999999999996</v>
      </c>
      <c r="O337" s="6">
        <f>Arrivals!I337</f>
        <v>1.5799983703718903</v>
      </c>
      <c r="P337" s="6">
        <f t="shared" si="123"/>
        <v>2641.9799983703715</v>
      </c>
      <c r="Q337" s="6">
        <f t="shared" si="124"/>
        <v>2032.9799983703715</v>
      </c>
      <c r="R337" s="6">
        <f t="shared" si="125"/>
        <v>2007.3799999999997</v>
      </c>
      <c r="S337" s="6">
        <f t="shared" si="126"/>
        <v>0</v>
      </c>
      <c r="T337" s="6">
        <f t="shared" si="127"/>
        <v>0</v>
      </c>
      <c r="U337" s="6">
        <f t="shared" si="128"/>
        <v>2007.3799999999997</v>
      </c>
      <c r="V337" s="6" t="str">
        <f>IF(MOD(C337-Settings!$B$32,Settings!$B$33)&lt;Settings!$B$30,"Up","Down")</f>
        <v>Down</v>
      </c>
      <c r="W337" s="6">
        <f>IF(OR(E337&gt;Settings!$B$30,Q337&gt;Settings!$B$37),0,1)</f>
        <v>0</v>
      </c>
      <c r="X337" s="6">
        <f>IF(AND(W337=1,Q337&lt;=Settings!$B$36),1,0)</f>
        <v>0</v>
      </c>
    </row>
    <row r="338" spans="1:24" x14ac:dyDescent="0.2">
      <c r="A338">
        <f>Arrivals!A338</f>
        <v>3</v>
      </c>
      <c r="B338">
        <f>Arrivals!B338</f>
        <v>93</v>
      </c>
      <c r="C338" s="6">
        <f>Arrivals!F338</f>
        <v>614</v>
      </c>
      <c r="D338" s="6">
        <f>Arrivals!K338</f>
        <v>300</v>
      </c>
      <c r="E338" s="6">
        <f>D338*8/ACE_Input!S98+ACE_Input!T98</f>
        <v>24.02</v>
      </c>
      <c r="F338" s="6">
        <f t="shared" si="118"/>
        <v>614</v>
      </c>
      <c r="G338" s="6">
        <f t="shared" si="129"/>
        <v>2640.3999999999996</v>
      </c>
      <c r="H338" s="6">
        <f t="shared" si="119"/>
        <v>2640.3999999999996</v>
      </c>
      <c r="I338" s="6">
        <f>MOD(H338-Settings!$B$32,Settings!$B$33)</f>
        <v>480.39999999999964</v>
      </c>
      <c r="J338" s="6">
        <f>IF(I338&lt;Settings!$B$30,IF(Settings!$B$30-I338&gt;=E338,H338,H338+(Settings!$B$30-I338)+Settings!$B$31),H338+(Settings!$B$33-I338))</f>
        <v>2640.3999999999996</v>
      </c>
      <c r="K338" s="6">
        <f t="shared" si="120"/>
        <v>2664.4199999999996</v>
      </c>
      <c r="L338" s="6">
        <f t="shared" si="121"/>
        <v>2664.4199999999996</v>
      </c>
      <c r="M338" s="6">
        <f t="shared" si="130"/>
        <v>2641.9799983703715</v>
      </c>
      <c r="N338" s="6">
        <f t="shared" si="122"/>
        <v>2664.4199999999996</v>
      </c>
      <c r="O338" s="6">
        <f>Arrivals!I338</f>
        <v>2.4276391246390121</v>
      </c>
      <c r="P338" s="6">
        <f t="shared" si="123"/>
        <v>2666.8476391246386</v>
      </c>
      <c r="Q338" s="6">
        <f t="shared" si="124"/>
        <v>2052.8476391246386</v>
      </c>
      <c r="R338" s="6">
        <f t="shared" si="125"/>
        <v>2026.3999999999996</v>
      </c>
      <c r="S338" s="6">
        <f t="shared" si="126"/>
        <v>0</v>
      </c>
      <c r="T338" s="6">
        <f t="shared" si="127"/>
        <v>0</v>
      </c>
      <c r="U338" s="6">
        <f t="shared" si="128"/>
        <v>2026.3999999999996</v>
      </c>
      <c r="V338" s="6" t="str">
        <f>IF(MOD(C338-Settings!$B$32,Settings!$B$33)&lt;Settings!$B$30,"Up","Down")</f>
        <v>Down</v>
      </c>
      <c r="W338" s="6">
        <f>IF(OR(E338&gt;Settings!$B$30,Q338&gt;Settings!$B$37),0,1)</f>
        <v>0</v>
      </c>
      <c r="X338" s="6">
        <f>IF(AND(W338=1,Q338&lt;=Settings!$B$36),1,0)</f>
        <v>0</v>
      </c>
    </row>
    <row r="339" spans="1:24" x14ac:dyDescent="0.2">
      <c r="A339">
        <f>Arrivals!A339</f>
        <v>3</v>
      </c>
      <c r="B339">
        <f>Arrivals!B339</f>
        <v>94</v>
      </c>
      <c r="C339" s="6">
        <f>Arrivals!F339</f>
        <v>619</v>
      </c>
      <c r="D339" s="6">
        <f>Arrivals!K339</f>
        <v>300</v>
      </c>
      <c r="E339" s="6">
        <f>D339*8/ACE_Input!S99+ACE_Input!T99</f>
        <v>24.02</v>
      </c>
      <c r="F339" s="6">
        <f t="shared" si="118"/>
        <v>619</v>
      </c>
      <c r="G339" s="6">
        <f t="shared" si="129"/>
        <v>2664.4199999999996</v>
      </c>
      <c r="H339" s="6">
        <f t="shared" si="119"/>
        <v>2664.4199999999996</v>
      </c>
      <c r="I339" s="6">
        <f>MOD(H339-Settings!$B$32,Settings!$B$33)</f>
        <v>504.41999999999962</v>
      </c>
      <c r="J339" s="6">
        <f>IF(I339&lt;Settings!$B$30,IF(Settings!$B$30-I339&gt;=E339,H339,H339+(Settings!$B$30-I339)+Settings!$B$31),H339+(Settings!$B$33-I339))</f>
        <v>2664.4199999999996</v>
      </c>
      <c r="K339" s="6">
        <f t="shared" si="120"/>
        <v>2688.4399999999996</v>
      </c>
      <c r="L339" s="6">
        <f t="shared" si="121"/>
        <v>2688.4399999999996</v>
      </c>
      <c r="M339" s="6">
        <f t="shared" si="130"/>
        <v>2666.8476391246386</v>
      </c>
      <c r="N339" s="6">
        <f t="shared" si="122"/>
        <v>2688.4399999999996</v>
      </c>
      <c r="O339" s="6">
        <f>Arrivals!I339</f>
        <v>4.065701727105278</v>
      </c>
      <c r="P339" s="6">
        <f t="shared" si="123"/>
        <v>2692.5057017271047</v>
      </c>
      <c r="Q339" s="6">
        <f t="shared" si="124"/>
        <v>2073.5057017271047</v>
      </c>
      <c r="R339" s="6">
        <f t="shared" si="125"/>
        <v>2045.4199999999996</v>
      </c>
      <c r="S339" s="6">
        <f t="shared" si="126"/>
        <v>0</v>
      </c>
      <c r="T339" s="6">
        <f t="shared" si="127"/>
        <v>0</v>
      </c>
      <c r="U339" s="6">
        <f t="shared" si="128"/>
        <v>2045.4199999999996</v>
      </c>
      <c r="V339" s="6" t="str">
        <f>IF(MOD(C339-Settings!$B$32,Settings!$B$33)&lt;Settings!$B$30,"Up","Down")</f>
        <v>Down</v>
      </c>
      <c r="W339" s="6">
        <f>IF(OR(E339&gt;Settings!$B$30,Q339&gt;Settings!$B$37),0,1)</f>
        <v>0</v>
      </c>
      <c r="X339" s="6">
        <f>IF(AND(W339=1,Q339&lt;=Settings!$B$36),1,0)</f>
        <v>0</v>
      </c>
    </row>
    <row r="340" spans="1:24" x14ac:dyDescent="0.2">
      <c r="A340">
        <f>Arrivals!A340</f>
        <v>3</v>
      </c>
      <c r="B340">
        <f>Arrivals!B340</f>
        <v>95</v>
      </c>
      <c r="C340" s="6">
        <f>Arrivals!F340</f>
        <v>624</v>
      </c>
      <c r="D340" s="6">
        <f>Arrivals!K340</f>
        <v>300</v>
      </c>
      <c r="E340" s="6">
        <f>D340*8/ACE_Input!S100+ACE_Input!T100</f>
        <v>24.02</v>
      </c>
      <c r="F340" s="6">
        <f t="shared" si="118"/>
        <v>624</v>
      </c>
      <c r="G340" s="6">
        <f t="shared" si="129"/>
        <v>2688.4399999999996</v>
      </c>
      <c r="H340" s="6">
        <f t="shared" si="119"/>
        <v>2688.4399999999996</v>
      </c>
      <c r="I340" s="6">
        <f>MOD(H340-Settings!$B$32,Settings!$B$33)</f>
        <v>528.4399999999996</v>
      </c>
      <c r="J340" s="6">
        <f>IF(I340&lt;Settings!$B$30,IF(Settings!$B$30-I340&gt;=E340,H340,H340+(Settings!$B$30-I340)+Settings!$B$31),H340+(Settings!$B$33-I340))</f>
        <v>2688.4399999999996</v>
      </c>
      <c r="K340" s="6">
        <f t="shared" si="120"/>
        <v>2712.4599999999996</v>
      </c>
      <c r="L340" s="6">
        <f t="shared" si="121"/>
        <v>2712.4599999999996</v>
      </c>
      <c r="M340" s="6">
        <f t="shared" si="130"/>
        <v>2692.5057017271047</v>
      </c>
      <c r="N340" s="6">
        <f t="shared" si="122"/>
        <v>2712.4599999999996</v>
      </c>
      <c r="O340" s="6">
        <f>Arrivals!I340</f>
        <v>6.0263679104179513</v>
      </c>
      <c r="P340" s="6">
        <f t="shared" si="123"/>
        <v>2718.4863679104174</v>
      </c>
      <c r="Q340" s="6">
        <f t="shared" si="124"/>
        <v>2094.4863679104174</v>
      </c>
      <c r="R340" s="6">
        <f t="shared" si="125"/>
        <v>2064.4399999999996</v>
      </c>
      <c r="S340" s="6">
        <f t="shared" si="126"/>
        <v>0</v>
      </c>
      <c r="T340" s="6">
        <f t="shared" si="127"/>
        <v>0</v>
      </c>
      <c r="U340" s="6">
        <f t="shared" si="128"/>
        <v>2064.4399999999996</v>
      </c>
      <c r="V340" s="6" t="str">
        <f>IF(MOD(C340-Settings!$B$32,Settings!$B$33)&lt;Settings!$B$30,"Up","Down")</f>
        <v>Down</v>
      </c>
      <c r="W340" s="6">
        <f>IF(OR(E340&gt;Settings!$B$30,Q340&gt;Settings!$B$37),0,1)</f>
        <v>0</v>
      </c>
      <c r="X340" s="6">
        <f>IF(AND(W340=1,Q340&lt;=Settings!$B$36),1,0)</f>
        <v>0</v>
      </c>
    </row>
    <row r="341" spans="1:24" x14ac:dyDescent="0.2">
      <c r="A341">
        <f>Arrivals!A341</f>
        <v>3</v>
      </c>
      <c r="B341">
        <f>Arrivals!B341</f>
        <v>96</v>
      </c>
      <c r="C341" s="6">
        <f>Arrivals!F341</f>
        <v>629</v>
      </c>
      <c r="D341" s="6">
        <f>Arrivals!K341</f>
        <v>300</v>
      </c>
      <c r="E341" s="6">
        <f>D341*8/ACE_Input!S101+ACE_Input!T101</f>
        <v>24.02</v>
      </c>
      <c r="F341" s="6">
        <f t="shared" si="118"/>
        <v>629</v>
      </c>
      <c r="G341" s="6">
        <f t="shared" si="129"/>
        <v>2712.4599999999996</v>
      </c>
      <c r="H341" s="6">
        <f t="shared" si="119"/>
        <v>2712.4599999999996</v>
      </c>
      <c r="I341" s="6">
        <f>MOD(H341-Settings!$B$32,Settings!$B$33)</f>
        <v>552.45999999999958</v>
      </c>
      <c r="J341" s="6">
        <f>IF(I341&lt;Settings!$B$30,IF(Settings!$B$30-I341&gt;=E341,H341,H341+(Settings!$B$30-I341)+Settings!$B$31),H341+(Settings!$B$33-I341))</f>
        <v>2712.4599999999996</v>
      </c>
      <c r="K341" s="6">
        <f t="shared" si="120"/>
        <v>2736.4799999999996</v>
      </c>
      <c r="L341" s="6">
        <f t="shared" si="121"/>
        <v>2736.4799999999996</v>
      </c>
      <c r="M341" s="6">
        <f t="shared" si="130"/>
        <v>2718.4863679104174</v>
      </c>
      <c r="N341" s="6">
        <f t="shared" si="122"/>
        <v>2736.4799999999996</v>
      </c>
      <c r="O341" s="6">
        <f>Arrivals!I341</f>
        <v>2.7011734793312989</v>
      </c>
      <c r="P341" s="6">
        <f t="shared" si="123"/>
        <v>2739.1811734793309</v>
      </c>
      <c r="Q341" s="6">
        <f t="shared" si="124"/>
        <v>2110.1811734793309</v>
      </c>
      <c r="R341" s="6">
        <f t="shared" si="125"/>
        <v>2083.4599999999996</v>
      </c>
      <c r="S341" s="6">
        <f t="shared" si="126"/>
        <v>0</v>
      </c>
      <c r="T341" s="6">
        <f t="shared" si="127"/>
        <v>0</v>
      </c>
      <c r="U341" s="6">
        <f t="shared" si="128"/>
        <v>2083.4599999999996</v>
      </c>
      <c r="V341" s="6" t="str">
        <f>IF(MOD(C341-Settings!$B$32,Settings!$B$33)&lt;Settings!$B$30,"Up","Down")</f>
        <v>Down</v>
      </c>
      <c r="W341" s="6">
        <f>IF(OR(E341&gt;Settings!$B$30,Q341&gt;Settings!$B$37),0,1)</f>
        <v>0</v>
      </c>
      <c r="X341" s="6">
        <f>IF(AND(W341=1,Q341&lt;=Settings!$B$36),1,0)</f>
        <v>0</v>
      </c>
    </row>
    <row r="342" spans="1:24" x14ac:dyDescent="0.2">
      <c r="A342">
        <f>Arrivals!A342</f>
        <v>3</v>
      </c>
      <c r="B342">
        <f>Arrivals!B342</f>
        <v>97</v>
      </c>
      <c r="C342" s="6">
        <f>Arrivals!F342</f>
        <v>634</v>
      </c>
      <c r="D342" s="6">
        <f>Arrivals!K342</f>
        <v>300</v>
      </c>
      <c r="E342" s="6">
        <f>D342*8/ACE_Input!S102+ACE_Input!T102</f>
        <v>24.02</v>
      </c>
      <c r="F342" s="6">
        <f t="shared" si="118"/>
        <v>634</v>
      </c>
      <c r="G342" s="6">
        <f t="shared" si="129"/>
        <v>2736.4799999999996</v>
      </c>
      <c r="H342" s="6">
        <f t="shared" ref="H342:H345" si="131">MAX(F342,G342)</f>
        <v>2736.4799999999996</v>
      </c>
      <c r="I342" s="6">
        <f>MOD(H342-Settings!$B$32,Settings!$B$33)</f>
        <v>576.47999999999956</v>
      </c>
      <c r="J342" s="6">
        <f>IF(I342&lt;Settings!$B$30,IF(Settings!$B$30-I342&gt;=E342,H342,H342+(Settings!$B$30-I342)+Settings!$B$31),H342+(Settings!$B$33-I342))</f>
        <v>2880</v>
      </c>
      <c r="K342" s="6">
        <f t="shared" ref="K342:K345" si="132">J342+E342</f>
        <v>2904.02</v>
      </c>
      <c r="L342" s="6">
        <f t="shared" ref="L342:L345" si="133">K342</f>
        <v>2904.02</v>
      </c>
      <c r="M342" s="6">
        <f t="shared" si="130"/>
        <v>2739.1811734793309</v>
      </c>
      <c r="N342" s="6">
        <f t="shared" ref="N342:N345" si="134">MAX(L342,M342)</f>
        <v>2904.02</v>
      </c>
      <c r="O342" s="6">
        <f>Arrivals!I342</f>
        <v>0.50293904754573759</v>
      </c>
      <c r="P342" s="6">
        <f t="shared" ref="P342:P345" si="135">N342+O342</f>
        <v>2904.5229390475456</v>
      </c>
      <c r="Q342" s="6">
        <f t="shared" ref="Q342:Q345" si="136">P342-C342</f>
        <v>2270.5229390475456</v>
      </c>
      <c r="R342" s="6">
        <f t="shared" si="125"/>
        <v>2102.4799999999996</v>
      </c>
      <c r="S342" s="6">
        <f t="shared" si="126"/>
        <v>143.52000000000044</v>
      </c>
      <c r="T342" s="6">
        <f t="shared" si="127"/>
        <v>0</v>
      </c>
      <c r="U342" s="6">
        <f t="shared" ref="U342:U345" si="137">R342+S342+T342</f>
        <v>2246</v>
      </c>
      <c r="V342" s="6" t="str">
        <f>IF(MOD(C342-Settings!$B$32,Settings!$B$33)&lt;Settings!$B$30,"Up","Down")</f>
        <v>Down</v>
      </c>
      <c r="W342" s="6">
        <f>IF(OR(E342&gt;Settings!$B$30,Q342&gt;Settings!$B$37),0,1)</f>
        <v>0</v>
      </c>
      <c r="X342" s="6">
        <f>IF(AND(W342=1,Q342&lt;=Settings!$B$36),1,0)</f>
        <v>0</v>
      </c>
    </row>
    <row r="343" spans="1:24" x14ac:dyDescent="0.2">
      <c r="A343">
        <f>Arrivals!A343</f>
        <v>3</v>
      </c>
      <c r="B343">
        <f>Arrivals!B343</f>
        <v>98</v>
      </c>
      <c r="C343" s="6">
        <f>Arrivals!F343</f>
        <v>639</v>
      </c>
      <c r="D343" s="6">
        <f>Arrivals!K343</f>
        <v>300</v>
      </c>
      <c r="E343" s="6">
        <f>D343*8/ACE_Input!S103+ACE_Input!T103</f>
        <v>24.02</v>
      </c>
      <c r="F343" s="6">
        <f t="shared" si="118"/>
        <v>639</v>
      </c>
      <c r="G343" s="6">
        <f t="shared" si="129"/>
        <v>2904.02</v>
      </c>
      <c r="H343" s="6">
        <f t="shared" si="131"/>
        <v>2904.02</v>
      </c>
      <c r="I343" s="6">
        <f>MOD(H343-Settings!$B$32,Settings!$B$33)</f>
        <v>24.019999999999982</v>
      </c>
      <c r="J343" s="6">
        <f>IF(I343&lt;Settings!$B$30,IF(Settings!$B$30-I343&gt;=E343,H343,H343+(Settings!$B$30-I343)+Settings!$B$31),H343+(Settings!$B$33-I343))</f>
        <v>2904.02</v>
      </c>
      <c r="K343" s="6">
        <f t="shared" si="132"/>
        <v>2928.04</v>
      </c>
      <c r="L343" s="6">
        <f t="shared" si="133"/>
        <v>2928.04</v>
      </c>
      <c r="M343" s="6">
        <f t="shared" si="130"/>
        <v>2904.5229390475456</v>
      </c>
      <c r="N343" s="6">
        <f t="shared" si="134"/>
        <v>2928.04</v>
      </c>
      <c r="O343" s="6">
        <f>Arrivals!I343</f>
        <v>5.8550515724069196</v>
      </c>
      <c r="P343" s="6">
        <f t="shared" si="135"/>
        <v>2933.8950515724068</v>
      </c>
      <c r="Q343" s="6">
        <f t="shared" si="136"/>
        <v>2294.8950515724068</v>
      </c>
      <c r="R343" s="6">
        <f t="shared" si="125"/>
        <v>2265.02</v>
      </c>
      <c r="S343" s="6">
        <f t="shared" si="126"/>
        <v>0</v>
      </c>
      <c r="T343" s="6">
        <f t="shared" si="127"/>
        <v>0</v>
      </c>
      <c r="U343" s="6">
        <f t="shared" si="137"/>
        <v>2265.02</v>
      </c>
      <c r="V343" s="6" t="str">
        <f>IF(MOD(C343-Settings!$B$32,Settings!$B$33)&lt;Settings!$B$30,"Up","Down")</f>
        <v>Down</v>
      </c>
      <c r="W343" s="6">
        <f>IF(OR(E343&gt;Settings!$B$30,Q343&gt;Settings!$B$37),0,1)</f>
        <v>0</v>
      </c>
      <c r="X343" s="6">
        <f>IF(AND(W343=1,Q343&lt;=Settings!$B$36),1,0)</f>
        <v>0</v>
      </c>
    </row>
    <row r="344" spans="1:24" x14ac:dyDescent="0.2">
      <c r="A344">
        <f>Arrivals!A344</f>
        <v>3</v>
      </c>
      <c r="B344">
        <f>Arrivals!B344</f>
        <v>99</v>
      </c>
      <c r="C344" s="6">
        <f>Arrivals!F344</f>
        <v>684</v>
      </c>
      <c r="D344" s="6">
        <f>Arrivals!K344</f>
        <v>300</v>
      </c>
      <c r="E344" s="6">
        <f>D344*8/ACE_Input!S104+ACE_Input!T104</f>
        <v>24.02</v>
      </c>
      <c r="F344" s="6">
        <f t="shared" si="118"/>
        <v>684</v>
      </c>
      <c r="G344" s="6">
        <f t="shared" si="129"/>
        <v>2928.04</v>
      </c>
      <c r="H344" s="6">
        <f t="shared" si="131"/>
        <v>2928.04</v>
      </c>
      <c r="I344" s="6">
        <f>MOD(H344-Settings!$B$32,Settings!$B$33)</f>
        <v>48.039999999999964</v>
      </c>
      <c r="J344" s="6">
        <f>IF(I344&lt;Settings!$B$30,IF(Settings!$B$30-I344&gt;=E344,H344,H344+(Settings!$B$30-I344)+Settings!$B$31),H344+(Settings!$B$33-I344))</f>
        <v>2928.04</v>
      </c>
      <c r="K344" s="6">
        <f t="shared" si="132"/>
        <v>2952.06</v>
      </c>
      <c r="L344" s="6">
        <f t="shared" si="133"/>
        <v>2952.06</v>
      </c>
      <c r="M344" s="6">
        <f t="shared" si="130"/>
        <v>2933.8950515724068</v>
      </c>
      <c r="N344" s="6">
        <f t="shared" si="134"/>
        <v>2952.06</v>
      </c>
      <c r="O344" s="6">
        <f>Arrivals!I344</f>
        <v>2.4992460007680242</v>
      </c>
      <c r="P344" s="6">
        <f t="shared" si="135"/>
        <v>2954.5592460007679</v>
      </c>
      <c r="Q344" s="6">
        <f t="shared" si="136"/>
        <v>2270.5592460007679</v>
      </c>
      <c r="R344" s="6">
        <f t="shared" si="125"/>
        <v>2244.04</v>
      </c>
      <c r="S344" s="6">
        <f t="shared" si="126"/>
        <v>0</v>
      </c>
      <c r="T344" s="6">
        <f t="shared" si="127"/>
        <v>0</v>
      </c>
      <c r="U344" s="6">
        <f t="shared" si="137"/>
        <v>2244.04</v>
      </c>
      <c r="V344" s="6" t="str">
        <f>IF(MOD(C344-Settings!$B$32,Settings!$B$33)&lt;Settings!$B$30,"Up","Down")</f>
        <v>Down</v>
      </c>
      <c r="W344" s="6">
        <f>IF(OR(E344&gt;Settings!$B$30,Q344&gt;Settings!$B$37),0,1)</f>
        <v>0</v>
      </c>
      <c r="X344" s="6">
        <f>IF(AND(W344=1,Q344&lt;=Settings!$B$36),1,0)</f>
        <v>0</v>
      </c>
    </row>
    <row r="345" spans="1:24" x14ac:dyDescent="0.2">
      <c r="A345">
        <f>Arrivals!A345</f>
        <v>3</v>
      </c>
      <c r="B345">
        <f>Arrivals!B345</f>
        <v>100</v>
      </c>
      <c r="C345" s="6">
        <f>Arrivals!F345</f>
        <v>689</v>
      </c>
      <c r="D345" s="6">
        <f>Arrivals!K345</f>
        <v>300</v>
      </c>
      <c r="E345" s="6">
        <f>D345*8/ACE_Input!S105+ACE_Input!T105</f>
        <v>24.02</v>
      </c>
      <c r="F345" s="6">
        <f t="shared" si="118"/>
        <v>689</v>
      </c>
      <c r="G345" s="6">
        <f t="shared" si="129"/>
        <v>2952.06</v>
      </c>
      <c r="H345" s="6">
        <f t="shared" si="131"/>
        <v>2952.06</v>
      </c>
      <c r="I345" s="6">
        <f>MOD(H345-Settings!$B$32,Settings!$B$33)</f>
        <v>72.059999999999945</v>
      </c>
      <c r="J345" s="6">
        <f>IF(I345&lt;Settings!$B$30,IF(Settings!$B$30-I345&gt;=E345,H345,H345+(Settings!$B$30-I345)+Settings!$B$31),H345+(Settings!$B$33-I345))</f>
        <v>2952.06</v>
      </c>
      <c r="K345" s="6">
        <f t="shared" si="132"/>
        <v>2976.08</v>
      </c>
      <c r="L345" s="6">
        <f t="shared" si="133"/>
        <v>2976.08</v>
      </c>
      <c r="M345" s="6">
        <f t="shared" si="130"/>
        <v>2954.5592460007679</v>
      </c>
      <c r="N345" s="6">
        <f t="shared" si="134"/>
        <v>2976.08</v>
      </c>
      <c r="O345" s="6">
        <f>Arrivals!I345</f>
        <v>0.72244697236534017</v>
      </c>
      <c r="P345" s="6">
        <f t="shared" si="135"/>
        <v>2976.8024469723655</v>
      </c>
      <c r="Q345" s="6">
        <f t="shared" si="136"/>
        <v>2287.8024469723655</v>
      </c>
      <c r="R345" s="6">
        <f t="shared" si="125"/>
        <v>2263.06</v>
      </c>
      <c r="S345" s="6">
        <f t="shared" si="126"/>
        <v>0</v>
      </c>
      <c r="T345" s="6">
        <f t="shared" si="127"/>
        <v>0</v>
      </c>
      <c r="U345" s="6">
        <f t="shared" si="137"/>
        <v>2263.06</v>
      </c>
      <c r="V345" s="6" t="str">
        <f>IF(MOD(C345-Settings!$B$32,Settings!$B$33)&lt;Settings!$B$30,"Up","Down")</f>
        <v>Down</v>
      </c>
      <c r="W345" s="6">
        <f>IF(OR(E345&gt;Settings!$B$30,Q345&gt;Settings!$B$37),0,1)</f>
        <v>0</v>
      </c>
      <c r="X345" s="6">
        <f>IF(AND(W345=1,Q345&lt;=Settings!$B$36),1,0)</f>
        <v>0</v>
      </c>
    </row>
    <row r="346" spans="1:24" x14ac:dyDescent="0.2">
      <c r="C346" s="6"/>
      <c r="D346" s="6"/>
      <c r="E346" s="6"/>
      <c r="F346" s="6"/>
      <c r="G346" s="6"/>
      <c r="H346" s="6"/>
      <c r="I346" s="6"/>
      <c r="J346" s="6"/>
      <c r="K346" s="6"/>
      <c r="L346" s="6"/>
      <c r="M346" s="6"/>
      <c r="N346" s="6"/>
      <c r="O346" s="6"/>
      <c r="P346" s="6"/>
      <c r="Q346" s="6"/>
      <c r="R346" s="6"/>
      <c r="S346" s="6"/>
      <c r="T346" s="6"/>
      <c r="U346" s="6"/>
      <c r="V346" s="6"/>
      <c r="W346" s="6"/>
      <c r="X346" s="6"/>
    </row>
    <row r="347" spans="1:24" x14ac:dyDescent="0.2">
      <c r="C347" s="6"/>
      <c r="D347" s="6"/>
      <c r="E347" s="6"/>
      <c r="F347" s="6"/>
      <c r="G347" s="6"/>
      <c r="H347" s="6"/>
      <c r="I347" s="6"/>
      <c r="J347" s="6"/>
      <c r="K347" s="6"/>
      <c r="L347" s="6"/>
      <c r="M347" s="6"/>
      <c r="N347" s="6"/>
      <c r="O347" s="6"/>
      <c r="P347" s="6"/>
      <c r="Q347" s="6"/>
      <c r="R347" s="6"/>
      <c r="S347" s="6"/>
      <c r="T347" s="6"/>
      <c r="U347" s="6"/>
      <c r="V347" s="6"/>
      <c r="W347" s="6"/>
      <c r="X347" s="6"/>
    </row>
    <row r="348" spans="1:24" x14ac:dyDescent="0.2">
      <c r="C348" s="6"/>
      <c r="D348" s="6"/>
      <c r="E348" s="6"/>
      <c r="F348" s="6"/>
      <c r="G348" s="6"/>
      <c r="H348" s="6"/>
      <c r="I348" s="6"/>
      <c r="J348" s="6"/>
      <c r="K348" s="6"/>
      <c r="L348" s="6"/>
      <c r="M348" s="6"/>
      <c r="N348" s="6"/>
      <c r="O348" s="6"/>
      <c r="P348" s="6"/>
      <c r="Q348" s="6"/>
      <c r="R348" s="6"/>
      <c r="S348" s="6"/>
      <c r="T348" s="6"/>
      <c r="U348" s="6"/>
      <c r="V348" s="6"/>
      <c r="W348" s="6"/>
      <c r="X348" s="6"/>
    </row>
    <row r="349" spans="1:24" x14ac:dyDescent="0.2">
      <c r="C349" s="6"/>
      <c r="D349" s="6"/>
      <c r="E349" s="6"/>
      <c r="F349" s="6"/>
      <c r="G349" s="6"/>
      <c r="H349" s="6"/>
      <c r="I349" s="6"/>
      <c r="J349" s="6"/>
      <c r="K349" s="6"/>
      <c r="L349" s="6"/>
      <c r="M349" s="6"/>
      <c r="N349" s="6"/>
      <c r="O349" s="6"/>
      <c r="P349" s="6"/>
      <c r="Q349" s="6"/>
      <c r="R349" s="6"/>
      <c r="S349" s="6"/>
      <c r="T349" s="6"/>
      <c r="U349" s="6"/>
      <c r="V349" s="6"/>
      <c r="W349" s="6"/>
      <c r="X349" s="6"/>
    </row>
    <row r="350" spans="1:24" x14ac:dyDescent="0.2">
      <c r="C350" s="6"/>
      <c r="D350" s="6"/>
      <c r="E350" s="6"/>
      <c r="F350" s="6"/>
      <c r="G350" s="6"/>
      <c r="H350" s="6"/>
      <c r="I350" s="6"/>
      <c r="J350" s="6"/>
      <c r="K350" s="6"/>
      <c r="L350" s="6"/>
      <c r="M350" s="6"/>
      <c r="N350" s="6"/>
      <c r="O350" s="6"/>
      <c r="P350" s="6"/>
      <c r="Q350" s="6"/>
      <c r="R350" s="6"/>
      <c r="S350" s="6"/>
      <c r="T350" s="6"/>
      <c r="U350" s="6"/>
      <c r="V350" s="6"/>
      <c r="W350" s="6"/>
      <c r="X350" s="6"/>
    </row>
    <row r="351" spans="1:24" x14ac:dyDescent="0.2">
      <c r="C351" s="6"/>
      <c r="D351" s="6"/>
      <c r="E351" s="6"/>
      <c r="F351" s="6"/>
      <c r="G351" s="6"/>
      <c r="H351" s="6"/>
      <c r="I351" s="6"/>
      <c r="J351" s="6"/>
      <c r="K351" s="6"/>
      <c r="L351" s="6"/>
      <c r="M351" s="6"/>
      <c r="N351" s="6"/>
      <c r="O351" s="6"/>
      <c r="P351" s="6"/>
      <c r="Q351" s="6"/>
      <c r="R351" s="6"/>
      <c r="S351" s="6"/>
      <c r="T351" s="6"/>
      <c r="U351" s="6"/>
      <c r="V351" s="6"/>
      <c r="W351" s="6"/>
      <c r="X351" s="6"/>
    </row>
    <row r="352" spans="1:24" x14ac:dyDescent="0.2">
      <c r="C352" s="6"/>
      <c r="D352" s="6"/>
      <c r="E352" s="6"/>
      <c r="F352" s="6"/>
      <c r="G352" s="6"/>
      <c r="H352" s="6"/>
      <c r="I352" s="6"/>
      <c r="J352" s="6"/>
      <c r="K352" s="6"/>
      <c r="L352" s="6"/>
      <c r="M352" s="6"/>
      <c r="N352" s="6"/>
      <c r="O352" s="6"/>
      <c r="P352" s="6"/>
      <c r="Q352" s="6"/>
      <c r="R352" s="6"/>
      <c r="S352" s="6"/>
      <c r="T352" s="6"/>
      <c r="U352" s="6"/>
      <c r="V352" s="6"/>
      <c r="W352" s="6"/>
      <c r="X352" s="6"/>
    </row>
    <row r="353" spans="1:24" x14ac:dyDescent="0.2">
      <c r="C353" s="6"/>
      <c r="D353" s="6"/>
      <c r="E353" s="6"/>
      <c r="F353" s="6"/>
      <c r="G353" s="6"/>
      <c r="H353" s="6"/>
      <c r="I353" s="6"/>
      <c r="J353" s="6"/>
      <c r="K353" s="6"/>
      <c r="L353" s="6"/>
      <c r="M353" s="6"/>
      <c r="N353" s="6"/>
      <c r="O353" s="6"/>
      <c r="P353" s="6"/>
      <c r="Q353" s="6"/>
      <c r="R353" s="6"/>
      <c r="S353" s="6"/>
      <c r="T353" s="6"/>
      <c r="U353" s="6"/>
      <c r="V353" s="6"/>
      <c r="W353" s="6"/>
      <c r="X353" s="6"/>
    </row>
    <row r="354" spans="1:24" x14ac:dyDescent="0.2">
      <c r="C354" s="6"/>
      <c r="D354" s="6"/>
      <c r="E354" s="6"/>
      <c r="F354" s="6"/>
      <c r="G354" s="6"/>
      <c r="H354" s="6"/>
      <c r="I354" s="6"/>
      <c r="J354" s="6"/>
      <c r="K354" s="6"/>
      <c r="L354" s="6"/>
      <c r="M354" s="6"/>
      <c r="N354" s="6"/>
      <c r="O354" s="6"/>
      <c r="P354" s="6"/>
      <c r="Q354" s="6"/>
      <c r="R354" s="6"/>
      <c r="S354" s="6"/>
      <c r="T354" s="6"/>
      <c r="U354" s="6"/>
      <c r="V354" s="6"/>
      <c r="W354" s="6"/>
      <c r="X354" s="6"/>
    </row>
    <row r="355" spans="1:24" x14ac:dyDescent="0.2">
      <c r="C355" s="6"/>
      <c r="D355" s="6"/>
      <c r="E355" s="6"/>
      <c r="F355" s="6"/>
      <c r="G355" s="6"/>
      <c r="H355" s="6"/>
      <c r="I355" s="6"/>
      <c r="J355" s="6"/>
      <c r="K355" s="6"/>
      <c r="L355" s="6"/>
      <c r="M355" s="6"/>
      <c r="N355" s="6"/>
      <c r="O355" s="6"/>
      <c r="P355" s="6"/>
      <c r="Q355" s="6"/>
      <c r="R355" s="6"/>
      <c r="S355" s="6"/>
      <c r="T355" s="6"/>
      <c r="U355" s="6"/>
      <c r="V355" s="6"/>
      <c r="W355" s="6"/>
      <c r="X355" s="6"/>
    </row>
    <row r="356" spans="1:24" x14ac:dyDescent="0.2">
      <c r="C356" s="6"/>
      <c r="D356" s="6"/>
      <c r="E356" s="6"/>
      <c r="F356" s="6"/>
      <c r="G356" s="6"/>
      <c r="H356" s="6"/>
      <c r="I356" s="6"/>
      <c r="J356" s="6"/>
      <c r="K356" s="6"/>
      <c r="L356" s="6"/>
      <c r="M356" s="6"/>
      <c r="N356" s="6"/>
      <c r="O356" s="6"/>
      <c r="P356" s="6"/>
      <c r="Q356" s="6"/>
      <c r="R356" s="6"/>
      <c r="S356" s="6"/>
      <c r="T356" s="6"/>
      <c r="U356" s="6"/>
      <c r="V356" s="6"/>
      <c r="W356" s="6"/>
      <c r="X356" s="6"/>
    </row>
    <row r="357" spans="1:24" x14ac:dyDescent="0.2">
      <c r="C357" s="6"/>
      <c r="D357" s="6"/>
      <c r="E357" s="6"/>
      <c r="F357" s="6"/>
      <c r="G357" s="6"/>
      <c r="H357" s="6"/>
      <c r="I357" s="6"/>
      <c r="J357" s="6"/>
      <c r="K357" s="6"/>
      <c r="L357" s="6"/>
      <c r="M357" s="6"/>
      <c r="N357" s="6"/>
      <c r="O357" s="6"/>
      <c r="P357" s="6"/>
      <c r="Q357" s="6"/>
      <c r="R357" s="6"/>
      <c r="S357" s="6"/>
      <c r="T357" s="6"/>
      <c r="U357" s="6"/>
      <c r="V357" s="6"/>
      <c r="W357" s="6"/>
      <c r="X357" s="6"/>
    </row>
    <row r="358" spans="1:24" x14ac:dyDescent="0.2">
      <c r="C358" s="6"/>
      <c r="D358" s="6"/>
      <c r="E358" s="6"/>
      <c r="F358" s="6"/>
      <c r="G358" s="6"/>
      <c r="H358" s="6"/>
      <c r="I358" s="6"/>
      <c r="J358" s="6"/>
      <c r="K358" s="6"/>
      <c r="L358" s="6"/>
      <c r="M358" s="6"/>
      <c r="N358" s="6"/>
      <c r="O358" s="6"/>
      <c r="P358" s="6"/>
      <c r="Q358" s="6"/>
      <c r="R358" s="6"/>
      <c r="S358" s="6"/>
      <c r="T358" s="6"/>
      <c r="U358" s="6"/>
      <c r="V358" s="6"/>
      <c r="W358" s="6"/>
      <c r="X358" s="6"/>
    </row>
    <row r="359" spans="1:24" x14ac:dyDescent="0.2">
      <c r="C359" s="6"/>
      <c r="D359" s="6"/>
      <c r="E359" s="6"/>
      <c r="F359" s="6"/>
      <c r="G359" s="6"/>
      <c r="H359" s="6"/>
      <c r="I359" s="6"/>
      <c r="J359" s="6"/>
      <c r="K359" s="6"/>
      <c r="L359" s="6"/>
      <c r="M359" s="6"/>
      <c r="N359" s="6"/>
      <c r="O359" s="6"/>
      <c r="P359" s="6"/>
      <c r="Q359" s="6"/>
      <c r="R359" s="6"/>
      <c r="S359" s="6"/>
      <c r="T359" s="6"/>
      <c r="U359" s="6"/>
      <c r="V359" s="6"/>
      <c r="W359" s="6"/>
      <c r="X359" s="6"/>
    </row>
    <row r="360" spans="1:24" x14ac:dyDescent="0.2">
      <c r="C360" s="6"/>
      <c r="D360" s="6"/>
      <c r="E360" s="6"/>
      <c r="F360" s="6"/>
      <c r="G360" s="6"/>
      <c r="H360" s="6"/>
      <c r="I360" s="6"/>
      <c r="J360" s="6"/>
      <c r="K360" s="6"/>
      <c r="L360" s="6"/>
      <c r="M360" s="6"/>
      <c r="N360" s="6"/>
      <c r="O360" s="6"/>
      <c r="P360" s="6"/>
      <c r="Q360" s="6"/>
      <c r="R360" s="6"/>
      <c r="S360" s="6"/>
      <c r="T360" s="6"/>
      <c r="U360" s="6"/>
      <c r="V360" s="6"/>
      <c r="W360" s="6"/>
      <c r="X360" s="6"/>
    </row>
    <row r="361" spans="1:24" x14ac:dyDescent="0.2">
      <c r="C361" s="6"/>
      <c r="D361" s="6"/>
      <c r="E361" s="6"/>
      <c r="F361" s="6"/>
      <c r="G361" s="6"/>
      <c r="H361" s="6"/>
      <c r="I361" s="6"/>
      <c r="J361" s="6"/>
      <c r="K361" s="6"/>
      <c r="L361" s="6"/>
      <c r="M361" s="6"/>
      <c r="N361" s="6"/>
      <c r="O361" s="6"/>
      <c r="P361" s="6"/>
      <c r="Q361" s="6"/>
      <c r="R361" s="6"/>
      <c r="S361" s="6"/>
      <c r="T361" s="6"/>
      <c r="U361" s="6"/>
      <c r="V361" s="6"/>
      <c r="W361" s="6"/>
      <c r="X361" s="6"/>
    </row>
    <row r="362" spans="1:24" x14ac:dyDescent="0.2">
      <c r="C362" s="6"/>
      <c r="D362" s="6"/>
      <c r="E362" s="6"/>
      <c r="F362" s="6"/>
      <c r="G362" s="6"/>
      <c r="H362" s="6"/>
      <c r="I362" s="6"/>
      <c r="J362" s="6"/>
      <c r="K362" s="6"/>
      <c r="L362" s="6"/>
      <c r="M362" s="6"/>
      <c r="N362" s="6"/>
      <c r="O362" s="6"/>
      <c r="P362" s="6"/>
      <c r="Q362" s="6"/>
      <c r="R362" s="6"/>
      <c r="S362" s="6"/>
      <c r="T362" s="6"/>
      <c r="U362" s="6"/>
      <c r="V362" s="6"/>
      <c r="W362" s="6"/>
      <c r="X362" s="6"/>
    </row>
    <row r="363" spans="1:24" x14ac:dyDescent="0.2">
      <c r="C363" s="6"/>
      <c r="D363" s="6"/>
      <c r="E363" s="6"/>
      <c r="F363" s="6"/>
      <c r="G363" s="6"/>
      <c r="H363" s="6"/>
      <c r="I363" s="6"/>
      <c r="J363" s="6"/>
      <c r="K363" s="6"/>
      <c r="L363" s="6"/>
      <c r="M363" s="6"/>
      <c r="N363" s="6"/>
      <c r="O363" s="6"/>
      <c r="P363" s="6"/>
      <c r="Q363" s="6"/>
      <c r="R363" s="6"/>
      <c r="S363" s="6"/>
      <c r="T363" s="6"/>
      <c r="U363" s="6"/>
      <c r="V363" s="6"/>
      <c r="W363" s="6"/>
      <c r="X363" s="6"/>
    </row>
    <row r="364" spans="1:24" x14ac:dyDescent="0.2">
      <c r="C364" s="6"/>
      <c r="D364" s="6"/>
      <c r="E364" s="6"/>
      <c r="F364" s="6"/>
      <c r="G364" s="6"/>
      <c r="H364" s="6"/>
      <c r="I364" s="6"/>
      <c r="J364" s="6"/>
      <c r="K364" s="6"/>
      <c r="L364" s="6"/>
      <c r="M364" s="6"/>
      <c r="N364" s="6"/>
      <c r="O364" s="6"/>
      <c r="P364" s="6"/>
      <c r="Q364" s="6"/>
      <c r="R364" s="6"/>
      <c r="S364" s="6"/>
      <c r="T364" s="6"/>
      <c r="U364" s="6"/>
      <c r="V364" s="6"/>
      <c r="W364" s="6"/>
      <c r="X364" s="6"/>
    </row>
    <row r="365" spans="1:24" x14ac:dyDescent="0.2">
      <c r="C365" s="6"/>
      <c r="D365" s="6"/>
      <c r="E365" s="6"/>
      <c r="F365" s="6"/>
      <c r="G365" s="6"/>
      <c r="H365" s="6"/>
      <c r="I365" s="6"/>
      <c r="J365" s="6"/>
      <c r="K365" s="6"/>
      <c r="L365" s="6"/>
      <c r="M365" s="6"/>
      <c r="N365" s="6"/>
      <c r="O365" s="6"/>
      <c r="P365" s="6"/>
      <c r="Q365" s="6"/>
      <c r="R365" s="6"/>
      <c r="S365" s="6"/>
      <c r="T365" s="6"/>
      <c r="U365" s="6"/>
      <c r="V365" s="6"/>
      <c r="W365" s="6"/>
      <c r="X365" s="6"/>
    </row>
    <row r="366" spans="1:24" x14ac:dyDescent="0.2">
      <c r="A366">
        <f>Arrivals!A366</f>
        <v>4</v>
      </c>
      <c r="B366">
        <f>Arrivals!B366</f>
        <v>1</v>
      </c>
      <c r="C366" s="6">
        <f>Arrivals!F366</f>
        <v>2</v>
      </c>
      <c r="D366" s="6">
        <f>Arrivals!K366</f>
        <v>300</v>
      </c>
      <c r="E366" s="6">
        <f>D366*8/ACE_Input!S6+ACE_Input!T6</f>
        <v>24.02</v>
      </c>
      <c r="F366" s="6">
        <f t="shared" ref="F366:F397" si="138">C366</f>
        <v>2</v>
      </c>
      <c r="G366" s="6">
        <f>0</f>
        <v>0</v>
      </c>
      <c r="H366" s="6">
        <f t="shared" ref="H366:H397" si="139">MAX(F366,G366)</f>
        <v>2</v>
      </c>
      <c r="I366" s="6">
        <f>MOD(H366-Settings!$B$32,Settings!$B$33)</f>
        <v>2</v>
      </c>
      <c r="J366" s="6">
        <f>IF(I366&lt;Settings!$B$30,IF(Settings!$B$30-I366&gt;=E366,H366,H366+(Settings!$B$30-I366)+Settings!$B$31),H366+(Settings!$B$33-I366))</f>
        <v>2</v>
      </c>
      <c r="K366" s="6">
        <f t="shared" ref="K366:K397" si="140">J366+E366</f>
        <v>26.02</v>
      </c>
      <c r="L366" s="6">
        <f t="shared" ref="L366:L397" si="141">K366</f>
        <v>26.02</v>
      </c>
      <c r="M366" s="6">
        <f>0</f>
        <v>0</v>
      </c>
      <c r="N366" s="6">
        <f t="shared" ref="N366:N397" si="142">MAX(L366,M366)</f>
        <v>26.02</v>
      </c>
      <c r="O366" s="6">
        <f>Arrivals!I366</f>
        <v>3.1371773532165412</v>
      </c>
      <c r="P366" s="6">
        <f t="shared" ref="P366:P397" si="143">N366+O366</f>
        <v>29.157177353216539</v>
      </c>
      <c r="Q366" s="6">
        <f t="shared" ref="Q366:Q397" si="144">P366-C366</f>
        <v>27.157177353216539</v>
      </c>
      <c r="R366" s="6">
        <f t="shared" ref="R366:R397" si="145">H366-F366</f>
        <v>0</v>
      </c>
      <c r="S366" s="6">
        <f t="shared" ref="S366:S397" si="146">J366-H366</f>
        <v>0</v>
      </c>
      <c r="T366" s="6">
        <f t="shared" ref="T366:T397" si="147">N366-L366</f>
        <v>0</v>
      </c>
      <c r="U366" s="6">
        <f t="shared" ref="U366:U397" si="148">R366+S366+T366</f>
        <v>0</v>
      </c>
      <c r="V366" s="6" t="str">
        <f>IF(MOD(C366-Settings!$B$32,Settings!$B$33)&lt;Settings!$B$30,"Up","Down")</f>
        <v>Up</v>
      </c>
      <c r="W366" s="6">
        <f>IF(OR(E366&gt;Settings!$B$30,Q366&gt;Settings!$B$37),0,1)</f>
        <v>1</v>
      </c>
      <c r="X366" s="6">
        <f>IF(AND(W366=1,Q366&lt;=Settings!$B$36),1,0)</f>
        <v>1</v>
      </c>
    </row>
    <row r="367" spans="1:24" x14ac:dyDescent="0.2">
      <c r="A367">
        <f>Arrivals!A367</f>
        <v>4</v>
      </c>
      <c r="B367">
        <f>Arrivals!B367</f>
        <v>2</v>
      </c>
      <c r="C367" s="6">
        <f>Arrivals!F367</f>
        <v>7</v>
      </c>
      <c r="D367" s="6">
        <f>Arrivals!K367</f>
        <v>300</v>
      </c>
      <c r="E367" s="6">
        <f>D367*8/ACE_Input!S7+ACE_Input!T7</f>
        <v>24.02</v>
      </c>
      <c r="F367" s="6">
        <f t="shared" si="138"/>
        <v>7</v>
      </c>
      <c r="G367" s="6">
        <f t="shared" ref="G367:G398" si="149">K366</f>
        <v>26.02</v>
      </c>
      <c r="H367" s="6">
        <f t="shared" si="139"/>
        <v>26.02</v>
      </c>
      <c r="I367" s="6">
        <f>MOD(H367-Settings!$B$32,Settings!$B$33)</f>
        <v>26.02</v>
      </c>
      <c r="J367" s="6">
        <f>IF(I367&lt;Settings!$B$30,IF(Settings!$B$30-I367&gt;=E367,H367,H367+(Settings!$B$30-I367)+Settings!$B$31),H367+(Settings!$B$33-I367))</f>
        <v>26.02</v>
      </c>
      <c r="K367" s="6">
        <f t="shared" si="140"/>
        <v>50.04</v>
      </c>
      <c r="L367" s="6">
        <f t="shared" si="141"/>
        <v>50.04</v>
      </c>
      <c r="M367" s="6">
        <f t="shared" ref="M367:M398" si="150">P366</f>
        <v>29.157177353216539</v>
      </c>
      <c r="N367" s="6">
        <f t="shared" si="142"/>
        <v>50.04</v>
      </c>
      <c r="O367" s="6">
        <f>Arrivals!I367</f>
        <v>3.5146091409320142</v>
      </c>
      <c r="P367" s="6">
        <f t="shared" si="143"/>
        <v>53.554609140932016</v>
      </c>
      <c r="Q367" s="6">
        <f t="shared" si="144"/>
        <v>46.554609140932016</v>
      </c>
      <c r="R367" s="6">
        <f t="shared" si="145"/>
        <v>19.02</v>
      </c>
      <c r="S367" s="6">
        <f t="shared" si="146"/>
        <v>0</v>
      </c>
      <c r="T367" s="6">
        <f t="shared" si="147"/>
        <v>0</v>
      </c>
      <c r="U367" s="6">
        <f t="shared" si="148"/>
        <v>19.02</v>
      </c>
      <c r="V367" s="6" t="str">
        <f>IF(MOD(C367-Settings!$B$32,Settings!$B$33)&lt;Settings!$B$30,"Up","Down")</f>
        <v>Up</v>
      </c>
      <c r="W367" s="6">
        <f>IF(OR(E367&gt;Settings!$B$30,Q367&gt;Settings!$B$37),0,1)</f>
        <v>1</v>
      </c>
      <c r="X367" s="6">
        <f>IF(AND(W367=1,Q367&lt;=Settings!$B$36),1,0)</f>
        <v>1</v>
      </c>
    </row>
    <row r="368" spans="1:24" x14ac:dyDescent="0.2">
      <c r="A368">
        <f>Arrivals!A368</f>
        <v>4</v>
      </c>
      <c r="B368">
        <f>Arrivals!B368</f>
        <v>3</v>
      </c>
      <c r="C368" s="6">
        <f>Arrivals!F368</f>
        <v>32</v>
      </c>
      <c r="D368" s="6">
        <f>Arrivals!K368</f>
        <v>300</v>
      </c>
      <c r="E368" s="6">
        <f>D368*8/ACE_Input!S8+ACE_Input!T8</f>
        <v>24.02</v>
      </c>
      <c r="F368" s="6">
        <f t="shared" si="138"/>
        <v>32</v>
      </c>
      <c r="G368" s="6">
        <f t="shared" si="149"/>
        <v>50.04</v>
      </c>
      <c r="H368" s="6">
        <f t="shared" si="139"/>
        <v>50.04</v>
      </c>
      <c r="I368" s="6">
        <f>MOD(H368-Settings!$B$32,Settings!$B$33)</f>
        <v>50.04</v>
      </c>
      <c r="J368" s="6">
        <f>IF(I368&lt;Settings!$B$30,IF(Settings!$B$30-I368&gt;=E368,H368,H368+(Settings!$B$30-I368)+Settings!$B$31),H368+(Settings!$B$33-I368))</f>
        <v>50.04</v>
      </c>
      <c r="K368" s="6">
        <f t="shared" si="140"/>
        <v>74.06</v>
      </c>
      <c r="L368" s="6">
        <f t="shared" si="141"/>
        <v>74.06</v>
      </c>
      <c r="M368" s="6">
        <f t="shared" si="150"/>
        <v>53.554609140932016</v>
      </c>
      <c r="N368" s="6">
        <f t="shared" si="142"/>
        <v>74.06</v>
      </c>
      <c r="O368" s="6">
        <f>Arrivals!I368</f>
        <v>1.6742273084447254</v>
      </c>
      <c r="P368" s="6">
        <f t="shared" si="143"/>
        <v>75.73422730844473</v>
      </c>
      <c r="Q368" s="6">
        <f t="shared" si="144"/>
        <v>43.73422730844473</v>
      </c>
      <c r="R368" s="6">
        <f t="shared" si="145"/>
        <v>18.04</v>
      </c>
      <c r="S368" s="6">
        <f t="shared" si="146"/>
        <v>0</v>
      </c>
      <c r="T368" s="6">
        <f t="shared" si="147"/>
        <v>0</v>
      </c>
      <c r="U368" s="6">
        <f t="shared" si="148"/>
        <v>18.04</v>
      </c>
      <c r="V368" s="6" t="str">
        <f>IF(MOD(C368-Settings!$B$32,Settings!$B$33)&lt;Settings!$B$30,"Up","Down")</f>
        <v>Up</v>
      </c>
      <c r="W368" s="6">
        <f>IF(OR(E368&gt;Settings!$B$30,Q368&gt;Settings!$B$37),0,1)</f>
        <v>1</v>
      </c>
      <c r="X368" s="6">
        <f>IF(AND(W368=1,Q368&lt;=Settings!$B$36),1,0)</f>
        <v>1</v>
      </c>
    </row>
    <row r="369" spans="1:24" x14ac:dyDescent="0.2">
      <c r="A369">
        <f>Arrivals!A369</f>
        <v>4</v>
      </c>
      <c r="B369">
        <f>Arrivals!B369</f>
        <v>4</v>
      </c>
      <c r="C369" s="6">
        <f>Arrivals!F369</f>
        <v>37</v>
      </c>
      <c r="D369" s="6">
        <f>Arrivals!K369</f>
        <v>300</v>
      </c>
      <c r="E369" s="6">
        <f>D369*8/ACE_Input!S9+ACE_Input!T9</f>
        <v>24.02</v>
      </c>
      <c r="F369" s="6">
        <f t="shared" si="138"/>
        <v>37</v>
      </c>
      <c r="G369" s="6">
        <f t="shared" si="149"/>
        <v>74.06</v>
      </c>
      <c r="H369" s="6">
        <f t="shared" si="139"/>
        <v>74.06</v>
      </c>
      <c r="I369" s="6">
        <f>MOD(H369-Settings!$B$32,Settings!$B$33)</f>
        <v>74.06</v>
      </c>
      <c r="J369" s="6">
        <f>IF(I369&lt;Settings!$B$30,IF(Settings!$B$30-I369&gt;=E369,H369,H369+(Settings!$B$30-I369)+Settings!$B$31),H369+(Settings!$B$33-I369))</f>
        <v>74.06</v>
      </c>
      <c r="K369" s="6">
        <f t="shared" si="140"/>
        <v>98.08</v>
      </c>
      <c r="L369" s="6">
        <f t="shared" si="141"/>
        <v>98.08</v>
      </c>
      <c r="M369" s="6">
        <f t="shared" si="150"/>
        <v>75.73422730844473</v>
      </c>
      <c r="N369" s="6">
        <f t="shared" si="142"/>
        <v>98.08</v>
      </c>
      <c r="O369" s="6">
        <f>Arrivals!I369</f>
        <v>0.27164279690419829</v>
      </c>
      <c r="P369" s="6">
        <f t="shared" si="143"/>
        <v>98.351642796904201</v>
      </c>
      <c r="Q369" s="6">
        <f t="shared" si="144"/>
        <v>61.351642796904201</v>
      </c>
      <c r="R369" s="6">
        <f t="shared" si="145"/>
        <v>37.06</v>
      </c>
      <c r="S369" s="6">
        <f t="shared" si="146"/>
        <v>0</v>
      </c>
      <c r="T369" s="6">
        <f t="shared" si="147"/>
        <v>0</v>
      </c>
      <c r="U369" s="6">
        <f t="shared" si="148"/>
        <v>37.06</v>
      </c>
      <c r="V369" s="6" t="str">
        <f>IF(MOD(C369-Settings!$B$32,Settings!$B$33)&lt;Settings!$B$30,"Up","Down")</f>
        <v>Up</v>
      </c>
      <c r="W369" s="6">
        <f>IF(OR(E369&gt;Settings!$B$30,Q369&gt;Settings!$B$37),0,1)</f>
        <v>1</v>
      </c>
      <c r="X369" s="6">
        <f>IF(AND(W369=1,Q369&lt;=Settings!$B$36),1,0)</f>
        <v>1</v>
      </c>
    </row>
    <row r="370" spans="1:24" x14ac:dyDescent="0.2">
      <c r="A370">
        <f>Arrivals!A370</f>
        <v>4</v>
      </c>
      <c r="B370">
        <f>Arrivals!B370</f>
        <v>5</v>
      </c>
      <c r="C370" s="6">
        <f>Arrivals!F370</f>
        <v>42</v>
      </c>
      <c r="D370" s="6">
        <f>Arrivals!K370</f>
        <v>300</v>
      </c>
      <c r="E370" s="6">
        <f>D370*8/ACE_Input!S10+ACE_Input!T10</f>
        <v>24.02</v>
      </c>
      <c r="F370" s="6">
        <f t="shared" si="138"/>
        <v>42</v>
      </c>
      <c r="G370" s="6">
        <f t="shared" si="149"/>
        <v>98.08</v>
      </c>
      <c r="H370" s="6">
        <f t="shared" si="139"/>
        <v>98.08</v>
      </c>
      <c r="I370" s="6">
        <f>MOD(H370-Settings!$B$32,Settings!$B$33)</f>
        <v>98.08</v>
      </c>
      <c r="J370" s="6">
        <f>IF(I370&lt;Settings!$B$30,IF(Settings!$B$30-I370&gt;=E370,H370,H370+(Settings!$B$30-I370)+Settings!$B$31),H370+(Settings!$B$33-I370))</f>
        <v>98.08</v>
      </c>
      <c r="K370" s="6">
        <f t="shared" si="140"/>
        <v>122.1</v>
      </c>
      <c r="L370" s="6">
        <f t="shared" si="141"/>
        <v>122.1</v>
      </c>
      <c r="M370" s="6">
        <f t="shared" si="150"/>
        <v>98.351642796904201</v>
      </c>
      <c r="N370" s="6">
        <f t="shared" si="142"/>
        <v>122.1</v>
      </c>
      <c r="O370" s="6">
        <f>Arrivals!I370</f>
        <v>2.6307100125422127</v>
      </c>
      <c r="P370" s="6">
        <f t="shared" si="143"/>
        <v>124.7307100125422</v>
      </c>
      <c r="Q370" s="6">
        <f t="shared" si="144"/>
        <v>82.730710012542204</v>
      </c>
      <c r="R370" s="6">
        <f t="shared" si="145"/>
        <v>56.08</v>
      </c>
      <c r="S370" s="6">
        <f t="shared" si="146"/>
        <v>0</v>
      </c>
      <c r="T370" s="6">
        <f t="shared" si="147"/>
        <v>0</v>
      </c>
      <c r="U370" s="6">
        <f t="shared" si="148"/>
        <v>56.08</v>
      </c>
      <c r="V370" s="6" t="str">
        <f>IF(MOD(C370-Settings!$B$32,Settings!$B$33)&lt;Settings!$B$30,"Up","Down")</f>
        <v>Up</v>
      </c>
      <c r="W370" s="6">
        <f>IF(OR(E370&gt;Settings!$B$30,Q370&gt;Settings!$B$37),0,1)</f>
        <v>1</v>
      </c>
      <c r="X370" s="6">
        <f>IF(AND(W370=1,Q370&lt;=Settings!$B$36),1,0)</f>
        <v>1</v>
      </c>
    </row>
    <row r="371" spans="1:24" x14ac:dyDescent="0.2">
      <c r="A371">
        <f>Arrivals!A371</f>
        <v>4</v>
      </c>
      <c r="B371">
        <f>Arrivals!B371</f>
        <v>6</v>
      </c>
      <c r="C371" s="6">
        <f>Arrivals!F371</f>
        <v>47</v>
      </c>
      <c r="D371" s="6">
        <f>Arrivals!K371</f>
        <v>300</v>
      </c>
      <c r="E371" s="6">
        <f>D371*8/ACE_Input!S11+ACE_Input!T11</f>
        <v>24.02</v>
      </c>
      <c r="F371" s="6">
        <f t="shared" si="138"/>
        <v>47</v>
      </c>
      <c r="G371" s="6">
        <f t="shared" si="149"/>
        <v>122.1</v>
      </c>
      <c r="H371" s="6">
        <f t="shared" si="139"/>
        <v>122.1</v>
      </c>
      <c r="I371" s="6">
        <f>MOD(H371-Settings!$B$32,Settings!$B$33)</f>
        <v>122.1</v>
      </c>
      <c r="J371" s="6">
        <f>IF(I371&lt;Settings!$B$30,IF(Settings!$B$30-I371&gt;=E371,H371,H371+(Settings!$B$30-I371)+Settings!$B$31),H371+(Settings!$B$33-I371))</f>
        <v>122.1</v>
      </c>
      <c r="K371" s="6">
        <f t="shared" si="140"/>
        <v>146.12</v>
      </c>
      <c r="L371" s="6">
        <f t="shared" si="141"/>
        <v>146.12</v>
      </c>
      <c r="M371" s="6">
        <f t="shared" si="150"/>
        <v>124.7307100125422</v>
      </c>
      <c r="N371" s="6">
        <f t="shared" si="142"/>
        <v>146.12</v>
      </c>
      <c r="O371" s="6">
        <f>Arrivals!I371</f>
        <v>0.33915717723947814</v>
      </c>
      <c r="P371" s="6">
        <f t="shared" si="143"/>
        <v>146.45915717723949</v>
      </c>
      <c r="Q371" s="6">
        <f t="shared" si="144"/>
        <v>99.45915717723949</v>
      </c>
      <c r="R371" s="6">
        <f t="shared" si="145"/>
        <v>75.099999999999994</v>
      </c>
      <c r="S371" s="6">
        <f t="shared" si="146"/>
        <v>0</v>
      </c>
      <c r="T371" s="6">
        <f t="shared" si="147"/>
        <v>0</v>
      </c>
      <c r="U371" s="6">
        <f t="shared" si="148"/>
        <v>75.099999999999994</v>
      </c>
      <c r="V371" s="6" t="str">
        <f>IF(MOD(C371-Settings!$B$32,Settings!$B$33)&lt;Settings!$B$30,"Up","Down")</f>
        <v>Up</v>
      </c>
      <c r="W371" s="6">
        <f>IF(OR(E371&gt;Settings!$B$30,Q371&gt;Settings!$B$37),0,1)</f>
        <v>1</v>
      </c>
      <c r="X371" s="6">
        <f>IF(AND(W371=1,Q371&lt;=Settings!$B$36),1,0)</f>
        <v>1</v>
      </c>
    </row>
    <row r="372" spans="1:24" x14ac:dyDescent="0.2">
      <c r="A372">
        <f>Arrivals!A372</f>
        <v>4</v>
      </c>
      <c r="B372">
        <f>Arrivals!B372</f>
        <v>7</v>
      </c>
      <c r="C372" s="6">
        <f>Arrivals!F372</f>
        <v>52</v>
      </c>
      <c r="D372" s="6">
        <f>Arrivals!K372</f>
        <v>300</v>
      </c>
      <c r="E372" s="6">
        <f>D372*8/ACE_Input!S12+ACE_Input!T12</f>
        <v>24.02</v>
      </c>
      <c r="F372" s="6">
        <f t="shared" si="138"/>
        <v>52</v>
      </c>
      <c r="G372" s="6">
        <f t="shared" si="149"/>
        <v>146.12</v>
      </c>
      <c r="H372" s="6">
        <f t="shared" si="139"/>
        <v>146.12</v>
      </c>
      <c r="I372" s="6">
        <f>MOD(H372-Settings!$B$32,Settings!$B$33)</f>
        <v>146.12</v>
      </c>
      <c r="J372" s="6">
        <f>IF(I372&lt;Settings!$B$30,IF(Settings!$B$30-I372&gt;=E372,H372,H372+(Settings!$B$30-I372)+Settings!$B$31),H372+(Settings!$B$33-I372))</f>
        <v>146.12</v>
      </c>
      <c r="K372" s="6">
        <f t="shared" si="140"/>
        <v>170.14000000000001</v>
      </c>
      <c r="L372" s="6">
        <f t="shared" si="141"/>
        <v>170.14000000000001</v>
      </c>
      <c r="M372" s="6">
        <f t="shared" si="150"/>
        <v>146.45915717723949</v>
      </c>
      <c r="N372" s="6">
        <f t="shared" si="142"/>
        <v>170.14000000000001</v>
      </c>
      <c r="O372" s="6">
        <f>Arrivals!I372</f>
        <v>1.4896946836366012</v>
      </c>
      <c r="P372" s="6">
        <f t="shared" si="143"/>
        <v>171.62969468363661</v>
      </c>
      <c r="Q372" s="6">
        <f t="shared" si="144"/>
        <v>119.62969468363661</v>
      </c>
      <c r="R372" s="6">
        <f t="shared" si="145"/>
        <v>94.12</v>
      </c>
      <c r="S372" s="6">
        <f t="shared" si="146"/>
        <v>0</v>
      </c>
      <c r="T372" s="6">
        <f t="shared" si="147"/>
        <v>0</v>
      </c>
      <c r="U372" s="6">
        <f t="shared" si="148"/>
        <v>94.12</v>
      </c>
      <c r="V372" s="6" t="str">
        <f>IF(MOD(C372-Settings!$B$32,Settings!$B$33)&lt;Settings!$B$30,"Up","Down")</f>
        <v>Up</v>
      </c>
      <c r="W372" s="6">
        <f>IF(OR(E372&gt;Settings!$B$30,Q372&gt;Settings!$B$37),0,1)</f>
        <v>1</v>
      </c>
      <c r="X372" s="6">
        <f>IF(AND(W372=1,Q372&lt;=Settings!$B$36),1,0)</f>
        <v>1</v>
      </c>
    </row>
    <row r="373" spans="1:24" x14ac:dyDescent="0.2">
      <c r="A373">
        <f>Arrivals!A373</f>
        <v>4</v>
      </c>
      <c r="B373">
        <f>Arrivals!B373</f>
        <v>8</v>
      </c>
      <c r="C373" s="6">
        <f>Arrivals!F373</f>
        <v>57</v>
      </c>
      <c r="D373" s="6">
        <f>Arrivals!K373</f>
        <v>300</v>
      </c>
      <c r="E373" s="6">
        <f>D373*8/ACE_Input!S13+ACE_Input!T13</f>
        <v>24.02</v>
      </c>
      <c r="F373" s="6">
        <f t="shared" si="138"/>
        <v>57</v>
      </c>
      <c r="G373" s="6">
        <f t="shared" si="149"/>
        <v>170.14000000000001</v>
      </c>
      <c r="H373" s="6">
        <f t="shared" si="139"/>
        <v>170.14000000000001</v>
      </c>
      <c r="I373" s="6">
        <f>MOD(H373-Settings!$B$32,Settings!$B$33)</f>
        <v>170.14000000000001</v>
      </c>
      <c r="J373" s="6">
        <f>IF(I373&lt;Settings!$B$30,IF(Settings!$B$30-I373&gt;=E373,H373,H373+(Settings!$B$30-I373)+Settings!$B$31),H373+(Settings!$B$33-I373))</f>
        <v>170.14000000000001</v>
      </c>
      <c r="K373" s="6">
        <f t="shared" si="140"/>
        <v>194.16000000000003</v>
      </c>
      <c r="L373" s="6">
        <f t="shared" si="141"/>
        <v>194.16000000000003</v>
      </c>
      <c r="M373" s="6">
        <f t="shared" si="150"/>
        <v>171.62969468363661</v>
      </c>
      <c r="N373" s="6">
        <f t="shared" si="142"/>
        <v>194.16000000000003</v>
      </c>
      <c r="O373" s="6">
        <f>Arrivals!I373</f>
        <v>10.685765590054988</v>
      </c>
      <c r="P373" s="6">
        <f t="shared" si="143"/>
        <v>204.84576559005501</v>
      </c>
      <c r="Q373" s="6">
        <f t="shared" si="144"/>
        <v>147.84576559005501</v>
      </c>
      <c r="R373" s="6">
        <f t="shared" si="145"/>
        <v>113.14000000000001</v>
      </c>
      <c r="S373" s="6">
        <f t="shared" si="146"/>
        <v>0</v>
      </c>
      <c r="T373" s="6">
        <f t="shared" si="147"/>
        <v>0</v>
      </c>
      <c r="U373" s="6">
        <f t="shared" si="148"/>
        <v>113.14000000000001</v>
      </c>
      <c r="V373" s="6" t="str">
        <f>IF(MOD(C373-Settings!$B$32,Settings!$B$33)&lt;Settings!$B$30,"Up","Down")</f>
        <v>Up</v>
      </c>
      <c r="W373" s="6">
        <f>IF(OR(E373&gt;Settings!$B$30,Q373&gt;Settings!$B$37),0,1)</f>
        <v>1</v>
      </c>
      <c r="X373" s="6">
        <f>IF(AND(W373=1,Q373&lt;=Settings!$B$36),1,0)</f>
        <v>0</v>
      </c>
    </row>
    <row r="374" spans="1:24" x14ac:dyDescent="0.2">
      <c r="A374">
        <f>Arrivals!A374</f>
        <v>4</v>
      </c>
      <c r="B374">
        <f>Arrivals!B374</f>
        <v>9</v>
      </c>
      <c r="C374" s="6">
        <f>Arrivals!F374</f>
        <v>172</v>
      </c>
      <c r="D374" s="6">
        <f>Arrivals!K374</f>
        <v>300</v>
      </c>
      <c r="E374" s="6">
        <f>D374*8/ACE_Input!S14+ACE_Input!T14</f>
        <v>24.02</v>
      </c>
      <c r="F374" s="6">
        <f t="shared" si="138"/>
        <v>172</v>
      </c>
      <c r="G374" s="6">
        <f t="shared" si="149"/>
        <v>194.16000000000003</v>
      </c>
      <c r="H374" s="6">
        <f t="shared" si="139"/>
        <v>194.16000000000003</v>
      </c>
      <c r="I374" s="6">
        <f>MOD(H374-Settings!$B$32,Settings!$B$33)</f>
        <v>194.16000000000003</v>
      </c>
      <c r="J374" s="6">
        <f>IF(I374&lt;Settings!$B$30,IF(Settings!$B$30-I374&gt;=E374,H374,H374+(Settings!$B$30-I374)+Settings!$B$31),H374+(Settings!$B$33-I374))</f>
        <v>194.16000000000003</v>
      </c>
      <c r="K374" s="6">
        <f t="shared" si="140"/>
        <v>218.18000000000004</v>
      </c>
      <c r="L374" s="6">
        <f t="shared" si="141"/>
        <v>218.18000000000004</v>
      </c>
      <c r="M374" s="6">
        <f t="shared" si="150"/>
        <v>204.84576559005501</v>
      </c>
      <c r="N374" s="6">
        <f t="shared" si="142"/>
        <v>218.18000000000004</v>
      </c>
      <c r="O374" s="6">
        <f>Arrivals!I374</f>
        <v>5.614823509610031</v>
      </c>
      <c r="P374" s="6">
        <f t="shared" si="143"/>
        <v>223.79482350961007</v>
      </c>
      <c r="Q374" s="6">
        <f t="shared" si="144"/>
        <v>51.794823509610069</v>
      </c>
      <c r="R374" s="6">
        <f t="shared" si="145"/>
        <v>22.160000000000025</v>
      </c>
      <c r="S374" s="6">
        <f t="shared" si="146"/>
        <v>0</v>
      </c>
      <c r="T374" s="6">
        <f t="shared" si="147"/>
        <v>0</v>
      </c>
      <c r="U374" s="6">
        <f t="shared" si="148"/>
        <v>22.160000000000025</v>
      </c>
      <c r="V374" s="6" t="str">
        <f>IF(MOD(C374-Settings!$B$32,Settings!$B$33)&lt;Settings!$B$30,"Up","Down")</f>
        <v>Up</v>
      </c>
      <c r="W374" s="6">
        <f>IF(OR(E374&gt;Settings!$B$30,Q374&gt;Settings!$B$37),0,1)</f>
        <v>1</v>
      </c>
      <c r="X374" s="6">
        <f>IF(AND(W374=1,Q374&lt;=Settings!$B$36),1,0)</f>
        <v>1</v>
      </c>
    </row>
    <row r="375" spans="1:24" x14ac:dyDescent="0.2">
      <c r="A375">
        <f>Arrivals!A375</f>
        <v>4</v>
      </c>
      <c r="B375">
        <f>Arrivals!B375</f>
        <v>10</v>
      </c>
      <c r="C375" s="6">
        <f>Arrivals!F375</f>
        <v>177</v>
      </c>
      <c r="D375" s="6">
        <f>Arrivals!K375</f>
        <v>300</v>
      </c>
      <c r="E375" s="6">
        <f>D375*8/ACE_Input!S15+ACE_Input!T15</f>
        <v>24.02</v>
      </c>
      <c r="F375" s="6">
        <f t="shared" si="138"/>
        <v>177</v>
      </c>
      <c r="G375" s="6">
        <f t="shared" si="149"/>
        <v>218.18000000000004</v>
      </c>
      <c r="H375" s="6">
        <f t="shared" si="139"/>
        <v>218.18000000000004</v>
      </c>
      <c r="I375" s="6">
        <f>MOD(H375-Settings!$B$32,Settings!$B$33)</f>
        <v>218.18000000000004</v>
      </c>
      <c r="J375" s="6">
        <f>IF(I375&lt;Settings!$B$30,IF(Settings!$B$30-I375&gt;=E375,H375,H375+(Settings!$B$30-I375)+Settings!$B$31),H375+(Settings!$B$33-I375))</f>
        <v>218.18000000000004</v>
      </c>
      <c r="K375" s="6">
        <f t="shared" si="140"/>
        <v>242.20000000000005</v>
      </c>
      <c r="L375" s="6">
        <f t="shared" si="141"/>
        <v>242.20000000000005</v>
      </c>
      <c r="M375" s="6">
        <f t="shared" si="150"/>
        <v>223.79482350961007</v>
      </c>
      <c r="N375" s="6">
        <f t="shared" si="142"/>
        <v>242.20000000000005</v>
      </c>
      <c r="O375" s="6">
        <f>Arrivals!I375</f>
        <v>5.9775826949695299</v>
      </c>
      <c r="P375" s="6">
        <f t="shared" si="143"/>
        <v>248.17758269496957</v>
      </c>
      <c r="Q375" s="6">
        <f t="shared" si="144"/>
        <v>71.177582694969573</v>
      </c>
      <c r="R375" s="6">
        <f t="shared" si="145"/>
        <v>41.180000000000035</v>
      </c>
      <c r="S375" s="6">
        <f t="shared" si="146"/>
        <v>0</v>
      </c>
      <c r="T375" s="6">
        <f t="shared" si="147"/>
        <v>0</v>
      </c>
      <c r="U375" s="6">
        <f t="shared" si="148"/>
        <v>41.180000000000035</v>
      </c>
      <c r="V375" s="6" t="str">
        <f>IF(MOD(C375-Settings!$B$32,Settings!$B$33)&lt;Settings!$B$30,"Up","Down")</f>
        <v>Up</v>
      </c>
      <c r="W375" s="6">
        <f>IF(OR(E375&gt;Settings!$B$30,Q375&gt;Settings!$B$37),0,1)</f>
        <v>1</v>
      </c>
      <c r="X375" s="6">
        <f>IF(AND(W375=1,Q375&lt;=Settings!$B$36),1,0)</f>
        <v>1</v>
      </c>
    </row>
    <row r="376" spans="1:24" x14ac:dyDescent="0.2">
      <c r="A376">
        <f>Arrivals!A376</f>
        <v>4</v>
      </c>
      <c r="B376">
        <f>Arrivals!B376</f>
        <v>11</v>
      </c>
      <c r="C376" s="6">
        <f>Arrivals!F376</f>
        <v>182</v>
      </c>
      <c r="D376" s="6">
        <f>Arrivals!K376</f>
        <v>300</v>
      </c>
      <c r="E376" s="6">
        <f>D376*8/ACE_Input!S16+ACE_Input!T16</f>
        <v>24.02</v>
      </c>
      <c r="F376" s="6">
        <f t="shared" si="138"/>
        <v>182</v>
      </c>
      <c r="G376" s="6">
        <f t="shared" si="149"/>
        <v>242.20000000000005</v>
      </c>
      <c r="H376" s="6">
        <f t="shared" si="139"/>
        <v>242.20000000000005</v>
      </c>
      <c r="I376" s="6">
        <f>MOD(H376-Settings!$B$32,Settings!$B$33)</f>
        <v>242.20000000000005</v>
      </c>
      <c r="J376" s="6">
        <f>IF(I376&lt;Settings!$B$30,IF(Settings!$B$30-I376&gt;=E376,H376,H376+(Settings!$B$30-I376)+Settings!$B$31),H376+(Settings!$B$33-I376))</f>
        <v>242.20000000000005</v>
      </c>
      <c r="K376" s="6">
        <f t="shared" si="140"/>
        <v>266.22000000000003</v>
      </c>
      <c r="L376" s="6">
        <f t="shared" si="141"/>
        <v>266.22000000000003</v>
      </c>
      <c r="M376" s="6">
        <f t="shared" si="150"/>
        <v>248.17758269496957</v>
      </c>
      <c r="N376" s="6">
        <f t="shared" si="142"/>
        <v>266.22000000000003</v>
      </c>
      <c r="O376" s="6">
        <f>Arrivals!I376</f>
        <v>5.9726456246519701</v>
      </c>
      <c r="P376" s="6">
        <f t="shared" si="143"/>
        <v>272.19264562465202</v>
      </c>
      <c r="Q376" s="6">
        <f t="shared" si="144"/>
        <v>90.192645624652016</v>
      </c>
      <c r="R376" s="6">
        <f t="shared" si="145"/>
        <v>60.200000000000045</v>
      </c>
      <c r="S376" s="6">
        <f t="shared" si="146"/>
        <v>0</v>
      </c>
      <c r="T376" s="6">
        <f t="shared" si="147"/>
        <v>0</v>
      </c>
      <c r="U376" s="6">
        <f t="shared" si="148"/>
        <v>60.200000000000045</v>
      </c>
      <c r="V376" s="6" t="str">
        <f>IF(MOD(C376-Settings!$B$32,Settings!$B$33)&lt;Settings!$B$30,"Up","Down")</f>
        <v>Up</v>
      </c>
      <c r="W376" s="6">
        <f>IF(OR(E376&gt;Settings!$B$30,Q376&gt;Settings!$B$37),0,1)</f>
        <v>1</v>
      </c>
      <c r="X376" s="6">
        <f>IF(AND(W376=1,Q376&lt;=Settings!$B$36),1,0)</f>
        <v>1</v>
      </c>
    </row>
    <row r="377" spans="1:24" x14ac:dyDescent="0.2">
      <c r="A377">
        <f>Arrivals!A377</f>
        <v>4</v>
      </c>
      <c r="B377">
        <f>Arrivals!B377</f>
        <v>12</v>
      </c>
      <c r="C377" s="6">
        <f>Arrivals!F377</f>
        <v>187</v>
      </c>
      <c r="D377" s="6">
        <f>Arrivals!K377</f>
        <v>300</v>
      </c>
      <c r="E377" s="6">
        <f>D377*8/ACE_Input!S17+ACE_Input!T17</f>
        <v>24.02</v>
      </c>
      <c r="F377" s="6">
        <f t="shared" si="138"/>
        <v>187</v>
      </c>
      <c r="G377" s="6">
        <f t="shared" si="149"/>
        <v>266.22000000000003</v>
      </c>
      <c r="H377" s="6">
        <f t="shared" si="139"/>
        <v>266.22000000000003</v>
      </c>
      <c r="I377" s="6">
        <f>MOD(H377-Settings!$B$32,Settings!$B$33)</f>
        <v>266.22000000000003</v>
      </c>
      <c r="J377" s="6">
        <f>IF(I377&lt;Settings!$B$30,IF(Settings!$B$30-I377&gt;=E377,H377,H377+(Settings!$B$30-I377)+Settings!$B$31),H377+(Settings!$B$33-I377))</f>
        <v>266.22000000000003</v>
      </c>
      <c r="K377" s="6">
        <f t="shared" si="140"/>
        <v>290.24</v>
      </c>
      <c r="L377" s="6">
        <f t="shared" si="141"/>
        <v>290.24</v>
      </c>
      <c r="M377" s="6">
        <f t="shared" si="150"/>
        <v>272.19264562465202</v>
      </c>
      <c r="N377" s="6">
        <f t="shared" si="142"/>
        <v>290.24</v>
      </c>
      <c r="O377" s="6">
        <f>Arrivals!I377</f>
        <v>0.50118557318477996</v>
      </c>
      <c r="P377" s="6">
        <f t="shared" si="143"/>
        <v>290.74118557318479</v>
      </c>
      <c r="Q377" s="6">
        <f t="shared" si="144"/>
        <v>103.74118557318479</v>
      </c>
      <c r="R377" s="6">
        <f t="shared" si="145"/>
        <v>79.220000000000027</v>
      </c>
      <c r="S377" s="6">
        <f t="shared" si="146"/>
        <v>0</v>
      </c>
      <c r="T377" s="6">
        <f t="shared" si="147"/>
        <v>0</v>
      </c>
      <c r="U377" s="6">
        <f t="shared" si="148"/>
        <v>79.220000000000027</v>
      </c>
      <c r="V377" s="6" t="str">
        <f>IF(MOD(C377-Settings!$B$32,Settings!$B$33)&lt;Settings!$B$30,"Up","Down")</f>
        <v>Up</v>
      </c>
      <c r="W377" s="6">
        <f>IF(OR(E377&gt;Settings!$B$30,Q377&gt;Settings!$B$37),0,1)</f>
        <v>1</v>
      </c>
      <c r="X377" s="6">
        <f>IF(AND(W377=1,Q377&lt;=Settings!$B$36),1,0)</f>
        <v>1</v>
      </c>
    </row>
    <row r="378" spans="1:24" x14ac:dyDescent="0.2">
      <c r="A378">
        <f>Arrivals!A378</f>
        <v>4</v>
      </c>
      <c r="B378">
        <f>Arrivals!B378</f>
        <v>13</v>
      </c>
      <c r="C378" s="6">
        <f>Arrivals!F378</f>
        <v>192</v>
      </c>
      <c r="D378" s="6">
        <f>Arrivals!K378</f>
        <v>300</v>
      </c>
      <c r="E378" s="6">
        <f>D378*8/ACE_Input!S18+ACE_Input!T18</f>
        <v>24.02</v>
      </c>
      <c r="F378" s="6">
        <f t="shared" si="138"/>
        <v>192</v>
      </c>
      <c r="G378" s="6">
        <f t="shared" si="149"/>
        <v>290.24</v>
      </c>
      <c r="H378" s="6">
        <f t="shared" si="139"/>
        <v>290.24</v>
      </c>
      <c r="I378" s="6">
        <f>MOD(H378-Settings!$B$32,Settings!$B$33)</f>
        <v>290.24</v>
      </c>
      <c r="J378" s="6">
        <f>IF(I378&lt;Settings!$B$30,IF(Settings!$B$30-I378&gt;=E378,H378,H378+(Settings!$B$30-I378)+Settings!$B$31),H378+(Settings!$B$33-I378))</f>
        <v>290.24</v>
      </c>
      <c r="K378" s="6">
        <f t="shared" si="140"/>
        <v>314.26</v>
      </c>
      <c r="L378" s="6">
        <f t="shared" si="141"/>
        <v>314.26</v>
      </c>
      <c r="M378" s="6">
        <f t="shared" si="150"/>
        <v>290.74118557318479</v>
      </c>
      <c r="N378" s="6">
        <f t="shared" si="142"/>
        <v>314.26</v>
      </c>
      <c r="O378" s="6">
        <f>Arrivals!I378</f>
        <v>1.2591135678529393</v>
      </c>
      <c r="P378" s="6">
        <f t="shared" si="143"/>
        <v>315.51911356785291</v>
      </c>
      <c r="Q378" s="6">
        <f t="shared" si="144"/>
        <v>123.51911356785291</v>
      </c>
      <c r="R378" s="6">
        <f t="shared" si="145"/>
        <v>98.240000000000009</v>
      </c>
      <c r="S378" s="6">
        <f t="shared" si="146"/>
        <v>0</v>
      </c>
      <c r="T378" s="6">
        <f t="shared" si="147"/>
        <v>0</v>
      </c>
      <c r="U378" s="6">
        <f t="shared" si="148"/>
        <v>98.240000000000009</v>
      </c>
      <c r="V378" s="6" t="str">
        <f>IF(MOD(C378-Settings!$B$32,Settings!$B$33)&lt;Settings!$B$30,"Up","Down")</f>
        <v>Up</v>
      </c>
      <c r="W378" s="6">
        <f>IF(OR(E378&gt;Settings!$B$30,Q378&gt;Settings!$B$37),0,1)</f>
        <v>1</v>
      </c>
      <c r="X378" s="6">
        <f>IF(AND(W378=1,Q378&lt;=Settings!$B$36),1,0)</f>
        <v>0</v>
      </c>
    </row>
    <row r="379" spans="1:24" x14ac:dyDescent="0.2">
      <c r="A379">
        <f>Arrivals!A379</f>
        <v>4</v>
      </c>
      <c r="B379">
        <f>Arrivals!B379</f>
        <v>14</v>
      </c>
      <c r="C379" s="6">
        <f>Arrivals!F379</f>
        <v>197</v>
      </c>
      <c r="D379" s="6">
        <f>Arrivals!K379</f>
        <v>300</v>
      </c>
      <c r="E379" s="6">
        <f>D379*8/ACE_Input!S19+ACE_Input!T19</f>
        <v>24.02</v>
      </c>
      <c r="F379" s="6">
        <f t="shared" si="138"/>
        <v>197</v>
      </c>
      <c r="G379" s="6">
        <f t="shared" si="149"/>
        <v>314.26</v>
      </c>
      <c r="H379" s="6">
        <f t="shared" si="139"/>
        <v>314.26</v>
      </c>
      <c r="I379" s="6">
        <f>MOD(H379-Settings!$B$32,Settings!$B$33)</f>
        <v>314.26</v>
      </c>
      <c r="J379" s="6">
        <f>IF(I379&lt;Settings!$B$30,IF(Settings!$B$30-I379&gt;=E379,H379,H379+(Settings!$B$30-I379)+Settings!$B$31),H379+(Settings!$B$33-I379))</f>
        <v>314.26</v>
      </c>
      <c r="K379" s="6">
        <f t="shared" si="140"/>
        <v>338.28</v>
      </c>
      <c r="L379" s="6">
        <f t="shared" si="141"/>
        <v>338.28</v>
      </c>
      <c r="M379" s="6">
        <f t="shared" si="150"/>
        <v>315.51911356785291</v>
      </c>
      <c r="N379" s="6">
        <f t="shared" si="142"/>
        <v>338.28</v>
      </c>
      <c r="O379" s="6">
        <f>Arrivals!I379</f>
        <v>5.0910331881408384</v>
      </c>
      <c r="P379" s="6">
        <f t="shared" si="143"/>
        <v>343.37103318814081</v>
      </c>
      <c r="Q379" s="6">
        <f t="shared" si="144"/>
        <v>146.37103318814081</v>
      </c>
      <c r="R379" s="6">
        <f t="shared" si="145"/>
        <v>117.25999999999999</v>
      </c>
      <c r="S379" s="6">
        <f t="shared" si="146"/>
        <v>0</v>
      </c>
      <c r="T379" s="6">
        <f t="shared" si="147"/>
        <v>0</v>
      </c>
      <c r="U379" s="6">
        <f t="shared" si="148"/>
        <v>117.25999999999999</v>
      </c>
      <c r="V379" s="6" t="str">
        <f>IF(MOD(C379-Settings!$B$32,Settings!$B$33)&lt;Settings!$B$30,"Up","Down")</f>
        <v>Up</v>
      </c>
      <c r="W379" s="6">
        <f>IF(OR(E379&gt;Settings!$B$30,Q379&gt;Settings!$B$37),0,1)</f>
        <v>1</v>
      </c>
      <c r="X379" s="6">
        <f>IF(AND(W379=1,Q379&lt;=Settings!$B$36),1,0)</f>
        <v>0</v>
      </c>
    </row>
    <row r="380" spans="1:24" x14ac:dyDescent="0.2">
      <c r="A380">
        <f>Arrivals!A380</f>
        <v>4</v>
      </c>
      <c r="B380">
        <f>Arrivals!B380</f>
        <v>15</v>
      </c>
      <c r="C380" s="6">
        <f>Arrivals!F380</f>
        <v>202</v>
      </c>
      <c r="D380" s="6">
        <f>Arrivals!K380</f>
        <v>300</v>
      </c>
      <c r="E380" s="6">
        <f>D380*8/ACE_Input!S20+ACE_Input!T20</f>
        <v>24.02</v>
      </c>
      <c r="F380" s="6">
        <f t="shared" si="138"/>
        <v>202</v>
      </c>
      <c r="G380" s="6">
        <f t="shared" si="149"/>
        <v>338.28</v>
      </c>
      <c r="H380" s="6">
        <f t="shared" si="139"/>
        <v>338.28</v>
      </c>
      <c r="I380" s="6">
        <f>MOD(H380-Settings!$B$32,Settings!$B$33)</f>
        <v>338.28</v>
      </c>
      <c r="J380" s="6">
        <f>IF(I380&lt;Settings!$B$30,IF(Settings!$B$30-I380&gt;=E380,H380,H380+(Settings!$B$30-I380)+Settings!$B$31),H380+(Settings!$B$33-I380))</f>
        <v>338.28</v>
      </c>
      <c r="K380" s="6">
        <f t="shared" si="140"/>
        <v>362.29999999999995</v>
      </c>
      <c r="L380" s="6">
        <f t="shared" si="141"/>
        <v>362.29999999999995</v>
      </c>
      <c r="M380" s="6">
        <f t="shared" si="150"/>
        <v>343.37103318814081</v>
      </c>
      <c r="N380" s="6">
        <f t="shared" si="142"/>
        <v>362.29999999999995</v>
      </c>
      <c r="O380" s="6">
        <f>Arrivals!I380</f>
        <v>0.26448471603396023</v>
      </c>
      <c r="P380" s="6">
        <f t="shared" si="143"/>
        <v>362.56448471603392</v>
      </c>
      <c r="Q380" s="6">
        <f t="shared" si="144"/>
        <v>160.56448471603392</v>
      </c>
      <c r="R380" s="6">
        <f t="shared" si="145"/>
        <v>136.27999999999997</v>
      </c>
      <c r="S380" s="6">
        <f t="shared" si="146"/>
        <v>0</v>
      </c>
      <c r="T380" s="6">
        <f t="shared" si="147"/>
        <v>0</v>
      </c>
      <c r="U380" s="6">
        <f t="shared" si="148"/>
        <v>136.27999999999997</v>
      </c>
      <c r="V380" s="6" t="str">
        <f>IF(MOD(C380-Settings!$B$32,Settings!$B$33)&lt;Settings!$B$30,"Up","Down")</f>
        <v>Up</v>
      </c>
      <c r="W380" s="6">
        <f>IF(OR(E380&gt;Settings!$B$30,Q380&gt;Settings!$B$37),0,1)</f>
        <v>1</v>
      </c>
      <c r="X380" s="6">
        <f>IF(AND(W380=1,Q380&lt;=Settings!$B$36),1,0)</f>
        <v>0</v>
      </c>
    </row>
    <row r="381" spans="1:24" x14ac:dyDescent="0.2">
      <c r="A381">
        <f>Arrivals!A381</f>
        <v>4</v>
      </c>
      <c r="B381">
        <f>Arrivals!B381</f>
        <v>16</v>
      </c>
      <c r="C381" s="6">
        <f>Arrivals!F381</f>
        <v>207</v>
      </c>
      <c r="D381" s="6">
        <f>Arrivals!K381</f>
        <v>300</v>
      </c>
      <c r="E381" s="6">
        <f>D381*8/ACE_Input!S21+ACE_Input!T21</f>
        <v>24.02</v>
      </c>
      <c r="F381" s="6">
        <f t="shared" si="138"/>
        <v>207</v>
      </c>
      <c r="G381" s="6">
        <f t="shared" si="149"/>
        <v>362.29999999999995</v>
      </c>
      <c r="H381" s="6">
        <f t="shared" si="139"/>
        <v>362.29999999999995</v>
      </c>
      <c r="I381" s="6">
        <f>MOD(H381-Settings!$B$32,Settings!$B$33)</f>
        <v>362.29999999999995</v>
      </c>
      <c r="J381" s="6">
        <f>IF(I381&lt;Settings!$B$30,IF(Settings!$B$30-I381&gt;=E381,H381,H381+(Settings!$B$30-I381)+Settings!$B$31),H381+(Settings!$B$33-I381))</f>
        <v>362.29999999999995</v>
      </c>
      <c r="K381" s="6">
        <f t="shared" si="140"/>
        <v>386.31999999999994</v>
      </c>
      <c r="L381" s="6">
        <f t="shared" si="141"/>
        <v>386.31999999999994</v>
      </c>
      <c r="M381" s="6">
        <f t="shared" si="150"/>
        <v>362.56448471603392</v>
      </c>
      <c r="N381" s="6">
        <f t="shared" si="142"/>
        <v>386.31999999999994</v>
      </c>
      <c r="O381" s="6">
        <f>Arrivals!I381</f>
        <v>1.7541717895164668</v>
      </c>
      <c r="P381" s="6">
        <f t="shared" si="143"/>
        <v>388.07417178951641</v>
      </c>
      <c r="Q381" s="6">
        <f t="shared" si="144"/>
        <v>181.07417178951641</v>
      </c>
      <c r="R381" s="6">
        <f t="shared" si="145"/>
        <v>155.29999999999995</v>
      </c>
      <c r="S381" s="6">
        <f t="shared" si="146"/>
        <v>0</v>
      </c>
      <c r="T381" s="6">
        <f t="shared" si="147"/>
        <v>0</v>
      </c>
      <c r="U381" s="6">
        <f t="shared" si="148"/>
        <v>155.29999999999995</v>
      </c>
      <c r="V381" s="6" t="str">
        <f>IF(MOD(C381-Settings!$B$32,Settings!$B$33)&lt;Settings!$B$30,"Up","Down")</f>
        <v>Up</v>
      </c>
      <c r="W381" s="6">
        <f>IF(OR(E381&gt;Settings!$B$30,Q381&gt;Settings!$B$37),0,1)</f>
        <v>1</v>
      </c>
      <c r="X381" s="6">
        <f>IF(AND(W381=1,Q381&lt;=Settings!$B$36),1,0)</f>
        <v>0</v>
      </c>
    </row>
    <row r="382" spans="1:24" x14ac:dyDescent="0.2">
      <c r="A382">
        <f>Arrivals!A382</f>
        <v>4</v>
      </c>
      <c r="B382">
        <f>Arrivals!B382</f>
        <v>17</v>
      </c>
      <c r="C382" s="6">
        <f>Arrivals!F382</f>
        <v>212</v>
      </c>
      <c r="D382" s="6">
        <f>Arrivals!K382</f>
        <v>300</v>
      </c>
      <c r="E382" s="6">
        <f>D382*8/ACE_Input!S22+ACE_Input!T22</f>
        <v>24.02</v>
      </c>
      <c r="F382" s="6">
        <f t="shared" si="138"/>
        <v>212</v>
      </c>
      <c r="G382" s="6">
        <f t="shared" si="149"/>
        <v>386.31999999999994</v>
      </c>
      <c r="H382" s="6">
        <f t="shared" si="139"/>
        <v>386.31999999999994</v>
      </c>
      <c r="I382" s="6">
        <f>MOD(H382-Settings!$B$32,Settings!$B$33)</f>
        <v>386.31999999999994</v>
      </c>
      <c r="J382" s="6">
        <f>IF(I382&lt;Settings!$B$30,IF(Settings!$B$30-I382&gt;=E382,H382,H382+(Settings!$B$30-I382)+Settings!$B$31),H382+(Settings!$B$33-I382))</f>
        <v>386.31999999999994</v>
      </c>
      <c r="K382" s="6">
        <f t="shared" si="140"/>
        <v>410.33999999999992</v>
      </c>
      <c r="L382" s="6">
        <f t="shared" si="141"/>
        <v>410.33999999999992</v>
      </c>
      <c r="M382" s="6">
        <f t="shared" si="150"/>
        <v>388.07417178951641</v>
      </c>
      <c r="N382" s="6">
        <f t="shared" si="142"/>
        <v>410.33999999999992</v>
      </c>
      <c r="O382" s="6">
        <f>Arrivals!I382</f>
        <v>9.0832307875234637</v>
      </c>
      <c r="P382" s="6">
        <f t="shared" si="143"/>
        <v>419.42323078752338</v>
      </c>
      <c r="Q382" s="6">
        <f t="shared" si="144"/>
        <v>207.42323078752338</v>
      </c>
      <c r="R382" s="6">
        <f t="shared" si="145"/>
        <v>174.31999999999994</v>
      </c>
      <c r="S382" s="6">
        <f t="shared" si="146"/>
        <v>0</v>
      </c>
      <c r="T382" s="6">
        <f t="shared" si="147"/>
        <v>0</v>
      </c>
      <c r="U382" s="6">
        <f t="shared" si="148"/>
        <v>174.31999999999994</v>
      </c>
      <c r="V382" s="6" t="str">
        <f>IF(MOD(C382-Settings!$B$32,Settings!$B$33)&lt;Settings!$B$30,"Up","Down")</f>
        <v>Up</v>
      </c>
      <c r="W382" s="6">
        <f>IF(OR(E382&gt;Settings!$B$30,Q382&gt;Settings!$B$37),0,1)</f>
        <v>1</v>
      </c>
      <c r="X382" s="6">
        <f>IF(AND(W382=1,Q382&lt;=Settings!$B$36),1,0)</f>
        <v>0</v>
      </c>
    </row>
    <row r="383" spans="1:24" x14ac:dyDescent="0.2">
      <c r="A383">
        <f>Arrivals!A383</f>
        <v>4</v>
      </c>
      <c r="B383">
        <f>Arrivals!B383</f>
        <v>18</v>
      </c>
      <c r="C383" s="6">
        <f>Arrivals!F383</f>
        <v>217</v>
      </c>
      <c r="D383" s="6">
        <f>Arrivals!K383</f>
        <v>300</v>
      </c>
      <c r="E383" s="6">
        <f>D383*8/ACE_Input!S23+ACE_Input!T23</f>
        <v>24.02</v>
      </c>
      <c r="F383" s="6">
        <f t="shared" si="138"/>
        <v>217</v>
      </c>
      <c r="G383" s="6">
        <f t="shared" si="149"/>
        <v>410.33999999999992</v>
      </c>
      <c r="H383" s="6">
        <f t="shared" si="139"/>
        <v>410.33999999999992</v>
      </c>
      <c r="I383" s="6">
        <f>MOD(H383-Settings!$B$32,Settings!$B$33)</f>
        <v>410.33999999999992</v>
      </c>
      <c r="J383" s="6">
        <f>IF(I383&lt;Settings!$B$30,IF(Settings!$B$30-I383&gt;=E383,H383,H383+(Settings!$B$30-I383)+Settings!$B$31),H383+(Settings!$B$33-I383))</f>
        <v>410.33999999999992</v>
      </c>
      <c r="K383" s="6">
        <f t="shared" si="140"/>
        <v>434.3599999999999</v>
      </c>
      <c r="L383" s="6">
        <f t="shared" si="141"/>
        <v>434.3599999999999</v>
      </c>
      <c r="M383" s="6">
        <f t="shared" si="150"/>
        <v>419.42323078752338</v>
      </c>
      <c r="N383" s="6">
        <f t="shared" si="142"/>
        <v>434.3599999999999</v>
      </c>
      <c r="O383" s="6">
        <f>Arrivals!I383</f>
        <v>0.13870525381720342</v>
      </c>
      <c r="P383" s="6">
        <f t="shared" si="143"/>
        <v>434.49870525381709</v>
      </c>
      <c r="Q383" s="6">
        <f t="shared" si="144"/>
        <v>217.49870525381709</v>
      </c>
      <c r="R383" s="6">
        <f t="shared" si="145"/>
        <v>193.33999999999992</v>
      </c>
      <c r="S383" s="6">
        <f t="shared" si="146"/>
        <v>0</v>
      </c>
      <c r="T383" s="6">
        <f t="shared" si="147"/>
        <v>0</v>
      </c>
      <c r="U383" s="6">
        <f t="shared" si="148"/>
        <v>193.33999999999992</v>
      </c>
      <c r="V383" s="6" t="str">
        <f>IF(MOD(C383-Settings!$B$32,Settings!$B$33)&lt;Settings!$B$30,"Up","Down")</f>
        <v>Up</v>
      </c>
      <c r="W383" s="6">
        <f>IF(OR(E383&gt;Settings!$B$30,Q383&gt;Settings!$B$37),0,1)</f>
        <v>1</v>
      </c>
      <c r="X383" s="6">
        <f>IF(AND(W383=1,Q383&lt;=Settings!$B$36),1,0)</f>
        <v>0</v>
      </c>
    </row>
    <row r="384" spans="1:24" x14ac:dyDescent="0.2">
      <c r="A384">
        <f>Arrivals!A384</f>
        <v>4</v>
      </c>
      <c r="B384">
        <f>Arrivals!B384</f>
        <v>19</v>
      </c>
      <c r="C384" s="6">
        <f>Arrivals!F384</f>
        <v>222</v>
      </c>
      <c r="D384" s="6">
        <f>Arrivals!K384</f>
        <v>300</v>
      </c>
      <c r="E384" s="6">
        <f>D384*8/ACE_Input!S24+ACE_Input!T24</f>
        <v>24.02</v>
      </c>
      <c r="F384" s="6">
        <f t="shared" si="138"/>
        <v>222</v>
      </c>
      <c r="G384" s="6">
        <f t="shared" si="149"/>
        <v>434.3599999999999</v>
      </c>
      <c r="H384" s="6">
        <f t="shared" si="139"/>
        <v>434.3599999999999</v>
      </c>
      <c r="I384" s="6">
        <f>MOD(H384-Settings!$B$32,Settings!$B$33)</f>
        <v>434.3599999999999</v>
      </c>
      <c r="J384" s="6">
        <f>IF(I384&lt;Settings!$B$30,IF(Settings!$B$30-I384&gt;=E384,H384,H384+(Settings!$B$30-I384)+Settings!$B$31),H384+(Settings!$B$33-I384))</f>
        <v>434.3599999999999</v>
      </c>
      <c r="K384" s="6">
        <f t="shared" si="140"/>
        <v>458.37999999999988</v>
      </c>
      <c r="L384" s="6">
        <f t="shared" si="141"/>
        <v>458.37999999999988</v>
      </c>
      <c r="M384" s="6">
        <f t="shared" si="150"/>
        <v>434.49870525381709</v>
      </c>
      <c r="N384" s="6">
        <f t="shared" si="142"/>
        <v>458.37999999999988</v>
      </c>
      <c r="O384" s="6">
        <f>Arrivals!I384</f>
        <v>6.7676346100263194</v>
      </c>
      <c r="P384" s="6">
        <f t="shared" si="143"/>
        <v>465.14763461002622</v>
      </c>
      <c r="Q384" s="6">
        <f t="shared" si="144"/>
        <v>243.14763461002622</v>
      </c>
      <c r="R384" s="6">
        <f t="shared" si="145"/>
        <v>212.3599999999999</v>
      </c>
      <c r="S384" s="6">
        <f t="shared" si="146"/>
        <v>0</v>
      </c>
      <c r="T384" s="6">
        <f t="shared" si="147"/>
        <v>0</v>
      </c>
      <c r="U384" s="6">
        <f t="shared" si="148"/>
        <v>212.3599999999999</v>
      </c>
      <c r="V384" s="6" t="str">
        <f>IF(MOD(C384-Settings!$B$32,Settings!$B$33)&lt;Settings!$B$30,"Up","Down")</f>
        <v>Up</v>
      </c>
      <c r="W384" s="6">
        <f>IF(OR(E384&gt;Settings!$B$30,Q384&gt;Settings!$B$37),0,1)</f>
        <v>1</v>
      </c>
      <c r="X384" s="6">
        <f>IF(AND(W384=1,Q384&lt;=Settings!$B$36),1,0)</f>
        <v>0</v>
      </c>
    </row>
    <row r="385" spans="1:24" x14ac:dyDescent="0.2">
      <c r="A385">
        <f>Arrivals!A385</f>
        <v>4</v>
      </c>
      <c r="B385">
        <f>Arrivals!B385</f>
        <v>20</v>
      </c>
      <c r="C385" s="6">
        <f>Arrivals!F385</f>
        <v>227</v>
      </c>
      <c r="D385" s="6">
        <f>Arrivals!K385</f>
        <v>300</v>
      </c>
      <c r="E385" s="6">
        <f>D385*8/ACE_Input!S25+ACE_Input!T25</f>
        <v>24.02</v>
      </c>
      <c r="F385" s="6">
        <f t="shared" si="138"/>
        <v>227</v>
      </c>
      <c r="G385" s="6">
        <f t="shared" si="149"/>
        <v>458.37999999999988</v>
      </c>
      <c r="H385" s="6">
        <f t="shared" si="139"/>
        <v>458.37999999999988</v>
      </c>
      <c r="I385" s="6">
        <f>MOD(H385-Settings!$B$32,Settings!$B$33)</f>
        <v>458.37999999999988</v>
      </c>
      <c r="J385" s="6">
        <f>IF(I385&lt;Settings!$B$30,IF(Settings!$B$30-I385&gt;=E385,H385,H385+(Settings!$B$30-I385)+Settings!$B$31),H385+(Settings!$B$33-I385))</f>
        <v>458.37999999999988</v>
      </c>
      <c r="K385" s="6">
        <f t="shared" si="140"/>
        <v>482.39999999999986</v>
      </c>
      <c r="L385" s="6">
        <f t="shared" si="141"/>
        <v>482.39999999999986</v>
      </c>
      <c r="M385" s="6">
        <f t="shared" si="150"/>
        <v>465.14763461002622</v>
      </c>
      <c r="N385" s="6">
        <f t="shared" si="142"/>
        <v>482.39999999999986</v>
      </c>
      <c r="O385" s="6">
        <f>Arrivals!I385</f>
        <v>4.734925276286055</v>
      </c>
      <c r="P385" s="6">
        <f t="shared" si="143"/>
        <v>487.13492527628591</v>
      </c>
      <c r="Q385" s="6">
        <f t="shared" si="144"/>
        <v>260.13492527628591</v>
      </c>
      <c r="R385" s="6">
        <f t="shared" si="145"/>
        <v>231.37999999999988</v>
      </c>
      <c r="S385" s="6">
        <f t="shared" si="146"/>
        <v>0</v>
      </c>
      <c r="T385" s="6">
        <f t="shared" si="147"/>
        <v>0</v>
      </c>
      <c r="U385" s="6">
        <f t="shared" si="148"/>
        <v>231.37999999999988</v>
      </c>
      <c r="V385" s="6" t="str">
        <f>IF(MOD(C385-Settings!$B$32,Settings!$B$33)&lt;Settings!$B$30,"Up","Down")</f>
        <v>Up</v>
      </c>
      <c r="W385" s="6">
        <f>IF(OR(E385&gt;Settings!$B$30,Q385&gt;Settings!$B$37),0,1)</f>
        <v>1</v>
      </c>
      <c r="X385" s="6">
        <f>IF(AND(W385=1,Q385&lt;=Settings!$B$36),1,0)</f>
        <v>0</v>
      </c>
    </row>
    <row r="386" spans="1:24" x14ac:dyDescent="0.2">
      <c r="A386">
        <f>Arrivals!A386</f>
        <v>4</v>
      </c>
      <c r="B386">
        <f>Arrivals!B386</f>
        <v>21</v>
      </c>
      <c r="C386" s="6">
        <f>Arrivals!F386</f>
        <v>232</v>
      </c>
      <c r="D386" s="6">
        <f>Arrivals!K386</f>
        <v>300</v>
      </c>
      <c r="E386" s="6">
        <f>D386*8/ACE_Input!S26+ACE_Input!T26</f>
        <v>24.02</v>
      </c>
      <c r="F386" s="6">
        <f t="shared" si="138"/>
        <v>232</v>
      </c>
      <c r="G386" s="6">
        <f t="shared" si="149"/>
        <v>482.39999999999986</v>
      </c>
      <c r="H386" s="6">
        <f t="shared" si="139"/>
        <v>482.39999999999986</v>
      </c>
      <c r="I386" s="6">
        <f>MOD(H386-Settings!$B$32,Settings!$B$33)</f>
        <v>482.39999999999986</v>
      </c>
      <c r="J386" s="6">
        <f>IF(I386&lt;Settings!$B$30,IF(Settings!$B$30-I386&gt;=E386,H386,H386+(Settings!$B$30-I386)+Settings!$B$31),H386+(Settings!$B$33-I386))</f>
        <v>482.39999999999986</v>
      </c>
      <c r="K386" s="6">
        <f t="shared" si="140"/>
        <v>506.41999999999985</v>
      </c>
      <c r="L386" s="6">
        <f t="shared" si="141"/>
        <v>506.41999999999985</v>
      </c>
      <c r="M386" s="6">
        <f t="shared" si="150"/>
        <v>487.13492527628591</v>
      </c>
      <c r="N386" s="6">
        <f t="shared" si="142"/>
        <v>506.41999999999985</v>
      </c>
      <c r="O386" s="6">
        <f>Arrivals!I386</f>
        <v>6.4474362891910975</v>
      </c>
      <c r="P386" s="6">
        <f t="shared" si="143"/>
        <v>512.86743628919089</v>
      </c>
      <c r="Q386" s="6">
        <f t="shared" si="144"/>
        <v>280.86743628919089</v>
      </c>
      <c r="R386" s="6">
        <f t="shared" si="145"/>
        <v>250.39999999999986</v>
      </c>
      <c r="S386" s="6">
        <f t="shared" si="146"/>
        <v>0</v>
      </c>
      <c r="T386" s="6">
        <f t="shared" si="147"/>
        <v>0</v>
      </c>
      <c r="U386" s="6">
        <f t="shared" si="148"/>
        <v>250.39999999999986</v>
      </c>
      <c r="V386" s="6" t="str">
        <f>IF(MOD(C386-Settings!$B$32,Settings!$B$33)&lt;Settings!$B$30,"Up","Down")</f>
        <v>Up</v>
      </c>
      <c r="W386" s="6">
        <f>IF(OR(E386&gt;Settings!$B$30,Q386&gt;Settings!$B$37),0,1)</f>
        <v>1</v>
      </c>
      <c r="X386" s="6">
        <f>IF(AND(W386=1,Q386&lt;=Settings!$B$36),1,0)</f>
        <v>0</v>
      </c>
    </row>
    <row r="387" spans="1:24" x14ac:dyDescent="0.2">
      <c r="A387">
        <f>Arrivals!A387</f>
        <v>4</v>
      </c>
      <c r="B387">
        <f>Arrivals!B387</f>
        <v>22</v>
      </c>
      <c r="C387" s="6">
        <f>Arrivals!F387</f>
        <v>237</v>
      </c>
      <c r="D387" s="6">
        <f>Arrivals!K387</f>
        <v>300</v>
      </c>
      <c r="E387" s="6">
        <f>D387*8/ACE_Input!S27+ACE_Input!T27</f>
        <v>24.02</v>
      </c>
      <c r="F387" s="6">
        <f t="shared" si="138"/>
        <v>237</v>
      </c>
      <c r="G387" s="6">
        <f t="shared" si="149"/>
        <v>506.41999999999985</v>
      </c>
      <c r="H387" s="6">
        <f t="shared" si="139"/>
        <v>506.41999999999985</v>
      </c>
      <c r="I387" s="6">
        <f>MOD(H387-Settings!$B$32,Settings!$B$33)</f>
        <v>506.41999999999985</v>
      </c>
      <c r="J387" s="6">
        <f>IF(I387&lt;Settings!$B$30,IF(Settings!$B$30-I387&gt;=E387,H387,H387+(Settings!$B$30-I387)+Settings!$B$31),H387+(Settings!$B$33-I387))</f>
        <v>506.41999999999985</v>
      </c>
      <c r="K387" s="6">
        <f t="shared" si="140"/>
        <v>530.43999999999983</v>
      </c>
      <c r="L387" s="6">
        <f t="shared" si="141"/>
        <v>530.43999999999983</v>
      </c>
      <c r="M387" s="6">
        <f t="shared" si="150"/>
        <v>512.86743628919089</v>
      </c>
      <c r="N387" s="6">
        <f t="shared" si="142"/>
        <v>530.43999999999983</v>
      </c>
      <c r="O387" s="6">
        <f>Arrivals!I387</f>
        <v>5.2172714295956579</v>
      </c>
      <c r="P387" s="6">
        <f t="shared" si="143"/>
        <v>535.65727142959554</v>
      </c>
      <c r="Q387" s="6">
        <f t="shared" si="144"/>
        <v>298.65727142959554</v>
      </c>
      <c r="R387" s="6">
        <f t="shared" si="145"/>
        <v>269.41999999999985</v>
      </c>
      <c r="S387" s="6">
        <f t="shared" si="146"/>
        <v>0</v>
      </c>
      <c r="T387" s="6">
        <f t="shared" si="147"/>
        <v>0</v>
      </c>
      <c r="U387" s="6">
        <f t="shared" si="148"/>
        <v>269.41999999999985</v>
      </c>
      <c r="V387" s="6" t="str">
        <f>IF(MOD(C387-Settings!$B$32,Settings!$B$33)&lt;Settings!$B$30,"Up","Down")</f>
        <v>Up</v>
      </c>
      <c r="W387" s="6">
        <f>IF(OR(E387&gt;Settings!$B$30,Q387&gt;Settings!$B$37),0,1)</f>
        <v>1</v>
      </c>
      <c r="X387" s="6">
        <f>IF(AND(W387=1,Q387&lt;=Settings!$B$36),1,0)</f>
        <v>0</v>
      </c>
    </row>
    <row r="388" spans="1:24" x14ac:dyDescent="0.2">
      <c r="A388">
        <f>Arrivals!A388</f>
        <v>4</v>
      </c>
      <c r="B388">
        <f>Arrivals!B388</f>
        <v>23</v>
      </c>
      <c r="C388" s="6">
        <f>Arrivals!F388</f>
        <v>242</v>
      </c>
      <c r="D388" s="6">
        <f>Arrivals!K388</f>
        <v>300</v>
      </c>
      <c r="E388" s="6">
        <f>D388*8/ACE_Input!S28+ACE_Input!T28</f>
        <v>24.02</v>
      </c>
      <c r="F388" s="6">
        <f t="shared" si="138"/>
        <v>242</v>
      </c>
      <c r="G388" s="6">
        <f t="shared" si="149"/>
        <v>530.43999999999983</v>
      </c>
      <c r="H388" s="6">
        <f t="shared" si="139"/>
        <v>530.43999999999983</v>
      </c>
      <c r="I388" s="6">
        <f>MOD(H388-Settings!$B$32,Settings!$B$33)</f>
        <v>530.43999999999983</v>
      </c>
      <c r="J388" s="6">
        <f>IF(I388&lt;Settings!$B$30,IF(Settings!$B$30-I388&gt;=E388,H388,H388+(Settings!$B$30-I388)+Settings!$B$31),H388+(Settings!$B$33-I388))</f>
        <v>530.43999999999983</v>
      </c>
      <c r="K388" s="6">
        <f t="shared" si="140"/>
        <v>554.45999999999981</v>
      </c>
      <c r="L388" s="6">
        <f t="shared" si="141"/>
        <v>554.45999999999981</v>
      </c>
      <c r="M388" s="6">
        <f t="shared" si="150"/>
        <v>535.65727142959554</v>
      </c>
      <c r="N388" s="6">
        <f t="shared" si="142"/>
        <v>554.45999999999981</v>
      </c>
      <c r="O388" s="6">
        <f>Arrivals!I388</f>
        <v>1.3880977657314235</v>
      </c>
      <c r="P388" s="6">
        <f t="shared" si="143"/>
        <v>555.84809776573127</v>
      </c>
      <c r="Q388" s="6">
        <f t="shared" si="144"/>
        <v>313.84809776573127</v>
      </c>
      <c r="R388" s="6">
        <f t="shared" si="145"/>
        <v>288.43999999999983</v>
      </c>
      <c r="S388" s="6">
        <f t="shared" si="146"/>
        <v>0</v>
      </c>
      <c r="T388" s="6">
        <f t="shared" si="147"/>
        <v>0</v>
      </c>
      <c r="U388" s="6">
        <f t="shared" si="148"/>
        <v>288.43999999999983</v>
      </c>
      <c r="V388" s="6" t="str">
        <f>IF(MOD(C388-Settings!$B$32,Settings!$B$33)&lt;Settings!$B$30,"Up","Down")</f>
        <v>Up</v>
      </c>
      <c r="W388" s="6">
        <f>IF(OR(E388&gt;Settings!$B$30,Q388&gt;Settings!$B$37),0,1)</f>
        <v>1</v>
      </c>
      <c r="X388" s="6">
        <f>IF(AND(W388=1,Q388&lt;=Settings!$B$36),1,0)</f>
        <v>0</v>
      </c>
    </row>
    <row r="389" spans="1:24" x14ac:dyDescent="0.2">
      <c r="A389">
        <f>Arrivals!A389</f>
        <v>4</v>
      </c>
      <c r="B389">
        <f>Arrivals!B389</f>
        <v>24</v>
      </c>
      <c r="C389" s="6">
        <f>Arrivals!F389</f>
        <v>247</v>
      </c>
      <c r="D389" s="6">
        <f>Arrivals!K389</f>
        <v>300</v>
      </c>
      <c r="E389" s="6">
        <f>D389*8/ACE_Input!S29+ACE_Input!T29</f>
        <v>24.02</v>
      </c>
      <c r="F389" s="6">
        <f t="shared" si="138"/>
        <v>247</v>
      </c>
      <c r="G389" s="6">
        <f t="shared" si="149"/>
        <v>554.45999999999981</v>
      </c>
      <c r="H389" s="6">
        <f t="shared" si="139"/>
        <v>554.45999999999981</v>
      </c>
      <c r="I389" s="6">
        <f>MOD(H389-Settings!$B$32,Settings!$B$33)</f>
        <v>554.45999999999981</v>
      </c>
      <c r="J389" s="6">
        <f>IF(I389&lt;Settings!$B$30,IF(Settings!$B$30-I389&gt;=E389,H389,H389+(Settings!$B$30-I389)+Settings!$B$31),H389+(Settings!$B$33-I389))</f>
        <v>554.45999999999981</v>
      </c>
      <c r="K389" s="6">
        <f t="shared" si="140"/>
        <v>578.47999999999979</v>
      </c>
      <c r="L389" s="6">
        <f t="shared" si="141"/>
        <v>578.47999999999979</v>
      </c>
      <c r="M389" s="6">
        <f t="shared" si="150"/>
        <v>555.84809776573127</v>
      </c>
      <c r="N389" s="6">
        <f t="shared" si="142"/>
        <v>578.47999999999979</v>
      </c>
      <c r="O389" s="6">
        <f>Arrivals!I389</f>
        <v>5.3115009491503877E-2</v>
      </c>
      <c r="P389" s="6">
        <f t="shared" si="143"/>
        <v>578.53311500949133</v>
      </c>
      <c r="Q389" s="6">
        <f t="shared" si="144"/>
        <v>331.53311500949133</v>
      </c>
      <c r="R389" s="6">
        <f t="shared" si="145"/>
        <v>307.45999999999981</v>
      </c>
      <c r="S389" s="6">
        <f t="shared" si="146"/>
        <v>0</v>
      </c>
      <c r="T389" s="6">
        <f t="shared" si="147"/>
        <v>0</v>
      </c>
      <c r="U389" s="6">
        <f t="shared" si="148"/>
        <v>307.45999999999981</v>
      </c>
      <c r="V389" s="6" t="str">
        <f>IF(MOD(C389-Settings!$B$32,Settings!$B$33)&lt;Settings!$B$30,"Up","Down")</f>
        <v>Up</v>
      </c>
      <c r="W389" s="6">
        <f>IF(OR(E389&gt;Settings!$B$30,Q389&gt;Settings!$B$37),0,1)</f>
        <v>1</v>
      </c>
      <c r="X389" s="6">
        <f>IF(AND(W389=1,Q389&lt;=Settings!$B$36),1,0)</f>
        <v>0</v>
      </c>
    </row>
    <row r="390" spans="1:24" x14ac:dyDescent="0.2">
      <c r="A390">
        <f>Arrivals!A390</f>
        <v>4</v>
      </c>
      <c r="B390">
        <f>Arrivals!B390</f>
        <v>25</v>
      </c>
      <c r="C390" s="6">
        <f>Arrivals!F390</f>
        <v>252</v>
      </c>
      <c r="D390" s="6">
        <f>Arrivals!K390</f>
        <v>300</v>
      </c>
      <c r="E390" s="6">
        <f>D390*8/ACE_Input!S30+ACE_Input!T30</f>
        <v>24.02</v>
      </c>
      <c r="F390" s="6">
        <f t="shared" si="138"/>
        <v>252</v>
      </c>
      <c r="G390" s="6">
        <f t="shared" si="149"/>
        <v>578.47999999999979</v>
      </c>
      <c r="H390" s="6">
        <f t="shared" si="139"/>
        <v>578.47999999999979</v>
      </c>
      <c r="I390" s="6">
        <f>MOD(H390-Settings!$B$32,Settings!$B$33)</f>
        <v>578.47999999999979</v>
      </c>
      <c r="J390" s="6">
        <f>IF(I390&lt;Settings!$B$30,IF(Settings!$B$30-I390&gt;=E390,H390,H390+(Settings!$B$30-I390)+Settings!$B$31),H390+(Settings!$B$33-I390))</f>
        <v>720</v>
      </c>
      <c r="K390" s="6">
        <f t="shared" si="140"/>
        <v>744.02</v>
      </c>
      <c r="L390" s="6">
        <f t="shared" si="141"/>
        <v>744.02</v>
      </c>
      <c r="M390" s="6">
        <f t="shared" si="150"/>
        <v>578.53311500949133</v>
      </c>
      <c r="N390" s="6">
        <f t="shared" si="142"/>
        <v>744.02</v>
      </c>
      <c r="O390" s="6">
        <f>Arrivals!I390</f>
        <v>4.8262867074181344</v>
      </c>
      <c r="P390" s="6">
        <f t="shared" si="143"/>
        <v>748.84628670741813</v>
      </c>
      <c r="Q390" s="6">
        <f t="shared" si="144"/>
        <v>496.84628670741813</v>
      </c>
      <c r="R390" s="6">
        <f t="shared" si="145"/>
        <v>326.47999999999979</v>
      </c>
      <c r="S390" s="6">
        <f t="shared" si="146"/>
        <v>141.52000000000021</v>
      </c>
      <c r="T390" s="6">
        <f t="shared" si="147"/>
        <v>0</v>
      </c>
      <c r="U390" s="6">
        <f t="shared" si="148"/>
        <v>468</v>
      </c>
      <c r="V390" s="6" t="str">
        <f>IF(MOD(C390-Settings!$B$32,Settings!$B$33)&lt;Settings!$B$30,"Up","Down")</f>
        <v>Up</v>
      </c>
      <c r="W390" s="6">
        <f>IF(OR(E390&gt;Settings!$B$30,Q390&gt;Settings!$B$37),0,1)</f>
        <v>1</v>
      </c>
      <c r="X390" s="6">
        <f>IF(AND(W390=1,Q390&lt;=Settings!$B$36),1,0)</f>
        <v>0</v>
      </c>
    </row>
    <row r="391" spans="1:24" x14ac:dyDescent="0.2">
      <c r="A391">
        <f>Arrivals!A391</f>
        <v>4</v>
      </c>
      <c r="B391">
        <f>Arrivals!B391</f>
        <v>26</v>
      </c>
      <c r="C391" s="6">
        <f>Arrivals!F391</f>
        <v>257</v>
      </c>
      <c r="D391" s="6">
        <f>Arrivals!K391</f>
        <v>300</v>
      </c>
      <c r="E391" s="6">
        <f>D391*8/ACE_Input!S31+ACE_Input!T31</f>
        <v>24.02</v>
      </c>
      <c r="F391" s="6">
        <f t="shared" si="138"/>
        <v>257</v>
      </c>
      <c r="G391" s="6">
        <f t="shared" si="149"/>
        <v>744.02</v>
      </c>
      <c r="H391" s="6">
        <f t="shared" si="139"/>
        <v>744.02</v>
      </c>
      <c r="I391" s="6">
        <f>MOD(H391-Settings!$B$32,Settings!$B$33)</f>
        <v>24.019999999999982</v>
      </c>
      <c r="J391" s="6">
        <f>IF(I391&lt;Settings!$B$30,IF(Settings!$B$30-I391&gt;=E391,H391,H391+(Settings!$B$30-I391)+Settings!$B$31),H391+(Settings!$B$33-I391))</f>
        <v>744.02</v>
      </c>
      <c r="K391" s="6">
        <f t="shared" si="140"/>
        <v>768.04</v>
      </c>
      <c r="L391" s="6">
        <f t="shared" si="141"/>
        <v>768.04</v>
      </c>
      <c r="M391" s="6">
        <f t="shared" si="150"/>
        <v>748.84628670741813</v>
      </c>
      <c r="N391" s="6">
        <f t="shared" si="142"/>
        <v>768.04</v>
      </c>
      <c r="O391" s="6">
        <f>Arrivals!I391</f>
        <v>17.298775144132176</v>
      </c>
      <c r="P391" s="6">
        <f t="shared" si="143"/>
        <v>785.33877514413211</v>
      </c>
      <c r="Q391" s="6">
        <f t="shared" si="144"/>
        <v>528.33877514413211</v>
      </c>
      <c r="R391" s="6">
        <f t="shared" si="145"/>
        <v>487.02</v>
      </c>
      <c r="S391" s="6">
        <f t="shared" si="146"/>
        <v>0</v>
      </c>
      <c r="T391" s="6">
        <f t="shared" si="147"/>
        <v>0</v>
      </c>
      <c r="U391" s="6">
        <f t="shared" si="148"/>
        <v>487.02</v>
      </c>
      <c r="V391" s="6" t="str">
        <f>IF(MOD(C391-Settings!$B$32,Settings!$B$33)&lt;Settings!$B$30,"Up","Down")</f>
        <v>Up</v>
      </c>
      <c r="W391" s="6">
        <f>IF(OR(E391&gt;Settings!$B$30,Q391&gt;Settings!$B$37),0,1)</f>
        <v>1</v>
      </c>
      <c r="X391" s="6">
        <f>IF(AND(W391=1,Q391&lt;=Settings!$B$36),1,0)</f>
        <v>0</v>
      </c>
    </row>
    <row r="392" spans="1:24" x14ac:dyDescent="0.2">
      <c r="A392">
        <f>Arrivals!A392</f>
        <v>4</v>
      </c>
      <c r="B392">
        <f>Arrivals!B392</f>
        <v>27</v>
      </c>
      <c r="C392" s="6">
        <f>Arrivals!F392</f>
        <v>262</v>
      </c>
      <c r="D392" s="6">
        <f>Arrivals!K392</f>
        <v>300</v>
      </c>
      <c r="E392" s="6">
        <f>D392*8/ACE_Input!S32+ACE_Input!T32</f>
        <v>24.02</v>
      </c>
      <c r="F392" s="6">
        <f t="shared" si="138"/>
        <v>262</v>
      </c>
      <c r="G392" s="6">
        <f t="shared" si="149"/>
        <v>768.04</v>
      </c>
      <c r="H392" s="6">
        <f t="shared" si="139"/>
        <v>768.04</v>
      </c>
      <c r="I392" s="6">
        <f>MOD(H392-Settings!$B$32,Settings!$B$33)</f>
        <v>48.039999999999964</v>
      </c>
      <c r="J392" s="6">
        <f>IF(I392&lt;Settings!$B$30,IF(Settings!$B$30-I392&gt;=E392,H392,H392+(Settings!$B$30-I392)+Settings!$B$31),H392+(Settings!$B$33-I392))</f>
        <v>768.04</v>
      </c>
      <c r="K392" s="6">
        <f t="shared" si="140"/>
        <v>792.06</v>
      </c>
      <c r="L392" s="6">
        <f t="shared" si="141"/>
        <v>792.06</v>
      </c>
      <c r="M392" s="6">
        <f t="shared" si="150"/>
        <v>785.33877514413211</v>
      </c>
      <c r="N392" s="6">
        <f t="shared" si="142"/>
        <v>792.06</v>
      </c>
      <c r="O392" s="6">
        <f>Arrivals!I392</f>
        <v>2.8994276755205952</v>
      </c>
      <c r="P392" s="6">
        <f t="shared" si="143"/>
        <v>794.95942767552049</v>
      </c>
      <c r="Q392" s="6">
        <f t="shared" si="144"/>
        <v>532.95942767552049</v>
      </c>
      <c r="R392" s="6">
        <f t="shared" si="145"/>
        <v>506.03999999999996</v>
      </c>
      <c r="S392" s="6">
        <f t="shared" si="146"/>
        <v>0</v>
      </c>
      <c r="T392" s="6">
        <f t="shared" si="147"/>
        <v>0</v>
      </c>
      <c r="U392" s="6">
        <f t="shared" si="148"/>
        <v>506.03999999999996</v>
      </c>
      <c r="V392" s="6" t="str">
        <f>IF(MOD(C392-Settings!$B$32,Settings!$B$33)&lt;Settings!$B$30,"Up","Down")</f>
        <v>Up</v>
      </c>
      <c r="W392" s="6">
        <f>IF(OR(E392&gt;Settings!$B$30,Q392&gt;Settings!$B$37),0,1)</f>
        <v>1</v>
      </c>
      <c r="X392" s="6">
        <f>IF(AND(W392=1,Q392&lt;=Settings!$B$36),1,0)</f>
        <v>0</v>
      </c>
    </row>
    <row r="393" spans="1:24" x14ac:dyDescent="0.2">
      <c r="A393">
        <f>Arrivals!A393</f>
        <v>4</v>
      </c>
      <c r="B393">
        <f>Arrivals!B393</f>
        <v>28</v>
      </c>
      <c r="C393" s="6">
        <f>Arrivals!F393</f>
        <v>268</v>
      </c>
      <c r="D393" s="6">
        <f>Arrivals!K393</f>
        <v>300</v>
      </c>
      <c r="E393" s="6">
        <f>D393*8/ACE_Input!S33+ACE_Input!T33</f>
        <v>24.02</v>
      </c>
      <c r="F393" s="6">
        <f t="shared" si="138"/>
        <v>268</v>
      </c>
      <c r="G393" s="6">
        <f t="shared" si="149"/>
        <v>792.06</v>
      </c>
      <c r="H393" s="6">
        <f t="shared" si="139"/>
        <v>792.06</v>
      </c>
      <c r="I393" s="6">
        <f>MOD(H393-Settings!$B$32,Settings!$B$33)</f>
        <v>72.059999999999945</v>
      </c>
      <c r="J393" s="6">
        <f>IF(I393&lt;Settings!$B$30,IF(Settings!$B$30-I393&gt;=E393,H393,H393+(Settings!$B$30-I393)+Settings!$B$31),H393+(Settings!$B$33-I393))</f>
        <v>792.06</v>
      </c>
      <c r="K393" s="6">
        <f t="shared" si="140"/>
        <v>816.07999999999993</v>
      </c>
      <c r="L393" s="6">
        <f t="shared" si="141"/>
        <v>816.07999999999993</v>
      </c>
      <c r="M393" s="6">
        <f t="shared" si="150"/>
        <v>794.95942767552049</v>
      </c>
      <c r="N393" s="6">
        <f t="shared" si="142"/>
        <v>816.07999999999993</v>
      </c>
      <c r="O393" s="6">
        <f>Arrivals!I393</f>
        <v>6.284712344964607</v>
      </c>
      <c r="P393" s="6">
        <f t="shared" si="143"/>
        <v>822.36471234496457</v>
      </c>
      <c r="Q393" s="6">
        <f t="shared" si="144"/>
        <v>554.36471234496457</v>
      </c>
      <c r="R393" s="6">
        <f t="shared" si="145"/>
        <v>524.05999999999995</v>
      </c>
      <c r="S393" s="6">
        <f t="shared" si="146"/>
        <v>0</v>
      </c>
      <c r="T393" s="6">
        <f t="shared" si="147"/>
        <v>0</v>
      </c>
      <c r="U393" s="6">
        <f t="shared" si="148"/>
        <v>524.05999999999995</v>
      </c>
      <c r="V393" s="6" t="str">
        <f>IF(MOD(C393-Settings!$B$32,Settings!$B$33)&lt;Settings!$B$30,"Up","Down")</f>
        <v>Up</v>
      </c>
      <c r="W393" s="6">
        <f>IF(OR(E393&gt;Settings!$B$30,Q393&gt;Settings!$B$37),0,1)</f>
        <v>1</v>
      </c>
      <c r="X393" s="6">
        <f>IF(AND(W393=1,Q393&lt;=Settings!$B$36),1,0)</f>
        <v>0</v>
      </c>
    </row>
    <row r="394" spans="1:24" x14ac:dyDescent="0.2">
      <c r="A394">
        <f>Arrivals!A394</f>
        <v>4</v>
      </c>
      <c r="B394">
        <f>Arrivals!B394</f>
        <v>29</v>
      </c>
      <c r="C394" s="6">
        <f>Arrivals!F394</f>
        <v>273</v>
      </c>
      <c r="D394" s="6">
        <f>Arrivals!K394</f>
        <v>300</v>
      </c>
      <c r="E394" s="6">
        <f>D394*8/ACE_Input!S34+ACE_Input!T34</f>
        <v>24.02</v>
      </c>
      <c r="F394" s="6">
        <f t="shared" si="138"/>
        <v>273</v>
      </c>
      <c r="G394" s="6">
        <f t="shared" si="149"/>
        <v>816.07999999999993</v>
      </c>
      <c r="H394" s="6">
        <f t="shared" si="139"/>
        <v>816.07999999999993</v>
      </c>
      <c r="I394" s="6">
        <f>MOD(H394-Settings!$B$32,Settings!$B$33)</f>
        <v>96.079999999999927</v>
      </c>
      <c r="J394" s="6">
        <f>IF(I394&lt;Settings!$B$30,IF(Settings!$B$30-I394&gt;=E394,H394,H394+(Settings!$B$30-I394)+Settings!$B$31),H394+(Settings!$B$33-I394))</f>
        <v>816.07999999999993</v>
      </c>
      <c r="K394" s="6">
        <f t="shared" si="140"/>
        <v>840.09999999999991</v>
      </c>
      <c r="L394" s="6">
        <f t="shared" si="141"/>
        <v>840.09999999999991</v>
      </c>
      <c r="M394" s="6">
        <f t="shared" si="150"/>
        <v>822.36471234496457</v>
      </c>
      <c r="N394" s="6">
        <f t="shared" si="142"/>
        <v>840.09999999999991</v>
      </c>
      <c r="O394" s="6">
        <f>Arrivals!I394</f>
        <v>2.7846797292013785</v>
      </c>
      <c r="P394" s="6">
        <f t="shared" si="143"/>
        <v>842.88467972920125</v>
      </c>
      <c r="Q394" s="6">
        <f t="shared" si="144"/>
        <v>569.88467972920125</v>
      </c>
      <c r="R394" s="6">
        <f t="shared" si="145"/>
        <v>543.07999999999993</v>
      </c>
      <c r="S394" s="6">
        <f t="shared" si="146"/>
        <v>0</v>
      </c>
      <c r="T394" s="6">
        <f t="shared" si="147"/>
        <v>0</v>
      </c>
      <c r="U394" s="6">
        <f t="shared" si="148"/>
        <v>543.07999999999993</v>
      </c>
      <c r="V394" s="6" t="str">
        <f>IF(MOD(C394-Settings!$B$32,Settings!$B$33)&lt;Settings!$B$30,"Up","Down")</f>
        <v>Up</v>
      </c>
      <c r="W394" s="6">
        <f>IF(OR(E394&gt;Settings!$B$30,Q394&gt;Settings!$B$37),0,1)</f>
        <v>1</v>
      </c>
      <c r="X394" s="6">
        <f>IF(AND(W394=1,Q394&lt;=Settings!$B$36),1,0)</f>
        <v>0</v>
      </c>
    </row>
    <row r="395" spans="1:24" x14ac:dyDescent="0.2">
      <c r="A395">
        <f>Arrivals!A395</f>
        <v>4</v>
      </c>
      <c r="B395">
        <f>Arrivals!B395</f>
        <v>30</v>
      </c>
      <c r="C395" s="6">
        <f>Arrivals!F395</f>
        <v>278</v>
      </c>
      <c r="D395" s="6">
        <f>Arrivals!K395</f>
        <v>300</v>
      </c>
      <c r="E395" s="6">
        <f>D395*8/ACE_Input!S35+ACE_Input!T35</f>
        <v>24.02</v>
      </c>
      <c r="F395" s="6">
        <f t="shared" si="138"/>
        <v>278</v>
      </c>
      <c r="G395" s="6">
        <f t="shared" si="149"/>
        <v>840.09999999999991</v>
      </c>
      <c r="H395" s="6">
        <f t="shared" si="139"/>
        <v>840.09999999999991</v>
      </c>
      <c r="I395" s="6">
        <f>MOD(H395-Settings!$B$32,Settings!$B$33)</f>
        <v>120.09999999999991</v>
      </c>
      <c r="J395" s="6">
        <f>IF(I395&lt;Settings!$B$30,IF(Settings!$B$30-I395&gt;=E395,H395,H395+(Settings!$B$30-I395)+Settings!$B$31),H395+(Settings!$B$33-I395))</f>
        <v>840.09999999999991</v>
      </c>
      <c r="K395" s="6">
        <f t="shared" si="140"/>
        <v>864.11999999999989</v>
      </c>
      <c r="L395" s="6">
        <f t="shared" si="141"/>
        <v>864.11999999999989</v>
      </c>
      <c r="M395" s="6">
        <f t="shared" si="150"/>
        <v>842.88467972920125</v>
      </c>
      <c r="N395" s="6">
        <f t="shared" si="142"/>
        <v>864.11999999999989</v>
      </c>
      <c r="O395" s="6">
        <f>Arrivals!I395</f>
        <v>7.9610776235069727</v>
      </c>
      <c r="P395" s="6">
        <f t="shared" si="143"/>
        <v>872.08107762350687</v>
      </c>
      <c r="Q395" s="6">
        <f t="shared" si="144"/>
        <v>594.08107762350687</v>
      </c>
      <c r="R395" s="6">
        <f t="shared" si="145"/>
        <v>562.09999999999991</v>
      </c>
      <c r="S395" s="6">
        <f t="shared" si="146"/>
        <v>0</v>
      </c>
      <c r="T395" s="6">
        <f t="shared" si="147"/>
        <v>0</v>
      </c>
      <c r="U395" s="6">
        <f t="shared" si="148"/>
        <v>562.09999999999991</v>
      </c>
      <c r="V395" s="6" t="str">
        <f>IF(MOD(C395-Settings!$B$32,Settings!$B$33)&lt;Settings!$B$30,"Up","Down")</f>
        <v>Up</v>
      </c>
      <c r="W395" s="6">
        <f>IF(OR(E395&gt;Settings!$B$30,Q395&gt;Settings!$B$37),0,1)</f>
        <v>1</v>
      </c>
      <c r="X395" s="6">
        <f>IF(AND(W395=1,Q395&lt;=Settings!$B$36),1,0)</f>
        <v>0</v>
      </c>
    </row>
    <row r="396" spans="1:24" x14ac:dyDescent="0.2">
      <c r="A396">
        <f>Arrivals!A396</f>
        <v>4</v>
      </c>
      <c r="B396">
        <f>Arrivals!B396</f>
        <v>31</v>
      </c>
      <c r="C396" s="6">
        <f>Arrivals!F396</f>
        <v>283</v>
      </c>
      <c r="D396" s="6">
        <f>Arrivals!K396</f>
        <v>300</v>
      </c>
      <c r="E396" s="6">
        <f>D396*8/ACE_Input!S36+ACE_Input!T36</f>
        <v>24.02</v>
      </c>
      <c r="F396" s="6">
        <f t="shared" si="138"/>
        <v>283</v>
      </c>
      <c r="G396" s="6">
        <f t="shared" si="149"/>
        <v>864.11999999999989</v>
      </c>
      <c r="H396" s="6">
        <f t="shared" si="139"/>
        <v>864.11999999999989</v>
      </c>
      <c r="I396" s="6">
        <f>MOD(H396-Settings!$B$32,Settings!$B$33)</f>
        <v>144.11999999999989</v>
      </c>
      <c r="J396" s="6">
        <f>IF(I396&lt;Settings!$B$30,IF(Settings!$B$30-I396&gt;=E396,H396,H396+(Settings!$B$30-I396)+Settings!$B$31),H396+(Settings!$B$33-I396))</f>
        <v>864.11999999999989</v>
      </c>
      <c r="K396" s="6">
        <f t="shared" si="140"/>
        <v>888.13999999999987</v>
      </c>
      <c r="L396" s="6">
        <f t="shared" si="141"/>
        <v>888.13999999999987</v>
      </c>
      <c r="M396" s="6">
        <f t="shared" si="150"/>
        <v>872.08107762350687</v>
      </c>
      <c r="N396" s="6">
        <f t="shared" si="142"/>
        <v>888.13999999999987</v>
      </c>
      <c r="O396" s="6">
        <f>Arrivals!I396</f>
        <v>0.7881736343726089</v>
      </c>
      <c r="P396" s="6">
        <f t="shared" si="143"/>
        <v>888.92817363437246</v>
      </c>
      <c r="Q396" s="6">
        <f t="shared" si="144"/>
        <v>605.92817363437246</v>
      </c>
      <c r="R396" s="6">
        <f t="shared" si="145"/>
        <v>581.11999999999989</v>
      </c>
      <c r="S396" s="6">
        <f t="shared" si="146"/>
        <v>0</v>
      </c>
      <c r="T396" s="6">
        <f t="shared" si="147"/>
        <v>0</v>
      </c>
      <c r="U396" s="6">
        <f t="shared" si="148"/>
        <v>581.11999999999989</v>
      </c>
      <c r="V396" s="6" t="str">
        <f>IF(MOD(C396-Settings!$B$32,Settings!$B$33)&lt;Settings!$B$30,"Up","Down")</f>
        <v>Up</v>
      </c>
      <c r="W396" s="6">
        <f>IF(OR(E396&gt;Settings!$B$30,Q396&gt;Settings!$B$37),0,1)</f>
        <v>1</v>
      </c>
      <c r="X396" s="6">
        <f>IF(AND(W396=1,Q396&lt;=Settings!$B$36),1,0)</f>
        <v>0</v>
      </c>
    </row>
    <row r="397" spans="1:24" x14ac:dyDescent="0.2">
      <c r="A397">
        <f>Arrivals!A397</f>
        <v>4</v>
      </c>
      <c r="B397">
        <f>Arrivals!B397</f>
        <v>32</v>
      </c>
      <c r="C397" s="6">
        <f>Arrivals!F397</f>
        <v>288</v>
      </c>
      <c r="D397" s="6">
        <f>Arrivals!K397</f>
        <v>300</v>
      </c>
      <c r="E397" s="6">
        <f>D397*8/ACE_Input!S37+ACE_Input!T37</f>
        <v>24.02</v>
      </c>
      <c r="F397" s="6">
        <f t="shared" si="138"/>
        <v>288</v>
      </c>
      <c r="G397" s="6">
        <f t="shared" si="149"/>
        <v>888.13999999999987</v>
      </c>
      <c r="H397" s="6">
        <f t="shared" si="139"/>
        <v>888.13999999999987</v>
      </c>
      <c r="I397" s="6">
        <f>MOD(H397-Settings!$B$32,Settings!$B$33)</f>
        <v>168.13999999999987</v>
      </c>
      <c r="J397" s="6">
        <f>IF(I397&lt;Settings!$B$30,IF(Settings!$B$30-I397&gt;=E397,H397,H397+(Settings!$B$30-I397)+Settings!$B$31),H397+(Settings!$B$33-I397))</f>
        <v>888.13999999999987</v>
      </c>
      <c r="K397" s="6">
        <f t="shared" si="140"/>
        <v>912.15999999999985</v>
      </c>
      <c r="L397" s="6">
        <f t="shared" si="141"/>
        <v>912.15999999999985</v>
      </c>
      <c r="M397" s="6">
        <f t="shared" si="150"/>
        <v>888.92817363437246</v>
      </c>
      <c r="N397" s="6">
        <f t="shared" si="142"/>
        <v>912.15999999999985</v>
      </c>
      <c r="O397" s="6">
        <f>Arrivals!I397</f>
        <v>7.5388558040243252</v>
      </c>
      <c r="P397" s="6">
        <f t="shared" si="143"/>
        <v>919.69885580402422</v>
      </c>
      <c r="Q397" s="6">
        <f t="shared" si="144"/>
        <v>631.69885580402422</v>
      </c>
      <c r="R397" s="6">
        <f t="shared" si="145"/>
        <v>600.13999999999987</v>
      </c>
      <c r="S397" s="6">
        <f t="shared" si="146"/>
        <v>0</v>
      </c>
      <c r="T397" s="6">
        <f t="shared" si="147"/>
        <v>0</v>
      </c>
      <c r="U397" s="6">
        <f t="shared" si="148"/>
        <v>600.13999999999987</v>
      </c>
      <c r="V397" s="6" t="str">
        <f>IF(MOD(C397-Settings!$B$32,Settings!$B$33)&lt;Settings!$B$30,"Up","Down")</f>
        <v>Up</v>
      </c>
      <c r="W397" s="6">
        <f>IF(OR(E397&gt;Settings!$B$30,Q397&gt;Settings!$B$37),0,1)</f>
        <v>1</v>
      </c>
      <c r="X397" s="6">
        <f>IF(AND(W397=1,Q397&lt;=Settings!$B$36),1,0)</f>
        <v>0</v>
      </c>
    </row>
    <row r="398" spans="1:24" x14ac:dyDescent="0.2">
      <c r="A398">
        <f>Arrivals!A398</f>
        <v>4</v>
      </c>
      <c r="B398">
        <f>Arrivals!B398</f>
        <v>33</v>
      </c>
      <c r="C398" s="6">
        <f>Arrivals!F398</f>
        <v>293</v>
      </c>
      <c r="D398" s="6">
        <f>Arrivals!K398</f>
        <v>300</v>
      </c>
      <c r="E398" s="6">
        <f>D398*8/ACE_Input!S38+ACE_Input!T38</f>
        <v>24.02</v>
      </c>
      <c r="F398" s="6">
        <f t="shared" ref="F398:F429" si="151">C398</f>
        <v>293</v>
      </c>
      <c r="G398" s="6">
        <f t="shared" si="149"/>
        <v>912.15999999999985</v>
      </c>
      <c r="H398" s="6">
        <f t="shared" ref="H398:H429" si="152">MAX(F398,G398)</f>
        <v>912.15999999999985</v>
      </c>
      <c r="I398" s="6">
        <f>MOD(H398-Settings!$B$32,Settings!$B$33)</f>
        <v>192.15999999999985</v>
      </c>
      <c r="J398" s="6">
        <f>IF(I398&lt;Settings!$B$30,IF(Settings!$B$30-I398&gt;=E398,H398,H398+(Settings!$B$30-I398)+Settings!$B$31),H398+(Settings!$B$33-I398))</f>
        <v>912.15999999999985</v>
      </c>
      <c r="K398" s="6">
        <f t="shared" ref="K398:K429" si="153">J398+E398</f>
        <v>936.17999999999984</v>
      </c>
      <c r="L398" s="6">
        <f t="shared" ref="L398:L429" si="154">K398</f>
        <v>936.17999999999984</v>
      </c>
      <c r="M398" s="6">
        <f t="shared" si="150"/>
        <v>919.69885580402422</v>
      </c>
      <c r="N398" s="6">
        <f t="shared" ref="N398:N429" si="155">MAX(L398,M398)</f>
        <v>936.17999999999984</v>
      </c>
      <c r="O398" s="6">
        <f>Arrivals!I398</f>
        <v>2.6076870813354436</v>
      </c>
      <c r="P398" s="6">
        <f t="shared" ref="P398:P429" si="156">N398+O398</f>
        <v>938.78768708133532</v>
      </c>
      <c r="Q398" s="6">
        <f t="shared" ref="Q398:Q429" si="157">P398-C398</f>
        <v>645.78768708133532</v>
      </c>
      <c r="R398" s="6">
        <f t="shared" ref="R398:R429" si="158">H398-F398</f>
        <v>619.15999999999985</v>
      </c>
      <c r="S398" s="6">
        <f t="shared" ref="S398:S429" si="159">J398-H398</f>
        <v>0</v>
      </c>
      <c r="T398" s="6">
        <f t="shared" ref="T398:T429" si="160">N398-L398</f>
        <v>0</v>
      </c>
      <c r="U398" s="6">
        <f t="shared" ref="U398:U429" si="161">R398+S398+T398</f>
        <v>619.15999999999985</v>
      </c>
      <c r="V398" s="6" t="str">
        <f>IF(MOD(C398-Settings!$B$32,Settings!$B$33)&lt;Settings!$B$30,"Up","Down")</f>
        <v>Up</v>
      </c>
      <c r="W398" s="6">
        <f>IF(OR(E398&gt;Settings!$B$30,Q398&gt;Settings!$B$37),0,1)</f>
        <v>1</v>
      </c>
      <c r="X398" s="6">
        <f>IF(AND(W398=1,Q398&lt;=Settings!$B$36),1,0)</f>
        <v>0</v>
      </c>
    </row>
    <row r="399" spans="1:24" x14ac:dyDescent="0.2">
      <c r="A399">
        <f>Arrivals!A399</f>
        <v>4</v>
      </c>
      <c r="B399">
        <f>Arrivals!B399</f>
        <v>34</v>
      </c>
      <c r="C399" s="6">
        <f>Arrivals!F399</f>
        <v>298</v>
      </c>
      <c r="D399" s="6">
        <f>Arrivals!K399</f>
        <v>300</v>
      </c>
      <c r="E399" s="6">
        <f>D399*8/ACE_Input!S39+ACE_Input!T39</f>
        <v>24.02</v>
      </c>
      <c r="F399" s="6">
        <f t="shared" si="151"/>
        <v>298</v>
      </c>
      <c r="G399" s="6">
        <f t="shared" ref="G399:G430" si="162">K398</f>
        <v>936.17999999999984</v>
      </c>
      <c r="H399" s="6">
        <f t="shared" si="152"/>
        <v>936.17999999999984</v>
      </c>
      <c r="I399" s="6">
        <f>MOD(H399-Settings!$B$32,Settings!$B$33)</f>
        <v>216.17999999999984</v>
      </c>
      <c r="J399" s="6">
        <f>IF(I399&lt;Settings!$B$30,IF(Settings!$B$30-I399&gt;=E399,H399,H399+(Settings!$B$30-I399)+Settings!$B$31),H399+(Settings!$B$33-I399))</f>
        <v>936.17999999999984</v>
      </c>
      <c r="K399" s="6">
        <f t="shared" si="153"/>
        <v>960.19999999999982</v>
      </c>
      <c r="L399" s="6">
        <f t="shared" si="154"/>
        <v>960.19999999999982</v>
      </c>
      <c r="M399" s="6">
        <f t="shared" ref="M399:M430" si="163">P398</f>
        <v>938.78768708133532</v>
      </c>
      <c r="N399" s="6">
        <f t="shared" si="155"/>
        <v>960.19999999999982</v>
      </c>
      <c r="O399" s="6">
        <f>Arrivals!I399</f>
        <v>6.9060460537133697</v>
      </c>
      <c r="P399" s="6">
        <f t="shared" si="156"/>
        <v>967.10604605371316</v>
      </c>
      <c r="Q399" s="6">
        <f t="shared" si="157"/>
        <v>669.10604605371316</v>
      </c>
      <c r="R399" s="6">
        <f t="shared" si="158"/>
        <v>638.17999999999984</v>
      </c>
      <c r="S399" s="6">
        <f t="shared" si="159"/>
        <v>0</v>
      </c>
      <c r="T399" s="6">
        <f t="shared" si="160"/>
        <v>0</v>
      </c>
      <c r="U399" s="6">
        <f t="shared" si="161"/>
        <v>638.17999999999984</v>
      </c>
      <c r="V399" s="6" t="str">
        <f>IF(MOD(C399-Settings!$B$32,Settings!$B$33)&lt;Settings!$B$30,"Up","Down")</f>
        <v>Up</v>
      </c>
      <c r="W399" s="6">
        <f>IF(OR(E399&gt;Settings!$B$30,Q399&gt;Settings!$B$37),0,1)</f>
        <v>1</v>
      </c>
      <c r="X399" s="6">
        <f>IF(AND(W399=1,Q399&lt;=Settings!$B$36),1,0)</f>
        <v>0</v>
      </c>
    </row>
    <row r="400" spans="1:24" x14ac:dyDescent="0.2">
      <c r="A400">
        <f>Arrivals!A400</f>
        <v>4</v>
      </c>
      <c r="B400">
        <f>Arrivals!B400</f>
        <v>35</v>
      </c>
      <c r="C400" s="6">
        <f>Arrivals!F400</f>
        <v>303</v>
      </c>
      <c r="D400" s="6">
        <f>Arrivals!K400</f>
        <v>300</v>
      </c>
      <c r="E400" s="6">
        <f>D400*8/ACE_Input!S40+ACE_Input!T40</f>
        <v>24.02</v>
      </c>
      <c r="F400" s="6">
        <f t="shared" si="151"/>
        <v>303</v>
      </c>
      <c r="G400" s="6">
        <f t="shared" si="162"/>
        <v>960.19999999999982</v>
      </c>
      <c r="H400" s="6">
        <f t="shared" si="152"/>
        <v>960.19999999999982</v>
      </c>
      <c r="I400" s="6">
        <f>MOD(H400-Settings!$B$32,Settings!$B$33)</f>
        <v>240.19999999999982</v>
      </c>
      <c r="J400" s="6">
        <f>IF(I400&lt;Settings!$B$30,IF(Settings!$B$30-I400&gt;=E400,H400,H400+(Settings!$B$30-I400)+Settings!$B$31),H400+(Settings!$B$33-I400))</f>
        <v>960.19999999999982</v>
      </c>
      <c r="K400" s="6">
        <f t="shared" si="153"/>
        <v>984.2199999999998</v>
      </c>
      <c r="L400" s="6">
        <f t="shared" si="154"/>
        <v>984.2199999999998</v>
      </c>
      <c r="M400" s="6">
        <f t="shared" si="163"/>
        <v>967.10604605371316</v>
      </c>
      <c r="N400" s="6">
        <f t="shared" si="155"/>
        <v>984.2199999999998</v>
      </c>
      <c r="O400" s="6">
        <f>Arrivals!I400</f>
        <v>13.819544352904456</v>
      </c>
      <c r="P400" s="6">
        <f t="shared" si="156"/>
        <v>998.03954435290427</v>
      </c>
      <c r="Q400" s="6">
        <f t="shared" si="157"/>
        <v>695.03954435290427</v>
      </c>
      <c r="R400" s="6">
        <f t="shared" si="158"/>
        <v>657.19999999999982</v>
      </c>
      <c r="S400" s="6">
        <f t="shared" si="159"/>
        <v>0</v>
      </c>
      <c r="T400" s="6">
        <f t="shared" si="160"/>
        <v>0</v>
      </c>
      <c r="U400" s="6">
        <f t="shared" si="161"/>
        <v>657.19999999999982</v>
      </c>
      <c r="V400" s="6" t="str">
        <f>IF(MOD(C400-Settings!$B$32,Settings!$B$33)&lt;Settings!$B$30,"Up","Down")</f>
        <v>Up</v>
      </c>
      <c r="W400" s="6">
        <f>IF(OR(E400&gt;Settings!$B$30,Q400&gt;Settings!$B$37),0,1)</f>
        <v>1</v>
      </c>
      <c r="X400" s="6">
        <f>IF(AND(W400=1,Q400&lt;=Settings!$B$36),1,0)</f>
        <v>0</v>
      </c>
    </row>
    <row r="401" spans="1:24" x14ac:dyDescent="0.2">
      <c r="A401">
        <f>Arrivals!A401</f>
        <v>4</v>
      </c>
      <c r="B401">
        <f>Arrivals!B401</f>
        <v>36</v>
      </c>
      <c r="C401" s="6">
        <f>Arrivals!F401</f>
        <v>308</v>
      </c>
      <c r="D401" s="6">
        <f>Arrivals!K401</f>
        <v>300</v>
      </c>
      <c r="E401" s="6">
        <f>D401*8/ACE_Input!S41+ACE_Input!T41</f>
        <v>24.02</v>
      </c>
      <c r="F401" s="6">
        <f t="shared" si="151"/>
        <v>308</v>
      </c>
      <c r="G401" s="6">
        <f t="shared" si="162"/>
        <v>984.2199999999998</v>
      </c>
      <c r="H401" s="6">
        <f t="shared" si="152"/>
        <v>984.2199999999998</v>
      </c>
      <c r="I401" s="6">
        <f>MOD(H401-Settings!$B$32,Settings!$B$33)</f>
        <v>264.2199999999998</v>
      </c>
      <c r="J401" s="6">
        <f>IF(I401&lt;Settings!$B$30,IF(Settings!$B$30-I401&gt;=E401,H401,H401+(Settings!$B$30-I401)+Settings!$B$31),H401+(Settings!$B$33-I401))</f>
        <v>984.2199999999998</v>
      </c>
      <c r="K401" s="6">
        <f t="shared" si="153"/>
        <v>1008.2399999999998</v>
      </c>
      <c r="L401" s="6">
        <f t="shared" si="154"/>
        <v>1008.2399999999998</v>
      </c>
      <c r="M401" s="6">
        <f t="shared" si="163"/>
        <v>998.03954435290427</v>
      </c>
      <c r="N401" s="6">
        <f t="shared" si="155"/>
        <v>1008.2399999999998</v>
      </c>
      <c r="O401" s="6">
        <f>Arrivals!I401</f>
        <v>0.21232849514816496</v>
      </c>
      <c r="P401" s="6">
        <f t="shared" si="156"/>
        <v>1008.452328495148</v>
      </c>
      <c r="Q401" s="6">
        <f t="shared" si="157"/>
        <v>700.45232849514798</v>
      </c>
      <c r="R401" s="6">
        <f t="shared" si="158"/>
        <v>676.2199999999998</v>
      </c>
      <c r="S401" s="6">
        <f t="shared" si="159"/>
        <v>0</v>
      </c>
      <c r="T401" s="6">
        <f t="shared" si="160"/>
        <v>0</v>
      </c>
      <c r="U401" s="6">
        <f t="shared" si="161"/>
        <v>676.2199999999998</v>
      </c>
      <c r="V401" s="6" t="str">
        <f>IF(MOD(C401-Settings!$B$32,Settings!$B$33)&lt;Settings!$B$30,"Up","Down")</f>
        <v>Up</v>
      </c>
      <c r="W401" s="6">
        <f>IF(OR(E401&gt;Settings!$B$30,Q401&gt;Settings!$B$37),0,1)</f>
        <v>1</v>
      </c>
      <c r="X401" s="6">
        <f>IF(AND(W401=1,Q401&lt;=Settings!$B$36),1,0)</f>
        <v>0</v>
      </c>
    </row>
    <row r="402" spans="1:24" x14ac:dyDescent="0.2">
      <c r="A402">
        <f>Arrivals!A402</f>
        <v>4</v>
      </c>
      <c r="B402">
        <f>Arrivals!B402</f>
        <v>37</v>
      </c>
      <c r="C402" s="6">
        <f>Arrivals!F402</f>
        <v>313</v>
      </c>
      <c r="D402" s="6">
        <f>Arrivals!K402</f>
        <v>300</v>
      </c>
      <c r="E402" s="6">
        <f>D402*8/ACE_Input!S42+ACE_Input!T42</f>
        <v>24.02</v>
      </c>
      <c r="F402" s="6">
        <f t="shared" si="151"/>
        <v>313</v>
      </c>
      <c r="G402" s="6">
        <f t="shared" si="162"/>
        <v>1008.2399999999998</v>
      </c>
      <c r="H402" s="6">
        <f t="shared" si="152"/>
        <v>1008.2399999999998</v>
      </c>
      <c r="I402" s="6">
        <f>MOD(H402-Settings!$B$32,Settings!$B$33)</f>
        <v>288.23999999999978</v>
      </c>
      <c r="J402" s="6">
        <f>IF(I402&lt;Settings!$B$30,IF(Settings!$B$30-I402&gt;=E402,H402,H402+(Settings!$B$30-I402)+Settings!$B$31),H402+(Settings!$B$33-I402))</f>
        <v>1008.2399999999998</v>
      </c>
      <c r="K402" s="6">
        <f t="shared" si="153"/>
        <v>1032.2599999999998</v>
      </c>
      <c r="L402" s="6">
        <f t="shared" si="154"/>
        <v>1032.2599999999998</v>
      </c>
      <c r="M402" s="6">
        <f t="shared" si="163"/>
        <v>1008.452328495148</v>
      </c>
      <c r="N402" s="6">
        <f t="shared" si="155"/>
        <v>1032.2599999999998</v>
      </c>
      <c r="O402" s="6">
        <f>Arrivals!I402</f>
        <v>8.6891136458585052</v>
      </c>
      <c r="P402" s="6">
        <f t="shared" si="156"/>
        <v>1040.9491136458582</v>
      </c>
      <c r="Q402" s="6">
        <f t="shared" si="157"/>
        <v>727.94911364585823</v>
      </c>
      <c r="R402" s="6">
        <f t="shared" si="158"/>
        <v>695.23999999999978</v>
      </c>
      <c r="S402" s="6">
        <f t="shared" si="159"/>
        <v>0</v>
      </c>
      <c r="T402" s="6">
        <f t="shared" si="160"/>
        <v>0</v>
      </c>
      <c r="U402" s="6">
        <f t="shared" si="161"/>
        <v>695.23999999999978</v>
      </c>
      <c r="V402" s="6" t="str">
        <f>IF(MOD(C402-Settings!$B$32,Settings!$B$33)&lt;Settings!$B$30,"Up","Down")</f>
        <v>Up</v>
      </c>
      <c r="W402" s="6">
        <f>IF(OR(E402&gt;Settings!$B$30,Q402&gt;Settings!$B$37),0,1)</f>
        <v>1</v>
      </c>
      <c r="X402" s="6">
        <f>IF(AND(W402=1,Q402&lt;=Settings!$B$36),1,0)</f>
        <v>0</v>
      </c>
    </row>
    <row r="403" spans="1:24" x14ac:dyDescent="0.2">
      <c r="A403">
        <f>Arrivals!A403</f>
        <v>4</v>
      </c>
      <c r="B403">
        <f>Arrivals!B403</f>
        <v>38</v>
      </c>
      <c r="C403" s="6">
        <f>Arrivals!F403</f>
        <v>318</v>
      </c>
      <c r="D403" s="6">
        <f>Arrivals!K403</f>
        <v>300</v>
      </c>
      <c r="E403" s="6">
        <f>D403*8/ACE_Input!S43+ACE_Input!T43</f>
        <v>24.02</v>
      </c>
      <c r="F403" s="6">
        <f t="shared" si="151"/>
        <v>318</v>
      </c>
      <c r="G403" s="6">
        <f t="shared" si="162"/>
        <v>1032.2599999999998</v>
      </c>
      <c r="H403" s="6">
        <f t="shared" si="152"/>
        <v>1032.2599999999998</v>
      </c>
      <c r="I403" s="6">
        <f>MOD(H403-Settings!$B$32,Settings!$B$33)</f>
        <v>312.25999999999976</v>
      </c>
      <c r="J403" s="6">
        <f>IF(I403&lt;Settings!$B$30,IF(Settings!$B$30-I403&gt;=E403,H403,H403+(Settings!$B$30-I403)+Settings!$B$31),H403+(Settings!$B$33-I403))</f>
        <v>1032.2599999999998</v>
      </c>
      <c r="K403" s="6">
        <f t="shared" si="153"/>
        <v>1056.2799999999997</v>
      </c>
      <c r="L403" s="6">
        <f t="shared" si="154"/>
        <v>1056.2799999999997</v>
      </c>
      <c r="M403" s="6">
        <f t="shared" si="163"/>
        <v>1040.9491136458582</v>
      </c>
      <c r="N403" s="6">
        <f t="shared" si="155"/>
        <v>1056.2799999999997</v>
      </c>
      <c r="O403" s="6">
        <f>Arrivals!I403</f>
        <v>1.9383503339151891</v>
      </c>
      <c r="P403" s="6">
        <f t="shared" si="156"/>
        <v>1058.2183503339149</v>
      </c>
      <c r="Q403" s="6">
        <f t="shared" si="157"/>
        <v>740.21835033391494</v>
      </c>
      <c r="R403" s="6">
        <f t="shared" si="158"/>
        <v>714.25999999999976</v>
      </c>
      <c r="S403" s="6">
        <f t="shared" si="159"/>
        <v>0</v>
      </c>
      <c r="T403" s="6">
        <f t="shared" si="160"/>
        <v>0</v>
      </c>
      <c r="U403" s="6">
        <f t="shared" si="161"/>
        <v>714.25999999999976</v>
      </c>
      <c r="V403" s="6" t="str">
        <f>IF(MOD(C403-Settings!$B$32,Settings!$B$33)&lt;Settings!$B$30,"Up","Down")</f>
        <v>Up</v>
      </c>
      <c r="W403" s="6">
        <f>IF(OR(E403&gt;Settings!$B$30,Q403&gt;Settings!$B$37),0,1)</f>
        <v>1</v>
      </c>
      <c r="X403" s="6">
        <f>IF(AND(W403=1,Q403&lt;=Settings!$B$36),1,0)</f>
        <v>0</v>
      </c>
    </row>
    <row r="404" spans="1:24" x14ac:dyDescent="0.2">
      <c r="A404">
        <f>Arrivals!A404</f>
        <v>4</v>
      </c>
      <c r="B404">
        <f>Arrivals!B404</f>
        <v>39</v>
      </c>
      <c r="C404" s="6">
        <f>Arrivals!F404</f>
        <v>323</v>
      </c>
      <c r="D404" s="6">
        <f>Arrivals!K404</f>
        <v>300</v>
      </c>
      <c r="E404" s="6">
        <f>D404*8/ACE_Input!S44+ACE_Input!T44</f>
        <v>24.02</v>
      </c>
      <c r="F404" s="6">
        <f t="shared" si="151"/>
        <v>323</v>
      </c>
      <c r="G404" s="6">
        <f t="shared" si="162"/>
        <v>1056.2799999999997</v>
      </c>
      <c r="H404" s="6">
        <f t="shared" si="152"/>
        <v>1056.2799999999997</v>
      </c>
      <c r="I404" s="6">
        <f>MOD(H404-Settings!$B$32,Settings!$B$33)</f>
        <v>336.27999999999975</v>
      </c>
      <c r="J404" s="6">
        <f>IF(I404&lt;Settings!$B$30,IF(Settings!$B$30-I404&gt;=E404,H404,H404+(Settings!$B$30-I404)+Settings!$B$31),H404+(Settings!$B$33-I404))</f>
        <v>1056.2799999999997</v>
      </c>
      <c r="K404" s="6">
        <f t="shared" si="153"/>
        <v>1080.2999999999997</v>
      </c>
      <c r="L404" s="6">
        <f t="shared" si="154"/>
        <v>1080.2999999999997</v>
      </c>
      <c r="M404" s="6">
        <f t="shared" si="163"/>
        <v>1058.2183503339149</v>
      </c>
      <c r="N404" s="6">
        <f t="shared" si="155"/>
        <v>1080.2999999999997</v>
      </c>
      <c r="O404" s="6">
        <f>Arrivals!I404</f>
        <v>4.9327588856473605</v>
      </c>
      <c r="P404" s="6">
        <f t="shared" si="156"/>
        <v>1085.2327588856472</v>
      </c>
      <c r="Q404" s="6">
        <f t="shared" si="157"/>
        <v>762.23275888564717</v>
      </c>
      <c r="R404" s="6">
        <f t="shared" si="158"/>
        <v>733.27999999999975</v>
      </c>
      <c r="S404" s="6">
        <f t="shared" si="159"/>
        <v>0</v>
      </c>
      <c r="T404" s="6">
        <f t="shared" si="160"/>
        <v>0</v>
      </c>
      <c r="U404" s="6">
        <f t="shared" si="161"/>
        <v>733.27999999999975</v>
      </c>
      <c r="V404" s="6" t="str">
        <f>IF(MOD(C404-Settings!$B$32,Settings!$B$33)&lt;Settings!$B$30,"Up","Down")</f>
        <v>Up</v>
      </c>
      <c r="W404" s="6">
        <f>IF(OR(E404&gt;Settings!$B$30,Q404&gt;Settings!$B$37),0,1)</f>
        <v>1</v>
      </c>
      <c r="X404" s="6">
        <f>IF(AND(W404=1,Q404&lt;=Settings!$B$36),1,0)</f>
        <v>0</v>
      </c>
    </row>
    <row r="405" spans="1:24" x14ac:dyDescent="0.2">
      <c r="A405">
        <f>Arrivals!A405</f>
        <v>4</v>
      </c>
      <c r="B405">
        <f>Arrivals!B405</f>
        <v>40</v>
      </c>
      <c r="C405" s="6">
        <f>Arrivals!F405</f>
        <v>328</v>
      </c>
      <c r="D405" s="6">
        <f>Arrivals!K405</f>
        <v>300</v>
      </c>
      <c r="E405" s="6">
        <f>D405*8/ACE_Input!S45+ACE_Input!T45</f>
        <v>24.02</v>
      </c>
      <c r="F405" s="6">
        <f t="shared" si="151"/>
        <v>328</v>
      </c>
      <c r="G405" s="6">
        <f t="shared" si="162"/>
        <v>1080.2999999999997</v>
      </c>
      <c r="H405" s="6">
        <f t="shared" si="152"/>
        <v>1080.2999999999997</v>
      </c>
      <c r="I405" s="6">
        <f>MOD(H405-Settings!$B$32,Settings!$B$33)</f>
        <v>360.29999999999973</v>
      </c>
      <c r="J405" s="6">
        <f>IF(I405&lt;Settings!$B$30,IF(Settings!$B$30-I405&gt;=E405,H405,H405+(Settings!$B$30-I405)+Settings!$B$31),H405+(Settings!$B$33-I405))</f>
        <v>1080.2999999999997</v>
      </c>
      <c r="K405" s="6">
        <f t="shared" si="153"/>
        <v>1104.3199999999997</v>
      </c>
      <c r="L405" s="6">
        <f t="shared" si="154"/>
        <v>1104.3199999999997</v>
      </c>
      <c r="M405" s="6">
        <f t="shared" si="163"/>
        <v>1085.2327588856472</v>
      </c>
      <c r="N405" s="6">
        <f t="shared" si="155"/>
        <v>1104.3199999999997</v>
      </c>
      <c r="O405" s="6">
        <f>Arrivals!I405</f>
        <v>0.34826927022301846</v>
      </c>
      <c r="P405" s="6">
        <f t="shared" si="156"/>
        <v>1104.6682692702227</v>
      </c>
      <c r="Q405" s="6">
        <f t="shared" si="157"/>
        <v>776.66826927022271</v>
      </c>
      <c r="R405" s="6">
        <f t="shared" si="158"/>
        <v>752.29999999999973</v>
      </c>
      <c r="S405" s="6">
        <f t="shared" si="159"/>
        <v>0</v>
      </c>
      <c r="T405" s="6">
        <f t="shared" si="160"/>
        <v>0</v>
      </c>
      <c r="U405" s="6">
        <f t="shared" si="161"/>
        <v>752.29999999999973</v>
      </c>
      <c r="V405" s="6" t="str">
        <f>IF(MOD(C405-Settings!$B$32,Settings!$B$33)&lt;Settings!$B$30,"Up","Down")</f>
        <v>Up</v>
      </c>
      <c r="W405" s="6">
        <f>IF(OR(E405&gt;Settings!$B$30,Q405&gt;Settings!$B$37),0,1)</f>
        <v>1</v>
      </c>
      <c r="X405" s="6">
        <f>IF(AND(W405=1,Q405&lt;=Settings!$B$36),1,0)</f>
        <v>0</v>
      </c>
    </row>
    <row r="406" spans="1:24" x14ac:dyDescent="0.2">
      <c r="A406">
        <f>Arrivals!A406</f>
        <v>4</v>
      </c>
      <c r="B406">
        <f>Arrivals!B406</f>
        <v>41</v>
      </c>
      <c r="C406" s="6">
        <f>Arrivals!F406</f>
        <v>333</v>
      </c>
      <c r="D406" s="6">
        <f>Arrivals!K406</f>
        <v>300</v>
      </c>
      <c r="E406" s="6">
        <f>D406*8/ACE_Input!S46+ACE_Input!T46</f>
        <v>24.02</v>
      </c>
      <c r="F406" s="6">
        <f t="shared" si="151"/>
        <v>333</v>
      </c>
      <c r="G406" s="6">
        <f t="shared" si="162"/>
        <v>1104.3199999999997</v>
      </c>
      <c r="H406" s="6">
        <f t="shared" si="152"/>
        <v>1104.3199999999997</v>
      </c>
      <c r="I406" s="6">
        <f>MOD(H406-Settings!$B$32,Settings!$B$33)</f>
        <v>384.31999999999971</v>
      </c>
      <c r="J406" s="6">
        <f>IF(I406&lt;Settings!$B$30,IF(Settings!$B$30-I406&gt;=E406,H406,H406+(Settings!$B$30-I406)+Settings!$B$31),H406+(Settings!$B$33-I406))</f>
        <v>1104.3199999999997</v>
      </c>
      <c r="K406" s="6">
        <f t="shared" si="153"/>
        <v>1128.3399999999997</v>
      </c>
      <c r="L406" s="6">
        <f t="shared" si="154"/>
        <v>1128.3399999999997</v>
      </c>
      <c r="M406" s="6">
        <f t="shared" si="163"/>
        <v>1104.6682692702227</v>
      </c>
      <c r="N406" s="6">
        <f t="shared" si="155"/>
        <v>1128.3399999999997</v>
      </c>
      <c r="O406" s="6">
        <f>Arrivals!I406</f>
        <v>2.3562507807673874</v>
      </c>
      <c r="P406" s="6">
        <f t="shared" si="156"/>
        <v>1130.6962507807671</v>
      </c>
      <c r="Q406" s="6">
        <f t="shared" si="157"/>
        <v>797.69625078076706</v>
      </c>
      <c r="R406" s="6">
        <f t="shared" si="158"/>
        <v>771.31999999999971</v>
      </c>
      <c r="S406" s="6">
        <f t="shared" si="159"/>
        <v>0</v>
      </c>
      <c r="T406" s="6">
        <f t="shared" si="160"/>
        <v>0</v>
      </c>
      <c r="U406" s="6">
        <f t="shared" si="161"/>
        <v>771.31999999999971</v>
      </c>
      <c r="V406" s="6" t="str">
        <f>IF(MOD(C406-Settings!$B$32,Settings!$B$33)&lt;Settings!$B$30,"Up","Down")</f>
        <v>Up</v>
      </c>
      <c r="W406" s="6">
        <f>IF(OR(E406&gt;Settings!$B$30,Q406&gt;Settings!$B$37),0,1)</f>
        <v>1</v>
      </c>
      <c r="X406" s="6">
        <f>IF(AND(W406=1,Q406&lt;=Settings!$B$36),1,0)</f>
        <v>0</v>
      </c>
    </row>
    <row r="407" spans="1:24" x14ac:dyDescent="0.2">
      <c r="A407">
        <f>Arrivals!A407</f>
        <v>4</v>
      </c>
      <c r="B407">
        <f>Arrivals!B407</f>
        <v>42</v>
      </c>
      <c r="C407" s="6">
        <f>Arrivals!F407</f>
        <v>338</v>
      </c>
      <c r="D407" s="6">
        <f>Arrivals!K407</f>
        <v>300</v>
      </c>
      <c r="E407" s="6">
        <f>D407*8/ACE_Input!S47+ACE_Input!T47</f>
        <v>24.02</v>
      </c>
      <c r="F407" s="6">
        <f t="shared" si="151"/>
        <v>338</v>
      </c>
      <c r="G407" s="6">
        <f t="shared" si="162"/>
        <v>1128.3399999999997</v>
      </c>
      <c r="H407" s="6">
        <f t="shared" si="152"/>
        <v>1128.3399999999997</v>
      </c>
      <c r="I407" s="6">
        <f>MOD(H407-Settings!$B$32,Settings!$B$33)</f>
        <v>408.33999999999969</v>
      </c>
      <c r="J407" s="6">
        <f>IF(I407&lt;Settings!$B$30,IF(Settings!$B$30-I407&gt;=E407,H407,H407+(Settings!$B$30-I407)+Settings!$B$31),H407+(Settings!$B$33-I407))</f>
        <v>1128.3399999999997</v>
      </c>
      <c r="K407" s="6">
        <f t="shared" si="153"/>
        <v>1152.3599999999997</v>
      </c>
      <c r="L407" s="6">
        <f t="shared" si="154"/>
        <v>1152.3599999999997</v>
      </c>
      <c r="M407" s="6">
        <f t="shared" si="163"/>
        <v>1130.6962507807671</v>
      </c>
      <c r="N407" s="6">
        <f t="shared" si="155"/>
        <v>1152.3599999999997</v>
      </c>
      <c r="O407" s="6">
        <f>Arrivals!I407</f>
        <v>4.617654995339052</v>
      </c>
      <c r="P407" s="6">
        <f t="shared" si="156"/>
        <v>1156.9776549953388</v>
      </c>
      <c r="Q407" s="6">
        <f t="shared" si="157"/>
        <v>818.97765499533875</v>
      </c>
      <c r="R407" s="6">
        <f t="shared" si="158"/>
        <v>790.33999999999969</v>
      </c>
      <c r="S407" s="6">
        <f t="shared" si="159"/>
        <v>0</v>
      </c>
      <c r="T407" s="6">
        <f t="shared" si="160"/>
        <v>0</v>
      </c>
      <c r="U407" s="6">
        <f t="shared" si="161"/>
        <v>790.33999999999969</v>
      </c>
      <c r="V407" s="6" t="str">
        <f>IF(MOD(C407-Settings!$B$32,Settings!$B$33)&lt;Settings!$B$30,"Up","Down")</f>
        <v>Up</v>
      </c>
      <c r="W407" s="6">
        <f>IF(OR(E407&gt;Settings!$B$30,Q407&gt;Settings!$B$37),0,1)</f>
        <v>1</v>
      </c>
      <c r="X407" s="6">
        <f>IF(AND(W407=1,Q407&lt;=Settings!$B$36),1,0)</f>
        <v>0</v>
      </c>
    </row>
    <row r="408" spans="1:24" x14ac:dyDescent="0.2">
      <c r="A408">
        <f>Arrivals!A408</f>
        <v>4</v>
      </c>
      <c r="B408">
        <f>Arrivals!B408</f>
        <v>43</v>
      </c>
      <c r="C408" s="6">
        <f>Arrivals!F408</f>
        <v>343</v>
      </c>
      <c r="D408" s="6">
        <f>Arrivals!K408</f>
        <v>300</v>
      </c>
      <c r="E408" s="6">
        <f>D408*8/ACE_Input!S48+ACE_Input!T48</f>
        <v>24.02</v>
      </c>
      <c r="F408" s="6">
        <f t="shared" si="151"/>
        <v>343</v>
      </c>
      <c r="G408" s="6">
        <f t="shared" si="162"/>
        <v>1152.3599999999997</v>
      </c>
      <c r="H408" s="6">
        <f t="shared" si="152"/>
        <v>1152.3599999999997</v>
      </c>
      <c r="I408" s="6">
        <f>MOD(H408-Settings!$B$32,Settings!$B$33)</f>
        <v>432.35999999999967</v>
      </c>
      <c r="J408" s="6">
        <f>IF(I408&lt;Settings!$B$30,IF(Settings!$B$30-I408&gt;=E408,H408,H408+(Settings!$B$30-I408)+Settings!$B$31),H408+(Settings!$B$33-I408))</f>
        <v>1152.3599999999997</v>
      </c>
      <c r="K408" s="6">
        <f t="shared" si="153"/>
        <v>1176.3799999999997</v>
      </c>
      <c r="L408" s="6">
        <f t="shared" si="154"/>
        <v>1176.3799999999997</v>
      </c>
      <c r="M408" s="6">
        <f t="shared" si="163"/>
        <v>1156.9776549953388</v>
      </c>
      <c r="N408" s="6">
        <f t="shared" si="155"/>
        <v>1176.3799999999997</v>
      </c>
      <c r="O408" s="6">
        <f>Arrivals!I408</f>
        <v>5.1315787666542176</v>
      </c>
      <c r="P408" s="6">
        <f t="shared" si="156"/>
        <v>1181.5115787666539</v>
      </c>
      <c r="Q408" s="6">
        <f t="shared" si="157"/>
        <v>838.51157876665388</v>
      </c>
      <c r="R408" s="6">
        <f t="shared" si="158"/>
        <v>809.35999999999967</v>
      </c>
      <c r="S408" s="6">
        <f t="shared" si="159"/>
        <v>0</v>
      </c>
      <c r="T408" s="6">
        <f t="shared" si="160"/>
        <v>0</v>
      </c>
      <c r="U408" s="6">
        <f t="shared" si="161"/>
        <v>809.35999999999967</v>
      </c>
      <c r="V408" s="6" t="str">
        <f>IF(MOD(C408-Settings!$B$32,Settings!$B$33)&lt;Settings!$B$30,"Up","Down")</f>
        <v>Up</v>
      </c>
      <c r="W408" s="6">
        <f>IF(OR(E408&gt;Settings!$B$30,Q408&gt;Settings!$B$37),0,1)</f>
        <v>1</v>
      </c>
      <c r="X408" s="6">
        <f>IF(AND(W408=1,Q408&lt;=Settings!$B$36),1,0)</f>
        <v>0</v>
      </c>
    </row>
    <row r="409" spans="1:24" x14ac:dyDescent="0.2">
      <c r="A409">
        <f>Arrivals!A409</f>
        <v>4</v>
      </c>
      <c r="B409">
        <f>Arrivals!B409</f>
        <v>44</v>
      </c>
      <c r="C409" s="6">
        <f>Arrivals!F409</f>
        <v>348</v>
      </c>
      <c r="D409" s="6">
        <f>Arrivals!K409</f>
        <v>300</v>
      </c>
      <c r="E409" s="6">
        <f>D409*8/ACE_Input!S49+ACE_Input!T49</f>
        <v>24.02</v>
      </c>
      <c r="F409" s="6">
        <f t="shared" si="151"/>
        <v>348</v>
      </c>
      <c r="G409" s="6">
        <f t="shared" si="162"/>
        <v>1176.3799999999997</v>
      </c>
      <c r="H409" s="6">
        <f t="shared" si="152"/>
        <v>1176.3799999999997</v>
      </c>
      <c r="I409" s="6">
        <f>MOD(H409-Settings!$B$32,Settings!$B$33)</f>
        <v>456.37999999999965</v>
      </c>
      <c r="J409" s="6">
        <f>IF(I409&lt;Settings!$B$30,IF(Settings!$B$30-I409&gt;=E409,H409,H409+(Settings!$B$30-I409)+Settings!$B$31),H409+(Settings!$B$33-I409))</f>
        <v>1176.3799999999997</v>
      </c>
      <c r="K409" s="6">
        <f t="shared" si="153"/>
        <v>1200.3999999999996</v>
      </c>
      <c r="L409" s="6">
        <f t="shared" si="154"/>
        <v>1200.3999999999996</v>
      </c>
      <c r="M409" s="6">
        <f t="shared" si="163"/>
        <v>1181.5115787666539</v>
      </c>
      <c r="N409" s="6">
        <f t="shared" si="155"/>
        <v>1200.3999999999996</v>
      </c>
      <c r="O409" s="6">
        <f>Arrivals!I409</f>
        <v>3.057265984563958</v>
      </c>
      <c r="P409" s="6">
        <f t="shared" si="156"/>
        <v>1203.4572659845635</v>
      </c>
      <c r="Q409" s="6">
        <f t="shared" si="157"/>
        <v>855.45726598456349</v>
      </c>
      <c r="R409" s="6">
        <f t="shared" si="158"/>
        <v>828.37999999999965</v>
      </c>
      <c r="S409" s="6">
        <f t="shared" si="159"/>
        <v>0</v>
      </c>
      <c r="T409" s="6">
        <f t="shared" si="160"/>
        <v>0</v>
      </c>
      <c r="U409" s="6">
        <f t="shared" si="161"/>
        <v>828.37999999999965</v>
      </c>
      <c r="V409" s="6" t="str">
        <f>IF(MOD(C409-Settings!$B$32,Settings!$B$33)&lt;Settings!$B$30,"Up","Down")</f>
        <v>Up</v>
      </c>
      <c r="W409" s="6">
        <f>IF(OR(E409&gt;Settings!$B$30,Q409&gt;Settings!$B$37),0,1)</f>
        <v>1</v>
      </c>
      <c r="X409" s="6">
        <f>IF(AND(W409=1,Q409&lt;=Settings!$B$36),1,0)</f>
        <v>0</v>
      </c>
    </row>
    <row r="410" spans="1:24" x14ac:dyDescent="0.2">
      <c r="A410">
        <f>Arrivals!A410</f>
        <v>4</v>
      </c>
      <c r="B410">
        <f>Arrivals!B410</f>
        <v>45</v>
      </c>
      <c r="C410" s="6">
        <f>Arrivals!F410</f>
        <v>354</v>
      </c>
      <c r="D410" s="6">
        <f>Arrivals!K410</f>
        <v>300</v>
      </c>
      <c r="E410" s="6">
        <f>D410*8/ACE_Input!S50+ACE_Input!T50</f>
        <v>24.02</v>
      </c>
      <c r="F410" s="6">
        <f t="shared" si="151"/>
        <v>354</v>
      </c>
      <c r="G410" s="6">
        <f t="shared" si="162"/>
        <v>1200.3999999999996</v>
      </c>
      <c r="H410" s="6">
        <f t="shared" si="152"/>
        <v>1200.3999999999996</v>
      </c>
      <c r="I410" s="6">
        <f>MOD(H410-Settings!$B$32,Settings!$B$33)</f>
        <v>480.39999999999964</v>
      </c>
      <c r="J410" s="6">
        <f>IF(I410&lt;Settings!$B$30,IF(Settings!$B$30-I410&gt;=E410,H410,H410+(Settings!$B$30-I410)+Settings!$B$31),H410+(Settings!$B$33-I410))</f>
        <v>1200.3999999999996</v>
      </c>
      <c r="K410" s="6">
        <f t="shared" si="153"/>
        <v>1224.4199999999996</v>
      </c>
      <c r="L410" s="6">
        <f t="shared" si="154"/>
        <v>1224.4199999999996</v>
      </c>
      <c r="M410" s="6">
        <f t="shared" si="163"/>
        <v>1203.4572659845635</v>
      </c>
      <c r="N410" s="6">
        <f t="shared" si="155"/>
        <v>1224.4199999999996</v>
      </c>
      <c r="O410" s="6">
        <f>Arrivals!I410</f>
        <v>6.1522251495733125</v>
      </c>
      <c r="P410" s="6">
        <f t="shared" si="156"/>
        <v>1230.5722251495729</v>
      </c>
      <c r="Q410" s="6">
        <f t="shared" si="157"/>
        <v>876.57222514957289</v>
      </c>
      <c r="R410" s="6">
        <f t="shared" si="158"/>
        <v>846.39999999999964</v>
      </c>
      <c r="S410" s="6">
        <f t="shared" si="159"/>
        <v>0</v>
      </c>
      <c r="T410" s="6">
        <f t="shared" si="160"/>
        <v>0</v>
      </c>
      <c r="U410" s="6">
        <f t="shared" si="161"/>
        <v>846.39999999999964</v>
      </c>
      <c r="V410" s="6" t="str">
        <f>IF(MOD(C410-Settings!$B$32,Settings!$B$33)&lt;Settings!$B$30,"Up","Down")</f>
        <v>Up</v>
      </c>
      <c r="W410" s="6">
        <f>IF(OR(E410&gt;Settings!$B$30,Q410&gt;Settings!$B$37),0,1)</f>
        <v>1</v>
      </c>
      <c r="X410" s="6">
        <f>IF(AND(W410=1,Q410&lt;=Settings!$B$36),1,0)</f>
        <v>0</v>
      </c>
    </row>
    <row r="411" spans="1:24" x14ac:dyDescent="0.2">
      <c r="A411">
        <f>Arrivals!A411</f>
        <v>4</v>
      </c>
      <c r="B411">
        <f>Arrivals!B411</f>
        <v>46</v>
      </c>
      <c r="C411" s="6">
        <f>Arrivals!F411</f>
        <v>359</v>
      </c>
      <c r="D411" s="6">
        <f>Arrivals!K411</f>
        <v>300</v>
      </c>
      <c r="E411" s="6">
        <f>D411*8/ACE_Input!S51+ACE_Input!T51</f>
        <v>24.02</v>
      </c>
      <c r="F411" s="6">
        <f t="shared" si="151"/>
        <v>359</v>
      </c>
      <c r="G411" s="6">
        <f t="shared" si="162"/>
        <v>1224.4199999999996</v>
      </c>
      <c r="H411" s="6">
        <f t="shared" si="152"/>
        <v>1224.4199999999996</v>
      </c>
      <c r="I411" s="6">
        <f>MOD(H411-Settings!$B$32,Settings!$B$33)</f>
        <v>504.41999999999962</v>
      </c>
      <c r="J411" s="6">
        <f>IF(I411&lt;Settings!$B$30,IF(Settings!$B$30-I411&gt;=E411,H411,H411+(Settings!$B$30-I411)+Settings!$B$31),H411+(Settings!$B$33-I411))</f>
        <v>1224.4199999999996</v>
      </c>
      <c r="K411" s="6">
        <f t="shared" si="153"/>
        <v>1248.4399999999996</v>
      </c>
      <c r="L411" s="6">
        <f t="shared" si="154"/>
        <v>1248.4399999999996</v>
      </c>
      <c r="M411" s="6">
        <f t="shared" si="163"/>
        <v>1230.5722251495729</v>
      </c>
      <c r="N411" s="6">
        <f t="shared" si="155"/>
        <v>1248.4399999999996</v>
      </c>
      <c r="O411" s="6">
        <f>Arrivals!I411</f>
        <v>8.7080605298509361</v>
      </c>
      <c r="P411" s="6">
        <f t="shared" si="156"/>
        <v>1257.1480605298505</v>
      </c>
      <c r="Q411" s="6">
        <f t="shared" si="157"/>
        <v>898.14806052985045</v>
      </c>
      <c r="R411" s="6">
        <f t="shared" si="158"/>
        <v>865.41999999999962</v>
      </c>
      <c r="S411" s="6">
        <f t="shared" si="159"/>
        <v>0</v>
      </c>
      <c r="T411" s="6">
        <f t="shared" si="160"/>
        <v>0</v>
      </c>
      <c r="U411" s="6">
        <f t="shared" si="161"/>
        <v>865.41999999999962</v>
      </c>
      <c r="V411" s="6" t="str">
        <f>IF(MOD(C411-Settings!$B$32,Settings!$B$33)&lt;Settings!$B$30,"Up","Down")</f>
        <v>Up</v>
      </c>
      <c r="W411" s="6">
        <f>IF(OR(E411&gt;Settings!$B$30,Q411&gt;Settings!$B$37),0,1)</f>
        <v>1</v>
      </c>
      <c r="X411" s="6">
        <f>IF(AND(W411=1,Q411&lt;=Settings!$B$36),1,0)</f>
        <v>0</v>
      </c>
    </row>
    <row r="412" spans="1:24" x14ac:dyDescent="0.2">
      <c r="A412">
        <f>Arrivals!A412</f>
        <v>4</v>
      </c>
      <c r="B412">
        <f>Arrivals!B412</f>
        <v>47</v>
      </c>
      <c r="C412" s="6">
        <f>Arrivals!F412</f>
        <v>364</v>
      </c>
      <c r="D412" s="6">
        <f>Arrivals!K412</f>
        <v>300</v>
      </c>
      <c r="E412" s="6">
        <f>D412*8/ACE_Input!S52+ACE_Input!T52</f>
        <v>24.02</v>
      </c>
      <c r="F412" s="6">
        <f t="shared" si="151"/>
        <v>364</v>
      </c>
      <c r="G412" s="6">
        <f t="shared" si="162"/>
        <v>1248.4399999999996</v>
      </c>
      <c r="H412" s="6">
        <f t="shared" si="152"/>
        <v>1248.4399999999996</v>
      </c>
      <c r="I412" s="6">
        <f>MOD(H412-Settings!$B$32,Settings!$B$33)</f>
        <v>528.4399999999996</v>
      </c>
      <c r="J412" s="6">
        <f>IF(I412&lt;Settings!$B$30,IF(Settings!$B$30-I412&gt;=E412,H412,H412+(Settings!$B$30-I412)+Settings!$B$31),H412+(Settings!$B$33-I412))</f>
        <v>1248.4399999999996</v>
      </c>
      <c r="K412" s="6">
        <f t="shared" si="153"/>
        <v>1272.4599999999996</v>
      </c>
      <c r="L412" s="6">
        <f t="shared" si="154"/>
        <v>1272.4599999999996</v>
      </c>
      <c r="M412" s="6">
        <f t="shared" si="163"/>
        <v>1257.1480605298505</v>
      </c>
      <c r="N412" s="6">
        <f t="shared" si="155"/>
        <v>1272.4599999999996</v>
      </c>
      <c r="O412" s="6">
        <f>Arrivals!I412</f>
        <v>2.2597590385607553</v>
      </c>
      <c r="P412" s="6">
        <f t="shared" si="156"/>
        <v>1274.7197590385604</v>
      </c>
      <c r="Q412" s="6">
        <f t="shared" si="157"/>
        <v>910.71975903856037</v>
      </c>
      <c r="R412" s="6">
        <f t="shared" si="158"/>
        <v>884.4399999999996</v>
      </c>
      <c r="S412" s="6">
        <f t="shared" si="159"/>
        <v>0</v>
      </c>
      <c r="T412" s="6">
        <f t="shared" si="160"/>
        <v>0</v>
      </c>
      <c r="U412" s="6">
        <f t="shared" si="161"/>
        <v>884.4399999999996</v>
      </c>
      <c r="V412" s="6" t="str">
        <f>IF(MOD(C412-Settings!$B$32,Settings!$B$33)&lt;Settings!$B$30,"Up","Down")</f>
        <v>Up</v>
      </c>
      <c r="W412" s="6">
        <f>IF(OR(E412&gt;Settings!$B$30,Q412&gt;Settings!$B$37),0,1)</f>
        <v>0</v>
      </c>
      <c r="X412" s="6">
        <f>IF(AND(W412=1,Q412&lt;=Settings!$B$36),1,0)</f>
        <v>0</v>
      </c>
    </row>
    <row r="413" spans="1:24" x14ac:dyDescent="0.2">
      <c r="A413">
        <f>Arrivals!A413</f>
        <v>4</v>
      </c>
      <c r="B413">
        <f>Arrivals!B413</f>
        <v>48</v>
      </c>
      <c r="C413" s="6">
        <f>Arrivals!F413</f>
        <v>369</v>
      </c>
      <c r="D413" s="6">
        <f>Arrivals!K413</f>
        <v>300</v>
      </c>
      <c r="E413" s="6">
        <f>D413*8/ACE_Input!S53+ACE_Input!T53</f>
        <v>24.02</v>
      </c>
      <c r="F413" s="6">
        <f t="shared" si="151"/>
        <v>369</v>
      </c>
      <c r="G413" s="6">
        <f t="shared" si="162"/>
        <v>1272.4599999999996</v>
      </c>
      <c r="H413" s="6">
        <f t="shared" si="152"/>
        <v>1272.4599999999996</v>
      </c>
      <c r="I413" s="6">
        <f>MOD(H413-Settings!$B$32,Settings!$B$33)</f>
        <v>552.45999999999958</v>
      </c>
      <c r="J413" s="6">
        <f>IF(I413&lt;Settings!$B$30,IF(Settings!$B$30-I413&gt;=E413,H413,H413+(Settings!$B$30-I413)+Settings!$B$31),H413+(Settings!$B$33-I413))</f>
        <v>1272.4599999999996</v>
      </c>
      <c r="K413" s="6">
        <f t="shared" si="153"/>
        <v>1296.4799999999996</v>
      </c>
      <c r="L413" s="6">
        <f t="shared" si="154"/>
        <v>1296.4799999999996</v>
      </c>
      <c r="M413" s="6">
        <f t="shared" si="163"/>
        <v>1274.7197590385604</v>
      </c>
      <c r="N413" s="6">
        <f t="shared" si="155"/>
        <v>1296.4799999999996</v>
      </c>
      <c r="O413" s="6">
        <f>Arrivals!I413</f>
        <v>21.663320390730092</v>
      </c>
      <c r="P413" s="6">
        <f t="shared" si="156"/>
        <v>1318.1433203907297</v>
      </c>
      <c r="Q413" s="6">
        <f t="shared" si="157"/>
        <v>949.14332039072974</v>
      </c>
      <c r="R413" s="6">
        <f t="shared" si="158"/>
        <v>903.45999999999958</v>
      </c>
      <c r="S413" s="6">
        <f t="shared" si="159"/>
        <v>0</v>
      </c>
      <c r="T413" s="6">
        <f t="shared" si="160"/>
        <v>0</v>
      </c>
      <c r="U413" s="6">
        <f t="shared" si="161"/>
        <v>903.45999999999958</v>
      </c>
      <c r="V413" s="6" t="str">
        <f>IF(MOD(C413-Settings!$B$32,Settings!$B$33)&lt;Settings!$B$30,"Up","Down")</f>
        <v>Up</v>
      </c>
      <c r="W413" s="6">
        <f>IF(OR(E413&gt;Settings!$B$30,Q413&gt;Settings!$B$37),0,1)</f>
        <v>0</v>
      </c>
      <c r="X413" s="6">
        <f>IF(AND(W413=1,Q413&lt;=Settings!$B$36),1,0)</f>
        <v>0</v>
      </c>
    </row>
    <row r="414" spans="1:24" x14ac:dyDescent="0.2">
      <c r="A414">
        <f>Arrivals!A414</f>
        <v>4</v>
      </c>
      <c r="B414">
        <f>Arrivals!B414</f>
        <v>49</v>
      </c>
      <c r="C414" s="6">
        <f>Arrivals!F414</f>
        <v>374</v>
      </c>
      <c r="D414" s="6">
        <f>Arrivals!K414</f>
        <v>300</v>
      </c>
      <c r="E414" s="6">
        <f>D414*8/ACE_Input!S54+ACE_Input!T54</f>
        <v>24.02</v>
      </c>
      <c r="F414" s="6">
        <f t="shared" si="151"/>
        <v>374</v>
      </c>
      <c r="G414" s="6">
        <f t="shared" si="162"/>
        <v>1296.4799999999996</v>
      </c>
      <c r="H414" s="6">
        <f t="shared" si="152"/>
        <v>1296.4799999999996</v>
      </c>
      <c r="I414" s="6">
        <f>MOD(H414-Settings!$B$32,Settings!$B$33)</f>
        <v>576.47999999999956</v>
      </c>
      <c r="J414" s="6">
        <f>IF(I414&lt;Settings!$B$30,IF(Settings!$B$30-I414&gt;=E414,H414,H414+(Settings!$B$30-I414)+Settings!$B$31),H414+(Settings!$B$33-I414))</f>
        <v>1440</v>
      </c>
      <c r="K414" s="6">
        <f t="shared" si="153"/>
        <v>1464.02</v>
      </c>
      <c r="L414" s="6">
        <f t="shared" si="154"/>
        <v>1464.02</v>
      </c>
      <c r="M414" s="6">
        <f t="shared" si="163"/>
        <v>1318.1433203907297</v>
      </c>
      <c r="N414" s="6">
        <f t="shared" si="155"/>
        <v>1464.02</v>
      </c>
      <c r="O414" s="6">
        <f>Arrivals!I414</f>
        <v>1.3253007592214285</v>
      </c>
      <c r="P414" s="6">
        <f t="shared" si="156"/>
        <v>1465.3453007592213</v>
      </c>
      <c r="Q414" s="6">
        <f t="shared" si="157"/>
        <v>1091.3453007592213</v>
      </c>
      <c r="R414" s="6">
        <f t="shared" si="158"/>
        <v>922.47999999999956</v>
      </c>
      <c r="S414" s="6">
        <f t="shared" si="159"/>
        <v>143.52000000000044</v>
      </c>
      <c r="T414" s="6">
        <f t="shared" si="160"/>
        <v>0</v>
      </c>
      <c r="U414" s="6">
        <f t="shared" si="161"/>
        <v>1066</v>
      </c>
      <c r="V414" s="6" t="str">
        <f>IF(MOD(C414-Settings!$B$32,Settings!$B$33)&lt;Settings!$B$30,"Up","Down")</f>
        <v>Up</v>
      </c>
      <c r="W414" s="6">
        <f>IF(OR(E414&gt;Settings!$B$30,Q414&gt;Settings!$B$37),0,1)</f>
        <v>0</v>
      </c>
      <c r="X414" s="6">
        <f>IF(AND(W414=1,Q414&lt;=Settings!$B$36),1,0)</f>
        <v>0</v>
      </c>
    </row>
    <row r="415" spans="1:24" x14ac:dyDescent="0.2">
      <c r="A415">
        <f>Arrivals!A415</f>
        <v>4</v>
      </c>
      <c r="B415">
        <f>Arrivals!B415</f>
        <v>50</v>
      </c>
      <c r="C415" s="6">
        <f>Arrivals!F415</f>
        <v>379</v>
      </c>
      <c r="D415" s="6">
        <f>Arrivals!K415</f>
        <v>300</v>
      </c>
      <c r="E415" s="6">
        <f>D415*8/ACE_Input!S55+ACE_Input!T55</f>
        <v>24.02</v>
      </c>
      <c r="F415" s="6">
        <f t="shared" si="151"/>
        <v>379</v>
      </c>
      <c r="G415" s="6">
        <f t="shared" si="162"/>
        <v>1464.02</v>
      </c>
      <c r="H415" s="6">
        <f t="shared" si="152"/>
        <v>1464.02</v>
      </c>
      <c r="I415" s="6">
        <f>MOD(H415-Settings!$B$32,Settings!$B$33)</f>
        <v>24.019999999999982</v>
      </c>
      <c r="J415" s="6">
        <f>IF(I415&lt;Settings!$B$30,IF(Settings!$B$30-I415&gt;=E415,H415,H415+(Settings!$B$30-I415)+Settings!$B$31),H415+(Settings!$B$33-I415))</f>
        <v>1464.02</v>
      </c>
      <c r="K415" s="6">
        <f t="shared" si="153"/>
        <v>1488.04</v>
      </c>
      <c r="L415" s="6">
        <f t="shared" si="154"/>
        <v>1488.04</v>
      </c>
      <c r="M415" s="6">
        <f t="shared" si="163"/>
        <v>1465.3453007592213</v>
      </c>
      <c r="N415" s="6">
        <f t="shared" si="155"/>
        <v>1488.04</v>
      </c>
      <c r="O415" s="6">
        <f>Arrivals!I415</f>
        <v>0.20690417417614573</v>
      </c>
      <c r="P415" s="6">
        <f t="shared" si="156"/>
        <v>1488.2469041741761</v>
      </c>
      <c r="Q415" s="6">
        <f t="shared" si="157"/>
        <v>1109.2469041741761</v>
      </c>
      <c r="R415" s="6">
        <f t="shared" si="158"/>
        <v>1085.02</v>
      </c>
      <c r="S415" s="6">
        <f t="shared" si="159"/>
        <v>0</v>
      </c>
      <c r="T415" s="6">
        <f t="shared" si="160"/>
        <v>0</v>
      </c>
      <c r="U415" s="6">
        <f t="shared" si="161"/>
        <v>1085.02</v>
      </c>
      <c r="V415" s="6" t="str">
        <f>IF(MOD(C415-Settings!$B$32,Settings!$B$33)&lt;Settings!$B$30,"Up","Down")</f>
        <v>Up</v>
      </c>
      <c r="W415" s="6">
        <f>IF(OR(E415&gt;Settings!$B$30,Q415&gt;Settings!$B$37),0,1)</f>
        <v>0</v>
      </c>
      <c r="X415" s="6">
        <f>IF(AND(W415=1,Q415&lt;=Settings!$B$36),1,0)</f>
        <v>0</v>
      </c>
    </row>
    <row r="416" spans="1:24" x14ac:dyDescent="0.2">
      <c r="A416">
        <f>Arrivals!A416</f>
        <v>4</v>
      </c>
      <c r="B416">
        <f>Arrivals!B416</f>
        <v>51</v>
      </c>
      <c r="C416" s="6">
        <f>Arrivals!F416</f>
        <v>384</v>
      </c>
      <c r="D416" s="6">
        <f>Arrivals!K416</f>
        <v>300</v>
      </c>
      <c r="E416" s="6">
        <f>D416*8/ACE_Input!S56+ACE_Input!T56</f>
        <v>24.02</v>
      </c>
      <c r="F416" s="6">
        <f t="shared" si="151"/>
        <v>384</v>
      </c>
      <c r="G416" s="6">
        <f t="shared" si="162"/>
        <v>1488.04</v>
      </c>
      <c r="H416" s="6">
        <f t="shared" si="152"/>
        <v>1488.04</v>
      </c>
      <c r="I416" s="6">
        <f>MOD(H416-Settings!$B$32,Settings!$B$33)</f>
        <v>48.039999999999964</v>
      </c>
      <c r="J416" s="6">
        <f>IF(I416&lt;Settings!$B$30,IF(Settings!$B$30-I416&gt;=E416,H416,H416+(Settings!$B$30-I416)+Settings!$B$31),H416+(Settings!$B$33-I416))</f>
        <v>1488.04</v>
      </c>
      <c r="K416" s="6">
        <f t="shared" si="153"/>
        <v>1512.06</v>
      </c>
      <c r="L416" s="6">
        <f t="shared" si="154"/>
        <v>1512.06</v>
      </c>
      <c r="M416" s="6">
        <f t="shared" si="163"/>
        <v>1488.2469041741761</v>
      </c>
      <c r="N416" s="6">
        <f t="shared" si="155"/>
        <v>1512.06</v>
      </c>
      <c r="O416" s="6">
        <f>Arrivals!I416</f>
        <v>1.1939448199493501</v>
      </c>
      <c r="P416" s="6">
        <f t="shared" si="156"/>
        <v>1513.2539448199493</v>
      </c>
      <c r="Q416" s="6">
        <f t="shared" si="157"/>
        <v>1129.2539448199493</v>
      </c>
      <c r="R416" s="6">
        <f t="shared" si="158"/>
        <v>1104.04</v>
      </c>
      <c r="S416" s="6">
        <f t="shared" si="159"/>
        <v>0</v>
      </c>
      <c r="T416" s="6">
        <f t="shared" si="160"/>
        <v>0</v>
      </c>
      <c r="U416" s="6">
        <f t="shared" si="161"/>
        <v>1104.04</v>
      </c>
      <c r="V416" s="6" t="str">
        <f>IF(MOD(C416-Settings!$B$32,Settings!$B$33)&lt;Settings!$B$30,"Up","Down")</f>
        <v>Up</v>
      </c>
      <c r="W416" s="6">
        <f>IF(OR(E416&gt;Settings!$B$30,Q416&gt;Settings!$B$37),0,1)</f>
        <v>0</v>
      </c>
      <c r="X416" s="6">
        <f>IF(AND(W416=1,Q416&lt;=Settings!$B$36),1,0)</f>
        <v>0</v>
      </c>
    </row>
    <row r="417" spans="1:24" x14ac:dyDescent="0.2">
      <c r="A417">
        <f>Arrivals!A417</f>
        <v>4</v>
      </c>
      <c r="B417">
        <f>Arrivals!B417</f>
        <v>52</v>
      </c>
      <c r="C417" s="6">
        <f>Arrivals!F417</f>
        <v>389</v>
      </c>
      <c r="D417" s="6">
        <f>Arrivals!K417</f>
        <v>300</v>
      </c>
      <c r="E417" s="6">
        <f>D417*8/ACE_Input!S57+ACE_Input!T57</f>
        <v>24.02</v>
      </c>
      <c r="F417" s="6">
        <f t="shared" si="151"/>
        <v>389</v>
      </c>
      <c r="G417" s="6">
        <f t="shared" si="162"/>
        <v>1512.06</v>
      </c>
      <c r="H417" s="6">
        <f t="shared" si="152"/>
        <v>1512.06</v>
      </c>
      <c r="I417" s="6">
        <f>MOD(H417-Settings!$B$32,Settings!$B$33)</f>
        <v>72.059999999999945</v>
      </c>
      <c r="J417" s="6">
        <f>IF(I417&lt;Settings!$B$30,IF(Settings!$B$30-I417&gt;=E417,H417,H417+(Settings!$B$30-I417)+Settings!$B$31),H417+(Settings!$B$33-I417))</f>
        <v>1512.06</v>
      </c>
      <c r="K417" s="6">
        <f t="shared" si="153"/>
        <v>1536.08</v>
      </c>
      <c r="L417" s="6">
        <f t="shared" si="154"/>
        <v>1536.08</v>
      </c>
      <c r="M417" s="6">
        <f t="shared" si="163"/>
        <v>1513.2539448199493</v>
      </c>
      <c r="N417" s="6">
        <f t="shared" si="155"/>
        <v>1536.08</v>
      </c>
      <c r="O417" s="6">
        <f>Arrivals!I417</f>
        <v>0.92134322463730645</v>
      </c>
      <c r="P417" s="6">
        <f t="shared" si="156"/>
        <v>1537.0013432246371</v>
      </c>
      <c r="Q417" s="6">
        <f t="shared" si="157"/>
        <v>1148.0013432246371</v>
      </c>
      <c r="R417" s="6">
        <f t="shared" si="158"/>
        <v>1123.06</v>
      </c>
      <c r="S417" s="6">
        <f t="shared" si="159"/>
        <v>0</v>
      </c>
      <c r="T417" s="6">
        <f t="shared" si="160"/>
        <v>0</v>
      </c>
      <c r="U417" s="6">
        <f t="shared" si="161"/>
        <v>1123.06</v>
      </c>
      <c r="V417" s="6" t="str">
        <f>IF(MOD(C417-Settings!$B$32,Settings!$B$33)&lt;Settings!$B$30,"Up","Down")</f>
        <v>Up</v>
      </c>
      <c r="W417" s="6">
        <f>IF(OR(E417&gt;Settings!$B$30,Q417&gt;Settings!$B$37),0,1)</f>
        <v>0</v>
      </c>
      <c r="X417" s="6">
        <f>IF(AND(W417=1,Q417&lt;=Settings!$B$36),1,0)</f>
        <v>0</v>
      </c>
    </row>
    <row r="418" spans="1:24" x14ac:dyDescent="0.2">
      <c r="A418">
        <f>Arrivals!A418</f>
        <v>4</v>
      </c>
      <c r="B418">
        <f>Arrivals!B418</f>
        <v>53</v>
      </c>
      <c r="C418" s="6">
        <f>Arrivals!F418</f>
        <v>394</v>
      </c>
      <c r="D418" s="6">
        <f>Arrivals!K418</f>
        <v>300</v>
      </c>
      <c r="E418" s="6">
        <f>D418*8/ACE_Input!S58+ACE_Input!T58</f>
        <v>24.02</v>
      </c>
      <c r="F418" s="6">
        <f t="shared" si="151"/>
        <v>394</v>
      </c>
      <c r="G418" s="6">
        <f t="shared" si="162"/>
        <v>1536.08</v>
      </c>
      <c r="H418" s="6">
        <f t="shared" si="152"/>
        <v>1536.08</v>
      </c>
      <c r="I418" s="6">
        <f>MOD(H418-Settings!$B$32,Settings!$B$33)</f>
        <v>96.079999999999927</v>
      </c>
      <c r="J418" s="6">
        <f>IF(I418&lt;Settings!$B$30,IF(Settings!$B$30-I418&gt;=E418,H418,H418+(Settings!$B$30-I418)+Settings!$B$31),H418+(Settings!$B$33-I418))</f>
        <v>1536.08</v>
      </c>
      <c r="K418" s="6">
        <f t="shared" si="153"/>
        <v>1560.1</v>
      </c>
      <c r="L418" s="6">
        <f t="shared" si="154"/>
        <v>1560.1</v>
      </c>
      <c r="M418" s="6">
        <f t="shared" si="163"/>
        <v>1537.0013432246371</v>
      </c>
      <c r="N418" s="6">
        <f t="shared" si="155"/>
        <v>1560.1</v>
      </c>
      <c r="O418" s="6">
        <f>Arrivals!I418</f>
        <v>5.6629489798772035</v>
      </c>
      <c r="P418" s="6">
        <f t="shared" si="156"/>
        <v>1565.7629489798771</v>
      </c>
      <c r="Q418" s="6">
        <f t="shared" si="157"/>
        <v>1171.7629489798771</v>
      </c>
      <c r="R418" s="6">
        <f t="shared" si="158"/>
        <v>1142.08</v>
      </c>
      <c r="S418" s="6">
        <f t="shared" si="159"/>
        <v>0</v>
      </c>
      <c r="T418" s="6">
        <f t="shared" si="160"/>
        <v>0</v>
      </c>
      <c r="U418" s="6">
        <f t="shared" si="161"/>
        <v>1142.08</v>
      </c>
      <c r="V418" s="6" t="str">
        <f>IF(MOD(C418-Settings!$B$32,Settings!$B$33)&lt;Settings!$B$30,"Up","Down")</f>
        <v>Up</v>
      </c>
      <c r="W418" s="6">
        <f>IF(OR(E418&gt;Settings!$B$30,Q418&gt;Settings!$B$37),0,1)</f>
        <v>0</v>
      </c>
      <c r="X418" s="6">
        <f>IF(AND(W418=1,Q418&lt;=Settings!$B$36),1,0)</f>
        <v>0</v>
      </c>
    </row>
    <row r="419" spans="1:24" x14ac:dyDescent="0.2">
      <c r="A419">
        <f>Arrivals!A419</f>
        <v>4</v>
      </c>
      <c r="B419">
        <f>Arrivals!B419</f>
        <v>54</v>
      </c>
      <c r="C419" s="6">
        <f>Arrivals!F419</f>
        <v>399</v>
      </c>
      <c r="D419" s="6">
        <f>Arrivals!K419</f>
        <v>300</v>
      </c>
      <c r="E419" s="6">
        <f>D419*8/ACE_Input!S59+ACE_Input!T59</f>
        <v>24.02</v>
      </c>
      <c r="F419" s="6">
        <f t="shared" si="151"/>
        <v>399</v>
      </c>
      <c r="G419" s="6">
        <f t="shared" si="162"/>
        <v>1560.1</v>
      </c>
      <c r="H419" s="6">
        <f t="shared" si="152"/>
        <v>1560.1</v>
      </c>
      <c r="I419" s="6">
        <f>MOD(H419-Settings!$B$32,Settings!$B$33)</f>
        <v>120.09999999999991</v>
      </c>
      <c r="J419" s="6">
        <f>IF(I419&lt;Settings!$B$30,IF(Settings!$B$30-I419&gt;=E419,H419,H419+(Settings!$B$30-I419)+Settings!$B$31),H419+(Settings!$B$33-I419))</f>
        <v>1560.1</v>
      </c>
      <c r="K419" s="6">
        <f t="shared" si="153"/>
        <v>1584.12</v>
      </c>
      <c r="L419" s="6">
        <f t="shared" si="154"/>
        <v>1584.12</v>
      </c>
      <c r="M419" s="6">
        <f t="shared" si="163"/>
        <v>1565.7629489798771</v>
      </c>
      <c r="N419" s="6">
        <f t="shared" si="155"/>
        <v>1584.12</v>
      </c>
      <c r="O419" s="6">
        <f>Arrivals!I419</f>
        <v>0.68869289596086714</v>
      </c>
      <c r="P419" s="6">
        <f t="shared" si="156"/>
        <v>1584.8086928959608</v>
      </c>
      <c r="Q419" s="6">
        <f t="shared" si="157"/>
        <v>1185.8086928959608</v>
      </c>
      <c r="R419" s="6">
        <f t="shared" si="158"/>
        <v>1161.0999999999999</v>
      </c>
      <c r="S419" s="6">
        <f t="shared" si="159"/>
        <v>0</v>
      </c>
      <c r="T419" s="6">
        <f t="shared" si="160"/>
        <v>0</v>
      </c>
      <c r="U419" s="6">
        <f t="shared" si="161"/>
        <v>1161.0999999999999</v>
      </c>
      <c r="V419" s="6" t="str">
        <f>IF(MOD(C419-Settings!$B$32,Settings!$B$33)&lt;Settings!$B$30,"Up","Down")</f>
        <v>Up</v>
      </c>
      <c r="W419" s="6">
        <f>IF(OR(E419&gt;Settings!$B$30,Q419&gt;Settings!$B$37),0,1)</f>
        <v>0</v>
      </c>
      <c r="X419" s="6">
        <f>IF(AND(W419=1,Q419&lt;=Settings!$B$36),1,0)</f>
        <v>0</v>
      </c>
    </row>
    <row r="420" spans="1:24" x14ac:dyDescent="0.2">
      <c r="A420">
        <f>Arrivals!A420</f>
        <v>4</v>
      </c>
      <c r="B420">
        <f>Arrivals!B420</f>
        <v>55</v>
      </c>
      <c r="C420" s="6">
        <f>Arrivals!F420</f>
        <v>404</v>
      </c>
      <c r="D420" s="6">
        <f>Arrivals!K420</f>
        <v>300</v>
      </c>
      <c r="E420" s="6">
        <f>D420*8/ACE_Input!S60+ACE_Input!T60</f>
        <v>24.02</v>
      </c>
      <c r="F420" s="6">
        <f t="shared" si="151"/>
        <v>404</v>
      </c>
      <c r="G420" s="6">
        <f t="shared" si="162"/>
        <v>1584.12</v>
      </c>
      <c r="H420" s="6">
        <f t="shared" si="152"/>
        <v>1584.12</v>
      </c>
      <c r="I420" s="6">
        <f>MOD(H420-Settings!$B$32,Settings!$B$33)</f>
        <v>144.11999999999989</v>
      </c>
      <c r="J420" s="6">
        <f>IF(I420&lt;Settings!$B$30,IF(Settings!$B$30-I420&gt;=E420,H420,H420+(Settings!$B$30-I420)+Settings!$B$31),H420+(Settings!$B$33-I420))</f>
        <v>1584.12</v>
      </c>
      <c r="K420" s="6">
        <f t="shared" si="153"/>
        <v>1608.1399999999999</v>
      </c>
      <c r="L420" s="6">
        <f t="shared" si="154"/>
        <v>1608.1399999999999</v>
      </c>
      <c r="M420" s="6">
        <f t="shared" si="163"/>
        <v>1584.8086928959608</v>
      </c>
      <c r="N420" s="6">
        <f t="shared" si="155"/>
        <v>1608.1399999999999</v>
      </c>
      <c r="O420" s="6">
        <f>Arrivals!I420</f>
        <v>1.4677201308654348</v>
      </c>
      <c r="P420" s="6">
        <f t="shared" si="156"/>
        <v>1609.6077201308653</v>
      </c>
      <c r="Q420" s="6">
        <f t="shared" si="157"/>
        <v>1205.6077201308653</v>
      </c>
      <c r="R420" s="6">
        <f t="shared" si="158"/>
        <v>1180.1199999999999</v>
      </c>
      <c r="S420" s="6">
        <f t="shared" si="159"/>
        <v>0</v>
      </c>
      <c r="T420" s="6">
        <f t="shared" si="160"/>
        <v>0</v>
      </c>
      <c r="U420" s="6">
        <f t="shared" si="161"/>
        <v>1180.1199999999999</v>
      </c>
      <c r="V420" s="6" t="str">
        <f>IF(MOD(C420-Settings!$B$32,Settings!$B$33)&lt;Settings!$B$30,"Up","Down")</f>
        <v>Up</v>
      </c>
      <c r="W420" s="6">
        <f>IF(OR(E420&gt;Settings!$B$30,Q420&gt;Settings!$B$37),0,1)</f>
        <v>0</v>
      </c>
      <c r="X420" s="6">
        <f>IF(AND(W420=1,Q420&lt;=Settings!$B$36),1,0)</f>
        <v>0</v>
      </c>
    </row>
    <row r="421" spans="1:24" x14ac:dyDescent="0.2">
      <c r="A421">
        <f>Arrivals!A421</f>
        <v>4</v>
      </c>
      <c r="B421">
        <f>Arrivals!B421</f>
        <v>56</v>
      </c>
      <c r="C421" s="6">
        <f>Arrivals!F421</f>
        <v>409</v>
      </c>
      <c r="D421" s="6">
        <f>Arrivals!K421</f>
        <v>300</v>
      </c>
      <c r="E421" s="6">
        <f>D421*8/ACE_Input!S61+ACE_Input!T61</f>
        <v>24.02</v>
      </c>
      <c r="F421" s="6">
        <f t="shared" si="151"/>
        <v>409</v>
      </c>
      <c r="G421" s="6">
        <f t="shared" si="162"/>
        <v>1608.1399999999999</v>
      </c>
      <c r="H421" s="6">
        <f t="shared" si="152"/>
        <v>1608.1399999999999</v>
      </c>
      <c r="I421" s="6">
        <f>MOD(H421-Settings!$B$32,Settings!$B$33)</f>
        <v>168.13999999999987</v>
      </c>
      <c r="J421" s="6">
        <f>IF(I421&lt;Settings!$B$30,IF(Settings!$B$30-I421&gt;=E421,H421,H421+(Settings!$B$30-I421)+Settings!$B$31),H421+(Settings!$B$33-I421))</f>
        <v>1608.1399999999999</v>
      </c>
      <c r="K421" s="6">
        <f t="shared" si="153"/>
        <v>1632.1599999999999</v>
      </c>
      <c r="L421" s="6">
        <f t="shared" si="154"/>
        <v>1632.1599999999999</v>
      </c>
      <c r="M421" s="6">
        <f t="shared" si="163"/>
        <v>1609.6077201308653</v>
      </c>
      <c r="N421" s="6">
        <f t="shared" si="155"/>
        <v>1632.1599999999999</v>
      </c>
      <c r="O421" s="6">
        <f>Arrivals!I421</f>
        <v>0.57347075689809002</v>
      </c>
      <c r="P421" s="6">
        <f t="shared" si="156"/>
        <v>1632.733470756898</v>
      </c>
      <c r="Q421" s="6">
        <f t="shared" si="157"/>
        <v>1223.733470756898</v>
      </c>
      <c r="R421" s="6">
        <f t="shared" si="158"/>
        <v>1199.1399999999999</v>
      </c>
      <c r="S421" s="6">
        <f t="shared" si="159"/>
        <v>0</v>
      </c>
      <c r="T421" s="6">
        <f t="shared" si="160"/>
        <v>0</v>
      </c>
      <c r="U421" s="6">
        <f t="shared" si="161"/>
        <v>1199.1399999999999</v>
      </c>
      <c r="V421" s="6" t="str">
        <f>IF(MOD(C421-Settings!$B$32,Settings!$B$33)&lt;Settings!$B$30,"Up","Down")</f>
        <v>Up</v>
      </c>
      <c r="W421" s="6">
        <f>IF(OR(E421&gt;Settings!$B$30,Q421&gt;Settings!$B$37),0,1)</f>
        <v>0</v>
      </c>
      <c r="X421" s="6">
        <f>IF(AND(W421=1,Q421&lt;=Settings!$B$36),1,0)</f>
        <v>0</v>
      </c>
    </row>
    <row r="422" spans="1:24" x14ac:dyDescent="0.2">
      <c r="A422">
        <f>Arrivals!A422</f>
        <v>4</v>
      </c>
      <c r="B422">
        <f>Arrivals!B422</f>
        <v>57</v>
      </c>
      <c r="C422" s="6">
        <f>Arrivals!F422</f>
        <v>414</v>
      </c>
      <c r="D422" s="6">
        <f>Arrivals!K422</f>
        <v>300</v>
      </c>
      <c r="E422" s="6">
        <f>D422*8/ACE_Input!S62+ACE_Input!T62</f>
        <v>24.02</v>
      </c>
      <c r="F422" s="6">
        <f t="shared" si="151"/>
        <v>414</v>
      </c>
      <c r="G422" s="6">
        <f t="shared" si="162"/>
        <v>1632.1599999999999</v>
      </c>
      <c r="H422" s="6">
        <f t="shared" si="152"/>
        <v>1632.1599999999999</v>
      </c>
      <c r="I422" s="6">
        <f>MOD(H422-Settings!$B$32,Settings!$B$33)</f>
        <v>192.15999999999985</v>
      </c>
      <c r="J422" s="6">
        <f>IF(I422&lt;Settings!$B$30,IF(Settings!$B$30-I422&gt;=E422,H422,H422+(Settings!$B$30-I422)+Settings!$B$31),H422+(Settings!$B$33-I422))</f>
        <v>1632.1599999999999</v>
      </c>
      <c r="K422" s="6">
        <f t="shared" si="153"/>
        <v>1656.1799999999998</v>
      </c>
      <c r="L422" s="6">
        <f t="shared" si="154"/>
        <v>1656.1799999999998</v>
      </c>
      <c r="M422" s="6">
        <f t="shared" si="163"/>
        <v>1632.733470756898</v>
      </c>
      <c r="N422" s="6">
        <f t="shared" si="155"/>
        <v>1656.1799999999998</v>
      </c>
      <c r="O422" s="6">
        <f>Arrivals!I422</f>
        <v>6.8526511486241803</v>
      </c>
      <c r="P422" s="6">
        <f t="shared" si="156"/>
        <v>1663.0326511486239</v>
      </c>
      <c r="Q422" s="6">
        <f t="shared" si="157"/>
        <v>1249.0326511486239</v>
      </c>
      <c r="R422" s="6">
        <f t="shared" si="158"/>
        <v>1218.1599999999999</v>
      </c>
      <c r="S422" s="6">
        <f t="shared" si="159"/>
        <v>0</v>
      </c>
      <c r="T422" s="6">
        <f t="shared" si="160"/>
        <v>0</v>
      </c>
      <c r="U422" s="6">
        <f t="shared" si="161"/>
        <v>1218.1599999999999</v>
      </c>
      <c r="V422" s="6" t="str">
        <f>IF(MOD(C422-Settings!$B$32,Settings!$B$33)&lt;Settings!$B$30,"Up","Down")</f>
        <v>Up</v>
      </c>
      <c r="W422" s="6">
        <f>IF(OR(E422&gt;Settings!$B$30,Q422&gt;Settings!$B$37),0,1)</f>
        <v>0</v>
      </c>
      <c r="X422" s="6">
        <f>IF(AND(W422=1,Q422&lt;=Settings!$B$36),1,0)</f>
        <v>0</v>
      </c>
    </row>
    <row r="423" spans="1:24" x14ac:dyDescent="0.2">
      <c r="A423">
        <f>Arrivals!A423</f>
        <v>4</v>
      </c>
      <c r="B423">
        <f>Arrivals!B423</f>
        <v>58</v>
      </c>
      <c r="C423" s="6">
        <f>Arrivals!F423</f>
        <v>419</v>
      </c>
      <c r="D423" s="6">
        <f>Arrivals!K423</f>
        <v>300</v>
      </c>
      <c r="E423" s="6">
        <f>D423*8/ACE_Input!S63+ACE_Input!T63</f>
        <v>24.02</v>
      </c>
      <c r="F423" s="6">
        <f t="shared" si="151"/>
        <v>419</v>
      </c>
      <c r="G423" s="6">
        <f t="shared" si="162"/>
        <v>1656.1799999999998</v>
      </c>
      <c r="H423" s="6">
        <f t="shared" si="152"/>
        <v>1656.1799999999998</v>
      </c>
      <c r="I423" s="6">
        <f>MOD(H423-Settings!$B$32,Settings!$B$33)</f>
        <v>216.17999999999984</v>
      </c>
      <c r="J423" s="6">
        <f>IF(I423&lt;Settings!$B$30,IF(Settings!$B$30-I423&gt;=E423,H423,H423+(Settings!$B$30-I423)+Settings!$B$31),H423+(Settings!$B$33-I423))</f>
        <v>1656.1799999999998</v>
      </c>
      <c r="K423" s="6">
        <f t="shared" si="153"/>
        <v>1680.1999999999998</v>
      </c>
      <c r="L423" s="6">
        <f t="shared" si="154"/>
        <v>1680.1999999999998</v>
      </c>
      <c r="M423" s="6">
        <f t="shared" si="163"/>
        <v>1663.0326511486239</v>
      </c>
      <c r="N423" s="6">
        <f t="shared" si="155"/>
        <v>1680.1999999999998</v>
      </c>
      <c r="O423" s="6">
        <f>Arrivals!I423</f>
        <v>6.199244307657505</v>
      </c>
      <c r="P423" s="6">
        <f t="shared" si="156"/>
        <v>1686.3992443076572</v>
      </c>
      <c r="Q423" s="6">
        <f t="shared" si="157"/>
        <v>1267.3992443076572</v>
      </c>
      <c r="R423" s="6">
        <f t="shared" si="158"/>
        <v>1237.1799999999998</v>
      </c>
      <c r="S423" s="6">
        <f t="shared" si="159"/>
        <v>0</v>
      </c>
      <c r="T423" s="6">
        <f t="shared" si="160"/>
        <v>0</v>
      </c>
      <c r="U423" s="6">
        <f t="shared" si="161"/>
        <v>1237.1799999999998</v>
      </c>
      <c r="V423" s="6" t="str">
        <f>IF(MOD(C423-Settings!$B$32,Settings!$B$33)&lt;Settings!$B$30,"Up","Down")</f>
        <v>Up</v>
      </c>
      <c r="W423" s="6">
        <f>IF(OR(E423&gt;Settings!$B$30,Q423&gt;Settings!$B$37),0,1)</f>
        <v>0</v>
      </c>
      <c r="X423" s="6">
        <f>IF(AND(W423=1,Q423&lt;=Settings!$B$36),1,0)</f>
        <v>0</v>
      </c>
    </row>
    <row r="424" spans="1:24" x14ac:dyDescent="0.2">
      <c r="A424">
        <f>Arrivals!A424</f>
        <v>4</v>
      </c>
      <c r="B424">
        <f>Arrivals!B424</f>
        <v>59</v>
      </c>
      <c r="C424" s="6">
        <f>Arrivals!F424</f>
        <v>424</v>
      </c>
      <c r="D424" s="6">
        <f>Arrivals!K424</f>
        <v>300</v>
      </c>
      <c r="E424" s="6">
        <f>D424*8/ACE_Input!S64+ACE_Input!T64</f>
        <v>24.02</v>
      </c>
      <c r="F424" s="6">
        <f t="shared" si="151"/>
        <v>424</v>
      </c>
      <c r="G424" s="6">
        <f t="shared" si="162"/>
        <v>1680.1999999999998</v>
      </c>
      <c r="H424" s="6">
        <f t="shared" si="152"/>
        <v>1680.1999999999998</v>
      </c>
      <c r="I424" s="6">
        <f>MOD(H424-Settings!$B$32,Settings!$B$33)</f>
        <v>240.19999999999982</v>
      </c>
      <c r="J424" s="6">
        <f>IF(I424&lt;Settings!$B$30,IF(Settings!$B$30-I424&gt;=E424,H424,H424+(Settings!$B$30-I424)+Settings!$B$31),H424+(Settings!$B$33-I424))</f>
        <v>1680.1999999999998</v>
      </c>
      <c r="K424" s="6">
        <f t="shared" si="153"/>
        <v>1704.2199999999998</v>
      </c>
      <c r="L424" s="6">
        <f t="shared" si="154"/>
        <v>1704.2199999999998</v>
      </c>
      <c r="M424" s="6">
        <f t="shared" si="163"/>
        <v>1686.3992443076572</v>
      </c>
      <c r="N424" s="6">
        <f t="shared" si="155"/>
        <v>1704.2199999999998</v>
      </c>
      <c r="O424" s="6">
        <f>Arrivals!I424</f>
        <v>0.30883770289281903</v>
      </c>
      <c r="P424" s="6">
        <f t="shared" si="156"/>
        <v>1704.5288377028926</v>
      </c>
      <c r="Q424" s="6">
        <f t="shared" si="157"/>
        <v>1280.5288377028926</v>
      </c>
      <c r="R424" s="6">
        <f t="shared" si="158"/>
        <v>1256.1999999999998</v>
      </c>
      <c r="S424" s="6">
        <f t="shared" si="159"/>
        <v>0</v>
      </c>
      <c r="T424" s="6">
        <f t="shared" si="160"/>
        <v>0</v>
      </c>
      <c r="U424" s="6">
        <f t="shared" si="161"/>
        <v>1256.1999999999998</v>
      </c>
      <c r="V424" s="6" t="str">
        <f>IF(MOD(C424-Settings!$B$32,Settings!$B$33)&lt;Settings!$B$30,"Up","Down")</f>
        <v>Up</v>
      </c>
      <c r="W424" s="6">
        <f>IF(OR(E424&gt;Settings!$B$30,Q424&gt;Settings!$B$37),0,1)</f>
        <v>0</v>
      </c>
      <c r="X424" s="6">
        <f>IF(AND(W424=1,Q424&lt;=Settings!$B$36),1,0)</f>
        <v>0</v>
      </c>
    </row>
    <row r="425" spans="1:24" x14ac:dyDescent="0.2">
      <c r="A425">
        <f>Arrivals!A425</f>
        <v>4</v>
      </c>
      <c r="B425">
        <f>Arrivals!B425</f>
        <v>60</v>
      </c>
      <c r="C425" s="6">
        <f>Arrivals!F425</f>
        <v>429</v>
      </c>
      <c r="D425" s="6">
        <f>Arrivals!K425</f>
        <v>300</v>
      </c>
      <c r="E425" s="6">
        <f>D425*8/ACE_Input!S65+ACE_Input!T65</f>
        <v>24.02</v>
      </c>
      <c r="F425" s="6">
        <f t="shared" si="151"/>
        <v>429</v>
      </c>
      <c r="G425" s="6">
        <f t="shared" si="162"/>
        <v>1704.2199999999998</v>
      </c>
      <c r="H425" s="6">
        <f t="shared" si="152"/>
        <v>1704.2199999999998</v>
      </c>
      <c r="I425" s="6">
        <f>MOD(H425-Settings!$B$32,Settings!$B$33)</f>
        <v>264.2199999999998</v>
      </c>
      <c r="J425" s="6">
        <f>IF(I425&lt;Settings!$B$30,IF(Settings!$B$30-I425&gt;=E425,H425,H425+(Settings!$B$30-I425)+Settings!$B$31),H425+(Settings!$B$33-I425))</f>
        <v>1704.2199999999998</v>
      </c>
      <c r="K425" s="6">
        <f t="shared" si="153"/>
        <v>1728.2399999999998</v>
      </c>
      <c r="L425" s="6">
        <f t="shared" si="154"/>
        <v>1728.2399999999998</v>
      </c>
      <c r="M425" s="6">
        <f t="shared" si="163"/>
        <v>1704.5288377028926</v>
      </c>
      <c r="N425" s="6">
        <f t="shared" si="155"/>
        <v>1728.2399999999998</v>
      </c>
      <c r="O425" s="6">
        <f>Arrivals!I425</f>
        <v>7.0376283187400777</v>
      </c>
      <c r="P425" s="6">
        <f t="shared" si="156"/>
        <v>1735.27762831874</v>
      </c>
      <c r="Q425" s="6">
        <f t="shared" si="157"/>
        <v>1306.27762831874</v>
      </c>
      <c r="R425" s="6">
        <f t="shared" si="158"/>
        <v>1275.2199999999998</v>
      </c>
      <c r="S425" s="6">
        <f t="shared" si="159"/>
        <v>0</v>
      </c>
      <c r="T425" s="6">
        <f t="shared" si="160"/>
        <v>0</v>
      </c>
      <c r="U425" s="6">
        <f t="shared" si="161"/>
        <v>1275.2199999999998</v>
      </c>
      <c r="V425" s="6" t="str">
        <f>IF(MOD(C425-Settings!$B$32,Settings!$B$33)&lt;Settings!$B$30,"Up","Down")</f>
        <v>Up</v>
      </c>
      <c r="W425" s="6">
        <f>IF(OR(E425&gt;Settings!$B$30,Q425&gt;Settings!$B$37),0,1)</f>
        <v>0</v>
      </c>
      <c r="X425" s="6">
        <f>IF(AND(W425=1,Q425&lt;=Settings!$B$36),1,0)</f>
        <v>0</v>
      </c>
    </row>
    <row r="426" spans="1:24" x14ac:dyDescent="0.2">
      <c r="A426">
        <f>Arrivals!A426</f>
        <v>4</v>
      </c>
      <c r="B426">
        <f>Arrivals!B426</f>
        <v>61</v>
      </c>
      <c r="C426" s="6">
        <f>Arrivals!F426</f>
        <v>434</v>
      </c>
      <c r="D426" s="6">
        <f>Arrivals!K426</f>
        <v>300</v>
      </c>
      <c r="E426" s="6">
        <f>D426*8/ACE_Input!S66+ACE_Input!T66</f>
        <v>24.02</v>
      </c>
      <c r="F426" s="6">
        <f t="shared" si="151"/>
        <v>434</v>
      </c>
      <c r="G426" s="6">
        <f t="shared" si="162"/>
        <v>1728.2399999999998</v>
      </c>
      <c r="H426" s="6">
        <f t="shared" si="152"/>
        <v>1728.2399999999998</v>
      </c>
      <c r="I426" s="6">
        <f>MOD(H426-Settings!$B$32,Settings!$B$33)</f>
        <v>288.23999999999978</v>
      </c>
      <c r="J426" s="6">
        <f>IF(I426&lt;Settings!$B$30,IF(Settings!$B$30-I426&gt;=E426,H426,H426+(Settings!$B$30-I426)+Settings!$B$31),H426+(Settings!$B$33-I426))</f>
        <v>1728.2399999999998</v>
      </c>
      <c r="K426" s="6">
        <f t="shared" si="153"/>
        <v>1752.2599999999998</v>
      </c>
      <c r="L426" s="6">
        <f t="shared" si="154"/>
        <v>1752.2599999999998</v>
      </c>
      <c r="M426" s="6">
        <f t="shared" si="163"/>
        <v>1735.27762831874</v>
      </c>
      <c r="N426" s="6">
        <f t="shared" si="155"/>
        <v>1752.2599999999998</v>
      </c>
      <c r="O426" s="6">
        <f>Arrivals!I426</f>
        <v>5.1931611833306501</v>
      </c>
      <c r="P426" s="6">
        <f t="shared" si="156"/>
        <v>1757.4531611833304</v>
      </c>
      <c r="Q426" s="6">
        <f t="shared" si="157"/>
        <v>1323.4531611833304</v>
      </c>
      <c r="R426" s="6">
        <f t="shared" si="158"/>
        <v>1294.2399999999998</v>
      </c>
      <c r="S426" s="6">
        <f t="shared" si="159"/>
        <v>0</v>
      </c>
      <c r="T426" s="6">
        <f t="shared" si="160"/>
        <v>0</v>
      </c>
      <c r="U426" s="6">
        <f t="shared" si="161"/>
        <v>1294.2399999999998</v>
      </c>
      <c r="V426" s="6" t="str">
        <f>IF(MOD(C426-Settings!$B$32,Settings!$B$33)&lt;Settings!$B$30,"Up","Down")</f>
        <v>Up</v>
      </c>
      <c r="W426" s="6">
        <f>IF(OR(E426&gt;Settings!$B$30,Q426&gt;Settings!$B$37),0,1)</f>
        <v>0</v>
      </c>
      <c r="X426" s="6">
        <f>IF(AND(W426=1,Q426&lt;=Settings!$B$36),1,0)</f>
        <v>0</v>
      </c>
    </row>
    <row r="427" spans="1:24" x14ac:dyDescent="0.2">
      <c r="A427">
        <f>Arrivals!A427</f>
        <v>4</v>
      </c>
      <c r="B427">
        <f>Arrivals!B427</f>
        <v>62</v>
      </c>
      <c r="C427" s="6">
        <f>Arrivals!F427</f>
        <v>439</v>
      </c>
      <c r="D427" s="6">
        <f>Arrivals!K427</f>
        <v>300</v>
      </c>
      <c r="E427" s="6">
        <f>D427*8/ACE_Input!S67+ACE_Input!T67</f>
        <v>24.02</v>
      </c>
      <c r="F427" s="6">
        <f t="shared" si="151"/>
        <v>439</v>
      </c>
      <c r="G427" s="6">
        <f t="shared" si="162"/>
        <v>1752.2599999999998</v>
      </c>
      <c r="H427" s="6">
        <f t="shared" si="152"/>
        <v>1752.2599999999998</v>
      </c>
      <c r="I427" s="6">
        <f>MOD(H427-Settings!$B$32,Settings!$B$33)</f>
        <v>312.25999999999976</v>
      </c>
      <c r="J427" s="6">
        <f>IF(I427&lt;Settings!$B$30,IF(Settings!$B$30-I427&gt;=E427,H427,H427+(Settings!$B$30-I427)+Settings!$B$31),H427+(Settings!$B$33-I427))</f>
        <v>1752.2599999999998</v>
      </c>
      <c r="K427" s="6">
        <f t="shared" si="153"/>
        <v>1776.2799999999997</v>
      </c>
      <c r="L427" s="6">
        <f t="shared" si="154"/>
        <v>1776.2799999999997</v>
      </c>
      <c r="M427" s="6">
        <f t="shared" si="163"/>
        <v>1757.4531611833304</v>
      </c>
      <c r="N427" s="6">
        <f t="shared" si="155"/>
        <v>1776.2799999999997</v>
      </c>
      <c r="O427" s="6">
        <f>Arrivals!I427</f>
        <v>5.0955162411702046</v>
      </c>
      <c r="P427" s="6">
        <f t="shared" si="156"/>
        <v>1781.3755162411699</v>
      </c>
      <c r="Q427" s="6">
        <f t="shared" si="157"/>
        <v>1342.3755162411699</v>
      </c>
      <c r="R427" s="6">
        <f t="shared" si="158"/>
        <v>1313.2599999999998</v>
      </c>
      <c r="S427" s="6">
        <f t="shared" si="159"/>
        <v>0</v>
      </c>
      <c r="T427" s="6">
        <f t="shared" si="160"/>
        <v>0</v>
      </c>
      <c r="U427" s="6">
        <f t="shared" si="161"/>
        <v>1313.2599999999998</v>
      </c>
      <c r="V427" s="6" t="str">
        <f>IF(MOD(C427-Settings!$B$32,Settings!$B$33)&lt;Settings!$B$30,"Up","Down")</f>
        <v>Up</v>
      </c>
      <c r="W427" s="6">
        <f>IF(OR(E427&gt;Settings!$B$30,Q427&gt;Settings!$B$37),0,1)</f>
        <v>0</v>
      </c>
      <c r="X427" s="6">
        <f>IF(AND(W427=1,Q427&lt;=Settings!$B$36),1,0)</f>
        <v>0</v>
      </c>
    </row>
    <row r="428" spans="1:24" x14ac:dyDescent="0.2">
      <c r="A428">
        <f>Arrivals!A428</f>
        <v>4</v>
      </c>
      <c r="B428">
        <f>Arrivals!B428</f>
        <v>63</v>
      </c>
      <c r="C428" s="6">
        <f>Arrivals!F428</f>
        <v>444</v>
      </c>
      <c r="D428" s="6">
        <f>Arrivals!K428</f>
        <v>300</v>
      </c>
      <c r="E428" s="6">
        <f>D428*8/ACE_Input!S68+ACE_Input!T68</f>
        <v>24.02</v>
      </c>
      <c r="F428" s="6">
        <f t="shared" si="151"/>
        <v>444</v>
      </c>
      <c r="G428" s="6">
        <f t="shared" si="162"/>
        <v>1776.2799999999997</v>
      </c>
      <c r="H428" s="6">
        <f t="shared" si="152"/>
        <v>1776.2799999999997</v>
      </c>
      <c r="I428" s="6">
        <f>MOD(H428-Settings!$B$32,Settings!$B$33)</f>
        <v>336.27999999999975</v>
      </c>
      <c r="J428" s="6">
        <f>IF(I428&lt;Settings!$B$30,IF(Settings!$B$30-I428&gt;=E428,H428,H428+(Settings!$B$30-I428)+Settings!$B$31),H428+(Settings!$B$33-I428))</f>
        <v>1776.2799999999997</v>
      </c>
      <c r="K428" s="6">
        <f t="shared" si="153"/>
        <v>1800.2999999999997</v>
      </c>
      <c r="L428" s="6">
        <f t="shared" si="154"/>
        <v>1800.2999999999997</v>
      </c>
      <c r="M428" s="6">
        <f t="shared" si="163"/>
        <v>1781.3755162411699</v>
      </c>
      <c r="N428" s="6">
        <f t="shared" si="155"/>
        <v>1800.2999999999997</v>
      </c>
      <c r="O428" s="6">
        <f>Arrivals!I428</f>
        <v>1.6402329615213087</v>
      </c>
      <c r="P428" s="6">
        <f t="shared" si="156"/>
        <v>1801.9402329615211</v>
      </c>
      <c r="Q428" s="6">
        <f t="shared" si="157"/>
        <v>1357.9402329615211</v>
      </c>
      <c r="R428" s="6">
        <f t="shared" si="158"/>
        <v>1332.2799999999997</v>
      </c>
      <c r="S428" s="6">
        <f t="shared" si="159"/>
        <v>0</v>
      </c>
      <c r="T428" s="6">
        <f t="shared" si="160"/>
        <v>0</v>
      </c>
      <c r="U428" s="6">
        <f t="shared" si="161"/>
        <v>1332.2799999999997</v>
      </c>
      <c r="V428" s="6" t="str">
        <f>IF(MOD(C428-Settings!$B$32,Settings!$B$33)&lt;Settings!$B$30,"Up","Down")</f>
        <v>Up</v>
      </c>
      <c r="W428" s="6">
        <f>IF(OR(E428&gt;Settings!$B$30,Q428&gt;Settings!$B$37),0,1)</f>
        <v>0</v>
      </c>
      <c r="X428" s="6">
        <f>IF(AND(W428=1,Q428&lt;=Settings!$B$36),1,0)</f>
        <v>0</v>
      </c>
    </row>
    <row r="429" spans="1:24" x14ac:dyDescent="0.2">
      <c r="A429">
        <f>Arrivals!A429</f>
        <v>4</v>
      </c>
      <c r="B429">
        <f>Arrivals!B429</f>
        <v>64</v>
      </c>
      <c r="C429" s="6">
        <f>Arrivals!F429</f>
        <v>449</v>
      </c>
      <c r="D429" s="6">
        <f>Arrivals!K429</f>
        <v>300</v>
      </c>
      <c r="E429" s="6">
        <f>D429*8/ACE_Input!S69+ACE_Input!T69</f>
        <v>24.02</v>
      </c>
      <c r="F429" s="6">
        <f t="shared" si="151"/>
        <v>449</v>
      </c>
      <c r="G429" s="6">
        <f t="shared" si="162"/>
        <v>1800.2999999999997</v>
      </c>
      <c r="H429" s="6">
        <f t="shared" si="152"/>
        <v>1800.2999999999997</v>
      </c>
      <c r="I429" s="6">
        <f>MOD(H429-Settings!$B$32,Settings!$B$33)</f>
        <v>360.29999999999973</v>
      </c>
      <c r="J429" s="6">
        <f>IF(I429&lt;Settings!$B$30,IF(Settings!$B$30-I429&gt;=E429,H429,H429+(Settings!$B$30-I429)+Settings!$B$31),H429+(Settings!$B$33-I429))</f>
        <v>1800.2999999999997</v>
      </c>
      <c r="K429" s="6">
        <f t="shared" si="153"/>
        <v>1824.3199999999997</v>
      </c>
      <c r="L429" s="6">
        <f t="shared" si="154"/>
        <v>1824.3199999999997</v>
      </c>
      <c r="M429" s="6">
        <f t="shared" si="163"/>
        <v>1801.9402329615211</v>
      </c>
      <c r="N429" s="6">
        <f t="shared" si="155"/>
        <v>1824.3199999999997</v>
      </c>
      <c r="O429" s="6">
        <f>Arrivals!I429</f>
        <v>4.5557186805170868</v>
      </c>
      <c r="P429" s="6">
        <f t="shared" si="156"/>
        <v>1828.8757186805167</v>
      </c>
      <c r="Q429" s="6">
        <f t="shared" si="157"/>
        <v>1379.8757186805167</v>
      </c>
      <c r="R429" s="6">
        <f t="shared" si="158"/>
        <v>1351.2999999999997</v>
      </c>
      <c r="S429" s="6">
        <f t="shared" si="159"/>
        <v>0</v>
      </c>
      <c r="T429" s="6">
        <f t="shared" si="160"/>
        <v>0</v>
      </c>
      <c r="U429" s="6">
        <f t="shared" si="161"/>
        <v>1351.2999999999997</v>
      </c>
      <c r="V429" s="6" t="str">
        <f>IF(MOD(C429-Settings!$B$32,Settings!$B$33)&lt;Settings!$B$30,"Up","Down")</f>
        <v>Up</v>
      </c>
      <c r="W429" s="6">
        <f>IF(OR(E429&gt;Settings!$B$30,Q429&gt;Settings!$B$37),0,1)</f>
        <v>0</v>
      </c>
      <c r="X429" s="6">
        <f>IF(AND(W429=1,Q429&lt;=Settings!$B$36),1,0)</f>
        <v>0</v>
      </c>
    </row>
    <row r="430" spans="1:24" x14ac:dyDescent="0.2">
      <c r="A430">
        <f>Arrivals!A430</f>
        <v>4</v>
      </c>
      <c r="B430">
        <f>Arrivals!B430</f>
        <v>65</v>
      </c>
      <c r="C430" s="6">
        <f>Arrivals!F430</f>
        <v>454</v>
      </c>
      <c r="D430" s="6">
        <f>Arrivals!K430</f>
        <v>300</v>
      </c>
      <c r="E430" s="6">
        <f>D430*8/ACE_Input!S70+ACE_Input!T70</f>
        <v>24.02</v>
      </c>
      <c r="F430" s="6">
        <f t="shared" ref="F430:F465" si="164">C430</f>
        <v>454</v>
      </c>
      <c r="G430" s="6">
        <f t="shared" si="162"/>
        <v>1824.3199999999997</v>
      </c>
      <c r="H430" s="6">
        <f t="shared" ref="H430:H461" si="165">MAX(F430,G430)</f>
        <v>1824.3199999999997</v>
      </c>
      <c r="I430" s="6">
        <f>MOD(H430-Settings!$B$32,Settings!$B$33)</f>
        <v>384.31999999999971</v>
      </c>
      <c r="J430" s="6">
        <f>IF(I430&lt;Settings!$B$30,IF(Settings!$B$30-I430&gt;=E430,H430,H430+(Settings!$B$30-I430)+Settings!$B$31),H430+(Settings!$B$33-I430))</f>
        <v>1824.3199999999997</v>
      </c>
      <c r="K430" s="6">
        <f t="shared" ref="K430:K461" si="166">J430+E430</f>
        <v>1848.3399999999997</v>
      </c>
      <c r="L430" s="6">
        <f t="shared" ref="L430:L461" si="167">K430</f>
        <v>1848.3399999999997</v>
      </c>
      <c r="M430" s="6">
        <f t="shared" si="163"/>
        <v>1828.8757186805167</v>
      </c>
      <c r="N430" s="6">
        <f t="shared" ref="N430:N461" si="168">MAX(L430,M430)</f>
        <v>1848.3399999999997</v>
      </c>
      <c r="O430" s="6">
        <f>Arrivals!I430</f>
        <v>0.18578865957093876</v>
      </c>
      <c r="P430" s="6">
        <f t="shared" ref="P430:P461" si="169">N430+O430</f>
        <v>1848.5257886595707</v>
      </c>
      <c r="Q430" s="6">
        <f t="shared" ref="Q430:Q461" si="170">P430-C430</f>
        <v>1394.5257886595707</v>
      </c>
      <c r="R430" s="6">
        <f t="shared" ref="R430:R465" si="171">H430-F430</f>
        <v>1370.3199999999997</v>
      </c>
      <c r="S430" s="6">
        <f t="shared" ref="S430:S465" si="172">J430-H430</f>
        <v>0</v>
      </c>
      <c r="T430" s="6">
        <f t="shared" ref="T430:T465" si="173">N430-L430</f>
        <v>0</v>
      </c>
      <c r="U430" s="6">
        <f t="shared" ref="U430:U461" si="174">R430+S430+T430</f>
        <v>1370.3199999999997</v>
      </c>
      <c r="V430" s="6" t="str">
        <f>IF(MOD(C430-Settings!$B$32,Settings!$B$33)&lt;Settings!$B$30,"Up","Down")</f>
        <v>Up</v>
      </c>
      <c r="W430" s="6">
        <f>IF(OR(E430&gt;Settings!$B$30,Q430&gt;Settings!$B$37),0,1)</f>
        <v>0</v>
      </c>
      <c r="X430" s="6">
        <f>IF(AND(W430=1,Q430&lt;=Settings!$B$36),1,0)</f>
        <v>0</v>
      </c>
    </row>
    <row r="431" spans="1:24" x14ac:dyDescent="0.2">
      <c r="A431">
        <f>Arrivals!A431</f>
        <v>4</v>
      </c>
      <c r="B431">
        <f>Arrivals!B431</f>
        <v>66</v>
      </c>
      <c r="C431" s="6">
        <f>Arrivals!F431</f>
        <v>459</v>
      </c>
      <c r="D431" s="6">
        <f>Arrivals!K431</f>
        <v>300</v>
      </c>
      <c r="E431" s="6">
        <f>D431*8/ACE_Input!S71+ACE_Input!T71</f>
        <v>24.02</v>
      </c>
      <c r="F431" s="6">
        <f t="shared" si="164"/>
        <v>459</v>
      </c>
      <c r="G431" s="6">
        <f t="shared" ref="G431:G465" si="175">K430</f>
        <v>1848.3399999999997</v>
      </c>
      <c r="H431" s="6">
        <f t="shared" si="165"/>
        <v>1848.3399999999997</v>
      </c>
      <c r="I431" s="6">
        <f>MOD(H431-Settings!$B$32,Settings!$B$33)</f>
        <v>408.33999999999969</v>
      </c>
      <c r="J431" s="6">
        <f>IF(I431&lt;Settings!$B$30,IF(Settings!$B$30-I431&gt;=E431,H431,H431+(Settings!$B$30-I431)+Settings!$B$31),H431+(Settings!$B$33-I431))</f>
        <v>1848.3399999999997</v>
      </c>
      <c r="K431" s="6">
        <f t="shared" si="166"/>
        <v>1872.3599999999997</v>
      </c>
      <c r="L431" s="6">
        <f t="shared" si="167"/>
        <v>1872.3599999999997</v>
      </c>
      <c r="M431" s="6">
        <f t="shared" ref="M431:M465" si="176">P430</f>
        <v>1848.5257886595707</v>
      </c>
      <c r="N431" s="6">
        <f t="shared" si="168"/>
        <v>1872.3599999999997</v>
      </c>
      <c r="O431" s="6">
        <f>Arrivals!I431</f>
        <v>6.1625423569117741</v>
      </c>
      <c r="P431" s="6">
        <f t="shared" si="169"/>
        <v>1878.5225423569113</v>
      </c>
      <c r="Q431" s="6">
        <f t="shared" si="170"/>
        <v>1419.5225423569113</v>
      </c>
      <c r="R431" s="6">
        <f t="shared" si="171"/>
        <v>1389.3399999999997</v>
      </c>
      <c r="S431" s="6">
        <f t="shared" si="172"/>
        <v>0</v>
      </c>
      <c r="T431" s="6">
        <f t="shared" si="173"/>
        <v>0</v>
      </c>
      <c r="U431" s="6">
        <f t="shared" si="174"/>
        <v>1389.3399999999997</v>
      </c>
      <c r="V431" s="6" t="str">
        <f>IF(MOD(C431-Settings!$B$32,Settings!$B$33)&lt;Settings!$B$30,"Up","Down")</f>
        <v>Up</v>
      </c>
      <c r="W431" s="6">
        <f>IF(OR(E431&gt;Settings!$B$30,Q431&gt;Settings!$B$37),0,1)</f>
        <v>0</v>
      </c>
      <c r="X431" s="6">
        <f>IF(AND(W431=1,Q431&lt;=Settings!$B$36),1,0)</f>
        <v>0</v>
      </c>
    </row>
    <row r="432" spans="1:24" x14ac:dyDescent="0.2">
      <c r="A432">
        <f>Arrivals!A432</f>
        <v>4</v>
      </c>
      <c r="B432">
        <f>Arrivals!B432</f>
        <v>67</v>
      </c>
      <c r="C432" s="6">
        <f>Arrivals!F432</f>
        <v>474</v>
      </c>
      <c r="D432" s="6">
        <f>Arrivals!K432</f>
        <v>300</v>
      </c>
      <c r="E432" s="6">
        <f>D432*8/ACE_Input!S72+ACE_Input!T72</f>
        <v>24.02</v>
      </c>
      <c r="F432" s="6">
        <f t="shared" si="164"/>
        <v>474</v>
      </c>
      <c r="G432" s="6">
        <f t="shared" si="175"/>
        <v>1872.3599999999997</v>
      </c>
      <c r="H432" s="6">
        <f t="shared" si="165"/>
        <v>1872.3599999999997</v>
      </c>
      <c r="I432" s="6">
        <f>MOD(H432-Settings!$B$32,Settings!$B$33)</f>
        <v>432.35999999999967</v>
      </c>
      <c r="J432" s="6">
        <f>IF(I432&lt;Settings!$B$30,IF(Settings!$B$30-I432&gt;=E432,H432,H432+(Settings!$B$30-I432)+Settings!$B$31),H432+(Settings!$B$33-I432))</f>
        <v>1872.3599999999997</v>
      </c>
      <c r="K432" s="6">
        <f t="shared" si="166"/>
        <v>1896.3799999999997</v>
      </c>
      <c r="L432" s="6">
        <f t="shared" si="167"/>
        <v>1896.3799999999997</v>
      </c>
      <c r="M432" s="6">
        <f t="shared" si="176"/>
        <v>1878.5225423569113</v>
      </c>
      <c r="N432" s="6">
        <f t="shared" si="168"/>
        <v>1896.3799999999997</v>
      </c>
      <c r="O432" s="6">
        <f>Arrivals!I432</f>
        <v>0.82413433408122783</v>
      </c>
      <c r="P432" s="6">
        <f t="shared" si="169"/>
        <v>1897.2041343340809</v>
      </c>
      <c r="Q432" s="6">
        <f t="shared" si="170"/>
        <v>1423.2041343340809</v>
      </c>
      <c r="R432" s="6">
        <f t="shared" si="171"/>
        <v>1398.3599999999997</v>
      </c>
      <c r="S432" s="6">
        <f t="shared" si="172"/>
        <v>0</v>
      </c>
      <c r="T432" s="6">
        <f t="shared" si="173"/>
        <v>0</v>
      </c>
      <c r="U432" s="6">
        <f t="shared" si="174"/>
        <v>1398.3599999999997</v>
      </c>
      <c r="V432" s="6" t="str">
        <f>IF(MOD(C432-Settings!$B$32,Settings!$B$33)&lt;Settings!$B$30,"Up","Down")</f>
        <v>Up</v>
      </c>
      <c r="W432" s="6">
        <f>IF(OR(E432&gt;Settings!$B$30,Q432&gt;Settings!$B$37),0,1)</f>
        <v>0</v>
      </c>
      <c r="X432" s="6">
        <f>IF(AND(W432=1,Q432&lt;=Settings!$B$36),1,0)</f>
        <v>0</v>
      </c>
    </row>
    <row r="433" spans="1:24" x14ac:dyDescent="0.2">
      <c r="A433">
        <f>Arrivals!A433</f>
        <v>4</v>
      </c>
      <c r="B433">
        <f>Arrivals!B433</f>
        <v>68</v>
      </c>
      <c r="C433" s="6">
        <f>Arrivals!F433</f>
        <v>479</v>
      </c>
      <c r="D433" s="6">
        <f>Arrivals!K433</f>
        <v>300</v>
      </c>
      <c r="E433" s="6">
        <f>D433*8/ACE_Input!S73+ACE_Input!T73</f>
        <v>24.02</v>
      </c>
      <c r="F433" s="6">
        <f t="shared" si="164"/>
        <v>479</v>
      </c>
      <c r="G433" s="6">
        <f t="shared" si="175"/>
        <v>1896.3799999999997</v>
      </c>
      <c r="H433" s="6">
        <f t="shared" si="165"/>
        <v>1896.3799999999997</v>
      </c>
      <c r="I433" s="6">
        <f>MOD(H433-Settings!$B$32,Settings!$B$33)</f>
        <v>456.37999999999965</v>
      </c>
      <c r="J433" s="6">
        <f>IF(I433&lt;Settings!$B$30,IF(Settings!$B$30-I433&gt;=E433,H433,H433+(Settings!$B$30-I433)+Settings!$B$31),H433+(Settings!$B$33-I433))</f>
        <v>1896.3799999999997</v>
      </c>
      <c r="K433" s="6">
        <f t="shared" si="166"/>
        <v>1920.3999999999996</v>
      </c>
      <c r="L433" s="6">
        <f t="shared" si="167"/>
        <v>1920.3999999999996</v>
      </c>
      <c r="M433" s="6">
        <f t="shared" si="176"/>
        <v>1897.2041343340809</v>
      </c>
      <c r="N433" s="6">
        <f t="shared" si="168"/>
        <v>1920.3999999999996</v>
      </c>
      <c r="O433" s="6">
        <f>Arrivals!I433</f>
        <v>1.8281139491735854</v>
      </c>
      <c r="P433" s="6">
        <f t="shared" si="169"/>
        <v>1922.2281139491731</v>
      </c>
      <c r="Q433" s="6">
        <f t="shared" si="170"/>
        <v>1443.2281139491731</v>
      </c>
      <c r="R433" s="6">
        <f t="shared" si="171"/>
        <v>1417.3799999999997</v>
      </c>
      <c r="S433" s="6">
        <f t="shared" si="172"/>
        <v>0</v>
      </c>
      <c r="T433" s="6">
        <f t="shared" si="173"/>
        <v>0</v>
      </c>
      <c r="U433" s="6">
        <f t="shared" si="174"/>
        <v>1417.3799999999997</v>
      </c>
      <c r="V433" s="6" t="str">
        <f>IF(MOD(C433-Settings!$B$32,Settings!$B$33)&lt;Settings!$B$30,"Up","Down")</f>
        <v>Up</v>
      </c>
      <c r="W433" s="6">
        <f>IF(OR(E433&gt;Settings!$B$30,Q433&gt;Settings!$B$37),0,1)</f>
        <v>0</v>
      </c>
      <c r="X433" s="6">
        <f>IF(AND(W433=1,Q433&lt;=Settings!$B$36),1,0)</f>
        <v>0</v>
      </c>
    </row>
    <row r="434" spans="1:24" x14ac:dyDescent="0.2">
      <c r="A434">
        <f>Arrivals!A434</f>
        <v>4</v>
      </c>
      <c r="B434">
        <f>Arrivals!B434</f>
        <v>69</v>
      </c>
      <c r="C434" s="6">
        <f>Arrivals!F434</f>
        <v>494</v>
      </c>
      <c r="D434" s="6">
        <f>Arrivals!K434</f>
        <v>300</v>
      </c>
      <c r="E434" s="6">
        <f>D434*8/ACE_Input!S74+ACE_Input!T74</f>
        <v>24.02</v>
      </c>
      <c r="F434" s="6">
        <f t="shared" si="164"/>
        <v>494</v>
      </c>
      <c r="G434" s="6">
        <f t="shared" si="175"/>
        <v>1920.3999999999996</v>
      </c>
      <c r="H434" s="6">
        <f t="shared" si="165"/>
        <v>1920.3999999999996</v>
      </c>
      <c r="I434" s="6">
        <f>MOD(H434-Settings!$B$32,Settings!$B$33)</f>
        <v>480.39999999999964</v>
      </c>
      <c r="J434" s="6">
        <f>IF(I434&lt;Settings!$B$30,IF(Settings!$B$30-I434&gt;=E434,H434,H434+(Settings!$B$30-I434)+Settings!$B$31),H434+(Settings!$B$33-I434))</f>
        <v>1920.3999999999996</v>
      </c>
      <c r="K434" s="6">
        <f t="shared" si="166"/>
        <v>1944.4199999999996</v>
      </c>
      <c r="L434" s="6">
        <f t="shared" si="167"/>
        <v>1944.4199999999996</v>
      </c>
      <c r="M434" s="6">
        <f t="shared" si="176"/>
        <v>1922.2281139491731</v>
      </c>
      <c r="N434" s="6">
        <f t="shared" si="168"/>
        <v>1944.4199999999996</v>
      </c>
      <c r="O434" s="6">
        <f>Arrivals!I434</f>
        <v>2.3276977844284192</v>
      </c>
      <c r="P434" s="6">
        <f t="shared" si="169"/>
        <v>1946.7476977844281</v>
      </c>
      <c r="Q434" s="6">
        <f t="shared" si="170"/>
        <v>1452.7476977844281</v>
      </c>
      <c r="R434" s="6">
        <f t="shared" si="171"/>
        <v>1426.3999999999996</v>
      </c>
      <c r="S434" s="6">
        <f t="shared" si="172"/>
        <v>0</v>
      </c>
      <c r="T434" s="6">
        <f t="shared" si="173"/>
        <v>0</v>
      </c>
      <c r="U434" s="6">
        <f t="shared" si="174"/>
        <v>1426.3999999999996</v>
      </c>
      <c r="V434" s="6" t="str">
        <f>IF(MOD(C434-Settings!$B$32,Settings!$B$33)&lt;Settings!$B$30,"Up","Down")</f>
        <v>Up</v>
      </c>
      <c r="W434" s="6">
        <f>IF(OR(E434&gt;Settings!$B$30,Q434&gt;Settings!$B$37),0,1)</f>
        <v>0</v>
      </c>
      <c r="X434" s="6">
        <f>IF(AND(W434=1,Q434&lt;=Settings!$B$36),1,0)</f>
        <v>0</v>
      </c>
    </row>
    <row r="435" spans="1:24" x14ac:dyDescent="0.2">
      <c r="A435">
        <f>Arrivals!A435</f>
        <v>4</v>
      </c>
      <c r="B435">
        <f>Arrivals!B435</f>
        <v>70</v>
      </c>
      <c r="C435" s="6">
        <f>Arrivals!F435</f>
        <v>499</v>
      </c>
      <c r="D435" s="6">
        <f>Arrivals!K435</f>
        <v>300</v>
      </c>
      <c r="E435" s="6">
        <f>D435*8/ACE_Input!S75+ACE_Input!T75</f>
        <v>24.02</v>
      </c>
      <c r="F435" s="6">
        <f t="shared" si="164"/>
        <v>499</v>
      </c>
      <c r="G435" s="6">
        <f t="shared" si="175"/>
        <v>1944.4199999999996</v>
      </c>
      <c r="H435" s="6">
        <f t="shared" si="165"/>
        <v>1944.4199999999996</v>
      </c>
      <c r="I435" s="6">
        <f>MOD(H435-Settings!$B$32,Settings!$B$33)</f>
        <v>504.41999999999962</v>
      </c>
      <c r="J435" s="6">
        <f>IF(I435&lt;Settings!$B$30,IF(Settings!$B$30-I435&gt;=E435,H435,H435+(Settings!$B$30-I435)+Settings!$B$31),H435+(Settings!$B$33-I435))</f>
        <v>1944.4199999999996</v>
      </c>
      <c r="K435" s="6">
        <f t="shared" si="166"/>
        <v>1968.4399999999996</v>
      </c>
      <c r="L435" s="6">
        <f t="shared" si="167"/>
        <v>1968.4399999999996</v>
      </c>
      <c r="M435" s="6">
        <f t="shared" si="176"/>
        <v>1946.7476977844281</v>
      </c>
      <c r="N435" s="6">
        <f t="shared" si="168"/>
        <v>1968.4399999999996</v>
      </c>
      <c r="O435" s="6">
        <f>Arrivals!I435</f>
        <v>8.4872101352424192</v>
      </c>
      <c r="P435" s="6">
        <f t="shared" si="169"/>
        <v>1976.9272101352419</v>
      </c>
      <c r="Q435" s="6">
        <f t="shared" si="170"/>
        <v>1477.9272101352419</v>
      </c>
      <c r="R435" s="6">
        <f t="shared" si="171"/>
        <v>1445.4199999999996</v>
      </c>
      <c r="S435" s="6">
        <f t="shared" si="172"/>
        <v>0</v>
      </c>
      <c r="T435" s="6">
        <f t="shared" si="173"/>
        <v>0</v>
      </c>
      <c r="U435" s="6">
        <f t="shared" si="174"/>
        <v>1445.4199999999996</v>
      </c>
      <c r="V435" s="6" t="str">
        <f>IF(MOD(C435-Settings!$B$32,Settings!$B$33)&lt;Settings!$B$30,"Up","Down")</f>
        <v>Up</v>
      </c>
      <c r="W435" s="6">
        <f>IF(OR(E435&gt;Settings!$B$30,Q435&gt;Settings!$B$37),0,1)</f>
        <v>0</v>
      </c>
      <c r="X435" s="6">
        <f>IF(AND(W435=1,Q435&lt;=Settings!$B$36),1,0)</f>
        <v>0</v>
      </c>
    </row>
    <row r="436" spans="1:24" x14ac:dyDescent="0.2">
      <c r="A436">
        <f>Arrivals!A436</f>
        <v>4</v>
      </c>
      <c r="B436">
        <f>Arrivals!B436</f>
        <v>71</v>
      </c>
      <c r="C436" s="6">
        <f>Arrivals!F436</f>
        <v>504</v>
      </c>
      <c r="D436" s="6">
        <f>Arrivals!K436</f>
        <v>300</v>
      </c>
      <c r="E436" s="6">
        <f>D436*8/ACE_Input!S76+ACE_Input!T76</f>
        <v>24.02</v>
      </c>
      <c r="F436" s="6">
        <f t="shared" si="164"/>
        <v>504</v>
      </c>
      <c r="G436" s="6">
        <f t="shared" si="175"/>
        <v>1968.4399999999996</v>
      </c>
      <c r="H436" s="6">
        <f t="shared" si="165"/>
        <v>1968.4399999999996</v>
      </c>
      <c r="I436" s="6">
        <f>MOD(H436-Settings!$B$32,Settings!$B$33)</f>
        <v>528.4399999999996</v>
      </c>
      <c r="J436" s="6">
        <f>IF(I436&lt;Settings!$B$30,IF(Settings!$B$30-I436&gt;=E436,H436,H436+(Settings!$B$30-I436)+Settings!$B$31),H436+(Settings!$B$33-I436))</f>
        <v>1968.4399999999996</v>
      </c>
      <c r="K436" s="6">
        <f t="shared" si="166"/>
        <v>1992.4599999999996</v>
      </c>
      <c r="L436" s="6">
        <f t="shared" si="167"/>
        <v>1992.4599999999996</v>
      </c>
      <c r="M436" s="6">
        <f t="shared" si="176"/>
        <v>1976.9272101352419</v>
      </c>
      <c r="N436" s="6">
        <f t="shared" si="168"/>
        <v>1992.4599999999996</v>
      </c>
      <c r="O436" s="6">
        <f>Arrivals!I436</f>
        <v>1.2126705440711567</v>
      </c>
      <c r="P436" s="6">
        <f t="shared" si="169"/>
        <v>1993.6726705440708</v>
      </c>
      <c r="Q436" s="6">
        <f t="shared" si="170"/>
        <v>1489.6726705440708</v>
      </c>
      <c r="R436" s="6">
        <f t="shared" si="171"/>
        <v>1464.4399999999996</v>
      </c>
      <c r="S436" s="6">
        <f t="shared" si="172"/>
        <v>0</v>
      </c>
      <c r="T436" s="6">
        <f t="shared" si="173"/>
        <v>0</v>
      </c>
      <c r="U436" s="6">
        <f t="shared" si="174"/>
        <v>1464.4399999999996</v>
      </c>
      <c r="V436" s="6" t="str">
        <f>IF(MOD(C436-Settings!$B$32,Settings!$B$33)&lt;Settings!$B$30,"Up","Down")</f>
        <v>Up</v>
      </c>
      <c r="W436" s="6">
        <f>IF(OR(E436&gt;Settings!$B$30,Q436&gt;Settings!$B$37),0,1)</f>
        <v>0</v>
      </c>
      <c r="X436" s="6">
        <f>IF(AND(W436=1,Q436&lt;=Settings!$B$36),1,0)</f>
        <v>0</v>
      </c>
    </row>
    <row r="437" spans="1:24" x14ac:dyDescent="0.2">
      <c r="A437">
        <f>Arrivals!A437</f>
        <v>4</v>
      </c>
      <c r="B437">
        <f>Arrivals!B437</f>
        <v>72</v>
      </c>
      <c r="C437" s="6">
        <f>Arrivals!F437</f>
        <v>509</v>
      </c>
      <c r="D437" s="6">
        <f>Arrivals!K437</f>
        <v>300</v>
      </c>
      <c r="E437" s="6">
        <f>D437*8/ACE_Input!S77+ACE_Input!T77</f>
        <v>24.02</v>
      </c>
      <c r="F437" s="6">
        <f t="shared" si="164"/>
        <v>509</v>
      </c>
      <c r="G437" s="6">
        <f t="shared" si="175"/>
        <v>1992.4599999999996</v>
      </c>
      <c r="H437" s="6">
        <f t="shared" si="165"/>
        <v>1992.4599999999996</v>
      </c>
      <c r="I437" s="6">
        <f>MOD(H437-Settings!$B$32,Settings!$B$33)</f>
        <v>552.45999999999958</v>
      </c>
      <c r="J437" s="6">
        <f>IF(I437&lt;Settings!$B$30,IF(Settings!$B$30-I437&gt;=E437,H437,H437+(Settings!$B$30-I437)+Settings!$B$31),H437+(Settings!$B$33-I437))</f>
        <v>1992.4599999999996</v>
      </c>
      <c r="K437" s="6">
        <f t="shared" si="166"/>
        <v>2016.4799999999996</v>
      </c>
      <c r="L437" s="6">
        <f t="shared" si="167"/>
        <v>2016.4799999999996</v>
      </c>
      <c r="M437" s="6">
        <f t="shared" si="176"/>
        <v>1993.6726705440708</v>
      </c>
      <c r="N437" s="6">
        <f t="shared" si="168"/>
        <v>2016.4799999999996</v>
      </c>
      <c r="O437" s="6">
        <f>Arrivals!I437</f>
        <v>2.3608119683985125</v>
      </c>
      <c r="P437" s="6">
        <f t="shared" si="169"/>
        <v>2018.8408119683982</v>
      </c>
      <c r="Q437" s="6">
        <f t="shared" si="170"/>
        <v>1509.8408119683982</v>
      </c>
      <c r="R437" s="6">
        <f t="shared" si="171"/>
        <v>1483.4599999999996</v>
      </c>
      <c r="S437" s="6">
        <f t="shared" si="172"/>
        <v>0</v>
      </c>
      <c r="T437" s="6">
        <f t="shared" si="173"/>
        <v>0</v>
      </c>
      <c r="U437" s="6">
        <f t="shared" si="174"/>
        <v>1483.4599999999996</v>
      </c>
      <c r="V437" s="6" t="str">
        <f>IF(MOD(C437-Settings!$B$32,Settings!$B$33)&lt;Settings!$B$30,"Up","Down")</f>
        <v>Up</v>
      </c>
      <c r="W437" s="6">
        <f>IF(OR(E437&gt;Settings!$B$30,Q437&gt;Settings!$B$37),0,1)</f>
        <v>0</v>
      </c>
      <c r="X437" s="6">
        <f>IF(AND(W437=1,Q437&lt;=Settings!$B$36),1,0)</f>
        <v>0</v>
      </c>
    </row>
    <row r="438" spans="1:24" x14ac:dyDescent="0.2">
      <c r="A438">
        <f>Arrivals!A438</f>
        <v>4</v>
      </c>
      <c r="B438">
        <f>Arrivals!B438</f>
        <v>73</v>
      </c>
      <c r="C438" s="6">
        <f>Arrivals!F438</f>
        <v>514</v>
      </c>
      <c r="D438" s="6">
        <f>Arrivals!K438</f>
        <v>300</v>
      </c>
      <c r="E438" s="6">
        <f>D438*8/ACE_Input!S78+ACE_Input!T78</f>
        <v>24.02</v>
      </c>
      <c r="F438" s="6">
        <f t="shared" si="164"/>
        <v>514</v>
      </c>
      <c r="G438" s="6">
        <f t="shared" si="175"/>
        <v>2016.4799999999996</v>
      </c>
      <c r="H438" s="6">
        <f t="shared" si="165"/>
        <v>2016.4799999999996</v>
      </c>
      <c r="I438" s="6">
        <f>MOD(H438-Settings!$B$32,Settings!$B$33)</f>
        <v>576.47999999999956</v>
      </c>
      <c r="J438" s="6">
        <f>IF(I438&lt;Settings!$B$30,IF(Settings!$B$30-I438&gt;=E438,H438,H438+(Settings!$B$30-I438)+Settings!$B$31),H438+(Settings!$B$33-I438))</f>
        <v>2160</v>
      </c>
      <c r="K438" s="6">
        <f t="shared" si="166"/>
        <v>2184.02</v>
      </c>
      <c r="L438" s="6">
        <f t="shared" si="167"/>
        <v>2184.02</v>
      </c>
      <c r="M438" s="6">
        <f t="shared" si="176"/>
        <v>2018.8408119683982</v>
      </c>
      <c r="N438" s="6">
        <f t="shared" si="168"/>
        <v>2184.02</v>
      </c>
      <c r="O438" s="6">
        <f>Arrivals!I438</f>
        <v>1.4977580612432038</v>
      </c>
      <c r="P438" s="6">
        <f t="shared" si="169"/>
        <v>2185.5177580612431</v>
      </c>
      <c r="Q438" s="6">
        <f t="shared" si="170"/>
        <v>1671.5177580612431</v>
      </c>
      <c r="R438" s="6">
        <f t="shared" si="171"/>
        <v>1502.4799999999996</v>
      </c>
      <c r="S438" s="6">
        <f t="shared" si="172"/>
        <v>143.52000000000044</v>
      </c>
      <c r="T438" s="6">
        <f t="shared" si="173"/>
        <v>0</v>
      </c>
      <c r="U438" s="6">
        <f t="shared" si="174"/>
        <v>1646</v>
      </c>
      <c r="V438" s="6" t="str">
        <f>IF(MOD(C438-Settings!$B$32,Settings!$B$33)&lt;Settings!$B$30,"Up","Down")</f>
        <v>Up</v>
      </c>
      <c r="W438" s="6">
        <f>IF(OR(E438&gt;Settings!$B$30,Q438&gt;Settings!$B$37),0,1)</f>
        <v>0</v>
      </c>
      <c r="X438" s="6">
        <f>IF(AND(W438=1,Q438&lt;=Settings!$B$36),1,0)</f>
        <v>0</v>
      </c>
    </row>
    <row r="439" spans="1:24" x14ac:dyDescent="0.2">
      <c r="A439">
        <f>Arrivals!A439</f>
        <v>4</v>
      </c>
      <c r="B439">
        <f>Arrivals!B439</f>
        <v>74</v>
      </c>
      <c r="C439" s="6">
        <f>Arrivals!F439</f>
        <v>519</v>
      </c>
      <c r="D439" s="6">
        <f>Arrivals!K439</f>
        <v>300</v>
      </c>
      <c r="E439" s="6">
        <f>D439*8/ACE_Input!S79+ACE_Input!T79</f>
        <v>24.02</v>
      </c>
      <c r="F439" s="6">
        <f t="shared" si="164"/>
        <v>519</v>
      </c>
      <c r="G439" s="6">
        <f t="shared" si="175"/>
        <v>2184.02</v>
      </c>
      <c r="H439" s="6">
        <f t="shared" si="165"/>
        <v>2184.02</v>
      </c>
      <c r="I439" s="6">
        <f>MOD(H439-Settings!$B$32,Settings!$B$33)</f>
        <v>24.019999999999982</v>
      </c>
      <c r="J439" s="6">
        <f>IF(I439&lt;Settings!$B$30,IF(Settings!$B$30-I439&gt;=E439,H439,H439+(Settings!$B$30-I439)+Settings!$B$31),H439+(Settings!$B$33-I439))</f>
        <v>2184.02</v>
      </c>
      <c r="K439" s="6">
        <f t="shared" si="166"/>
        <v>2208.04</v>
      </c>
      <c r="L439" s="6">
        <f t="shared" si="167"/>
        <v>2208.04</v>
      </c>
      <c r="M439" s="6">
        <f t="shared" si="176"/>
        <v>2185.5177580612431</v>
      </c>
      <c r="N439" s="6">
        <f t="shared" si="168"/>
        <v>2208.04</v>
      </c>
      <c r="O439" s="6">
        <f>Arrivals!I439</f>
        <v>1.1665791750702834</v>
      </c>
      <c r="P439" s="6">
        <f t="shared" si="169"/>
        <v>2209.2065791750701</v>
      </c>
      <c r="Q439" s="6">
        <f t="shared" si="170"/>
        <v>1690.2065791750701</v>
      </c>
      <c r="R439" s="6">
        <f t="shared" si="171"/>
        <v>1665.02</v>
      </c>
      <c r="S439" s="6">
        <f t="shared" si="172"/>
        <v>0</v>
      </c>
      <c r="T439" s="6">
        <f t="shared" si="173"/>
        <v>0</v>
      </c>
      <c r="U439" s="6">
        <f t="shared" si="174"/>
        <v>1665.02</v>
      </c>
      <c r="V439" s="6" t="str">
        <f>IF(MOD(C439-Settings!$B$32,Settings!$B$33)&lt;Settings!$B$30,"Up","Down")</f>
        <v>Up</v>
      </c>
      <c r="W439" s="6">
        <f>IF(OR(E439&gt;Settings!$B$30,Q439&gt;Settings!$B$37),0,1)</f>
        <v>0</v>
      </c>
      <c r="X439" s="6">
        <f>IF(AND(W439=1,Q439&lt;=Settings!$B$36),1,0)</f>
        <v>0</v>
      </c>
    </row>
    <row r="440" spans="1:24" x14ac:dyDescent="0.2">
      <c r="A440">
        <f>Arrivals!A440</f>
        <v>4</v>
      </c>
      <c r="B440">
        <f>Arrivals!B440</f>
        <v>75</v>
      </c>
      <c r="C440" s="6">
        <f>Arrivals!F440</f>
        <v>524</v>
      </c>
      <c r="D440" s="6">
        <f>Arrivals!K440</f>
        <v>300</v>
      </c>
      <c r="E440" s="6">
        <f>D440*8/ACE_Input!S80+ACE_Input!T80</f>
        <v>24.02</v>
      </c>
      <c r="F440" s="6">
        <f t="shared" si="164"/>
        <v>524</v>
      </c>
      <c r="G440" s="6">
        <f t="shared" si="175"/>
        <v>2208.04</v>
      </c>
      <c r="H440" s="6">
        <f t="shared" si="165"/>
        <v>2208.04</v>
      </c>
      <c r="I440" s="6">
        <f>MOD(H440-Settings!$B$32,Settings!$B$33)</f>
        <v>48.039999999999964</v>
      </c>
      <c r="J440" s="6">
        <f>IF(I440&lt;Settings!$B$30,IF(Settings!$B$30-I440&gt;=E440,H440,H440+(Settings!$B$30-I440)+Settings!$B$31),H440+(Settings!$B$33-I440))</f>
        <v>2208.04</v>
      </c>
      <c r="K440" s="6">
        <f t="shared" si="166"/>
        <v>2232.06</v>
      </c>
      <c r="L440" s="6">
        <f t="shared" si="167"/>
        <v>2232.06</v>
      </c>
      <c r="M440" s="6">
        <f t="shared" si="176"/>
        <v>2209.2065791750701</v>
      </c>
      <c r="N440" s="6">
        <f t="shared" si="168"/>
        <v>2232.06</v>
      </c>
      <c r="O440" s="6">
        <f>Arrivals!I440</f>
        <v>3.6877499583404676</v>
      </c>
      <c r="P440" s="6">
        <f t="shared" si="169"/>
        <v>2235.7477499583406</v>
      </c>
      <c r="Q440" s="6">
        <f t="shared" si="170"/>
        <v>1711.7477499583406</v>
      </c>
      <c r="R440" s="6">
        <f t="shared" si="171"/>
        <v>1684.04</v>
      </c>
      <c r="S440" s="6">
        <f t="shared" si="172"/>
        <v>0</v>
      </c>
      <c r="T440" s="6">
        <f t="shared" si="173"/>
        <v>0</v>
      </c>
      <c r="U440" s="6">
        <f t="shared" si="174"/>
        <v>1684.04</v>
      </c>
      <c r="V440" s="6" t="str">
        <f>IF(MOD(C440-Settings!$B$32,Settings!$B$33)&lt;Settings!$B$30,"Up","Down")</f>
        <v>Up</v>
      </c>
      <c r="W440" s="6">
        <f>IF(OR(E440&gt;Settings!$B$30,Q440&gt;Settings!$B$37),0,1)</f>
        <v>0</v>
      </c>
      <c r="X440" s="6">
        <f>IF(AND(W440=1,Q440&lt;=Settings!$B$36),1,0)</f>
        <v>0</v>
      </c>
    </row>
    <row r="441" spans="1:24" x14ac:dyDescent="0.2">
      <c r="A441">
        <f>Arrivals!A441</f>
        <v>4</v>
      </c>
      <c r="B441">
        <f>Arrivals!B441</f>
        <v>76</v>
      </c>
      <c r="C441" s="6">
        <f>Arrivals!F441</f>
        <v>529</v>
      </c>
      <c r="D441" s="6">
        <f>Arrivals!K441</f>
        <v>300</v>
      </c>
      <c r="E441" s="6">
        <f>D441*8/ACE_Input!S81+ACE_Input!T81</f>
        <v>24.02</v>
      </c>
      <c r="F441" s="6">
        <f t="shared" si="164"/>
        <v>529</v>
      </c>
      <c r="G441" s="6">
        <f t="shared" si="175"/>
        <v>2232.06</v>
      </c>
      <c r="H441" s="6">
        <f t="shared" si="165"/>
        <v>2232.06</v>
      </c>
      <c r="I441" s="6">
        <f>MOD(H441-Settings!$B$32,Settings!$B$33)</f>
        <v>72.059999999999945</v>
      </c>
      <c r="J441" s="6">
        <f>IF(I441&lt;Settings!$B$30,IF(Settings!$B$30-I441&gt;=E441,H441,H441+(Settings!$B$30-I441)+Settings!$B$31),H441+(Settings!$B$33-I441))</f>
        <v>2232.06</v>
      </c>
      <c r="K441" s="6">
        <f t="shared" si="166"/>
        <v>2256.08</v>
      </c>
      <c r="L441" s="6">
        <f t="shared" si="167"/>
        <v>2256.08</v>
      </c>
      <c r="M441" s="6">
        <f t="shared" si="176"/>
        <v>2235.7477499583406</v>
      </c>
      <c r="N441" s="6">
        <f t="shared" si="168"/>
        <v>2256.08</v>
      </c>
      <c r="O441" s="6">
        <f>Arrivals!I441</f>
        <v>0.22646352439463879</v>
      </c>
      <c r="P441" s="6">
        <f t="shared" si="169"/>
        <v>2256.3064635243945</v>
      </c>
      <c r="Q441" s="6">
        <f t="shared" si="170"/>
        <v>1727.3064635243945</v>
      </c>
      <c r="R441" s="6">
        <f t="shared" si="171"/>
        <v>1703.06</v>
      </c>
      <c r="S441" s="6">
        <f t="shared" si="172"/>
        <v>0</v>
      </c>
      <c r="T441" s="6">
        <f t="shared" si="173"/>
        <v>0</v>
      </c>
      <c r="U441" s="6">
        <f t="shared" si="174"/>
        <v>1703.06</v>
      </c>
      <c r="V441" s="6" t="str">
        <f>IF(MOD(C441-Settings!$B$32,Settings!$B$33)&lt;Settings!$B$30,"Up","Down")</f>
        <v>Up</v>
      </c>
      <c r="W441" s="6">
        <f>IF(OR(E441&gt;Settings!$B$30,Q441&gt;Settings!$B$37),0,1)</f>
        <v>0</v>
      </c>
      <c r="X441" s="6">
        <f>IF(AND(W441=1,Q441&lt;=Settings!$B$36),1,0)</f>
        <v>0</v>
      </c>
    </row>
    <row r="442" spans="1:24" x14ac:dyDescent="0.2">
      <c r="A442">
        <f>Arrivals!A442</f>
        <v>4</v>
      </c>
      <c r="B442">
        <f>Arrivals!B442</f>
        <v>77</v>
      </c>
      <c r="C442" s="6">
        <f>Arrivals!F442</f>
        <v>534</v>
      </c>
      <c r="D442" s="6">
        <f>Arrivals!K442</f>
        <v>300</v>
      </c>
      <c r="E442" s="6">
        <f>D442*8/ACE_Input!S82+ACE_Input!T82</f>
        <v>24.02</v>
      </c>
      <c r="F442" s="6">
        <f t="shared" si="164"/>
        <v>534</v>
      </c>
      <c r="G442" s="6">
        <f t="shared" si="175"/>
        <v>2256.08</v>
      </c>
      <c r="H442" s="6">
        <f t="shared" si="165"/>
        <v>2256.08</v>
      </c>
      <c r="I442" s="6">
        <f>MOD(H442-Settings!$B$32,Settings!$B$33)</f>
        <v>96.079999999999927</v>
      </c>
      <c r="J442" s="6">
        <f>IF(I442&lt;Settings!$B$30,IF(Settings!$B$30-I442&gt;=E442,H442,H442+(Settings!$B$30-I442)+Settings!$B$31),H442+(Settings!$B$33-I442))</f>
        <v>2256.08</v>
      </c>
      <c r="K442" s="6">
        <f t="shared" si="166"/>
        <v>2280.1</v>
      </c>
      <c r="L442" s="6">
        <f t="shared" si="167"/>
        <v>2280.1</v>
      </c>
      <c r="M442" s="6">
        <f t="shared" si="176"/>
        <v>2256.3064635243945</v>
      </c>
      <c r="N442" s="6">
        <f t="shared" si="168"/>
        <v>2280.1</v>
      </c>
      <c r="O442" s="6">
        <f>Arrivals!I442</f>
        <v>0.45766248889365546</v>
      </c>
      <c r="P442" s="6">
        <f t="shared" si="169"/>
        <v>2280.5576624888936</v>
      </c>
      <c r="Q442" s="6">
        <f t="shared" si="170"/>
        <v>1746.5576624888936</v>
      </c>
      <c r="R442" s="6">
        <f t="shared" si="171"/>
        <v>1722.08</v>
      </c>
      <c r="S442" s="6">
        <f t="shared" si="172"/>
        <v>0</v>
      </c>
      <c r="T442" s="6">
        <f t="shared" si="173"/>
        <v>0</v>
      </c>
      <c r="U442" s="6">
        <f t="shared" si="174"/>
        <v>1722.08</v>
      </c>
      <c r="V442" s="6" t="str">
        <f>IF(MOD(C442-Settings!$B$32,Settings!$B$33)&lt;Settings!$B$30,"Up","Down")</f>
        <v>Up</v>
      </c>
      <c r="W442" s="6">
        <f>IF(OR(E442&gt;Settings!$B$30,Q442&gt;Settings!$B$37),0,1)</f>
        <v>0</v>
      </c>
      <c r="X442" s="6">
        <f>IF(AND(W442=1,Q442&lt;=Settings!$B$36),1,0)</f>
        <v>0</v>
      </c>
    </row>
    <row r="443" spans="1:24" x14ac:dyDescent="0.2">
      <c r="A443">
        <f>Arrivals!A443</f>
        <v>4</v>
      </c>
      <c r="B443">
        <f>Arrivals!B443</f>
        <v>78</v>
      </c>
      <c r="C443" s="6">
        <f>Arrivals!F443</f>
        <v>539</v>
      </c>
      <c r="D443" s="6">
        <f>Arrivals!K443</f>
        <v>300</v>
      </c>
      <c r="E443" s="6">
        <f>D443*8/ACE_Input!S83+ACE_Input!T83</f>
        <v>24.02</v>
      </c>
      <c r="F443" s="6">
        <f t="shared" si="164"/>
        <v>539</v>
      </c>
      <c r="G443" s="6">
        <f t="shared" si="175"/>
        <v>2280.1</v>
      </c>
      <c r="H443" s="6">
        <f t="shared" si="165"/>
        <v>2280.1</v>
      </c>
      <c r="I443" s="6">
        <f>MOD(H443-Settings!$B$32,Settings!$B$33)</f>
        <v>120.09999999999991</v>
      </c>
      <c r="J443" s="6">
        <f>IF(I443&lt;Settings!$B$30,IF(Settings!$B$30-I443&gt;=E443,H443,H443+(Settings!$B$30-I443)+Settings!$B$31),H443+(Settings!$B$33-I443))</f>
        <v>2280.1</v>
      </c>
      <c r="K443" s="6">
        <f t="shared" si="166"/>
        <v>2304.12</v>
      </c>
      <c r="L443" s="6">
        <f t="shared" si="167"/>
        <v>2304.12</v>
      </c>
      <c r="M443" s="6">
        <f t="shared" si="176"/>
        <v>2280.5576624888936</v>
      </c>
      <c r="N443" s="6">
        <f t="shared" si="168"/>
        <v>2304.12</v>
      </c>
      <c r="O443" s="6">
        <f>Arrivals!I443</f>
        <v>0.21354353680857369</v>
      </c>
      <c r="P443" s="6">
        <f t="shared" si="169"/>
        <v>2304.3335435368085</v>
      </c>
      <c r="Q443" s="6">
        <f t="shared" si="170"/>
        <v>1765.3335435368085</v>
      </c>
      <c r="R443" s="6">
        <f t="shared" si="171"/>
        <v>1741.1</v>
      </c>
      <c r="S443" s="6">
        <f t="shared" si="172"/>
        <v>0</v>
      </c>
      <c r="T443" s="6">
        <f t="shared" si="173"/>
        <v>0</v>
      </c>
      <c r="U443" s="6">
        <f t="shared" si="174"/>
        <v>1741.1</v>
      </c>
      <c r="V443" s="6" t="str">
        <f>IF(MOD(C443-Settings!$B$32,Settings!$B$33)&lt;Settings!$B$30,"Up","Down")</f>
        <v>Up</v>
      </c>
      <c r="W443" s="6">
        <f>IF(OR(E443&gt;Settings!$B$30,Q443&gt;Settings!$B$37),0,1)</f>
        <v>0</v>
      </c>
      <c r="X443" s="6">
        <f>IF(AND(W443=1,Q443&lt;=Settings!$B$36),1,0)</f>
        <v>0</v>
      </c>
    </row>
    <row r="444" spans="1:24" x14ac:dyDescent="0.2">
      <c r="A444">
        <f>Arrivals!A444</f>
        <v>4</v>
      </c>
      <c r="B444">
        <f>Arrivals!B444</f>
        <v>79</v>
      </c>
      <c r="C444" s="6">
        <f>Arrivals!F444</f>
        <v>544</v>
      </c>
      <c r="D444" s="6">
        <f>Arrivals!K444</f>
        <v>300</v>
      </c>
      <c r="E444" s="6">
        <f>D444*8/ACE_Input!S84+ACE_Input!T84</f>
        <v>24.02</v>
      </c>
      <c r="F444" s="6">
        <f t="shared" si="164"/>
        <v>544</v>
      </c>
      <c r="G444" s="6">
        <f t="shared" si="175"/>
        <v>2304.12</v>
      </c>
      <c r="H444" s="6">
        <f t="shared" si="165"/>
        <v>2304.12</v>
      </c>
      <c r="I444" s="6">
        <f>MOD(H444-Settings!$B$32,Settings!$B$33)</f>
        <v>144.11999999999989</v>
      </c>
      <c r="J444" s="6">
        <f>IF(I444&lt;Settings!$B$30,IF(Settings!$B$30-I444&gt;=E444,H444,H444+(Settings!$B$30-I444)+Settings!$B$31),H444+(Settings!$B$33-I444))</f>
        <v>2304.12</v>
      </c>
      <c r="K444" s="6">
        <f t="shared" si="166"/>
        <v>2328.14</v>
      </c>
      <c r="L444" s="6">
        <f t="shared" si="167"/>
        <v>2328.14</v>
      </c>
      <c r="M444" s="6">
        <f t="shared" si="176"/>
        <v>2304.3335435368085</v>
      </c>
      <c r="N444" s="6">
        <f t="shared" si="168"/>
        <v>2328.14</v>
      </c>
      <c r="O444" s="6">
        <f>Arrivals!I444</f>
        <v>5.1889617032543205</v>
      </c>
      <c r="P444" s="6">
        <f t="shared" si="169"/>
        <v>2333.3289617032542</v>
      </c>
      <c r="Q444" s="6">
        <f t="shared" si="170"/>
        <v>1789.3289617032542</v>
      </c>
      <c r="R444" s="6">
        <f t="shared" si="171"/>
        <v>1760.12</v>
      </c>
      <c r="S444" s="6">
        <f t="shared" si="172"/>
        <v>0</v>
      </c>
      <c r="T444" s="6">
        <f t="shared" si="173"/>
        <v>0</v>
      </c>
      <c r="U444" s="6">
        <f t="shared" si="174"/>
        <v>1760.12</v>
      </c>
      <c r="V444" s="6" t="str">
        <f>IF(MOD(C444-Settings!$B$32,Settings!$B$33)&lt;Settings!$B$30,"Up","Down")</f>
        <v>Up</v>
      </c>
      <c r="W444" s="6">
        <f>IF(OR(E444&gt;Settings!$B$30,Q444&gt;Settings!$B$37),0,1)</f>
        <v>0</v>
      </c>
      <c r="X444" s="6">
        <f>IF(AND(W444=1,Q444&lt;=Settings!$B$36),1,0)</f>
        <v>0</v>
      </c>
    </row>
    <row r="445" spans="1:24" x14ac:dyDescent="0.2">
      <c r="A445">
        <f>Arrivals!A445</f>
        <v>4</v>
      </c>
      <c r="B445">
        <f>Arrivals!B445</f>
        <v>80</v>
      </c>
      <c r="C445" s="6">
        <f>Arrivals!F445</f>
        <v>549</v>
      </c>
      <c r="D445" s="6">
        <f>Arrivals!K445</f>
        <v>300</v>
      </c>
      <c r="E445" s="6">
        <f>D445*8/ACE_Input!S85+ACE_Input!T85</f>
        <v>24.02</v>
      </c>
      <c r="F445" s="6">
        <f t="shared" si="164"/>
        <v>549</v>
      </c>
      <c r="G445" s="6">
        <f t="shared" si="175"/>
        <v>2328.14</v>
      </c>
      <c r="H445" s="6">
        <f t="shared" si="165"/>
        <v>2328.14</v>
      </c>
      <c r="I445" s="6">
        <f>MOD(H445-Settings!$B$32,Settings!$B$33)</f>
        <v>168.13999999999987</v>
      </c>
      <c r="J445" s="6">
        <f>IF(I445&lt;Settings!$B$30,IF(Settings!$B$30-I445&gt;=E445,H445,H445+(Settings!$B$30-I445)+Settings!$B$31),H445+(Settings!$B$33-I445))</f>
        <v>2328.14</v>
      </c>
      <c r="K445" s="6">
        <f t="shared" si="166"/>
        <v>2352.16</v>
      </c>
      <c r="L445" s="6">
        <f t="shared" si="167"/>
        <v>2352.16</v>
      </c>
      <c r="M445" s="6">
        <f t="shared" si="176"/>
        <v>2333.3289617032542</v>
      </c>
      <c r="N445" s="6">
        <f t="shared" si="168"/>
        <v>2352.16</v>
      </c>
      <c r="O445" s="6">
        <f>Arrivals!I445</f>
        <v>9.235569364590889</v>
      </c>
      <c r="P445" s="6">
        <f t="shared" si="169"/>
        <v>2361.3955693645908</v>
      </c>
      <c r="Q445" s="6">
        <f t="shared" si="170"/>
        <v>1812.3955693645908</v>
      </c>
      <c r="R445" s="6">
        <f t="shared" si="171"/>
        <v>1779.1399999999999</v>
      </c>
      <c r="S445" s="6">
        <f t="shared" si="172"/>
        <v>0</v>
      </c>
      <c r="T445" s="6">
        <f t="shared" si="173"/>
        <v>0</v>
      </c>
      <c r="U445" s="6">
        <f t="shared" si="174"/>
        <v>1779.1399999999999</v>
      </c>
      <c r="V445" s="6" t="str">
        <f>IF(MOD(C445-Settings!$B$32,Settings!$B$33)&lt;Settings!$B$30,"Up","Down")</f>
        <v>Up</v>
      </c>
      <c r="W445" s="6">
        <f>IF(OR(E445&gt;Settings!$B$30,Q445&gt;Settings!$B$37),0,1)</f>
        <v>0</v>
      </c>
      <c r="X445" s="6">
        <f>IF(AND(W445=1,Q445&lt;=Settings!$B$36),1,0)</f>
        <v>0</v>
      </c>
    </row>
    <row r="446" spans="1:24" x14ac:dyDescent="0.2">
      <c r="A446">
        <f>Arrivals!A446</f>
        <v>4</v>
      </c>
      <c r="B446">
        <f>Arrivals!B446</f>
        <v>81</v>
      </c>
      <c r="C446" s="6">
        <f>Arrivals!F446</f>
        <v>554</v>
      </c>
      <c r="D446" s="6">
        <f>Arrivals!K446</f>
        <v>300</v>
      </c>
      <c r="E446" s="6">
        <f>D446*8/ACE_Input!S86+ACE_Input!T86</f>
        <v>24.02</v>
      </c>
      <c r="F446" s="6">
        <f t="shared" si="164"/>
        <v>554</v>
      </c>
      <c r="G446" s="6">
        <f t="shared" si="175"/>
        <v>2352.16</v>
      </c>
      <c r="H446" s="6">
        <f t="shared" si="165"/>
        <v>2352.16</v>
      </c>
      <c r="I446" s="6">
        <f>MOD(H446-Settings!$B$32,Settings!$B$33)</f>
        <v>192.15999999999985</v>
      </c>
      <c r="J446" s="6">
        <f>IF(I446&lt;Settings!$B$30,IF(Settings!$B$30-I446&gt;=E446,H446,H446+(Settings!$B$30-I446)+Settings!$B$31),H446+(Settings!$B$33-I446))</f>
        <v>2352.16</v>
      </c>
      <c r="K446" s="6">
        <f t="shared" si="166"/>
        <v>2376.1799999999998</v>
      </c>
      <c r="L446" s="6">
        <f t="shared" si="167"/>
        <v>2376.1799999999998</v>
      </c>
      <c r="M446" s="6">
        <f t="shared" si="176"/>
        <v>2361.3955693645908</v>
      </c>
      <c r="N446" s="6">
        <f t="shared" si="168"/>
        <v>2376.1799999999998</v>
      </c>
      <c r="O446" s="6">
        <f>Arrivals!I446</f>
        <v>8.0766040265612027</v>
      </c>
      <c r="P446" s="6">
        <f t="shared" si="169"/>
        <v>2384.256604026561</v>
      </c>
      <c r="Q446" s="6">
        <f t="shared" si="170"/>
        <v>1830.256604026561</v>
      </c>
      <c r="R446" s="6">
        <f t="shared" si="171"/>
        <v>1798.1599999999999</v>
      </c>
      <c r="S446" s="6">
        <f t="shared" si="172"/>
        <v>0</v>
      </c>
      <c r="T446" s="6">
        <f t="shared" si="173"/>
        <v>0</v>
      </c>
      <c r="U446" s="6">
        <f t="shared" si="174"/>
        <v>1798.1599999999999</v>
      </c>
      <c r="V446" s="6" t="str">
        <f>IF(MOD(C446-Settings!$B$32,Settings!$B$33)&lt;Settings!$B$30,"Up","Down")</f>
        <v>Up</v>
      </c>
      <c r="W446" s="6">
        <f>IF(OR(E446&gt;Settings!$B$30,Q446&gt;Settings!$B$37),0,1)</f>
        <v>0</v>
      </c>
      <c r="X446" s="6">
        <f>IF(AND(W446=1,Q446&lt;=Settings!$B$36),1,0)</f>
        <v>0</v>
      </c>
    </row>
    <row r="447" spans="1:24" x14ac:dyDescent="0.2">
      <c r="A447">
        <f>Arrivals!A447</f>
        <v>4</v>
      </c>
      <c r="B447">
        <f>Arrivals!B447</f>
        <v>82</v>
      </c>
      <c r="C447" s="6">
        <f>Arrivals!F447</f>
        <v>559</v>
      </c>
      <c r="D447" s="6">
        <f>Arrivals!K447</f>
        <v>300</v>
      </c>
      <c r="E447" s="6">
        <f>D447*8/ACE_Input!S87+ACE_Input!T87</f>
        <v>24.02</v>
      </c>
      <c r="F447" s="6">
        <f t="shared" si="164"/>
        <v>559</v>
      </c>
      <c r="G447" s="6">
        <f t="shared" si="175"/>
        <v>2376.1799999999998</v>
      </c>
      <c r="H447" s="6">
        <f t="shared" si="165"/>
        <v>2376.1799999999998</v>
      </c>
      <c r="I447" s="6">
        <f>MOD(H447-Settings!$B$32,Settings!$B$33)</f>
        <v>216.17999999999984</v>
      </c>
      <c r="J447" s="6">
        <f>IF(I447&lt;Settings!$B$30,IF(Settings!$B$30-I447&gt;=E447,H447,H447+(Settings!$B$30-I447)+Settings!$B$31),H447+(Settings!$B$33-I447))</f>
        <v>2376.1799999999998</v>
      </c>
      <c r="K447" s="6">
        <f t="shared" si="166"/>
        <v>2400.1999999999998</v>
      </c>
      <c r="L447" s="6">
        <f t="shared" si="167"/>
        <v>2400.1999999999998</v>
      </c>
      <c r="M447" s="6">
        <f t="shared" si="176"/>
        <v>2384.256604026561</v>
      </c>
      <c r="N447" s="6">
        <f t="shared" si="168"/>
        <v>2400.1999999999998</v>
      </c>
      <c r="O447" s="6">
        <f>Arrivals!I447</f>
        <v>3.3381947362582034</v>
      </c>
      <c r="P447" s="6">
        <f t="shared" si="169"/>
        <v>2403.538194736258</v>
      </c>
      <c r="Q447" s="6">
        <f t="shared" si="170"/>
        <v>1844.538194736258</v>
      </c>
      <c r="R447" s="6">
        <f t="shared" si="171"/>
        <v>1817.1799999999998</v>
      </c>
      <c r="S447" s="6">
        <f t="shared" si="172"/>
        <v>0</v>
      </c>
      <c r="T447" s="6">
        <f t="shared" si="173"/>
        <v>0</v>
      </c>
      <c r="U447" s="6">
        <f t="shared" si="174"/>
        <v>1817.1799999999998</v>
      </c>
      <c r="V447" s="6" t="str">
        <f>IF(MOD(C447-Settings!$B$32,Settings!$B$33)&lt;Settings!$B$30,"Up","Down")</f>
        <v>Up</v>
      </c>
      <c r="W447" s="6">
        <f>IF(OR(E447&gt;Settings!$B$30,Q447&gt;Settings!$B$37),0,1)</f>
        <v>0</v>
      </c>
      <c r="X447" s="6">
        <f>IF(AND(W447=1,Q447&lt;=Settings!$B$36),1,0)</f>
        <v>0</v>
      </c>
    </row>
    <row r="448" spans="1:24" x14ac:dyDescent="0.2">
      <c r="A448">
        <f>Arrivals!A448</f>
        <v>4</v>
      </c>
      <c r="B448">
        <f>Arrivals!B448</f>
        <v>83</v>
      </c>
      <c r="C448" s="6">
        <f>Arrivals!F448</f>
        <v>564</v>
      </c>
      <c r="D448" s="6">
        <f>Arrivals!K448</f>
        <v>300</v>
      </c>
      <c r="E448" s="6">
        <f>D448*8/ACE_Input!S88+ACE_Input!T88</f>
        <v>24.02</v>
      </c>
      <c r="F448" s="6">
        <f t="shared" si="164"/>
        <v>564</v>
      </c>
      <c r="G448" s="6">
        <f t="shared" si="175"/>
        <v>2400.1999999999998</v>
      </c>
      <c r="H448" s="6">
        <f t="shared" si="165"/>
        <v>2400.1999999999998</v>
      </c>
      <c r="I448" s="6">
        <f>MOD(H448-Settings!$B$32,Settings!$B$33)</f>
        <v>240.19999999999982</v>
      </c>
      <c r="J448" s="6">
        <f>IF(I448&lt;Settings!$B$30,IF(Settings!$B$30-I448&gt;=E448,H448,H448+(Settings!$B$30-I448)+Settings!$B$31),H448+(Settings!$B$33-I448))</f>
        <v>2400.1999999999998</v>
      </c>
      <c r="K448" s="6">
        <f t="shared" si="166"/>
        <v>2424.2199999999998</v>
      </c>
      <c r="L448" s="6">
        <f t="shared" si="167"/>
        <v>2424.2199999999998</v>
      </c>
      <c r="M448" s="6">
        <f t="shared" si="176"/>
        <v>2403.538194736258</v>
      </c>
      <c r="N448" s="6">
        <f t="shared" si="168"/>
        <v>2424.2199999999998</v>
      </c>
      <c r="O448" s="6">
        <f>Arrivals!I448</f>
        <v>3.4680411988622311</v>
      </c>
      <c r="P448" s="6">
        <f t="shared" si="169"/>
        <v>2427.6880411988618</v>
      </c>
      <c r="Q448" s="6">
        <f t="shared" si="170"/>
        <v>1863.6880411988618</v>
      </c>
      <c r="R448" s="6">
        <f t="shared" si="171"/>
        <v>1836.1999999999998</v>
      </c>
      <c r="S448" s="6">
        <f t="shared" si="172"/>
        <v>0</v>
      </c>
      <c r="T448" s="6">
        <f t="shared" si="173"/>
        <v>0</v>
      </c>
      <c r="U448" s="6">
        <f t="shared" si="174"/>
        <v>1836.1999999999998</v>
      </c>
      <c r="V448" s="6" t="str">
        <f>IF(MOD(C448-Settings!$B$32,Settings!$B$33)&lt;Settings!$B$30,"Up","Down")</f>
        <v>Up</v>
      </c>
      <c r="W448" s="6">
        <f>IF(OR(E448&gt;Settings!$B$30,Q448&gt;Settings!$B$37),0,1)</f>
        <v>0</v>
      </c>
      <c r="X448" s="6">
        <f>IF(AND(W448=1,Q448&lt;=Settings!$B$36),1,0)</f>
        <v>0</v>
      </c>
    </row>
    <row r="449" spans="1:24" x14ac:dyDescent="0.2">
      <c r="A449">
        <f>Arrivals!A449</f>
        <v>4</v>
      </c>
      <c r="B449">
        <f>Arrivals!B449</f>
        <v>84</v>
      </c>
      <c r="C449" s="6">
        <f>Arrivals!F449</f>
        <v>569</v>
      </c>
      <c r="D449" s="6">
        <f>Arrivals!K449</f>
        <v>300</v>
      </c>
      <c r="E449" s="6">
        <f>D449*8/ACE_Input!S89+ACE_Input!T89</f>
        <v>24.02</v>
      </c>
      <c r="F449" s="6">
        <f t="shared" si="164"/>
        <v>569</v>
      </c>
      <c r="G449" s="6">
        <f t="shared" si="175"/>
        <v>2424.2199999999998</v>
      </c>
      <c r="H449" s="6">
        <f t="shared" si="165"/>
        <v>2424.2199999999998</v>
      </c>
      <c r="I449" s="6">
        <f>MOD(H449-Settings!$B$32,Settings!$B$33)</f>
        <v>264.2199999999998</v>
      </c>
      <c r="J449" s="6">
        <f>IF(I449&lt;Settings!$B$30,IF(Settings!$B$30-I449&gt;=E449,H449,H449+(Settings!$B$30-I449)+Settings!$B$31),H449+(Settings!$B$33-I449))</f>
        <v>2424.2199999999998</v>
      </c>
      <c r="K449" s="6">
        <f t="shared" si="166"/>
        <v>2448.2399999999998</v>
      </c>
      <c r="L449" s="6">
        <f t="shared" si="167"/>
        <v>2448.2399999999998</v>
      </c>
      <c r="M449" s="6">
        <f t="shared" si="176"/>
        <v>2427.6880411988618</v>
      </c>
      <c r="N449" s="6">
        <f t="shared" si="168"/>
        <v>2448.2399999999998</v>
      </c>
      <c r="O449" s="6">
        <f>Arrivals!I449</f>
        <v>3.6489875665292737</v>
      </c>
      <c r="P449" s="6">
        <f t="shared" si="169"/>
        <v>2451.8889875665291</v>
      </c>
      <c r="Q449" s="6">
        <f t="shared" si="170"/>
        <v>1882.8889875665291</v>
      </c>
      <c r="R449" s="6">
        <f t="shared" si="171"/>
        <v>1855.2199999999998</v>
      </c>
      <c r="S449" s="6">
        <f t="shared" si="172"/>
        <v>0</v>
      </c>
      <c r="T449" s="6">
        <f t="shared" si="173"/>
        <v>0</v>
      </c>
      <c r="U449" s="6">
        <f t="shared" si="174"/>
        <v>1855.2199999999998</v>
      </c>
      <c r="V449" s="6" t="str">
        <f>IF(MOD(C449-Settings!$B$32,Settings!$B$33)&lt;Settings!$B$30,"Up","Down")</f>
        <v>Up</v>
      </c>
      <c r="W449" s="6">
        <f>IF(OR(E449&gt;Settings!$B$30,Q449&gt;Settings!$B$37),0,1)</f>
        <v>0</v>
      </c>
      <c r="X449" s="6">
        <f>IF(AND(W449=1,Q449&lt;=Settings!$B$36),1,0)</f>
        <v>0</v>
      </c>
    </row>
    <row r="450" spans="1:24" x14ac:dyDescent="0.2">
      <c r="A450">
        <f>Arrivals!A450</f>
        <v>4</v>
      </c>
      <c r="B450">
        <f>Arrivals!B450</f>
        <v>85</v>
      </c>
      <c r="C450" s="6">
        <f>Arrivals!F450</f>
        <v>574</v>
      </c>
      <c r="D450" s="6">
        <f>Arrivals!K450</f>
        <v>300</v>
      </c>
      <c r="E450" s="6">
        <f>D450*8/ACE_Input!S90+ACE_Input!T90</f>
        <v>24.02</v>
      </c>
      <c r="F450" s="6">
        <f t="shared" si="164"/>
        <v>574</v>
      </c>
      <c r="G450" s="6">
        <f t="shared" si="175"/>
        <v>2448.2399999999998</v>
      </c>
      <c r="H450" s="6">
        <f t="shared" si="165"/>
        <v>2448.2399999999998</v>
      </c>
      <c r="I450" s="6">
        <f>MOD(H450-Settings!$B$32,Settings!$B$33)</f>
        <v>288.23999999999978</v>
      </c>
      <c r="J450" s="6">
        <f>IF(I450&lt;Settings!$B$30,IF(Settings!$B$30-I450&gt;=E450,H450,H450+(Settings!$B$30-I450)+Settings!$B$31),H450+(Settings!$B$33-I450))</f>
        <v>2448.2399999999998</v>
      </c>
      <c r="K450" s="6">
        <f t="shared" si="166"/>
        <v>2472.2599999999998</v>
      </c>
      <c r="L450" s="6">
        <f t="shared" si="167"/>
        <v>2472.2599999999998</v>
      </c>
      <c r="M450" s="6">
        <f t="shared" si="176"/>
        <v>2451.8889875665291</v>
      </c>
      <c r="N450" s="6">
        <f t="shared" si="168"/>
        <v>2472.2599999999998</v>
      </c>
      <c r="O450" s="6">
        <f>Arrivals!I450</f>
        <v>12.779551048244771</v>
      </c>
      <c r="P450" s="6">
        <f t="shared" si="169"/>
        <v>2485.0395510482444</v>
      </c>
      <c r="Q450" s="6">
        <f t="shared" si="170"/>
        <v>1911.0395510482444</v>
      </c>
      <c r="R450" s="6">
        <f t="shared" si="171"/>
        <v>1874.2399999999998</v>
      </c>
      <c r="S450" s="6">
        <f t="shared" si="172"/>
        <v>0</v>
      </c>
      <c r="T450" s="6">
        <f t="shared" si="173"/>
        <v>0</v>
      </c>
      <c r="U450" s="6">
        <f t="shared" si="174"/>
        <v>1874.2399999999998</v>
      </c>
      <c r="V450" s="6" t="str">
        <f>IF(MOD(C450-Settings!$B$32,Settings!$B$33)&lt;Settings!$B$30,"Up","Down")</f>
        <v>Up</v>
      </c>
      <c r="W450" s="6">
        <f>IF(OR(E450&gt;Settings!$B$30,Q450&gt;Settings!$B$37),0,1)</f>
        <v>0</v>
      </c>
      <c r="X450" s="6">
        <f>IF(AND(W450=1,Q450&lt;=Settings!$B$36),1,0)</f>
        <v>0</v>
      </c>
    </row>
    <row r="451" spans="1:24" x14ac:dyDescent="0.2">
      <c r="A451">
        <f>Arrivals!A451</f>
        <v>4</v>
      </c>
      <c r="B451">
        <f>Arrivals!B451</f>
        <v>86</v>
      </c>
      <c r="C451" s="6">
        <f>Arrivals!F451</f>
        <v>579</v>
      </c>
      <c r="D451" s="6">
        <f>Arrivals!K451</f>
        <v>300</v>
      </c>
      <c r="E451" s="6">
        <f>D451*8/ACE_Input!S91+ACE_Input!T91</f>
        <v>24.02</v>
      </c>
      <c r="F451" s="6">
        <f t="shared" si="164"/>
        <v>579</v>
      </c>
      <c r="G451" s="6">
        <f t="shared" si="175"/>
        <v>2472.2599999999998</v>
      </c>
      <c r="H451" s="6">
        <f t="shared" si="165"/>
        <v>2472.2599999999998</v>
      </c>
      <c r="I451" s="6">
        <f>MOD(H451-Settings!$B$32,Settings!$B$33)</f>
        <v>312.25999999999976</v>
      </c>
      <c r="J451" s="6">
        <f>IF(I451&lt;Settings!$B$30,IF(Settings!$B$30-I451&gt;=E451,H451,H451+(Settings!$B$30-I451)+Settings!$B$31),H451+(Settings!$B$33-I451))</f>
        <v>2472.2599999999998</v>
      </c>
      <c r="K451" s="6">
        <f t="shared" si="166"/>
        <v>2496.2799999999997</v>
      </c>
      <c r="L451" s="6">
        <f t="shared" si="167"/>
        <v>2496.2799999999997</v>
      </c>
      <c r="M451" s="6">
        <f t="shared" si="176"/>
        <v>2485.0395510482444</v>
      </c>
      <c r="N451" s="6">
        <f t="shared" si="168"/>
        <v>2496.2799999999997</v>
      </c>
      <c r="O451" s="6">
        <f>Arrivals!I451</f>
        <v>2.0321521085240155</v>
      </c>
      <c r="P451" s="6">
        <f t="shared" si="169"/>
        <v>2498.3121521085236</v>
      </c>
      <c r="Q451" s="6">
        <f t="shared" si="170"/>
        <v>1919.3121521085236</v>
      </c>
      <c r="R451" s="6">
        <f t="shared" si="171"/>
        <v>1893.2599999999998</v>
      </c>
      <c r="S451" s="6">
        <f t="shared" si="172"/>
        <v>0</v>
      </c>
      <c r="T451" s="6">
        <f t="shared" si="173"/>
        <v>0</v>
      </c>
      <c r="U451" s="6">
        <f t="shared" si="174"/>
        <v>1893.2599999999998</v>
      </c>
      <c r="V451" s="6" t="str">
        <f>IF(MOD(C451-Settings!$B$32,Settings!$B$33)&lt;Settings!$B$30,"Up","Down")</f>
        <v>Up</v>
      </c>
      <c r="W451" s="6">
        <f>IF(OR(E451&gt;Settings!$B$30,Q451&gt;Settings!$B$37),0,1)</f>
        <v>0</v>
      </c>
      <c r="X451" s="6">
        <f>IF(AND(W451=1,Q451&lt;=Settings!$B$36),1,0)</f>
        <v>0</v>
      </c>
    </row>
    <row r="452" spans="1:24" x14ac:dyDescent="0.2">
      <c r="A452">
        <f>Arrivals!A452</f>
        <v>4</v>
      </c>
      <c r="B452">
        <f>Arrivals!B452</f>
        <v>87</v>
      </c>
      <c r="C452" s="6">
        <f>Arrivals!F452</f>
        <v>584</v>
      </c>
      <c r="D452" s="6">
        <f>Arrivals!K452</f>
        <v>300</v>
      </c>
      <c r="E452" s="6">
        <f>D452*8/ACE_Input!S92+ACE_Input!T92</f>
        <v>24.02</v>
      </c>
      <c r="F452" s="6">
        <f t="shared" si="164"/>
        <v>584</v>
      </c>
      <c r="G452" s="6">
        <f t="shared" si="175"/>
        <v>2496.2799999999997</v>
      </c>
      <c r="H452" s="6">
        <f t="shared" si="165"/>
        <v>2496.2799999999997</v>
      </c>
      <c r="I452" s="6">
        <f>MOD(H452-Settings!$B$32,Settings!$B$33)</f>
        <v>336.27999999999975</v>
      </c>
      <c r="J452" s="6">
        <f>IF(I452&lt;Settings!$B$30,IF(Settings!$B$30-I452&gt;=E452,H452,H452+(Settings!$B$30-I452)+Settings!$B$31),H452+(Settings!$B$33-I452))</f>
        <v>2496.2799999999997</v>
      </c>
      <c r="K452" s="6">
        <f t="shared" si="166"/>
        <v>2520.2999999999997</v>
      </c>
      <c r="L452" s="6">
        <f t="shared" si="167"/>
        <v>2520.2999999999997</v>
      </c>
      <c r="M452" s="6">
        <f t="shared" si="176"/>
        <v>2498.3121521085236</v>
      </c>
      <c r="N452" s="6">
        <f t="shared" si="168"/>
        <v>2520.2999999999997</v>
      </c>
      <c r="O452" s="6">
        <f>Arrivals!I452</f>
        <v>4.2004424956802016</v>
      </c>
      <c r="P452" s="6">
        <f t="shared" si="169"/>
        <v>2524.5004424956801</v>
      </c>
      <c r="Q452" s="6">
        <f t="shared" si="170"/>
        <v>1940.5004424956801</v>
      </c>
      <c r="R452" s="6">
        <f t="shared" si="171"/>
        <v>1912.2799999999997</v>
      </c>
      <c r="S452" s="6">
        <f t="shared" si="172"/>
        <v>0</v>
      </c>
      <c r="T452" s="6">
        <f t="shared" si="173"/>
        <v>0</v>
      </c>
      <c r="U452" s="6">
        <f t="shared" si="174"/>
        <v>1912.2799999999997</v>
      </c>
      <c r="V452" s="6" t="str">
        <f>IF(MOD(C452-Settings!$B$32,Settings!$B$33)&lt;Settings!$B$30,"Up","Down")</f>
        <v>Up</v>
      </c>
      <c r="W452" s="6">
        <f>IF(OR(E452&gt;Settings!$B$30,Q452&gt;Settings!$B$37),0,1)</f>
        <v>0</v>
      </c>
      <c r="X452" s="6">
        <f>IF(AND(W452=1,Q452&lt;=Settings!$B$36),1,0)</f>
        <v>0</v>
      </c>
    </row>
    <row r="453" spans="1:24" x14ac:dyDescent="0.2">
      <c r="A453">
        <f>Arrivals!A453</f>
        <v>4</v>
      </c>
      <c r="B453">
        <f>Arrivals!B453</f>
        <v>88</v>
      </c>
      <c r="C453" s="6">
        <f>Arrivals!F453</f>
        <v>589</v>
      </c>
      <c r="D453" s="6">
        <f>Arrivals!K453</f>
        <v>300</v>
      </c>
      <c r="E453" s="6">
        <f>D453*8/ACE_Input!S93+ACE_Input!T93</f>
        <v>24.02</v>
      </c>
      <c r="F453" s="6">
        <f t="shared" si="164"/>
        <v>589</v>
      </c>
      <c r="G453" s="6">
        <f t="shared" si="175"/>
        <v>2520.2999999999997</v>
      </c>
      <c r="H453" s="6">
        <f t="shared" si="165"/>
        <v>2520.2999999999997</v>
      </c>
      <c r="I453" s="6">
        <f>MOD(H453-Settings!$B$32,Settings!$B$33)</f>
        <v>360.29999999999973</v>
      </c>
      <c r="J453" s="6">
        <f>IF(I453&lt;Settings!$B$30,IF(Settings!$B$30-I453&gt;=E453,H453,H453+(Settings!$B$30-I453)+Settings!$B$31),H453+(Settings!$B$33-I453))</f>
        <v>2520.2999999999997</v>
      </c>
      <c r="K453" s="6">
        <f t="shared" si="166"/>
        <v>2544.3199999999997</v>
      </c>
      <c r="L453" s="6">
        <f t="shared" si="167"/>
        <v>2544.3199999999997</v>
      </c>
      <c r="M453" s="6">
        <f t="shared" si="176"/>
        <v>2524.5004424956801</v>
      </c>
      <c r="N453" s="6">
        <f t="shared" si="168"/>
        <v>2544.3199999999997</v>
      </c>
      <c r="O453" s="6">
        <f>Arrivals!I453</f>
        <v>1.1339031438441227</v>
      </c>
      <c r="P453" s="6">
        <f t="shared" si="169"/>
        <v>2545.4539031438439</v>
      </c>
      <c r="Q453" s="6">
        <f t="shared" si="170"/>
        <v>1956.4539031438439</v>
      </c>
      <c r="R453" s="6">
        <f t="shared" si="171"/>
        <v>1931.2999999999997</v>
      </c>
      <c r="S453" s="6">
        <f t="shared" si="172"/>
        <v>0</v>
      </c>
      <c r="T453" s="6">
        <f t="shared" si="173"/>
        <v>0</v>
      </c>
      <c r="U453" s="6">
        <f t="shared" si="174"/>
        <v>1931.2999999999997</v>
      </c>
      <c r="V453" s="6" t="str">
        <f>IF(MOD(C453-Settings!$B$32,Settings!$B$33)&lt;Settings!$B$30,"Up","Down")</f>
        <v>Up</v>
      </c>
      <c r="W453" s="6">
        <f>IF(OR(E453&gt;Settings!$B$30,Q453&gt;Settings!$B$37),0,1)</f>
        <v>0</v>
      </c>
      <c r="X453" s="6">
        <f>IF(AND(W453=1,Q453&lt;=Settings!$B$36),1,0)</f>
        <v>0</v>
      </c>
    </row>
    <row r="454" spans="1:24" x14ac:dyDescent="0.2">
      <c r="A454">
        <f>Arrivals!A454</f>
        <v>4</v>
      </c>
      <c r="B454">
        <f>Arrivals!B454</f>
        <v>89</v>
      </c>
      <c r="C454" s="6">
        <f>Arrivals!F454</f>
        <v>594</v>
      </c>
      <c r="D454" s="6">
        <f>Arrivals!K454</f>
        <v>300</v>
      </c>
      <c r="E454" s="6">
        <f>D454*8/ACE_Input!S94+ACE_Input!T94</f>
        <v>24.02</v>
      </c>
      <c r="F454" s="6">
        <f t="shared" si="164"/>
        <v>594</v>
      </c>
      <c r="G454" s="6">
        <f t="shared" si="175"/>
        <v>2544.3199999999997</v>
      </c>
      <c r="H454" s="6">
        <f t="shared" si="165"/>
        <v>2544.3199999999997</v>
      </c>
      <c r="I454" s="6">
        <f>MOD(H454-Settings!$B$32,Settings!$B$33)</f>
        <v>384.31999999999971</v>
      </c>
      <c r="J454" s="6">
        <f>IF(I454&lt;Settings!$B$30,IF(Settings!$B$30-I454&gt;=E454,H454,H454+(Settings!$B$30-I454)+Settings!$B$31),H454+(Settings!$B$33-I454))</f>
        <v>2544.3199999999997</v>
      </c>
      <c r="K454" s="6">
        <f t="shared" si="166"/>
        <v>2568.3399999999997</v>
      </c>
      <c r="L454" s="6">
        <f t="shared" si="167"/>
        <v>2568.3399999999997</v>
      </c>
      <c r="M454" s="6">
        <f t="shared" si="176"/>
        <v>2545.4539031438439</v>
      </c>
      <c r="N454" s="6">
        <f t="shared" si="168"/>
        <v>2568.3399999999997</v>
      </c>
      <c r="O454" s="6">
        <f>Arrivals!I454</f>
        <v>3.8392918804212735</v>
      </c>
      <c r="P454" s="6">
        <f t="shared" si="169"/>
        <v>2572.1792918804208</v>
      </c>
      <c r="Q454" s="6">
        <f t="shared" si="170"/>
        <v>1978.1792918804208</v>
      </c>
      <c r="R454" s="6">
        <f t="shared" si="171"/>
        <v>1950.3199999999997</v>
      </c>
      <c r="S454" s="6">
        <f t="shared" si="172"/>
        <v>0</v>
      </c>
      <c r="T454" s="6">
        <f t="shared" si="173"/>
        <v>0</v>
      </c>
      <c r="U454" s="6">
        <f t="shared" si="174"/>
        <v>1950.3199999999997</v>
      </c>
      <c r="V454" s="6" t="str">
        <f>IF(MOD(C454-Settings!$B$32,Settings!$B$33)&lt;Settings!$B$30,"Up","Down")</f>
        <v>Up</v>
      </c>
      <c r="W454" s="6">
        <f>IF(OR(E454&gt;Settings!$B$30,Q454&gt;Settings!$B$37),0,1)</f>
        <v>0</v>
      </c>
      <c r="X454" s="6">
        <f>IF(AND(W454=1,Q454&lt;=Settings!$B$36),1,0)</f>
        <v>0</v>
      </c>
    </row>
    <row r="455" spans="1:24" x14ac:dyDescent="0.2">
      <c r="A455">
        <f>Arrivals!A455</f>
        <v>4</v>
      </c>
      <c r="B455">
        <f>Arrivals!B455</f>
        <v>90</v>
      </c>
      <c r="C455" s="6">
        <f>Arrivals!F455</f>
        <v>599</v>
      </c>
      <c r="D455" s="6">
        <f>Arrivals!K455</f>
        <v>300</v>
      </c>
      <c r="E455" s="6">
        <f>D455*8/ACE_Input!S95+ACE_Input!T95</f>
        <v>24.02</v>
      </c>
      <c r="F455" s="6">
        <f t="shared" si="164"/>
        <v>599</v>
      </c>
      <c r="G455" s="6">
        <f t="shared" si="175"/>
        <v>2568.3399999999997</v>
      </c>
      <c r="H455" s="6">
        <f t="shared" si="165"/>
        <v>2568.3399999999997</v>
      </c>
      <c r="I455" s="6">
        <f>MOD(H455-Settings!$B$32,Settings!$B$33)</f>
        <v>408.33999999999969</v>
      </c>
      <c r="J455" s="6">
        <f>IF(I455&lt;Settings!$B$30,IF(Settings!$B$30-I455&gt;=E455,H455,H455+(Settings!$B$30-I455)+Settings!$B$31),H455+(Settings!$B$33-I455))</f>
        <v>2568.3399999999997</v>
      </c>
      <c r="K455" s="6">
        <f t="shared" si="166"/>
        <v>2592.3599999999997</v>
      </c>
      <c r="L455" s="6">
        <f t="shared" si="167"/>
        <v>2592.3599999999997</v>
      </c>
      <c r="M455" s="6">
        <f t="shared" si="176"/>
        <v>2572.1792918804208</v>
      </c>
      <c r="N455" s="6">
        <f t="shared" si="168"/>
        <v>2592.3599999999997</v>
      </c>
      <c r="O455" s="6">
        <f>Arrivals!I455</f>
        <v>3.4693118555660041</v>
      </c>
      <c r="P455" s="6">
        <f t="shared" si="169"/>
        <v>2595.8293118555657</v>
      </c>
      <c r="Q455" s="6">
        <f t="shared" si="170"/>
        <v>1996.8293118555657</v>
      </c>
      <c r="R455" s="6">
        <f t="shared" si="171"/>
        <v>1969.3399999999997</v>
      </c>
      <c r="S455" s="6">
        <f t="shared" si="172"/>
        <v>0</v>
      </c>
      <c r="T455" s="6">
        <f t="shared" si="173"/>
        <v>0</v>
      </c>
      <c r="U455" s="6">
        <f t="shared" si="174"/>
        <v>1969.3399999999997</v>
      </c>
      <c r="V455" s="6" t="str">
        <f>IF(MOD(C455-Settings!$B$32,Settings!$B$33)&lt;Settings!$B$30,"Up","Down")</f>
        <v>Up</v>
      </c>
      <c r="W455" s="6">
        <f>IF(OR(E455&gt;Settings!$B$30,Q455&gt;Settings!$B$37),0,1)</f>
        <v>0</v>
      </c>
      <c r="X455" s="6">
        <f>IF(AND(W455=1,Q455&lt;=Settings!$B$36),1,0)</f>
        <v>0</v>
      </c>
    </row>
    <row r="456" spans="1:24" x14ac:dyDescent="0.2">
      <c r="A456">
        <f>Arrivals!A456</f>
        <v>4</v>
      </c>
      <c r="B456">
        <f>Arrivals!B456</f>
        <v>91</v>
      </c>
      <c r="C456" s="6">
        <f>Arrivals!F456</f>
        <v>604</v>
      </c>
      <c r="D456" s="6">
        <f>Arrivals!K456</f>
        <v>300</v>
      </c>
      <c r="E456" s="6">
        <f>D456*8/ACE_Input!S96+ACE_Input!T96</f>
        <v>24.02</v>
      </c>
      <c r="F456" s="6">
        <f t="shared" si="164"/>
        <v>604</v>
      </c>
      <c r="G456" s="6">
        <f t="shared" si="175"/>
        <v>2592.3599999999997</v>
      </c>
      <c r="H456" s="6">
        <f t="shared" si="165"/>
        <v>2592.3599999999997</v>
      </c>
      <c r="I456" s="6">
        <f>MOD(H456-Settings!$B$32,Settings!$B$33)</f>
        <v>432.35999999999967</v>
      </c>
      <c r="J456" s="6">
        <f>IF(I456&lt;Settings!$B$30,IF(Settings!$B$30-I456&gt;=E456,H456,H456+(Settings!$B$30-I456)+Settings!$B$31),H456+(Settings!$B$33-I456))</f>
        <v>2592.3599999999997</v>
      </c>
      <c r="K456" s="6">
        <f t="shared" si="166"/>
        <v>2616.3799999999997</v>
      </c>
      <c r="L456" s="6">
        <f t="shared" si="167"/>
        <v>2616.3799999999997</v>
      </c>
      <c r="M456" s="6">
        <f t="shared" si="176"/>
        <v>2595.8293118555657</v>
      </c>
      <c r="N456" s="6">
        <f t="shared" si="168"/>
        <v>2616.3799999999997</v>
      </c>
      <c r="O456" s="6">
        <f>Arrivals!I456</f>
        <v>7.3678735940943145</v>
      </c>
      <c r="P456" s="6">
        <f t="shared" si="169"/>
        <v>2623.747873594094</v>
      </c>
      <c r="Q456" s="6">
        <f t="shared" si="170"/>
        <v>2019.747873594094</v>
      </c>
      <c r="R456" s="6">
        <f t="shared" si="171"/>
        <v>1988.3599999999997</v>
      </c>
      <c r="S456" s="6">
        <f t="shared" si="172"/>
        <v>0</v>
      </c>
      <c r="T456" s="6">
        <f t="shared" si="173"/>
        <v>0</v>
      </c>
      <c r="U456" s="6">
        <f t="shared" si="174"/>
        <v>1988.3599999999997</v>
      </c>
      <c r="V456" s="6" t="str">
        <f>IF(MOD(C456-Settings!$B$32,Settings!$B$33)&lt;Settings!$B$30,"Up","Down")</f>
        <v>Down</v>
      </c>
      <c r="W456" s="6">
        <f>IF(OR(E456&gt;Settings!$B$30,Q456&gt;Settings!$B$37),0,1)</f>
        <v>0</v>
      </c>
      <c r="X456" s="6">
        <f>IF(AND(W456=1,Q456&lt;=Settings!$B$36),1,0)</f>
        <v>0</v>
      </c>
    </row>
    <row r="457" spans="1:24" x14ac:dyDescent="0.2">
      <c r="A457">
        <f>Arrivals!A457</f>
        <v>4</v>
      </c>
      <c r="B457">
        <f>Arrivals!B457</f>
        <v>92</v>
      </c>
      <c r="C457" s="6">
        <f>Arrivals!F457</f>
        <v>609</v>
      </c>
      <c r="D457" s="6">
        <f>Arrivals!K457</f>
        <v>300</v>
      </c>
      <c r="E457" s="6">
        <f>D457*8/ACE_Input!S97+ACE_Input!T97</f>
        <v>24.02</v>
      </c>
      <c r="F457" s="6">
        <f t="shared" si="164"/>
        <v>609</v>
      </c>
      <c r="G457" s="6">
        <f t="shared" si="175"/>
        <v>2616.3799999999997</v>
      </c>
      <c r="H457" s="6">
        <f t="shared" si="165"/>
        <v>2616.3799999999997</v>
      </c>
      <c r="I457" s="6">
        <f>MOD(H457-Settings!$B$32,Settings!$B$33)</f>
        <v>456.37999999999965</v>
      </c>
      <c r="J457" s="6">
        <f>IF(I457&lt;Settings!$B$30,IF(Settings!$B$30-I457&gt;=E457,H457,H457+(Settings!$B$30-I457)+Settings!$B$31),H457+(Settings!$B$33-I457))</f>
        <v>2616.3799999999997</v>
      </c>
      <c r="K457" s="6">
        <f t="shared" si="166"/>
        <v>2640.3999999999996</v>
      </c>
      <c r="L457" s="6">
        <f t="shared" si="167"/>
        <v>2640.3999999999996</v>
      </c>
      <c r="M457" s="6">
        <f t="shared" si="176"/>
        <v>2623.747873594094</v>
      </c>
      <c r="N457" s="6">
        <f t="shared" si="168"/>
        <v>2640.3999999999996</v>
      </c>
      <c r="O457" s="6">
        <f>Arrivals!I457</f>
        <v>1.7994772829022506E-2</v>
      </c>
      <c r="P457" s="6">
        <f t="shared" si="169"/>
        <v>2640.4179947728285</v>
      </c>
      <c r="Q457" s="6">
        <f t="shared" si="170"/>
        <v>2031.4179947728285</v>
      </c>
      <c r="R457" s="6">
        <f t="shared" si="171"/>
        <v>2007.3799999999997</v>
      </c>
      <c r="S457" s="6">
        <f t="shared" si="172"/>
        <v>0</v>
      </c>
      <c r="T457" s="6">
        <f t="shared" si="173"/>
        <v>0</v>
      </c>
      <c r="U457" s="6">
        <f t="shared" si="174"/>
        <v>2007.3799999999997</v>
      </c>
      <c r="V457" s="6" t="str">
        <f>IF(MOD(C457-Settings!$B$32,Settings!$B$33)&lt;Settings!$B$30,"Up","Down")</f>
        <v>Down</v>
      </c>
      <c r="W457" s="6">
        <f>IF(OR(E457&gt;Settings!$B$30,Q457&gt;Settings!$B$37),0,1)</f>
        <v>0</v>
      </c>
      <c r="X457" s="6">
        <f>IF(AND(W457=1,Q457&lt;=Settings!$B$36),1,0)</f>
        <v>0</v>
      </c>
    </row>
    <row r="458" spans="1:24" x14ac:dyDescent="0.2">
      <c r="A458">
        <f>Arrivals!A458</f>
        <v>4</v>
      </c>
      <c r="B458">
        <f>Arrivals!B458</f>
        <v>93</v>
      </c>
      <c r="C458" s="6">
        <f>Arrivals!F458</f>
        <v>614</v>
      </c>
      <c r="D458" s="6">
        <f>Arrivals!K458</f>
        <v>300</v>
      </c>
      <c r="E458" s="6">
        <f>D458*8/ACE_Input!S98+ACE_Input!T98</f>
        <v>24.02</v>
      </c>
      <c r="F458" s="6">
        <f t="shared" si="164"/>
        <v>614</v>
      </c>
      <c r="G458" s="6">
        <f t="shared" si="175"/>
        <v>2640.3999999999996</v>
      </c>
      <c r="H458" s="6">
        <f t="shared" si="165"/>
        <v>2640.3999999999996</v>
      </c>
      <c r="I458" s="6">
        <f>MOD(H458-Settings!$B$32,Settings!$B$33)</f>
        <v>480.39999999999964</v>
      </c>
      <c r="J458" s="6">
        <f>IF(I458&lt;Settings!$B$30,IF(Settings!$B$30-I458&gt;=E458,H458,H458+(Settings!$B$30-I458)+Settings!$B$31),H458+(Settings!$B$33-I458))</f>
        <v>2640.3999999999996</v>
      </c>
      <c r="K458" s="6">
        <f t="shared" si="166"/>
        <v>2664.4199999999996</v>
      </c>
      <c r="L458" s="6">
        <f t="shared" si="167"/>
        <v>2664.4199999999996</v>
      </c>
      <c r="M458" s="6">
        <f t="shared" si="176"/>
        <v>2640.4179947728285</v>
      </c>
      <c r="N458" s="6">
        <f t="shared" si="168"/>
        <v>2664.4199999999996</v>
      </c>
      <c r="O458" s="6">
        <f>Arrivals!I458</f>
        <v>2.3172703908642798</v>
      </c>
      <c r="P458" s="6">
        <f t="shared" si="169"/>
        <v>2666.7372703908641</v>
      </c>
      <c r="Q458" s="6">
        <f t="shared" si="170"/>
        <v>2052.7372703908641</v>
      </c>
      <c r="R458" s="6">
        <f t="shared" si="171"/>
        <v>2026.3999999999996</v>
      </c>
      <c r="S458" s="6">
        <f t="shared" si="172"/>
        <v>0</v>
      </c>
      <c r="T458" s="6">
        <f t="shared" si="173"/>
        <v>0</v>
      </c>
      <c r="U458" s="6">
        <f t="shared" si="174"/>
        <v>2026.3999999999996</v>
      </c>
      <c r="V458" s="6" t="str">
        <f>IF(MOD(C458-Settings!$B$32,Settings!$B$33)&lt;Settings!$B$30,"Up","Down")</f>
        <v>Down</v>
      </c>
      <c r="W458" s="6">
        <f>IF(OR(E458&gt;Settings!$B$30,Q458&gt;Settings!$B$37),0,1)</f>
        <v>0</v>
      </c>
      <c r="X458" s="6">
        <f>IF(AND(W458=1,Q458&lt;=Settings!$B$36),1,0)</f>
        <v>0</v>
      </c>
    </row>
    <row r="459" spans="1:24" x14ac:dyDescent="0.2">
      <c r="A459">
        <f>Arrivals!A459</f>
        <v>4</v>
      </c>
      <c r="B459">
        <f>Arrivals!B459</f>
        <v>94</v>
      </c>
      <c r="C459" s="6">
        <f>Arrivals!F459</f>
        <v>619</v>
      </c>
      <c r="D459" s="6">
        <f>Arrivals!K459</f>
        <v>300</v>
      </c>
      <c r="E459" s="6">
        <f>D459*8/ACE_Input!S99+ACE_Input!T99</f>
        <v>24.02</v>
      </c>
      <c r="F459" s="6">
        <f t="shared" si="164"/>
        <v>619</v>
      </c>
      <c r="G459" s="6">
        <f t="shared" si="175"/>
        <v>2664.4199999999996</v>
      </c>
      <c r="H459" s="6">
        <f t="shared" si="165"/>
        <v>2664.4199999999996</v>
      </c>
      <c r="I459" s="6">
        <f>MOD(H459-Settings!$B$32,Settings!$B$33)</f>
        <v>504.41999999999962</v>
      </c>
      <c r="J459" s="6">
        <f>IF(I459&lt;Settings!$B$30,IF(Settings!$B$30-I459&gt;=E459,H459,H459+(Settings!$B$30-I459)+Settings!$B$31),H459+(Settings!$B$33-I459))</f>
        <v>2664.4199999999996</v>
      </c>
      <c r="K459" s="6">
        <f t="shared" si="166"/>
        <v>2688.4399999999996</v>
      </c>
      <c r="L459" s="6">
        <f t="shared" si="167"/>
        <v>2688.4399999999996</v>
      </c>
      <c r="M459" s="6">
        <f t="shared" si="176"/>
        <v>2666.7372703908641</v>
      </c>
      <c r="N459" s="6">
        <f t="shared" si="168"/>
        <v>2688.4399999999996</v>
      </c>
      <c r="O459" s="6">
        <f>Arrivals!I459</f>
        <v>1.812816002440355</v>
      </c>
      <c r="P459" s="6">
        <f t="shared" si="169"/>
        <v>2690.2528160024399</v>
      </c>
      <c r="Q459" s="6">
        <f t="shared" si="170"/>
        <v>2071.2528160024399</v>
      </c>
      <c r="R459" s="6">
        <f t="shared" si="171"/>
        <v>2045.4199999999996</v>
      </c>
      <c r="S459" s="6">
        <f t="shared" si="172"/>
        <v>0</v>
      </c>
      <c r="T459" s="6">
        <f t="shared" si="173"/>
        <v>0</v>
      </c>
      <c r="U459" s="6">
        <f t="shared" si="174"/>
        <v>2045.4199999999996</v>
      </c>
      <c r="V459" s="6" t="str">
        <f>IF(MOD(C459-Settings!$B$32,Settings!$B$33)&lt;Settings!$B$30,"Up","Down")</f>
        <v>Down</v>
      </c>
      <c r="W459" s="6">
        <f>IF(OR(E459&gt;Settings!$B$30,Q459&gt;Settings!$B$37),0,1)</f>
        <v>0</v>
      </c>
      <c r="X459" s="6">
        <f>IF(AND(W459=1,Q459&lt;=Settings!$B$36),1,0)</f>
        <v>0</v>
      </c>
    </row>
    <row r="460" spans="1:24" x14ac:dyDescent="0.2">
      <c r="A460">
        <f>Arrivals!A460</f>
        <v>4</v>
      </c>
      <c r="B460">
        <f>Arrivals!B460</f>
        <v>95</v>
      </c>
      <c r="C460" s="6">
        <f>Arrivals!F460</f>
        <v>624</v>
      </c>
      <c r="D460" s="6">
        <f>Arrivals!K460</f>
        <v>300</v>
      </c>
      <c r="E460" s="6">
        <f>D460*8/ACE_Input!S100+ACE_Input!T100</f>
        <v>24.02</v>
      </c>
      <c r="F460" s="6">
        <f t="shared" si="164"/>
        <v>624</v>
      </c>
      <c r="G460" s="6">
        <f t="shared" si="175"/>
        <v>2688.4399999999996</v>
      </c>
      <c r="H460" s="6">
        <f t="shared" si="165"/>
        <v>2688.4399999999996</v>
      </c>
      <c r="I460" s="6">
        <f>MOD(H460-Settings!$B$32,Settings!$B$33)</f>
        <v>528.4399999999996</v>
      </c>
      <c r="J460" s="6">
        <f>IF(I460&lt;Settings!$B$30,IF(Settings!$B$30-I460&gt;=E460,H460,H460+(Settings!$B$30-I460)+Settings!$B$31),H460+(Settings!$B$33-I460))</f>
        <v>2688.4399999999996</v>
      </c>
      <c r="K460" s="6">
        <f t="shared" si="166"/>
        <v>2712.4599999999996</v>
      </c>
      <c r="L460" s="6">
        <f t="shared" si="167"/>
        <v>2712.4599999999996</v>
      </c>
      <c r="M460" s="6">
        <f t="shared" si="176"/>
        <v>2690.2528160024399</v>
      </c>
      <c r="N460" s="6">
        <f t="shared" si="168"/>
        <v>2712.4599999999996</v>
      </c>
      <c r="O460" s="6">
        <f>Arrivals!I460</f>
        <v>4.3715549120147106</v>
      </c>
      <c r="P460" s="6">
        <f t="shared" si="169"/>
        <v>2716.8315549120143</v>
      </c>
      <c r="Q460" s="6">
        <f t="shared" si="170"/>
        <v>2092.8315549120143</v>
      </c>
      <c r="R460" s="6">
        <f t="shared" si="171"/>
        <v>2064.4399999999996</v>
      </c>
      <c r="S460" s="6">
        <f t="shared" si="172"/>
        <v>0</v>
      </c>
      <c r="T460" s="6">
        <f t="shared" si="173"/>
        <v>0</v>
      </c>
      <c r="U460" s="6">
        <f t="shared" si="174"/>
        <v>2064.4399999999996</v>
      </c>
      <c r="V460" s="6" t="str">
        <f>IF(MOD(C460-Settings!$B$32,Settings!$B$33)&lt;Settings!$B$30,"Up","Down")</f>
        <v>Down</v>
      </c>
      <c r="W460" s="6">
        <f>IF(OR(E460&gt;Settings!$B$30,Q460&gt;Settings!$B$37),0,1)</f>
        <v>0</v>
      </c>
      <c r="X460" s="6">
        <f>IF(AND(W460=1,Q460&lt;=Settings!$B$36),1,0)</f>
        <v>0</v>
      </c>
    </row>
    <row r="461" spans="1:24" x14ac:dyDescent="0.2">
      <c r="A461">
        <f>Arrivals!A461</f>
        <v>4</v>
      </c>
      <c r="B461">
        <f>Arrivals!B461</f>
        <v>96</v>
      </c>
      <c r="C461" s="6">
        <f>Arrivals!F461</f>
        <v>629</v>
      </c>
      <c r="D461" s="6">
        <f>Arrivals!K461</f>
        <v>300</v>
      </c>
      <c r="E461" s="6">
        <f>D461*8/ACE_Input!S101+ACE_Input!T101</f>
        <v>24.02</v>
      </c>
      <c r="F461" s="6">
        <f t="shared" si="164"/>
        <v>629</v>
      </c>
      <c r="G461" s="6">
        <f t="shared" si="175"/>
        <v>2712.4599999999996</v>
      </c>
      <c r="H461" s="6">
        <f t="shared" si="165"/>
        <v>2712.4599999999996</v>
      </c>
      <c r="I461" s="6">
        <f>MOD(H461-Settings!$B$32,Settings!$B$33)</f>
        <v>552.45999999999958</v>
      </c>
      <c r="J461" s="6">
        <f>IF(I461&lt;Settings!$B$30,IF(Settings!$B$30-I461&gt;=E461,H461,H461+(Settings!$B$30-I461)+Settings!$B$31),H461+(Settings!$B$33-I461))</f>
        <v>2712.4599999999996</v>
      </c>
      <c r="K461" s="6">
        <f t="shared" si="166"/>
        <v>2736.4799999999996</v>
      </c>
      <c r="L461" s="6">
        <f t="shared" si="167"/>
        <v>2736.4799999999996</v>
      </c>
      <c r="M461" s="6">
        <f t="shared" si="176"/>
        <v>2716.8315549120143</v>
      </c>
      <c r="N461" s="6">
        <f t="shared" si="168"/>
        <v>2736.4799999999996</v>
      </c>
      <c r="O461" s="6">
        <f>Arrivals!I461</f>
        <v>2.848772176155725</v>
      </c>
      <c r="P461" s="6">
        <f t="shared" si="169"/>
        <v>2739.3287721761553</v>
      </c>
      <c r="Q461" s="6">
        <f t="shared" si="170"/>
        <v>2110.3287721761553</v>
      </c>
      <c r="R461" s="6">
        <f t="shared" si="171"/>
        <v>2083.4599999999996</v>
      </c>
      <c r="S461" s="6">
        <f t="shared" si="172"/>
        <v>0</v>
      </c>
      <c r="T461" s="6">
        <f t="shared" si="173"/>
        <v>0</v>
      </c>
      <c r="U461" s="6">
        <f t="shared" si="174"/>
        <v>2083.4599999999996</v>
      </c>
      <c r="V461" s="6" t="str">
        <f>IF(MOD(C461-Settings!$B$32,Settings!$B$33)&lt;Settings!$B$30,"Up","Down")</f>
        <v>Down</v>
      </c>
      <c r="W461" s="6">
        <f>IF(OR(E461&gt;Settings!$B$30,Q461&gt;Settings!$B$37),0,1)</f>
        <v>0</v>
      </c>
      <c r="X461" s="6">
        <f>IF(AND(W461=1,Q461&lt;=Settings!$B$36),1,0)</f>
        <v>0</v>
      </c>
    </row>
    <row r="462" spans="1:24" x14ac:dyDescent="0.2">
      <c r="A462">
        <f>Arrivals!A462</f>
        <v>4</v>
      </c>
      <c r="B462">
        <f>Arrivals!B462</f>
        <v>97</v>
      </c>
      <c r="C462" s="6">
        <f>Arrivals!F462</f>
        <v>634</v>
      </c>
      <c r="D462" s="6">
        <f>Arrivals!K462</f>
        <v>300</v>
      </c>
      <c r="E462" s="6">
        <f>D462*8/ACE_Input!S102+ACE_Input!T102</f>
        <v>24.02</v>
      </c>
      <c r="F462" s="6">
        <f t="shared" si="164"/>
        <v>634</v>
      </c>
      <c r="G462" s="6">
        <f t="shared" si="175"/>
        <v>2736.4799999999996</v>
      </c>
      <c r="H462" s="6">
        <f t="shared" ref="H462:H465" si="177">MAX(F462,G462)</f>
        <v>2736.4799999999996</v>
      </c>
      <c r="I462" s="6">
        <f>MOD(H462-Settings!$B$32,Settings!$B$33)</f>
        <v>576.47999999999956</v>
      </c>
      <c r="J462" s="6">
        <f>IF(I462&lt;Settings!$B$30,IF(Settings!$B$30-I462&gt;=E462,H462,H462+(Settings!$B$30-I462)+Settings!$B$31),H462+(Settings!$B$33-I462))</f>
        <v>2880</v>
      </c>
      <c r="K462" s="6">
        <f t="shared" ref="K462:K465" si="178">J462+E462</f>
        <v>2904.02</v>
      </c>
      <c r="L462" s="6">
        <f t="shared" ref="L462:L465" si="179">K462</f>
        <v>2904.02</v>
      </c>
      <c r="M462" s="6">
        <f t="shared" si="176"/>
        <v>2739.3287721761553</v>
      </c>
      <c r="N462" s="6">
        <f t="shared" ref="N462:N465" si="180">MAX(L462,M462)</f>
        <v>2904.02</v>
      </c>
      <c r="O462" s="6">
        <f>Arrivals!I462</f>
        <v>0.15238923112073782</v>
      </c>
      <c r="P462" s="6">
        <f t="shared" ref="P462:P465" si="181">N462+O462</f>
        <v>2904.1723892311206</v>
      </c>
      <c r="Q462" s="6">
        <f t="shared" ref="Q462:Q465" si="182">P462-C462</f>
        <v>2270.1723892311206</v>
      </c>
      <c r="R462" s="6">
        <f t="shared" si="171"/>
        <v>2102.4799999999996</v>
      </c>
      <c r="S462" s="6">
        <f t="shared" si="172"/>
        <v>143.52000000000044</v>
      </c>
      <c r="T462" s="6">
        <f t="shared" si="173"/>
        <v>0</v>
      </c>
      <c r="U462" s="6">
        <f t="shared" ref="U462:U465" si="183">R462+S462+T462</f>
        <v>2246</v>
      </c>
      <c r="V462" s="6" t="str">
        <f>IF(MOD(C462-Settings!$B$32,Settings!$B$33)&lt;Settings!$B$30,"Up","Down")</f>
        <v>Down</v>
      </c>
      <c r="W462" s="6">
        <f>IF(OR(E462&gt;Settings!$B$30,Q462&gt;Settings!$B$37),0,1)</f>
        <v>0</v>
      </c>
      <c r="X462" s="6">
        <f>IF(AND(W462=1,Q462&lt;=Settings!$B$36),1,0)</f>
        <v>0</v>
      </c>
    </row>
    <row r="463" spans="1:24" x14ac:dyDescent="0.2">
      <c r="A463">
        <f>Arrivals!A463</f>
        <v>4</v>
      </c>
      <c r="B463">
        <f>Arrivals!B463</f>
        <v>98</v>
      </c>
      <c r="C463" s="6">
        <f>Arrivals!F463</f>
        <v>639</v>
      </c>
      <c r="D463" s="6">
        <f>Arrivals!K463</f>
        <v>300</v>
      </c>
      <c r="E463" s="6">
        <f>D463*8/ACE_Input!S103+ACE_Input!T103</f>
        <v>24.02</v>
      </c>
      <c r="F463" s="6">
        <f t="shared" si="164"/>
        <v>639</v>
      </c>
      <c r="G463" s="6">
        <f t="shared" si="175"/>
        <v>2904.02</v>
      </c>
      <c r="H463" s="6">
        <f t="shared" si="177"/>
        <v>2904.02</v>
      </c>
      <c r="I463" s="6">
        <f>MOD(H463-Settings!$B$32,Settings!$B$33)</f>
        <v>24.019999999999982</v>
      </c>
      <c r="J463" s="6">
        <f>IF(I463&lt;Settings!$B$30,IF(Settings!$B$30-I463&gt;=E463,H463,H463+(Settings!$B$30-I463)+Settings!$B$31),H463+(Settings!$B$33-I463))</f>
        <v>2904.02</v>
      </c>
      <c r="K463" s="6">
        <f t="shared" si="178"/>
        <v>2928.04</v>
      </c>
      <c r="L463" s="6">
        <f t="shared" si="179"/>
        <v>2928.04</v>
      </c>
      <c r="M463" s="6">
        <f t="shared" si="176"/>
        <v>2904.1723892311206</v>
      </c>
      <c r="N463" s="6">
        <f t="shared" si="180"/>
        <v>2928.04</v>
      </c>
      <c r="O463" s="6">
        <f>Arrivals!I463</f>
        <v>1.1936053362956534</v>
      </c>
      <c r="P463" s="6">
        <f t="shared" si="181"/>
        <v>2929.2336053362956</v>
      </c>
      <c r="Q463" s="6">
        <f t="shared" si="182"/>
        <v>2290.2336053362956</v>
      </c>
      <c r="R463" s="6">
        <f t="shared" si="171"/>
        <v>2265.02</v>
      </c>
      <c r="S463" s="6">
        <f t="shared" si="172"/>
        <v>0</v>
      </c>
      <c r="T463" s="6">
        <f t="shared" si="173"/>
        <v>0</v>
      </c>
      <c r="U463" s="6">
        <f t="shared" si="183"/>
        <v>2265.02</v>
      </c>
      <c r="V463" s="6" t="str">
        <f>IF(MOD(C463-Settings!$B$32,Settings!$B$33)&lt;Settings!$B$30,"Up","Down")</f>
        <v>Down</v>
      </c>
      <c r="W463" s="6">
        <f>IF(OR(E463&gt;Settings!$B$30,Q463&gt;Settings!$B$37),0,1)</f>
        <v>0</v>
      </c>
      <c r="X463" s="6">
        <f>IF(AND(W463=1,Q463&lt;=Settings!$B$36),1,0)</f>
        <v>0</v>
      </c>
    </row>
    <row r="464" spans="1:24" x14ac:dyDescent="0.2">
      <c r="A464">
        <f>Arrivals!A464</f>
        <v>4</v>
      </c>
      <c r="B464">
        <f>Arrivals!B464</f>
        <v>99</v>
      </c>
      <c r="C464" s="6">
        <f>Arrivals!F464</f>
        <v>684</v>
      </c>
      <c r="D464" s="6">
        <f>Arrivals!K464</f>
        <v>300</v>
      </c>
      <c r="E464" s="6">
        <f>D464*8/ACE_Input!S104+ACE_Input!T104</f>
        <v>24.02</v>
      </c>
      <c r="F464" s="6">
        <f t="shared" si="164"/>
        <v>684</v>
      </c>
      <c r="G464" s="6">
        <f t="shared" si="175"/>
        <v>2928.04</v>
      </c>
      <c r="H464" s="6">
        <f t="shared" si="177"/>
        <v>2928.04</v>
      </c>
      <c r="I464" s="6">
        <f>MOD(H464-Settings!$B$32,Settings!$B$33)</f>
        <v>48.039999999999964</v>
      </c>
      <c r="J464" s="6">
        <f>IF(I464&lt;Settings!$B$30,IF(Settings!$B$30-I464&gt;=E464,H464,H464+(Settings!$B$30-I464)+Settings!$B$31),H464+(Settings!$B$33-I464))</f>
        <v>2928.04</v>
      </c>
      <c r="K464" s="6">
        <f t="shared" si="178"/>
        <v>2952.06</v>
      </c>
      <c r="L464" s="6">
        <f t="shared" si="179"/>
        <v>2952.06</v>
      </c>
      <c r="M464" s="6">
        <f t="shared" si="176"/>
        <v>2929.2336053362956</v>
      </c>
      <c r="N464" s="6">
        <f t="shared" si="180"/>
        <v>2952.06</v>
      </c>
      <c r="O464" s="6">
        <f>Arrivals!I464</f>
        <v>0.63769687181975765</v>
      </c>
      <c r="P464" s="6">
        <f t="shared" si="181"/>
        <v>2952.6976968718195</v>
      </c>
      <c r="Q464" s="6">
        <f t="shared" si="182"/>
        <v>2268.6976968718195</v>
      </c>
      <c r="R464" s="6">
        <f t="shared" si="171"/>
        <v>2244.04</v>
      </c>
      <c r="S464" s="6">
        <f t="shared" si="172"/>
        <v>0</v>
      </c>
      <c r="T464" s="6">
        <f t="shared" si="173"/>
        <v>0</v>
      </c>
      <c r="U464" s="6">
        <f t="shared" si="183"/>
        <v>2244.04</v>
      </c>
      <c r="V464" s="6" t="str">
        <f>IF(MOD(C464-Settings!$B$32,Settings!$B$33)&lt;Settings!$B$30,"Up","Down")</f>
        <v>Down</v>
      </c>
      <c r="W464" s="6">
        <f>IF(OR(E464&gt;Settings!$B$30,Q464&gt;Settings!$B$37),0,1)</f>
        <v>0</v>
      </c>
      <c r="X464" s="6">
        <f>IF(AND(W464=1,Q464&lt;=Settings!$B$36),1,0)</f>
        <v>0</v>
      </c>
    </row>
    <row r="465" spans="1:24" x14ac:dyDescent="0.2">
      <c r="A465">
        <f>Arrivals!A465</f>
        <v>4</v>
      </c>
      <c r="B465">
        <f>Arrivals!B465</f>
        <v>100</v>
      </c>
      <c r="C465" s="6">
        <f>Arrivals!F465</f>
        <v>689</v>
      </c>
      <c r="D465" s="6">
        <f>Arrivals!K465</f>
        <v>300</v>
      </c>
      <c r="E465" s="6">
        <f>D465*8/ACE_Input!S105+ACE_Input!T105</f>
        <v>24.02</v>
      </c>
      <c r="F465" s="6">
        <f t="shared" si="164"/>
        <v>689</v>
      </c>
      <c r="G465" s="6">
        <f t="shared" si="175"/>
        <v>2952.06</v>
      </c>
      <c r="H465" s="6">
        <f t="shared" si="177"/>
        <v>2952.06</v>
      </c>
      <c r="I465" s="6">
        <f>MOD(H465-Settings!$B$32,Settings!$B$33)</f>
        <v>72.059999999999945</v>
      </c>
      <c r="J465" s="6">
        <f>IF(I465&lt;Settings!$B$30,IF(Settings!$B$30-I465&gt;=E465,H465,H465+(Settings!$B$30-I465)+Settings!$B$31),H465+(Settings!$B$33-I465))</f>
        <v>2952.06</v>
      </c>
      <c r="K465" s="6">
        <f t="shared" si="178"/>
        <v>2976.08</v>
      </c>
      <c r="L465" s="6">
        <f t="shared" si="179"/>
        <v>2976.08</v>
      </c>
      <c r="M465" s="6">
        <f t="shared" si="176"/>
        <v>2952.6976968718195</v>
      </c>
      <c r="N465" s="6">
        <f t="shared" si="180"/>
        <v>2976.08</v>
      </c>
      <c r="O465" s="6">
        <f>Arrivals!I465</f>
        <v>5.8895887241130964</v>
      </c>
      <c r="P465" s="6">
        <f t="shared" si="181"/>
        <v>2981.9695887241132</v>
      </c>
      <c r="Q465" s="6">
        <f t="shared" si="182"/>
        <v>2292.9695887241132</v>
      </c>
      <c r="R465" s="6">
        <f t="shared" si="171"/>
        <v>2263.06</v>
      </c>
      <c r="S465" s="6">
        <f t="shared" si="172"/>
        <v>0</v>
      </c>
      <c r="T465" s="6">
        <f t="shared" si="173"/>
        <v>0</v>
      </c>
      <c r="U465" s="6">
        <f t="shared" si="183"/>
        <v>2263.06</v>
      </c>
      <c r="V465" s="6" t="str">
        <f>IF(MOD(C465-Settings!$B$32,Settings!$B$33)&lt;Settings!$B$30,"Up","Down")</f>
        <v>Down</v>
      </c>
      <c r="W465" s="6">
        <f>IF(OR(E465&gt;Settings!$B$30,Q465&gt;Settings!$B$37),0,1)</f>
        <v>0</v>
      </c>
      <c r="X465" s="6">
        <f>IF(AND(W465=1,Q465&lt;=Settings!$B$36),1,0)</f>
        <v>0</v>
      </c>
    </row>
    <row r="466" spans="1:24" x14ac:dyDescent="0.2">
      <c r="C466" s="6"/>
      <c r="D466" s="6"/>
      <c r="E466" s="6"/>
      <c r="F466" s="6"/>
      <c r="G466" s="6"/>
      <c r="H466" s="6"/>
      <c r="I466" s="6"/>
      <c r="J466" s="6"/>
      <c r="K466" s="6"/>
      <c r="L466" s="6"/>
      <c r="M466" s="6"/>
      <c r="N466" s="6"/>
      <c r="O466" s="6"/>
      <c r="P466" s="6"/>
      <c r="Q466" s="6"/>
      <c r="R466" s="6"/>
      <c r="S466" s="6"/>
      <c r="T466" s="6"/>
      <c r="U466" s="6"/>
      <c r="V466" s="6"/>
      <c r="W466" s="6"/>
      <c r="X466" s="6"/>
    </row>
    <row r="467" spans="1:24" x14ac:dyDescent="0.2">
      <c r="C467" s="6"/>
      <c r="D467" s="6"/>
      <c r="E467" s="6"/>
      <c r="F467" s="6"/>
      <c r="G467" s="6"/>
      <c r="H467" s="6"/>
      <c r="I467" s="6"/>
      <c r="J467" s="6"/>
      <c r="K467" s="6"/>
      <c r="L467" s="6"/>
      <c r="M467" s="6"/>
      <c r="N467" s="6"/>
      <c r="O467" s="6"/>
      <c r="P467" s="6"/>
      <c r="Q467" s="6"/>
      <c r="R467" s="6"/>
      <c r="S467" s="6"/>
      <c r="T467" s="6"/>
      <c r="U467" s="6"/>
      <c r="V467" s="6"/>
      <c r="W467" s="6"/>
      <c r="X467" s="6"/>
    </row>
    <row r="468" spans="1:24" x14ac:dyDescent="0.2">
      <c r="C468" s="6"/>
      <c r="D468" s="6"/>
      <c r="E468" s="6"/>
      <c r="F468" s="6"/>
      <c r="G468" s="6"/>
      <c r="H468" s="6"/>
      <c r="I468" s="6"/>
      <c r="J468" s="6"/>
      <c r="K468" s="6"/>
      <c r="L468" s="6"/>
      <c r="M468" s="6"/>
      <c r="N468" s="6"/>
      <c r="O468" s="6"/>
      <c r="P468" s="6"/>
      <c r="Q468" s="6"/>
      <c r="R468" s="6"/>
      <c r="S468" s="6"/>
      <c r="T468" s="6"/>
      <c r="U468" s="6"/>
      <c r="V468" s="6"/>
      <c r="W468" s="6"/>
      <c r="X468" s="6"/>
    </row>
    <row r="469" spans="1:24" x14ac:dyDescent="0.2">
      <c r="C469" s="6"/>
      <c r="D469" s="6"/>
      <c r="E469" s="6"/>
      <c r="F469" s="6"/>
      <c r="G469" s="6"/>
      <c r="H469" s="6"/>
      <c r="I469" s="6"/>
      <c r="J469" s="6"/>
      <c r="K469" s="6"/>
      <c r="L469" s="6"/>
      <c r="M469" s="6"/>
      <c r="N469" s="6"/>
      <c r="O469" s="6"/>
      <c r="P469" s="6"/>
      <c r="Q469" s="6"/>
      <c r="R469" s="6"/>
      <c r="S469" s="6"/>
      <c r="T469" s="6"/>
      <c r="U469" s="6"/>
      <c r="V469" s="6"/>
      <c r="W469" s="6"/>
      <c r="X469" s="6"/>
    </row>
    <row r="470" spans="1:24" x14ac:dyDescent="0.2">
      <c r="C470" s="6"/>
      <c r="D470" s="6"/>
      <c r="E470" s="6"/>
      <c r="F470" s="6"/>
      <c r="G470" s="6"/>
      <c r="H470" s="6"/>
      <c r="I470" s="6"/>
      <c r="J470" s="6"/>
      <c r="K470" s="6"/>
      <c r="L470" s="6"/>
      <c r="M470" s="6"/>
      <c r="N470" s="6"/>
      <c r="O470" s="6"/>
      <c r="P470" s="6"/>
      <c r="Q470" s="6"/>
      <c r="R470" s="6"/>
      <c r="S470" s="6"/>
      <c r="T470" s="6"/>
      <c r="U470" s="6"/>
      <c r="V470" s="6"/>
      <c r="W470" s="6"/>
      <c r="X470" s="6"/>
    </row>
    <row r="471" spans="1:24" x14ac:dyDescent="0.2">
      <c r="C471" s="6"/>
      <c r="D471" s="6"/>
      <c r="E471" s="6"/>
      <c r="F471" s="6"/>
      <c r="G471" s="6"/>
      <c r="H471" s="6"/>
      <c r="I471" s="6"/>
      <c r="J471" s="6"/>
      <c r="K471" s="6"/>
      <c r="L471" s="6"/>
      <c r="M471" s="6"/>
      <c r="N471" s="6"/>
      <c r="O471" s="6"/>
      <c r="P471" s="6"/>
      <c r="Q471" s="6"/>
      <c r="R471" s="6"/>
      <c r="S471" s="6"/>
      <c r="T471" s="6"/>
      <c r="U471" s="6"/>
      <c r="V471" s="6"/>
      <c r="W471" s="6"/>
      <c r="X471" s="6"/>
    </row>
    <row r="472" spans="1:24" x14ac:dyDescent="0.2">
      <c r="C472" s="6"/>
      <c r="D472" s="6"/>
      <c r="E472" s="6"/>
      <c r="F472" s="6"/>
      <c r="G472" s="6"/>
      <c r="H472" s="6"/>
      <c r="I472" s="6"/>
      <c r="J472" s="6"/>
      <c r="K472" s="6"/>
      <c r="L472" s="6"/>
      <c r="M472" s="6"/>
      <c r="N472" s="6"/>
      <c r="O472" s="6"/>
      <c r="P472" s="6"/>
      <c r="Q472" s="6"/>
      <c r="R472" s="6"/>
      <c r="S472" s="6"/>
      <c r="T472" s="6"/>
      <c r="U472" s="6"/>
      <c r="V472" s="6"/>
      <c r="W472" s="6"/>
      <c r="X472" s="6"/>
    </row>
    <row r="473" spans="1:24" x14ac:dyDescent="0.2">
      <c r="C473" s="6"/>
      <c r="D473" s="6"/>
      <c r="E473" s="6"/>
      <c r="F473" s="6"/>
      <c r="G473" s="6"/>
      <c r="H473" s="6"/>
      <c r="I473" s="6"/>
      <c r="J473" s="6"/>
      <c r="K473" s="6"/>
      <c r="L473" s="6"/>
      <c r="M473" s="6"/>
      <c r="N473" s="6"/>
      <c r="O473" s="6"/>
      <c r="P473" s="6"/>
      <c r="Q473" s="6"/>
      <c r="R473" s="6"/>
      <c r="S473" s="6"/>
      <c r="T473" s="6"/>
      <c r="U473" s="6"/>
      <c r="V473" s="6"/>
      <c r="W473" s="6"/>
      <c r="X473" s="6"/>
    </row>
    <row r="474" spans="1:24" x14ac:dyDescent="0.2">
      <c r="C474" s="6"/>
      <c r="D474" s="6"/>
      <c r="E474" s="6"/>
      <c r="F474" s="6"/>
      <c r="G474" s="6"/>
      <c r="H474" s="6"/>
      <c r="I474" s="6"/>
      <c r="J474" s="6"/>
      <c r="K474" s="6"/>
      <c r="L474" s="6"/>
      <c r="M474" s="6"/>
      <c r="N474" s="6"/>
      <c r="O474" s="6"/>
      <c r="P474" s="6"/>
      <c r="Q474" s="6"/>
      <c r="R474" s="6"/>
      <c r="S474" s="6"/>
      <c r="T474" s="6"/>
      <c r="U474" s="6"/>
      <c r="V474" s="6"/>
      <c r="W474" s="6"/>
      <c r="X474" s="6"/>
    </row>
    <row r="475" spans="1:24" x14ac:dyDescent="0.2">
      <c r="C475" s="6"/>
      <c r="D475" s="6"/>
      <c r="E475" s="6"/>
      <c r="F475" s="6"/>
      <c r="G475" s="6"/>
      <c r="H475" s="6"/>
      <c r="I475" s="6"/>
      <c r="J475" s="6"/>
      <c r="K475" s="6"/>
      <c r="L475" s="6"/>
      <c r="M475" s="6"/>
      <c r="N475" s="6"/>
      <c r="O475" s="6"/>
      <c r="P475" s="6"/>
      <c r="Q475" s="6"/>
      <c r="R475" s="6"/>
      <c r="S475" s="6"/>
      <c r="T475" s="6"/>
      <c r="U475" s="6"/>
      <c r="V475" s="6"/>
      <c r="W475" s="6"/>
      <c r="X475" s="6"/>
    </row>
    <row r="476" spans="1:24" x14ac:dyDescent="0.2">
      <c r="C476" s="6"/>
      <c r="D476" s="6"/>
      <c r="E476" s="6"/>
      <c r="F476" s="6"/>
      <c r="G476" s="6"/>
      <c r="H476" s="6"/>
      <c r="I476" s="6"/>
      <c r="J476" s="6"/>
      <c r="K476" s="6"/>
      <c r="L476" s="6"/>
      <c r="M476" s="6"/>
      <c r="N476" s="6"/>
      <c r="O476" s="6"/>
      <c r="P476" s="6"/>
      <c r="Q476" s="6"/>
      <c r="R476" s="6"/>
      <c r="S476" s="6"/>
      <c r="T476" s="6"/>
      <c r="U476" s="6"/>
      <c r="V476" s="6"/>
      <c r="W476" s="6"/>
      <c r="X476" s="6"/>
    </row>
    <row r="477" spans="1:24" x14ac:dyDescent="0.2">
      <c r="C477" s="6"/>
      <c r="D477" s="6"/>
      <c r="E477" s="6"/>
      <c r="F477" s="6"/>
      <c r="G477" s="6"/>
      <c r="H477" s="6"/>
      <c r="I477" s="6"/>
      <c r="J477" s="6"/>
      <c r="K477" s="6"/>
      <c r="L477" s="6"/>
      <c r="M477" s="6"/>
      <c r="N477" s="6"/>
      <c r="O477" s="6"/>
      <c r="P477" s="6"/>
      <c r="Q477" s="6"/>
      <c r="R477" s="6"/>
      <c r="S477" s="6"/>
      <c r="T477" s="6"/>
      <c r="U477" s="6"/>
      <c r="V477" s="6"/>
      <c r="W477" s="6"/>
      <c r="X477" s="6"/>
    </row>
    <row r="478" spans="1:24" x14ac:dyDescent="0.2">
      <c r="C478" s="6"/>
      <c r="D478" s="6"/>
      <c r="E478" s="6"/>
      <c r="F478" s="6"/>
      <c r="G478" s="6"/>
      <c r="H478" s="6"/>
      <c r="I478" s="6"/>
      <c r="J478" s="6"/>
      <c r="K478" s="6"/>
      <c r="L478" s="6"/>
      <c r="M478" s="6"/>
      <c r="N478" s="6"/>
      <c r="O478" s="6"/>
      <c r="P478" s="6"/>
      <c r="Q478" s="6"/>
      <c r="R478" s="6"/>
      <c r="S478" s="6"/>
      <c r="T478" s="6"/>
      <c r="U478" s="6"/>
      <c r="V478" s="6"/>
      <c r="W478" s="6"/>
      <c r="X478" s="6"/>
    </row>
    <row r="479" spans="1:24" x14ac:dyDescent="0.2">
      <c r="C479" s="6"/>
      <c r="D479" s="6"/>
      <c r="E479" s="6"/>
      <c r="F479" s="6"/>
      <c r="G479" s="6"/>
      <c r="H479" s="6"/>
      <c r="I479" s="6"/>
      <c r="J479" s="6"/>
      <c r="K479" s="6"/>
      <c r="L479" s="6"/>
      <c r="M479" s="6"/>
      <c r="N479" s="6"/>
      <c r="O479" s="6"/>
      <c r="P479" s="6"/>
      <c r="Q479" s="6"/>
      <c r="R479" s="6"/>
      <c r="S479" s="6"/>
      <c r="T479" s="6"/>
      <c r="U479" s="6"/>
      <c r="V479" s="6"/>
      <c r="W479" s="6"/>
      <c r="X479" s="6"/>
    </row>
    <row r="480" spans="1:24" x14ac:dyDescent="0.2">
      <c r="C480" s="6"/>
      <c r="D480" s="6"/>
      <c r="E480" s="6"/>
      <c r="F480" s="6"/>
      <c r="G480" s="6"/>
      <c r="H480" s="6"/>
      <c r="I480" s="6"/>
      <c r="J480" s="6"/>
      <c r="K480" s="6"/>
      <c r="L480" s="6"/>
      <c r="M480" s="6"/>
      <c r="N480" s="6"/>
      <c r="O480" s="6"/>
      <c r="P480" s="6"/>
      <c r="Q480" s="6"/>
      <c r="R480" s="6"/>
      <c r="S480" s="6"/>
      <c r="T480" s="6"/>
      <c r="U480" s="6"/>
      <c r="V480" s="6"/>
      <c r="W480" s="6"/>
      <c r="X480" s="6"/>
    </row>
    <row r="481" spans="1:24" x14ac:dyDescent="0.2">
      <c r="C481" s="6"/>
      <c r="D481" s="6"/>
      <c r="E481" s="6"/>
      <c r="F481" s="6"/>
      <c r="G481" s="6"/>
      <c r="H481" s="6"/>
      <c r="I481" s="6"/>
      <c r="J481" s="6"/>
      <c r="K481" s="6"/>
      <c r="L481" s="6"/>
      <c r="M481" s="6"/>
      <c r="N481" s="6"/>
      <c r="O481" s="6"/>
      <c r="P481" s="6"/>
      <c r="Q481" s="6"/>
      <c r="R481" s="6"/>
      <c r="S481" s="6"/>
      <c r="T481" s="6"/>
      <c r="U481" s="6"/>
      <c r="V481" s="6"/>
      <c r="W481" s="6"/>
      <c r="X481" s="6"/>
    </row>
    <row r="482" spans="1:24" x14ac:dyDescent="0.2">
      <c r="C482" s="6"/>
      <c r="D482" s="6"/>
      <c r="E482" s="6"/>
      <c r="F482" s="6"/>
      <c r="G482" s="6"/>
      <c r="H482" s="6"/>
      <c r="I482" s="6"/>
      <c r="J482" s="6"/>
      <c r="K482" s="6"/>
      <c r="L482" s="6"/>
      <c r="M482" s="6"/>
      <c r="N482" s="6"/>
      <c r="O482" s="6"/>
      <c r="P482" s="6"/>
      <c r="Q482" s="6"/>
      <c r="R482" s="6"/>
      <c r="S482" s="6"/>
      <c r="T482" s="6"/>
      <c r="U482" s="6"/>
      <c r="V482" s="6"/>
      <c r="W482" s="6"/>
      <c r="X482" s="6"/>
    </row>
    <row r="483" spans="1:24" x14ac:dyDescent="0.2">
      <c r="C483" s="6"/>
      <c r="D483" s="6"/>
      <c r="E483" s="6"/>
      <c r="F483" s="6"/>
      <c r="G483" s="6"/>
      <c r="H483" s="6"/>
      <c r="I483" s="6"/>
      <c r="J483" s="6"/>
      <c r="K483" s="6"/>
      <c r="L483" s="6"/>
      <c r="M483" s="6"/>
      <c r="N483" s="6"/>
      <c r="O483" s="6"/>
      <c r="P483" s="6"/>
      <c r="Q483" s="6"/>
      <c r="R483" s="6"/>
      <c r="S483" s="6"/>
      <c r="T483" s="6"/>
      <c r="U483" s="6"/>
      <c r="V483" s="6"/>
      <c r="W483" s="6"/>
      <c r="X483" s="6"/>
    </row>
    <row r="484" spans="1:24" x14ac:dyDescent="0.2">
      <c r="C484" s="6"/>
      <c r="D484" s="6"/>
      <c r="E484" s="6"/>
      <c r="F484" s="6"/>
      <c r="G484" s="6"/>
      <c r="H484" s="6"/>
      <c r="I484" s="6"/>
      <c r="J484" s="6"/>
      <c r="K484" s="6"/>
      <c r="L484" s="6"/>
      <c r="M484" s="6"/>
      <c r="N484" s="6"/>
      <c r="O484" s="6"/>
      <c r="P484" s="6"/>
      <c r="Q484" s="6"/>
      <c r="R484" s="6"/>
      <c r="S484" s="6"/>
      <c r="T484" s="6"/>
      <c r="U484" s="6"/>
      <c r="V484" s="6"/>
      <c r="W484" s="6"/>
      <c r="X484" s="6"/>
    </row>
    <row r="485" spans="1:24" x14ac:dyDescent="0.2">
      <c r="C485" s="6"/>
      <c r="D485" s="6"/>
      <c r="E485" s="6"/>
      <c r="F485" s="6"/>
      <c r="G485" s="6"/>
      <c r="H485" s="6"/>
      <c r="I485" s="6"/>
      <c r="J485" s="6"/>
      <c r="K485" s="6"/>
      <c r="L485" s="6"/>
      <c r="M485" s="6"/>
      <c r="N485" s="6"/>
      <c r="O485" s="6"/>
      <c r="P485" s="6"/>
      <c r="Q485" s="6"/>
      <c r="R485" s="6"/>
      <c r="S485" s="6"/>
      <c r="T485" s="6"/>
      <c r="U485" s="6"/>
      <c r="V485" s="6"/>
      <c r="W485" s="6"/>
      <c r="X485" s="6"/>
    </row>
    <row r="486" spans="1:24" x14ac:dyDescent="0.2">
      <c r="A486">
        <f>Arrivals!A486</f>
        <v>5</v>
      </c>
      <c r="B486">
        <f>Arrivals!B486</f>
        <v>1</v>
      </c>
      <c r="C486" s="6">
        <f>Arrivals!F486</f>
        <v>2</v>
      </c>
      <c r="D486" s="6">
        <f>Arrivals!K486</f>
        <v>300</v>
      </c>
      <c r="E486" s="6">
        <f>D486*8/ACE_Input!S6+ACE_Input!T6</f>
        <v>24.02</v>
      </c>
      <c r="F486" s="6">
        <f t="shared" ref="F486:F517" si="184">C486</f>
        <v>2</v>
      </c>
      <c r="G486" s="6">
        <f>0</f>
        <v>0</v>
      </c>
      <c r="H486" s="6">
        <f t="shared" ref="H486:H517" si="185">MAX(F486,G486)</f>
        <v>2</v>
      </c>
      <c r="I486" s="6">
        <f>MOD(H486-Settings!$B$32,Settings!$B$33)</f>
        <v>2</v>
      </c>
      <c r="J486" s="6">
        <f>IF(I486&lt;Settings!$B$30,IF(Settings!$B$30-I486&gt;=E486,H486,H486+(Settings!$B$30-I486)+Settings!$B$31),H486+(Settings!$B$33-I486))</f>
        <v>2</v>
      </c>
      <c r="K486" s="6">
        <f t="shared" ref="K486:K517" si="186">J486+E486</f>
        <v>26.02</v>
      </c>
      <c r="L486" s="6">
        <f t="shared" ref="L486:L517" si="187">K486</f>
        <v>26.02</v>
      </c>
      <c r="M486" s="6">
        <f>0</f>
        <v>0</v>
      </c>
      <c r="N486" s="6">
        <f t="shared" ref="N486:N517" si="188">MAX(L486,M486)</f>
        <v>26.02</v>
      </c>
      <c r="O486" s="6">
        <f>Arrivals!I486</f>
        <v>3.069172791141848</v>
      </c>
      <c r="P486" s="6">
        <f t="shared" ref="P486:P517" si="189">N486+O486</f>
        <v>29.089172791141849</v>
      </c>
      <c r="Q486" s="6">
        <f t="shared" ref="Q486:Q517" si="190">P486-C486</f>
        <v>27.089172791141849</v>
      </c>
      <c r="R486" s="6">
        <f t="shared" ref="R486:R517" si="191">H486-F486</f>
        <v>0</v>
      </c>
      <c r="S486" s="6">
        <f t="shared" ref="S486:S517" si="192">J486-H486</f>
        <v>0</v>
      </c>
      <c r="T486" s="6">
        <f t="shared" ref="T486:T517" si="193">N486-L486</f>
        <v>0</v>
      </c>
      <c r="U486" s="6">
        <f t="shared" ref="U486:U517" si="194">R486+S486+T486</f>
        <v>0</v>
      </c>
      <c r="V486" s="6" t="str">
        <f>IF(MOD(C486-Settings!$B$32,Settings!$B$33)&lt;Settings!$B$30,"Up","Down")</f>
        <v>Up</v>
      </c>
      <c r="W486" s="6">
        <f>IF(OR(E486&gt;Settings!$B$30,Q486&gt;Settings!$B$37),0,1)</f>
        <v>1</v>
      </c>
      <c r="X486" s="6">
        <f>IF(AND(W486=1,Q486&lt;=Settings!$B$36),1,0)</f>
        <v>1</v>
      </c>
    </row>
    <row r="487" spans="1:24" x14ac:dyDescent="0.2">
      <c r="A487">
        <f>Arrivals!A487</f>
        <v>5</v>
      </c>
      <c r="B487">
        <f>Arrivals!B487</f>
        <v>2</v>
      </c>
      <c r="C487" s="6">
        <f>Arrivals!F487</f>
        <v>7</v>
      </c>
      <c r="D487" s="6">
        <f>Arrivals!K487</f>
        <v>300</v>
      </c>
      <c r="E487" s="6">
        <f>D487*8/ACE_Input!S7+ACE_Input!T7</f>
        <v>24.02</v>
      </c>
      <c r="F487" s="6">
        <f t="shared" si="184"/>
        <v>7</v>
      </c>
      <c r="G487" s="6">
        <f t="shared" ref="G487:G518" si="195">K486</f>
        <v>26.02</v>
      </c>
      <c r="H487" s="6">
        <f t="shared" si="185"/>
        <v>26.02</v>
      </c>
      <c r="I487" s="6">
        <f>MOD(H487-Settings!$B$32,Settings!$B$33)</f>
        <v>26.02</v>
      </c>
      <c r="J487" s="6">
        <f>IF(I487&lt;Settings!$B$30,IF(Settings!$B$30-I487&gt;=E487,H487,H487+(Settings!$B$30-I487)+Settings!$B$31),H487+(Settings!$B$33-I487))</f>
        <v>26.02</v>
      </c>
      <c r="K487" s="6">
        <f t="shared" si="186"/>
        <v>50.04</v>
      </c>
      <c r="L487" s="6">
        <f t="shared" si="187"/>
        <v>50.04</v>
      </c>
      <c r="M487" s="6">
        <f t="shared" ref="M487:M518" si="196">P486</f>
        <v>29.089172791141849</v>
      </c>
      <c r="N487" s="6">
        <f t="shared" si="188"/>
        <v>50.04</v>
      </c>
      <c r="O487" s="6">
        <f>Arrivals!I487</f>
        <v>0.19201404343763173</v>
      </c>
      <c r="P487" s="6">
        <f t="shared" si="189"/>
        <v>50.23201404343763</v>
      </c>
      <c r="Q487" s="6">
        <f t="shared" si="190"/>
        <v>43.23201404343763</v>
      </c>
      <c r="R487" s="6">
        <f t="shared" si="191"/>
        <v>19.02</v>
      </c>
      <c r="S487" s="6">
        <f t="shared" si="192"/>
        <v>0</v>
      </c>
      <c r="T487" s="6">
        <f t="shared" si="193"/>
        <v>0</v>
      </c>
      <c r="U487" s="6">
        <f t="shared" si="194"/>
        <v>19.02</v>
      </c>
      <c r="V487" s="6" t="str">
        <f>IF(MOD(C487-Settings!$B$32,Settings!$B$33)&lt;Settings!$B$30,"Up","Down")</f>
        <v>Up</v>
      </c>
      <c r="W487" s="6">
        <f>IF(OR(E487&gt;Settings!$B$30,Q487&gt;Settings!$B$37),0,1)</f>
        <v>1</v>
      </c>
      <c r="X487" s="6">
        <f>IF(AND(W487=1,Q487&lt;=Settings!$B$36),1,0)</f>
        <v>1</v>
      </c>
    </row>
    <row r="488" spans="1:24" x14ac:dyDescent="0.2">
      <c r="A488">
        <f>Arrivals!A488</f>
        <v>5</v>
      </c>
      <c r="B488">
        <f>Arrivals!B488</f>
        <v>3</v>
      </c>
      <c r="C488" s="6">
        <f>Arrivals!F488</f>
        <v>32</v>
      </c>
      <c r="D488" s="6">
        <f>Arrivals!K488</f>
        <v>300</v>
      </c>
      <c r="E488" s="6">
        <f>D488*8/ACE_Input!S8+ACE_Input!T8</f>
        <v>24.02</v>
      </c>
      <c r="F488" s="6">
        <f t="shared" si="184"/>
        <v>32</v>
      </c>
      <c r="G488" s="6">
        <f t="shared" si="195"/>
        <v>50.04</v>
      </c>
      <c r="H488" s="6">
        <f t="shared" si="185"/>
        <v>50.04</v>
      </c>
      <c r="I488" s="6">
        <f>MOD(H488-Settings!$B$32,Settings!$B$33)</f>
        <v>50.04</v>
      </c>
      <c r="J488" s="6">
        <f>IF(I488&lt;Settings!$B$30,IF(Settings!$B$30-I488&gt;=E488,H488,H488+(Settings!$B$30-I488)+Settings!$B$31),H488+(Settings!$B$33-I488))</f>
        <v>50.04</v>
      </c>
      <c r="K488" s="6">
        <f t="shared" si="186"/>
        <v>74.06</v>
      </c>
      <c r="L488" s="6">
        <f t="shared" si="187"/>
        <v>74.06</v>
      </c>
      <c r="M488" s="6">
        <f t="shared" si="196"/>
        <v>50.23201404343763</v>
      </c>
      <c r="N488" s="6">
        <f t="shared" si="188"/>
        <v>74.06</v>
      </c>
      <c r="O488" s="6">
        <f>Arrivals!I488</f>
        <v>5.3375724464937546</v>
      </c>
      <c r="P488" s="6">
        <f t="shared" si="189"/>
        <v>79.397572446493754</v>
      </c>
      <c r="Q488" s="6">
        <f t="shared" si="190"/>
        <v>47.397572446493754</v>
      </c>
      <c r="R488" s="6">
        <f t="shared" si="191"/>
        <v>18.04</v>
      </c>
      <c r="S488" s="6">
        <f t="shared" si="192"/>
        <v>0</v>
      </c>
      <c r="T488" s="6">
        <f t="shared" si="193"/>
        <v>0</v>
      </c>
      <c r="U488" s="6">
        <f t="shared" si="194"/>
        <v>18.04</v>
      </c>
      <c r="V488" s="6" t="str">
        <f>IF(MOD(C488-Settings!$B$32,Settings!$B$33)&lt;Settings!$B$30,"Up","Down")</f>
        <v>Up</v>
      </c>
      <c r="W488" s="6">
        <f>IF(OR(E488&gt;Settings!$B$30,Q488&gt;Settings!$B$37),0,1)</f>
        <v>1</v>
      </c>
      <c r="X488" s="6">
        <f>IF(AND(W488=1,Q488&lt;=Settings!$B$36),1,0)</f>
        <v>1</v>
      </c>
    </row>
    <row r="489" spans="1:24" x14ac:dyDescent="0.2">
      <c r="A489">
        <f>Arrivals!A489</f>
        <v>5</v>
      </c>
      <c r="B489">
        <f>Arrivals!B489</f>
        <v>4</v>
      </c>
      <c r="C489" s="6">
        <f>Arrivals!F489</f>
        <v>37</v>
      </c>
      <c r="D489" s="6">
        <f>Arrivals!K489</f>
        <v>300</v>
      </c>
      <c r="E489" s="6">
        <f>D489*8/ACE_Input!S9+ACE_Input!T9</f>
        <v>24.02</v>
      </c>
      <c r="F489" s="6">
        <f t="shared" si="184"/>
        <v>37</v>
      </c>
      <c r="G489" s="6">
        <f t="shared" si="195"/>
        <v>74.06</v>
      </c>
      <c r="H489" s="6">
        <f t="shared" si="185"/>
        <v>74.06</v>
      </c>
      <c r="I489" s="6">
        <f>MOD(H489-Settings!$B$32,Settings!$B$33)</f>
        <v>74.06</v>
      </c>
      <c r="J489" s="6">
        <f>IF(I489&lt;Settings!$B$30,IF(Settings!$B$30-I489&gt;=E489,H489,H489+(Settings!$B$30-I489)+Settings!$B$31),H489+(Settings!$B$33-I489))</f>
        <v>74.06</v>
      </c>
      <c r="K489" s="6">
        <f t="shared" si="186"/>
        <v>98.08</v>
      </c>
      <c r="L489" s="6">
        <f t="shared" si="187"/>
        <v>98.08</v>
      </c>
      <c r="M489" s="6">
        <f t="shared" si="196"/>
        <v>79.397572446493754</v>
      </c>
      <c r="N489" s="6">
        <f t="shared" si="188"/>
        <v>98.08</v>
      </c>
      <c r="O489" s="6">
        <f>Arrivals!I489</f>
        <v>2.1481593956302398</v>
      </c>
      <c r="P489" s="6">
        <f t="shared" si="189"/>
        <v>100.22815939563024</v>
      </c>
      <c r="Q489" s="6">
        <f t="shared" si="190"/>
        <v>63.228159395630243</v>
      </c>
      <c r="R489" s="6">
        <f t="shared" si="191"/>
        <v>37.06</v>
      </c>
      <c r="S489" s="6">
        <f t="shared" si="192"/>
        <v>0</v>
      </c>
      <c r="T489" s="6">
        <f t="shared" si="193"/>
        <v>0</v>
      </c>
      <c r="U489" s="6">
        <f t="shared" si="194"/>
        <v>37.06</v>
      </c>
      <c r="V489" s="6" t="str">
        <f>IF(MOD(C489-Settings!$B$32,Settings!$B$33)&lt;Settings!$B$30,"Up","Down")</f>
        <v>Up</v>
      </c>
      <c r="W489" s="6">
        <f>IF(OR(E489&gt;Settings!$B$30,Q489&gt;Settings!$B$37),0,1)</f>
        <v>1</v>
      </c>
      <c r="X489" s="6">
        <f>IF(AND(W489=1,Q489&lt;=Settings!$B$36),1,0)</f>
        <v>1</v>
      </c>
    </row>
    <row r="490" spans="1:24" x14ac:dyDescent="0.2">
      <c r="A490">
        <f>Arrivals!A490</f>
        <v>5</v>
      </c>
      <c r="B490">
        <f>Arrivals!B490</f>
        <v>5</v>
      </c>
      <c r="C490" s="6">
        <f>Arrivals!F490</f>
        <v>42</v>
      </c>
      <c r="D490" s="6">
        <f>Arrivals!K490</f>
        <v>300</v>
      </c>
      <c r="E490" s="6">
        <f>D490*8/ACE_Input!S10+ACE_Input!T10</f>
        <v>24.02</v>
      </c>
      <c r="F490" s="6">
        <f t="shared" si="184"/>
        <v>42</v>
      </c>
      <c r="G490" s="6">
        <f t="shared" si="195"/>
        <v>98.08</v>
      </c>
      <c r="H490" s="6">
        <f t="shared" si="185"/>
        <v>98.08</v>
      </c>
      <c r="I490" s="6">
        <f>MOD(H490-Settings!$B$32,Settings!$B$33)</f>
        <v>98.08</v>
      </c>
      <c r="J490" s="6">
        <f>IF(I490&lt;Settings!$B$30,IF(Settings!$B$30-I490&gt;=E490,H490,H490+(Settings!$B$30-I490)+Settings!$B$31),H490+(Settings!$B$33-I490))</f>
        <v>98.08</v>
      </c>
      <c r="K490" s="6">
        <f t="shared" si="186"/>
        <v>122.1</v>
      </c>
      <c r="L490" s="6">
        <f t="shared" si="187"/>
        <v>122.1</v>
      </c>
      <c r="M490" s="6">
        <f t="shared" si="196"/>
        <v>100.22815939563024</v>
      </c>
      <c r="N490" s="6">
        <f t="shared" si="188"/>
        <v>122.1</v>
      </c>
      <c r="O490" s="6">
        <f>Arrivals!I490</f>
        <v>5.0169888957661701</v>
      </c>
      <c r="P490" s="6">
        <f t="shared" si="189"/>
        <v>127.11698889576617</v>
      </c>
      <c r="Q490" s="6">
        <f t="shared" si="190"/>
        <v>85.11698889576617</v>
      </c>
      <c r="R490" s="6">
        <f t="shared" si="191"/>
        <v>56.08</v>
      </c>
      <c r="S490" s="6">
        <f t="shared" si="192"/>
        <v>0</v>
      </c>
      <c r="T490" s="6">
        <f t="shared" si="193"/>
        <v>0</v>
      </c>
      <c r="U490" s="6">
        <f t="shared" si="194"/>
        <v>56.08</v>
      </c>
      <c r="V490" s="6" t="str">
        <f>IF(MOD(C490-Settings!$B$32,Settings!$B$33)&lt;Settings!$B$30,"Up","Down")</f>
        <v>Up</v>
      </c>
      <c r="W490" s="6">
        <f>IF(OR(E490&gt;Settings!$B$30,Q490&gt;Settings!$B$37),0,1)</f>
        <v>1</v>
      </c>
      <c r="X490" s="6">
        <f>IF(AND(W490=1,Q490&lt;=Settings!$B$36),1,0)</f>
        <v>1</v>
      </c>
    </row>
    <row r="491" spans="1:24" x14ac:dyDescent="0.2">
      <c r="A491">
        <f>Arrivals!A491</f>
        <v>5</v>
      </c>
      <c r="B491">
        <f>Arrivals!B491</f>
        <v>6</v>
      </c>
      <c r="C491" s="6">
        <f>Arrivals!F491</f>
        <v>47</v>
      </c>
      <c r="D491" s="6">
        <f>Arrivals!K491</f>
        <v>300</v>
      </c>
      <c r="E491" s="6">
        <f>D491*8/ACE_Input!S11+ACE_Input!T11</f>
        <v>24.02</v>
      </c>
      <c r="F491" s="6">
        <f t="shared" si="184"/>
        <v>47</v>
      </c>
      <c r="G491" s="6">
        <f t="shared" si="195"/>
        <v>122.1</v>
      </c>
      <c r="H491" s="6">
        <f t="shared" si="185"/>
        <v>122.1</v>
      </c>
      <c r="I491" s="6">
        <f>MOD(H491-Settings!$B$32,Settings!$B$33)</f>
        <v>122.1</v>
      </c>
      <c r="J491" s="6">
        <f>IF(I491&lt;Settings!$B$30,IF(Settings!$B$30-I491&gt;=E491,H491,H491+(Settings!$B$30-I491)+Settings!$B$31),H491+(Settings!$B$33-I491))</f>
        <v>122.1</v>
      </c>
      <c r="K491" s="6">
        <f t="shared" si="186"/>
        <v>146.12</v>
      </c>
      <c r="L491" s="6">
        <f t="shared" si="187"/>
        <v>146.12</v>
      </c>
      <c r="M491" s="6">
        <f t="shared" si="196"/>
        <v>127.11698889576617</v>
      </c>
      <c r="N491" s="6">
        <f t="shared" si="188"/>
        <v>146.12</v>
      </c>
      <c r="O491" s="6">
        <f>Arrivals!I491</f>
        <v>0.52092603056631914</v>
      </c>
      <c r="P491" s="6">
        <f t="shared" si="189"/>
        <v>146.64092603056633</v>
      </c>
      <c r="Q491" s="6">
        <f t="shared" si="190"/>
        <v>99.640926030566334</v>
      </c>
      <c r="R491" s="6">
        <f t="shared" si="191"/>
        <v>75.099999999999994</v>
      </c>
      <c r="S491" s="6">
        <f t="shared" si="192"/>
        <v>0</v>
      </c>
      <c r="T491" s="6">
        <f t="shared" si="193"/>
        <v>0</v>
      </c>
      <c r="U491" s="6">
        <f t="shared" si="194"/>
        <v>75.099999999999994</v>
      </c>
      <c r="V491" s="6" t="str">
        <f>IF(MOD(C491-Settings!$B$32,Settings!$B$33)&lt;Settings!$B$30,"Up","Down")</f>
        <v>Up</v>
      </c>
      <c r="W491" s="6">
        <f>IF(OR(E491&gt;Settings!$B$30,Q491&gt;Settings!$B$37),0,1)</f>
        <v>1</v>
      </c>
      <c r="X491" s="6">
        <f>IF(AND(W491=1,Q491&lt;=Settings!$B$36),1,0)</f>
        <v>1</v>
      </c>
    </row>
    <row r="492" spans="1:24" x14ac:dyDescent="0.2">
      <c r="A492">
        <f>Arrivals!A492</f>
        <v>5</v>
      </c>
      <c r="B492">
        <f>Arrivals!B492</f>
        <v>7</v>
      </c>
      <c r="C492" s="6">
        <f>Arrivals!F492</f>
        <v>52</v>
      </c>
      <c r="D492" s="6">
        <f>Arrivals!K492</f>
        <v>300</v>
      </c>
      <c r="E492" s="6">
        <f>D492*8/ACE_Input!S12+ACE_Input!T12</f>
        <v>24.02</v>
      </c>
      <c r="F492" s="6">
        <f t="shared" si="184"/>
        <v>52</v>
      </c>
      <c r="G492" s="6">
        <f t="shared" si="195"/>
        <v>146.12</v>
      </c>
      <c r="H492" s="6">
        <f t="shared" si="185"/>
        <v>146.12</v>
      </c>
      <c r="I492" s="6">
        <f>MOD(H492-Settings!$B$32,Settings!$B$33)</f>
        <v>146.12</v>
      </c>
      <c r="J492" s="6">
        <f>IF(I492&lt;Settings!$B$30,IF(Settings!$B$30-I492&gt;=E492,H492,H492+(Settings!$B$30-I492)+Settings!$B$31),H492+(Settings!$B$33-I492))</f>
        <v>146.12</v>
      </c>
      <c r="K492" s="6">
        <f t="shared" si="186"/>
        <v>170.14000000000001</v>
      </c>
      <c r="L492" s="6">
        <f t="shared" si="187"/>
        <v>170.14000000000001</v>
      </c>
      <c r="M492" s="6">
        <f t="shared" si="196"/>
        <v>146.64092603056633</v>
      </c>
      <c r="N492" s="6">
        <f t="shared" si="188"/>
        <v>170.14000000000001</v>
      </c>
      <c r="O492" s="6">
        <f>Arrivals!I492</f>
        <v>1.2387376495199454</v>
      </c>
      <c r="P492" s="6">
        <f t="shared" si="189"/>
        <v>171.37873764951996</v>
      </c>
      <c r="Q492" s="6">
        <f t="shared" si="190"/>
        <v>119.37873764951996</v>
      </c>
      <c r="R492" s="6">
        <f t="shared" si="191"/>
        <v>94.12</v>
      </c>
      <c r="S492" s="6">
        <f t="shared" si="192"/>
        <v>0</v>
      </c>
      <c r="T492" s="6">
        <f t="shared" si="193"/>
        <v>0</v>
      </c>
      <c r="U492" s="6">
        <f t="shared" si="194"/>
        <v>94.12</v>
      </c>
      <c r="V492" s="6" t="str">
        <f>IF(MOD(C492-Settings!$B$32,Settings!$B$33)&lt;Settings!$B$30,"Up","Down")</f>
        <v>Up</v>
      </c>
      <c r="W492" s="6">
        <f>IF(OR(E492&gt;Settings!$B$30,Q492&gt;Settings!$B$37),0,1)</f>
        <v>1</v>
      </c>
      <c r="X492" s="6">
        <f>IF(AND(W492=1,Q492&lt;=Settings!$B$36),1,0)</f>
        <v>1</v>
      </c>
    </row>
    <row r="493" spans="1:24" x14ac:dyDescent="0.2">
      <c r="A493">
        <f>Arrivals!A493</f>
        <v>5</v>
      </c>
      <c r="B493">
        <f>Arrivals!B493</f>
        <v>8</v>
      </c>
      <c r="C493" s="6">
        <f>Arrivals!F493</f>
        <v>57</v>
      </c>
      <c r="D493" s="6">
        <f>Arrivals!K493</f>
        <v>300</v>
      </c>
      <c r="E493" s="6">
        <f>D493*8/ACE_Input!S13+ACE_Input!T13</f>
        <v>24.02</v>
      </c>
      <c r="F493" s="6">
        <f t="shared" si="184"/>
        <v>57</v>
      </c>
      <c r="G493" s="6">
        <f t="shared" si="195"/>
        <v>170.14000000000001</v>
      </c>
      <c r="H493" s="6">
        <f t="shared" si="185"/>
        <v>170.14000000000001</v>
      </c>
      <c r="I493" s="6">
        <f>MOD(H493-Settings!$B$32,Settings!$B$33)</f>
        <v>170.14000000000001</v>
      </c>
      <c r="J493" s="6">
        <f>IF(I493&lt;Settings!$B$30,IF(Settings!$B$30-I493&gt;=E493,H493,H493+(Settings!$B$30-I493)+Settings!$B$31),H493+(Settings!$B$33-I493))</f>
        <v>170.14000000000001</v>
      </c>
      <c r="K493" s="6">
        <f t="shared" si="186"/>
        <v>194.16000000000003</v>
      </c>
      <c r="L493" s="6">
        <f t="shared" si="187"/>
        <v>194.16000000000003</v>
      </c>
      <c r="M493" s="6">
        <f t="shared" si="196"/>
        <v>171.37873764951996</v>
      </c>
      <c r="N493" s="6">
        <f t="shared" si="188"/>
        <v>194.16000000000003</v>
      </c>
      <c r="O493" s="6">
        <f>Arrivals!I493</f>
        <v>0.27367495012572429</v>
      </c>
      <c r="P493" s="6">
        <f t="shared" si="189"/>
        <v>194.43367495012575</v>
      </c>
      <c r="Q493" s="6">
        <f t="shared" si="190"/>
        <v>137.43367495012575</v>
      </c>
      <c r="R493" s="6">
        <f t="shared" si="191"/>
        <v>113.14000000000001</v>
      </c>
      <c r="S493" s="6">
        <f t="shared" si="192"/>
        <v>0</v>
      </c>
      <c r="T493" s="6">
        <f t="shared" si="193"/>
        <v>0</v>
      </c>
      <c r="U493" s="6">
        <f t="shared" si="194"/>
        <v>113.14000000000001</v>
      </c>
      <c r="V493" s="6" t="str">
        <f>IF(MOD(C493-Settings!$B$32,Settings!$B$33)&lt;Settings!$B$30,"Up","Down")</f>
        <v>Up</v>
      </c>
      <c r="W493" s="6">
        <f>IF(OR(E493&gt;Settings!$B$30,Q493&gt;Settings!$B$37),0,1)</f>
        <v>1</v>
      </c>
      <c r="X493" s="6">
        <f>IF(AND(W493=1,Q493&lt;=Settings!$B$36),1,0)</f>
        <v>0</v>
      </c>
    </row>
    <row r="494" spans="1:24" x14ac:dyDescent="0.2">
      <c r="A494">
        <f>Arrivals!A494</f>
        <v>5</v>
      </c>
      <c r="B494">
        <f>Arrivals!B494</f>
        <v>9</v>
      </c>
      <c r="C494" s="6">
        <f>Arrivals!F494</f>
        <v>172</v>
      </c>
      <c r="D494" s="6">
        <f>Arrivals!K494</f>
        <v>300</v>
      </c>
      <c r="E494" s="6">
        <f>D494*8/ACE_Input!S14+ACE_Input!T14</f>
        <v>24.02</v>
      </c>
      <c r="F494" s="6">
        <f t="shared" si="184"/>
        <v>172</v>
      </c>
      <c r="G494" s="6">
        <f t="shared" si="195"/>
        <v>194.16000000000003</v>
      </c>
      <c r="H494" s="6">
        <f t="shared" si="185"/>
        <v>194.16000000000003</v>
      </c>
      <c r="I494" s="6">
        <f>MOD(H494-Settings!$B$32,Settings!$B$33)</f>
        <v>194.16000000000003</v>
      </c>
      <c r="J494" s="6">
        <f>IF(I494&lt;Settings!$B$30,IF(Settings!$B$30-I494&gt;=E494,H494,H494+(Settings!$B$30-I494)+Settings!$B$31),H494+(Settings!$B$33-I494))</f>
        <v>194.16000000000003</v>
      </c>
      <c r="K494" s="6">
        <f t="shared" si="186"/>
        <v>218.18000000000004</v>
      </c>
      <c r="L494" s="6">
        <f t="shared" si="187"/>
        <v>218.18000000000004</v>
      </c>
      <c r="M494" s="6">
        <f t="shared" si="196"/>
        <v>194.43367495012575</v>
      </c>
      <c r="N494" s="6">
        <f t="shared" si="188"/>
        <v>218.18000000000004</v>
      </c>
      <c r="O494" s="6">
        <f>Arrivals!I494</f>
        <v>2.4492882829096749</v>
      </c>
      <c r="P494" s="6">
        <f t="shared" si="189"/>
        <v>220.6292882829097</v>
      </c>
      <c r="Q494" s="6">
        <f t="shared" si="190"/>
        <v>48.629288282909698</v>
      </c>
      <c r="R494" s="6">
        <f t="shared" si="191"/>
        <v>22.160000000000025</v>
      </c>
      <c r="S494" s="6">
        <f t="shared" si="192"/>
        <v>0</v>
      </c>
      <c r="T494" s="6">
        <f t="shared" si="193"/>
        <v>0</v>
      </c>
      <c r="U494" s="6">
        <f t="shared" si="194"/>
        <v>22.160000000000025</v>
      </c>
      <c r="V494" s="6" t="str">
        <f>IF(MOD(C494-Settings!$B$32,Settings!$B$33)&lt;Settings!$B$30,"Up","Down")</f>
        <v>Up</v>
      </c>
      <c r="W494" s="6">
        <f>IF(OR(E494&gt;Settings!$B$30,Q494&gt;Settings!$B$37),0,1)</f>
        <v>1</v>
      </c>
      <c r="X494" s="6">
        <f>IF(AND(W494=1,Q494&lt;=Settings!$B$36),1,0)</f>
        <v>1</v>
      </c>
    </row>
    <row r="495" spans="1:24" x14ac:dyDescent="0.2">
      <c r="A495">
        <f>Arrivals!A495</f>
        <v>5</v>
      </c>
      <c r="B495">
        <f>Arrivals!B495</f>
        <v>10</v>
      </c>
      <c r="C495" s="6">
        <f>Arrivals!F495</f>
        <v>177</v>
      </c>
      <c r="D495" s="6">
        <f>Arrivals!K495</f>
        <v>300</v>
      </c>
      <c r="E495" s="6">
        <f>D495*8/ACE_Input!S15+ACE_Input!T15</f>
        <v>24.02</v>
      </c>
      <c r="F495" s="6">
        <f t="shared" si="184"/>
        <v>177</v>
      </c>
      <c r="G495" s="6">
        <f t="shared" si="195"/>
        <v>218.18000000000004</v>
      </c>
      <c r="H495" s="6">
        <f t="shared" si="185"/>
        <v>218.18000000000004</v>
      </c>
      <c r="I495" s="6">
        <f>MOD(H495-Settings!$B$32,Settings!$B$33)</f>
        <v>218.18000000000004</v>
      </c>
      <c r="J495" s="6">
        <f>IF(I495&lt;Settings!$B$30,IF(Settings!$B$30-I495&gt;=E495,H495,H495+(Settings!$B$30-I495)+Settings!$B$31),H495+(Settings!$B$33-I495))</f>
        <v>218.18000000000004</v>
      </c>
      <c r="K495" s="6">
        <f t="shared" si="186"/>
        <v>242.20000000000005</v>
      </c>
      <c r="L495" s="6">
        <f t="shared" si="187"/>
        <v>242.20000000000005</v>
      </c>
      <c r="M495" s="6">
        <f t="shared" si="196"/>
        <v>220.6292882829097</v>
      </c>
      <c r="N495" s="6">
        <f t="shared" si="188"/>
        <v>242.20000000000005</v>
      </c>
      <c r="O495" s="6">
        <f>Arrivals!I495</f>
        <v>0.34536957776978205</v>
      </c>
      <c r="P495" s="6">
        <f t="shared" si="189"/>
        <v>242.54536957776983</v>
      </c>
      <c r="Q495" s="6">
        <f t="shared" si="190"/>
        <v>65.545369577769833</v>
      </c>
      <c r="R495" s="6">
        <f t="shared" si="191"/>
        <v>41.180000000000035</v>
      </c>
      <c r="S495" s="6">
        <f t="shared" si="192"/>
        <v>0</v>
      </c>
      <c r="T495" s="6">
        <f t="shared" si="193"/>
        <v>0</v>
      </c>
      <c r="U495" s="6">
        <f t="shared" si="194"/>
        <v>41.180000000000035</v>
      </c>
      <c r="V495" s="6" t="str">
        <f>IF(MOD(C495-Settings!$B$32,Settings!$B$33)&lt;Settings!$B$30,"Up","Down")</f>
        <v>Up</v>
      </c>
      <c r="W495" s="6">
        <f>IF(OR(E495&gt;Settings!$B$30,Q495&gt;Settings!$B$37),0,1)</f>
        <v>1</v>
      </c>
      <c r="X495" s="6">
        <f>IF(AND(W495=1,Q495&lt;=Settings!$B$36),1,0)</f>
        <v>1</v>
      </c>
    </row>
    <row r="496" spans="1:24" x14ac:dyDescent="0.2">
      <c r="A496">
        <f>Arrivals!A496</f>
        <v>5</v>
      </c>
      <c r="B496">
        <f>Arrivals!B496</f>
        <v>11</v>
      </c>
      <c r="C496" s="6">
        <f>Arrivals!F496</f>
        <v>182</v>
      </c>
      <c r="D496" s="6">
        <f>Arrivals!K496</f>
        <v>300</v>
      </c>
      <c r="E496" s="6">
        <f>D496*8/ACE_Input!S16+ACE_Input!T16</f>
        <v>24.02</v>
      </c>
      <c r="F496" s="6">
        <f t="shared" si="184"/>
        <v>182</v>
      </c>
      <c r="G496" s="6">
        <f t="shared" si="195"/>
        <v>242.20000000000005</v>
      </c>
      <c r="H496" s="6">
        <f t="shared" si="185"/>
        <v>242.20000000000005</v>
      </c>
      <c r="I496" s="6">
        <f>MOD(H496-Settings!$B$32,Settings!$B$33)</f>
        <v>242.20000000000005</v>
      </c>
      <c r="J496" s="6">
        <f>IF(I496&lt;Settings!$B$30,IF(Settings!$B$30-I496&gt;=E496,H496,H496+(Settings!$B$30-I496)+Settings!$B$31),H496+(Settings!$B$33-I496))</f>
        <v>242.20000000000005</v>
      </c>
      <c r="K496" s="6">
        <f t="shared" si="186"/>
        <v>266.22000000000003</v>
      </c>
      <c r="L496" s="6">
        <f t="shared" si="187"/>
        <v>266.22000000000003</v>
      </c>
      <c r="M496" s="6">
        <f t="shared" si="196"/>
        <v>242.54536957776983</v>
      </c>
      <c r="N496" s="6">
        <f t="shared" si="188"/>
        <v>266.22000000000003</v>
      </c>
      <c r="O496" s="6">
        <f>Arrivals!I496</f>
        <v>1.2767527353097836</v>
      </c>
      <c r="P496" s="6">
        <f t="shared" si="189"/>
        <v>267.49675273530983</v>
      </c>
      <c r="Q496" s="6">
        <f t="shared" si="190"/>
        <v>85.496752735309826</v>
      </c>
      <c r="R496" s="6">
        <f t="shared" si="191"/>
        <v>60.200000000000045</v>
      </c>
      <c r="S496" s="6">
        <f t="shared" si="192"/>
        <v>0</v>
      </c>
      <c r="T496" s="6">
        <f t="shared" si="193"/>
        <v>0</v>
      </c>
      <c r="U496" s="6">
        <f t="shared" si="194"/>
        <v>60.200000000000045</v>
      </c>
      <c r="V496" s="6" t="str">
        <f>IF(MOD(C496-Settings!$B$32,Settings!$B$33)&lt;Settings!$B$30,"Up","Down")</f>
        <v>Up</v>
      </c>
      <c r="W496" s="6">
        <f>IF(OR(E496&gt;Settings!$B$30,Q496&gt;Settings!$B$37),0,1)</f>
        <v>1</v>
      </c>
      <c r="X496" s="6">
        <f>IF(AND(W496=1,Q496&lt;=Settings!$B$36),1,0)</f>
        <v>1</v>
      </c>
    </row>
    <row r="497" spans="1:24" x14ac:dyDescent="0.2">
      <c r="A497">
        <f>Arrivals!A497</f>
        <v>5</v>
      </c>
      <c r="B497">
        <f>Arrivals!B497</f>
        <v>12</v>
      </c>
      <c r="C497" s="6">
        <f>Arrivals!F497</f>
        <v>187</v>
      </c>
      <c r="D497" s="6">
        <f>Arrivals!K497</f>
        <v>300</v>
      </c>
      <c r="E497" s="6">
        <f>D497*8/ACE_Input!S17+ACE_Input!T17</f>
        <v>24.02</v>
      </c>
      <c r="F497" s="6">
        <f t="shared" si="184"/>
        <v>187</v>
      </c>
      <c r="G497" s="6">
        <f t="shared" si="195"/>
        <v>266.22000000000003</v>
      </c>
      <c r="H497" s="6">
        <f t="shared" si="185"/>
        <v>266.22000000000003</v>
      </c>
      <c r="I497" s="6">
        <f>MOD(H497-Settings!$B$32,Settings!$B$33)</f>
        <v>266.22000000000003</v>
      </c>
      <c r="J497" s="6">
        <f>IF(I497&lt;Settings!$B$30,IF(Settings!$B$30-I497&gt;=E497,H497,H497+(Settings!$B$30-I497)+Settings!$B$31),H497+(Settings!$B$33-I497))</f>
        <v>266.22000000000003</v>
      </c>
      <c r="K497" s="6">
        <f t="shared" si="186"/>
        <v>290.24</v>
      </c>
      <c r="L497" s="6">
        <f t="shared" si="187"/>
        <v>290.24</v>
      </c>
      <c r="M497" s="6">
        <f t="shared" si="196"/>
        <v>267.49675273530983</v>
      </c>
      <c r="N497" s="6">
        <f t="shared" si="188"/>
        <v>290.24</v>
      </c>
      <c r="O497" s="6">
        <f>Arrivals!I497</f>
        <v>4.8345018696815902</v>
      </c>
      <c r="P497" s="6">
        <f t="shared" si="189"/>
        <v>295.07450186968163</v>
      </c>
      <c r="Q497" s="6">
        <f t="shared" si="190"/>
        <v>108.07450186968163</v>
      </c>
      <c r="R497" s="6">
        <f t="shared" si="191"/>
        <v>79.220000000000027</v>
      </c>
      <c r="S497" s="6">
        <f t="shared" si="192"/>
        <v>0</v>
      </c>
      <c r="T497" s="6">
        <f t="shared" si="193"/>
        <v>0</v>
      </c>
      <c r="U497" s="6">
        <f t="shared" si="194"/>
        <v>79.220000000000027</v>
      </c>
      <c r="V497" s="6" t="str">
        <f>IF(MOD(C497-Settings!$B$32,Settings!$B$33)&lt;Settings!$B$30,"Up","Down")</f>
        <v>Up</v>
      </c>
      <c r="W497" s="6">
        <f>IF(OR(E497&gt;Settings!$B$30,Q497&gt;Settings!$B$37),0,1)</f>
        <v>1</v>
      </c>
      <c r="X497" s="6">
        <f>IF(AND(W497=1,Q497&lt;=Settings!$B$36),1,0)</f>
        <v>1</v>
      </c>
    </row>
    <row r="498" spans="1:24" x14ac:dyDescent="0.2">
      <c r="A498">
        <f>Arrivals!A498</f>
        <v>5</v>
      </c>
      <c r="B498">
        <f>Arrivals!B498</f>
        <v>13</v>
      </c>
      <c r="C498" s="6">
        <f>Arrivals!F498</f>
        <v>192</v>
      </c>
      <c r="D498" s="6">
        <f>Arrivals!K498</f>
        <v>300</v>
      </c>
      <c r="E498" s="6">
        <f>D498*8/ACE_Input!S18+ACE_Input!T18</f>
        <v>24.02</v>
      </c>
      <c r="F498" s="6">
        <f t="shared" si="184"/>
        <v>192</v>
      </c>
      <c r="G498" s="6">
        <f t="shared" si="195"/>
        <v>290.24</v>
      </c>
      <c r="H498" s="6">
        <f t="shared" si="185"/>
        <v>290.24</v>
      </c>
      <c r="I498" s="6">
        <f>MOD(H498-Settings!$B$32,Settings!$B$33)</f>
        <v>290.24</v>
      </c>
      <c r="J498" s="6">
        <f>IF(I498&lt;Settings!$B$30,IF(Settings!$B$30-I498&gt;=E498,H498,H498+(Settings!$B$30-I498)+Settings!$B$31),H498+(Settings!$B$33-I498))</f>
        <v>290.24</v>
      </c>
      <c r="K498" s="6">
        <f t="shared" si="186"/>
        <v>314.26</v>
      </c>
      <c r="L498" s="6">
        <f t="shared" si="187"/>
        <v>314.26</v>
      </c>
      <c r="M498" s="6">
        <f t="shared" si="196"/>
        <v>295.07450186968163</v>
      </c>
      <c r="N498" s="6">
        <f t="shared" si="188"/>
        <v>314.26</v>
      </c>
      <c r="O498" s="6">
        <f>Arrivals!I498</f>
        <v>1.4536662901669715</v>
      </c>
      <c r="P498" s="6">
        <f t="shared" si="189"/>
        <v>315.71366629016694</v>
      </c>
      <c r="Q498" s="6">
        <f t="shared" si="190"/>
        <v>123.71366629016694</v>
      </c>
      <c r="R498" s="6">
        <f t="shared" si="191"/>
        <v>98.240000000000009</v>
      </c>
      <c r="S498" s="6">
        <f t="shared" si="192"/>
        <v>0</v>
      </c>
      <c r="T498" s="6">
        <f t="shared" si="193"/>
        <v>0</v>
      </c>
      <c r="U498" s="6">
        <f t="shared" si="194"/>
        <v>98.240000000000009</v>
      </c>
      <c r="V498" s="6" t="str">
        <f>IF(MOD(C498-Settings!$B$32,Settings!$B$33)&lt;Settings!$B$30,"Up","Down")</f>
        <v>Up</v>
      </c>
      <c r="W498" s="6">
        <f>IF(OR(E498&gt;Settings!$B$30,Q498&gt;Settings!$B$37),0,1)</f>
        <v>1</v>
      </c>
      <c r="X498" s="6">
        <f>IF(AND(W498=1,Q498&lt;=Settings!$B$36),1,0)</f>
        <v>0</v>
      </c>
    </row>
    <row r="499" spans="1:24" x14ac:dyDescent="0.2">
      <c r="A499">
        <f>Arrivals!A499</f>
        <v>5</v>
      </c>
      <c r="B499">
        <f>Arrivals!B499</f>
        <v>14</v>
      </c>
      <c r="C499" s="6">
        <f>Arrivals!F499</f>
        <v>197</v>
      </c>
      <c r="D499" s="6">
        <f>Arrivals!K499</f>
        <v>300</v>
      </c>
      <c r="E499" s="6">
        <f>D499*8/ACE_Input!S19+ACE_Input!T19</f>
        <v>24.02</v>
      </c>
      <c r="F499" s="6">
        <f t="shared" si="184"/>
        <v>197</v>
      </c>
      <c r="G499" s="6">
        <f t="shared" si="195"/>
        <v>314.26</v>
      </c>
      <c r="H499" s="6">
        <f t="shared" si="185"/>
        <v>314.26</v>
      </c>
      <c r="I499" s="6">
        <f>MOD(H499-Settings!$B$32,Settings!$B$33)</f>
        <v>314.26</v>
      </c>
      <c r="J499" s="6">
        <f>IF(I499&lt;Settings!$B$30,IF(Settings!$B$30-I499&gt;=E499,H499,H499+(Settings!$B$30-I499)+Settings!$B$31),H499+(Settings!$B$33-I499))</f>
        <v>314.26</v>
      </c>
      <c r="K499" s="6">
        <f t="shared" si="186"/>
        <v>338.28</v>
      </c>
      <c r="L499" s="6">
        <f t="shared" si="187"/>
        <v>338.28</v>
      </c>
      <c r="M499" s="6">
        <f t="shared" si="196"/>
        <v>315.71366629016694</v>
      </c>
      <c r="N499" s="6">
        <f t="shared" si="188"/>
        <v>338.28</v>
      </c>
      <c r="O499" s="6">
        <f>Arrivals!I499</f>
        <v>0.6398835397810686</v>
      </c>
      <c r="P499" s="6">
        <f t="shared" si="189"/>
        <v>338.91988353978104</v>
      </c>
      <c r="Q499" s="6">
        <f t="shared" si="190"/>
        <v>141.91988353978104</v>
      </c>
      <c r="R499" s="6">
        <f t="shared" si="191"/>
        <v>117.25999999999999</v>
      </c>
      <c r="S499" s="6">
        <f t="shared" si="192"/>
        <v>0</v>
      </c>
      <c r="T499" s="6">
        <f t="shared" si="193"/>
        <v>0</v>
      </c>
      <c r="U499" s="6">
        <f t="shared" si="194"/>
        <v>117.25999999999999</v>
      </c>
      <c r="V499" s="6" t="str">
        <f>IF(MOD(C499-Settings!$B$32,Settings!$B$33)&lt;Settings!$B$30,"Up","Down")</f>
        <v>Up</v>
      </c>
      <c r="W499" s="6">
        <f>IF(OR(E499&gt;Settings!$B$30,Q499&gt;Settings!$B$37),0,1)</f>
        <v>1</v>
      </c>
      <c r="X499" s="6">
        <f>IF(AND(W499=1,Q499&lt;=Settings!$B$36),1,0)</f>
        <v>0</v>
      </c>
    </row>
    <row r="500" spans="1:24" x14ac:dyDescent="0.2">
      <c r="A500">
        <f>Arrivals!A500</f>
        <v>5</v>
      </c>
      <c r="B500">
        <f>Arrivals!B500</f>
        <v>15</v>
      </c>
      <c r="C500" s="6">
        <f>Arrivals!F500</f>
        <v>202</v>
      </c>
      <c r="D500" s="6">
        <f>Arrivals!K500</f>
        <v>300</v>
      </c>
      <c r="E500" s="6">
        <f>D500*8/ACE_Input!S20+ACE_Input!T20</f>
        <v>24.02</v>
      </c>
      <c r="F500" s="6">
        <f t="shared" si="184"/>
        <v>202</v>
      </c>
      <c r="G500" s="6">
        <f t="shared" si="195"/>
        <v>338.28</v>
      </c>
      <c r="H500" s="6">
        <f t="shared" si="185"/>
        <v>338.28</v>
      </c>
      <c r="I500" s="6">
        <f>MOD(H500-Settings!$B$32,Settings!$B$33)</f>
        <v>338.28</v>
      </c>
      <c r="J500" s="6">
        <f>IF(I500&lt;Settings!$B$30,IF(Settings!$B$30-I500&gt;=E500,H500,H500+(Settings!$B$30-I500)+Settings!$B$31),H500+(Settings!$B$33-I500))</f>
        <v>338.28</v>
      </c>
      <c r="K500" s="6">
        <f t="shared" si="186"/>
        <v>362.29999999999995</v>
      </c>
      <c r="L500" s="6">
        <f t="shared" si="187"/>
        <v>362.29999999999995</v>
      </c>
      <c r="M500" s="6">
        <f t="shared" si="196"/>
        <v>338.91988353978104</v>
      </c>
      <c r="N500" s="6">
        <f t="shared" si="188"/>
        <v>362.29999999999995</v>
      </c>
      <c r="O500" s="6">
        <f>Arrivals!I500</f>
        <v>3.6887073212539891</v>
      </c>
      <c r="P500" s="6">
        <f t="shared" si="189"/>
        <v>365.98870732125397</v>
      </c>
      <c r="Q500" s="6">
        <f t="shared" si="190"/>
        <v>163.98870732125397</v>
      </c>
      <c r="R500" s="6">
        <f t="shared" si="191"/>
        <v>136.27999999999997</v>
      </c>
      <c r="S500" s="6">
        <f t="shared" si="192"/>
        <v>0</v>
      </c>
      <c r="T500" s="6">
        <f t="shared" si="193"/>
        <v>0</v>
      </c>
      <c r="U500" s="6">
        <f t="shared" si="194"/>
        <v>136.27999999999997</v>
      </c>
      <c r="V500" s="6" t="str">
        <f>IF(MOD(C500-Settings!$B$32,Settings!$B$33)&lt;Settings!$B$30,"Up","Down")</f>
        <v>Up</v>
      </c>
      <c r="W500" s="6">
        <f>IF(OR(E500&gt;Settings!$B$30,Q500&gt;Settings!$B$37),0,1)</f>
        <v>1</v>
      </c>
      <c r="X500" s="6">
        <f>IF(AND(W500=1,Q500&lt;=Settings!$B$36),1,0)</f>
        <v>0</v>
      </c>
    </row>
    <row r="501" spans="1:24" x14ac:dyDescent="0.2">
      <c r="A501">
        <f>Arrivals!A501</f>
        <v>5</v>
      </c>
      <c r="B501">
        <f>Arrivals!B501</f>
        <v>16</v>
      </c>
      <c r="C501" s="6">
        <f>Arrivals!F501</f>
        <v>207</v>
      </c>
      <c r="D501" s="6">
        <f>Arrivals!K501</f>
        <v>300</v>
      </c>
      <c r="E501" s="6">
        <f>D501*8/ACE_Input!S21+ACE_Input!T21</f>
        <v>24.02</v>
      </c>
      <c r="F501" s="6">
        <f t="shared" si="184"/>
        <v>207</v>
      </c>
      <c r="G501" s="6">
        <f t="shared" si="195"/>
        <v>362.29999999999995</v>
      </c>
      <c r="H501" s="6">
        <f t="shared" si="185"/>
        <v>362.29999999999995</v>
      </c>
      <c r="I501" s="6">
        <f>MOD(H501-Settings!$B$32,Settings!$B$33)</f>
        <v>362.29999999999995</v>
      </c>
      <c r="J501" s="6">
        <f>IF(I501&lt;Settings!$B$30,IF(Settings!$B$30-I501&gt;=E501,H501,H501+(Settings!$B$30-I501)+Settings!$B$31),H501+(Settings!$B$33-I501))</f>
        <v>362.29999999999995</v>
      </c>
      <c r="K501" s="6">
        <f t="shared" si="186"/>
        <v>386.31999999999994</v>
      </c>
      <c r="L501" s="6">
        <f t="shared" si="187"/>
        <v>386.31999999999994</v>
      </c>
      <c r="M501" s="6">
        <f t="shared" si="196"/>
        <v>365.98870732125397</v>
      </c>
      <c r="N501" s="6">
        <f t="shared" si="188"/>
        <v>386.31999999999994</v>
      </c>
      <c r="O501" s="6">
        <f>Arrivals!I501</f>
        <v>4.2548864173105798</v>
      </c>
      <c r="P501" s="6">
        <f t="shared" si="189"/>
        <v>390.57488641731049</v>
      </c>
      <c r="Q501" s="6">
        <f t="shared" si="190"/>
        <v>183.57488641731049</v>
      </c>
      <c r="R501" s="6">
        <f t="shared" si="191"/>
        <v>155.29999999999995</v>
      </c>
      <c r="S501" s="6">
        <f t="shared" si="192"/>
        <v>0</v>
      </c>
      <c r="T501" s="6">
        <f t="shared" si="193"/>
        <v>0</v>
      </c>
      <c r="U501" s="6">
        <f t="shared" si="194"/>
        <v>155.29999999999995</v>
      </c>
      <c r="V501" s="6" t="str">
        <f>IF(MOD(C501-Settings!$B$32,Settings!$B$33)&lt;Settings!$B$30,"Up","Down")</f>
        <v>Up</v>
      </c>
      <c r="W501" s="6">
        <f>IF(OR(E501&gt;Settings!$B$30,Q501&gt;Settings!$B$37),0,1)</f>
        <v>1</v>
      </c>
      <c r="X501" s="6">
        <f>IF(AND(W501=1,Q501&lt;=Settings!$B$36),1,0)</f>
        <v>0</v>
      </c>
    </row>
    <row r="502" spans="1:24" x14ac:dyDescent="0.2">
      <c r="A502">
        <f>Arrivals!A502</f>
        <v>5</v>
      </c>
      <c r="B502">
        <f>Arrivals!B502</f>
        <v>17</v>
      </c>
      <c r="C502" s="6">
        <f>Arrivals!F502</f>
        <v>212</v>
      </c>
      <c r="D502" s="6">
        <f>Arrivals!K502</f>
        <v>300</v>
      </c>
      <c r="E502" s="6">
        <f>D502*8/ACE_Input!S22+ACE_Input!T22</f>
        <v>24.02</v>
      </c>
      <c r="F502" s="6">
        <f t="shared" si="184"/>
        <v>212</v>
      </c>
      <c r="G502" s="6">
        <f t="shared" si="195"/>
        <v>386.31999999999994</v>
      </c>
      <c r="H502" s="6">
        <f t="shared" si="185"/>
        <v>386.31999999999994</v>
      </c>
      <c r="I502" s="6">
        <f>MOD(H502-Settings!$B$32,Settings!$B$33)</f>
        <v>386.31999999999994</v>
      </c>
      <c r="J502" s="6">
        <f>IF(I502&lt;Settings!$B$30,IF(Settings!$B$30-I502&gt;=E502,H502,H502+(Settings!$B$30-I502)+Settings!$B$31),H502+(Settings!$B$33-I502))</f>
        <v>386.31999999999994</v>
      </c>
      <c r="K502" s="6">
        <f t="shared" si="186"/>
        <v>410.33999999999992</v>
      </c>
      <c r="L502" s="6">
        <f t="shared" si="187"/>
        <v>410.33999999999992</v>
      </c>
      <c r="M502" s="6">
        <f t="shared" si="196"/>
        <v>390.57488641731049</v>
      </c>
      <c r="N502" s="6">
        <f t="shared" si="188"/>
        <v>410.33999999999992</v>
      </c>
      <c r="O502" s="6">
        <f>Arrivals!I502</f>
        <v>5.5035888595856051</v>
      </c>
      <c r="P502" s="6">
        <f t="shared" si="189"/>
        <v>415.84358885958551</v>
      </c>
      <c r="Q502" s="6">
        <f t="shared" si="190"/>
        <v>203.84358885958551</v>
      </c>
      <c r="R502" s="6">
        <f t="shared" si="191"/>
        <v>174.31999999999994</v>
      </c>
      <c r="S502" s="6">
        <f t="shared" si="192"/>
        <v>0</v>
      </c>
      <c r="T502" s="6">
        <f t="shared" si="193"/>
        <v>0</v>
      </c>
      <c r="U502" s="6">
        <f t="shared" si="194"/>
        <v>174.31999999999994</v>
      </c>
      <c r="V502" s="6" t="str">
        <f>IF(MOD(C502-Settings!$B$32,Settings!$B$33)&lt;Settings!$B$30,"Up","Down")</f>
        <v>Up</v>
      </c>
      <c r="W502" s="6">
        <f>IF(OR(E502&gt;Settings!$B$30,Q502&gt;Settings!$B$37),0,1)</f>
        <v>1</v>
      </c>
      <c r="X502" s="6">
        <f>IF(AND(W502=1,Q502&lt;=Settings!$B$36),1,0)</f>
        <v>0</v>
      </c>
    </row>
    <row r="503" spans="1:24" x14ac:dyDescent="0.2">
      <c r="A503">
        <f>Arrivals!A503</f>
        <v>5</v>
      </c>
      <c r="B503">
        <f>Arrivals!B503</f>
        <v>18</v>
      </c>
      <c r="C503" s="6">
        <f>Arrivals!F503</f>
        <v>217</v>
      </c>
      <c r="D503" s="6">
        <f>Arrivals!K503</f>
        <v>300</v>
      </c>
      <c r="E503" s="6">
        <f>D503*8/ACE_Input!S23+ACE_Input!T23</f>
        <v>24.02</v>
      </c>
      <c r="F503" s="6">
        <f t="shared" si="184"/>
        <v>217</v>
      </c>
      <c r="G503" s="6">
        <f t="shared" si="195"/>
        <v>410.33999999999992</v>
      </c>
      <c r="H503" s="6">
        <f t="shared" si="185"/>
        <v>410.33999999999992</v>
      </c>
      <c r="I503" s="6">
        <f>MOD(H503-Settings!$B$32,Settings!$B$33)</f>
        <v>410.33999999999992</v>
      </c>
      <c r="J503" s="6">
        <f>IF(I503&lt;Settings!$B$30,IF(Settings!$B$30-I503&gt;=E503,H503,H503+(Settings!$B$30-I503)+Settings!$B$31),H503+(Settings!$B$33-I503))</f>
        <v>410.33999999999992</v>
      </c>
      <c r="K503" s="6">
        <f t="shared" si="186"/>
        <v>434.3599999999999</v>
      </c>
      <c r="L503" s="6">
        <f t="shared" si="187"/>
        <v>434.3599999999999</v>
      </c>
      <c r="M503" s="6">
        <f t="shared" si="196"/>
        <v>415.84358885958551</v>
      </c>
      <c r="N503" s="6">
        <f t="shared" si="188"/>
        <v>434.3599999999999</v>
      </c>
      <c r="O503" s="6">
        <f>Arrivals!I503</f>
        <v>1.6372646668371849</v>
      </c>
      <c r="P503" s="6">
        <f t="shared" si="189"/>
        <v>435.99726466683711</v>
      </c>
      <c r="Q503" s="6">
        <f t="shared" si="190"/>
        <v>218.99726466683711</v>
      </c>
      <c r="R503" s="6">
        <f t="shared" si="191"/>
        <v>193.33999999999992</v>
      </c>
      <c r="S503" s="6">
        <f t="shared" si="192"/>
        <v>0</v>
      </c>
      <c r="T503" s="6">
        <f t="shared" si="193"/>
        <v>0</v>
      </c>
      <c r="U503" s="6">
        <f t="shared" si="194"/>
        <v>193.33999999999992</v>
      </c>
      <c r="V503" s="6" t="str">
        <f>IF(MOD(C503-Settings!$B$32,Settings!$B$33)&lt;Settings!$B$30,"Up","Down")</f>
        <v>Up</v>
      </c>
      <c r="W503" s="6">
        <f>IF(OR(E503&gt;Settings!$B$30,Q503&gt;Settings!$B$37),0,1)</f>
        <v>1</v>
      </c>
      <c r="X503" s="6">
        <f>IF(AND(W503=1,Q503&lt;=Settings!$B$36),1,0)</f>
        <v>0</v>
      </c>
    </row>
    <row r="504" spans="1:24" x14ac:dyDescent="0.2">
      <c r="A504">
        <f>Arrivals!A504</f>
        <v>5</v>
      </c>
      <c r="B504">
        <f>Arrivals!B504</f>
        <v>19</v>
      </c>
      <c r="C504" s="6">
        <f>Arrivals!F504</f>
        <v>222</v>
      </c>
      <c r="D504" s="6">
        <f>Arrivals!K504</f>
        <v>300</v>
      </c>
      <c r="E504" s="6">
        <f>D504*8/ACE_Input!S24+ACE_Input!T24</f>
        <v>24.02</v>
      </c>
      <c r="F504" s="6">
        <f t="shared" si="184"/>
        <v>222</v>
      </c>
      <c r="G504" s="6">
        <f t="shared" si="195"/>
        <v>434.3599999999999</v>
      </c>
      <c r="H504" s="6">
        <f t="shared" si="185"/>
        <v>434.3599999999999</v>
      </c>
      <c r="I504" s="6">
        <f>MOD(H504-Settings!$B$32,Settings!$B$33)</f>
        <v>434.3599999999999</v>
      </c>
      <c r="J504" s="6">
        <f>IF(I504&lt;Settings!$B$30,IF(Settings!$B$30-I504&gt;=E504,H504,H504+(Settings!$B$30-I504)+Settings!$B$31),H504+(Settings!$B$33-I504))</f>
        <v>434.3599999999999</v>
      </c>
      <c r="K504" s="6">
        <f t="shared" si="186"/>
        <v>458.37999999999988</v>
      </c>
      <c r="L504" s="6">
        <f t="shared" si="187"/>
        <v>458.37999999999988</v>
      </c>
      <c r="M504" s="6">
        <f t="shared" si="196"/>
        <v>435.99726466683711</v>
      </c>
      <c r="N504" s="6">
        <f t="shared" si="188"/>
        <v>458.37999999999988</v>
      </c>
      <c r="O504" s="6">
        <f>Arrivals!I504</f>
        <v>2.0445131374504788</v>
      </c>
      <c r="P504" s="6">
        <f t="shared" si="189"/>
        <v>460.42451313745033</v>
      </c>
      <c r="Q504" s="6">
        <f t="shared" si="190"/>
        <v>238.42451313745033</v>
      </c>
      <c r="R504" s="6">
        <f t="shared" si="191"/>
        <v>212.3599999999999</v>
      </c>
      <c r="S504" s="6">
        <f t="shared" si="192"/>
        <v>0</v>
      </c>
      <c r="T504" s="6">
        <f t="shared" si="193"/>
        <v>0</v>
      </c>
      <c r="U504" s="6">
        <f t="shared" si="194"/>
        <v>212.3599999999999</v>
      </c>
      <c r="V504" s="6" t="str">
        <f>IF(MOD(C504-Settings!$B$32,Settings!$B$33)&lt;Settings!$B$30,"Up","Down")</f>
        <v>Up</v>
      </c>
      <c r="W504" s="6">
        <f>IF(OR(E504&gt;Settings!$B$30,Q504&gt;Settings!$B$37),0,1)</f>
        <v>1</v>
      </c>
      <c r="X504" s="6">
        <f>IF(AND(W504=1,Q504&lt;=Settings!$B$36),1,0)</f>
        <v>0</v>
      </c>
    </row>
    <row r="505" spans="1:24" x14ac:dyDescent="0.2">
      <c r="A505">
        <f>Arrivals!A505</f>
        <v>5</v>
      </c>
      <c r="B505">
        <f>Arrivals!B505</f>
        <v>20</v>
      </c>
      <c r="C505" s="6">
        <f>Arrivals!F505</f>
        <v>227</v>
      </c>
      <c r="D505" s="6">
        <f>Arrivals!K505</f>
        <v>300</v>
      </c>
      <c r="E505" s="6">
        <f>D505*8/ACE_Input!S25+ACE_Input!T25</f>
        <v>24.02</v>
      </c>
      <c r="F505" s="6">
        <f t="shared" si="184"/>
        <v>227</v>
      </c>
      <c r="G505" s="6">
        <f t="shared" si="195"/>
        <v>458.37999999999988</v>
      </c>
      <c r="H505" s="6">
        <f t="shared" si="185"/>
        <v>458.37999999999988</v>
      </c>
      <c r="I505" s="6">
        <f>MOD(H505-Settings!$B$32,Settings!$B$33)</f>
        <v>458.37999999999988</v>
      </c>
      <c r="J505" s="6">
        <f>IF(I505&lt;Settings!$B$30,IF(Settings!$B$30-I505&gt;=E505,H505,H505+(Settings!$B$30-I505)+Settings!$B$31),H505+(Settings!$B$33-I505))</f>
        <v>458.37999999999988</v>
      </c>
      <c r="K505" s="6">
        <f t="shared" si="186"/>
        <v>482.39999999999986</v>
      </c>
      <c r="L505" s="6">
        <f t="shared" si="187"/>
        <v>482.39999999999986</v>
      </c>
      <c r="M505" s="6">
        <f t="shared" si="196"/>
        <v>460.42451313745033</v>
      </c>
      <c r="N505" s="6">
        <f t="shared" si="188"/>
        <v>482.39999999999986</v>
      </c>
      <c r="O505" s="6">
        <f>Arrivals!I505</f>
        <v>7.6321349332769</v>
      </c>
      <c r="P505" s="6">
        <f t="shared" si="189"/>
        <v>490.03213493327678</v>
      </c>
      <c r="Q505" s="6">
        <f t="shared" si="190"/>
        <v>263.03213493327678</v>
      </c>
      <c r="R505" s="6">
        <f t="shared" si="191"/>
        <v>231.37999999999988</v>
      </c>
      <c r="S505" s="6">
        <f t="shared" si="192"/>
        <v>0</v>
      </c>
      <c r="T505" s="6">
        <f t="shared" si="193"/>
        <v>0</v>
      </c>
      <c r="U505" s="6">
        <f t="shared" si="194"/>
        <v>231.37999999999988</v>
      </c>
      <c r="V505" s="6" t="str">
        <f>IF(MOD(C505-Settings!$B$32,Settings!$B$33)&lt;Settings!$B$30,"Up","Down")</f>
        <v>Up</v>
      </c>
      <c r="W505" s="6">
        <f>IF(OR(E505&gt;Settings!$B$30,Q505&gt;Settings!$B$37),0,1)</f>
        <v>1</v>
      </c>
      <c r="X505" s="6">
        <f>IF(AND(W505=1,Q505&lt;=Settings!$B$36),1,0)</f>
        <v>0</v>
      </c>
    </row>
    <row r="506" spans="1:24" x14ac:dyDescent="0.2">
      <c r="A506">
        <f>Arrivals!A506</f>
        <v>5</v>
      </c>
      <c r="B506">
        <f>Arrivals!B506</f>
        <v>21</v>
      </c>
      <c r="C506" s="6">
        <f>Arrivals!F506</f>
        <v>232</v>
      </c>
      <c r="D506" s="6">
        <f>Arrivals!K506</f>
        <v>300</v>
      </c>
      <c r="E506" s="6">
        <f>D506*8/ACE_Input!S26+ACE_Input!T26</f>
        <v>24.02</v>
      </c>
      <c r="F506" s="6">
        <f t="shared" si="184"/>
        <v>232</v>
      </c>
      <c r="G506" s="6">
        <f t="shared" si="195"/>
        <v>482.39999999999986</v>
      </c>
      <c r="H506" s="6">
        <f t="shared" si="185"/>
        <v>482.39999999999986</v>
      </c>
      <c r="I506" s="6">
        <f>MOD(H506-Settings!$B$32,Settings!$B$33)</f>
        <v>482.39999999999986</v>
      </c>
      <c r="J506" s="6">
        <f>IF(I506&lt;Settings!$B$30,IF(Settings!$B$30-I506&gt;=E506,H506,H506+(Settings!$B$30-I506)+Settings!$B$31),H506+(Settings!$B$33-I506))</f>
        <v>482.39999999999986</v>
      </c>
      <c r="K506" s="6">
        <f t="shared" si="186"/>
        <v>506.41999999999985</v>
      </c>
      <c r="L506" s="6">
        <f t="shared" si="187"/>
        <v>506.41999999999985</v>
      </c>
      <c r="M506" s="6">
        <f t="shared" si="196"/>
        <v>490.03213493327678</v>
      </c>
      <c r="N506" s="6">
        <f t="shared" si="188"/>
        <v>506.41999999999985</v>
      </c>
      <c r="O506" s="6">
        <f>Arrivals!I506</f>
        <v>1.5104807362500512</v>
      </c>
      <c r="P506" s="6">
        <f t="shared" si="189"/>
        <v>507.93048073624988</v>
      </c>
      <c r="Q506" s="6">
        <f t="shared" si="190"/>
        <v>275.93048073624988</v>
      </c>
      <c r="R506" s="6">
        <f t="shared" si="191"/>
        <v>250.39999999999986</v>
      </c>
      <c r="S506" s="6">
        <f t="shared" si="192"/>
        <v>0</v>
      </c>
      <c r="T506" s="6">
        <f t="shared" si="193"/>
        <v>0</v>
      </c>
      <c r="U506" s="6">
        <f t="shared" si="194"/>
        <v>250.39999999999986</v>
      </c>
      <c r="V506" s="6" t="str">
        <f>IF(MOD(C506-Settings!$B$32,Settings!$B$33)&lt;Settings!$B$30,"Up","Down")</f>
        <v>Up</v>
      </c>
      <c r="W506" s="6">
        <f>IF(OR(E506&gt;Settings!$B$30,Q506&gt;Settings!$B$37),0,1)</f>
        <v>1</v>
      </c>
      <c r="X506" s="6">
        <f>IF(AND(W506=1,Q506&lt;=Settings!$B$36),1,0)</f>
        <v>0</v>
      </c>
    </row>
    <row r="507" spans="1:24" x14ac:dyDescent="0.2">
      <c r="A507">
        <f>Arrivals!A507</f>
        <v>5</v>
      </c>
      <c r="B507">
        <f>Arrivals!B507</f>
        <v>22</v>
      </c>
      <c r="C507" s="6">
        <f>Arrivals!F507</f>
        <v>237</v>
      </c>
      <c r="D507" s="6">
        <f>Arrivals!K507</f>
        <v>300</v>
      </c>
      <c r="E507" s="6">
        <f>D507*8/ACE_Input!S27+ACE_Input!T27</f>
        <v>24.02</v>
      </c>
      <c r="F507" s="6">
        <f t="shared" si="184"/>
        <v>237</v>
      </c>
      <c r="G507" s="6">
        <f t="shared" si="195"/>
        <v>506.41999999999985</v>
      </c>
      <c r="H507" s="6">
        <f t="shared" si="185"/>
        <v>506.41999999999985</v>
      </c>
      <c r="I507" s="6">
        <f>MOD(H507-Settings!$B$32,Settings!$B$33)</f>
        <v>506.41999999999985</v>
      </c>
      <c r="J507" s="6">
        <f>IF(I507&lt;Settings!$B$30,IF(Settings!$B$30-I507&gt;=E507,H507,H507+(Settings!$B$30-I507)+Settings!$B$31),H507+(Settings!$B$33-I507))</f>
        <v>506.41999999999985</v>
      </c>
      <c r="K507" s="6">
        <f t="shared" si="186"/>
        <v>530.43999999999983</v>
      </c>
      <c r="L507" s="6">
        <f t="shared" si="187"/>
        <v>530.43999999999983</v>
      </c>
      <c r="M507" s="6">
        <f t="shared" si="196"/>
        <v>507.93048073624988</v>
      </c>
      <c r="N507" s="6">
        <f t="shared" si="188"/>
        <v>530.43999999999983</v>
      </c>
      <c r="O507" s="6">
        <f>Arrivals!I507</f>
        <v>12.487909720037587</v>
      </c>
      <c r="P507" s="6">
        <f t="shared" si="189"/>
        <v>542.92790972003741</v>
      </c>
      <c r="Q507" s="6">
        <f t="shared" si="190"/>
        <v>305.92790972003741</v>
      </c>
      <c r="R507" s="6">
        <f t="shared" si="191"/>
        <v>269.41999999999985</v>
      </c>
      <c r="S507" s="6">
        <f t="shared" si="192"/>
        <v>0</v>
      </c>
      <c r="T507" s="6">
        <f t="shared" si="193"/>
        <v>0</v>
      </c>
      <c r="U507" s="6">
        <f t="shared" si="194"/>
        <v>269.41999999999985</v>
      </c>
      <c r="V507" s="6" t="str">
        <f>IF(MOD(C507-Settings!$B$32,Settings!$B$33)&lt;Settings!$B$30,"Up","Down")</f>
        <v>Up</v>
      </c>
      <c r="W507" s="6">
        <f>IF(OR(E507&gt;Settings!$B$30,Q507&gt;Settings!$B$37),0,1)</f>
        <v>1</v>
      </c>
      <c r="X507" s="6">
        <f>IF(AND(W507=1,Q507&lt;=Settings!$B$36),1,0)</f>
        <v>0</v>
      </c>
    </row>
    <row r="508" spans="1:24" x14ac:dyDescent="0.2">
      <c r="A508">
        <f>Arrivals!A508</f>
        <v>5</v>
      </c>
      <c r="B508">
        <f>Arrivals!B508</f>
        <v>23</v>
      </c>
      <c r="C508" s="6">
        <f>Arrivals!F508</f>
        <v>242</v>
      </c>
      <c r="D508" s="6">
        <f>Arrivals!K508</f>
        <v>300</v>
      </c>
      <c r="E508" s="6">
        <f>D508*8/ACE_Input!S28+ACE_Input!T28</f>
        <v>24.02</v>
      </c>
      <c r="F508" s="6">
        <f t="shared" si="184"/>
        <v>242</v>
      </c>
      <c r="G508" s="6">
        <f t="shared" si="195"/>
        <v>530.43999999999983</v>
      </c>
      <c r="H508" s="6">
        <f t="shared" si="185"/>
        <v>530.43999999999983</v>
      </c>
      <c r="I508" s="6">
        <f>MOD(H508-Settings!$B$32,Settings!$B$33)</f>
        <v>530.43999999999983</v>
      </c>
      <c r="J508" s="6">
        <f>IF(I508&lt;Settings!$B$30,IF(Settings!$B$30-I508&gt;=E508,H508,H508+(Settings!$B$30-I508)+Settings!$B$31),H508+(Settings!$B$33-I508))</f>
        <v>530.43999999999983</v>
      </c>
      <c r="K508" s="6">
        <f t="shared" si="186"/>
        <v>554.45999999999981</v>
      </c>
      <c r="L508" s="6">
        <f t="shared" si="187"/>
        <v>554.45999999999981</v>
      </c>
      <c r="M508" s="6">
        <f t="shared" si="196"/>
        <v>542.92790972003741</v>
      </c>
      <c r="N508" s="6">
        <f t="shared" si="188"/>
        <v>554.45999999999981</v>
      </c>
      <c r="O508" s="6">
        <f>Arrivals!I508</f>
        <v>1.5225188425765839</v>
      </c>
      <c r="P508" s="6">
        <f t="shared" si="189"/>
        <v>555.98251884257638</v>
      </c>
      <c r="Q508" s="6">
        <f t="shared" si="190"/>
        <v>313.98251884257638</v>
      </c>
      <c r="R508" s="6">
        <f t="shared" si="191"/>
        <v>288.43999999999983</v>
      </c>
      <c r="S508" s="6">
        <f t="shared" si="192"/>
        <v>0</v>
      </c>
      <c r="T508" s="6">
        <f t="shared" si="193"/>
        <v>0</v>
      </c>
      <c r="U508" s="6">
        <f t="shared" si="194"/>
        <v>288.43999999999983</v>
      </c>
      <c r="V508" s="6" t="str">
        <f>IF(MOD(C508-Settings!$B$32,Settings!$B$33)&lt;Settings!$B$30,"Up","Down")</f>
        <v>Up</v>
      </c>
      <c r="W508" s="6">
        <f>IF(OR(E508&gt;Settings!$B$30,Q508&gt;Settings!$B$37),0,1)</f>
        <v>1</v>
      </c>
      <c r="X508" s="6">
        <f>IF(AND(W508=1,Q508&lt;=Settings!$B$36),1,0)</f>
        <v>0</v>
      </c>
    </row>
    <row r="509" spans="1:24" x14ac:dyDescent="0.2">
      <c r="A509">
        <f>Arrivals!A509</f>
        <v>5</v>
      </c>
      <c r="B509">
        <f>Arrivals!B509</f>
        <v>24</v>
      </c>
      <c r="C509" s="6">
        <f>Arrivals!F509</f>
        <v>247</v>
      </c>
      <c r="D509" s="6">
        <f>Arrivals!K509</f>
        <v>300</v>
      </c>
      <c r="E509" s="6">
        <f>D509*8/ACE_Input!S29+ACE_Input!T29</f>
        <v>24.02</v>
      </c>
      <c r="F509" s="6">
        <f t="shared" si="184"/>
        <v>247</v>
      </c>
      <c r="G509" s="6">
        <f t="shared" si="195"/>
        <v>554.45999999999981</v>
      </c>
      <c r="H509" s="6">
        <f t="shared" si="185"/>
        <v>554.45999999999981</v>
      </c>
      <c r="I509" s="6">
        <f>MOD(H509-Settings!$B$32,Settings!$B$33)</f>
        <v>554.45999999999981</v>
      </c>
      <c r="J509" s="6">
        <f>IF(I509&lt;Settings!$B$30,IF(Settings!$B$30-I509&gt;=E509,H509,H509+(Settings!$B$30-I509)+Settings!$B$31),H509+(Settings!$B$33-I509))</f>
        <v>554.45999999999981</v>
      </c>
      <c r="K509" s="6">
        <f t="shared" si="186"/>
        <v>578.47999999999979</v>
      </c>
      <c r="L509" s="6">
        <f t="shared" si="187"/>
        <v>578.47999999999979</v>
      </c>
      <c r="M509" s="6">
        <f t="shared" si="196"/>
        <v>555.98251884257638</v>
      </c>
      <c r="N509" s="6">
        <f t="shared" si="188"/>
        <v>578.47999999999979</v>
      </c>
      <c r="O509" s="6">
        <f>Arrivals!I509</f>
        <v>3.4386610982079939</v>
      </c>
      <c r="P509" s="6">
        <f t="shared" si="189"/>
        <v>581.91866109820774</v>
      </c>
      <c r="Q509" s="6">
        <f t="shared" si="190"/>
        <v>334.91866109820774</v>
      </c>
      <c r="R509" s="6">
        <f t="shared" si="191"/>
        <v>307.45999999999981</v>
      </c>
      <c r="S509" s="6">
        <f t="shared" si="192"/>
        <v>0</v>
      </c>
      <c r="T509" s="6">
        <f t="shared" si="193"/>
        <v>0</v>
      </c>
      <c r="U509" s="6">
        <f t="shared" si="194"/>
        <v>307.45999999999981</v>
      </c>
      <c r="V509" s="6" t="str">
        <f>IF(MOD(C509-Settings!$B$32,Settings!$B$33)&lt;Settings!$B$30,"Up","Down")</f>
        <v>Up</v>
      </c>
      <c r="W509" s="6">
        <f>IF(OR(E509&gt;Settings!$B$30,Q509&gt;Settings!$B$37),0,1)</f>
        <v>1</v>
      </c>
      <c r="X509" s="6">
        <f>IF(AND(W509=1,Q509&lt;=Settings!$B$36),1,0)</f>
        <v>0</v>
      </c>
    </row>
    <row r="510" spans="1:24" x14ac:dyDescent="0.2">
      <c r="A510">
        <f>Arrivals!A510</f>
        <v>5</v>
      </c>
      <c r="B510">
        <f>Arrivals!B510</f>
        <v>25</v>
      </c>
      <c r="C510" s="6">
        <f>Arrivals!F510</f>
        <v>252</v>
      </c>
      <c r="D510" s="6">
        <f>Arrivals!K510</f>
        <v>300</v>
      </c>
      <c r="E510" s="6">
        <f>D510*8/ACE_Input!S30+ACE_Input!T30</f>
        <v>24.02</v>
      </c>
      <c r="F510" s="6">
        <f t="shared" si="184"/>
        <v>252</v>
      </c>
      <c r="G510" s="6">
        <f t="shared" si="195"/>
        <v>578.47999999999979</v>
      </c>
      <c r="H510" s="6">
        <f t="shared" si="185"/>
        <v>578.47999999999979</v>
      </c>
      <c r="I510" s="6">
        <f>MOD(H510-Settings!$B$32,Settings!$B$33)</f>
        <v>578.47999999999979</v>
      </c>
      <c r="J510" s="6">
        <f>IF(I510&lt;Settings!$B$30,IF(Settings!$B$30-I510&gt;=E510,H510,H510+(Settings!$B$30-I510)+Settings!$B$31),H510+(Settings!$B$33-I510))</f>
        <v>720</v>
      </c>
      <c r="K510" s="6">
        <f t="shared" si="186"/>
        <v>744.02</v>
      </c>
      <c r="L510" s="6">
        <f t="shared" si="187"/>
        <v>744.02</v>
      </c>
      <c r="M510" s="6">
        <f t="shared" si="196"/>
        <v>581.91866109820774</v>
      </c>
      <c r="N510" s="6">
        <f t="shared" si="188"/>
        <v>744.02</v>
      </c>
      <c r="O510" s="6">
        <f>Arrivals!I510</f>
        <v>3.0533185310581041</v>
      </c>
      <c r="P510" s="6">
        <f t="shared" si="189"/>
        <v>747.07331853105813</v>
      </c>
      <c r="Q510" s="6">
        <f t="shared" si="190"/>
        <v>495.07331853105813</v>
      </c>
      <c r="R510" s="6">
        <f t="shared" si="191"/>
        <v>326.47999999999979</v>
      </c>
      <c r="S510" s="6">
        <f t="shared" si="192"/>
        <v>141.52000000000021</v>
      </c>
      <c r="T510" s="6">
        <f t="shared" si="193"/>
        <v>0</v>
      </c>
      <c r="U510" s="6">
        <f t="shared" si="194"/>
        <v>468</v>
      </c>
      <c r="V510" s="6" t="str">
        <f>IF(MOD(C510-Settings!$B$32,Settings!$B$33)&lt;Settings!$B$30,"Up","Down")</f>
        <v>Up</v>
      </c>
      <c r="W510" s="6">
        <f>IF(OR(E510&gt;Settings!$B$30,Q510&gt;Settings!$B$37),0,1)</f>
        <v>1</v>
      </c>
      <c r="X510" s="6">
        <f>IF(AND(W510=1,Q510&lt;=Settings!$B$36),1,0)</f>
        <v>0</v>
      </c>
    </row>
    <row r="511" spans="1:24" x14ac:dyDescent="0.2">
      <c r="A511">
        <f>Arrivals!A511</f>
        <v>5</v>
      </c>
      <c r="B511">
        <f>Arrivals!B511</f>
        <v>26</v>
      </c>
      <c r="C511" s="6">
        <f>Arrivals!F511</f>
        <v>257</v>
      </c>
      <c r="D511" s="6">
        <f>Arrivals!K511</f>
        <v>300</v>
      </c>
      <c r="E511" s="6">
        <f>D511*8/ACE_Input!S31+ACE_Input!T31</f>
        <v>24.02</v>
      </c>
      <c r="F511" s="6">
        <f t="shared" si="184"/>
        <v>257</v>
      </c>
      <c r="G511" s="6">
        <f t="shared" si="195"/>
        <v>744.02</v>
      </c>
      <c r="H511" s="6">
        <f t="shared" si="185"/>
        <v>744.02</v>
      </c>
      <c r="I511" s="6">
        <f>MOD(H511-Settings!$B$32,Settings!$B$33)</f>
        <v>24.019999999999982</v>
      </c>
      <c r="J511" s="6">
        <f>IF(I511&lt;Settings!$B$30,IF(Settings!$B$30-I511&gt;=E511,H511,H511+(Settings!$B$30-I511)+Settings!$B$31),H511+(Settings!$B$33-I511))</f>
        <v>744.02</v>
      </c>
      <c r="K511" s="6">
        <f t="shared" si="186"/>
        <v>768.04</v>
      </c>
      <c r="L511" s="6">
        <f t="shared" si="187"/>
        <v>768.04</v>
      </c>
      <c r="M511" s="6">
        <f t="shared" si="196"/>
        <v>747.07331853105813</v>
      </c>
      <c r="N511" s="6">
        <f t="shared" si="188"/>
        <v>768.04</v>
      </c>
      <c r="O511" s="6">
        <f>Arrivals!I511</f>
        <v>0.2389355205430222</v>
      </c>
      <c r="P511" s="6">
        <f t="shared" si="189"/>
        <v>768.27893552054297</v>
      </c>
      <c r="Q511" s="6">
        <f t="shared" si="190"/>
        <v>511.27893552054297</v>
      </c>
      <c r="R511" s="6">
        <f t="shared" si="191"/>
        <v>487.02</v>
      </c>
      <c r="S511" s="6">
        <f t="shared" si="192"/>
        <v>0</v>
      </c>
      <c r="T511" s="6">
        <f t="shared" si="193"/>
        <v>0</v>
      </c>
      <c r="U511" s="6">
        <f t="shared" si="194"/>
        <v>487.02</v>
      </c>
      <c r="V511" s="6" t="str">
        <f>IF(MOD(C511-Settings!$B$32,Settings!$B$33)&lt;Settings!$B$30,"Up","Down")</f>
        <v>Up</v>
      </c>
      <c r="W511" s="6">
        <f>IF(OR(E511&gt;Settings!$B$30,Q511&gt;Settings!$B$37),0,1)</f>
        <v>1</v>
      </c>
      <c r="X511" s="6">
        <f>IF(AND(W511=1,Q511&lt;=Settings!$B$36),1,0)</f>
        <v>0</v>
      </c>
    </row>
    <row r="512" spans="1:24" x14ac:dyDescent="0.2">
      <c r="A512">
        <f>Arrivals!A512</f>
        <v>5</v>
      </c>
      <c r="B512">
        <f>Arrivals!B512</f>
        <v>27</v>
      </c>
      <c r="C512" s="6">
        <f>Arrivals!F512</f>
        <v>262</v>
      </c>
      <c r="D512" s="6">
        <f>Arrivals!K512</f>
        <v>300</v>
      </c>
      <c r="E512" s="6">
        <f>D512*8/ACE_Input!S32+ACE_Input!T32</f>
        <v>24.02</v>
      </c>
      <c r="F512" s="6">
        <f t="shared" si="184"/>
        <v>262</v>
      </c>
      <c r="G512" s="6">
        <f t="shared" si="195"/>
        <v>768.04</v>
      </c>
      <c r="H512" s="6">
        <f t="shared" si="185"/>
        <v>768.04</v>
      </c>
      <c r="I512" s="6">
        <f>MOD(H512-Settings!$B$32,Settings!$B$33)</f>
        <v>48.039999999999964</v>
      </c>
      <c r="J512" s="6">
        <f>IF(I512&lt;Settings!$B$30,IF(Settings!$B$30-I512&gt;=E512,H512,H512+(Settings!$B$30-I512)+Settings!$B$31),H512+(Settings!$B$33-I512))</f>
        <v>768.04</v>
      </c>
      <c r="K512" s="6">
        <f t="shared" si="186"/>
        <v>792.06</v>
      </c>
      <c r="L512" s="6">
        <f t="shared" si="187"/>
        <v>792.06</v>
      </c>
      <c r="M512" s="6">
        <f t="shared" si="196"/>
        <v>768.27893552054297</v>
      </c>
      <c r="N512" s="6">
        <f t="shared" si="188"/>
        <v>792.06</v>
      </c>
      <c r="O512" s="6">
        <f>Arrivals!I512</f>
        <v>3.2003946963937646</v>
      </c>
      <c r="P512" s="6">
        <f t="shared" si="189"/>
        <v>795.26039469639375</v>
      </c>
      <c r="Q512" s="6">
        <f t="shared" si="190"/>
        <v>533.26039469639375</v>
      </c>
      <c r="R512" s="6">
        <f t="shared" si="191"/>
        <v>506.03999999999996</v>
      </c>
      <c r="S512" s="6">
        <f t="shared" si="192"/>
        <v>0</v>
      </c>
      <c r="T512" s="6">
        <f t="shared" si="193"/>
        <v>0</v>
      </c>
      <c r="U512" s="6">
        <f t="shared" si="194"/>
        <v>506.03999999999996</v>
      </c>
      <c r="V512" s="6" t="str">
        <f>IF(MOD(C512-Settings!$B$32,Settings!$B$33)&lt;Settings!$B$30,"Up","Down")</f>
        <v>Up</v>
      </c>
      <c r="W512" s="6">
        <f>IF(OR(E512&gt;Settings!$B$30,Q512&gt;Settings!$B$37),0,1)</f>
        <v>1</v>
      </c>
      <c r="X512" s="6">
        <f>IF(AND(W512=1,Q512&lt;=Settings!$B$36),1,0)</f>
        <v>0</v>
      </c>
    </row>
    <row r="513" spans="1:24" x14ac:dyDescent="0.2">
      <c r="A513">
        <f>Arrivals!A513</f>
        <v>5</v>
      </c>
      <c r="B513">
        <f>Arrivals!B513</f>
        <v>28</v>
      </c>
      <c r="C513" s="6">
        <f>Arrivals!F513</f>
        <v>268</v>
      </c>
      <c r="D513" s="6">
        <f>Arrivals!K513</f>
        <v>300</v>
      </c>
      <c r="E513" s="6">
        <f>D513*8/ACE_Input!S33+ACE_Input!T33</f>
        <v>24.02</v>
      </c>
      <c r="F513" s="6">
        <f t="shared" si="184"/>
        <v>268</v>
      </c>
      <c r="G513" s="6">
        <f t="shared" si="195"/>
        <v>792.06</v>
      </c>
      <c r="H513" s="6">
        <f t="shared" si="185"/>
        <v>792.06</v>
      </c>
      <c r="I513" s="6">
        <f>MOD(H513-Settings!$B$32,Settings!$B$33)</f>
        <v>72.059999999999945</v>
      </c>
      <c r="J513" s="6">
        <f>IF(I513&lt;Settings!$B$30,IF(Settings!$B$30-I513&gt;=E513,H513,H513+(Settings!$B$30-I513)+Settings!$B$31),H513+(Settings!$B$33-I513))</f>
        <v>792.06</v>
      </c>
      <c r="K513" s="6">
        <f t="shared" si="186"/>
        <v>816.07999999999993</v>
      </c>
      <c r="L513" s="6">
        <f t="shared" si="187"/>
        <v>816.07999999999993</v>
      </c>
      <c r="M513" s="6">
        <f t="shared" si="196"/>
        <v>795.26039469639375</v>
      </c>
      <c r="N513" s="6">
        <f t="shared" si="188"/>
        <v>816.07999999999993</v>
      </c>
      <c r="O513" s="6">
        <f>Arrivals!I513</f>
        <v>8.2617591301706543</v>
      </c>
      <c r="P513" s="6">
        <f t="shared" si="189"/>
        <v>824.34175913017054</v>
      </c>
      <c r="Q513" s="6">
        <f t="shared" si="190"/>
        <v>556.34175913017054</v>
      </c>
      <c r="R513" s="6">
        <f t="shared" si="191"/>
        <v>524.05999999999995</v>
      </c>
      <c r="S513" s="6">
        <f t="shared" si="192"/>
        <v>0</v>
      </c>
      <c r="T513" s="6">
        <f t="shared" si="193"/>
        <v>0</v>
      </c>
      <c r="U513" s="6">
        <f t="shared" si="194"/>
        <v>524.05999999999995</v>
      </c>
      <c r="V513" s="6" t="str">
        <f>IF(MOD(C513-Settings!$B$32,Settings!$B$33)&lt;Settings!$B$30,"Up","Down")</f>
        <v>Up</v>
      </c>
      <c r="W513" s="6">
        <f>IF(OR(E513&gt;Settings!$B$30,Q513&gt;Settings!$B$37),0,1)</f>
        <v>1</v>
      </c>
      <c r="X513" s="6">
        <f>IF(AND(W513=1,Q513&lt;=Settings!$B$36),1,0)</f>
        <v>0</v>
      </c>
    </row>
    <row r="514" spans="1:24" x14ac:dyDescent="0.2">
      <c r="A514">
        <f>Arrivals!A514</f>
        <v>5</v>
      </c>
      <c r="B514">
        <f>Arrivals!B514</f>
        <v>29</v>
      </c>
      <c r="C514" s="6">
        <f>Arrivals!F514</f>
        <v>273</v>
      </c>
      <c r="D514" s="6">
        <f>Arrivals!K514</f>
        <v>300</v>
      </c>
      <c r="E514" s="6">
        <f>D514*8/ACE_Input!S34+ACE_Input!T34</f>
        <v>24.02</v>
      </c>
      <c r="F514" s="6">
        <f t="shared" si="184"/>
        <v>273</v>
      </c>
      <c r="G514" s="6">
        <f t="shared" si="195"/>
        <v>816.07999999999993</v>
      </c>
      <c r="H514" s="6">
        <f t="shared" si="185"/>
        <v>816.07999999999993</v>
      </c>
      <c r="I514" s="6">
        <f>MOD(H514-Settings!$B$32,Settings!$B$33)</f>
        <v>96.079999999999927</v>
      </c>
      <c r="J514" s="6">
        <f>IF(I514&lt;Settings!$B$30,IF(Settings!$B$30-I514&gt;=E514,H514,H514+(Settings!$B$30-I514)+Settings!$B$31),H514+(Settings!$B$33-I514))</f>
        <v>816.07999999999993</v>
      </c>
      <c r="K514" s="6">
        <f t="shared" si="186"/>
        <v>840.09999999999991</v>
      </c>
      <c r="L514" s="6">
        <f t="shared" si="187"/>
        <v>840.09999999999991</v>
      </c>
      <c r="M514" s="6">
        <f t="shared" si="196"/>
        <v>824.34175913017054</v>
      </c>
      <c r="N514" s="6">
        <f t="shared" si="188"/>
        <v>840.09999999999991</v>
      </c>
      <c r="O514" s="6">
        <f>Arrivals!I514</f>
        <v>2.7898438295756898</v>
      </c>
      <c r="P514" s="6">
        <f t="shared" si="189"/>
        <v>842.88984382957563</v>
      </c>
      <c r="Q514" s="6">
        <f t="shared" si="190"/>
        <v>569.88984382957563</v>
      </c>
      <c r="R514" s="6">
        <f t="shared" si="191"/>
        <v>543.07999999999993</v>
      </c>
      <c r="S514" s="6">
        <f t="shared" si="192"/>
        <v>0</v>
      </c>
      <c r="T514" s="6">
        <f t="shared" si="193"/>
        <v>0</v>
      </c>
      <c r="U514" s="6">
        <f t="shared" si="194"/>
        <v>543.07999999999993</v>
      </c>
      <c r="V514" s="6" t="str">
        <f>IF(MOD(C514-Settings!$B$32,Settings!$B$33)&lt;Settings!$B$30,"Up","Down")</f>
        <v>Up</v>
      </c>
      <c r="W514" s="6">
        <f>IF(OR(E514&gt;Settings!$B$30,Q514&gt;Settings!$B$37),0,1)</f>
        <v>1</v>
      </c>
      <c r="X514" s="6">
        <f>IF(AND(W514=1,Q514&lt;=Settings!$B$36),1,0)</f>
        <v>0</v>
      </c>
    </row>
    <row r="515" spans="1:24" x14ac:dyDescent="0.2">
      <c r="A515">
        <f>Arrivals!A515</f>
        <v>5</v>
      </c>
      <c r="B515">
        <f>Arrivals!B515</f>
        <v>30</v>
      </c>
      <c r="C515" s="6">
        <f>Arrivals!F515</f>
        <v>278</v>
      </c>
      <c r="D515" s="6">
        <f>Arrivals!K515</f>
        <v>300</v>
      </c>
      <c r="E515" s="6">
        <f>D515*8/ACE_Input!S35+ACE_Input!T35</f>
        <v>24.02</v>
      </c>
      <c r="F515" s="6">
        <f t="shared" si="184"/>
        <v>278</v>
      </c>
      <c r="G515" s="6">
        <f t="shared" si="195"/>
        <v>840.09999999999991</v>
      </c>
      <c r="H515" s="6">
        <f t="shared" si="185"/>
        <v>840.09999999999991</v>
      </c>
      <c r="I515" s="6">
        <f>MOD(H515-Settings!$B$32,Settings!$B$33)</f>
        <v>120.09999999999991</v>
      </c>
      <c r="J515" s="6">
        <f>IF(I515&lt;Settings!$B$30,IF(Settings!$B$30-I515&gt;=E515,H515,H515+(Settings!$B$30-I515)+Settings!$B$31),H515+(Settings!$B$33-I515))</f>
        <v>840.09999999999991</v>
      </c>
      <c r="K515" s="6">
        <f t="shared" si="186"/>
        <v>864.11999999999989</v>
      </c>
      <c r="L515" s="6">
        <f t="shared" si="187"/>
        <v>864.11999999999989</v>
      </c>
      <c r="M515" s="6">
        <f t="shared" si="196"/>
        <v>842.88984382957563</v>
      </c>
      <c r="N515" s="6">
        <f t="shared" si="188"/>
        <v>864.11999999999989</v>
      </c>
      <c r="O515" s="6">
        <f>Arrivals!I515</f>
        <v>4.4680862353917767</v>
      </c>
      <c r="P515" s="6">
        <f t="shared" si="189"/>
        <v>868.58808623539164</v>
      </c>
      <c r="Q515" s="6">
        <f t="shared" si="190"/>
        <v>590.58808623539164</v>
      </c>
      <c r="R515" s="6">
        <f t="shared" si="191"/>
        <v>562.09999999999991</v>
      </c>
      <c r="S515" s="6">
        <f t="shared" si="192"/>
        <v>0</v>
      </c>
      <c r="T515" s="6">
        <f t="shared" si="193"/>
        <v>0</v>
      </c>
      <c r="U515" s="6">
        <f t="shared" si="194"/>
        <v>562.09999999999991</v>
      </c>
      <c r="V515" s="6" t="str">
        <f>IF(MOD(C515-Settings!$B$32,Settings!$B$33)&lt;Settings!$B$30,"Up","Down")</f>
        <v>Up</v>
      </c>
      <c r="W515" s="6">
        <f>IF(OR(E515&gt;Settings!$B$30,Q515&gt;Settings!$B$37),0,1)</f>
        <v>1</v>
      </c>
      <c r="X515" s="6">
        <f>IF(AND(W515=1,Q515&lt;=Settings!$B$36),1,0)</f>
        <v>0</v>
      </c>
    </row>
    <row r="516" spans="1:24" x14ac:dyDescent="0.2">
      <c r="A516">
        <f>Arrivals!A516</f>
        <v>5</v>
      </c>
      <c r="B516">
        <f>Arrivals!B516</f>
        <v>31</v>
      </c>
      <c r="C516" s="6">
        <f>Arrivals!F516</f>
        <v>283</v>
      </c>
      <c r="D516" s="6">
        <f>Arrivals!K516</f>
        <v>300</v>
      </c>
      <c r="E516" s="6">
        <f>D516*8/ACE_Input!S36+ACE_Input!T36</f>
        <v>24.02</v>
      </c>
      <c r="F516" s="6">
        <f t="shared" si="184"/>
        <v>283</v>
      </c>
      <c r="G516" s="6">
        <f t="shared" si="195"/>
        <v>864.11999999999989</v>
      </c>
      <c r="H516" s="6">
        <f t="shared" si="185"/>
        <v>864.11999999999989</v>
      </c>
      <c r="I516" s="6">
        <f>MOD(H516-Settings!$B$32,Settings!$B$33)</f>
        <v>144.11999999999989</v>
      </c>
      <c r="J516" s="6">
        <f>IF(I516&lt;Settings!$B$30,IF(Settings!$B$30-I516&gt;=E516,H516,H516+(Settings!$B$30-I516)+Settings!$B$31),H516+(Settings!$B$33-I516))</f>
        <v>864.11999999999989</v>
      </c>
      <c r="K516" s="6">
        <f t="shared" si="186"/>
        <v>888.13999999999987</v>
      </c>
      <c r="L516" s="6">
        <f t="shared" si="187"/>
        <v>888.13999999999987</v>
      </c>
      <c r="M516" s="6">
        <f t="shared" si="196"/>
        <v>868.58808623539164</v>
      </c>
      <c r="N516" s="6">
        <f t="shared" si="188"/>
        <v>888.13999999999987</v>
      </c>
      <c r="O516" s="6">
        <f>Arrivals!I516</f>
        <v>7.8081220046299427</v>
      </c>
      <c r="P516" s="6">
        <f t="shared" si="189"/>
        <v>895.94812200462979</v>
      </c>
      <c r="Q516" s="6">
        <f t="shared" si="190"/>
        <v>612.94812200462979</v>
      </c>
      <c r="R516" s="6">
        <f t="shared" si="191"/>
        <v>581.11999999999989</v>
      </c>
      <c r="S516" s="6">
        <f t="shared" si="192"/>
        <v>0</v>
      </c>
      <c r="T516" s="6">
        <f t="shared" si="193"/>
        <v>0</v>
      </c>
      <c r="U516" s="6">
        <f t="shared" si="194"/>
        <v>581.11999999999989</v>
      </c>
      <c r="V516" s="6" t="str">
        <f>IF(MOD(C516-Settings!$B$32,Settings!$B$33)&lt;Settings!$B$30,"Up","Down")</f>
        <v>Up</v>
      </c>
      <c r="W516" s="6">
        <f>IF(OR(E516&gt;Settings!$B$30,Q516&gt;Settings!$B$37),0,1)</f>
        <v>1</v>
      </c>
      <c r="X516" s="6">
        <f>IF(AND(W516=1,Q516&lt;=Settings!$B$36),1,0)</f>
        <v>0</v>
      </c>
    </row>
    <row r="517" spans="1:24" x14ac:dyDescent="0.2">
      <c r="A517">
        <f>Arrivals!A517</f>
        <v>5</v>
      </c>
      <c r="B517">
        <f>Arrivals!B517</f>
        <v>32</v>
      </c>
      <c r="C517" s="6">
        <f>Arrivals!F517</f>
        <v>288</v>
      </c>
      <c r="D517" s="6">
        <f>Arrivals!K517</f>
        <v>300</v>
      </c>
      <c r="E517" s="6">
        <f>D517*8/ACE_Input!S37+ACE_Input!T37</f>
        <v>24.02</v>
      </c>
      <c r="F517" s="6">
        <f t="shared" si="184"/>
        <v>288</v>
      </c>
      <c r="G517" s="6">
        <f t="shared" si="195"/>
        <v>888.13999999999987</v>
      </c>
      <c r="H517" s="6">
        <f t="shared" si="185"/>
        <v>888.13999999999987</v>
      </c>
      <c r="I517" s="6">
        <f>MOD(H517-Settings!$B$32,Settings!$B$33)</f>
        <v>168.13999999999987</v>
      </c>
      <c r="J517" s="6">
        <f>IF(I517&lt;Settings!$B$30,IF(Settings!$B$30-I517&gt;=E517,H517,H517+(Settings!$B$30-I517)+Settings!$B$31),H517+(Settings!$B$33-I517))</f>
        <v>888.13999999999987</v>
      </c>
      <c r="K517" s="6">
        <f t="shared" si="186"/>
        <v>912.15999999999985</v>
      </c>
      <c r="L517" s="6">
        <f t="shared" si="187"/>
        <v>912.15999999999985</v>
      </c>
      <c r="M517" s="6">
        <f t="shared" si="196"/>
        <v>895.94812200462979</v>
      </c>
      <c r="N517" s="6">
        <f t="shared" si="188"/>
        <v>912.15999999999985</v>
      </c>
      <c r="O517" s="6">
        <f>Arrivals!I517</f>
        <v>4.2002922621034235</v>
      </c>
      <c r="P517" s="6">
        <f t="shared" si="189"/>
        <v>916.36029226210326</v>
      </c>
      <c r="Q517" s="6">
        <f t="shared" si="190"/>
        <v>628.36029226210326</v>
      </c>
      <c r="R517" s="6">
        <f t="shared" si="191"/>
        <v>600.13999999999987</v>
      </c>
      <c r="S517" s="6">
        <f t="shared" si="192"/>
        <v>0</v>
      </c>
      <c r="T517" s="6">
        <f t="shared" si="193"/>
        <v>0</v>
      </c>
      <c r="U517" s="6">
        <f t="shared" si="194"/>
        <v>600.13999999999987</v>
      </c>
      <c r="V517" s="6" t="str">
        <f>IF(MOD(C517-Settings!$B$32,Settings!$B$33)&lt;Settings!$B$30,"Up","Down")</f>
        <v>Up</v>
      </c>
      <c r="W517" s="6">
        <f>IF(OR(E517&gt;Settings!$B$30,Q517&gt;Settings!$B$37),0,1)</f>
        <v>1</v>
      </c>
      <c r="X517" s="6">
        <f>IF(AND(W517=1,Q517&lt;=Settings!$B$36),1,0)</f>
        <v>0</v>
      </c>
    </row>
    <row r="518" spans="1:24" x14ac:dyDescent="0.2">
      <c r="A518">
        <f>Arrivals!A518</f>
        <v>5</v>
      </c>
      <c r="B518">
        <f>Arrivals!B518</f>
        <v>33</v>
      </c>
      <c r="C518" s="6">
        <f>Arrivals!F518</f>
        <v>293</v>
      </c>
      <c r="D518" s="6">
        <f>Arrivals!K518</f>
        <v>300</v>
      </c>
      <c r="E518" s="6">
        <f>D518*8/ACE_Input!S38+ACE_Input!T38</f>
        <v>24.02</v>
      </c>
      <c r="F518" s="6">
        <f t="shared" ref="F518:F549" si="197">C518</f>
        <v>293</v>
      </c>
      <c r="G518" s="6">
        <f t="shared" si="195"/>
        <v>912.15999999999985</v>
      </c>
      <c r="H518" s="6">
        <f t="shared" ref="H518:H549" si="198">MAX(F518,G518)</f>
        <v>912.15999999999985</v>
      </c>
      <c r="I518" s="6">
        <f>MOD(H518-Settings!$B$32,Settings!$B$33)</f>
        <v>192.15999999999985</v>
      </c>
      <c r="J518" s="6">
        <f>IF(I518&lt;Settings!$B$30,IF(Settings!$B$30-I518&gt;=E518,H518,H518+(Settings!$B$30-I518)+Settings!$B$31),H518+(Settings!$B$33-I518))</f>
        <v>912.15999999999985</v>
      </c>
      <c r="K518" s="6">
        <f t="shared" ref="K518:K549" si="199">J518+E518</f>
        <v>936.17999999999984</v>
      </c>
      <c r="L518" s="6">
        <f t="shared" ref="L518:L549" si="200">K518</f>
        <v>936.17999999999984</v>
      </c>
      <c r="M518" s="6">
        <f t="shared" si="196"/>
        <v>916.36029226210326</v>
      </c>
      <c r="N518" s="6">
        <f t="shared" ref="N518:N549" si="201">MAX(L518,M518)</f>
        <v>936.17999999999984</v>
      </c>
      <c r="O518" s="6">
        <f>Arrivals!I518</f>
        <v>0.10522332834515497</v>
      </c>
      <c r="P518" s="6">
        <f t="shared" ref="P518:P549" si="202">N518+O518</f>
        <v>936.28522332834496</v>
      </c>
      <c r="Q518" s="6">
        <f t="shared" ref="Q518:Q549" si="203">P518-C518</f>
        <v>643.28522332834496</v>
      </c>
      <c r="R518" s="6">
        <f t="shared" ref="R518:R549" si="204">H518-F518</f>
        <v>619.15999999999985</v>
      </c>
      <c r="S518" s="6">
        <f t="shared" ref="S518:S549" si="205">J518-H518</f>
        <v>0</v>
      </c>
      <c r="T518" s="6">
        <f t="shared" ref="T518:T549" si="206">N518-L518</f>
        <v>0</v>
      </c>
      <c r="U518" s="6">
        <f t="shared" ref="U518:U549" si="207">R518+S518+T518</f>
        <v>619.15999999999985</v>
      </c>
      <c r="V518" s="6" t="str">
        <f>IF(MOD(C518-Settings!$B$32,Settings!$B$33)&lt;Settings!$B$30,"Up","Down")</f>
        <v>Up</v>
      </c>
      <c r="W518" s="6">
        <f>IF(OR(E518&gt;Settings!$B$30,Q518&gt;Settings!$B$37),0,1)</f>
        <v>1</v>
      </c>
      <c r="X518" s="6">
        <f>IF(AND(W518=1,Q518&lt;=Settings!$B$36),1,0)</f>
        <v>0</v>
      </c>
    </row>
    <row r="519" spans="1:24" x14ac:dyDescent="0.2">
      <c r="A519">
        <f>Arrivals!A519</f>
        <v>5</v>
      </c>
      <c r="B519">
        <f>Arrivals!B519</f>
        <v>34</v>
      </c>
      <c r="C519" s="6">
        <f>Arrivals!F519</f>
        <v>298</v>
      </c>
      <c r="D519" s="6">
        <f>Arrivals!K519</f>
        <v>300</v>
      </c>
      <c r="E519" s="6">
        <f>D519*8/ACE_Input!S39+ACE_Input!T39</f>
        <v>24.02</v>
      </c>
      <c r="F519" s="6">
        <f t="shared" si="197"/>
        <v>298</v>
      </c>
      <c r="G519" s="6">
        <f t="shared" ref="G519:G550" si="208">K518</f>
        <v>936.17999999999984</v>
      </c>
      <c r="H519" s="6">
        <f t="shared" si="198"/>
        <v>936.17999999999984</v>
      </c>
      <c r="I519" s="6">
        <f>MOD(H519-Settings!$B$32,Settings!$B$33)</f>
        <v>216.17999999999984</v>
      </c>
      <c r="J519" s="6">
        <f>IF(I519&lt;Settings!$B$30,IF(Settings!$B$30-I519&gt;=E519,H519,H519+(Settings!$B$30-I519)+Settings!$B$31),H519+(Settings!$B$33-I519))</f>
        <v>936.17999999999984</v>
      </c>
      <c r="K519" s="6">
        <f t="shared" si="199"/>
        <v>960.19999999999982</v>
      </c>
      <c r="L519" s="6">
        <f t="shared" si="200"/>
        <v>960.19999999999982</v>
      </c>
      <c r="M519" s="6">
        <f t="shared" ref="M519:M550" si="209">P518</f>
        <v>936.28522332834496</v>
      </c>
      <c r="N519" s="6">
        <f t="shared" si="201"/>
        <v>960.19999999999982</v>
      </c>
      <c r="O519" s="6">
        <f>Arrivals!I519</f>
        <v>1.7700665547023922</v>
      </c>
      <c r="P519" s="6">
        <f t="shared" si="202"/>
        <v>961.97006655470216</v>
      </c>
      <c r="Q519" s="6">
        <f t="shared" si="203"/>
        <v>663.97006655470216</v>
      </c>
      <c r="R519" s="6">
        <f t="shared" si="204"/>
        <v>638.17999999999984</v>
      </c>
      <c r="S519" s="6">
        <f t="shared" si="205"/>
        <v>0</v>
      </c>
      <c r="T519" s="6">
        <f t="shared" si="206"/>
        <v>0</v>
      </c>
      <c r="U519" s="6">
        <f t="shared" si="207"/>
        <v>638.17999999999984</v>
      </c>
      <c r="V519" s="6" t="str">
        <f>IF(MOD(C519-Settings!$B$32,Settings!$B$33)&lt;Settings!$B$30,"Up","Down")</f>
        <v>Up</v>
      </c>
      <c r="W519" s="6">
        <f>IF(OR(E519&gt;Settings!$B$30,Q519&gt;Settings!$B$37),0,1)</f>
        <v>1</v>
      </c>
      <c r="X519" s="6">
        <f>IF(AND(W519=1,Q519&lt;=Settings!$B$36),1,0)</f>
        <v>0</v>
      </c>
    </row>
    <row r="520" spans="1:24" x14ac:dyDescent="0.2">
      <c r="A520">
        <f>Arrivals!A520</f>
        <v>5</v>
      </c>
      <c r="B520">
        <f>Arrivals!B520</f>
        <v>35</v>
      </c>
      <c r="C520" s="6">
        <f>Arrivals!F520</f>
        <v>303</v>
      </c>
      <c r="D520" s="6">
        <f>Arrivals!K520</f>
        <v>300</v>
      </c>
      <c r="E520" s="6">
        <f>D520*8/ACE_Input!S40+ACE_Input!T40</f>
        <v>24.02</v>
      </c>
      <c r="F520" s="6">
        <f t="shared" si="197"/>
        <v>303</v>
      </c>
      <c r="G520" s="6">
        <f t="shared" si="208"/>
        <v>960.19999999999982</v>
      </c>
      <c r="H520" s="6">
        <f t="shared" si="198"/>
        <v>960.19999999999982</v>
      </c>
      <c r="I520" s="6">
        <f>MOD(H520-Settings!$B$32,Settings!$B$33)</f>
        <v>240.19999999999982</v>
      </c>
      <c r="J520" s="6">
        <f>IF(I520&lt;Settings!$B$30,IF(Settings!$B$30-I520&gt;=E520,H520,H520+(Settings!$B$30-I520)+Settings!$B$31),H520+(Settings!$B$33-I520))</f>
        <v>960.19999999999982</v>
      </c>
      <c r="K520" s="6">
        <f t="shared" si="199"/>
        <v>984.2199999999998</v>
      </c>
      <c r="L520" s="6">
        <f t="shared" si="200"/>
        <v>984.2199999999998</v>
      </c>
      <c r="M520" s="6">
        <f t="shared" si="209"/>
        <v>961.97006655470216</v>
      </c>
      <c r="N520" s="6">
        <f t="shared" si="201"/>
        <v>984.2199999999998</v>
      </c>
      <c r="O520" s="6">
        <f>Arrivals!I520</f>
        <v>8.7046737175375153</v>
      </c>
      <c r="P520" s="6">
        <f t="shared" si="202"/>
        <v>992.9246737175373</v>
      </c>
      <c r="Q520" s="6">
        <f t="shared" si="203"/>
        <v>689.9246737175373</v>
      </c>
      <c r="R520" s="6">
        <f t="shared" si="204"/>
        <v>657.19999999999982</v>
      </c>
      <c r="S520" s="6">
        <f t="shared" si="205"/>
        <v>0</v>
      </c>
      <c r="T520" s="6">
        <f t="shared" si="206"/>
        <v>0</v>
      </c>
      <c r="U520" s="6">
        <f t="shared" si="207"/>
        <v>657.19999999999982</v>
      </c>
      <c r="V520" s="6" t="str">
        <f>IF(MOD(C520-Settings!$B$32,Settings!$B$33)&lt;Settings!$B$30,"Up","Down")</f>
        <v>Up</v>
      </c>
      <c r="W520" s="6">
        <f>IF(OR(E520&gt;Settings!$B$30,Q520&gt;Settings!$B$37),0,1)</f>
        <v>1</v>
      </c>
      <c r="X520" s="6">
        <f>IF(AND(W520=1,Q520&lt;=Settings!$B$36),1,0)</f>
        <v>0</v>
      </c>
    </row>
    <row r="521" spans="1:24" x14ac:dyDescent="0.2">
      <c r="A521">
        <f>Arrivals!A521</f>
        <v>5</v>
      </c>
      <c r="B521">
        <f>Arrivals!B521</f>
        <v>36</v>
      </c>
      <c r="C521" s="6">
        <f>Arrivals!F521</f>
        <v>308</v>
      </c>
      <c r="D521" s="6">
        <f>Arrivals!K521</f>
        <v>300</v>
      </c>
      <c r="E521" s="6">
        <f>D521*8/ACE_Input!S41+ACE_Input!T41</f>
        <v>24.02</v>
      </c>
      <c r="F521" s="6">
        <f t="shared" si="197"/>
        <v>308</v>
      </c>
      <c r="G521" s="6">
        <f t="shared" si="208"/>
        <v>984.2199999999998</v>
      </c>
      <c r="H521" s="6">
        <f t="shared" si="198"/>
        <v>984.2199999999998</v>
      </c>
      <c r="I521" s="6">
        <f>MOD(H521-Settings!$B$32,Settings!$B$33)</f>
        <v>264.2199999999998</v>
      </c>
      <c r="J521" s="6">
        <f>IF(I521&lt;Settings!$B$30,IF(Settings!$B$30-I521&gt;=E521,H521,H521+(Settings!$B$30-I521)+Settings!$B$31),H521+(Settings!$B$33-I521))</f>
        <v>984.2199999999998</v>
      </c>
      <c r="K521" s="6">
        <f t="shared" si="199"/>
        <v>1008.2399999999998</v>
      </c>
      <c r="L521" s="6">
        <f t="shared" si="200"/>
        <v>1008.2399999999998</v>
      </c>
      <c r="M521" s="6">
        <f t="shared" si="209"/>
        <v>992.9246737175373</v>
      </c>
      <c r="N521" s="6">
        <f t="shared" si="201"/>
        <v>1008.2399999999998</v>
      </c>
      <c r="O521" s="6">
        <f>Arrivals!I521</f>
        <v>6.8034010486645764</v>
      </c>
      <c r="P521" s="6">
        <f t="shared" si="202"/>
        <v>1015.0434010486644</v>
      </c>
      <c r="Q521" s="6">
        <f t="shared" si="203"/>
        <v>707.04340104866435</v>
      </c>
      <c r="R521" s="6">
        <f t="shared" si="204"/>
        <v>676.2199999999998</v>
      </c>
      <c r="S521" s="6">
        <f t="shared" si="205"/>
        <v>0</v>
      </c>
      <c r="T521" s="6">
        <f t="shared" si="206"/>
        <v>0</v>
      </c>
      <c r="U521" s="6">
        <f t="shared" si="207"/>
        <v>676.2199999999998</v>
      </c>
      <c r="V521" s="6" t="str">
        <f>IF(MOD(C521-Settings!$B$32,Settings!$B$33)&lt;Settings!$B$30,"Up","Down")</f>
        <v>Up</v>
      </c>
      <c r="W521" s="6">
        <f>IF(OR(E521&gt;Settings!$B$30,Q521&gt;Settings!$B$37),0,1)</f>
        <v>1</v>
      </c>
      <c r="X521" s="6">
        <f>IF(AND(W521=1,Q521&lt;=Settings!$B$36),1,0)</f>
        <v>0</v>
      </c>
    </row>
    <row r="522" spans="1:24" x14ac:dyDescent="0.2">
      <c r="A522">
        <f>Arrivals!A522</f>
        <v>5</v>
      </c>
      <c r="B522">
        <f>Arrivals!B522</f>
        <v>37</v>
      </c>
      <c r="C522" s="6">
        <f>Arrivals!F522</f>
        <v>313</v>
      </c>
      <c r="D522" s="6">
        <f>Arrivals!K522</f>
        <v>300</v>
      </c>
      <c r="E522" s="6">
        <f>D522*8/ACE_Input!S42+ACE_Input!T42</f>
        <v>24.02</v>
      </c>
      <c r="F522" s="6">
        <f t="shared" si="197"/>
        <v>313</v>
      </c>
      <c r="G522" s="6">
        <f t="shared" si="208"/>
        <v>1008.2399999999998</v>
      </c>
      <c r="H522" s="6">
        <f t="shared" si="198"/>
        <v>1008.2399999999998</v>
      </c>
      <c r="I522" s="6">
        <f>MOD(H522-Settings!$B$32,Settings!$B$33)</f>
        <v>288.23999999999978</v>
      </c>
      <c r="J522" s="6">
        <f>IF(I522&lt;Settings!$B$30,IF(Settings!$B$30-I522&gt;=E522,H522,H522+(Settings!$B$30-I522)+Settings!$B$31),H522+(Settings!$B$33-I522))</f>
        <v>1008.2399999999998</v>
      </c>
      <c r="K522" s="6">
        <f t="shared" si="199"/>
        <v>1032.2599999999998</v>
      </c>
      <c r="L522" s="6">
        <f t="shared" si="200"/>
        <v>1032.2599999999998</v>
      </c>
      <c r="M522" s="6">
        <f t="shared" si="209"/>
        <v>1015.0434010486644</v>
      </c>
      <c r="N522" s="6">
        <f t="shared" si="201"/>
        <v>1032.2599999999998</v>
      </c>
      <c r="O522" s="6">
        <f>Arrivals!I522</f>
        <v>1.1374933720471438</v>
      </c>
      <c r="P522" s="6">
        <f t="shared" si="202"/>
        <v>1033.3974933720469</v>
      </c>
      <c r="Q522" s="6">
        <f t="shared" si="203"/>
        <v>720.39749337204694</v>
      </c>
      <c r="R522" s="6">
        <f t="shared" si="204"/>
        <v>695.23999999999978</v>
      </c>
      <c r="S522" s="6">
        <f t="shared" si="205"/>
        <v>0</v>
      </c>
      <c r="T522" s="6">
        <f t="shared" si="206"/>
        <v>0</v>
      </c>
      <c r="U522" s="6">
        <f t="shared" si="207"/>
        <v>695.23999999999978</v>
      </c>
      <c r="V522" s="6" t="str">
        <f>IF(MOD(C522-Settings!$B$32,Settings!$B$33)&lt;Settings!$B$30,"Up","Down")</f>
        <v>Up</v>
      </c>
      <c r="W522" s="6">
        <f>IF(OR(E522&gt;Settings!$B$30,Q522&gt;Settings!$B$37),0,1)</f>
        <v>1</v>
      </c>
      <c r="X522" s="6">
        <f>IF(AND(W522=1,Q522&lt;=Settings!$B$36),1,0)</f>
        <v>0</v>
      </c>
    </row>
    <row r="523" spans="1:24" x14ac:dyDescent="0.2">
      <c r="A523">
        <f>Arrivals!A523</f>
        <v>5</v>
      </c>
      <c r="B523">
        <f>Arrivals!B523</f>
        <v>38</v>
      </c>
      <c r="C523" s="6">
        <f>Arrivals!F523</f>
        <v>318</v>
      </c>
      <c r="D523" s="6">
        <f>Arrivals!K523</f>
        <v>300</v>
      </c>
      <c r="E523" s="6">
        <f>D523*8/ACE_Input!S43+ACE_Input!T43</f>
        <v>24.02</v>
      </c>
      <c r="F523" s="6">
        <f t="shared" si="197"/>
        <v>318</v>
      </c>
      <c r="G523" s="6">
        <f t="shared" si="208"/>
        <v>1032.2599999999998</v>
      </c>
      <c r="H523" s="6">
        <f t="shared" si="198"/>
        <v>1032.2599999999998</v>
      </c>
      <c r="I523" s="6">
        <f>MOD(H523-Settings!$B$32,Settings!$B$33)</f>
        <v>312.25999999999976</v>
      </c>
      <c r="J523" s="6">
        <f>IF(I523&lt;Settings!$B$30,IF(Settings!$B$30-I523&gt;=E523,H523,H523+(Settings!$B$30-I523)+Settings!$B$31),H523+(Settings!$B$33-I523))</f>
        <v>1032.2599999999998</v>
      </c>
      <c r="K523" s="6">
        <f t="shared" si="199"/>
        <v>1056.2799999999997</v>
      </c>
      <c r="L523" s="6">
        <f t="shared" si="200"/>
        <v>1056.2799999999997</v>
      </c>
      <c r="M523" s="6">
        <f t="shared" si="209"/>
        <v>1033.3974933720469</v>
      </c>
      <c r="N523" s="6">
        <f t="shared" si="201"/>
        <v>1056.2799999999997</v>
      </c>
      <c r="O523" s="6">
        <f>Arrivals!I523</f>
        <v>14.531944140211415</v>
      </c>
      <c r="P523" s="6">
        <f t="shared" si="202"/>
        <v>1070.8119441402112</v>
      </c>
      <c r="Q523" s="6">
        <f t="shared" si="203"/>
        <v>752.81194414021115</v>
      </c>
      <c r="R523" s="6">
        <f t="shared" si="204"/>
        <v>714.25999999999976</v>
      </c>
      <c r="S523" s="6">
        <f t="shared" si="205"/>
        <v>0</v>
      </c>
      <c r="T523" s="6">
        <f t="shared" si="206"/>
        <v>0</v>
      </c>
      <c r="U523" s="6">
        <f t="shared" si="207"/>
        <v>714.25999999999976</v>
      </c>
      <c r="V523" s="6" t="str">
        <f>IF(MOD(C523-Settings!$B$32,Settings!$B$33)&lt;Settings!$B$30,"Up","Down")</f>
        <v>Up</v>
      </c>
      <c r="W523" s="6">
        <f>IF(OR(E523&gt;Settings!$B$30,Q523&gt;Settings!$B$37),0,1)</f>
        <v>1</v>
      </c>
      <c r="X523" s="6">
        <f>IF(AND(W523=1,Q523&lt;=Settings!$B$36),1,0)</f>
        <v>0</v>
      </c>
    </row>
    <row r="524" spans="1:24" x14ac:dyDescent="0.2">
      <c r="A524">
        <f>Arrivals!A524</f>
        <v>5</v>
      </c>
      <c r="B524">
        <f>Arrivals!B524</f>
        <v>39</v>
      </c>
      <c r="C524" s="6">
        <f>Arrivals!F524</f>
        <v>323</v>
      </c>
      <c r="D524" s="6">
        <f>Arrivals!K524</f>
        <v>300</v>
      </c>
      <c r="E524" s="6">
        <f>D524*8/ACE_Input!S44+ACE_Input!T44</f>
        <v>24.02</v>
      </c>
      <c r="F524" s="6">
        <f t="shared" si="197"/>
        <v>323</v>
      </c>
      <c r="G524" s="6">
        <f t="shared" si="208"/>
        <v>1056.2799999999997</v>
      </c>
      <c r="H524" s="6">
        <f t="shared" si="198"/>
        <v>1056.2799999999997</v>
      </c>
      <c r="I524" s="6">
        <f>MOD(H524-Settings!$B$32,Settings!$B$33)</f>
        <v>336.27999999999975</v>
      </c>
      <c r="J524" s="6">
        <f>IF(I524&lt;Settings!$B$30,IF(Settings!$B$30-I524&gt;=E524,H524,H524+(Settings!$B$30-I524)+Settings!$B$31),H524+(Settings!$B$33-I524))</f>
        <v>1056.2799999999997</v>
      </c>
      <c r="K524" s="6">
        <f t="shared" si="199"/>
        <v>1080.2999999999997</v>
      </c>
      <c r="L524" s="6">
        <f t="shared" si="200"/>
        <v>1080.2999999999997</v>
      </c>
      <c r="M524" s="6">
        <f t="shared" si="209"/>
        <v>1070.8119441402112</v>
      </c>
      <c r="N524" s="6">
        <f t="shared" si="201"/>
        <v>1080.2999999999997</v>
      </c>
      <c r="O524" s="6">
        <f>Arrivals!I524</f>
        <v>4.4498640573056347</v>
      </c>
      <c r="P524" s="6">
        <f t="shared" si="202"/>
        <v>1084.7498640573053</v>
      </c>
      <c r="Q524" s="6">
        <f t="shared" si="203"/>
        <v>761.74986405730533</v>
      </c>
      <c r="R524" s="6">
        <f t="shared" si="204"/>
        <v>733.27999999999975</v>
      </c>
      <c r="S524" s="6">
        <f t="shared" si="205"/>
        <v>0</v>
      </c>
      <c r="T524" s="6">
        <f t="shared" si="206"/>
        <v>0</v>
      </c>
      <c r="U524" s="6">
        <f t="shared" si="207"/>
        <v>733.27999999999975</v>
      </c>
      <c r="V524" s="6" t="str">
        <f>IF(MOD(C524-Settings!$B$32,Settings!$B$33)&lt;Settings!$B$30,"Up","Down")</f>
        <v>Up</v>
      </c>
      <c r="W524" s="6">
        <f>IF(OR(E524&gt;Settings!$B$30,Q524&gt;Settings!$B$37),0,1)</f>
        <v>1</v>
      </c>
      <c r="X524" s="6">
        <f>IF(AND(W524=1,Q524&lt;=Settings!$B$36),1,0)</f>
        <v>0</v>
      </c>
    </row>
    <row r="525" spans="1:24" x14ac:dyDescent="0.2">
      <c r="A525">
        <f>Arrivals!A525</f>
        <v>5</v>
      </c>
      <c r="B525">
        <f>Arrivals!B525</f>
        <v>40</v>
      </c>
      <c r="C525" s="6">
        <f>Arrivals!F525</f>
        <v>328</v>
      </c>
      <c r="D525" s="6">
        <f>Arrivals!K525</f>
        <v>300</v>
      </c>
      <c r="E525" s="6">
        <f>D525*8/ACE_Input!S45+ACE_Input!T45</f>
        <v>24.02</v>
      </c>
      <c r="F525" s="6">
        <f t="shared" si="197"/>
        <v>328</v>
      </c>
      <c r="G525" s="6">
        <f t="shared" si="208"/>
        <v>1080.2999999999997</v>
      </c>
      <c r="H525" s="6">
        <f t="shared" si="198"/>
        <v>1080.2999999999997</v>
      </c>
      <c r="I525" s="6">
        <f>MOD(H525-Settings!$B$32,Settings!$B$33)</f>
        <v>360.29999999999973</v>
      </c>
      <c r="J525" s="6">
        <f>IF(I525&lt;Settings!$B$30,IF(Settings!$B$30-I525&gt;=E525,H525,H525+(Settings!$B$30-I525)+Settings!$B$31),H525+(Settings!$B$33-I525))</f>
        <v>1080.2999999999997</v>
      </c>
      <c r="K525" s="6">
        <f t="shared" si="199"/>
        <v>1104.3199999999997</v>
      </c>
      <c r="L525" s="6">
        <f t="shared" si="200"/>
        <v>1104.3199999999997</v>
      </c>
      <c r="M525" s="6">
        <f t="shared" si="209"/>
        <v>1084.7498640573053</v>
      </c>
      <c r="N525" s="6">
        <f t="shared" si="201"/>
        <v>1104.3199999999997</v>
      </c>
      <c r="O525" s="6">
        <f>Arrivals!I525</f>
        <v>5.4614813747979012</v>
      </c>
      <c r="P525" s="6">
        <f t="shared" si="202"/>
        <v>1109.7814813747975</v>
      </c>
      <c r="Q525" s="6">
        <f t="shared" si="203"/>
        <v>781.78148137479752</v>
      </c>
      <c r="R525" s="6">
        <f t="shared" si="204"/>
        <v>752.29999999999973</v>
      </c>
      <c r="S525" s="6">
        <f t="shared" si="205"/>
        <v>0</v>
      </c>
      <c r="T525" s="6">
        <f t="shared" si="206"/>
        <v>0</v>
      </c>
      <c r="U525" s="6">
        <f t="shared" si="207"/>
        <v>752.29999999999973</v>
      </c>
      <c r="V525" s="6" t="str">
        <f>IF(MOD(C525-Settings!$B$32,Settings!$B$33)&lt;Settings!$B$30,"Up","Down")</f>
        <v>Up</v>
      </c>
      <c r="W525" s="6">
        <f>IF(OR(E525&gt;Settings!$B$30,Q525&gt;Settings!$B$37),0,1)</f>
        <v>1</v>
      </c>
      <c r="X525" s="6">
        <f>IF(AND(W525=1,Q525&lt;=Settings!$B$36),1,0)</f>
        <v>0</v>
      </c>
    </row>
    <row r="526" spans="1:24" x14ac:dyDescent="0.2">
      <c r="A526">
        <f>Arrivals!A526</f>
        <v>5</v>
      </c>
      <c r="B526">
        <f>Arrivals!B526</f>
        <v>41</v>
      </c>
      <c r="C526" s="6">
        <f>Arrivals!F526</f>
        <v>333</v>
      </c>
      <c r="D526" s="6">
        <f>Arrivals!K526</f>
        <v>300</v>
      </c>
      <c r="E526" s="6">
        <f>D526*8/ACE_Input!S46+ACE_Input!T46</f>
        <v>24.02</v>
      </c>
      <c r="F526" s="6">
        <f t="shared" si="197"/>
        <v>333</v>
      </c>
      <c r="G526" s="6">
        <f t="shared" si="208"/>
        <v>1104.3199999999997</v>
      </c>
      <c r="H526" s="6">
        <f t="shared" si="198"/>
        <v>1104.3199999999997</v>
      </c>
      <c r="I526" s="6">
        <f>MOD(H526-Settings!$B$32,Settings!$B$33)</f>
        <v>384.31999999999971</v>
      </c>
      <c r="J526" s="6">
        <f>IF(I526&lt;Settings!$B$30,IF(Settings!$B$30-I526&gt;=E526,H526,H526+(Settings!$B$30-I526)+Settings!$B$31),H526+(Settings!$B$33-I526))</f>
        <v>1104.3199999999997</v>
      </c>
      <c r="K526" s="6">
        <f t="shared" si="199"/>
        <v>1128.3399999999997</v>
      </c>
      <c r="L526" s="6">
        <f t="shared" si="200"/>
        <v>1128.3399999999997</v>
      </c>
      <c r="M526" s="6">
        <f t="shared" si="209"/>
        <v>1109.7814813747975</v>
      </c>
      <c r="N526" s="6">
        <f t="shared" si="201"/>
        <v>1128.3399999999997</v>
      </c>
      <c r="O526" s="6">
        <f>Arrivals!I526</f>
        <v>2.0853042277227445</v>
      </c>
      <c r="P526" s="6">
        <f t="shared" si="202"/>
        <v>1130.4253042277223</v>
      </c>
      <c r="Q526" s="6">
        <f t="shared" si="203"/>
        <v>797.42530422772234</v>
      </c>
      <c r="R526" s="6">
        <f t="shared" si="204"/>
        <v>771.31999999999971</v>
      </c>
      <c r="S526" s="6">
        <f t="shared" si="205"/>
        <v>0</v>
      </c>
      <c r="T526" s="6">
        <f t="shared" si="206"/>
        <v>0</v>
      </c>
      <c r="U526" s="6">
        <f t="shared" si="207"/>
        <v>771.31999999999971</v>
      </c>
      <c r="V526" s="6" t="str">
        <f>IF(MOD(C526-Settings!$B$32,Settings!$B$33)&lt;Settings!$B$30,"Up","Down")</f>
        <v>Up</v>
      </c>
      <c r="W526" s="6">
        <f>IF(OR(E526&gt;Settings!$B$30,Q526&gt;Settings!$B$37),0,1)</f>
        <v>1</v>
      </c>
      <c r="X526" s="6">
        <f>IF(AND(W526=1,Q526&lt;=Settings!$B$36),1,0)</f>
        <v>0</v>
      </c>
    </row>
    <row r="527" spans="1:24" x14ac:dyDescent="0.2">
      <c r="A527">
        <f>Arrivals!A527</f>
        <v>5</v>
      </c>
      <c r="B527">
        <f>Arrivals!B527</f>
        <v>42</v>
      </c>
      <c r="C527" s="6">
        <f>Arrivals!F527</f>
        <v>338</v>
      </c>
      <c r="D527" s="6">
        <f>Arrivals!K527</f>
        <v>300</v>
      </c>
      <c r="E527" s="6">
        <f>D527*8/ACE_Input!S47+ACE_Input!T47</f>
        <v>24.02</v>
      </c>
      <c r="F527" s="6">
        <f t="shared" si="197"/>
        <v>338</v>
      </c>
      <c r="G527" s="6">
        <f t="shared" si="208"/>
        <v>1128.3399999999997</v>
      </c>
      <c r="H527" s="6">
        <f t="shared" si="198"/>
        <v>1128.3399999999997</v>
      </c>
      <c r="I527" s="6">
        <f>MOD(H527-Settings!$B$32,Settings!$B$33)</f>
        <v>408.33999999999969</v>
      </c>
      <c r="J527" s="6">
        <f>IF(I527&lt;Settings!$B$30,IF(Settings!$B$30-I527&gt;=E527,H527,H527+(Settings!$B$30-I527)+Settings!$B$31),H527+(Settings!$B$33-I527))</f>
        <v>1128.3399999999997</v>
      </c>
      <c r="K527" s="6">
        <f t="shared" si="199"/>
        <v>1152.3599999999997</v>
      </c>
      <c r="L527" s="6">
        <f t="shared" si="200"/>
        <v>1152.3599999999997</v>
      </c>
      <c r="M527" s="6">
        <f t="shared" si="209"/>
        <v>1130.4253042277223</v>
      </c>
      <c r="N527" s="6">
        <f t="shared" si="201"/>
        <v>1152.3599999999997</v>
      </c>
      <c r="O527" s="6">
        <f>Arrivals!I527</f>
        <v>0.57765986676506065</v>
      </c>
      <c r="P527" s="6">
        <f t="shared" si="202"/>
        <v>1152.9376598667648</v>
      </c>
      <c r="Q527" s="6">
        <f t="shared" si="203"/>
        <v>814.93765986676476</v>
      </c>
      <c r="R527" s="6">
        <f t="shared" si="204"/>
        <v>790.33999999999969</v>
      </c>
      <c r="S527" s="6">
        <f t="shared" si="205"/>
        <v>0</v>
      </c>
      <c r="T527" s="6">
        <f t="shared" si="206"/>
        <v>0</v>
      </c>
      <c r="U527" s="6">
        <f t="shared" si="207"/>
        <v>790.33999999999969</v>
      </c>
      <c r="V527" s="6" t="str">
        <f>IF(MOD(C527-Settings!$B$32,Settings!$B$33)&lt;Settings!$B$30,"Up","Down")</f>
        <v>Up</v>
      </c>
      <c r="W527" s="6">
        <f>IF(OR(E527&gt;Settings!$B$30,Q527&gt;Settings!$B$37),0,1)</f>
        <v>1</v>
      </c>
      <c r="X527" s="6">
        <f>IF(AND(W527=1,Q527&lt;=Settings!$B$36),1,0)</f>
        <v>0</v>
      </c>
    </row>
    <row r="528" spans="1:24" x14ac:dyDescent="0.2">
      <c r="A528">
        <f>Arrivals!A528</f>
        <v>5</v>
      </c>
      <c r="B528">
        <f>Arrivals!B528</f>
        <v>43</v>
      </c>
      <c r="C528" s="6">
        <f>Arrivals!F528</f>
        <v>343</v>
      </c>
      <c r="D528" s="6">
        <f>Arrivals!K528</f>
        <v>300</v>
      </c>
      <c r="E528" s="6">
        <f>D528*8/ACE_Input!S48+ACE_Input!T48</f>
        <v>24.02</v>
      </c>
      <c r="F528" s="6">
        <f t="shared" si="197"/>
        <v>343</v>
      </c>
      <c r="G528" s="6">
        <f t="shared" si="208"/>
        <v>1152.3599999999997</v>
      </c>
      <c r="H528" s="6">
        <f t="shared" si="198"/>
        <v>1152.3599999999997</v>
      </c>
      <c r="I528" s="6">
        <f>MOD(H528-Settings!$B$32,Settings!$B$33)</f>
        <v>432.35999999999967</v>
      </c>
      <c r="J528" s="6">
        <f>IF(I528&lt;Settings!$B$30,IF(Settings!$B$30-I528&gt;=E528,H528,H528+(Settings!$B$30-I528)+Settings!$B$31),H528+(Settings!$B$33-I528))</f>
        <v>1152.3599999999997</v>
      </c>
      <c r="K528" s="6">
        <f t="shared" si="199"/>
        <v>1176.3799999999997</v>
      </c>
      <c r="L528" s="6">
        <f t="shared" si="200"/>
        <v>1176.3799999999997</v>
      </c>
      <c r="M528" s="6">
        <f t="shared" si="209"/>
        <v>1152.9376598667648</v>
      </c>
      <c r="N528" s="6">
        <f t="shared" si="201"/>
        <v>1176.3799999999997</v>
      </c>
      <c r="O528" s="6">
        <f>Arrivals!I528</f>
        <v>0.25758065359708437</v>
      </c>
      <c r="P528" s="6">
        <f t="shared" si="202"/>
        <v>1176.6375806535968</v>
      </c>
      <c r="Q528" s="6">
        <f t="shared" si="203"/>
        <v>833.63758065359684</v>
      </c>
      <c r="R528" s="6">
        <f t="shared" si="204"/>
        <v>809.35999999999967</v>
      </c>
      <c r="S528" s="6">
        <f t="shared" si="205"/>
        <v>0</v>
      </c>
      <c r="T528" s="6">
        <f t="shared" si="206"/>
        <v>0</v>
      </c>
      <c r="U528" s="6">
        <f t="shared" si="207"/>
        <v>809.35999999999967</v>
      </c>
      <c r="V528" s="6" t="str">
        <f>IF(MOD(C528-Settings!$B$32,Settings!$B$33)&lt;Settings!$B$30,"Up","Down")</f>
        <v>Up</v>
      </c>
      <c r="W528" s="6">
        <f>IF(OR(E528&gt;Settings!$B$30,Q528&gt;Settings!$B$37),0,1)</f>
        <v>1</v>
      </c>
      <c r="X528" s="6">
        <f>IF(AND(W528=1,Q528&lt;=Settings!$B$36),1,0)</f>
        <v>0</v>
      </c>
    </row>
    <row r="529" spans="1:24" x14ac:dyDescent="0.2">
      <c r="A529">
        <f>Arrivals!A529</f>
        <v>5</v>
      </c>
      <c r="B529">
        <f>Arrivals!B529</f>
        <v>44</v>
      </c>
      <c r="C529" s="6">
        <f>Arrivals!F529</f>
        <v>348</v>
      </c>
      <c r="D529" s="6">
        <f>Arrivals!K529</f>
        <v>300</v>
      </c>
      <c r="E529" s="6">
        <f>D529*8/ACE_Input!S49+ACE_Input!T49</f>
        <v>24.02</v>
      </c>
      <c r="F529" s="6">
        <f t="shared" si="197"/>
        <v>348</v>
      </c>
      <c r="G529" s="6">
        <f t="shared" si="208"/>
        <v>1176.3799999999997</v>
      </c>
      <c r="H529" s="6">
        <f t="shared" si="198"/>
        <v>1176.3799999999997</v>
      </c>
      <c r="I529" s="6">
        <f>MOD(H529-Settings!$B$32,Settings!$B$33)</f>
        <v>456.37999999999965</v>
      </c>
      <c r="J529" s="6">
        <f>IF(I529&lt;Settings!$B$30,IF(Settings!$B$30-I529&gt;=E529,H529,H529+(Settings!$B$30-I529)+Settings!$B$31),H529+(Settings!$B$33-I529))</f>
        <v>1176.3799999999997</v>
      </c>
      <c r="K529" s="6">
        <f t="shared" si="199"/>
        <v>1200.3999999999996</v>
      </c>
      <c r="L529" s="6">
        <f t="shared" si="200"/>
        <v>1200.3999999999996</v>
      </c>
      <c r="M529" s="6">
        <f t="shared" si="209"/>
        <v>1176.6375806535968</v>
      </c>
      <c r="N529" s="6">
        <f t="shared" si="201"/>
        <v>1200.3999999999996</v>
      </c>
      <c r="O529" s="6">
        <f>Arrivals!I529</f>
        <v>0.78655627020706309</v>
      </c>
      <c r="P529" s="6">
        <f t="shared" si="202"/>
        <v>1201.1865562702067</v>
      </c>
      <c r="Q529" s="6">
        <f t="shared" si="203"/>
        <v>853.18655627020667</v>
      </c>
      <c r="R529" s="6">
        <f t="shared" si="204"/>
        <v>828.37999999999965</v>
      </c>
      <c r="S529" s="6">
        <f t="shared" si="205"/>
        <v>0</v>
      </c>
      <c r="T529" s="6">
        <f t="shared" si="206"/>
        <v>0</v>
      </c>
      <c r="U529" s="6">
        <f t="shared" si="207"/>
        <v>828.37999999999965</v>
      </c>
      <c r="V529" s="6" t="str">
        <f>IF(MOD(C529-Settings!$B$32,Settings!$B$33)&lt;Settings!$B$30,"Up","Down")</f>
        <v>Up</v>
      </c>
      <c r="W529" s="6">
        <f>IF(OR(E529&gt;Settings!$B$30,Q529&gt;Settings!$B$37),0,1)</f>
        <v>1</v>
      </c>
      <c r="X529" s="6">
        <f>IF(AND(W529=1,Q529&lt;=Settings!$B$36),1,0)</f>
        <v>0</v>
      </c>
    </row>
    <row r="530" spans="1:24" x14ac:dyDescent="0.2">
      <c r="A530">
        <f>Arrivals!A530</f>
        <v>5</v>
      </c>
      <c r="B530">
        <f>Arrivals!B530</f>
        <v>45</v>
      </c>
      <c r="C530" s="6">
        <f>Arrivals!F530</f>
        <v>354</v>
      </c>
      <c r="D530" s="6">
        <f>Arrivals!K530</f>
        <v>300</v>
      </c>
      <c r="E530" s="6">
        <f>D530*8/ACE_Input!S50+ACE_Input!T50</f>
        <v>24.02</v>
      </c>
      <c r="F530" s="6">
        <f t="shared" si="197"/>
        <v>354</v>
      </c>
      <c r="G530" s="6">
        <f t="shared" si="208"/>
        <v>1200.3999999999996</v>
      </c>
      <c r="H530" s="6">
        <f t="shared" si="198"/>
        <v>1200.3999999999996</v>
      </c>
      <c r="I530" s="6">
        <f>MOD(H530-Settings!$B$32,Settings!$B$33)</f>
        <v>480.39999999999964</v>
      </c>
      <c r="J530" s="6">
        <f>IF(I530&lt;Settings!$B$30,IF(Settings!$B$30-I530&gt;=E530,H530,H530+(Settings!$B$30-I530)+Settings!$B$31),H530+(Settings!$B$33-I530))</f>
        <v>1200.3999999999996</v>
      </c>
      <c r="K530" s="6">
        <f t="shared" si="199"/>
        <v>1224.4199999999996</v>
      </c>
      <c r="L530" s="6">
        <f t="shared" si="200"/>
        <v>1224.4199999999996</v>
      </c>
      <c r="M530" s="6">
        <f t="shared" si="209"/>
        <v>1201.1865562702067</v>
      </c>
      <c r="N530" s="6">
        <f t="shared" si="201"/>
        <v>1224.4199999999996</v>
      </c>
      <c r="O530" s="6">
        <f>Arrivals!I530</f>
        <v>1.2404035983688773</v>
      </c>
      <c r="P530" s="6">
        <f t="shared" si="202"/>
        <v>1225.6604035983685</v>
      </c>
      <c r="Q530" s="6">
        <f t="shared" si="203"/>
        <v>871.66040359836848</v>
      </c>
      <c r="R530" s="6">
        <f t="shared" si="204"/>
        <v>846.39999999999964</v>
      </c>
      <c r="S530" s="6">
        <f t="shared" si="205"/>
        <v>0</v>
      </c>
      <c r="T530" s="6">
        <f t="shared" si="206"/>
        <v>0</v>
      </c>
      <c r="U530" s="6">
        <f t="shared" si="207"/>
        <v>846.39999999999964</v>
      </c>
      <c r="V530" s="6" t="str">
        <f>IF(MOD(C530-Settings!$B$32,Settings!$B$33)&lt;Settings!$B$30,"Up","Down")</f>
        <v>Up</v>
      </c>
      <c r="W530" s="6">
        <f>IF(OR(E530&gt;Settings!$B$30,Q530&gt;Settings!$B$37),0,1)</f>
        <v>1</v>
      </c>
      <c r="X530" s="6">
        <f>IF(AND(W530=1,Q530&lt;=Settings!$B$36),1,0)</f>
        <v>0</v>
      </c>
    </row>
    <row r="531" spans="1:24" x14ac:dyDescent="0.2">
      <c r="A531">
        <f>Arrivals!A531</f>
        <v>5</v>
      </c>
      <c r="B531">
        <f>Arrivals!B531</f>
        <v>46</v>
      </c>
      <c r="C531" s="6">
        <f>Arrivals!F531</f>
        <v>359</v>
      </c>
      <c r="D531" s="6">
        <f>Arrivals!K531</f>
        <v>300</v>
      </c>
      <c r="E531" s="6">
        <f>D531*8/ACE_Input!S51+ACE_Input!T51</f>
        <v>24.02</v>
      </c>
      <c r="F531" s="6">
        <f t="shared" si="197"/>
        <v>359</v>
      </c>
      <c r="G531" s="6">
        <f t="shared" si="208"/>
        <v>1224.4199999999996</v>
      </c>
      <c r="H531" s="6">
        <f t="shared" si="198"/>
        <v>1224.4199999999996</v>
      </c>
      <c r="I531" s="6">
        <f>MOD(H531-Settings!$B$32,Settings!$B$33)</f>
        <v>504.41999999999962</v>
      </c>
      <c r="J531" s="6">
        <f>IF(I531&lt;Settings!$B$30,IF(Settings!$B$30-I531&gt;=E531,H531,H531+(Settings!$B$30-I531)+Settings!$B$31),H531+(Settings!$B$33-I531))</f>
        <v>1224.4199999999996</v>
      </c>
      <c r="K531" s="6">
        <f t="shared" si="199"/>
        <v>1248.4399999999996</v>
      </c>
      <c r="L531" s="6">
        <f t="shared" si="200"/>
        <v>1248.4399999999996</v>
      </c>
      <c r="M531" s="6">
        <f t="shared" si="209"/>
        <v>1225.6604035983685</v>
      </c>
      <c r="N531" s="6">
        <f t="shared" si="201"/>
        <v>1248.4399999999996</v>
      </c>
      <c r="O531" s="6">
        <f>Arrivals!I531</f>
        <v>0.89626391966557262</v>
      </c>
      <c r="P531" s="6">
        <f t="shared" si="202"/>
        <v>1249.3362639196653</v>
      </c>
      <c r="Q531" s="6">
        <f t="shared" si="203"/>
        <v>890.33626391966527</v>
      </c>
      <c r="R531" s="6">
        <f t="shared" si="204"/>
        <v>865.41999999999962</v>
      </c>
      <c r="S531" s="6">
        <f t="shared" si="205"/>
        <v>0</v>
      </c>
      <c r="T531" s="6">
        <f t="shared" si="206"/>
        <v>0</v>
      </c>
      <c r="U531" s="6">
        <f t="shared" si="207"/>
        <v>865.41999999999962</v>
      </c>
      <c r="V531" s="6" t="str">
        <f>IF(MOD(C531-Settings!$B$32,Settings!$B$33)&lt;Settings!$B$30,"Up","Down")</f>
        <v>Up</v>
      </c>
      <c r="W531" s="6">
        <f>IF(OR(E531&gt;Settings!$B$30,Q531&gt;Settings!$B$37),0,1)</f>
        <v>1</v>
      </c>
      <c r="X531" s="6">
        <f>IF(AND(W531=1,Q531&lt;=Settings!$B$36),1,0)</f>
        <v>0</v>
      </c>
    </row>
    <row r="532" spans="1:24" x14ac:dyDescent="0.2">
      <c r="A532">
        <f>Arrivals!A532</f>
        <v>5</v>
      </c>
      <c r="B532">
        <f>Arrivals!B532</f>
        <v>47</v>
      </c>
      <c r="C532" s="6">
        <f>Arrivals!F532</f>
        <v>364</v>
      </c>
      <c r="D532" s="6">
        <f>Arrivals!K532</f>
        <v>300</v>
      </c>
      <c r="E532" s="6">
        <f>D532*8/ACE_Input!S52+ACE_Input!T52</f>
        <v>24.02</v>
      </c>
      <c r="F532" s="6">
        <f t="shared" si="197"/>
        <v>364</v>
      </c>
      <c r="G532" s="6">
        <f t="shared" si="208"/>
        <v>1248.4399999999996</v>
      </c>
      <c r="H532" s="6">
        <f t="shared" si="198"/>
        <v>1248.4399999999996</v>
      </c>
      <c r="I532" s="6">
        <f>MOD(H532-Settings!$B$32,Settings!$B$33)</f>
        <v>528.4399999999996</v>
      </c>
      <c r="J532" s="6">
        <f>IF(I532&lt;Settings!$B$30,IF(Settings!$B$30-I532&gt;=E532,H532,H532+(Settings!$B$30-I532)+Settings!$B$31),H532+(Settings!$B$33-I532))</f>
        <v>1248.4399999999996</v>
      </c>
      <c r="K532" s="6">
        <f t="shared" si="199"/>
        <v>1272.4599999999996</v>
      </c>
      <c r="L532" s="6">
        <f t="shared" si="200"/>
        <v>1272.4599999999996</v>
      </c>
      <c r="M532" s="6">
        <f t="shared" si="209"/>
        <v>1249.3362639196653</v>
      </c>
      <c r="N532" s="6">
        <f t="shared" si="201"/>
        <v>1272.4599999999996</v>
      </c>
      <c r="O532" s="6">
        <f>Arrivals!I532</f>
        <v>6.3759813149211739</v>
      </c>
      <c r="P532" s="6">
        <f t="shared" si="202"/>
        <v>1278.8359813149207</v>
      </c>
      <c r="Q532" s="6">
        <f t="shared" si="203"/>
        <v>914.83598131492067</v>
      </c>
      <c r="R532" s="6">
        <f t="shared" si="204"/>
        <v>884.4399999999996</v>
      </c>
      <c r="S532" s="6">
        <f t="shared" si="205"/>
        <v>0</v>
      </c>
      <c r="T532" s="6">
        <f t="shared" si="206"/>
        <v>0</v>
      </c>
      <c r="U532" s="6">
        <f t="shared" si="207"/>
        <v>884.4399999999996</v>
      </c>
      <c r="V532" s="6" t="str">
        <f>IF(MOD(C532-Settings!$B$32,Settings!$B$33)&lt;Settings!$B$30,"Up","Down")</f>
        <v>Up</v>
      </c>
      <c r="W532" s="6">
        <f>IF(OR(E532&gt;Settings!$B$30,Q532&gt;Settings!$B$37),0,1)</f>
        <v>0</v>
      </c>
      <c r="X532" s="6">
        <f>IF(AND(W532=1,Q532&lt;=Settings!$B$36),1,0)</f>
        <v>0</v>
      </c>
    </row>
    <row r="533" spans="1:24" x14ac:dyDescent="0.2">
      <c r="A533">
        <f>Arrivals!A533</f>
        <v>5</v>
      </c>
      <c r="B533">
        <f>Arrivals!B533</f>
        <v>48</v>
      </c>
      <c r="C533" s="6">
        <f>Arrivals!F533</f>
        <v>369</v>
      </c>
      <c r="D533" s="6">
        <f>Arrivals!K533</f>
        <v>300</v>
      </c>
      <c r="E533" s="6">
        <f>D533*8/ACE_Input!S53+ACE_Input!T53</f>
        <v>24.02</v>
      </c>
      <c r="F533" s="6">
        <f t="shared" si="197"/>
        <v>369</v>
      </c>
      <c r="G533" s="6">
        <f t="shared" si="208"/>
        <v>1272.4599999999996</v>
      </c>
      <c r="H533" s="6">
        <f t="shared" si="198"/>
        <v>1272.4599999999996</v>
      </c>
      <c r="I533" s="6">
        <f>MOD(H533-Settings!$B$32,Settings!$B$33)</f>
        <v>552.45999999999958</v>
      </c>
      <c r="J533" s="6">
        <f>IF(I533&lt;Settings!$B$30,IF(Settings!$B$30-I533&gt;=E533,H533,H533+(Settings!$B$30-I533)+Settings!$B$31),H533+(Settings!$B$33-I533))</f>
        <v>1272.4599999999996</v>
      </c>
      <c r="K533" s="6">
        <f t="shared" si="199"/>
        <v>1296.4799999999996</v>
      </c>
      <c r="L533" s="6">
        <f t="shared" si="200"/>
        <v>1296.4799999999996</v>
      </c>
      <c r="M533" s="6">
        <f t="shared" si="209"/>
        <v>1278.8359813149207</v>
      </c>
      <c r="N533" s="6">
        <f t="shared" si="201"/>
        <v>1296.4799999999996</v>
      </c>
      <c r="O533" s="6">
        <f>Arrivals!I533</f>
        <v>1.3611022006073221</v>
      </c>
      <c r="P533" s="6">
        <f t="shared" si="202"/>
        <v>1297.8411022006069</v>
      </c>
      <c r="Q533" s="6">
        <f t="shared" si="203"/>
        <v>928.84110220060688</v>
      </c>
      <c r="R533" s="6">
        <f t="shared" si="204"/>
        <v>903.45999999999958</v>
      </c>
      <c r="S533" s="6">
        <f t="shared" si="205"/>
        <v>0</v>
      </c>
      <c r="T533" s="6">
        <f t="shared" si="206"/>
        <v>0</v>
      </c>
      <c r="U533" s="6">
        <f t="shared" si="207"/>
        <v>903.45999999999958</v>
      </c>
      <c r="V533" s="6" t="str">
        <f>IF(MOD(C533-Settings!$B$32,Settings!$B$33)&lt;Settings!$B$30,"Up","Down")</f>
        <v>Up</v>
      </c>
      <c r="W533" s="6">
        <f>IF(OR(E533&gt;Settings!$B$30,Q533&gt;Settings!$B$37),0,1)</f>
        <v>0</v>
      </c>
      <c r="X533" s="6">
        <f>IF(AND(W533=1,Q533&lt;=Settings!$B$36),1,0)</f>
        <v>0</v>
      </c>
    </row>
    <row r="534" spans="1:24" x14ac:dyDescent="0.2">
      <c r="A534">
        <f>Arrivals!A534</f>
        <v>5</v>
      </c>
      <c r="B534">
        <f>Arrivals!B534</f>
        <v>49</v>
      </c>
      <c r="C534" s="6">
        <f>Arrivals!F534</f>
        <v>374</v>
      </c>
      <c r="D534" s="6">
        <f>Arrivals!K534</f>
        <v>300</v>
      </c>
      <c r="E534" s="6">
        <f>D534*8/ACE_Input!S54+ACE_Input!T54</f>
        <v>24.02</v>
      </c>
      <c r="F534" s="6">
        <f t="shared" si="197"/>
        <v>374</v>
      </c>
      <c r="G534" s="6">
        <f t="shared" si="208"/>
        <v>1296.4799999999996</v>
      </c>
      <c r="H534" s="6">
        <f t="shared" si="198"/>
        <v>1296.4799999999996</v>
      </c>
      <c r="I534" s="6">
        <f>MOD(H534-Settings!$B$32,Settings!$B$33)</f>
        <v>576.47999999999956</v>
      </c>
      <c r="J534" s="6">
        <f>IF(I534&lt;Settings!$B$30,IF(Settings!$B$30-I534&gt;=E534,H534,H534+(Settings!$B$30-I534)+Settings!$B$31),H534+(Settings!$B$33-I534))</f>
        <v>1440</v>
      </c>
      <c r="K534" s="6">
        <f t="shared" si="199"/>
        <v>1464.02</v>
      </c>
      <c r="L534" s="6">
        <f t="shared" si="200"/>
        <v>1464.02</v>
      </c>
      <c r="M534" s="6">
        <f t="shared" si="209"/>
        <v>1297.8411022006069</v>
      </c>
      <c r="N534" s="6">
        <f t="shared" si="201"/>
        <v>1464.02</v>
      </c>
      <c r="O534" s="6">
        <f>Arrivals!I534</f>
        <v>3.3951039058837726</v>
      </c>
      <c r="P534" s="6">
        <f t="shared" si="202"/>
        <v>1467.4151039058838</v>
      </c>
      <c r="Q534" s="6">
        <f t="shared" si="203"/>
        <v>1093.4151039058838</v>
      </c>
      <c r="R534" s="6">
        <f t="shared" si="204"/>
        <v>922.47999999999956</v>
      </c>
      <c r="S534" s="6">
        <f t="shared" si="205"/>
        <v>143.52000000000044</v>
      </c>
      <c r="T534" s="6">
        <f t="shared" si="206"/>
        <v>0</v>
      </c>
      <c r="U534" s="6">
        <f t="shared" si="207"/>
        <v>1066</v>
      </c>
      <c r="V534" s="6" t="str">
        <f>IF(MOD(C534-Settings!$B$32,Settings!$B$33)&lt;Settings!$B$30,"Up","Down")</f>
        <v>Up</v>
      </c>
      <c r="W534" s="6">
        <f>IF(OR(E534&gt;Settings!$B$30,Q534&gt;Settings!$B$37),0,1)</f>
        <v>0</v>
      </c>
      <c r="X534" s="6">
        <f>IF(AND(W534=1,Q534&lt;=Settings!$B$36),1,0)</f>
        <v>0</v>
      </c>
    </row>
    <row r="535" spans="1:24" x14ac:dyDescent="0.2">
      <c r="A535">
        <f>Arrivals!A535</f>
        <v>5</v>
      </c>
      <c r="B535">
        <f>Arrivals!B535</f>
        <v>50</v>
      </c>
      <c r="C535" s="6">
        <f>Arrivals!F535</f>
        <v>379</v>
      </c>
      <c r="D535" s="6">
        <f>Arrivals!K535</f>
        <v>300</v>
      </c>
      <c r="E535" s="6">
        <f>D535*8/ACE_Input!S55+ACE_Input!T55</f>
        <v>24.02</v>
      </c>
      <c r="F535" s="6">
        <f t="shared" si="197"/>
        <v>379</v>
      </c>
      <c r="G535" s="6">
        <f t="shared" si="208"/>
        <v>1464.02</v>
      </c>
      <c r="H535" s="6">
        <f t="shared" si="198"/>
        <v>1464.02</v>
      </c>
      <c r="I535" s="6">
        <f>MOD(H535-Settings!$B$32,Settings!$B$33)</f>
        <v>24.019999999999982</v>
      </c>
      <c r="J535" s="6">
        <f>IF(I535&lt;Settings!$B$30,IF(Settings!$B$30-I535&gt;=E535,H535,H535+(Settings!$B$30-I535)+Settings!$B$31),H535+(Settings!$B$33-I535))</f>
        <v>1464.02</v>
      </c>
      <c r="K535" s="6">
        <f t="shared" si="199"/>
        <v>1488.04</v>
      </c>
      <c r="L535" s="6">
        <f t="shared" si="200"/>
        <v>1488.04</v>
      </c>
      <c r="M535" s="6">
        <f t="shared" si="209"/>
        <v>1467.4151039058838</v>
      </c>
      <c r="N535" s="6">
        <f t="shared" si="201"/>
        <v>1488.04</v>
      </c>
      <c r="O535" s="6">
        <f>Arrivals!I535</f>
        <v>4.0755688028956074</v>
      </c>
      <c r="P535" s="6">
        <f t="shared" si="202"/>
        <v>1492.1155688028955</v>
      </c>
      <c r="Q535" s="6">
        <f t="shared" si="203"/>
        <v>1113.1155688028955</v>
      </c>
      <c r="R535" s="6">
        <f t="shared" si="204"/>
        <v>1085.02</v>
      </c>
      <c r="S535" s="6">
        <f t="shared" si="205"/>
        <v>0</v>
      </c>
      <c r="T535" s="6">
        <f t="shared" si="206"/>
        <v>0</v>
      </c>
      <c r="U535" s="6">
        <f t="shared" si="207"/>
        <v>1085.02</v>
      </c>
      <c r="V535" s="6" t="str">
        <f>IF(MOD(C535-Settings!$B$32,Settings!$B$33)&lt;Settings!$B$30,"Up","Down")</f>
        <v>Up</v>
      </c>
      <c r="W535" s="6">
        <f>IF(OR(E535&gt;Settings!$B$30,Q535&gt;Settings!$B$37),0,1)</f>
        <v>0</v>
      </c>
      <c r="X535" s="6">
        <f>IF(AND(W535=1,Q535&lt;=Settings!$B$36),1,0)</f>
        <v>0</v>
      </c>
    </row>
    <row r="536" spans="1:24" x14ac:dyDescent="0.2">
      <c r="A536">
        <f>Arrivals!A536</f>
        <v>5</v>
      </c>
      <c r="B536">
        <f>Arrivals!B536</f>
        <v>51</v>
      </c>
      <c r="C536" s="6">
        <f>Arrivals!F536</f>
        <v>384</v>
      </c>
      <c r="D536" s="6">
        <f>Arrivals!K536</f>
        <v>300</v>
      </c>
      <c r="E536" s="6">
        <f>D536*8/ACE_Input!S56+ACE_Input!T56</f>
        <v>24.02</v>
      </c>
      <c r="F536" s="6">
        <f t="shared" si="197"/>
        <v>384</v>
      </c>
      <c r="G536" s="6">
        <f t="shared" si="208"/>
        <v>1488.04</v>
      </c>
      <c r="H536" s="6">
        <f t="shared" si="198"/>
        <v>1488.04</v>
      </c>
      <c r="I536" s="6">
        <f>MOD(H536-Settings!$B$32,Settings!$B$33)</f>
        <v>48.039999999999964</v>
      </c>
      <c r="J536" s="6">
        <f>IF(I536&lt;Settings!$B$30,IF(Settings!$B$30-I536&gt;=E536,H536,H536+(Settings!$B$30-I536)+Settings!$B$31),H536+(Settings!$B$33-I536))</f>
        <v>1488.04</v>
      </c>
      <c r="K536" s="6">
        <f t="shared" si="199"/>
        <v>1512.06</v>
      </c>
      <c r="L536" s="6">
        <f t="shared" si="200"/>
        <v>1512.06</v>
      </c>
      <c r="M536" s="6">
        <f t="shared" si="209"/>
        <v>1492.1155688028955</v>
      </c>
      <c r="N536" s="6">
        <f t="shared" si="201"/>
        <v>1512.06</v>
      </c>
      <c r="O536" s="6">
        <f>Arrivals!I536</f>
        <v>5.7635362374015378</v>
      </c>
      <c r="P536" s="6">
        <f t="shared" si="202"/>
        <v>1517.8235362374014</v>
      </c>
      <c r="Q536" s="6">
        <f t="shared" si="203"/>
        <v>1133.8235362374014</v>
      </c>
      <c r="R536" s="6">
        <f t="shared" si="204"/>
        <v>1104.04</v>
      </c>
      <c r="S536" s="6">
        <f t="shared" si="205"/>
        <v>0</v>
      </c>
      <c r="T536" s="6">
        <f t="shared" si="206"/>
        <v>0</v>
      </c>
      <c r="U536" s="6">
        <f t="shared" si="207"/>
        <v>1104.04</v>
      </c>
      <c r="V536" s="6" t="str">
        <f>IF(MOD(C536-Settings!$B$32,Settings!$B$33)&lt;Settings!$B$30,"Up","Down")</f>
        <v>Up</v>
      </c>
      <c r="W536" s="6">
        <f>IF(OR(E536&gt;Settings!$B$30,Q536&gt;Settings!$B$37),0,1)</f>
        <v>0</v>
      </c>
      <c r="X536" s="6">
        <f>IF(AND(W536=1,Q536&lt;=Settings!$B$36),1,0)</f>
        <v>0</v>
      </c>
    </row>
    <row r="537" spans="1:24" x14ac:dyDescent="0.2">
      <c r="A537">
        <f>Arrivals!A537</f>
        <v>5</v>
      </c>
      <c r="B537">
        <f>Arrivals!B537</f>
        <v>52</v>
      </c>
      <c r="C537" s="6">
        <f>Arrivals!F537</f>
        <v>389</v>
      </c>
      <c r="D537" s="6">
        <f>Arrivals!K537</f>
        <v>300</v>
      </c>
      <c r="E537" s="6">
        <f>D537*8/ACE_Input!S57+ACE_Input!T57</f>
        <v>24.02</v>
      </c>
      <c r="F537" s="6">
        <f t="shared" si="197"/>
        <v>389</v>
      </c>
      <c r="G537" s="6">
        <f t="shared" si="208"/>
        <v>1512.06</v>
      </c>
      <c r="H537" s="6">
        <f t="shared" si="198"/>
        <v>1512.06</v>
      </c>
      <c r="I537" s="6">
        <f>MOD(H537-Settings!$B$32,Settings!$B$33)</f>
        <v>72.059999999999945</v>
      </c>
      <c r="J537" s="6">
        <f>IF(I537&lt;Settings!$B$30,IF(Settings!$B$30-I537&gt;=E537,H537,H537+(Settings!$B$30-I537)+Settings!$B$31),H537+(Settings!$B$33-I537))</f>
        <v>1512.06</v>
      </c>
      <c r="K537" s="6">
        <f t="shared" si="199"/>
        <v>1536.08</v>
      </c>
      <c r="L537" s="6">
        <f t="shared" si="200"/>
        <v>1536.08</v>
      </c>
      <c r="M537" s="6">
        <f t="shared" si="209"/>
        <v>1517.8235362374014</v>
      </c>
      <c r="N537" s="6">
        <f t="shared" si="201"/>
        <v>1536.08</v>
      </c>
      <c r="O537" s="6">
        <f>Arrivals!I537</f>
        <v>2.5695741224954163</v>
      </c>
      <c r="P537" s="6">
        <f t="shared" si="202"/>
        <v>1538.6495741224953</v>
      </c>
      <c r="Q537" s="6">
        <f t="shared" si="203"/>
        <v>1149.6495741224953</v>
      </c>
      <c r="R537" s="6">
        <f t="shared" si="204"/>
        <v>1123.06</v>
      </c>
      <c r="S537" s="6">
        <f t="shared" si="205"/>
        <v>0</v>
      </c>
      <c r="T537" s="6">
        <f t="shared" si="206"/>
        <v>0</v>
      </c>
      <c r="U537" s="6">
        <f t="shared" si="207"/>
        <v>1123.06</v>
      </c>
      <c r="V537" s="6" t="str">
        <f>IF(MOD(C537-Settings!$B$32,Settings!$B$33)&lt;Settings!$B$30,"Up","Down")</f>
        <v>Up</v>
      </c>
      <c r="W537" s="6">
        <f>IF(OR(E537&gt;Settings!$B$30,Q537&gt;Settings!$B$37),0,1)</f>
        <v>0</v>
      </c>
      <c r="X537" s="6">
        <f>IF(AND(W537=1,Q537&lt;=Settings!$B$36),1,0)</f>
        <v>0</v>
      </c>
    </row>
    <row r="538" spans="1:24" x14ac:dyDescent="0.2">
      <c r="A538">
        <f>Arrivals!A538</f>
        <v>5</v>
      </c>
      <c r="B538">
        <f>Arrivals!B538</f>
        <v>53</v>
      </c>
      <c r="C538" s="6">
        <f>Arrivals!F538</f>
        <v>394</v>
      </c>
      <c r="D538" s="6">
        <f>Arrivals!K538</f>
        <v>300</v>
      </c>
      <c r="E538" s="6">
        <f>D538*8/ACE_Input!S58+ACE_Input!T58</f>
        <v>24.02</v>
      </c>
      <c r="F538" s="6">
        <f t="shared" si="197"/>
        <v>394</v>
      </c>
      <c r="G538" s="6">
        <f t="shared" si="208"/>
        <v>1536.08</v>
      </c>
      <c r="H538" s="6">
        <f t="shared" si="198"/>
        <v>1536.08</v>
      </c>
      <c r="I538" s="6">
        <f>MOD(H538-Settings!$B$32,Settings!$B$33)</f>
        <v>96.079999999999927</v>
      </c>
      <c r="J538" s="6">
        <f>IF(I538&lt;Settings!$B$30,IF(Settings!$B$30-I538&gt;=E538,H538,H538+(Settings!$B$30-I538)+Settings!$B$31),H538+(Settings!$B$33-I538))</f>
        <v>1536.08</v>
      </c>
      <c r="K538" s="6">
        <f t="shared" si="199"/>
        <v>1560.1</v>
      </c>
      <c r="L538" s="6">
        <f t="shared" si="200"/>
        <v>1560.1</v>
      </c>
      <c r="M538" s="6">
        <f t="shared" si="209"/>
        <v>1538.6495741224953</v>
      </c>
      <c r="N538" s="6">
        <f t="shared" si="201"/>
        <v>1560.1</v>
      </c>
      <c r="O538" s="6">
        <f>Arrivals!I538</f>
        <v>16.255976307647405</v>
      </c>
      <c r="P538" s="6">
        <f t="shared" si="202"/>
        <v>1576.3559763076473</v>
      </c>
      <c r="Q538" s="6">
        <f t="shared" si="203"/>
        <v>1182.3559763076473</v>
      </c>
      <c r="R538" s="6">
        <f t="shared" si="204"/>
        <v>1142.08</v>
      </c>
      <c r="S538" s="6">
        <f t="shared" si="205"/>
        <v>0</v>
      </c>
      <c r="T538" s="6">
        <f t="shared" si="206"/>
        <v>0</v>
      </c>
      <c r="U538" s="6">
        <f t="shared" si="207"/>
        <v>1142.08</v>
      </c>
      <c r="V538" s="6" t="str">
        <f>IF(MOD(C538-Settings!$B$32,Settings!$B$33)&lt;Settings!$B$30,"Up","Down")</f>
        <v>Up</v>
      </c>
      <c r="W538" s="6">
        <f>IF(OR(E538&gt;Settings!$B$30,Q538&gt;Settings!$B$37),0,1)</f>
        <v>0</v>
      </c>
      <c r="X538" s="6">
        <f>IF(AND(W538=1,Q538&lt;=Settings!$B$36),1,0)</f>
        <v>0</v>
      </c>
    </row>
    <row r="539" spans="1:24" x14ac:dyDescent="0.2">
      <c r="A539">
        <f>Arrivals!A539</f>
        <v>5</v>
      </c>
      <c r="B539">
        <f>Arrivals!B539</f>
        <v>54</v>
      </c>
      <c r="C539" s="6">
        <f>Arrivals!F539</f>
        <v>399</v>
      </c>
      <c r="D539" s="6">
        <f>Arrivals!K539</f>
        <v>300</v>
      </c>
      <c r="E539" s="6">
        <f>D539*8/ACE_Input!S59+ACE_Input!T59</f>
        <v>24.02</v>
      </c>
      <c r="F539" s="6">
        <f t="shared" si="197"/>
        <v>399</v>
      </c>
      <c r="G539" s="6">
        <f t="shared" si="208"/>
        <v>1560.1</v>
      </c>
      <c r="H539" s="6">
        <f t="shared" si="198"/>
        <v>1560.1</v>
      </c>
      <c r="I539" s="6">
        <f>MOD(H539-Settings!$B$32,Settings!$B$33)</f>
        <v>120.09999999999991</v>
      </c>
      <c r="J539" s="6">
        <f>IF(I539&lt;Settings!$B$30,IF(Settings!$B$30-I539&gt;=E539,H539,H539+(Settings!$B$30-I539)+Settings!$B$31),H539+(Settings!$B$33-I539))</f>
        <v>1560.1</v>
      </c>
      <c r="K539" s="6">
        <f t="shared" si="199"/>
        <v>1584.12</v>
      </c>
      <c r="L539" s="6">
        <f t="shared" si="200"/>
        <v>1584.12</v>
      </c>
      <c r="M539" s="6">
        <f t="shared" si="209"/>
        <v>1576.3559763076473</v>
      </c>
      <c r="N539" s="6">
        <f t="shared" si="201"/>
        <v>1584.12</v>
      </c>
      <c r="O539" s="6">
        <f>Arrivals!I539</f>
        <v>1.1578084817881038</v>
      </c>
      <c r="P539" s="6">
        <f t="shared" si="202"/>
        <v>1585.277808481788</v>
      </c>
      <c r="Q539" s="6">
        <f t="shared" si="203"/>
        <v>1186.277808481788</v>
      </c>
      <c r="R539" s="6">
        <f t="shared" si="204"/>
        <v>1161.0999999999999</v>
      </c>
      <c r="S539" s="6">
        <f t="shared" si="205"/>
        <v>0</v>
      </c>
      <c r="T539" s="6">
        <f t="shared" si="206"/>
        <v>0</v>
      </c>
      <c r="U539" s="6">
        <f t="shared" si="207"/>
        <v>1161.0999999999999</v>
      </c>
      <c r="V539" s="6" t="str">
        <f>IF(MOD(C539-Settings!$B$32,Settings!$B$33)&lt;Settings!$B$30,"Up","Down")</f>
        <v>Up</v>
      </c>
      <c r="W539" s="6">
        <f>IF(OR(E539&gt;Settings!$B$30,Q539&gt;Settings!$B$37),0,1)</f>
        <v>0</v>
      </c>
      <c r="X539" s="6">
        <f>IF(AND(W539=1,Q539&lt;=Settings!$B$36),1,0)</f>
        <v>0</v>
      </c>
    </row>
    <row r="540" spans="1:24" x14ac:dyDescent="0.2">
      <c r="A540">
        <f>Arrivals!A540</f>
        <v>5</v>
      </c>
      <c r="B540">
        <f>Arrivals!B540</f>
        <v>55</v>
      </c>
      <c r="C540" s="6">
        <f>Arrivals!F540</f>
        <v>404</v>
      </c>
      <c r="D540" s="6">
        <f>Arrivals!K540</f>
        <v>300</v>
      </c>
      <c r="E540" s="6">
        <f>D540*8/ACE_Input!S60+ACE_Input!T60</f>
        <v>24.02</v>
      </c>
      <c r="F540" s="6">
        <f t="shared" si="197"/>
        <v>404</v>
      </c>
      <c r="G540" s="6">
        <f t="shared" si="208"/>
        <v>1584.12</v>
      </c>
      <c r="H540" s="6">
        <f t="shared" si="198"/>
        <v>1584.12</v>
      </c>
      <c r="I540" s="6">
        <f>MOD(H540-Settings!$B$32,Settings!$B$33)</f>
        <v>144.11999999999989</v>
      </c>
      <c r="J540" s="6">
        <f>IF(I540&lt;Settings!$B$30,IF(Settings!$B$30-I540&gt;=E540,H540,H540+(Settings!$B$30-I540)+Settings!$B$31),H540+(Settings!$B$33-I540))</f>
        <v>1584.12</v>
      </c>
      <c r="K540" s="6">
        <f t="shared" si="199"/>
        <v>1608.1399999999999</v>
      </c>
      <c r="L540" s="6">
        <f t="shared" si="200"/>
        <v>1608.1399999999999</v>
      </c>
      <c r="M540" s="6">
        <f t="shared" si="209"/>
        <v>1585.277808481788</v>
      </c>
      <c r="N540" s="6">
        <f t="shared" si="201"/>
        <v>1608.1399999999999</v>
      </c>
      <c r="O540" s="6">
        <f>Arrivals!I540</f>
        <v>0.17230886325416911</v>
      </c>
      <c r="P540" s="6">
        <f t="shared" si="202"/>
        <v>1608.312308863254</v>
      </c>
      <c r="Q540" s="6">
        <f t="shared" si="203"/>
        <v>1204.312308863254</v>
      </c>
      <c r="R540" s="6">
        <f t="shared" si="204"/>
        <v>1180.1199999999999</v>
      </c>
      <c r="S540" s="6">
        <f t="shared" si="205"/>
        <v>0</v>
      </c>
      <c r="T540" s="6">
        <f t="shared" si="206"/>
        <v>0</v>
      </c>
      <c r="U540" s="6">
        <f t="shared" si="207"/>
        <v>1180.1199999999999</v>
      </c>
      <c r="V540" s="6" t="str">
        <f>IF(MOD(C540-Settings!$B$32,Settings!$B$33)&lt;Settings!$B$30,"Up","Down")</f>
        <v>Up</v>
      </c>
      <c r="W540" s="6">
        <f>IF(OR(E540&gt;Settings!$B$30,Q540&gt;Settings!$B$37),0,1)</f>
        <v>0</v>
      </c>
      <c r="X540" s="6">
        <f>IF(AND(W540=1,Q540&lt;=Settings!$B$36),1,0)</f>
        <v>0</v>
      </c>
    </row>
    <row r="541" spans="1:24" x14ac:dyDescent="0.2">
      <c r="A541">
        <f>Arrivals!A541</f>
        <v>5</v>
      </c>
      <c r="B541">
        <f>Arrivals!B541</f>
        <v>56</v>
      </c>
      <c r="C541" s="6">
        <f>Arrivals!F541</f>
        <v>409</v>
      </c>
      <c r="D541" s="6">
        <f>Arrivals!K541</f>
        <v>300</v>
      </c>
      <c r="E541" s="6">
        <f>D541*8/ACE_Input!S61+ACE_Input!T61</f>
        <v>24.02</v>
      </c>
      <c r="F541" s="6">
        <f t="shared" si="197"/>
        <v>409</v>
      </c>
      <c r="G541" s="6">
        <f t="shared" si="208"/>
        <v>1608.1399999999999</v>
      </c>
      <c r="H541" s="6">
        <f t="shared" si="198"/>
        <v>1608.1399999999999</v>
      </c>
      <c r="I541" s="6">
        <f>MOD(H541-Settings!$B$32,Settings!$B$33)</f>
        <v>168.13999999999987</v>
      </c>
      <c r="J541" s="6">
        <f>IF(I541&lt;Settings!$B$30,IF(Settings!$B$30-I541&gt;=E541,H541,H541+(Settings!$B$30-I541)+Settings!$B$31),H541+(Settings!$B$33-I541))</f>
        <v>1608.1399999999999</v>
      </c>
      <c r="K541" s="6">
        <f t="shared" si="199"/>
        <v>1632.1599999999999</v>
      </c>
      <c r="L541" s="6">
        <f t="shared" si="200"/>
        <v>1632.1599999999999</v>
      </c>
      <c r="M541" s="6">
        <f t="shared" si="209"/>
        <v>1608.312308863254</v>
      </c>
      <c r="N541" s="6">
        <f t="shared" si="201"/>
        <v>1632.1599999999999</v>
      </c>
      <c r="O541" s="6">
        <f>Arrivals!I541</f>
        <v>3.9378945098870326</v>
      </c>
      <c r="P541" s="6">
        <f t="shared" si="202"/>
        <v>1636.0978945098868</v>
      </c>
      <c r="Q541" s="6">
        <f t="shared" si="203"/>
        <v>1227.0978945098868</v>
      </c>
      <c r="R541" s="6">
        <f t="shared" si="204"/>
        <v>1199.1399999999999</v>
      </c>
      <c r="S541" s="6">
        <f t="shared" si="205"/>
        <v>0</v>
      </c>
      <c r="T541" s="6">
        <f t="shared" si="206"/>
        <v>0</v>
      </c>
      <c r="U541" s="6">
        <f t="shared" si="207"/>
        <v>1199.1399999999999</v>
      </c>
      <c r="V541" s="6" t="str">
        <f>IF(MOD(C541-Settings!$B$32,Settings!$B$33)&lt;Settings!$B$30,"Up","Down")</f>
        <v>Up</v>
      </c>
      <c r="W541" s="6">
        <f>IF(OR(E541&gt;Settings!$B$30,Q541&gt;Settings!$B$37),0,1)</f>
        <v>0</v>
      </c>
      <c r="X541" s="6">
        <f>IF(AND(W541=1,Q541&lt;=Settings!$B$36),1,0)</f>
        <v>0</v>
      </c>
    </row>
    <row r="542" spans="1:24" x14ac:dyDescent="0.2">
      <c r="A542">
        <f>Arrivals!A542</f>
        <v>5</v>
      </c>
      <c r="B542">
        <f>Arrivals!B542</f>
        <v>57</v>
      </c>
      <c r="C542" s="6">
        <f>Arrivals!F542</f>
        <v>414</v>
      </c>
      <c r="D542" s="6">
        <f>Arrivals!K542</f>
        <v>300</v>
      </c>
      <c r="E542" s="6">
        <f>D542*8/ACE_Input!S62+ACE_Input!T62</f>
        <v>24.02</v>
      </c>
      <c r="F542" s="6">
        <f t="shared" si="197"/>
        <v>414</v>
      </c>
      <c r="G542" s="6">
        <f t="shared" si="208"/>
        <v>1632.1599999999999</v>
      </c>
      <c r="H542" s="6">
        <f t="shared" si="198"/>
        <v>1632.1599999999999</v>
      </c>
      <c r="I542" s="6">
        <f>MOD(H542-Settings!$B$32,Settings!$B$33)</f>
        <v>192.15999999999985</v>
      </c>
      <c r="J542" s="6">
        <f>IF(I542&lt;Settings!$B$30,IF(Settings!$B$30-I542&gt;=E542,H542,H542+(Settings!$B$30-I542)+Settings!$B$31),H542+(Settings!$B$33-I542))</f>
        <v>1632.1599999999999</v>
      </c>
      <c r="K542" s="6">
        <f t="shared" si="199"/>
        <v>1656.1799999999998</v>
      </c>
      <c r="L542" s="6">
        <f t="shared" si="200"/>
        <v>1656.1799999999998</v>
      </c>
      <c r="M542" s="6">
        <f t="shared" si="209"/>
        <v>1636.0978945098868</v>
      </c>
      <c r="N542" s="6">
        <f t="shared" si="201"/>
        <v>1656.1799999999998</v>
      </c>
      <c r="O542" s="6">
        <f>Arrivals!I542</f>
        <v>1.4399923033845312</v>
      </c>
      <c r="P542" s="6">
        <f t="shared" si="202"/>
        <v>1657.6199923033844</v>
      </c>
      <c r="Q542" s="6">
        <f t="shared" si="203"/>
        <v>1243.6199923033844</v>
      </c>
      <c r="R542" s="6">
        <f t="shared" si="204"/>
        <v>1218.1599999999999</v>
      </c>
      <c r="S542" s="6">
        <f t="shared" si="205"/>
        <v>0</v>
      </c>
      <c r="T542" s="6">
        <f t="shared" si="206"/>
        <v>0</v>
      </c>
      <c r="U542" s="6">
        <f t="shared" si="207"/>
        <v>1218.1599999999999</v>
      </c>
      <c r="V542" s="6" t="str">
        <f>IF(MOD(C542-Settings!$B$32,Settings!$B$33)&lt;Settings!$B$30,"Up","Down")</f>
        <v>Up</v>
      </c>
      <c r="W542" s="6">
        <f>IF(OR(E542&gt;Settings!$B$30,Q542&gt;Settings!$B$37),0,1)</f>
        <v>0</v>
      </c>
      <c r="X542" s="6">
        <f>IF(AND(W542=1,Q542&lt;=Settings!$B$36),1,0)</f>
        <v>0</v>
      </c>
    </row>
    <row r="543" spans="1:24" x14ac:dyDescent="0.2">
      <c r="A543">
        <f>Arrivals!A543</f>
        <v>5</v>
      </c>
      <c r="B543">
        <f>Arrivals!B543</f>
        <v>58</v>
      </c>
      <c r="C543" s="6">
        <f>Arrivals!F543</f>
        <v>419</v>
      </c>
      <c r="D543" s="6">
        <f>Arrivals!K543</f>
        <v>300</v>
      </c>
      <c r="E543" s="6">
        <f>D543*8/ACE_Input!S63+ACE_Input!T63</f>
        <v>24.02</v>
      </c>
      <c r="F543" s="6">
        <f t="shared" si="197"/>
        <v>419</v>
      </c>
      <c r="G543" s="6">
        <f t="shared" si="208"/>
        <v>1656.1799999999998</v>
      </c>
      <c r="H543" s="6">
        <f t="shared" si="198"/>
        <v>1656.1799999999998</v>
      </c>
      <c r="I543" s="6">
        <f>MOD(H543-Settings!$B$32,Settings!$B$33)</f>
        <v>216.17999999999984</v>
      </c>
      <c r="J543" s="6">
        <f>IF(I543&lt;Settings!$B$30,IF(Settings!$B$30-I543&gt;=E543,H543,H543+(Settings!$B$30-I543)+Settings!$B$31),H543+(Settings!$B$33-I543))</f>
        <v>1656.1799999999998</v>
      </c>
      <c r="K543" s="6">
        <f t="shared" si="199"/>
        <v>1680.1999999999998</v>
      </c>
      <c r="L543" s="6">
        <f t="shared" si="200"/>
        <v>1680.1999999999998</v>
      </c>
      <c r="M543" s="6">
        <f t="shared" si="209"/>
        <v>1657.6199923033844</v>
      </c>
      <c r="N543" s="6">
        <f t="shared" si="201"/>
        <v>1680.1999999999998</v>
      </c>
      <c r="O543" s="6">
        <f>Arrivals!I543</f>
        <v>0.56360707132563215</v>
      </c>
      <c r="P543" s="6">
        <f t="shared" si="202"/>
        <v>1680.7636070713254</v>
      </c>
      <c r="Q543" s="6">
        <f t="shared" si="203"/>
        <v>1261.7636070713254</v>
      </c>
      <c r="R543" s="6">
        <f t="shared" si="204"/>
        <v>1237.1799999999998</v>
      </c>
      <c r="S543" s="6">
        <f t="shared" si="205"/>
        <v>0</v>
      </c>
      <c r="T543" s="6">
        <f t="shared" si="206"/>
        <v>0</v>
      </c>
      <c r="U543" s="6">
        <f t="shared" si="207"/>
        <v>1237.1799999999998</v>
      </c>
      <c r="V543" s="6" t="str">
        <f>IF(MOD(C543-Settings!$B$32,Settings!$B$33)&lt;Settings!$B$30,"Up","Down")</f>
        <v>Up</v>
      </c>
      <c r="W543" s="6">
        <f>IF(OR(E543&gt;Settings!$B$30,Q543&gt;Settings!$B$37),0,1)</f>
        <v>0</v>
      </c>
      <c r="X543" s="6">
        <f>IF(AND(W543=1,Q543&lt;=Settings!$B$36),1,0)</f>
        <v>0</v>
      </c>
    </row>
    <row r="544" spans="1:24" x14ac:dyDescent="0.2">
      <c r="A544">
        <f>Arrivals!A544</f>
        <v>5</v>
      </c>
      <c r="B544">
        <f>Arrivals!B544</f>
        <v>59</v>
      </c>
      <c r="C544" s="6">
        <f>Arrivals!F544</f>
        <v>424</v>
      </c>
      <c r="D544" s="6">
        <f>Arrivals!K544</f>
        <v>300</v>
      </c>
      <c r="E544" s="6">
        <f>D544*8/ACE_Input!S64+ACE_Input!T64</f>
        <v>24.02</v>
      </c>
      <c r="F544" s="6">
        <f t="shared" si="197"/>
        <v>424</v>
      </c>
      <c r="G544" s="6">
        <f t="shared" si="208"/>
        <v>1680.1999999999998</v>
      </c>
      <c r="H544" s="6">
        <f t="shared" si="198"/>
        <v>1680.1999999999998</v>
      </c>
      <c r="I544" s="6">
        <f>MOD(H544-Settings!$B$32,Settings!$B$33)</f>
        <v>240.19999999999982</v>
      </c>
      <c r="J544" s="6">
        <f>IF(I544&lt;Settings!$B$30,IF(Settings!$B$30-I544&gt;=E544,H544,H544+(Settings!$B$30-I544)+Settings!$B$31),H544+(Settings!$B$33-I544))</f>
        <v>1680.1999999999998</v>
      </c>
      <c r="K544" s="6">
        <f t="shared" si="199"/>
        <v>1704.2199999999998</v>
      </c>
      <c r="L544" s="6">
        <f t="shared" si="200"/>
        <v>1704.2199999999998</v>
      </c>
      <c r="M544" s="6">
        <f t="shared" si="209"/>
        <v>1680.7636070713254</v>
      </c>
      <c r="N544" s="6">
        <f t="shared" si="201"/>
        <v>1704.2199999999998</v>
      </c>
      <c r="O544" s="6">
        <f>Arrivals!I544</f>
        <v>8.0457078989068762</v>
      </c>
      <c r="P544" s="6">
        <f t="shared" si="202"/>
        <v>1712.2657078989066</v>
      </c>
      <c r="Q544" s="6">
        <f t="shared" si="203"/>
        <v>1288.2657078989066</v>
      </c>
      <c r="R544" s="6">
        <f t="shared" si="204"/>
        <v>1256.1999999999998</v>
      </c>
      <c r="S544" s="6">
        <f t="shared" si="205"/>
        <v>0</v>
      </c>
      <c r="T544" s="6">
        <f t="shared" si="206"/>
        <v>0</v>
      </c>
      <c r="U544" s="6">
        <f t="shared" si="207"/>
        <v>1256.1999999999998</v>
      </c>
      <c r="V544" s="6" t="str">
        <f>IF(MOD(C544-Settings!$B$32,Settings!$B$33)&lt;Settings!$B$30,"Up","Down")</f>
        <v>Up</v>
      </c>
      <c r="W544" s="6">
        <f>IF(OR(E544&gt;Settings!$B$30,Q544&gt;Settings!$B$37),0,1)</f>
        <v>0</v>
      </c>
      <c r="X544" s="6">
        <f>IF(AND(W544=1,Q544&lt;=Settings!$B$36),1,0)</f>
        <v>0</v>
      </c>
    </row>
    <row r="545" spans="1:24" x14ac:dyDescent="0.2">
      <c r="A545">
        <f>Arrivals!A545</f>
        <v>5</v>
      </c>
      <c r="B545">
        <f>Arrivals!B545</f>
        <v>60</v>
      </c>
      <c r="C545" s="6">
        <f>Arrivals!F545</f>
        <v>429</v>
      </c>
      <c r="D545" s="6">
        <f>Arrivals!K545</f>
        <v>300</v>
      </c>
      <c r="E545" s="6">
        <f>D545*8/ACE_Input!S65+ACE_Input!T65</f>
        <v>24.02</v>
      </c>
      <c r="F545" s="6">
        <f t="shared" si="197"/>
        <v>429</v>
      </c>
      <c r="G545" s="6">
        <f t="shared" si="208"/>
        <v>1704.2199999999998</v>
      </c>
      <c r="H545" s="6">
        <f t="shared" si="198"/>
        <v>1704.2199999999998</v>
      </c>
      <c r="I545" s="6">
        <f>MOD(H545-Settings!$B$32,Settings!$B$33)</f>
        <v>264.2199999999998</v>
      </c>
      <c r="J545" s="6">
        <f>IF(I545&lt;Settings!$B$30,IF(Settings!$B$30-I545&gt;=E545,H545,H545+(Settings!$B$30-I545)+Settings!$B$31),H545+(Settings!$B$33-I545))</f>
        <v>1704.2199999999998</v>
      </c>
      <c r="K545" s="6">
        <f t="shared" si="199"/>
        <v>1728.2399999999998</v>
      </c>
      <c r="L545" s="6">
        <f t="shared" si="200"/>
        <v>1728.2399999999998</v>
      </c>
      <c r="M545" s="6">
        <f t="shared" si="209"/>
        <v>1712.2657078989066</v>
      </c>
      <c r="N545" s="6">
        <f t="shared" si="201"/>
        <v>1728.2399999999998</v>
      </c>
      <c r="O545" s="6">
        <f>Arrivals!I545</f>
        <v>1.2235229361372257</v>
      </c>
      <c r="P545" s="6">
        <f t="shared" si="202"/>
        <v>1729.463522936137</v>
      </c>
      <c r="Q545" s="6">
        <f t="shared" si="203"/>
        <v>1300.463522936137</v>
      </c>
      <c r="R545" s="6">
        <f t="shared" si="204"/>
        <v>1275.2199999999998</v>
      </c>
      <c r="S545" s="6">
        <f t="shared" si="205"/>
        <v>0</v>
      </c>
      <c r="T545" s="6">
        <f t="shared" si="206"/>
        <v>0</v>
      </c>
      <c r="U545" s="6">
        <f t="shared" si="207"/>
        <v>1275.2199999999998</v>
      </c>
      <c r="V545" s="6" t="str">
        <f>IF(MOD(C545-Settings!$B$32,Settings!$B$33)&lt;Settings!$B$30,"Up","Down")</f>
        <v>Up</v>
      </c>
      <c r="W545" s="6">
        <f>IF(OR(E545&gt;Settings!$B$30,Q545&gt;Settings!$B$37),0,1)</f>
        <v>0</v>
      </c>
      <c r="X545" s="6">
        <f>IF(AND(W545=1,Q545&lt;=Settings!$B$36),1,0)</f>
        <v>0</v>
      </c>
    </row>
    <row r="546" spans="1:24" x14ac:dyDescent="0.2">
      <c r="A546">
        <f>Arrivals!A546</f>
        <v>5</v>
      </c>
      <c r="B546">
        <f>Arrivals!B546</f>
        <v>61</v>
      </c>
      <c r="C546" s="6">
        <f>Arrivals!F546</f>
        <v>434</v>
      </c>
      <c r="D546" s="6">
        <f>Arrivals!K546</f>
        <v>300</v>
      </c>
      <c r="E546" s="6">
        <f>D546*8/ACE_Input!S66+ACE_Input!T66</f>
        <v>24.02</v>
      </c>
      <c r="F546" s="6">
        <f t="shared" si="197"/>
        <v>434</v>
      </c>
      <c r="G546" s="6">
        <f t="shared" si="208"/>
        <v>1728.2399999999998</v>
      </c>
      <c r="H546" s="6">
        <f t="shared" si="198"/>
        <v>1728.2399999999998</v>
      </c>
      <c r="I546" s="6">
        <f>MOD(H546-Settings!$B$32,Settings!$B$33)</f>
        <v>288.23999999999978</v>
      </c>
      <c r="J546" s="6">
        <f>IF(I546&lt;Settings!$B$30,IF(Settings!$B$30-I546&gt;=E546,H546,H546+(Settings!$B$30-I546)+Settings!$B$31),H546+(Settings!$B$33-I546))</f>
        <v>1728.2399999999998</v>
      </c>
      <c r="K546" s="6">
        <f t="shared" si="199"/>
        <v>1752.2599999999998</v>
      </c>
      <c r="L546" s="6">
        <f t="shared" si="200"/>
        <v>1752.2599999999998</v>
      </c>
      <c r="M546" s="6">
        <f t="shared" si="209"/>
        <v>1729.463522936137</v>
      </c>
      <c r="N546" s="6">
        <f t="shared" si="201"/>
        <v>1752.2599999999998</v>
      </c>
      <c r="O546" s="6">
        <f>Arrivals!I546</f>
        <v>0.3071333690735446</v>
      </c>
      <c r="P546" s="6">
        <f t="shared" si="202"/>
        <v>1752.5671333690734</v>
      </c>
      <c r="Q546" s="6">
        <f t="shared" si="203"/>
        <v>1318.5671333690734</v>
      </c>
      <c r="R546" s="6">
        <f t="shared" si="204"/>
        <v>1294.2399999999998</v>
      </c>
      <c r="S546" s="6">
        <f t="shared" si="205"/>
        <v>0</v>
      </c>
      <c r="T546" s="6">
        <f t="shared" si="206"/>
        <v>0</v>
      </c>
      <c r="U546" s="6">
        <f t="shared" si="207"/>
        <v>1294.2399999999998</v>
      </c>
      <c r="V546" s="6" t="str">
        <f>IF(MOD(C546-Settings!$B$32,Settings!$B$33)&lt;Settings!$B$30,"Up","Down")</f>
        <v>Up</v>
      </c>
      <c r="W546" s="6">
        <f>IF(OR(E546&gt;Settings!$B$30,Q546&gt;Settings!$B$37),0,1)</f>
        <v>0</v>
      </c>
      <c r="X546" s="6">
        <f>IF(AND(W546=1,Q546&lt;=Settings!$B$36),1,0)</f>
        <v>0</v>
      </c>
    </row>
    <row r="547" spans="1:24" x14ac:dyDescent="0.2">
      <c r="A547">
        <f>Arrivals!A547</f>
        <v>5</v>
      </c>
      <c r="B547">
        <f>Arrivals!B547</f>
        <v>62</v>
      </c>
      <c r="C547" s="6">
        <f>Arrivals!F547</f>
        <v>439</v>
      </c>
      <c r="D547" s="6">
        <f>Arrivals!K547</f>
        <v>300</v>
      </c>
      <c r="E547" s="6">
        <f>D547*8/ACE_Input!S67+ACE_Input!T67</f>
        <v>24.02</v>
      </c>
      <c r="F547" s="6">
        <f t="shared" si="197"/>
        <v>439</v>
      </c>
      <c r="G547" s="6">
        <f t="shared" si="208"/>
        <v>1752.2599999999998</v>
      </c>
      <c r="H547" s="6">
        <f t="shared" si="198"/>
        <v>1752.2599999999998</v>
      </c>
      <c r="I547" s="6">
        <f>MOD(H547-Settings!$B$32,Settings!$B$33)</f>
        <v>312.25999999999976</v>
      </c>
      <c r="J547" s="6">
        <f>IF(I547&lt;Settings!$B$30,IF(Settings!$B$30-I547&gt;=E547,H547,H547+(Settings!$B$30-I547)+Settings!$B$31),H547+(Settings!$B$33-I547))</f>
        <v>1752.2599999999998</v>
      </c>
      <c r="K547" s="6">
        <f t="shared" si="199"/>
        <v>1776.2799999999997</v>
      </c>
      <c r="L547" s="6">
        <f t="shared" si="200"/>
        <v>1776.2799999999997</v>
      </c>
      <c r="M547" s="6">
        <f t="shared" si="209"/>
        <v>1752.5671333690734</v>
      </c>
      <c r="N547" s="6">
        <f t="shared" si="201"/>
        <v>1776.2799999999997</v>
      </c>
      <c r="O547" s="6">
        <f>Arrivals!I547</f>
        <v>0.8794003569693436</v>
      </c>
      <c r="P547" s="6">
        <f t="shared" si="202"/>
        <v>1777.1594003569692</v>
      </c>
      <c r="Q547" s="6">
        <f t="shared" si="203"/>
        <v>1338.1594003569692</v>
      </c>
      <c r="R547" s="6">
        <f t="shared" si="204"/>
        <v>1313.2599999999998</v>
      </c>
      <c r="S547" s="6">
        <f t="shared" si="205"/>
        <v>0</v>
      </c>
      <c r="T547" s="6">
        <f t="shared" si="206"/>
        <v>0</v>
      </c>
      <c r="U547" s="6">
        <f t="shared" si="207"/>
        <v>1313.2599999999998</v>
      </c>
      <c r="V547" s="6" t="str">
        <f>IF(MOD(C547-Settings!$B$32,Settings!$B$33)&lt;Settings!$B$30,"Up","Down")</f>
        <v>Up</v>
      </c>
      <c r="W547" s="6">
        <f>IF(OR(E547&gt;Settings!$B$30,Q547&gt;Settings!$B$37),0,1)</f>
        <v>0</v>
      </c>
      <c r="X547" s="6">
        <f>IF(AND(W547=1,Q547&lt;=Settings!$B$36),1,0)</f>
        <v>0</v>
      </c>
    </row>
    <row r="548" spans="1:24" x14ac:dyDescent="0.2">
      <c r="A548">
        <f>Arrivals!A548</f>
        <v>5</v>
      </c>
      <c r="B548">
        <f>Arrivals!B548</f>
        <v>63</v>
      </c>
      <c r="C548" s="6">
        <f>Arrivals!F548</f>
        <v>444</v>
      </c>
      <c r="D548" s="6">
        <f>Arrivals!K548</f>
        <v>300</v>
      </c>
      <c r="E548" s="6">
        <f>D548*8/ACE_Input!S68+ACE_Input!T68</f>
        <v>24.02</v>
      </c>
      <c r="F548" s="6">
        <f t="shared" si="197"/>
        <v>444</v>
      </c>
      <c r="G548" s="6">
        <f t="shared" si="208"/>
        <v>1776.2799999999997</v>
      </c>
      <c r="H548" s="6">
        <f t="shared" si="198"/>
        <v>1776.2799999999997</v>
      </c>
      <c r="I548" s="6">
        <f>MOD(H548-Settings!$B$32,Settings!$B$33)</f>
        <v>336.27999999999975</v>
      </c>
      <c r="J548" s="6">
        <f>IF(I548&lt;Settings!$B$30,IF(Settings!$B$30-I548&gt;=E548,H548,H548+(Settings!$B$30-I548)+Settings!$B$31),H548+(Settings!$B$33-I548))</f>
        <v>1776.2799999999997</v>
      </c>
      <c r="K548" s="6">
        <f t="shared" si="199"/>
        <v>1800.2999999999997</v>
      </c>
      <c r="L548" s="6">
        <f t="shared" si="200"/>
        <v>1800.2999999999997</v>
      </c>
      <c r="M548" s="6">
        <f t="shared" si="209"/>
        <v>1777.1594003569692</v>
      </c>
      <c r="N548" s="6">
        <f t="shared" si="201"/>
        <v>1800.2999999999997</v>
      </c>
      <c r="O548" s="6">
        <f>Arrivals!I548</f>
        <v>0.18176708619730786</v>
      </c>
      <c r="P548" s="6">
        <f t="shared" si="202"/>
        <v>1800.4817670861971</v>
      </c>
      <c r="Q548" s="6">
        <f t="shared" si="203"/>
        <v>1356.4817670861971</v>
      </c>
      <c r="R548" s="6">
        <f t="shared" si="204"/>
        <v>1332.2799999999997</v>
      </c>
      <c r="S548" s="6">
        <f t="shared" si="205"/>
        <v>0</v>
      </c>
      <c r="T548" s="6">
        <f t="shared" si="206"/>
        <v>0</v>
      </c>
      <c r="U548" s="6">
        <f t="shared" si="207"/>
        <v>1332.2799999999997</v>
      </c>
      <c r="V548" s="6" t="str">
        <f>IF(MOD(C548-Settings!$B$32,Settings!$B$33)&lt;Settings!$B$30,"Up","Down")</f>
        <v>Up</v>
      </c>
      <c r="W548" s="6">
        <f>IF(OR(E548&gt;Settings!$B$30,Q548&gt;Settings!$B$37),0,1)</f>
        <v>0</v>
      </c>
      <c r="X548" s="6">
        <f>IF(AND(W548=1,Q548&lt;=Settings!$B$36),1,0)</f>
        <v>0</v>
      </c>
    </row>
    <row r="549" spans="1:24" x14ac:dyDescent="0.2">
      <c r="A549">
        <f>Arrivals!A549</f>
        <v>5</v>
      </c>
      <c r="B549">
        <f>Arrivals!B549</f>
        <v>64</v>
      </c>
      <c r="C549" s="6">
        <f>Arrivals!F549</f>
        <v>449</v>
      </c>
      <c r="D549" s="6">
        <f>Arrivals!K549</f>
        <v>300</v>
      </c>
      <c r="E549" s="6">
        <f>D549*8/ACE_Input!S69+ACE_Input!T69</f>
        <v>24.02</v>
      </c>
      <c r="F549" s="6">
        <f t="shared" si="197"/>
        <v>449</v>
      </c>
      <c r="G549" s="6">
        <f t="shared" si="208"/>
        <v>1800.2999999999997</v>
      </c>
      <c r="H549" s="6">
        <f t="shared" si="198"/>
        <v>1800.2999999999997</v>
      </c>
      <c r="I549" s="6">
        <f>MOD(H549-Settings!$B$32,Settings!$B$33)</f>
        <v>360.29999999999973</v>
      </c>
      <c r="J549" s="6">
        <f>IF(I549&lt;Settings!$B$30,IF(Settings!$B$30-I549&gt;=E549,H549,H549+(Settings!$B$30-I549)+Settings!$B$31),H549+(Settings!$B$33-I549))</f>
        <v>1800.2999999999997</v>
      </c>
      <c r="K549" s="6">
        <f t="shared" si="199"/>
        <v>1824.3199999999997</v>
      </c>
      <c r="L549" s="6">
        <f t="shared" si="200"/>
        <v>1824.3199999999997</v>
      </c>
      <c r="M549" s="6">
        <f t="shared" si="209"/>
        <v>1800.4817670861971</v>
      </c>
      <c r="N549" s="6">
        <f t="shared" si="201"/>
        <v>1824.3199999999997</v>
      </c>
      <c r="O549" s="6">
        <f>Arrivals!I549</f>
        <v>4.1639855552477147</v>
      </c>
      <c r="P549" s="6">
        <f t="shared" si="202"/>
        <v>1828.4839855552475</v>
      </c>
      <c r="Q549" s="6">
        <f t="shared" si="203"/>
        <v>1379.4839855552475</v>
      </c>
      <c r="R549" s="6">
        <f t="shared" si="204"/>
        <v>1351.2999999999997</v>
      </c>
      <c r="S549" s="6">
        <f t="shared" si="205"/>
        <v>0</v>
      </c>
      <c r="T549" s="6">
        <f t="shared" si="206"/>
        <v>0</v>
      </c>
      <c r="U549" s="6">
        <f t="shared" si="207"/>
        <v>1351.2999999999997</v>
      </c>
      <c r="V549" s="6" t="str">
        <f>IF(MOD(C549-Settings!$B$32,Settings!$B$33)&lt;Settings!$B$30,"Up","Down")</f>
        <v>Up</v>
      </c>
      <c r="W549" s="6">
        <f>IF(OR(E549&gt;Settings!$B$30,Q549&gt;Settings!$B$37),0,1)</f>
        <v>0</v>
      </c>
      <c r="X549" s="6">
        <f>IF(AND(W549=1,Q549&lt;=Settings!$B$36),1,0)</f>
        <v>0</v>
      </c>
    </row>
    <row r="550" spans="1:24" x14ac:dyDescent="0.2">
      <c r="A550">
        <f>Arrivals!A550</f>
        <v>5</v>
      </c>
      <c r="B550">
        <f>Arrivals!B550</f>
        <v>65</v>
      </c>
      <c r="C550" s="6">
        <f>Arrivals!F550</f>
        <v>454</v>
      </c>
      <c r="D550" s="6">
        <f>Arrivals!K550</f>
        <v>300</v>
      </c>
      <c r="E550" s="6">
        <f>D550*8/ACE_Input!S70+ACE_Input!T70</f>
        <v>24.02</v>
      </c>
      <c r="F550" s="6">
        <f t="shared" ref="F550:F585" si="210">C550</f>
        <v>454</v>
      </c>
      <c r="G550" s="6">
        <f t="shared" si="208"/>
        <v>1824.3199999999997</v>
      </c>
      <c r="H550" s="6">
        <f t="shared" ref="H550:H581" si="211">MAX(F550,G550)</f>
        <v>1824.3199999999997</v>
      </c>
      <c r="I550" s="6">
        <f>MOD(H550-Settings!$B$32,Settings!$B$33)</f>
        <v>384.31999999999971</v>
      </c>
      <c r="J550" s="6">
        <f>IF(I550&lt;Settings!$B$30,IF(Settings!$B$30-I550&gt;=E550,H550,H550+(Settings!$B$30-I550)+Settings!$B$31),H550+(Settings!$B$33-I550))</f>
        <v>1824.3199999999997</v>
      </c>
      <c r="K550" s="6">
        <f t="shared" ref="K550:K581" si="212">J550+E550</f>
        <v>1848.3399999999997</v>
      </c>
      <c r="L550" s="6">
        <f t="shared" ref="L550:L581" si="213">K550</f>
        <v>1848.3399999999997</v>
      </c>
      <c r="M550" s="6">
        <f t="shared" si="209"/>
        <v>1828.4839855552475</v>
      </c>
      <c r="N550" s="6">
        <f t="shared" ref="N550:N581" si="214">MAX(L550,M550)</f>
        <v>1848.3399999999997</v>
      </c>
      <c r="O550" s="6">
        <f>Arrivals!I550</f>
        <v>2.0651821303688034</v>
      </c>
      <c r="P550" s="6">
        <f t="shared" ref="P550:P581" si="215">N550+O550</f>
        <v>1850.4051821303685</v>
      </c>
      <c r="Q550" s="6">
        <f t="shared" ref="Q550:Q581" si="216">P550-C550</f>
        <v>1396.4051821303685</v>
      </c>
      <c r="R550" s="6">
        <f t="shared" ref="R550:R585" si="217">H550-F550</f>
        <v>1370.3199999999997</v>
      </c>
      <c r="S550" s="6">
        <f t="shared" ref="S550:S585" si="218">J550-H550</f>
        <v>0</v>
      </c>
      <c r="T550" s="6">
        <f t="shared" ref="T550:T585" si="219">N550-L550</f>
        <v>0</v>
      </c>
      <c r="U550" s="6">
        <f t="shared" ref="U550:U581" si="220">R550+S550+T550</f>
        <v>1370.3199999999997</v>
      </c>
      <c r="V550" s="6" t="str">
        <f>IF(MOD(C550-Settings!$B$32,Settings!$B$33)&lt;Settings!$B$30,"Up","Down")</f>
        <v>Up</v>
      </c>
      <c r="W550" s="6">
        <f>IF(OR(E550&gt;Settings!$B$30,Q550&gt;Settings!$B$37),0,1)</f>
        <v>0</v>
      </c>
      <c r="X550" s="6">
        <f>IF(AND(W550=1,Q550&lt;=Settings!$B$36),1,0)</f>
        <v>0</v>
      </c>
    </row>
    <row r="551" spans="1:24" x14ac:dyDescent="0.2">
      <c r="A551">
        <f>Arrivals!A551</f>
        <v>5</v>
      </c>
      <c r="B551">
        <f>Arrivals!B551</f>
        <v>66</v>
      </c>
      <c r="C551" s="6">
        <f>Arrivals!F551</f>
        <v>459</v>
      </c>
      <c r="D551" s="6">
        <f>Arrivals!K551</f>
        <v>300</v>
      </c>
      <c r="E551" s="6">
        <f>D551*8/ACE_Input!S71+ACE_Input!T71</f>
        <v>24.02</v>
      </c>
      <c r="F551" s="6">
        <f t="shared" si="210"/>
        <v>459</v>
      </c>
      <c r="G551" s="6">
        <f t="shared" ref="G551:G585" si="221">K550</f>
        <v>1848.3399999999997</v>
      </c>
      <c r="H551" s="6">
        <f t="shared" si="211"/>
        <v>1848.3399999999997</v>
      </c>
      <c r="I551" s="6">
        <f>MOD(H551-Settings!$B$32,Settings!$B$33)</f>
        <v>408.33999999999969</v>
      </c>
      <c r="J551" s="6">
        <f>IF(I551&lt;Settings!$B$30,IF(Settings!$B$30-I551&gt;=E551,H551,H551+(Settings!$B$30-I551)+Settings!$B$31),H551+(Settings!$B$33-I551))</f>
        <v>1848.3399999999997</v>
      </c>
      <c r="K551" s="6">
        <f t="shared" si="212"/>
        <v>1872.3599999999997</v>
      </c>
      <c r="L551" s="6">
        <f t="shared" si="213"/>
        <v>1872.3599999999997</v>
      </c>
      <c r="M551" s="6">
        <f t="shared" ref="M551:M585" si="222">P550</f>
        <v>1850.4051821303685</v>
      </c>
      <c r="N551" s="6">
        <f t="shared" si="214"/>
        <v>1872.3599999999997</v>
      </c>
      <c r="O551" s="6">
        <f>Arrivals!I551</f>
        <v>6.6233963796491198</v>
      </c>
      <c r="P551" s="6">
        <f t="shared" si="215"/>
        <v>1878.9833963796489</v>
      </c>
      <c r="Q551" s="6">
        <f t="shared" si="216"/>
        <v>1419.9833963796489</v>
      </c>
      <c r="R551" s="6">
        <f t="shared" si="217"/>
        <v>1389.3399999999997</v>
      </c>
      <c r="S551" s="6">
        <f t="shared" si="218"/>
        <v>0</v>
      </c>
      <c r="T551" s="6">
        <f t="shared" si="219"/>
        <v>0</v>
      </c>
      <c r="U551" s="6">
        <f t="shared" si="220"/>
        <v>1389.3399999999997</v>
      </c>
      <c r="V551" s="6" t="str">
        <f>IF(MOD(C551-Settings!$B$32,Settings!$B$33)&lt;Settings!$B$30,"Up","Down")</f>
        <v>Up</v>
      </c>
      <c r="W551" s="6">
        <f>IF(OR(E551&gt;Settings!$B$30,Q551&gt;Settings!$B$37),0,1)</f>
        <v>0</v>
      </c>
      <c r="X551" s="6">
        <f>IF(AND(W551=1,Q551&lt;=Settings!$B$36),1,0)</f>
        <v>0</v>
      </c>
    </row>
    <row r="552" spans="1:24" x14ac:dyDescent="0.2">
      <c r="A552">
        <f>Arrivals!A552</f>
        <v>5</v>
      </c>
      <c r="B552">
        <f>Arrivals!B552</f>
        <v>67</v>
      </c>
      <c r="C552" s="6">
        <f>Arrivals!F552</f>
        <v>474</v>
      </c>
      <c r="D552" s="6">
        <f>Arrivals!K552</f>
        <v>300</v>
      </c>
      <c r="E552" s="6">
        <f>D552*8/ACE_Input!S72+ACE_Input!T72</f>
        <v>24.02</v>
      </c>
      <c r="F552" s="6">
        <f t="shared" si="210"/>
        <v>474</v>
      </c>
      <c r="G552" s="6">
        <f t="shared" si="221"/>
        <v>1872.3599999999997</v>
      </c>
      <c r="H552" s="6">
        <f t="shared" si="211"/>
        <v>1872.3599999999997</v>
      </c>
      <c r="I552" s="6">
        <f>MOD(H552-Settings!$B$32,Settings!$B$33)</f>
        <v>432.35999999999967</v>
      </c>
      <c r="J552" s="6">
        <f>IF(I552&lt;Settings!$B$30,IF(Settings!$B$30-I552&gt;=E552,H552,H552+(Settings!$B$30-I552)+Settings!$B$31),H552+(Settings!$B$33-I552))</f>
        <v>1872.3599999999997</v>
      </c>
      <c r="K552" s="6">
        <f t="shared" si="212"/>
        <v>1896.3799999999997</v>
      </c>
      <c r="L552" s="6">
        <f t="shared" si="213"/>
        <v>1896.3799999999997</v>
      </c>
      <c r="M552" s="6">
        <f t="shared" si="222"/>
        <v>1878.9833963796489</v>
      </c>
      <c r="N552" s="6">
        <f t="shared" si="214"/>
        <v>1896.3799999999997</v>
      </c>
      <c r="O552" s="6">
        <f>Arrivals!I552</f>
        <v>0.17032346071372986</v>
      </c>
      <c r="P552" s="6">
        <f t="shared" si="215"/>
        <v>1896.5503234607133</v>
      </c>
      <c r="Q552" s="6">
        <f t="shared" si="216"/>
        <v>1422.5503234607133</v>
      </c>
      <c r="R552" s="6">
        <f t="shared" si="217"/>
        <v>1398.3599999999997</v>
      </c>
      <c r="S552" s="6">
        <f t="shared" si="218"/>
        <v>0</v>
      </c>
      <c r="T552" s="6">
        <f t="shared" si="219"/>
        <v>0</v>
      </c>
      <c r="U552" s="6">
        <f t="shared" si="220"/>
        <v>1398.3599999999997</v>
      </c>
      <c r="V552" s="6" t="str">
        <f>IF(MOD(C552-Settings!$B$32,Settings!$B$33)&lt;Settings!$B$30,"Up","Down")</f>
        <v>Up</v>
      </c>
      <c r="W552" s="6">
        <f>IF(OR(E552&gt;Settings!$B$30,Q552&gt;Settings!$B$37),0,1)</f>
        <v>0</v>
      </c>
      <c r="X552" s="6">
        <f>IF(AND(W552=1,Q552&lt;=Settings!$B$36),1,0)</f>
        <v>0</v>
      </c>
    </row>
    <row r="553" spans="1:24" x14ac:dyDescent="0.2">
      <c r="A553">
        <f>Arrivals!A553</f>
        <v>5</v>
      </c>
      <c r="B553">
        <f>Arrivals!B553</f>
        <v>68</v>
      </c>
      <c r="C553" s="6">
        <f>Arrivals!F553</f>
        <v>479</v>
      </c>
      <c r="D553" s="6">
        <f>Arrivals!K553</f>
        <v>300</v>
      </c>
      <c r="E553" s="6">
        <f>D553*8/ACE_Input!S73+ACE_Input!T73</f>
        <v>24.02</v>
      </c>
      <c r="F553" s="6">
        <f t="shared" si="210"/>
        <v>479</v>
      </c>
      <c r="G553" s="6">
        <f t="shared" si="221"/>
        <v>1896.3799999999997</v>
      </c>
      <c r="H553" s="6">
        <f t="shared" si="211"/>
        <v>1896.3799999999997</v>
      </c>
      <c r="I553" s="6">
        <f>MOD(H553-Settings!$B$32,Settings!$B$33)</f>
        <v>456.37999999999965</v>
      </c>
      <c r="J553" s="6">
        <f>IF(I553&lt;Settings!$B$30,IF(Settings!$B$30-I553&gt;=E553,H553,H553+(Settings!$B$30-I553)+Settings!$B$31),H553+(Settings!$B$33-I553))</f>
        <v>1896.3799999999997</v>
      </c>
      <c r="K553" s="6">
        <f t="shared" si="212"/>
        <v>1920.3999999999996</v>
      </c>
      <c r="L553" s="6">
        <f t="shared" si="213"/>
        <v>1920.3999999999996</v>
      </c>
      <c r="M553" s="6">
        <f t="shared" si="222"/>
        <v>1896.5503234607133</v>
      </c>
      <c r="N553" s="6">
        <f t="shared" si="214"/>
        <v>1920.3999999999996</v>
      </c>
      <c r="O553" s="6">
        <f>Arrivals!I553</f>
        <v>4.0198628821474696</v>
      </c>
      <c r="P553" s="6">
        <f t="shared" si="215"/>
        <v>1924.4198628821471</v>
      </c>
      <c r="Q553" s="6">
        <f t="shared" si="216"/>
        <v>1445.4198628821471</v>
      </c>
      <c r="R553" s="6">
        <f t="shared" si="217"/>
        <v>1417.3799999999997</v>
      </c>
      <c r="S553" s="6">
        <f t="shared" si="218"/>
        <v>0</v>
      </c>
      <c r="T553" s="6">
        <f t="shared" si="219"/>
        <v>0</v>
      </c>
      <c r="U553" s="6">
        <f t="shared" si="220"/>
        <v>1417.3799999999997</v>
      </c>
      <c r="V553" s="6" t="str">
        <f>IF(MOD(C553-Settings!$B$32,Settings!$B$33)&lt;Settings!$B$30,"Up","Down")</f>
        <v>Up</v>
      </c>
      <c r="W553" s="6">
        <f>IF(OR(E553&gt;Settings!$B$30,Q553&gt;Settings!$B$37),0,1)</f>
        <v>0</v>
      </c>
      <c r="X553" s="6">
        <f>IF(AND(W553=1,Q553&lt;=Settings!$B$36),1,0)</f>
        <v>0</v>
      </c>
    </row>
    <row r="554" spans="1:24" x14ac:dyDescent="0.2">
      <c r="A554">
        <f>Arrivals!A554</f>
        <v>5</v>
      </c>
      <c r="B554">
        <f>Arrivals!B554</f>
        <v>69</v>
      </c>
      <c r="C554" s="6">
        <f>Arrivals!F554</f>
        <v>494</v>
      </c>
      <c r="D554" s="6">
        <f>Arrivals!K554</f>
        <v>300</v>
      </c>
      <c r="E554" s="6">
        <f>D554*8/ACE_Input!S74+ACE_Input!T74</f>
        <v>24.02</v>
      </c>
      <c r="F554" s="6">
        <f t="shared" si="210"/>
        <v>494</v>
      </c>
      <c r="G554" s="6">
        <f t="shared" si="221"/>
        <v>1920.3999999999996</v>
      </c>
      <c r="H554" s="6">
        <f t="shared" si="211"/>
        <v>1920.3999999999996</v>
      </c>
      <c r="I554" s="6">
        <f>MOD(H554-Settings!$B$32,Settings!$B$33)</f>
        <v>480.39999999999964</v>
      </c>
      <c r="J554" s="6">
        <f>IF(I554&lt;Settings!$B$30,IF(Settings!$B$30-I554&gt;=E554,H554,H554+(Settings!$B$30-I554)+Settings!$B$31),H554+(Settings!$B$33-I554))</f>
        <v>1920.3999999999996</v>
      </c>
      <c r="K554" s="6">
        <f t="shared" si="212"/>
        <v>1944.4199999999996</v>
      </c>
      <c r="L554" s="6">
        <f t="shared" si="213"/>
        <v>1944.4199999999996</v>
      </c>
      <c r="M554" s="6">
        <f t="shared" si="222"/>
        <v>1924.4198628821471</v>
      </c>
      <c r="N554" s="6">
        <f t="shared" si="214"/>
        <v>1944.4199999999996</v>
      </c>
      <c r="O554" s="6">
        <f>Arrivals!I554</f>
        <v>4.519521912015442</v>
      </c>
      <c r="P554" s="6">
        <f t="shared" si="215"/>
        <v>1948.9395219120152</v>
      </c>
      <c r="Q554" s="6">
        <f t="shared" si="216"/>
        <v>1454.9395219120152</v>
      </c>
      <c r="R554" s="6">
        <f t="shared" si="217"/>
        <v>1426.3999999999996</v>
      </c>
      <c r="S554" s="6">
        <f t="shared" si="218"/>
        <v>0</v>
      </c>
      <c r="T554" s="6">
        <f t="shared" si="219"/>
        <v>0</v>
      </c>
      <c r="U554" s="6">
        <f t="shared" si="220"/>
        <v>1426.3999999999996</v>
      </c>
      <c r="V554" s="6" t="str">
        <f>IF(MOD(C554-Settings!$B$32,Settings!$B$33)&lt;Settings!$B$30,"Up","Down")</f>
        <v>Up</v>
      </c>
      <c r="W554" s="6">
        <f>IF(OR(E554&gt;Settings!$B$30,Q554&gt;Settings!$B$37),0,1)</f>
        <v>0</v>
      </c>
      <c r="X554" s="6">
        <f>IF(AND(W554=1,Q554&lt;=Settings!$B$36),1,0)</f>
        <v>0</v>
      </c>
    </row>
    <row r="555" spans="1:24" x14ac:dyDescent="0.2">
      <c r="A555">
        <f>Arrivals!A555</f>
        <v>5</v>
      </c>
      <c r="B555">
        <f>Arrivals!B555</f>
        <v>70</v>
      </c>
      <c r="C555" s="6">
        <f>Arrivals!F555</f>
        <v>499</v>
      </c>
      <c r="D555" s="6">
        <f>Arrivals!K555</f>
        <v>300</v>
      </c>
      <c r="E555" s="6">
        <f>D555*8/ACE_Input!S75+ACE_Input!T75</f>
        <v>24.02</v>
      </c>
      <c r="F555" s="6">
        <f t="shared" si="210"/>
        <v>499</v>
      </c>
      <c r="G555" s="6">
        <f t="shared" si="221"/>
        <v>1944.4199999999996</v>
      </c>
      <c r="H555" s="6">
        <f t="shared" si="211"/>
        <v>1944.4199999999996</v>
      </c>
      <c r="I555" s="6">
        <f>MOD(H555-Settings!$B$32,Settings!$B$33)</f>
        <v>504.41999999999962</v>
      </c>
      <c r="J555" s="6">
        <f>IF(I555&lt;Settings!$B$30,IF(Settings!$B$30-I555&gt;=E555,H555,H555+(Settings!$B$30-I555)+Settings!$B$31),H555+(Settings!$B$33-I555))</f>
        <v>1944.4199999999996</v>
      </c>
      <c r="K555" s="6">
        <f t="shared" si="212"/>
        <v>1968.4399999999996</v>
      </c>
      <c r="L555" s="6">
        <f t="shared" si="213"/>
        <v>1968.4399999999996</v>
      </c>
      <c r="M555" s="6">
        <f t="shared" si="222"/>
        <v>1948.9395219120152</v>
      </c>
      <c r="N555" s="6">
        <f t="shared" si="214"/>
        <v>1968.4399999999996</v>
      </c>
      <c r="O555" s="6">
        <f>Arrivals!I555</f>
        <v>0.56215186988989818</v>
      </c>
      <c r="P555" s="6">
        <f t="shared" si="215"/>
        <v>1969.0021518698895</v>
      </c>
      <c r="Q555" s="6">
        <f t="shared" si="216"/>
        <v>1470.0021518698895</v>
      </c>
      <c r="R555" s="6">
        <f t="shared" si="217"/>
        <v>1445.4199999999996</v>
      </c>
      <c r="S555" s="6">
        <f t="shared" si="218"/>
        <v>0</v>
      </c>
      <c r="T555" s="6">
        <f t="shared" si="219"/>
        <v>0</v>
      </c>
      <c r="U555" s="6">
        <f t="shared" si="220"/>
        <v>1445.4199999999996</v>
      </c>
      <c r="V555" s="6" t="str">
        <f>IF(MOD(C555-Settings!$B$32,Settings!$B$33)&lt;Settings!$B$30,"Up","Down")</f>
        <v>Up</v>
      </c>
      <c r="W555" s="6">
        <f>IF(OR(E555&gt;Settings!$B$30,Q555&gt;Settings!$B$37),0,1)</f>
        <v>0</v>
      </c>
      <c r="X555" s="6">
        <f>IF(AND(W555=1,Q555&lt;=Settings!$B$36),1,0)</f>
        <v>0</v>
      </c>
    </row>
    <row r="556" spans="1:24" x14ac:dyDescent="0.2">
      <c r="A556">
        <f>Arrivals!A556</f>
        <v>5</v>
      </c>
      <c r="B556">
        <f>Arrivals!B556</f>
        <v>71</v>
      </c>
      <c r="C556" s="6">
        <f>Arrivals!F556</f>
        <v>504</v>
      </c>
      <c r="D556" s="6">
        <f>Arrivals!K556</f>
        <v>300</v>
      </c>
      <c r="E556" s="6">
        <f>D556*8/ACE_Input!S76+ACE_Input!T76</f>
        <v>24.02</v>
      </c>
      <c r="F556" s="6">
        <f t="shared" si="210"/>
        <v>504</v>
      </c>
      <c r="G556" s="6">
        <f t="shared" si="221"/>
        <v>1968.4399999999996</v>
      </c>
      <c r="H556" s="6">
        <f t="shared" si="211"/>
        <v>1968.4399999999996</v>
      </c>
      <c r="I556" s="6">
        <f>MOD(H556-Settings!$B$32,Settings!$B$33)</f>
        <v>528.4399999999996</v>
      </c>
      <c r="J556" s="6">
        <f>IF(I556&lt;Settings!$B$30,IF(Settings!$B$30-I556&gt;=E556,H556,H556+(Settings!$B$30-I556)+Settings!$B$31),H556+(Settings!$B$33-I556))</f>
        <v>1968.4399999999996</v>
      </c>
      <c r="K556" s="6">
        <f t="shared" si="212"/>
        <v>1992.4599999999996</v>
      </c>
      <c r="L556" s="6">
        <f t="shared" si="213"/>
        <v>1992.4599999999996</v>
      </c>
      <c r="M556" s="6">
        <f t="shared" si="222"/>
        <v>1969.0021518698895</v>
      </c>
      <c r="N556" s="6">
        <f t="shared" si="214"/>
        <v>1992.4599999999996</v>
      </c>
      <c r="O556" s="6">
        <f>Arrivals!I556</f>
        <v>3.2336029371005428</v>
      </c>
      <c r="P556" s="6">
        <f t="shared" si="215"/>
        <v>1995.6936029371002</v>
      </c>
      <c r="Q556" s="6">
        <f t="shared" si="216"/>
        <v>1491.6936029371002</v>
      </c>
      <c r="R556" s="6">
        <f t="shared" si="217"/>
        <v>1464.4399999999996</v>
      </c>
      <c r="S556" s="6">
        <f t="shared" si="218"/>
        <v>0</v>
      </c>
      <c r="T556" s="6">
        <f t="shared" si="219"/>
        <v>0</v>
      </c>
      <c r="U556" s="6">
        <f t="shared" si="220"/>
        <v>1464.4399999999996</v>
      </c>
      <c r="V556" s="6" t="str">
        <f>IF(MOD(C556-Settings!$B$32,Settings!$B$33)&lt;Settings!$B$30,"Up","Down")</f>
        <v>Up</v>
      </c>
      <c r="W556" s="6">
        <f>IF(OR(E556&gt;Settings!$B$30,Q556&gt;Settings!$B$37),0,1)</f>
        <v>0</v>
      </c>
      <c r="X556" s="6">
        <f>IF(AND(W556=1,Q556&lt;=Settings!$B$36),1,0)</f>
        <v>0</v>
      </c>
    </row>
    <row r="557" spans="1:24" x14ac:dyDescent="0.2">
      <c r="A557">
        <f>Arrivals!A557</f>
        <v>5</v>
      </c>
      <c r="B557">
        <f>Arrivals!B557</f>
        <v>72</v>
      </c>
      <c r="C557" s="6">
        <f>Arrivals!F557</f>
        <v>509</v>
      </c>
      <c r="D557" s="6">
        <f>Arrivals!K557</f>
        <v>300</v>
      </c>
      <c r="E557" s="6">
        <f>D557*8/ACE_Input!S77+ACE_Input!T77</f>
        <v>24.02</v>
      </c>
      <c r="F557" s="6">
        <f t="shared" si="210"/>
        <v>509</v>
      </c>
      <c r="G557" s="6">
        <f t="shared" si="221"/>
        <v>1992.4599999999996</v>
      </c>
      <c r="H557" s="6">
        <f t="shared" si="211"/>
        <v>1992.4599999999996</v>
      </c>
      <c r="I557" s="6">
        <f>MOD(H557-Settings!$B$32,Settings!$B$33)</f>
        <v>552.45999999999958</v>
      </c>
      <c r="J557" s="6">
        <f>IF(I557&lt;Settings!$B$30,IF(Settings!$B$30-I557&gt;=E557,H557,H557+(Settings!$B$30-I557)+Settings!$B$31),H557+(Settings!$B$33-I557))</f>
        <v>1992.4599999999996</v>
      </c>
      <c r="K557" s="6">
        <f t="shared" si="212"/>
        <v>2016.4799999999996</v>
      </c>
      <c r="L557" s="6">
        <f t="shared" si="213"/>
        <v>2016.4799999999996</v>
      </c>
      <c r="M557" s="6">
        <f t="shared" si="222"/>
        <v>1995.6936029371002</v>
      </c>
      <c r="N557" s="6">
        <f t="shared" si="214"/>
        <v>2016.4799999999996</v>
      </c>
      <c r="O557" s="6">
        <f>Arrivals!I557</f>
        <v>1.4475379961506825</v>
      </c>
      <c r="P557" s="6">
        <f t="shared" si="215"/>
        <v>2017.9275379961502</v>
      </c>
      <c r="Q557" s="6">
        <f t="shared" si="216"/>
        <v>1508.9275379961502</v>
      </c>
      <c r="R557" s="6">
        <f t="shared" si="217"/>
        <v>1483.4599999999996</v>
      </c>
      <c r="S557" s="6">
        <f t="shared" si="218"/>
        <v>0</v>
      </c>
      <c r="T557" s="6">
        <f t="shared" si="219"/>
        <v>0</v>
      </c>
      <c r="U557" s="6">
        <f t="shared" si="220"/>
        <v>1483.4599999999996</v>
      </c>
      <c r="V557" s="6" t="str">
        <f>IF(MOD(C557-Settings!$B$32,Settings!$B$33)&lt;Settings!$B$30,"Up","Down")</f>
        <v>Up</v>
      </c>
      <c r="W557" s="6">
        <f>IF(OR(E557&gt;Settings!$B$30,Q557&gt;Settings!$B$37),0,1)</f>
        <v>0</v>
      </c>
      <c r="X557" s="6">
        <f>IF(AND(W557=1,Q557&lt;=Settings!$B$36),1,0)</f>
        <v>0</v>
      </c>
    </row>
    <row r="558" spans="1:24" x14ac:dyDescent="0.2">
      <c r="A558">
        <f>Arrivals!A558</f>
        <v>5</v>
      </c>
      <c r="B558">
        <f>Arrivals!B558</f>
        <v>73</v>
      </c>
      <c r="C558" s="6">
        <f>Arrivals!F558</f>
        <v>514</v>
      </c>
      <c r="D558" s="6">
        <f>Arrivals!K558</f>
        <v>300</v>
      </c>
      <c r="E558" s="6">
        <f>D558*8/ACE_Input!S78+ACE_Input!T78</f>
        <v>24.02</v>
      </c>
      <c r="F558" s="6">
        <f t="shared" si="210"/>
        <v>514</v>
      </c>
      <c r="G558" s="6">
        <f t="shared" si="221"/>
        <v>2016.4799999999996</v>
      </c>
      <c r="H558" s="6">
        <f t="shared" si="211"/>
        <v>2016.4799999999996</v>
      </c>
      <c r="I558" s="6">
        <f>MOD(H558-Settings!$B$32,Settings!$B$33)</f>
        <v>576.47999999999956</v>
      </c>
      <c r="J558" s="6">
        <f>IF(I558&lt;Settings!$B$30,IF(Settings!$B$30-I558&gt;=E558,H558,H558+(Settings!$B$30-I558)+Settings!$B$31),H558+(Settings!$B$33-I558))</f>
        <v>2160</v>
      </c>
      <c r="K558" s="6">
        <f t="shared" si="212"/>
        <v>2184.02</v>
      </c>
      <c r="L558" s="6">
        <f t="shared" si="213"/>
        <v>2184.02</v>
      </c>
      <c r="M558" s="6">
        <f t="shared" si="222"/>
        <v>2017.9275379961502</v>
      </c>
      <c r="N558" s="6">
        <f t="shared" si="214"/>
        <v>2184.02</v>
      </c>
      <c r="O558" s="6">
        <f>Arrivals!I558</f>
        <v>1.0481878313844626</v>
      </c>
      <c r="P558" s="6">
        <f t="shared" si="215"/>
        <v>2185.0681878313844</v>
      </c>
      <c r="Q558" s="6">
        <f t="shared" si="216"/>
        <v>1671.0681878313844</v>
      </c>
      <c r="R558" s="6">
        <f t="shared" si="217"/>
        <v>1502.4799999999996</v>
      </c>
      <c r="S558" s="6">
        <f t="shared" si="218"/>
        <v>143.52000000000044</v>
      </c>
      <c r="T558" s="6">
        <f t="shared" si="219"/>
        <v>0</v>
      </c>
      <c r="U558" s="6">
        <f t="shared" si="220"/>
        <v>1646</v>
      </c>
      <c r="V558" s="6" t="str">
        <f>IF(MOD(C558-Settings!$B$32,Settings!$B$33)&lt;Settings!$B$30,"Up","Down")</f>
        <v>Up</v>
      </c>
      <c r="W558" s="6">
        <f>IF(OR(E558&gt;Settings!$B$30,Q558&gt;Settings!$B$37),0,1)</f>
        <v>0</v>
      </c>
      <c r="X558" s="6">
        <f>IF(AND(W558=1,Q558&lt;=Settings!$B$36),1,0)</f>
        <v>0</v>
      </c>
    </row>
    <row r="559" spans="1:24" x14ac:dyDescent="0.2">
      <c r="A559">
        <f>Arrivals!A559</f>
        <v>5</v>
      </c>
      <c r="B559">
        <f>Arrivals!B559</f>
        <v>74</v>
      </c>
      <c r="C559" s="6">
        <f>Arrivals!F559</f>
        <v>519</v>
      </c>
      <c r="D559" s="6">
        <f>Arrivals!K559</f>
        <v>300</v>
      </c>
      <c r="E559" s="6">
        <f>D559*8/ACE_Input!S79+ACE_Input!T79</f>
        <v>24.02</v>
      </c>
      <c r="F559" s="6">
        <f t="shared" si="210"/>
        <v>519</v>
      </c>
      <c r="G559" s="6">
        <f t="shared" si="221"/>
        <v>2184.02</v>
      </c>
      <c r="H559" s="6">
        <f t="shared" si="211"/>
        <v>2184.02</v>
      </c>
      <c r="I559" s="6">
        <f>MOD(H559-Settings!$B$32,Settings!$B$33)</f>
        <v>24.019999999999982</v>
      </c>
      <c r="J559" s="6">
        <f>IF(I559&lt;Settings!$B$30,IF(Settings!$B$30-I559&gt;=E559,H559,H559+(Settings!$B$30-I559)+Settings!$B$31),H559+(Settings!$B$33-I559))</f>
        <v>2184.02</v>
      </c>
      <c r="K559" s="6">
        <f t="shared" si="212"/>
        <v>2208.04</v>
      </c>
      <c r="L559" s="6">
        <f t="shared" si="213"/>
        <v>2208.04</v>
      </c>
      <c r="M559" s="6">
        <f t="shared" si="222"/>
        <v>2185.0681878313844</v>
      </c>
      <c r="N559" s="6">
        <f t="shared" si="214"/>
        <v>2208.04</v>
      </c>
      <c r="O559" s="6">
        <f>Arrivals!I559</f>
        <v>2.2874309081109381</v>
      </c>
      <c r="P559" s="6">
        <f t="shared" si="215"/>
        <v>2210.3274309081107</v>
      </c>
      <c r="Q559" s="6">
        <f t="shared" si="216"/>
        <v>1691.3274309081107</v>
      </c>
      <c r="R559" s="6">
        <f t="shared" si="217"/>
        <v>1665.02</v>
      </c>
      <c r="S559" s="6">
        <f t="shared" si="218"/>
        <v>0</v>
      </c>
      <c r="T559" s="6">
        <f t="shared" si="219"/>
        <v>0</v>
      </c>
      <c r="U559" s="6">
        <f t="shared" si="220"/>
        <v>1665.02</v>
      </c>
      <c r="V559" s="6" t="str">
        <f>IF(MOD(C559-Settings!$B$32,Settings!$B$33)&lt;Settings!$B$30,"Up","Down")</f>
        <v>Up</v>
      </c>
      <c r="W559" s="6">
        <f>IF(OR(E559&gt;Settings!$B$30,Q559&gt;Settings!$B$37),0,1)</f>
        <v>0</v>
      </c>
      <c r="X559" s="6">
        <f>IF(AND(W559=1,Q559&lt;=Settings!$B$36),1,0)</f>
        <v>0</v>
      </c>
    </row>
    <row r="560" spans="1:24" x14ac:dyDescent="0.2">
      <c r="A560">
        <f>Arrivals!A560</f>
        <v>5</v>
      </c>
      <c r="B560">
        <f>Arrivals!B560</f>
        <v>75</v>
      </c>
      <c r="C560" s="6">
        <f>Arrivals!F560</f>
        <v>524</v>
      </c>
      <c r="D560" s="6">
        <f>Arrivals!K560</f>
        <v>300</v>
      </c>
      <c r="E560" s="6">
        <f>D560*8/ACE_Input!S80+ACE_Input!T80</f>
        <v>24.02</v>
      </c>
      <c r="F560" s="6">
        <f t="shared" si="210"/>
        <v>524</v>
      </c>
      <c r="G560" s="6">
        <f t="shared" si="221"/>
        <v>2208.04</v>
      </c>
      <c r="H560" s="6">
        <f t="shared" si="211"/>
        <v>2208.04</v>
      </c>
      <c r="I560" s="6">
        <f>MOD(H560-Settings!$B$32,Settings!$B$33)</f>
        <v>48.039999999999964</v>
      </c>
      <c r="J560" s="6">
        <f>IF(I560&lt;Settings!$B$30,IF(Settings!$B$30-I560&gt;=E560,H560,H560+(Settings!$B$30-I560)+Settings!$B$31),H560+(Settings!$B$33-I560))</f>
        <v>2208.04</v>
      </c>
      <c r="K560" s="6">
        <f t="shared" si="212"/>
        <v>2232.06</v>
      </c>
      <c r="L560" s="6">
        <f t="shared" si="213"/>
        <v>2232.06</v>
      </c>
      <c r="M560" s="6">
        <f t="shared" si="222"/>
        <v>2210.3274309081107</v>
      </c>
      <c r="N560" s="6">
        <f t="shared" si="214"/>
        <v>2232.06</v>
      </c>
      <c r="O560" s="6">
        <f>Arrivals!I560</f>
        <v>7.7201885508108274</v>
      </c>
      <c r="P560" s="6">
        <f t="shared" si="215"/>
        <v>2239.7801885508106</v>
      </c>
      <c r="Q560" s="6">
        <f t="shared" si="216"/>
        <v>1715.7801885508106</v>
      </c>
      <c r="R560" s="6">
        <f t="shared" si="217"/>
        <v>1684.04</v>
      </c>
      <c r="S560" s="6">
        <f t="shared" si="218"/>
        <v>0</v>
      </c>
      <c r="T560" s="6">
        <f t="shared" si="219"/>
        <v>0</v>
      </c>
      <c r="U560" s="6">
        <f t="shared" si="220"/>
        <v>1684.04</v>
      </c>
      <c r="V560" s="6" t="str">
        <f>IF(MOD(C560-Settings!$B$32,Settings!$B$33)&lt;Settings!$B$30,"Up","Down")</f>
        <v>Up</v>
      </c>
      <c r="W560" s="6">
        <f>IF(OR(E560&gt;Settings!$B$30,Q560&gt;Settings!$B$37),0,1)</f>
        <v>0</v>
      </c>
      <c r="X560" s="6">
        <f>IF(AND(W560=1,Q560&lt;=Settings!$B$36),1,0)</f>
        <v>0</v>
      </c>
    </row>
    <row r="561" spans="1:24" x14ac:dyDescent="0.2">
      <c r="A561">
        <f>Arrivals!A561</f>
        <v>5</v>
      </c>
      <c r="B561">
        <f>Arrivals!B561</f>
        <v>76</v>
      </c>
      <c r="C561" s="6">
        <f>Arrivals!F561</f>
        <v>529</v>
      </c>
      <c r="D561" s="6">
        <f>Arrivals!K561</f>
        <v>300</v>
      </c>
      <c r="E561" s="6">
        <f>D561*8/ACE_Input!S81+ACE_Input!T81</f>
        <v>24.02</v>
      </c>
      <c r="F561" s="6">
        <f t="shared" si="210"/>
        <v>529</v>
      </c>
      <c r="G561" s="6">
        <f t="shared" si="221"/>
        <v>2232.06</v>
      </c>
      <c r="H561" s="6">
        <f t="shared" si="211"/>
        <v>2232.06</v>
      </c>
      <c r="I561" s="6">
        <f>MOD(H561-Settings!$B$32,Settings!$B$33)</f>
        <v>72.059999999999945</v>
      </c>
      <c r="J561" s="6">
        <f>IF(I561&lt;Settings!$B$30,IF(Settings!$B$30-I561&gt;=E561,H561,H561+(Settings!$B$30-I561)+Settings!$B$31),H561+(Settings!$B$33-I561))</f>
        <v>2232.06</v>
      </c>
      <c r="K561" s="6">
        <f t="shared" si="212"/>
        <v>2256.08</v>
      </c>
      <c r="L561" s="6">
        <f t="shared" si="213"/>
        <v>2256.08</v>
      </c>
      <c r="M561" s="6">
        <f t="shared" si="222"/>
        <v>2239.7801885508106</v>
      </c>
      <c r="N561" s="6">
        <f t="shared" si="214"/>
        <v>2256.08</v>
      </c>
      <c r="O561" s="6">
        <f>Arrivals!I561</f>
        <v>3.7584224278755545</v>
      </c>
      <c r="P561" s="6">
        <f t="shared" si="215"/>
        <v>2259.8384224278757</v>
      </c>
      <c r="Q561" s="6">
        <f t="shared" si="216"/>
        <v>1730.8384224278757</v>
      </c>
      <c r="R561" s="6">
        <f t="shared" si="217"/>
        <v>1703.06</v>
      </c>
      <c r="S561" s="6">
        <f t="shared" si="218"/>
        <v>0</v>
      </c>
      <c r="T561" s="6">
        <f t="shared" si="219"/>
        <v>0</v>
      </c>
      <c r="U561" s="6">
        <f t="shared" si="220"/>
        <v>1703.06</v>
      </c>
      <c r="V561" s="6" t="str">
        <f>IF(MOD(C561-Settings!$B$32,Settings!$B$33)&lt;Settings!$B$30,"Up","Down")</f>
        <v>Up</v>
      </c>
      <c r="W561" s="6">
        <f>IF(OR(E561&gt;Settings!$B$30,Q561&gt;Settings!$B$37),0,1)</f>
        <v>0</v>
      </c>
      <c r="X561" s="6">
        <f>IF(AND(W561=1,Q561&lt;=Settings!$B$36),1,0)</f>
        <v>0</v>
      </c>
    </row>
    <row r="562" spans="1:24" x14ac:dyDescent="0.2">
      <c r="A562">
        <f>Arrivals!A562</f>
        <v>5</v>
      </c>
      <c r="B562">
        <f>Arrivals!B562</f>
        <v>77</v>
      </c>
      <c r="C562" s="6">
        <f>Arrivals!F562</f>
        <v>534</v>
      </c>
      <c r="D562" s="6">
        <f>Arrivals!K562</f>
        <v>300</v>
      </c>
      <c r="E562" s="6">
        <f>D562*8/ACE_Input!S82+ACE_Input!T82</f>
        <v>24.02</v>
      </c>
      <c r="F562" s="6">
        <f t="shared" si="210"/>
        <v>534</v>
      </c>
      <c r="G562" s="6">
        <f t="shared" si="221"/>
        <v>2256.08</v>
      </c>
      <c r="H562" s="6">
        <f t="shared" si="211"/>
        <v>2256.08</v>
      </c>
      <c r="I562" s="6">
        <f>MOD(H562-Settings!$B$32,Settings!$B$33)</f>
        <v>96.079999999999927</v>
      </c>
      <c r="J562" s="6">
        <f>IF(I562&lt;Settings!$B$30,IF(Settings!$B$30-I562&gt;=E562,H562,H562+(Settings!$B$30-I562)+Settings!$B$31),H562+(Settings!$B$33-I562))</f>
        <v>2256.08</v>
      </c>
      <c r="K562" s="6">
        <f t="shared" si="212"/>
        <v>2280.1</v>
      </c>
      <c r="L562" s="6">
        <f t="shared" si="213"/>
        <v>2280.1</v>
      </c>
      <c r="M562" s="6">
        <f t="shared" si="222"/>
        <v>2259.8384224278757</v>
      </c>
      <c r="N562" s="6">
        <f t="shared" si="214"/>
        <v>2280.1</v>
      </c>
      <c r="O562" s="6">
        <f>Arrivals!I562</f>
        <v>0.54859275974323263</v>
      </c>
      <c r="P562" s="6">
        <f t="shared" si="215"/>
        <v>2280.6485927597432</v>
      </c>
      <c r="Q562" s="6">
        <f t="shared" si="216"/>
        <v>1746.6485927597432</v>
      </c>
      <c r="R562" s="6">
        <f t="shared" si="217"/>
        <v>1722.08</v>
      </c>
      <c r="S562" s="6">
        <f t="shared" si="218"/>
        <v>0</v>
      </c>
      <c r="T562" s="6">
        <f t="shared" si="219"/>
        <v>0</v>
      </c>
      <c r="U562" s="6">
        <f t="shared" si="220"/>
        <v>1722.08</v>
      </c>
      <c r="V562" s="6" t="str">
        <f>IF(MOD(C562-Settings!$B$32,Settings!$B$33)&lt;Settings!$B$30,"Up","Down")</f>
        <v>Up</v>
      </c>
      <c r="W562" s="6">
        <f>IF(OR(E562&gt;Settings!$B$30,Q562&gt;Settings!$B$37),0,1)</f>
        <v>0</v>
      </c>
      <c r="X562" s="6">
        <f>IF(AND(W562=1,Q562&lt;=Settings!$B$36),1,0)</f>
        <v>0</v>
      </c>
    </row>
    <row r="563" spans="1:24" x14ac:dyDescent="0.2">
      <c r="A563">
        <f>Arrivals!A563</f>
        <v>5</v>
      </c>
      <c r="B563">
        <f>Arrivals!B563</f>
        <v>78</v>
      </c>
      <c r="C563" s="6">
        <f>Arrivals!F563</f>
        <v>539</v>
      </c>
      <c r="D563" s="6">
        <f>Arrivals!K563</f>
        <v>300</v>
      </c>
      <c r="E563" s="6">
        <f>D563*8/ACE_Input!S83+ACE_Input!T83</f>
        <v>24.02</v>
      </c>
      <c r="F563" s="6">
        <f t="shared" si="210"/>
        <v>539</v>
      </c>
      <c r="G563" s="6">
        <f t="shared" si="221"/>
        <v>2280.1</v>
      </c>
      <c r="H563" s="6">
        <f t="shared" si="211"/>
        <v>2280.1</v>
      </c>
      <c r="I563" s="6">
        <f>MOD(H563-Settings!$B$32,Settings!$B$33)</f>
        <v>120.09999999999991</v>
      </c>
      <c r="J563" s="6">
        <f>IF(I563&lt;Settings!$B$30,IF(Settings!$B$30-I563&gt;=E563,H563,H563+(Settings!$B$30-I563)+Settings!$B$31),H563+(Settings!$B$33-I563))</f>
        <v>2280.1</v>
      </c>
      <c r="K563" s="6">
        <f t="shared" si="212"/>
        <v>2304.12</v>
      </c>
      <c r="L563" s="6">
        <f t="shared" si="213"/>
        <v>2304.12</v>
      </c>
      <c r="M563" s="6">
        <f t="shared" si="222"/>
        <v>2280.6485927597432</v>
      </c>
      <c r="N563" s="6">
        <f t="shared" si="214"/>
        <v>2304.12</v>
      </c>
      <c r="O563" s="6">
        <f>Arrivals!I563</f>
        <v>13.768348627973104</v>
      </c>
      <c r="P563" s="6">
        <f t="shared" si="215"/>
        <v>2317.8883486279728</v>
      </c>
      <c r="Q563" s="6">
        <f t="shared" si="216"/>
        <v>1778.8883486279728</v>
      </c>
      <c r="R563" s="6">
        <f t="shared" si="217"/>
        <v>1741.1</v>
      </c>
      <c r="S563" s="6">
        <f t="shared" si="218"/>
        <v>0</v>
      </c>
      <c r="T563" s="6">
        <f t="shared" si="219"/>
        <v>0</v>
      </c>
      <c r="U563" s="6">
        <f t="shared" si="220"/>
        <v>1741.1</v>
      </c>
      <c r="V563" s="6" t="str">
        <f>IF(MOD(C563-Settings!$B$32,Settings!$B$33)&lt;Settings!$B$30,"Up","Down")</f>
        <v>Up</v>
      </c>
      <c r="W563" s="6">
        <f>IF(OR(E563&gt;Settings!$B$30,Q563&gt;Settings!$B$37),0,1)</f>
        <v>0</v>
      </c>
      <c r="X563" s="6">
        <f>IF(AND(W563=1,Q563&lt;=Settings!$B$36),1,0)</f>
        <v>0</v>
      </c>
    </row>
    <row r="564" spans="1:24" x14ac:dyDescent="0.2">
      <c r="A564">
        <f>Arrivals!A564</f>
        <v>5</v>
      </c>
      <c r="B564">
        <f>Arrivals!B564</f>
        <v>79</v>
      </c>
      <c r="C564" s="6">
        <f>Arrivals!F564</f>
        <v>544</v>
      </c>
      <c r="D564" s="6">
        <f>Arrivals!K564</f>
        <v>300</v>
      </c>
      <c r="E564" s="6">
        <f>D564*8/ACE_Input!S84+ACE_Input!T84</f>
        <v>24.02</v>
      </c>
      <c r="F564" s="6">
        <f t="shared" si="210"/>
        <v>544</v>
      </c>
      <c r="G564" s="6">
        <f t="shared" si="221"/>
        <v>2304.12</v>
      </c>
      <c r="H564" s="6">
        <f t="shared" si="211"/>
        <v>2304.12</v>
      </c>
      <c r="I564" s="6">
        <f>MOD(H564-Settings!$B$32,Settings!$B$33)</f>
        <v>144.11999999999989</v>
      </c>
      <c r="J564" s="6">
        <f>IF(I564&lt;Settings!$B$30,IF(Settings!$B$30-I564&gt;=E564,H564,H564+(Settings!$B$30-I564)+Settings!$B$31),H564+(Settings!$B$33-I564))</f>
        <v>2304.12</v>
      </c>
      <c r="K564" s="6">
        <f t="shared" si="212"/>
        <v>2328.14</v>
      </c>
      <c r="L564" s="6">
        <f t="shared" si="213"/>
        <v>2328.14</v>
      </c>
      <c r="M564" s="6">
        <f t="shared" si="222"/>
        <v>2317.8883486279728</v>
      </c>
      <c r="N564" s="6">
        <f t="shared" si="214"/>
        <v>2328.14</v>
      </c>
      <c r="O564" s="6">
        <f>Arrivals!I564</f>
        <v>0.95532846011545192</v>
      </c>
      <c r="P564" s="6">
        <f t="shared" si="215"/>
        <v>2329.0953284601155</v>
      </c>
      <c r="Q564" s="6">
        <f t="shared" si="216"/>
        <v>1785.0953284601155</v>
      </c>
      <c r="R564" s="6">
        <f t="shared" si="217"/>
        <v>1760.12</v>
      </c>
      <c r="S564" s="6">
        <f t="shared" si="218"/>
        <v>0</v>
      </c>
      <c r="T564" s="6">
        <f t="shared" si="219"/>
        <v>0</v>
      </c>
      <c r="U564" s="6">
        <f t="shared" si="220"/>
        <v>1760.12</v>
      </c>
      <c r="V564" s="6" t="str">
        <f>IF(MOD(C564-Settings!$B$32,Settings!$B$33)&lt;Settings!$B$30,"Up","Down")</f>
        <v>Up</v>
      </c>
      <c r="W564" s="6">
        <f>IF(OR(E564&gt;Settings!$B$30,Q564&gt;Settings!$B$37),0,1)</f>
        <v>0</v>
      </c>
      <c r="X564" s="6">
        <f>IF(AND(W564=1,Q564&lt;=Settings!$B$36),1,0)</f>
        <v>0</v>
      </c>
    </row>
    <row r="565" spans="1:24" x14ac:dyDescent="0.2">
      <c r="A565">
        <f>Arrivals!A565</f>
        <v>5</v>
      </c>
      <c r="B565">
        <f>Arrivals!B565</f>
        <v>80</v>
      </c>
      <c r="C565" s="6">
        <f>Arrivals!F565</f>
        <v>549</v>
      </c>
      <c r="D565" s="6">
        <f>Arrivals!K565</f>
        <v>300</v>
      </c>
      <c r="E565" s="6">
        <f>D565*8/ACE_Input!S85+ACE_Input!T85</f>
        <v>24.02</v>
      </c>
      <c r="F565" s="6">
        <f t="shared" si="210"/>
        <v>549</v>
      </c>
      <c r="G565" s="6">
        <f t="shared" si="221"/>
        <v>2328.14</v>
      </c>
      <c r="H565" s="6">
        <f t="shared" si="211"/>
        <v>2328.14</v>
      </c>
      <c r="I565" s="6">
        <f>MOD(H565-Settings!$B$32,Settings!$B$33)</f>
        <v>168.13999999999987</v>
      </c>
      <c r="J565" s="6">
        <f>IF(I565&lt;Settings!$B$30,IF(Settings!$B$30-I565&gt;=E565,H565,H565+(Settings!$B$30-I565)+Settings!$B$31),H565+(Settings!$B$33-I565))</f>
        <v>2328.14</v>
      </c>
      <c r="K565" s="6">
        <f t="shared" si="212"/>
        <v>2352.16</v>
      </c>
      <c r="L565" s="6">
        <f t="shared" si="213"/>
        <v>2352.16</v>
      </c>
      <c r="M565" s="6">
        <f t="shared" si="222"/>
        <v>2329.0953284601155</v>
      </c>
      <c r="N565" s="6">
        <f t="shared" si="214"/>
        <v>2352.16</v>
      </c>
      <c r="O565" s="6">
        <f>Arrivals!I565</f>
        <v>4.7639892133995554</v>
      </c>
      <c r="P565" s="6">
        <f t="shared" si="215"/>
        <v>2356.9239892133996</v>
      </c>
      <c r="Q565" s="6">
        <f t="shared" si="216"/>
        <v>1807.9239892133996</v>
      </c>
      <c r="R565" s="6">
        <f t="shared" si="217"/>
        <v>1779.1399999999999</v>
      </c>
      <c r="S565" s="6">
        <f t="shared" si="218"/>
        <v>0</v>
      </c>
      <c r="T565" s="6">
        <f t="shared" si="219"/>
        <v>0</v>
      </c>
      <c r="U565" s="6">
        <f t="shared" si="220"/>
        <v>1779.1399999999999</v>
      </c>
      <c r="V565" s="6" t="str">
        <f>IF(MOD(C565-Settings!$B$32,Settings!$B$33)&lt;Settings!$B$30,"Up","Down")</f>
        <v>Up</v>
      </c>
      <c r="W565" s="6">
        <f>IF(OR(E565&gt;Settings!$B$30,Q565&gt;Settings!$B$37),0,1)</f>
        <v>0</v>
      </c>
      <c r="X565" s="6">
        <f>IF(AND(W565=1,Q565&lt;=Settings!$B$36),1,0)</f>
        <v>0</v>
      </c>
    </row>
    <row r="566" spans="1:24" x14ac:dyDescent="0.2">
      <c r="A566">
        <f>Arrivals!A566</f>
        <v>5</v>
      </c>
      <c r="B566">
        <f>Arrivals!B566</f>
        <v>81</v>
      </c>
      <c r="C566" s="6">
        <f>Arrivals!F566</f>
        <v>554</v>
      </c>
      <c r="D566" s="6">
        <f>Arrivals!K566</f>
        <v>300</v>
      </c>
      <c r="E566" s="6">
        <f>D566*8/ACE_Input!S86+ACE_Input!T86</f>
        <v>24.02</v>
      </c>
      <c r="F566" s="6">
        <f t="shared" si="210"/>
        <v>554</v>
      </c>
      <c r="G566" s="6">
        <f t="shared" si="221"/>
        <v>2352.16</v>
      </c>
      <c r="H566" s="6">
        <f t="shared" si="211"/>
        <v>2352.16</v>
      </c>
      <c r="I566" s="6">
        <f>MOD(H566-Settings!$B$32,Settings!$B$33)</f>
        <v>192.15999999999985</v>
      </c>
      <c r="J566" s="6">
        <f>IF(I566&lt;Settings!$B$30,IF(Settings!$B$30-I566&gt;=E566,H566,H566+(Settings!$B$30-I566)+Settings!$B$31),H566+(Settings!$B$33-I566))</f>
        <v>2352.16</v>
      </c>
      <c r="K566" s="6">
        <f t="shared" si="212"/>
        <v>2376.1799999999998</v>
      </c>
      <c r="L566" s="6">
        <f t="shared" si="213"/>
        <v>2376.1799999999998</v>
      </c>
      <c r="M566" s="6">
        <f t="shared" si="222"/>
        <v>2356.9239892133996</v>
      </c>
      <c r="N566" s="6">
        <f t="shared" si="214"/>
        <v>2376.1799999999998</v>
      </c>
      <c r="O566" s="6">
        <f>Arrivals!I566</f>
        <v>0.2048852262098628</v>
      </c>
      <c r="P566" s="6">
        <f t="shared" si="215"/>
        <v>2376.3848852262099</v>
      </c>
      <c r="Q566" s="6">
        <f t="shared" si="216"/>
        <v>1822.3848852262099</v>
      </c>
      <c r="R566" s="6">
        <f t="shared" si="217"/>
        <v>1798.1599999999999</v>
      </c>
      <c r="S566" s="6">
        <f t="shared" si="218"/>
        <v>0</v>
      </c>
      <c r="T566" s="6">
        <f t="shared" si="219"/>
        <v>0</v>
      </c>
      <c r="U566" s="6">
        <f t="shared" si="220"/>
        <v>1798.1599999999999</v>
      </c>
      <c r="V566" s="6" t="str">
        <f>IF(MOD(C566-Settings!$B$32,Settings!$B$33)&lt;Settings!$B$30,"Up","Down")</f>
        <v>Up</v>
      </c>
      <c r="W566" s="6">
        <f>IF(OR(E566&gt;Settings!$B$30,Q566&gt;Settings!$B$37),0,1)</f>
        <v>0</v>
      </c>
      <c r="X566" s="6">
        <f>IF(AND(W566=1,Q566&lt;=Settings!$B$36),1,0)</f>
        <v>0</v>
      </c>
    </row>
    <row r="567" spans="1:24" x14ac:dyDescent="0.2">
      <c r="A567">
        <f>Arrivals!A567</f>
        <v>5</v>
      </c>
      <c r="B567">
        <f>Arrivals!B567</f>
        <v>82</v>
      </c>
      <c r="C567" s="6">
        <f>Arrivals!F567</f>
        <v>559</v>
      </c>
      <c r="D567" s="6">
        <f>Arrivals!K567</f>
        <v>300</v>
      </c>
      <c r="E567" s="6">
        <f>D567*8/ACE_Input!S87+ACE_Input!T87</f>
        <v>24.02</v>
      </c>
      <c r="F567" s="6">
        <f t="shared" si="210"/>
        <v>559</v>
      </c>
      <c r="G567" s="6">
        <f t="shared" si="221"/>
        <v>2376.1799999999998</v>
      </c>
      <c r="H567" s="6">
        <f t="shared" si="211"/>
        <v>2376.1799999999998</v>
      </c>
      <c r="I567" s="6">
        <f>MOD(H567-Settings!$B$32,Settings!$B$33)</f>
        <v>216.17999999999984</v>
      </c>
      <c r="J567" s="6">
        <f>IF(I567&lt;Settings!$B$30,IF(Settings!$B$30-I567&gt;=E567,H567,H567+(Settings!$B$30-I567)+Settings!$B$31),H567+(Settings!$B$33-I567))</f>
        <v>2376.1799999999998</v>
      </c>
      <c r="K567" s="6">
        <f t="shared" si="212"/>
        <v>2400.1999999999998</v>
      </c>
      <c r="L567" s="6">
        <f t="shared" si="213"/>
        <v>2400.1999999999998</v>
      </c>
      <c r="M567" s="6">
        <f t="shared" si="222"/>
        <v>2376.3848852262099</v>
      </c>
      <c r="N567" s="6">
        <f t="shared" si="214"/>
        <v>2400.1999999999998</v>
      </c>
      <c r="O567" s="6">
        <f>Arrivals!I567</f>
        <v>0.8953454669087656</v>
      </c>
      <c r="P567" s="6">
        <f t="shared" si="215"/>
        <v>2401.0953454669084</v>
      </c>
      <c r="Q567" s="6">
        <f t="shared" si="216"/>
        <v>1842.0953454669084</v>
      </c>
      <c r="R567" s="6">
        <f t="shared" si="217"/>
        <v>1817.1799999999998</v>
      </c>
      <c r="S567" s="6">
        <f t="shared" si="218"/>
        <v>0</v>
      </c>
      <c r="T567" s="6">
        <f t="shared" si="219"/>
        <v>0</v>
      </c>
      <c r="U567" s="6">
        <f t="shared" si="220"/>
        <v>1817.1799999999998</v>
      </c>
      <c r="V567" s="6" t="str">
        <f>IF(MOD(C567-Settings!$B$32,Settings!$B$33)&lt;Settings!$B$30,"Up","Down")</f>
        <v>Up</v>
      </c>
      <c r="W567" s="6">
        <f>IF(OR(E567&gt;Settings!$B$30,Q567&gt;Settings!$B$37),0,1)</f>
        <v>0</v>
      </c>
      <c r="X567" s="6">
        <f>IF(AND(W567=1,Q567&lt;=Settings!$B$36),1,0)</f>
        <v>0</v>
      </c>
    </row>
    <row r="568" spans="1:24" x14ac:dyDescent="0.2">
      <c r="A568">
        <f>Arrivals!A568</f>
        <v>5</v>
      </c>
      <c r="B568">
        <f>Arrivals!B568</f>
        <v>83</v>
      </c>
      <c r="C568" s="6">
        <f>Arrivals!F568</f>
        <v>564</v>
      </c>
      <c r="D568" s="6">
        <f>Arrivals!K568</f>
        <v>300</v>
      </c>
      <c r="E568" s="6">
        <f>D568*8/ACE_Input!S88+ACE_Input!T88</f>
        <v>24.02</v>
      </c>
      <c r="F568" s="6">
        <f t="shared" si="210"/>
        <v>564</v>
      </c>
      <c r="G568" s="6">
        <f t="shared" si="221"/>
        <v>2400.1999999999998</v>
      </c>
      <c r="H568" s="6">
        <f t="shared" si="211"/>
        <v>2400.1999999999998</v>
      </c>
      <c r="I568" s="6">
        <f>MOD(H568-Settings!$B$32,Settings!$B$33)</f>
        <v>240.19999999999982</v>
      </c>
      <c r="J568" s="6">
        <f>IF(I568&lt;Settings!$B$30,IF(Settings!$B$30-I568&gt;=E568,H568,H568+(Settings!$B$30-I568)+Settings!$B$31),H568+(Settings!$B$33-I568))</f>
        <v>2400.1999999999998</v>
      </c>
      <c r="K568" s="6">
        <f t="shared" si="212"/>
        <v>2424.2199999999998</v>
      </c>
      <c r="L568" s="6">
        <f t="shared" si="213"/>
        <v>2424.2199999999998</v>
      </c>
      <c r="M568" s="6">
        <f t="shared" si="222"/>
        <v>2401.0953454669084</v>
      </c>
      <c r="N568" s="6">
        <f t="shared" si="214"/>
        <v>2424.2199999999998</v>
      </c>
      <c r="O568" s="6">
        <f>Arrivals!I568</f>
        <v>4.9804677863962077</v>
      </c>
      <c r="P568" s="6">
        <f t="shared" si="215"/>
        <v>2429.2004677863961</v>
      </c>
      <c r="Q568" s="6">
        <f t="shared" si="216"/>
        <v>1865.2004677863961</v>
      </c>
      <c r="R568" s="6">
        <f t="shared" si="217"/>
        <v>1836.1999999999998</v>
      </c>
      <c r="S568" s="6">
        <f t="shared" si="218"/>
        <v>0</v>
      </c>
      <c r="T568" s="6">
        <f t="shared" si="219"/>
        <v>0</v>
      </c>
      <c r="U568" s="6">
        <f t="shared" si="220"/>
        <v>1836.1999999999998</v>
      </c>
      <c r="V568" s="6" t="str">
        <f>IF(MOD(C568-Settings!$B$32,Settings!$B$33)&lt;Settings!$B$30,"Up","Down")</f>
        <v>Up</v>
      </c>
      <c r="W568" s="6">
        <f>IF(OR(E568&gt;Settings!$B$30,Q568&gt;Settings!$B$37),0,1)</f>
        <v>0</v>
      </c>
      <c r="X568" s="6">
        <f>IF(AND(W568=1,Q568&lt;=Settings!$B$36),1,0)</f>
        <v>0</v>
      </c>
    </row>
    <row r="569" spans="1:24" x14ac:dyDescent="0.2">
      <c r="A569">
        <f>Arrivals!A569</f>
        <v>5</v>
      </c>
      <c r="B569">
        <f>Arrivals!B569</f>
        <v>84</v>
      </c>
      <c r="C569" s="6">
        <f>Arrivals!F569</f>
        <v>569</v>
      </c>
      <c r="D569" s="6">
        <f>Arrivals!K569</f>
        <v>300</v>
      </c>
      <c r="E569" s="6">
        <f>D569*8/ACE_Input!S89+ACE_Input!T89</f>
        <v>24.02</v>
      </c>
      <c r="F569" s="6">
        <f t="shared" si="210"/>
        <v>569</v>
      </c>
      <c r="G569" s="6">
        <f t="shared" si="221"/>
        <v>2424.2199999999998</v>
      </c>
      <c r="H569" s="6">
        <f t="shared" si="211"/>
        <v>2424.2199999999998</v>
      </c>
      <c r="I569" s="6">
        <f>MOD(H569-Settings!$B$32,Settings!$B$33)</f>
        <v>264.2199999999998</v>
      </c>
      <c r="J569" s="6">
        <f>IF(I569&lt;Settings!$B$30,IF(Settings!$B$30-I569&gt;=E569,H569,H569+(Settings!$B$30-I569)+Settings!$B$31),H569+(Settings!$B$33-I569))</f>
        <v>2424.2199999999998</v>
      </c>
      <c r="K569" s="6">
        <f t="shared" si="212"/>
        <v>2448.2399999999998</v>
      </c>
      <c r="L569" s="6">
        <f t="shared" si="213"/>
        <v>2448.2399999999998</v>
      </c>
      <c r="M569" s="6">
        <f t="shared" si="222"/>
        <v>2429.2004677863961</v>
      </c>
      <c r="N569" s="6">
        <f t="shared" si="214"/>
        <v>2448.2399999999998</v>
      </c>
      <c r="O569" s="6">
        <f>Arrivals!I569</f>
        <v>0.61763350520730342</v>
      </c>
      <c r="P569" s="6">
        <f t="shared" si="215"/>
        <v>2448.8576335052071</v>
      </c>
      <c r="Q569" s="6">
        <f t="shared" si="216"/>
        <v>1879.8576335052071</v>
      </c>
      <c r="R569" s="6">
        <f t="shared" si="217"/>
        <v>1855.2199999999998</v>
      </c>
      <c r="S569" s="6">
        <f t="shared" si="218"/>
        <v>0</v>
      </c>
      <c r="T569" s="6">
        <f t="shared" si="219"/>
        <v>0</v>
      </c>
      <c r="U569" s="6">
        <f t="shared" si="220"/>
        <v>1855.2199999999998</v>
      </c>
      <c r="V569" s="6" t="str">
        <f>IF(MOD(C569-Settings!$B$32,Settings!$B$33)&lt;Settings!$B$30,"Up","Down")</f>
        <v>Up</v>
      </c>
      <c r="W569" s="6">
        <f>IF(OR(E569&gt;Settings!$B$30,Q569&gt;Settings!$B$37),0,1)</f>
        <v>0</v>
      </c>
      <c r="X569" s="6">
        <f>IF(AND(W569=1,Q569&lt;=Settings!$B$36),1,0)</f>
        <v>0</v>
      </c>
    </row>
    <row r="570" spans="1:24" x14ac:dyDescent="0.2">
      <c r="A570">
        <f>Arrivals!A570</f>
        <v>5</v>
      </c>
      <c r="B570">
        <f>Arrivals!B570</f>
        <v>85</v>
      </c>
      <c r="C570" s="6">
        <f>Arrivals!F570</f>
        <v>574</v>
      </c>
      <c r="D570" s="6">
        <f>Arrivals!K570</f>
        <v>300</v>
      </c>
      <c r="E570" s="6">
        <f>D570*8/ACE_Input!S90+ACE_Input!T90</f>
        <v>24.02</v>
      </c>
      <c r="F570" s="6">
        <f t="shared" si="210"/>
        <v>574</v>
      </c>
      <c r="G570" s="6">
        <f t="shared" si="221"/>
        <v>2448.2399999999998</v>
      </c>
      <c r="H570" s="6">
        <f t="shared" si="211"/>
        <v>2448.2399999999998</v>
      </c>
      <c r="I570" s="6">
        <f>MOD(H570-Settings!$B$32,Settings!$B$33)</f>
        <v>288.23999999999978</v>
      </c>
      <c r="J570" s="6">
        <f>IF(I570&lt;Settings!$B$30,IF(Settings!$B$30-I570&gt;=E570,H570,H570+(Settings!$B$30-I570)+Settings!$B$31),H570+(Settings!$B$33-I570))</f>
        <v>2448.2399999999998</v>
      </c>
      <c r="K570" s="6">
        <f t="shared" si="212"/>
        <v>2472.2599999999998</v>
      </c>
      <c r="L570" s="6">
        <f t="shared" si="213"/>
        <v>2472.2599999999998</v>
      </c>
      <c r="M570" s="6">
        <f t="shared" si="222"/>
        <v>2448.8576335052071</v>
      </c>
      <c r="N570" s="6">
        <f t="shared" si="214"/>
        <v>2472.2599999999998</v>
      </c>
      <c r="O570" s="6">
        <f>Arrivals!I570</f>
        <v>4.9777505710483938</v>
      </c>
      <c r="P570" s="6">
        <f t="shared" si="215"/>
        <v>2477.2377505710483</v>
      </c>
      <c r="Q570" s="6">
        <f t="shared" si="216"/>
        <v>1903.2377505710483</v>
      </c>
      <c r="R570" s="6">
        <f t="shared" si="217"/>
        <v>1874.2399999999998</v>
      </c>
      <c r="S570" s="6">
        <f t="shared" si="218"/>
        <v>0</v>
      </c>
      <c r="T570" s="6">
        <f t="shared" si="219"/>
        <v>0</v>
      </c>
      <c r="U570" s="6">
        <f t="shared" si="220"/>
        <v>1874.2399999999998</v>
      </c>
      <c r="V570" s="6" t="str">
        <f>IF(MOD(C570-Settings!$B$32,Settings!$B$33)&lt;Settings!$B$30,"Up","Down")</f>
        <v>Up</v>
      </c>
      <c r="W570" s="6">
        <f>IF(OR(E570&gt;Settings!$B$30,Q570&gt;Settings!$B$37),0,1)</f>
        <v>0</v>
      </c>
      <c r="X570" s="6">
        <f>IF(AND(W570=1,Q570&lt;=Settings!$B$36),1,0)</f>
        <v>0</v>
      </c>
    </row>
    <row r="571" spans="1:24" x14ac:dyDescent="0.2">
      <c r="A571">
        <f>Arrivals!A571</f>
        <v>5</v>
      </c>
      <c r="B571">
        <f>Arrivals!B571</f>
        <v>86</v>
      </c>
      <c r="C571" s="6">
        <f>Arrivals!F571</f>
        <v>579</v>
      </c>
      <c r="D571" s="6">
        <f>Arrivals!K571</f>
        <v>300</v>
      </c>
      <c r="E571" s="6">
        <f>D571*8/ACE_Input!S91+ACE_Input!T91</f>
        <v>24.02</v>
      </c>
      <c r="F571" s="6">
        <f t="shared" si="210"/>
        <v>579</v>
      </c>
      <c r="G571" s="6">
        <f t="shared" si="221"/>
        <v>2472.2599999999998</v>
      </c>
      <c r="H571" s="6">
        <f t="shared" si="211"/>
        <v>2472.2599999999998</v>
      </c>
      <c r="I571" s="6">
        <f>MOD(H571-Settings!$B$32,Settings!$B$33)</f>
        <v>312.25999999999976</v>
      </c>
      <c r="J571" s="6">
        <f>IF(I571&lt;Settings!$B$30,IF(Settings!$B$30-I571&gt;=E571,H571,H571+(Settings!$B$30-I571)+Settings!$B$31),H571+(Settings!$B$33-I571))</f>
        <v>2472.2599999999998</v>
      </c>
      <c r="K571" s="6">
        <f t="shared" si="212"/>
        <v>2496.2799999999997</v>
      </c>
      <c r="L571" s="6">
        <f t="shared" si="213"/>
        <v>2496.2799999999997</v>
      </c>
      <c r="M571" s="6">
        <f t="shared" si="222"/>
        <v>2477.2377505710483</v>
      </c>
      <c r="N571" s="6">
        <f t="shared" si="214"/>
        <v>2496.2799999999997</v>
      </c>
      <c r="O571" s="6">
        <f>Arrivals!I571</f>
        <v>7.7215274182317977</v>
      </c>
      <c r="P571" s="6">
        <f t="shared" si="215"/>
        <v>2504.0015274182315</v>
      </c>
      <c r="Q571" s="6">
        <f t="shared" si="216"/>
        <v>1925.0015274182315</v>
      </c>
      <c r="R571" s="6">
        <f t="shared" si="217"/>
        <v>1893.2599999999998</v>
      </c>
      <c r="S571" s="6">
        <f t="shared" si="218"/>
        <v>0</v>
      </c>
      <c r="T571" s="6">
        <f t="shared" si="219"/>
        <v>0</v>
      </c>
      <c r="U571" s="6">
        <f t="shared" si="220"/>
        <v>1893.2599999999998</v>
      </c>
      <c r="V571" s="6" t="str">
        <f>IF(MOD(C571-Settings!$B$32,Settings!$B$33)&lt;Settings!$B$30,"Up","Down")</f>
        <v>Up</v>
      </c>
      <c r="W571" s="6">
        <f>IF(OR(E571&gt;Settings!$B$30,Q571&gt;Settings!$B$37),0,1)</f>
        <v>0</v>
      </c>
      <c r="X571" s="6">
        <f>IF(AND(W571=1,Q571&lt;=Settings!$B$36),1,0)</f>
        <v>0</v>
      </c>
    </row>
    <row r="572" spans="1:24" x14ac:dyDescent="0.2">
      <c r="A572">
        <f>Arrivals!A572</f>
        <v>5</v>
      </c>
      <c r="B572">
        <f>Arrivals!B572</f>
        <v>87</v>
      </c>
      <c r="C572" s="6">
        <f>Arrivals!F572</f>
        <v>584</v>
      </c>
      <c r="D572" s="6">
        <f>Arrivals!K572</f>
        <v>300</v>
      </c>
      <c r="E572" s="6">
        <f>D572*8/ACE_Input!S92+ACE_Input!T92</f>
        <v>24.02</v>
      </c>
      <c r="F572" s="6">
        <f t="shared" si="210"/>
        <v>584</v>
      </c>
      <c r="G572" s="6">
        <f t="shared" si="221"/>
        <v>2496.2799999999997</v>
      </c>
      <c r="H572" s="6">
        <f t="shared" si="211"/>
        <v>2496.2799999999997</v>
      </c>
      <c r="I572" s="6">
        <f>MOD(H572-Settings!$B$32,Settings!$B$33)</f>
        <v>336.27999999999975</v>
      </c>
      <c r="J572" s="6">
        <f>IF(I572&lt;Settings!$B$30,IF(Settings!$B$30-I572&gt;=E572,H572,H572+(Settings!$B$30-I572)+Settings!$B$31),H572+(Settings!$B$33-I572))</f>
        <v>2496.2799999999997</v>
      </c>
      <c r="K572" s="6">
        <f t="shared" si="212"/>
        <v>2520.2999999999997</v>
      </c>
      <c r="L572" s="6">
        <f t="shared" si="213"/>
        <v>2520.2999999999997</v>
      </c>
      <c r="M572" s="6">
        <f t="shared" si="222"/>
        <v>2504.0015274182315</v>
      </c>
      <c r="N572" s="6">
        <f t="shared" si="214"/>
        <v>2520.2999999999997</v>
      </c>
      <c r="O572" s="6">
        <f>Arrivals!I572</f>
        <v>2.2176240851525972</v>
      </c>
      <c r="P572" s="6">
        <f t="shared" si="215"/>
        <v>2522.5176240851524</v>
      </c>
      <c r="Q572" s="6">
        <f t="shared" si="216"/>
        <v>1938.5176240851524</v>
      </c>
      <c r="R572" s="6">
        <f t="shared" si="217"/>
        <v>1912.2799999999997</v>
      </c>
      <c r="S572" s="6">
        <f t="shared" si="218"/>
        <v>0</v>
      </c>
      <c r="T572" s="6">
        <f t="shared" si="219"/>
        <v>0</v>
      </c>
      <c r="U572" s="6">
        <f t="shared" si="220"/>
        <v>1912.2799999999997</v>
      </c>
      <c r="V572" s="6" t="str">
        <f>IF(MOD(C572-Settings!$B$32,Settings!$B$33)&lt;Settings!$B$30,"Up","Down")</f>
        <v>Up</v>
      </c>
      <c r="W572" s="6">
        <f>IF(OR(E572&gt;Settings!$B$30,Q572&gt;Settings!$B$37),0,1)</f>
        <v>0</v>
      </c>
      <c r="X572" s="6">
        <f>IF(AND(W572=1,Q572&lt;=Settings!$B$36),1,0)</f>
        <v>0</v>
      </c>
    </row>
    <row r="573" spans="1:24" x14ac:dyDescent="0.2">
      <c r="A573">
        <f>Arrivals!A573</f>
        <v>5</v>
      </c>
      <c r="B573">
        <f>Arrivals!B573</f>
        <v>88</v>
      </c>
      <c r="C573" s="6">
        <f>Arrivals!F573</f>
        <v>589</v>
      </c>
      <c r="D573" s="6">
        <f>Arrivals!K573</f>
        <v>300</v>
      </c>
      <c r="E573" s="6">
        <f>D573*8/ACE_Input!S93+ACE_Input!T93</f>
        <v>24.02</v>
      </c>
      <c r="F573" s="6">
        <f t="shared" si="210"/>
        <v>589</v>
      </c>
      <c r="G573" s="6">
        <f t="shared" si="221"/>
        <v>2520.2999999999997</v>
      </c>
      <c r="H573" s="6">
        <f t="shared" si="211"/>
        <v>2520.2999999999997</v>
      </c>
      <c r="I573" s="6">
        <f>MOD(H573-Settings!$B$32,Settings!$B$33)</f>
        <v>360.29999999999973</v>
      </c>
      <c r="J573" s="6">
        <f>IF(I573&lt;Settings!$B$30,IF(Settings!$B$30-I573&gt;=E573,H573,H573+(Settings!$B$30-I573)+Settings!$B$31),H573+(Settings!$B$33-I573))</f>
        <v>2520.2999999999997</v>
      </c>
      <c r="K573" s="6">
        <f t="shared" si="212"/>
        <v>2544.3199999999997</v>
      </c>
      <c r="L573" s="6">
        <f t="shared" si="213"/>
        <v>2544.3199999999997</v>
      </c>
      <c r="M573" s="6">
        <f t="shared" si="222"/>
        <v>2522.5176240851524</v>
      </c>
      <c r="N573" s="6">
        <f t="shared" si="214"/>
        <v>2544.3199999999997</v>
      </c>
      <c r="O573" s="6">
        <f>Arrivals!I573</f>
        <v>7.2033670388295787</v>
      </c>
      <c r="P573" s="6">
        <f t="shared" si="215"/>
        <v>2551.5233670388293</v>
      </c>
      <c r="Q573" s="6">
        <f t="shared" si="216"/>
        <v>1962.5233670388293</v>
      </c>
      <c r="R573" s="6">
        <f t="shared" si="217"/>
        <v>1931.2999999999997</v>
      </c>
      <c r="S573" s="6">
        <f t="shared" si="218"/>
        <v>0</v>
      </c>
      <c r="T573" s="6">
        <f t="shared" si="219"/>
        <v>0</v>
      </c>
      <c r="U573" s="6">
        <f t="shared" si="220"/>
        <v>1931.2999999999997</v>
      </c>
      <c r="V573" s="6" t="str">
        <f>IF(MOD(C573-Settings!$B$32,Settings!$B$33)&lt;Settings!$B$30,"Up","Down")</f>
        <v>Up</v>
      </c>
      <c r="W573" s="6">
        <f>IF(OR(E573&gt;Settings!$B$30,Q573&gt;Settings!$B$37),0,1)</f>
        <v>0</v>
      </c>
      <c r="X573" s="6">
        <f>IF(AND(W573=1,Q573&lt;=Settings!$B$36),1,0)</f>
        <v>0</v>
      </c>
    </row>
    <row r="574" spans="1:24" x14ac:dyDescent="0.2">
      <c r="A574">
        <f>Arrivals!A574</f>
        <v>5</v>
      </c>
      <c r="B574">
        <f>Arrivals!B574</f>
        <v>89</v>
      </c>
      <c r="C574" s="6">
        <f>Arrivals!F574</f>
        <v>594</v>
      </c>
      <c r="D574" s="6">
        <f>Arrivals!K574</f>
        <v>300</v>
      </c>
      <c r="E574" s="6">
        <f>D574*8/ACE_Input!S94+ACE_Input!T94</f>
        <v>24.02</v>
      </c>
      <c r="F574" s="6">
        <f t="shared" si="210"/>
        <v>594</v>
      </c>
      <c r="G574" s="6">
        <f t="shared" si="221"/>
        <v>2544.3199999999997</v>
      </c>
      <c r="H574" s="6">
        <f t="shared" si="211"/>
        <v>2544.3199999999997</v>
      </c>
      <c r="I574" s="6">
        <f>MOD(H574-Settings!$B$32,Settings!$B$33)</f>
        <v>384.31999999999971</v>
      </c>
      <c r="J574" s="6">
        <f>IF(I574&lt;Settings!$B$30,IF(Settings!$B$30-I574&gt;=E574,H574,H574+(Settings!$B$30-I574)+Settings!$B$31),H574+(Settings!$B$33-I574))</f>
        <v>2544.3199999999997</v>
      </c>
      <c r="K574" s="6">
        <f t="shared" si="212"/>
        <v>2568.3399999999997</v>
      </c>
      <c r="L574" s="6">
        <f t="shared" si="213"/>
        <v>2568.3399999999997</v>
      </c>
      <c r="M574" s="6">
        <f t="shared" si="222"/>
        <v>2551.5233670388293</v>
      </c>
      <c r="N574" s="6">
        <f t="shared" si="214"/>
        <v>2568.3399999999997</v>
      </c>
      <c r="O574" s="6">
        <f>Arrivals!I574</f>
        <v>0.69341713056077259</v>
      </c>
      <c r="P574" s="6">
        <f t="shared" si="215"/>
        <v>2569.0334171305603</v>
      </c>
      <c r="Q574" s="6">
        <f t="shared" si="216"/>
        <v>1975.0334171305603</v>
      </c>
      <c r="R574" s="6">
        <f t="shared" si="217"/>
        <v>1950.3199999999997</v>
      </c>
      <c r="S574" s="6">
        <f t="shared" si="218"/>
        <v>0</v>
      </c>
      <c r="T574" s="6">
        <f t="shared" si="219"/>
        <v>0</v>
      </c>
      <c r="U574" s="6">
        <f t="shared" si="220"/>
        <v>1950.3199999999997</v>
      </c>
      <c r="V574" s="6" t="str">
        <f>IF(MOD(C574-Settings!$B$32,Settings!$B$33)&lt;Settings!$B$30,"Up","Down")</f>
        <v>Up</v>
      </c>
      <c r="W574" s="6">
        <f>IF(OR(E574&gt;Settings!$B$30,Q574&gt;Settings!$B$37),0,1)</f>
        <v>0</v>
      </c>
      <c r="X574" s="6">
        <f>IF(AND(W574=1,Q574&lt;=Settings!$B$36),1,0)</f>
        <v>0</v>
      </c>
    </row>
    <row r="575" spans="1:24" x14ac:dyDescent="0.2">
      <c r="A575">
        <f>Arrivals!A575</f>
        <v>5</v>
      </c>
      <c r="B575">
        <f>Arrivals!B575</f>
        <v>90</v>
      </c>
      <c r="C575" s="6">
        <f>Arrivals!F575</f>
        <v>599</v>
      </c>
      <c r="D575" s="6">
        <f>Arrivals!K575</f>
        <v>300</v>
      </c>
      <c r="E575" s="6">
        <f>D575*8/ACE_Input!S95+ACE_Input!T95</f>
        <v>24.02</v>
      </c>
      <c r="F575" s="6">
        <f t="shared" si="210"/>
        <v>599</v>
      </c>
      <c r="G575" s="6">
        <f t="shared" si="221"/>
        <v>2568.3399999999997</v>
      </c>
      <c r="H575" s="6">
        <f t="shared" si="211"/>
        <v>2568.3399999999997</v>
      </c>
      <c r="I575" s="6">
        <f>MOD(H575-Settings!$B$32,Settings!$B$33)</f>
        <v>408.33999999999969</v>
      </c>
      <c r="J575" s="6">
        <f>IF(I575&lt;Settings!$B$30,IF(Settings!$B$30-I575&gt;=E575,H575,H575+(Settings!$B$30-I575)+Settings!$B$31),H575+(Settings!$B$33-I575))</f>
        <v>2568.3399999999997</v>
      </c>
      <c r="K575" s="6">
        <f t="shared" si="212"/>
        <v>2592.3599999999997</v>
      </c>
      <c r="L575" s="6">
        <f t="shared" si="213"/>
        <v>2592.3599999999997</v>
      </c>
      <c r="M575" s="6">
        <f t="shared" si="222"/>
        <v>2569.0334171305603</v>
      </c>
      <c r="N575" s="6">
        <f t="shared" si="214"/>
        <v>2592.3599999999997</v>
      </c>
      <c r="O575" s="6">
        <f>Arrivals!I575</f>
        <v>3.0975008016596993E-2</v>
      </c>
      <c r="P575" s="6">
        <f t="shared" si="215"/>
        <v>2592.3909750080161</v>
      </c>
      <c r="Q575" s="6">
        <f t="shared" si="216"/>
        <v>1993.3909750080161</v>
      </c>
      <c r="R575" s="6">
        <f t="shared" si="217"/>
        <v>1969.3399999999997</v>
      </c>
      <c r="S575" s="6">
        <f t="shared" si="218"/>
        <v>0</v>
      </c>
      <c r="T575" s="6">
        <f t="shared" si="219"/>
        <v>0</v>
      </c>
      <c r="U575" s="6">
        <f t="shared" si="220"/>
        <v>1969.3399999999997</v>
      </c>
      <c r="V575" s="6" t="str">
        <f>IF(MOD(C575-Settings!$B$32,Settings!$B$33)&lt;Settings!$B$30,"Up","Down")</f>
        <v>Up</v>
      </c>
      <c r="W575" s="6">
        <f>IF(OR(E575&gt;Settings!$B$30,Q575&gt;Settings!$B$37),0,1)</f>
        <v>0</v>
      </c>
      <c r="X575" s="6">
        <f>IF(AND(W575=1,Q575&lt;=Settings!$B$36),1,0)</f>
        <v>0</v>
      </c>
    </row>
    <row r="576" spans="1:24" x14ac:dyDescent="0.2">
      <c r="A576">
        <f>Arrivals!A576</f>
        <v>5</v>
      </c>
      <c r="B576">
        <f>Arrivals!B576</f>
        <v>91</v>
      </c>
      <c r="C576" s="6">
        <f>Arrivals!F576</f>
        <v>604</v>
      </c>
      <c r="D576" s="6">
        <f>Arrivals!K576</f>
        <v>300</v>
      </c>
      <c r="E576" s="6">
        <f>D576*8/ACE_Input!S96+ACE_Input!T96</f>
        <v>24.02</v>
      </c>
      <c r="F576" s="6">
        <f t="shared" si="210"/>
        <v>604</v>
      </c>
      <c r="G576" s="6">
        <f t="shared" si="221"/>
        <v>2592.3599999999997</v>
      </c>
      <c r="H576" s="6">
        <f t="shared" si="211"/>
        <v>2592.3599999999997</v>
      </c>
      <c r="I576" s="6">
        <f>MOD(H576-Settings!$B$32,Settings!$B$33)</f>
        <v>432.35999999999967</v>
      </c>
      <c r="J576" s="6">
        <f>IF(I576&lt;Settings!$B$30,IF(Settings!$B$30-I576&gt;=E576,H576,H576+(Settings!$B$30-I576)+Settings!$B$31),H576+(Settings!$B$33-I576))</f>
        <v>2592.3599999999997</v>
      </c>
      <c r="K576" s="6">
        <f t="shared" si="212"/>
        <v>2616.3799999999997</v>
      </c>
      <c r="L576" s="6">
        <f t="shared" si="213"/>
        <v>2616.3799999999997</v>
      </c>
      <c r="M576" s="6">
        <f t="shared" si="222"/>
        <v>2592.3909750080161</v>
      </c>
      <c r="N576" s="6">
        <f t="shared" si="214"/>
        <v>2616.3799999999997</v>
      </c>
      <c r="O576" s="6">
        <f>Arrivals!I576</f>
        <v>4.16080506011222</v>
      </c>
      <c r="P576" s="6">
        <f t="shared" si="215"/>
        <v>2620.5408050601118</v>
      </c>
      <c r="Q576" s="6">
        <f t="shared" si="216"/>
        <v>2016.5408050601118</v>
      </c>
      <c r="R576" s="6">
        <f t="shared" si="217"/>
        <v>1988.3599999999997</v>
      </c>
      <c r="S576" s="6">
        <f t="shared" si="218"/>
        <v>0</v>
      </c>
      <c r="T576" s="6">
        <f t="shared" si="219"/>
        <v>0</v>
      </c>
      <c r="U576" s="6">
        <f t="shared" si="220"/>
        <v>1988.3599999999997</v>
      </c>
      <c r="V576" s="6" t="str">
        <f>IF(MOD(C576-Settings!$B$32,Settings!$B$33)&lt;Settings!$B$30,"Up","Down")</f>
        <v>Down</v>
      </c>
      <c r="W576" s="6">
        <f>IF(OR(E576&gt;Settings!$B$30,Q576&gt;Settings!$B$37),0,1)</f>
        <v>0</v>
      </c>
      <c r="X576" s="6">
        <f>IF(AND(W576=1,Q576&lt;=Settings!$B$36),1,0)</f>
        <v>0</v>
      </c>
    </row>
    <row r="577" spans="1:24" x14ac:dyDescent="0.2">
      <c r="A577">
        <f>Arrivals!A577</f>
        <v>5</v>
      </c>
      <c r="B577">
        <f>Arrivals!B577</f>
        <v>92</v>
      </c>
      <c r="C577" s="6">
        <f>Arrivals!F577</f>
        <v>609</v>
      </c>
      <c r="D577" s="6">
        <f>Arrivals!K577</f>
        <v>300</v>
      </c>
      <c r="E577" s="6">
        <f>D577*8/ACE_Input!S97+ACE_Input!T97</f>
        <v>24.02</v>
      </c>
      <c r="F577" s="6">
        <f t="shared" si="210"/>
        <v>609</v>
      </c>
      <c r="G577" s="6">
        <f t="shared" si="221"/>
        <v>2616.3799999999997</v>
      </c>
      <c r="H577" s="6">
        <f t="shared" si="211"/>
        <v>2616.3799999999997</v>
      </c>
      <c r="I577" s="6">
        <f>MOD(H577-Settings!$B$32,Settings!$B$33)</f>
        <v>456.37999999999965</v>
      </c>
      <c r="J577" s="6">
        <f>IF(I577&lt;Settings!$B$30,IF(Settings!$B$30-I577&gt;=E577,H577,H577+(Settings!$B$30-I577)+Settings!$B$31),H577+(Settings!$B$33-I577))</f>
        <v>2616.3799999999997</v>
      </c>
      <c r="K577" s="6">
        <f t="shared" si="212"/>
        <v>2640.3999999999996</v>
      </c>
      <c r="L577" s="6">
        <f t="shared" si="213"/>
        <v>2640.3999999999996</v>
      </c>
      <c r="M577" s="6">
        <f t="shared" si="222"/>
        <v>2620.5408050601118</v>
      </c>
      <c r="N577" s="6">
        <f t="shared" si="214"/>
        <v>2640.3999999999996</v>
      </c>
      <c r="O577" s="6">
        <f>Arrivals!I577</f>
        <v>4.5910944885604055</v>
      </c>
      <c r="P577" s="6">
        <f t="shared" si="215"/>
        <v>2644.9910944885601</v>
      </c>
      <c r="Q577" s="6">
        <f t="shared" si="216"/>
        <v>2035.9910944885601</v>
      </c>
      <c r="R577" s="6">
        <f t="shared" si="217"/>
        <v>2007.3799999999997</v>
      </c>
      <c r="S577" s="6">
        <f t="shared" si="218"/>
        <v>0</v>
      </c>
      <c r="T577" s="6">
        <f t="shared" si="219"/>
        <v>0</v>
      </c>
      <c r="U577" s="6">
        <f t="shared" si="220"/>
        <v>2007.3799999999997</v>
      </c>
      <c r="V577" s="6" t="str">
        <f>IF(MOD(C577-Settings!$B$32,Settings!$B$33)&lt;Settings!$B$30,"Up","Down")</f>
        <v>Down</v>
      </c>
      <c r="W577" s="6">
        <f>IF(OR(E577&gt;Settings!$B$30,Q577&gt;Settings!$B$37),0,1)</f>
        <v>0</v>
      </c>
      <c r="X577" s="6">
        <f>IF(AND(W577=1,Q577&lt;=Settings!$B$36),1,0)</f>
        <v>0</v>
      </c>
    </row>
    <row r="578" spans="1:24" x14ac:dyDescent="0.2">
      <c r="A578">
        <f>Arrivals!A578</f>
        <v>5</v>
      </c>
      <c r="B578">
        <f>Arrivals!B578</f>
        <v>93</v>
      </c>
      <c r="C578" s="6">
        <f>Arrivals!F578</f>
        <v>614</v>
      </c>
      <c r="D578" s="6">
        <f>Arrivals!K578</f>
        <v>300</v>
      </c>
      <c r="E578" s="6">
        <f>D578*8/ACE_Input!S98+ACE_Input!T98</f>
        <v>24.02</v>
      </c>
      <c r="F578" s="6">
        <f t="shared" si="210"/>
        <v>614</v>
      </c>
      <c r="G578" s="6">
        <f t="shared" si="221"/>
        <v>2640.3999999999996</v>
      </c>
      <c r="H578" s="6">
        <f t="shared" si="211"/>
        <v>2640.3999999999996</v>
      </c>
      <c r="I578" s="6">
        <f>MOD(H578-Settings!$B$32,Settings!$B$33)</f>
        <v>480.39999999999964</v>
      </c>
      <c r="J578" s="6">
        <f>IF(I578&lt;Settings!$B$30,IF(Settings!$B$30-I578&gt;=E578,H578,H578+(Settings!$B$30-I578)+Settings!$B$31),H578+(Settings!$B$33-I578))</f>
        <v>2640.3999999999996</v>
      </c>
      <c r="K578" s="6">
        <f t="shared" si="212"/>
        <v>2664.4199999999996</v>
      </c>
      <c r="L578" s="6">
        <f t="shared" si="213"/>
        <v>2664.4199999999996</v>
      </c>
      <c r="M578" s="6">
        <f t="shared" si="222"/>
        <v>2644.9910944885601</v>
      </c>
      <c r="N578" s="6">
        <f t="shared" si="214"/>
        <v>2664.4199999999996</v>
      </c>
      <c r="O578" s="6">
        <f>Arrivals!I578</f>
        <v>2.2098653788581535</v>
      </c>
      <c r="P578" s="6">
        <f t="shared" si="215"/>
        <v>2666.6298653788576</v>
      </c>
      <c r="Q578" s="6">
        <f t="shared" si="216"/>
        <v>2052.6298653788576</v>
      </c>
      <c r="R578" s="6">
        <f t="shared" si="217"/>
        <v>2026.3999999999996</v>
      </c>
      <c r="S578" s="6">
        <f t="shared" si="218"/>
        <v>0</v>
      </c>
      <c r="T578" s="6">
        <f t="shared" si="219"/>
        <v>0</v>
      </c>
      <c r="U578" s="6">
        <f t="shared" si="220"/>
        <v>2026.3999999999996</v>
      </c>
      <c r="V578" s="6" t="str">
        <f>IF(MOD(C578-Settings!$B$32,Settings!$B$33)&lt;Settings!$B$30,"Up","Down")</f>
        <v>Down</v>
      </c>
      <c r="W578" s="6">
        <f>IF(OR(E578&gt;Settings!$B$30,Q578&gt;Settings!$B$37),0,1)</f>
        <v>0</v>
      </c>
      <c r="X578" s="6">
        <f>IF(AND(W578=1,Q578&lt;=Settings!$B$36),1,0)</f>
        <v>0</v>
      </c>
    </row>
    <row r="579" spans="1:24" x14ac:dyDescent="0.2">
      <c r="A579">
        <f>Arrivals!A579</f>
        <v>5</v>
      </c>
      <c r="B579">
        <f>Arrivals!B579</f>
        <v>94</v>
      </c>
      <c r="C579" s="6">
        <f>Arrivals!F579</f>
        <v>619</v>
      </c>
      <c r="D579" s="6">
        <f>Arrivals!K579</f>
        <v>300</v>
      </c>
      <c r="E579" s="6">
        <f>D579*8/ACE_Input!S99+ACE_Input!T99</f>
        <v>24.02</v>
      </c>
      <c r="F579" s="6">
        <f t="shared" si="210"/>
        <v>619</v>
      </c>
      <c r="G579" s="6">
        <f t="shared" si="221"/>
        <v>2664.4199999999996</v>
      </c>
      <c r="H579" s="6">
        <f t="shared" si="211"/>
        <v>2664.4199999999996</v>
      </c>
      <c r="I579" s="6">
        <f>MOD(H579-Settings!$B$32,Settings!$B$33)</f>
        <v>504.41999999999962</v>
      </c>
      <c r="J579" s="6">
        <f>IF(I579&lt;Settings!$B$30,IF(Settings!$B$30-I579&gt;=E579,H579,H579+(Settings!$B$30-I579)+Settings!$B$31),H579+(Settings!$B$33-I579))</f>
        <v>2664.4199999999996</v>
      </c>
      <c r="K579" s="6">
        <f t="shared" si="212"/>
        <v>2688.4399999999996</v>
      </c>
      <c r="L579" s="6">
        <f t="shared" si="213"/>
        <v>2688.4399999999996</v>
      </c>
      <c r="M579" s="6">
        <f t="shared" si="222"/>
        <v>2666.6298653788576</v>
      </c>
      <c r="N579" s="6">
        <f t="shared" si="214"/>
        <v>2688.4399999999996</v>
      </c>
      <c r="O579" s="6">
        <f>Arrivals!I579</f>
        <v>0.38036172682692826</v>
      </c>
      <c r="P579" s="6">
        <f t="shared" si="215"/>
        <v>2688.8203617268264</v>
      </c>
      <c r="Q579" s="6">
        <f t="shared" si="216"/>
        <v>2069.8203617268264</v>
      </c>
      <c r="R579" s="6">
        <f t="shared" si="217"/>
        <v>2045.4199999999996</v>
      </c>
      <c r="S579" s="6">
        <f t="shared" si="218"/>
        <v>0</v>
      </c>
      <c r="T579" s="6">
        <f t="shared" si="219"/>
        <v>0</v>
      </c>
      <c r="U579" s="6">
        <f t="shared" si="220"/>
        <v>2045.4199999999996</v>
      </c>
      <c r="V579" s="6" t="str">
        <f>IF(MOD(C579-Settings!$B$32,Settings!$B$33)&lt;Settings!$B$30,"Up","Down")</f>
        <v>Down</v>
      </c>
      <c r="W579" s="6">
        <f>IF(OR(E579&gt;Settings!$B$30,Q579&gt;Settings!$B$37),0,1)</f>
        <v>0</v>
      </c>
      <c r="X579" s="6">
        <f>IF(AND(W579=1,Q579&lt;=Settings!$B$36),1,0)</f>
        <v>0</v>
      </c>
    </row>
    <row r="580" spans="1:24" x14ac:dyDescent="0.2">
      <c r="A580">
        <f>Arrivals!A580</f>
        <v>5</v>
      </c>
      <c r="B580">
        <f>Arrivals!B580</f>
        <v>95</v>
      </c>
      <c r="C580" s="6">
        <f>Arrivals!F580</f>
        <v>624</v>
      </c>
      <c r="D580" s="6">
        <f>Arrivals!K580</f>
        <v>300</v>
      </c>
      <c r="E580" s="6">
        <f>D580*8/ACE_Input!S100+ACE_Input!T100</f>
        <v>24.02</v>
      </c>
      <c r="F580" s="6">
        <f t="shared" si="210"/>
        <v>624</v>
      </c>
      <c r="G580" s="6">
        <f t="shared" si="221"/>
        <v>2688.4399999999996</v>
      </c>
      <c r="H580" s="6">
        <f t="shared" si="211"/>
        <v>2688.4399999999996</v>
      </c>
      <c r="I580" s="6">
        <f>MOD(H580-Settings!$B$32,Settings!$B$33)</f>
        <v>528.4399999999996</v>
      </c>
      <c r="J580" s="6">
        <f>IF(I580&lt;Settings!$B$30,IF(Settings!$B$30-I580&gt;=E580,H580,H580+(Settings!$B$30-I580)+Settings!$B$31),H580+(Settings!$B$33-I580))</f>
        <v>2688.4399999999996</v>
      </c>
      <c r="K580" s="6">
        <f t="shared" si="212"/>
        <v>2712.4599999999996</v>
      </c>
      <c r="L580" s="6">
        <f t="shared" si="213"/>
        <v>2712.4599999999996</v>
      </c>
      <c r="M580" s="6">
        <f t="shared" si="222"/>
        <v>2688.8203617268264</v>
      </c>
      <c r="N580" s="6">
        <f t="shared" si="214"/>
        <v>2712.4599999999996</v>
      </c>
      <c r="O580" s="6">
        <f>Arrivals!I580</f>
        <v>3.2044515837351497</v>
      </c>
      <c r="P580" s="6">
        <f t="shared" si="215"/>
        <v>2715.6644515837347</v>
      </c>
      <c r="Q580" s="6">
        <f t="shared" si="216"/>
        <v>2091.6644515837347</v>
      </c>
      <c r="R580" s="6">
        <f t="shared" si="217"/>
        <v>2064.4399999999996</v>
      </c>
      <c r="S580" s="6">
        <f t="shared" si="218"/>
        <v>0</v>
      </c>
      <c r="T580" s="6">
        <f t="shared" si="219"/>
        <v>0</v>
      </c>
      <c r="U580" s="6">
        <f t="shared" si="220"/>
        <v>2064.4399999999996</v>
      </c>
      <c r="V580" s="6" t="str">
        <f>IF(MOD(C580-Settings!$B$32,Settings!$B$33)&lt;Settings!$B$30,"Up","Down")</f>
        <v>Down</v>
      </c>
      <c r="W580" s="6">
        <f>IF(OR(E580&gt;Settings!$B$30,Q580&gt;Settings!$B$37),0,1)</f>
        <v>0</v>
      </c>
      <c r="X580" s="6">
        <f>IF(AND(W580=1,Q580&lt;=Settings!$B$36),1,0)</f>
        <v>0</v>
      </c>
    </row>
    <row r="581" spans="1:24" x14ac:dyDescent="0.2">
      <c r="A581">
        <f>Arrivals!A581</f>
        <v>5</v>
      </c>
      <c r="B581">
        <f>Arrivals!B581</f>
        <v>96</v>
      </c>
      <c r="C581" s="6">
        <f>Arrivals!F581</f>
        <v>629</v>
      </c>
      <c r="D581" s="6">
        <f>Arrivals!K581</f>
        <v>300</v>
      </c>
      <c r="E581" s="6">
        <f>D581*8/ACE_Input!S101+ACE_Input!T101</f>
        <v>24.02</v>
      </c>
      <c r="F581" s="6">
        <f t="shared" si="210"/>
        <v>629</v>
      </c>
      <c r="G581" s="6">
        <f t="shared" si="221"/>
        <v>2712.4599999999996</v>
      </c>
      <c r="H581" s="6">
        <f t="shared" si="211"/>
        <v>2712.4599999999996</v>
      </c>
      <c r="I581" s="6">
        <f>MOD(H581-Settings!$B$32,Settings!$B$33)</f>
        <v>552.45999999999958</v>
      </c>
      <c r="J581" s="6">
        <f>IF(I581&lt;Settings!$B$30,IF(Settings!$B$30-I581&gt;=E581,H581,H581+(Settings!$B$30-I581)+Settings!$B$31),H581+(Settings!$B$33-I581))</f>
        <v>2712.4599999999996</v>
      </c>
      <c r="K581" s="6">
        <f t="shared" si="212"/>
        <v>2736.4799999999996</v>
      </c>
      <c r="L581" s="6">
        <f t="shared" si="213"/>
        <v>2736.4799999999996</v>
      </c>
      <c r="M581" s="6">
        <f t="shared" si="222"/>
        <v>2715.6644515837347</v>
      </c>
      <c r="N581" s="6">
        <f t="shared" si="214"/>
        <v>2736.4799999999996</v>
      </c>
      <c r="O581" s="6">
        <f>Arrivals!I581</f>
        <v>3.0020265767008043</v>
      </c>
      <c r="P581" s="6">
        <f t="shared" si="215"/>
        <v>2739.4820265767003</v>
      </c>
      <c r="Q581" s="6">
        <f t="shared" si="216"/>
        <v>2110.4820265767003</v>
      </c>
      <c r="R581" s="6">
        <f t="shared" si="217"/>
        <v>2083.4599999999996</v>
      </c>
      <c r="S581" s="6">
        <f t="shared" si="218"/>
        <v>0</v>
      </c>
      <c r="T581" s="6">
        <f t="shared" si="219"/>
        <v>0</v>
      </c>
      <c r="U581" s="6">
        <f t="shared" si="220"/>
        <v>2083.4599999999996</v>
      </c>
      <c r="V581" s="6" t="str">
        <f>IF(MOD(C581-Settings!$B$32,Settings!$B$33)&lt;Settings!$B$30,"Up","Down")</f>
        <v>Down</v>
      </c>
      <c r="W581" s="6">
        <f>IF(OR(E581&gt;Settings!$B$30,Q581&gt;Settings!$B$37),0,1)</f>
        <v>0</v>
      </c>
      <c r="X581" s="6">
        <f>IF(AND(W581=1,Q581&lt;=Settings!$B$36),1,0)</f>
        <v>0</v>
      </c>
    </row>
    <row r="582" spans="1:24" x14ac:dyDescent="0.2">
      <c r="A582">
        <f>Arrivals!A582</f>
        <v>5</v>
      </c>
      <c r="B582">
        <f>Arrivals!B582</f>
        <v>97</v>
      </c>
      <c r="C582" s="6">
        <f>Arrivals!F582</f>
        <v>634</v>
      </c>
      <c r="D582" s="6">
        <f>Arrivals!K582</f>
        <v>300</v>
      </c>
      <c r="E582" s="6">
        <f>D582*8/ACE_Input!S102+ACE_Input!T102</f>
        <v>24.02</v>
      </c>
      <c r="F582" s="6">
        <f t="shared" si="210"/>
        <v>634</v>
      </c>
      <c r="G582" s="6">
        <f t="shared" si="221"/>
        <v>2736.4799999999996</v>
      </c>
      <c r="H582" s="6">
        <f t="shared" ref="H582:H585" si="223">MAX(F582,G582)</f>
        <v>2736.4799999999996</v>
      </c>
      <c r="I582" s="6">
        <f>MOD(H582-Settings!$B$32,Settings!$B$33)</f>
        <v>576.47999999999956</v>
      </c>
      <c r="J582" s="6">
        <f>IF(I582&lt;Settings!$B$30,IF(Settings!$B$30-I582&gt;=E582,H582,H582+(Settings!$B$30-I582)+Settings!$B$31),H582+(Settings!$B$33-I582))</f>
        <v>2880</v>
      </c>
      <c r="K582" s="6">
        <f t="shared" ref="K582:K585" si="224">J582+E582</f>
        <v>2904.02</v>
      </c>
      <c r="L582" s="6">
        <f t="shared" ref="L582:L585" si="225">K582</f>
        <v>2904.02</v>
      </c>
      <c r="M582" s="6">
        <f t="shared" si="222"/>
        <v>2739.4820265767003</v>
      </c>
      <c r="N582" s="6">
        <f t="shared" ref="N582:N585" si="226">MAX(L582,M582)</f>
        <v>2904.02</v>
      </c>
      <c r="O582" s="6">
        <f>Arrivals!I582</f>
        <v>12.550122049379622</v>
      </c>
      <c r="P582" s="6">
        <f t="shared" ref="P582:P585" si="227">N582+O582</f>
        <v>2916.5701220493797</v>
      </c>
      <c r="Q582" s="6">
        <f t="shared" ref="Q582:Q585" si="228">P582-C582</f>
        <v>2282.5701220493797</v>
      </c>
      <c r="R582" s="6">
        <f t="shared" si="217"/>
        <v>2102.4799999999996</v>
      </c>
      <c r="S582" s="6">
        <f t="shared" si="218"/>
        <v>143.52000000000044</v>
      </c>
      <c r="T582" s="6">
        <f t="shared" si="219"/>
        <v>0</v>
      </c>
      <c r="U582" s="6">
        <f t="shared" ref="U582:U585" si="229">R582+S582+T582</f>
        <v>2246</v>
      </c>
      <c r="V582" s="6" t="str">
        <f>IF(MOD(C582-Settings!$B$32,Settings!$B$33)&lt;Settings!$B$30,"Up","Down")</f>
        <v>Down</v>
      </c>
      <c r="W582" s="6">
        <f>IF(OR(E582&gt;Settings!$B$30,Q582&gt;Settings!$B$37),0,1)</f>
        <v>0</v>
      </c>
      <c r="X582" s="6">
        <f>IF(AND(W582=1,Q582&lt;=Settings!$B$36),1,0)</f>
        <v>0</v>
      </c>
    </row>
    <row r="583" spans="1:24" x14ac:dyDescent="0.2">
      <c r="A583">
        <f>Arrivals!A583</f>
        <v>5</v>
      </c>
      <c r="B583">
        <f>Arrivals!B583</f>
        <v>98</v>
      </c>
      <c r="C583" s="6">
        <f>Arrivals!F583</f>
        <v>639</v>
      </c>
      <c r="D583" s="6">
        <f>Arrivals!K583</f>
        <v>300</v>
      </c>
      <c r="E583" s="6">
        <f>D583*8/ACE_Input!S103+ACE_Input!T103</f>
        <v>24.02</v>
      </c>
      <c r="F583" s="6">
        <f t="shared" si="210"/>
        <v>639</v>
      </c>
      <c r="G583" s="6">
        <f t="shared" si="221"/>
        <v>2904.02</v>
      </c>
      <c r="H583" s="6">
        <f t="shared" si="223"/>
        <v>2904.02</v>
      </c>
      <c r="I583" s="6">
        <f>MOD(H583-Settings!$B$32,Settings!$B$33)</f>
        <v>24.019999999999982</v>
      </c>
      <c r="J583" s="6">
        <f>IF(I583&lt;Settings!$B$30,IF(Settings!$B$30-I583&gt;=E583,H583,H583+(Settings!$B$30-I583)+Settings!$B$31),H583+(Settings!$B$33-I583))</f>
        <v>2904.02</v>
      </c>
      <c r="K583" s="6">
        <f t="shared" si="224"/>
        <v>2928.04</v>
      </c>
      <c r="L583" s="6">
        <f t="shared" si="225"/>
        <v>2928.04</v>
      </c>
      <c r="M583" s="6">
        <f t="shared" si="222"/>
        <v>2916.5701220493797</v>
      </c>
      <c r="N583" s="6">
        <f t="shared" si="226"/>
        <v>2928.04</v>
      </c>
      <c r="O583" s="6">
        <f>Arrivals!I583</f>
        <v>5.5031123523034911</v>
      </c>
      <c r="P583" s="6">
        <f t="shared" si="227"/>
        <v>2933.5431123523035</v>
      </c>
      <c r="Q583" s="6">
        <f t="shared" si="228"/>
        <v>2294.5431123523035</v>
      </c>
      <c r="R583" s="6">
        <f t="shared" si="217"/>
        <v>2265.02</v>
      </c>
      <c r="S583" s="6">
        <f t="shared" si="218"/>
        <v>0</v>
      </c>
      <c r="T583" s="6">
        <f t="shared" si="219"/>
        <v>0</v>
      </c>
      <c r="U583" s="6">
        <f t="shared" si="229"/>
        <v>2265.02</v>
      </c>
      <c r="V583" s="6" t="str">
        <f>IF(MOD(C583-Settings!$B$32,Settings!$B$33)&lt;Settings!$B$30,"Up","Down")</f>
        <v>Down</v>
      </c>
      <c r="W583" s="6">
        <f>IF(OR(E583&gt;Settings!$B$30,Q583&gt;Settings!$B$37),0,1)</f>
        <v>0</v>
      </c>
      <c r="X583" s="6">
        <f>IF(AND(W583=1,Q583&lt;=Settings!$B$36),1,0)</f>
        <v>0</v>
      </c>
    </row>
    <row r="584" spans="1:24" x14ac:dyDescent="0.2">
      <c r="A584">
        <f>Arrivals!A584</f>
        <v>5</v>
      </c>
      <c r="B584">
        <f>Arrivals!B584</f>
        <v>99</v>
      </c>
      <c r="C584" s="6">
        <f>Arrivals!F584</f>
        <v>684</v>
      </c>
      <c r="D584" s="6">
        <f>Arrivals!K584</f>
        <v>300</v>
      </c>
      <c r="E584" s="6">
        <f>D584*8/ACE_Input!S104+ACE_Input!T104</f>
        <v>24.02</v>
      </c>
      <c r="F584" s="6">
        <f t="shared" si="210"/>
        <v>684</v>
      </c>
      <c r="G584" s="6">
        <f t="shared" si="221"/>
        <v>2928.04</v>
      </c>
      <c r="H584" s="6">
        <f t="shared" si="223"/>
        <v>2928.04</v>
      </c>
      <c r="I584" s="6">
        <f>MOD(H584-Settings!$B$32,Settings!$B$33)</f>
        <v>48.039999999999964</v>
      </c>
      <c r="J584" s="6">
        <f>IF(I584&lt;Settings!$B$30,IF(Settings!$B$30-I584&gt;=E584,H584,H584+(Settings!$B$30-I584)+Settings!$B$31),H584+(Settings!$B$33-I584))</f>
        <v>2928.04</v>
      </c>
      <c r="K584" s="6">
        <f t="shared" si="224"/>
        <v>2952.06</v>
      </c>
      <c r="L584" s="6">
        <f t="shared" si="225"/>
        <v>2952.06</v>
      </c>
      <c r="M584" s="6">
        <f t="shared" si="222"/>
        <v>2933.5431123523035</v>
      </c>
      <c r="N584" s="6">
        <f t="shared" si="226"/>
        <v>2952.06</v>
      </c>
      <c r="O584" s="6">
        <f>Arrivals!I584</f>
        <v>7.0900203458208164</v>
      </c>
      <c r="P584" s="6">
        <f t="shared" si="227"/>
        <v>2959.1500203458208</v>
      </c>
      <c r="Q584" s="6">
        <f t="shared" si="228"/>
        <v>2275.1500203458208</v>
      </c>
      <c r="R584" s="6">
        <f t="shared" si="217"/>
        <v>2244.04</v>
      </c>
      <c r="S584" s="6">
        <f t="shared" si="218"/>
        <v>0</v>
      </c>
      <c r="T584" s="6">
        <f t="shared" si="219"/>
        <v>0</v>
      </c>
      <c r="U584" s="6">
        <f t="shared" si="229"/>
        <v>2244.04</v>
      </c>
      <c r="V584" s="6" t="str">
        <f>IF(MOD(C584-Settings!$B$32,Settings!$B$33)&lt;Settings!$B$30,"Up","Down")</f>
        <v>Down</v>
      </c>
      <c r="W584" s="6">
        <f>IF(OR(E584&gt;Settings!$B$30,Q584&gt;Settings!$B$37),0,1)</f>
        <v>0</v>
      </c>
      <c r="X584" s="6">
        <f>IF(AND(W584=1,Q584&lt;=Settings!$B$36),1,0)</f>
        <v>0</v>
      </c>
    </row>
    <row r="585" spans="1:24" x14ac:dyDescent="0.2">
      <c r="A585">
        <f>Arrivals!A585</f>
        <v>5</v>
      </c>
      <c r="B585">
        <f>Arrivals!B585</f>
        <v>100</v>
      </c>
      <c r="C585" s="6">
        <f>Arrivals!F585</f>
        <v>689</v>
      </c>
      <c r="D585" s="6">
        <f>Arrivals!K585</f>
        <v>300</v>
      </c>
      <c r="E585" s="6">
        <f>D585*8/ACE_Input!S105+ACE_Input!T105</f>
        <v>24.02</v>
      </c>
      <c r="F585" s="6">
        <f t="shared" si="210"/>
        <v>689</v>
      </c>
      <c r="G585" s="6">
        <f t="shared" si="221"/>
        <v>2952.06</v>
      </c>
      <c r="H585" s="6">
        <f t="shared" si="223"/>
        <v>2952.06</v>
      </c>
      <c r="I585" s="6">
        <f>MOD(H585-Settings!$B$32,Settings!$B$33)</f>
        <v>72.059999999999945</v>
      </c>
      <c r="J585" s="6">
        <f>IF(I585&lt;Settings!$B$30,IF(Settings!$B$30-I585&gt;=E585,H585,H585+(Settings!$B$30-I585)+Settings!$B$31),H585+(Settings!$B$33-I585))</f>
        <v>2952.06</v>
      </c>
      <c r="K585" s="6">
        <f t="shared" si="224"/>
        <v>2976.08</v>
      </c>
      <c r="L585" s="6">
        <f t="shared" si="225"/>
        <v>2976.08</v>
      </c>
      <c r="M585" s="6">
        <f t="shared" si="222"/>
        <v>2959.1500203458208</v>
      </c>
      <c r="N585" s="6">
        <f t="shared" si="226"/>
        <v>2976.08</v>
      </c>
      <c r="O585" s="6">
        <f>Arrivals!I585</f>
        <v>1.8864802347803769</v>
      </c>
      <c r="P585" s="6">
        <f t="shared" si="227"/>
        <v>2977.9664802347802</v>
      </c>
      <c r="Q585" s="6">
        <f t="shared" si="228"/>
        <v>2288.9664802347802</v>
      </c>
      <c r="R585" s="6">
        <f t="shared" si="217"/>
        <v>2263.06</v>
      </c>
      <c r="S585" s="6">
        <f t="shared" si="218"/>
        <v>0</v>
      </c>
      <c r="T585" s="6">
        <f t="shared" si="219"/>
        <v>0</v>
      </c>
      <c r="U585" s="6">
        <f t="shared" si="229"/>
        <v>2263.06</v>
      </c>
      <c r="V585" s="6" t="str">
        <f>IF(MOD(C585-Settings!$B$32,Settings!$B$33)&lt;Settings!$B$30,"Up","Down")</f>
        <v>Down</v>
      </c>
      <c r="W585" s="6">
        <f>IF(OR(E585&gt;Settings!$B$30,Q585&gt;Settings!$B$37),0,1)</f>
        <v>0</v>
      </c>
      <c r="X585" s="6">
        <f>IF(AND(W585=1,Q585&lt;=Settings!$B$36),1,0)</f>
        <v>0</v>
      </c>
    </row>
    <row r="586" spans="1:24" x14ac:dyDescent="0.2">
      <c r="C586" s="6"/>
      <c r="D586" s="6"/>
      <c r="E586" s="6"/>
      <c r="F586" s="6"/>
      <c r="G586" s="6"/>
      <c r="H586" s="6"/>
      <c r="I586" s="6"/>
      <c r="J586" s="6"/>
      <c r="K586" s="6"/>
      <c r="L586" s="6"/>
      <c r="M586" s="6"/>
      <c r="N586" s="6"/>
      <c r="O586" s="6"/>
      <c r="P586" s="6"/>
      <c r="Q586" s="6"/>
      <c r="R586" s="6"/>
      <c r="S586" s="6"/>
      <c r="T586" s="6"/>
      <c r="U586" s="6"/>
      <c r="V586" s="6"/>
      <c r="W586" s="6"/>
      <c r="X586" s="6"/>
    </row>
    <row r="587" spans="1:24" x14ac:dyDescent="0.2">
      <c r="C587" s="6"/>
      <c r="D587" s="6"/>
      <c r="E587" s="6"/>
      <c r="F587" s="6"/>
      <c r="G587" s="6"/>
      <c r="H587" s="6"/>
      <c r="I587" s="6"/>
      <c r="J587" s="6"/>
      <c r="K587" s="6"/>
      <c r="L587" s="6"/>
      <c r="M587" s="6"/>
      <c r="N587" s="6"/>
      <c r="O587" s="6"/>
      <c r="P587" s="6"/>
      <c r="Q587" s="6"/>
      <c r="R587" s="6"/>
      <c r="S587" s="6"/>
      <c r="T587" s="6"/>
      <c r="U587" s="6"/>
      <c r="V587" s="6"/>
      <c r="W587" s="6"/>
      <c r="X587" s="6"/>
    </row>
    <row r="588" spans="1:24" x14ac:dyDescent="0.2">
      <c r="C588" s="6"/>
      <c r="D588" s="6"/>
      <c r="E588" s="6"/>
      <c r="F588" s="6"/>
      <c r="G588" s="6"/>
      <c r="H588" s="6"/>
      <c r="I588" s="6"/>
      <c r="J588" s="6"/>
      <c r="K588" s="6"/>
      <c r="L588" s="6"/>
      <c r="M588" s="6"/>
      <c r="N588" s="6"/>
      <c r="O588" s="6"/>
      <c r="P588" s="6"/>
      <c r="Q588" s="6"/>
      <c r="R588" s="6"/>
      <c r="S588" s="6"/>
      <c r="T588" s="6"/>
      <c r="U588" s="6"/>
      <c r="V588" s="6"/>
      <c r="W588" s="6"/>
      <c r="X588" s="6"/>
    </row>
    <row r="589" spans="1:24" x14ac:dyDescent="0.2">
      <c r="C589" s="6"/>
      <c r="D589" s="6"/>
      <c r="E589" s="6"/>
      <c r="F589" s="6"/>
      <c r="G589" s="6"/>
      <c r="H589" s="6"/>
      <c r="I589" s="6"/>
      <c r="J589" s="6"/>
      <c r="K589" s="6"/>
      <c r="L589" s="6"/>
      <c r="M589" s="6"/>
      <c r="N589" s="6"/>
      <c r="O589" s="6"/>
      <c r="P589" s="6"/>
      <c r="Q589" s="6"/>
      <c r="R589" s="6"/>
      <c r="S589" s="6"/>
      <c r="T589" s="6"/>
      <c r="U589" s="6"/>
      <c r="V589" s="6"/>
      <c r="W589" s="6"/>
      <c r="X589" s="6"/>
    </row>
    <row r="590" spans="1:24" x14ac:dyDescent="0.2">
      <c r="C590" s="6"/>
      <c r="D590" s="6"/>
      <c r="E590" s="6"/>
      <c r="F590" s="6"/>
      <c r="G590" s="6"/>
      <c r="H590" s="6"/>
      <c r="I590" s="6"/>
      <c r="J590" s="6"/>
      <c r="K590" s="6"/>
      <c r="L590" s="6"/>
      <c r="M590" s="6"/>
      <c r="N590" s="6"/>
      <c r="O590" s="6"/>
      <c r="P590" s="6"/>
      <c r="Q590" s="6"/>
      <c r="R590" s="6"/>
      <c r="S590" s="6"/>
      <c r="T590" s="6"/>
      <c r="U590" s="6"/>
      <c r="V590" s="6"/>
      <c r="W590" s="6"/>
      <c r="X590" s="6"/>
    </row>
    <row r="591" spans="1:24" x14ac:dyDescent="0.2">
      <c r="C591" s="6"/>
      <c r="D591" s="6"/>
      <c r="E591" s="6"/>
      <c r="F591" s="6"/>
      <c r="G591" s="6"/>
      <c r="H591" s="6"/>
      <c r="I591" s="6"/>
      <c r="J591" s="6"/>
      <c r="K591" s="6"/>
      <c r="L591" s="6"/>
      <c r="M591" s="6"/>
      <c r="N591" s="6"/>
      <c r="O591" s="6"/>
      <c r="P591" s="6"/>
      <c r="Q591" s="6"/>
      <c r="R591" s="6"/>
      <c r="S591" s="6"/>
      <c r="T591" s="6"/>
      <c r="U591" s="6"/>
      <c r="V591" s="6"/>
      <c r="W591" s="6"/>
      <c r="X591" s="6"/>
    </row>
    <row r="592" spans="1:24" x14ac:dyDescent="0.2">
      <c r="C592" s="6"/>
      <c r="D592" s="6"/>
      <c r="E592" s="6"/>
      <c r="F592" s="6"/>
      <c r="G592" s="6"/>
      <c r="H592" s="6"/>
      <c r="I592" s="6"/>
      <c r="J592" s="6"/>
      <c r="K592" s="6"/>
      <c r="L592" s="6"/>
      <c r="M592" s="6"/>
      <c r="N592" s="6"/>
      <c r="O592" s="6"/>
      <c r="P592" s="6"/>
      <c r="Q592" s="6"/>
      <c r="R592" s="6"/>
      <c r="S592" s="6"/>
      <c r="T592" s="6"/>
      <c r="U592" s="6"/>
      <c r="V592" s="6"/>
      <c r="W592" s="6"/>
      <c r="X592" s="6"/>
    </row>
    <row r="593" spans="1:24" x14ac:dyDescent="0.2">
      <c r="C593" s="6"/>
      <c r="D593" s="6"/>
      <c r="E593" s="6"/>
      <c r="F593" s="6"/>
      <c r="G593" s="6"/>
      <c r="H593" s="6"/>
      <c r="I593" s="6"/>
      <c r="J593" s="6"/>
      <c r="K593" s="6"/>
      <c r="L593" s="6"/>
      <c r="M593" s="6"/>
      <c r="N593" s="6"/>
      <c r="O593" s="6"/>
      <c r="P593" s="6"/>
      <c r="Q593" s="6"/>
      <c r="R593" s="6"/>
      <c r="S593" s="6"/>
      <c r="T593" s="6"/>
      <c r="U593" s="6"/>
      <c r="V593" s="6"/>
      <c r="W593" s="6"/>
      <c r="X593" s="6"/>
    </row>
    <row r="594" spans="1:24" x14ac:dyDescent="0.2">
      <c r="C594" s="6"/>
      <c r="D594" s="6"/>
      <c r="E594" s="6"/>
      <c r="F594" s="6"/>
      <c r="G594" s="6"/>
      <c r="H594" s="6"/>
      <c r="I594" s="6"/>
      <c r="J594" s="6"/>
      <c r="K594" s="6"/>
      <c r="L594" s="6"/>
      <c r="M594" s="6"/>
      <c r="N594" s="6"/>
      <c r="O594" s="6"/>
      <c r="P594" s="6"/>
      <c r="Q594" s="6"/>
      <c r="R594" s="6"/>
      <c r="S594" s="6"/>
      <c r="T594" s="6"/>
      <c r="U594" s="6"/>
      <c r="V594" s="6"/>
      <c r="W594" s="6"/>
      <c r="X594" s="6"/>
    </row>
    <row r="595" spans="1:24" x14ac:dyDescent="0.2">
      <c r="C595" s="6"/>
      <c r="D595" s="6"/>
      <c r="E595" s="6"/>
      <c r="F595" s="6"/>
      <c r="G595" s="6"/>
      <c r="H595" s="6"/>
      <c r="I595" s="6"/>
      <c r="J595" s="6"/>
      <c r="K595" s="6"/>
      <c r="L595" s="6"/>
      <c r="M595" s="6"/>
      <c r="N595" s="6"/>
      <c r="O595" s="6"/>
      <c r="P595" s="6"/>
      <c r="Q595" s="6"/>
      <c r="R595" s="6"/>
      <c r="S595" s="6"/>
      <c r="T595" s="6"/>
      <c r="U595" s="6"/>
      <c r="V595" s="6"/>
      <c r="W595" s="6"/>
      <c r="X595" s="6"/>
    </row>
    <row r="596" spans="1:24" x14ac:dyDescent="0.2">
      <c r="C596" s="6"/>
      <c r="D596" s="6"/>
      <c r="E596" s="6"/>
      <c r="F596" s="6"/>
      <c r="G596" s="6"/>
      <c r="H596" s="6"/>
      <c r="I596" s="6"/>
      <c r="J596" s="6"/>
      <c r="K596" s="6"/>
      <c r="L596" s="6"/>
      <c r="M596" s="6"/>
      <c r="N596" s="6"/>
      <c r="O596" s="6"/>
      <c r="P596" s="6"/>
      <c r="Q596" s="6"/>
      <c r="R596" s="6"/>
      <c r="S596" s="6"/>
      <c r="T596" s="6"/>
      <c r="U596" s="6"/>
      <c r="V596" s="6"/>
      <c r="W596" s="6"/>
      <c r="X596" s="6"/>
    </row>
    <row r="597" spans="1:24" x14ac:dyDescent="0.2">
      <c r="C597" s="6"/>
      <c r="D597" s="6"/>
      <c r="E597" s="6"/>
      <c r="F597" s="6"/>
      <c r="G597" s="6"/>
      <c r="H597" s="6"/>
      <c r="I597" s="6"/>
      <c r="J597" s="6"/>
      <c r="K597" s="6"/>
      <c r="L597" s="6"/>
      <c r="M597" s="6"/>
      <c r="N597" s="6"/>
      <c r="O597" s="6"/>
      <c r="P597" s="6"/>
      <c r="Q597" s="6"/>
      <c r="R597" s="6"/>
      <c r="S597" s="6"/>
      <c r="T597" s="6"/>
      <c r="U597" s="6"/>
      <c r="V597" s="6"/>
      <c r="W597" s="6"/>
      <c r="X597" s="6"/>
    </row>
    <row r="598" spans="1:24" x14ac:dyDescent="0.2">
      <c r="C598" s="6"/>
      <c r="D598" s="6"/>
      <c r="E598" s="6"/>
      <c r="F598" s="6"/>
      <c r="G598" s="6"/>
      <c r="H598" s="6"/>
      <c r="I598" s="6"/>
      <c r="J598" s="6"/>
      <c r="K598" s="6"/>
      <c r="L598" s="6"/>
      <c r="M598" s="6"/>
      <c r="N598" s="6"/>
      <c r="O598" s="6"/>
      <c r="P598" s="6"/>
      <c r="Q598" s="6"/>
      <c r="R598" s="6"/>
      <c r="S598" s="6"/>
      <c r="T598" s="6"/>
      <c r="U598" s="6"/>
      <c r="V598" s="6"/>
      <c r="W598" s="6"/>
      <c r="X598" s="6"/>
    </row>
    <row r="599" spans="1:24" x14ac:dyDescent="0.2">
      <c r="C599" s="6"/>
      <c r="D599" s="6"/>
      <c r="E599" s="6"/>
      <c r="F599" s="6"/>
      <c r="G599" s="6"/>
      <c r="H599" s="6"/>
      <c r="I599" s="6"/>
      <c r="J599" s="6"/>
      <c r="K599" s="6"/>
      <c r="L599" s="6"/>
      <c r="M599" s="6"/>
      <c r="N599" s="6"/>
      <c r="O599" s="6"/>
      <c r="P599" s="6"/>
      <c r="Q599" s="6"/>
      <c r="R599" s="6"/>
      <c r="S599" s="6"/>
      <c r="T599" s="6"/>
      <c r="U599" s="6"/>
      <c r="V599" s="6"/>
      <c r="W599" s="6"/>
      <c r="X599" s="6"/>
    </row>
    <row r="600" spans="1:24" x14ac:dyDescent="0.2">
      <c r="C600" s="6"/>
      <c r="D600" s="6"/>
      <c r="E600" s="6"/>
      <c r="F600" s="6"/>
      <c r="G600" s="6"/>
      <c r="H600" s="6"/>
      <c r="I600" s="6"/>
      <c r="J600" s="6"/>
      <c r="K600" s="6"/>
      <c r="L600" s="6"/>
      <c r="M600" s="6"/>
      <c r="N600" s="6"/>
      <c r="O600" s="6"/>
      <c r="P600" s="6"/>
      <c r="Q600" s="6"/>
      <c r="R600" s="6"/>
      <c r="S600" s="6"/>
      <c r="T600" s="6"/>
      <c r="U600" s="6"/>
      <c r="V600" s="6"/>
      <c r="W600" s="6"/>
      <c r="X600" s="6"/>
    </row>
    <row r="601" spans="1:24" x14ac:dyDescent="0.2">
      <c r="C601" s="6"/>
      <c r="D601" s="6"/>
      <c r="E601" s="6"/>
      <c r="F601" s="6"/>
      <c r="G601" s="6"/>
      <c r="H601" s="6"/>
      <c r="I601" s="6"/>
      <c r="J601" s="6"/>
      <c r="K601" s="6"/>
      <c r="L601" s="6"/>
      <c r="M601" s="6"/>
      <c r="N601" s="6"/>
      <c r="O601" s="6"/>
      <c r="P601" s="6"/>
      <c r="Q601" s="6"/>
      <c r="R601" s="6"/>
      <c r="S601" s="6"/>
      <c r="T601" s="6"/>
      <c r="U601" s="6"/>
      <c r="V601" s="6"/>
      <c r="W601" s="6"/>
      <c r="X601" s="6"/>
    </row>
    <row r="602" spans="1:24" x14ac:dyDescent="0.2">
      <c r="C602" s="6"/>
      <c r="D602" s="6"/>
      <c r="E602" s="6"/>
      <c r="F602" s="6"/>
      <c r="G602" s="6"/>
      <c r="H602" s="6"/>
      <c r="I602" s="6"/>
      <c r="J602" s="6"/>
      <c r="K602" s="6"/>
      <c r="L602" s="6"/>
      <c r="M602" s="6"/>
      <c r="N602" s="6"/>
      <c r="O602" s="6"/>
      <c r="P602" s="6"/>
      <c r="Q602" s="6"/>
      <c r="R602" s="6"/>
      <c r="S602" s="6"/>
      <c r="T602" s="6"/>
      <c r="U602" s="6"/>
      <c r="V602" s="6"/>
      <c r="W602" s="6"/>
      <c r="X602" s="6"/>
    </row>
    <row r="603" spans="1:24" x14ac:dyDescent="0.2">
      <c r="C603" s="6"/>
      <c r="D603" s="6"/>
      <c r="E603" s="6"/>
      <c r="F603" s="6"/>
      <c r="G603" s="6"/>
      <c r="H603" s="6"/>
      <c r="I603" s="6"/>
      <c r="J603" s="6"/>
      <c r="K603" s="6"/>
      <c r="L603" s="6"/>
      <c r="M603" s="6"/>
      <c r="N603" s="6"/>
      <c r="O603" s="6"/>
      <c r="P603" s="6"/>
      <c r="Q603" s="6"/>
      <c r="R603" s="6"/>
      <c r="S603" s="6"/>
      <c r="T603" s="6"/>
      <c r="U603" s="6"/>
      <c r="V603" s="6"/>
      <c r="W603" s="6"/>
      <c r="X603" s="6"/>
    </row>
    <row r="604" spans="1:24" x14ac:dyDescent="0.2">
      <c r="C604" s="6"/>
      <c r="D604" s="6"/>
      <c r="E604" s="6"/>
      <c r="F604" s="6"/>
      <c r="G604" s="6"/>
      <c r="H604" s="6"/>
      <c r="I604" s="6"/>
      <c r="J604" s="6"/>
      <c r="K604" s="6"/>
      <c r="L604" s="6"/>
      <c r="M604" s="6"/>
      <c r="N604" s="6"/>
      <c r="O604" s="6"/>
      <c r="P604" s="6"/>
      <c r="Q604" s="6"/>
      <c r="R604" s="6"/>
      <c r="S604" s="6"/>
      <c r="T604" s="6"/>
      <c r="U604" s="6"/>
      <c r="V604" s="6"/>
      <c r="W604" s="6"/>
      <c r="X604" s="6"/>
    </row>
    <row r="605" spans="1:24" x14ac:dyDescent="0.2">
      <c r="C605" s="6"/>
      <c r="D605" s="6"/>
      <c r="E605" s="6"/>
      <c r="F605" s="6"/>
      <c r="G605" s="6"/>
      <c r="H605" s="6"/>
      <c r="I605" s="6"/>
      <c r="J605" s="6"/>
      <c r="K605" s="6"/>
      <c r="L605" s="6"/>
      <c r="M605" s="6"/>
      <c r="N605" s="6"/>
      <c r="O605" s="6"/>
      <c r="P605" s="6"/>
      <c r="Q605" s="6"/>
      <c r="R605" s="6"/>
      <c r="S605" s="6"/>
      <c r="T605" s="6"/>
      <c r="U605" s="6"/>
      <c r="V605" s="6"/>
      <c r="W605" s="6"/>
      <c r="X605" s="6"/>
    </row>
    <row r="606" spans="1:24" x14ac:dyDescent="0.2">
      <c r="A606">
        <f>Arrivals!A606</f>
        <v>6</v>
      </c>
      <c r="B606">
        <f>Arrivals!B606</f>
        <v>1</v>
      </c>
      <c r="C606" s="6">
        <f>Arrivals!F606</f>
        <v>2</v>
      </c>
      <c r="D606" s="6">
        <f>Arrivals!K606</f>
        <v>300</v>
      </c>
      <c r="E606" s="6">
        <f>D606*8/ACE_Input!S6+ACE_Input!T6</f>
        <v>24.02</v>
      </c>
      <c r="F606" s="6">
        <f t="shared" ref="F606:F637" si="230">C606</f>
        <v>2</v>
      </c>
      <c r="G606" s="6">
        <f>0</f>
        <v>0</v>
      </c>
      <c r="H606" s="6">
        <f t="shared" ref="H606:H637" si="231">MAX(F606,G606)</f>
        <v>2</v>
      </c>
      <c r="I606" s="6">
        <f>MOD(H606-Settings!$B$32,Settings!$B$33)</f>
        <v>2</v>
      </c>
      <c r="J606" s="6">
        <f>IF(I606&lt;Settings!$B$30,IF(Settings!$B$30-I606&gt;=E606,H606,H606+(Settings!$B$30-I606)+Settings!$B$31),H606+(Settings!$B$33-I606))</f>
        <v>2</v>
      </c>
      <c r="K606" s="6">
        <f t="shared" ref="K606:K637" si="232">J606+E606</f>
        <v>26.02</v>
      </c>
      <c r="L606" s="6">
        <f t="shared" ref="L606:L637" si="233">K606</f>
        <v>26.02</v>
      </c>
      <c r="M606" s="6">
        <f>0</f>
        <v>0</v>
      </c>
      <c r="N606" s="6">
        <f t="shared" ref="N606:N637" si="234">MAX(L606,M606)</f>
        <v>26.02</v>
      </c>
      <c r="O606" s="6">
        <f>Arrivals!I606</f>
        <v>3.0023050832892797</v>
      </c>
      <c r="P606" s="6">
        <f t="shared" ref="P606:P637" si="235">N606+O606</f>
        <v>29.022305083289279</v>
      </c>
      <c r="Q606" s="6">
        <f t="shared" ref="Q606:Q637" si="236">P606-C606</f>
        <v>27.022305083289279</v>
      </c>
      <c r="R606" s="6">
        <f t="shared" ref="R606:R637" si="237">H606-F606</f>
        <v>0</v>
      </c>
      <c r="S606" s="6">
        <f t="shared" ref="S606:S637" si="238">J606-H606</f>
        <v>0</v>
      </c>
      <c r="T606" s="6">
        <f t="shared" ref="T606:T637" si="239">N606-L606</f>
        <v>0</v>
      </c>
      <c r="U606" s="6">
        <f t="shared" ref="U606:U637" si="240">R606+S606+T606</f>
        <v>0</v>
      </c>
      <c r="V606" s="6" t="str">
        <f>IF(MOD(C606-Settings!$B$32,Settings!$B$33)&lt;Settings!$B$30,"Up","Down")</f>
        <v>Up</v>
      </c>
      <c r="W606" s="6">
        <f>IF(OR(E606&gt;Settings!$B$30,Q606&gt;Settings!$B$37),0,1)</f>
        <v>1</v>
      </c>
      <c r="X606" s="6">
        <f>IF(AND(W606=1,Q606&lt;=Settings!$B$36),1,0)</f>
        <v>1</v>
      </c>
    </row>
    <row r="607" spans="1:24" x14ac:dyDescent="0.2">
      <c r="A607">
        <f>Arrivals!A607</f>
        <v>6</v>
      </c>
      <c r="B607">
        <f>Arrivals!B607</f>
        <v>2</v>
      </c>
      <c r="C607" s="6">
        <f>Arrivals!F607</f>
        <v>7</v>
      </c>
      <c r="D607" s="6">
        <f>Arrivals!K607</f>
        <v>300</v>
      </c>
      <c r="E607" s="6">
        <f>D607*8/ACE_Input!S7+ACE_Input!T7</f>
        <v>24.02</v>
      </c>
      <c r="F607" s="6">
        <f t="shared" si="230"/>
        <v>7</v>
      </c>
      <c r="G607" s="6">
        <f t="shared" ref="G607:G638" si="241">K606</f>
        <v>26.02</v>
      </c>
      <c r="H607" s="6">
        <f t="shared" si="231"/>
        <v>26.02</v>
      </c>
      <c r="I607" s="6">
        <f>MOD(H607-Settings!$B$32,Settings!$B$33)</f>
        <v>26.02</v>
      </c>
      <c r="J607" s="6">
        <f>IF(I607&lt;Settings!$B$30,IF(Settings!$B$30-I607&gt;=E607,H607,H607+(Settings!$B$30-I607)+Settings!$B$31),H607+(Settings!$B$33-I607))</f>
        <v>26.02</v>
      </c>
      <c r="K607" s="6">
        <f t="shared" si="232"/>
        <v>50.04</v>
      </c>
      <c r="L607" s="6">
        <f t="shared" si="233"/>
        <v>50.04</v>
      </c>
      <c r="M607" s="6">
        <f t="shared" ref="M607:M638" si="242">P606</f>
        <v>29.022305083289279</v>
      </c>
      <c r="N607" s="6">
        <f t="shared" si="234"/>
        <v>50.04</v>
      </c>
      <c r="O607" s="6">
        <f>Arrivals!I607</f>
        <v>2.8459079271123899</v>
      </c>
      <c r="P607" s="6">
        <f t="shared" si="235"/>
        <v>52.885907927112392</v>
      </c>
      <c r="Q607" s="6">
        <f t="shared" si="236"/>
        <v>45.885907927112392</v>
      </c>
      <c r="R607" s="6">
        <f t="shared" si="237"/>
        <v>19.02</v>
      </c>
      <c r="S607" s="6">
        <f t="shared" si="238"/>
        <v>0</v>
      </c>
      <c r="T607" s="6">
        <f t="shared" si="239"/>
        <v>0</v>
      </c>
      <c r="U607" s="6">
        <f t="shared" si="240"/>
        <v>19.02</v>
      </c>
      <c r="V607" s="6" t="str">
        <f>IF(MOD(C607-Settings!$B$32,Settings!$B$33)&lt;Settings!$B$30,"Up","Down")</f>
        <v>Up</v>
      </c>
      <c r="W607" s="6">
        <f>IF(OR(E607&gt;Settings!$B$30,Q607&gt;Settings!$B$37),0,1)</f>
        <v>1</v>
      </c>
      <c r="X607" s="6">
        <f>IF(AND(W607=1,Q607&lt;=Settings!$B$36),1,0)</f>
        <v>1</v>
      </c>
    </row>
    <row r="608" spans="1:24" x14ac:dyDescent="0.2">
      <c r="A608">
        <f>Arrivals!A608</f>
        <v>6</v>
      </c>
      <c r="B608">
        <f>Arrivals!B608</f>
        <v>3</v>
      </c>
      <c r="C608" s="6">
        <f>Arrivals!F608</f>
        <v>32</v>
      </c>
      <c r="D608" s="6">
        <f>Arrivals!K608</f>
        <v>300</v>
      </c>
      <c r="E608" s="6">
        <f>D608*8/ACE_Input!S8+ACE_Input!T8</f>
        <v>24.02</v>
      </c>
      <c r="F608" s="6">
        <f t="shared" si="230"/>
        <v>32</v>
      </c>
      <c r="G608" s="6">
        <f t="shared" si="241"/>
        <v>50.04</v>
      </c>
      <c r="H608" s="6">
        <f t="shared" si="231"/>
        <v>50.04</v>
      </c>
      <c r="I608" s="6">
        <f>MOD(H608-Settings!$B$32,Settings!$B$33)</f>
        <v>50.04</v>
      </c>
      <c r="J608" s="6">
        <f>IF(I608&lt;Settings!$B$30,IF(Settings!$B$30-I608&gt;=E608,H608,H608+(Settings!$B$30-I608)+Settings!$B$31),H608+(Settings!$B$33-I608))</f>
        <v>50.04</v>
      </c>
      <c r="K608" s="6">
        <f t="shared" si="232"/>
        <v>74.06</v>
      </c>
      <c r="L608" s="6">
        <f t="shared" si="233"/>
        <v>74.06</v>
      </c>
      <c r="M608" s="6">
        <f t="shared" si="242"/>
        <v>52.885907927112392</v>
      </c>
      <c r="N608" s="6">
        <f t="shared" si="234"/>
        <v>74.06</v>
      </c>
      <c r="O608" s="6">
        <f>Arrivals!I608</f>
        <v>0.56330545232297302</v>
      </c>
      <c r="P608" s="6">
        <f t="shared" si="235"/>
        <v>74.623305452322981</v>
      </c>
      <c r="Q608" s="6">
        <f t="shared" si="236"/>
        <v>42.623305452322981</v>
      </c>
      <c r="R608" s="6">
        <f t="shared" si="237"/>
        <v>18.04</v>
      </c>
      <c r="S608" s="6">
        <f t="shared" si="238"/>
        <v>0</v>
      </c>
      <c r="T608" s="6">
        <f t="shared" si="239"/>
        <v>0</v>
      </c>
      <c r="U608" s="6">
        <f t="shared" si="240"/>
        <v>18.04</v>
      </c>
      <c r="V608" s="6" t="str">
        <f>IF(MOD(C608-Settings!$B$32,Settings!$B$33)&lt;Settings!$B$30,"Up","Down")</f>
        <v>Up</v>
      </c>
      <c r="W608" s="6">
        <f>IF(OR(E608&gt;Settings!$B$30,Q608&gt;Settings!$B$37),0,1)</f>
        <v>1</v>
      </c>
      <c r="X608" s="6">
        <f>IF(AND(W608=1,Q608&lt;=Settings!$B$36),1,0)</f>
        <v>1</v>
      </c>
    </row>
    <row r="609" spans="1:24" x14ac:dyDescent="0.2">
      <c r="A609">
        <f>Arrivals!A609</f>
        <v>6</v>
      </c>
      <c r="B609">
        <f>Arrivals!B609</f>
        <v>4</v>
      </c>
      <c r="C609" s="6">
        <f>Arrivals!F609</f>
        <v>37</v>
      </c>
      <c r="D609" s="6">
        <f>Arrivals!K609</f>
        <v>300</v>
      </c>
      <c r="E609" s="6">
        <f>D609*8/ACE_Input!S9+ACE_Input!T9</f>
        <v>24.02</v>
      </c>
      <c r="F609" s="6">
        <f t="shared" si="230"/>
        <v>37</v>
      </c>
      <c r="G609" s="6">
        <f t="shared" si="241"/>
        <v>74.06</v>
      </c>
      <c r="H609" s="6">
        <f t="shared" si="231"/>
        <v>74.06</v>
      </c>
      <c r="I609" s="6">
        <f>MOD(H609-Settings!$B$32,Settings!$B$33)</f>
        <v>74.06</v>
      </c>
      <c r="J609" s="6">
        <f>IF(I609&lt;Settings!$B$30,IF(Settings!$B$30-I609&gt;=E609,H609,H609+(Settings!$B$30-I609)+Settings!$B$31),H609+(Settings!$B$33-I609))</f>
        <v>74.06</v>
      </c>
      <c r="K609" s="6">
        <f t="shared" si="232"/>
        <v>98.08</v>
      </c>
      <c r="L609" s="6">
        <f t="shared" si="233"/>
        <v>98.08</v>
      </c>
      <c r="M609" s="6">
        <f t="shared" si="242"/>
        <v>74.623305452322981</v>
      </c>
      <c r="N609" s="6">
        <f t="shared" si="234"/>
        <v>98.08</v>
      </c>
      <c r="O609" s="6">
        <f>Arrivals!I609</f>
        <v>5.7993611586674501</v>
      </c>
      <c r="P609" s="6">
        <f t="shared" si="235"/>
        <v>103.87936115866745</v>
      </c>
      <c r="Q609" s="6">
        <f t="shared" si="236"/>
        <v>66.87936115866745</v>
      </c>
      <c r="R609" s="6">
        <f t="shared" si="237"/>
        <v>37.06</v>
      </c>
      <c r="S609" s="6">
        <f t="shared" si="238"/>
        <v>0</v>
      </c>
      <c r="T609" s="6">
        <f t="shared" si="239"/>
        <v>0</v>
      </c>
      <c r="U609" s="6">
        <f t="shared" si="240"/>
        <v>37.06</v>
      </c>
      <c r="V609" s="6" t="str">
        <f>IF(MOD(C609-Settings!$B$32,Settings!$B$33)&lt;Settings!$B$30,"Up","Down")</f>
        <v>Up</v>
      </c>
      <c r="W609" s="6">
        <f>IF(OR(E609&gt;Settings!$B$30,Q609&gt;Settings!$B$37),0,1)</f>
        <v>1</v>
      </c>
      <c r="X609" s="6">
        <f>IF(AND(W609=1,Q609&lt;=Settings!$B$36),1,0)</f>
        <v>1</v>
      </c>
    </row>
    <row r="610" spans="1:24" x14ac:dyDescent="0.2">
      <c r="A610">
        <f>Arrivals!A610</f>
        <v>6</v>
      </c>
      <c r="B610">
        <f>Arrivals!B610</f>
        <v>5</v>
      </c>
      <c r="C610" s="6">
        <f>Arrivals!F610</f>
        <v>42</v>
      </c>
      <c r="D610" s="6">
        <f>Arrivals!K610</f>
        <v>300</v>
      </c>
      <c r="E610" s="6">
        <f>D610*8/ACE_Input!S10+ACE_Input!T10</f>
        <v>24.02</v>
      </c>
      <c r="F610" s="6">
        <f t="shared" si="230"/>
        <v>42</v>
      </c>
      <c r="G610" s="6">
        <f t="shared" si="241"/>
        <v>98.08</v>
      </c>
      <c r="H610" s="6">
        <f t="shared" si="231"/>
        <v>98.08</v>
      </c>
      <c r="I610" s="6">
        <f>MOD(H610-Settings!$B$32,Settings!$B$33)</f>
        <v>98.08</v>
      </c>
      <c r="J610" s="6">
        <f>IF(I610&lt;Settings!$B$30,IF(Settings!$B$30-I610&gt;=E610,H610,H610+(Settings!$B$30-I610)+Settings!$B$31),H610+(Settings!$B$33-I610))</f>
        <v>98.08</v>
      </c>
      <c r="K610" s="6">
        <f t="shared" si="232"/>
        <v>122.1</v>
      </c>
      <c r="L610" s="6">
        <f t="shared" si="233"/>
        <v>122.1</v>
      </c>
      <c r="M610" s="6">
        <f t="shared" si="242"/>
        <v>103.87936115866745</v>
      </c>
      <c r="N610" s="6">
        <f t="shared" si="234"/>
        <v>122.1</v>
      </c>
      <c r="O610" s="6">
        <f>Arrivals!I610</f>
        <v>11.785640283040859</v>
      </c>
      <c r="P610" s="6">
        <f t="shared" si="235"/>
        <v>133.88564028304086</v>
      </c>
      <c r="Q610" s="6">
        <f t="shared" si="236"/>
        <v>91.885640283040857</v>
      </c>
      <c r="R610" s="6">
        <f t="shared" si="237"/>
        <v>56.08</v>
      </c>
      <c r="S610" s="6">
        <f t="shared" si="238"/>
        <v>0</v>
      </c>
      <c r="T610" s="6">
        <f t="shared" si="239"/>
        <v>0</v>
      </c>
      <c r="U610" s="6">
        <f t="shared" si="240"/>
        <v>56.08</v>
      </c>
      <c r="V610" s="6" t="str">
        <f>IF(MOD(C610-Settings!$B$32,Settings!$B$33)&lt;Settings!$B$30,"Up","Down")</f>
        <v>Up</v>
      </c>
      <c r="W610" s="6">
        <f>IF(OR(E610&gt;Settings!$B$30,Q610&gt;Settings!$B$37),0,1)</f>
        <v>1</v>
      </c>
      <c r="X610" s="6">
        <f>IF(AND(W610=1,Q610&lt;=Settings!$B$36),1,0)</f>
        <v>1</v>
      </c>
    </row>
    <row r="611" spans="1:24" x14ac:dyDescent="0.2">
      <c r="A611">
        <f>Arrivals!A611</f>
        <v>6</v>
      </c>
      <c r="B611">
        <f>Arrivals!B611</f>
        <v>6</v>
      </c>
      <c r="C611" s="6">
        <f>Arrivals!F611</f>
        <v>47</v>
      </c>
      <c r="D611" s="6">
        <f>Arrivals!K611</f>
        <v>300</v>
      </c>
      <c r="E611" s="6">
        <f>D611*8/ACE_Input!S11+ACE_Input!T11</f>
        <v>24.02</v>
      </c>
      <c r="F611" s="6">
        <f t="shared" si="230"/>
        <v>47</v>
      </c>
      <c r="G611" s="6">
        <f t="shared" si="241"/>
        <v>122.1</v>
      </c>
      <c r="H611" s="6">
        <f t="shared" si="231"/>
        <v>122.1</v>
      </c>
      <c r="I611" s="6">
        <f>MOD(H611-Settings!$B$32,Settings!$B$33)</f>
        <v>122.1</v>
      </c>
      <c r="J611" s="6">
        <f>IF(I611&lt;Settings!$B$30,IF(Settings!$B$30-I611&gt;=E611,H611,H611+(Settings!$B$30-I611)+Settings!$B$31),H611+(Settings!$B$33-I611))</f>
        <v>122.1</v>
      </c>
      <c r="K611" s="6">
        <f t="shared" si="232"/>
        <v>146.12</v>
      </c>
      <c r="L611" s="6">
        <f t="shared" si="233"/>
        <v>146.12</v>
      </c>
      <c r="M611" s="6">
        <f t="shared" si="242"/>
        <v>133.88564028304086</v>
      </c>
      <c r="N611" s="6">
        <f t="shared" si="234"/>
        <v>146.12</v>
      </c>
      <c r="O611" s="6">
        <f>Arrivals!I611</f>
        <v>0.71134971780677103</v>
      </c>
      <c r="P611" s="6">
        <f t="shared" si="235"/>
        <v>146.83134971780677</v>
      </c>
      <c r="Q611" s="6">
        <f t="shared" si="236"/>
        <v>99.831349717806773</v>
      </c>
      <c r="R611" s="6">
        <f t="shared" si="237"/>
        <v>75.099999999999994</v>
      </c>
      <c r="S611" s="6">
        <f t="shared" si="238"/>
        <v>0</v>
      </c>
      <c r="T611" s="6">
        <f t="shared" si="239"/>
        <v>0</v>
      </c>
      <c r="U611" s="6">
        <f t="shared" si="240"/>
        <v>75.099999999999994</v>
      </c>
      <c r="V611" s="6" t="str">
        <f>IF(MOD(C611-Settings!$B$32,Settings!$B$33)&lt;Settings!$B$30,"Up","Down")</f>
        <v>Up</v>
      </c>
      <c r="W611" s="6">
        <f>IF(OR(E611&gt;Settings!$B$30,Q611&gt;Settings!$B$37),0,1)</f>
        <v>1</v>
      </c>
      <c r="X611" s="6">
        <f>IF(AND(W611=1,Q611&lt;=Settings!$B$36),1,0)</f>
        <v>1</v>
      </c>
    </row>
    <row r="612" spans="1:24" x14ac:dyDescent="0.2">
      <c r="A612">
        <f>Arrivals!A612</f>
        <v>6</v>
      </c>
      <c r="B612">
        <f>Arrivals!B612</f>
        <v>7</v>
      </c>
      <c r="C612" s="6">
        <f>Arrivals!F612</f>
        <v>52</v>
      </c>
      <c r="D612" s="6">
        <f>Arrivals!K612</f>
        <v>300</v>
      </c>
      <c r="E612" s="6">
        <f>D612*8/ACE_Input!S12+ACE_Input!T12</f>
        <v>24.02</v>
      </c>
      <c r="F612" s="6">
        <f t="shared" si="230"/>
        <v>52</v>
      </c>
      <c r="G612" s="6">
        <f t="shared" si="241"/>
        <v>146.12</v>
      </c>
      <c r="H612" s="6">
        <f t="shared" si="231"/>
        <v>146.12</v>
      </c>
      <c r="I612" s="6">
        <f>MOD(H612-Settings!$B$32,Settings!$B$33)</f>
        <v>146.12</v>
      </c>
      <c r="J612" s="6">
        <f>IF(I612&lt;Settings!$B$30,IF(Settings!$B$30-I612&gt;=E612,H612,H612+(Settings!$B$30-I612)+Settings!$B$31),H612+(Settings!$B$33-I612))</f>
        <v>146.12</v>
      </c>
      <c r="K612" s="6">
        <f t="shared" si="232"/>
        <v>170.14000000000001</v>
      </c>
      <c r="L612" s="6">
        <f t="shared" si="233"/>
        <v>170.14000000000001</v>
      </c>
      <c r="M612" s="6">
        <f t="shared" si="242"/>
        <v>146.83134971780677</v>
      </c>
      <c r="N612" s="6">
        <f t="shared" si="234"/>
        <v>170.14000000000001</v>
      </c>
      <c r="O612" s="6">
        <f>Arrivals!I612</f>
        <v>1.0026002725488405</v>
      </c>
      <c r="P612" s="6">
        <f t="shared" si="235"/>
        <v>171.14260027254886</v>
      </c>
      <c r="Q612" s="6">
        <f t="shared" si="236"/>
        <v>119.14260027254886</v>
      </c>
      <c r="R612" s="6">
        <f t="shared" si="237"/>
        <v>94.12</v>
      </c>
      <c r="S612" s="6">
        <f t="shared" si="238"/>
        <v>0</v>
      </c>
      <c r="T612" s="6">
        <f t="shared" si="239"/>
        <v>0</v>
      </c>
      <c r="U612" s="6">
        <f t="shared" si="240"/>
        <v>94.12</v>
      </c>
      <c r="V612" s="6" t="str">
        <f>IF(MOD(C612-Settings!$B$32,Settings!$B$33)&lt;Settings!$B$30,"Up","Down")</f>
        <v>Up</v>
      </c>
      <c r="W612" s="6">
        <f>IF(OR(E612&gt;Settings!$B$30,Q612&gt;Settings!$B$37),0,1)</f>
        <v>1</v>
      </c>
      <c r="X612" s="6">
        <f>IF(AND(W612=1,Q612&lt;=Settings!$B$36),1,0)</f>
        <v>1</v>
      </c>
    </row>
    <row r="613" spans="1:24" x14ac:dyDescent="0.2">
      <c r="A613">
        <f>Arrivals!A613</f>
        <v>6</v>
      </c>
      <c r="B613">
        <f>Arrivals!B613</f>
        <v>8</v>
      </c>
      <c r="C613" s="6">
        <f>Arrivals!F613</f>
        <v>57</v>
      </c>
      <c r="D613" s="6">
        <f>Arrivals!K613</f>
        <v>300</v>
      </c>
      <c r="E613" s="6">
        <f>D613*8/ACE_Input!S13+ACE_Input!T13</f>
        <v>24.02</v>
      </c>
      <c r="F613" s="6">
        <f t="shared" si="230"/>
        <v>57</v>
      </c>
      <c r="G613" s="6">
        <f t="shared" si="241"/>
        <v>170.14000000000001</v>
      </c>
      <c r="H613" s="6">
        <f t="shared" si="231"/>
        <v>170.14000000000001</v>
      </c>
      <c r="I613" s="6">
        <f>MOD(H613-Settings!$B$32,Settings!$B$33)</f>
        <v>170.14000000000001</v>
      </c>
      <c r="J613" s="6">
        <f>IF(I613&lt;Settings!$B$30,IF(Settings!$B$30-I613&gt;=E613,H613,H613+(Settings!$B$30-I613)+Settings!$B$31),H613+(Settings!$B$33-I613))</f>
        <v>170.14000000000001</v>
      </c>
      <c r="K613" s="6">
        <f t="shared" si="232"/>
        <v>194.16000000000003</v>
      </c>
      <c r="L613" s="6">
        <f t="shared" si="233"/>
        <v>194.16000000000003</v>
      </c>
      <c r="M613" s="6">
        <f t="shared" si="242"/>
        <v>171.14260027254886</v>
      </c>
      <c r="N613" s="6">
        <f t="shared" si="234"/>
        <v>194.16000000000003</v>
      </c>
      <c r="O613" s="6">
        <f>Arrivals!I613</f>
        <v>0.89964938951095008</v>
      </c>
      <c r="P613" s="6">
        <f t="shared" si="235"/>
        <v>195.05964938951098</v>
      </c>
      <c r="Q613" s="6">
        <f t="shared" si="236"/>
        <v>138.05964938951098</v>
      </c>
      <c r="R613" s="6">
        <f t="shared" si="237"/>
        <v>113.14000000000001</v>
      </c>
      <c r="S613" s="6">
        <f t="shared" si="238"/>
        <v>0</v>
      </c>
      <c r="T613" s="6">
        <f t="shared" si="239"/>
        <v>0</v>
      </c>
      <c r="U613" s="6">
        <f t="shared" si="240"/>
        <v>113.14000000000001</v>
      </c>
      <c r="V613" s="6" t="str">
        <f>IF(MOD(C613-Settings!$B$32,Settings!$B$33)&lt;Settings!$B$30,"Up","Down")</f>
        <v>Up</v>
      </c>
      <c r="W613" s="6">
        <f>IF(OR(E613&gt;Settings!$B$30,Q613&gt;Settings!$B$37),0,1)</f>
        <v>1</v>
      </c>
      <c r="X613" s="6">
        <f>IF(AND(W613=1,Q613&lt;=Settings!$B$36),1,0)</f>
        <v>0</v>
      </c>
    </row>
    <row r="614" spans="1:24" x14ac:dyDescent="0.2">
      <c r="A614">
        <f>Arrivals!A614</f>
        <v>6</v>
      </c>
      <c r="B614">
        <f>Arrivals!B614</f>
        <v>9</v>
      </c>
      <c r="C614" s="6">
        <f>Arrivals!F614</f>
        <v>172</v>
      </c>
      <c r="D614" s="6">
        <f>Arrivals!K614</f>
        <v>300</v>
      </c>
      <c r="E614" s="6">
        <f>D614*8/ACE_Input!S14+ACE_Input!T14</f>
        <v>24.02</v>
      </c>
      <c r="F614" s="6">
        <f t="shared" si="230"/>
        <v>172</v>
      </c>
      <c r="G614" s="6">
        <f t="shared" si="241"/>
        <v>194.16000000000003</v>
      </c>
      <c r="H614" s="6">
        <f t="shared" si="231"/>
        <v>194.16000000000003</v>
      </c>
      <c r="I614" s="6">
        <f>MOD(H614-Settings!$B$32,Settings!$B$33)</f>
        <v>194.16000000000003</v>
      </c>
      <c r="J614" s="6">
        <f>IF(I614&lt;Settings!$B$30,IF(Settings!$B$30-I614&gt;=E614,H614,H614+(Settings!$B$30-I614)+Settings!$B$31),H614+(Settings!$B$33-I614))</f>
        <v>194.16000000000003</v>
      </c>
      <c r="K614" s="6">
        <f t="shared" si="232"/>
        <v>218.18000000000004</v>
      </c>
      <c r="L614" s="6">
        <f t="shared" si="233"/>
        <v>218.18000000000004</v>
      </c>
      <c r="M614" s="6">
        <f t="shared" si="242"/>
        <v>195.05964938951098</v>
      </c>
      <c r="N614" s="6">
        <f t="shared" si="234"/>
        <v>218.18000000000004</v>
      </c>
      <c r="O614" s="6">
        <f>Arrivals!I614</f>
        <v>0.70457962915533912</v>
      </c>
      <c r="P614" s="6">
        <f t="shared" si="235"/>
        <v>218.88457962915538</v>
      </c>
      <c r="Q614" s="6">
        <f t="shared" si="236"/>
        <v>46.884579629155382</v>
      </c>
      <c r="R614" s="6">
        <f t="shared" si="237"/>
        <v>22.160000000000025</v>
      </c>
      <c r="S614" s="6">
        <f t="shared" si="238"/>
        <v>0</v>
      </c>
      <c r="T614" s="6">
        <f t="shared" si="239"/>
        <v>0</v>
      </c>
      <c r="U614" s="6">
        <f t="shared" si="240"/>
        <v>22.160000000000025</v>
      </c>
      <c r="V614" s="6" t="str">
        <f>IF(MOD(C614-Settings!$B$32,Settings!$B$33)&lt;Settings!$B$30,"Up","Down")</f>
        <v>Up</v>
      </c>
      <c r="W614" s="6">
        <f>IF(OR(E614&gt;Settings!$B$30,Q614&gt;Settings!$B$37),0,1)</f>
        <v>1</v>
      </c>
      <c r="X614" s="6">
        <f>IF(AND(W614=1,Q614&lt;=Settings!$B$36),1,0)</f>
        <v>1</v>
      </c>
    </row>
    <row r="615" spans="1:24" x14ac:dyDescent="0.2">
      <c r="A615">
        <f>Arrivals!A615</f>
        <v>6</v>
      </c>
      <c r="B615">
        <f>Arrivals!B615</f>
        <v>10</v>
      </c>
      <c r="C615" s="6">
        <f>Arrivals!F615</f>
        <v>177</v>
      </c>
      <c r="D615" s="6">
        <f>Arrivals!K615</f>
        <v>300</v>
      </c>
      <c r="E615" s="6">
        <f>D615*8/ACE_Input!S15+ACE_Input!T15</f>
        <v>24.02</v>
      </c>
      <c r="F615" s="6">
        <f t="shared" si="230"/>
        <v>177</v>
      </c>
      <c r="G615" s="6">
        <f t="shared" si="241"/>
        <v>218.18000000000004</v>
      </c>
      <c r="H615" s="6">
        <f t="shared" si="231"/>
        <v>218.18000000000004</v>
      </c>
      <c r="I615" s="6">
        <f>MOD(H615-Settings!$B$32,Settings!$B$33)</f>
        <v>218.18000000000004</v>
      </c>
      <c r="J615" s="6">
        <f>IF(I615&lt;Settings!$B$30,IF(Settings!$B$30-I615&gt;=E615,H615,H615+(Settings!$B$30-I615)+Settings!$B$31),H615+(Settings!$B$33-I615))</f>
        <v>218.18000000000004</v>
      </c>
      <c r="K615" s="6">
        <f t="shared" si="232"/>
        <v>242.20000000000005</v>
      </c>
      <c r="L615" s="6">
        <f t="shared" si="233"/>
        <v>242.20000000000005</v>
      </c>
      <c r="M615" s="6">
        <f t="shared" si="242"/>
        <v>218.88457962915538</v>
      </c>
      <c r="N615" s="6">
        <f t="shared" si="234"/>
        <v>242.20000000000005</v>
      </c>
      <c r="O615" s="6">
        <f>Arrivals!I615</f>
        <v>1.9760310494604096</v>
      </c>
      <c r="P615" s="6">
        <f t="shared" si="235"/>
        <v>244.17603104946045</v>
      </c>
      <c r="Q615" s="6">
        <f t="shared" si="236"/>
        <v>67.176031049460448</v>
      </c>
      <c r="R615" s="6">
        <f t="shared" si="237"/>
        <v>41.180000000000035</v>
      </c>
      <c r="S615" s="6">
        <f t="shared" si="238"/>
        <v>0</v>
      </c>
      <c r="T615" s="6">
        <f t="shared" si="239"/>
        <v>0</v>
      </c>
      <c r="U615" s="6">
        <f t="shared" si="240"/>
        <v>41.180000000000035</v>
      </c>
      <c r="V615" s="6" t="str">
        <f>IF(MOD(C615-Settings!$B$32,Settings!$B$33)&lt;Settings!$B$30,"Up","Down")</f>
        <v>Up</v>
      </c>
      <c r="W615" s="6">
        <f>IF(OR(E615&gt;Settings!$B$30,Q615&gt;Settings!$B$37),0,1)</f>
        <v>1</v>
      </c>
      <c r="X615" s="6">
        <f>IF(AND(W615=1,Q615&lt;=Settings!$B$36),1,0)</f>
        <v>1</v>
      </c>
    </row>
    <row r="616" spans="1:24" x14ac:dyDescent="0.2">
      <c r="A616">
        <f>Arrivals!A616</f>
        <v>6</v>
      </c>
      <c r="B616">
        <f>Arrivals!B616</f>
        <v>11</v>
      </c>
      <c r="C616" s="6">
        <f>Arrivals!F616</f>
        <v>182</v>
      </c>
      <c r="D616" s="6">
        <f>Arrivals!K616</f>
        <v>300</v>
      </c>
      <c r="E616" s="6">
        <f>D616*8/ACE_Input!S16+ACE_Input!T16</f>
        <v>24.02</v>
      </c>
      <c r="F616" s="6">
        <f t="shared" si="230"/>
        <v>182</v>
      </c>
      <c r="G616" s="6">
        <f t="shared" si="241"/>
        <v>242.20000000000005</v>
      </c>
      <c r="H616" s="6">
        <f t="shared" si="231"/>
        <v>242.20000000000005</v>
      </c>
      <c r="I616" s="6">
        <f>MOD(H616-Settings!$B$32,Settings!$B$33)</f>
        <v>242.20000000000005</v>
      </c>
      <c r="J616" s="6">
        <f>IF(I616&lt;Settings!$B$30,IF(Settings!$B$30-I616&gt;=E616,H616,H616+(Settings!$B$30-I616)+Settings!$B$31),H616+(Settings!$B$33-I616))</f>
        <v>242.20000000000005</v>
      </c>
      <c r="K616" s="6">
        <f t="shared" si="232"/>
        <v>266.22000000000003</v>
      </c>
      <c r="L616" s="6">
        <f t="shared" si="233"/>
        <v>266.22000000000003</v>
      </c>
      <c r="M616" s="6">
        <f t="shared" si="242"/>
        <v>244.17603104946045</v>
      </c>
      <c r="N616" s="6">
        <f t="shared" si="234"/>
        <v>266.22000000000003</v>
      </c>
      <c r="O616" s="6">
        <f>Arrivals!I616</f>
        <v>5.8993437206617818</v>
      </c>
      <c r="P616" s="6">
        <f t="shared" si="235"/>
        <v>272.11934372066179</v>
      </c>
      <c r="Q616" s="6">
        <f t="shared" si="236"/>
        <v>90.119343720661789</v>
      </c>
      <c r="R616" s="6">
        <f t="shared" si="237"/>
        <v>60.200000000000045</v>
      </c>
      <c r="S616" s="6">
        <f t="shared" si="238"/>
        <v>0</v>
      </c>
      <c r="T616" s="6">
        <f t="shared" si="239"/>
        <v>0</v>
      </c>
      <c r="U616" s="6">
        <f t="shared" si="240"/>
        <v>60.200000000000045</v>
      </c>
      <c r="V616" s="6" t="str">
        <f>IF(MOD(C616-Settings!$B$32,Settings!$B$33)&lt;Settings!$B$30,"Up","Down")</f>
        <v>Up</v>
      </c>
      <c r="W616" s="6">
        <f>IF(OR(E616&gt;Settings!$B$30,Q616&gt;Settings!$B$37),0,1)</f>
        <v>1</v>
      </c>
      <c r="X616" s="6">
        <f>IF(AND(W616=1,Q616&lt;=Settings!$B$36),1,0)</f>
        <v>1</v>
      </c>
    </row>
    <row r="617" spans="1:24" x14ac:dyDescent="0.2">
      <c r="A617">
        <f>Arrivals!A617</f>
        <v>6</v>
      </c>
      <c r="B617">
        <f>Arrivals!B617</f>
        <v>12</v>
      </c>
      <c r="C617" s="6">
        <f>Arrivals!F617</f>
        <v>187</v>
      </c>
      <c r="D617" s="6">
        <f>Arrivals!K617</f>
        <v>300</v>
      </c>
      <c r="E617" s="6">
        <f>D617*8/ACE_Input!S17+ACE_Input!T17</f>
        <v>24.02</v>
      </c>
      <c r="F617" s="6">
        <f t="shared" si="230"/>
        <v>187</v>
      </c>
      <c r="G617" s="6">
        <f t="shared" si="241"/>
        <v>266.22000000000003</v>
      </c>
      <c r="H617" s="6">
        <f t="shared" si="231"/>
        <v>266.22000000000003</v>
      </c>
      <c r="I617" s="6">
        <f>MOD(H617-Settings!$B$32,Settings!$B$33)</f>
        <v>266.22000000000003</v>
      </c>
      <c r="J617" s="6">
        <f>IF(I617&lt;Settings!$B$30,IF(Settings!$B$30-I617&gt;=E617,H617,H617+(Settings!$B$30-I617)+Settings!$B$31),H617+(Settings!$B$33-I617))</f>
        <v>266.22000000000003</v>
      </c>
      <c r="K617" s="6">
        <f t="shared" si="232"/>
        <v>290.24</v>
      </c>
      <c r="L617" s="6">
        <f t="shared" si="233"/>
        <v>290.24</v>
      </c>
      <c r="M617" s="6">
        <f t="shared" si="242"/>
        <v>272.11934372066179</v>
      </c>
      <c r="N617" s="6">
        <f t="shared" si="234"/>
        <v>290.24</v>
      </c>
      <c r="O617" s="6">
        <f>Arrivals!I617</f>
        <v>1.3420055700827769</v>
      </c>
      <c r="P617" s="6">
        <f t="shared" si="235"/>
        <v>291.5820055700828</v>
      </c>
      <c r="Q617" s="6">
        <f t="shared" si="236"/>
        <v>104.5820055700828</v>
      </c>
      <c r="R617" s="6">
        <f t="shared" si="237"/>
        <v>79.220000000000027</v>
      </c>
      <c r="S617" s="6">
        <f t="shared" si="238"/>
        <v>0</v>
      </c>
      <c r="T617" s="6">
        <f t="shared" si="239"/>
        <v>0</v>
      </c>
      <c r="U617" s="6">
        <f t="shared" si="240"/>
        <v>79.220000000000027</v>
      </c>
      <c r="V617" s="6" t="str">
        <f>IF(MOD(C617-Settings!$B$32,Settings!$B$33)&lt;Settings!$B$30,"Up","Down")</f>
        <v>Up</v>
      </c>
      <c r="W617" s="6">
        <f>IF(OR(E617&gt;Settings!$B$30,Q617&gt;Settings!$B$37),0,1)</f>
        <v>1</v>
      </c>
      <c r="X617" s="6">
        <f>IF(AND(W617=1,Q617&lt;=Settings!$B$36),1,0)</f>
        <v>1</v>
      </c>
    </row>
    <row r="618" spans="1:24" x14ac:dyDescent="0.2">
      <c r="A618">
        <f>Arrivals!A618</f>
        <v>6</v>
      </c>
      <c r="B618">
        <f>Arrivals!B618</f>
        <v>13</v>
      </c>
      <c r="C618" s="6">
        <f>Arrivals!F618</f>
        <v>192</v>
      </c>
      <c r="D618" s="6">
        <f>Arrivals!K618</f>
        <v>300</v>
      </c>
      <c r="E618" s="6">
        <f>D618*8/ACE_Input!S18+ACE_Input!T18</f>
        <v>24.02</v>
      </c>
      <c r="F618" s="6">
        <f t="shared" si="230"/>
        <v>192</v>
      </c>
      <c r="G618" s="6">
        <f t="shared" si="241"/>
        <v>290.24</v>
      </c>
      <c r="H618" s="6">
        <f t="shared" si="231"/>
        <v>290.24</v>
      </c>
      <c r="I618" s="6">
        <f>MOD(H618-Settings!$B$32,Settings!$B$33)</f>
        <v>290.24</v>
      </c>
      <c r="J618" s="6">
        <f>IF(I618&lt;Settings!$B$30,IF(Settings!$B$30-I618&gt;=E618,H618,H618+(Settings!$B$30-I618)+Settings!$B$31),H618+(Settings!$B$33-I618))</f>
        <v>290.24</v>
      </c>
      <c r="K618" s="6">
        <f t="shared" si="232"/>
        <v>314.26</v>
      </c>
      <c r="L618" s="6">
        <f t="shared" si="233"/>
        <v>314.26</v>
      </c>
      <c r="M618" s="6">
        <f t="shared" si="242"/>
        <v>291.5820055700828</v>
      </c>
      <c r="N618" s="6">
        <f t="shared" si="234"/>
        <v>314.26</v>
      </c>
      <c r="O618" s="6">
        <f>Arrivals!I618</f>
        <v>1.6581676477418681</v>
      </c>
      <c r="P618" s="6">
        <f t="shared" si="235"/>
        <v>315.91816764774188</v>
      </c>
      <c r="Q618" s="6">
        <f t="shared" si="236"/>
        <v>123.91816764774188</v>
      </c>
      <c r="R618" s="6">
        <f t="shared" si="237"/>
        <v>98.240000000000009</v>
      </c>
      <c r="S618" s="6">
        <f t="shared" si="238"/>
        <v>0</v>
      </c>
      <c r="T618" s="6">
        <f t="shared" si="239"/>
        <v>0</v>
      </c>
      <c r="U618" s="6">
        <f t="shared" si="240"/>
        <v>98.240000000000009</v>
      </c>
      <c r="V618" s="6" t="str">
        <f>IF(MOD(C618-Settings!$B$32,Settings!$B$33)&lt;Settings!$B$30,"Up","Down")</f>
        <v>Up</v>
      </c>
      <c r="W618" s="6">
        <f>IF(OR(E618&gt;Settings!$B$30,Q618&gt;Settings!$B$37),0,1)</f>
        <v>1</v>
      </c>
      <c r="X618" s="6">
        <f>IF(AND(W618=1,Q618&lt;=Settings!$B$36),1,0)</f>
        <v>0</v>
      </c>
    </row>
    <row r="619" spans="1:24" x14ac:dyDescent="0.2">
      <c r="A619">
        <f>Arrivals!A619</f>
        <v>6</v>
      </c>
      <c r="B619">
        <f>Arrivals!B619</f>
        <v>14</v>
      </c>
      <c r="C619" s="6">
        <f>Arrivals!F619</f>
        <v>197</v>
      </c>
      <c r="D619" s="6">
        <f>Arrivals!K619</f>
        <v>300</v>
      </c>
      <c r="E619" s="6">
        <f>D619*8/ACE_Input!S19+ACE_Input!T19</f>
        <v>24.02</v>
      </c>
      <c r="F619" s="6">
        <f t="shared" si="230"/>
        <v>197</v>
      </c>
      <c r="G619" s="6">
        <f t="shared" si="241"/>
        <v>314.26</v>
      </c>
      <c r="H619" s="6">
        <f t="shared" si="231"/>
        <v>314.26</v>
      </c>
      <c r="I619" s="6">
        <f>MOD(H619-Settings!$B$32,Settings!$B$33)</f>
        <v>314.26</v>
      </c>
      <c r="J619" s="6">
        <f>IF(I619&lt;Settings!$B$30,IF(Settings!$B$30-I619&gt;=E619,H619,H619+(Settings!$B$30-I619)+Settings!$B$31),H619+(Settings!$B$33-I619))</f>
        <v>314.26</v>
      </c>
      <c r="K619" s="6">
        <f t="shared" si="232"/>
        <v>338.28</v>
      </c>
      <c r="L619" s="6">
        <f t="shared" si="233"/>
        <v>338.28</v>
      </c>
      <c r="M619" s="6">
        <f t="shared" si="242"/>
        <v>315.91816764774188</v>
      </c>
      <c r="N619" s="6">
        <f t="shared" si="234"/>
        <v>338.28</v>
      </c>
      <c r="O619" s="6">
        <f>Arrivals!I619</f>
        <v>3.4294548877839746</v>
      </c>
      <c r="P619" s="6">
        <f t="shared" si="235"/>
        <v>341.70945488778392</v>
      </c>
      <c r="Q619" s="6">
        <f t="shared" si="236"/>
        <v>144.70945488778392</v>
      </c>
      <c r="R619" s="6">
        <f t="shared" si="237"/>
        <v>117.25999999999999</v>
      </c>
      <c r="S619" s="6">
        <f t="shared" si="238"/>
        <v>0</v>
      </c>
      <c r="T619" s="6">
        <f t="shared" si="239"/>
        <v>0</v>
      </c>
      <c r="U619" s="6">
        <f t="shared" si="240"/>
        <v>117.25999999999999</v>
      </c>
      <c r="V619" s="6" t="str">
        <f>IF(MOD(C619-Settings!$B$32,Settings!$B$33)&lt;Settings!$B$30,"Up","Down")</f>
        <v>Up</v>
      </c>
      <c r="W619" s="6">
        <f>IF(OR(E619&gt;Settings!$B$30,Q619&gt;Settings!$B$37),0,1)</f>
        <v>1</v>
      </c>
      <c r="X619" s="6">
        <f>IF(AND(W619=1,Q619&lt;=Settings!$B$36),1,0)</f>
        <v>0</v>
      </c>
    </row>
    <row r="620" spans="1:24" x14ac:dyDescent="0.2">
      <c r="A620">
        <f>Arrivals!A620</f>
        <v>6</v>
      </c>
      <c r="B620">
        <f>Arrivals!B620</f>
        <v>15</v>
      </c>
      <c r="C620" s="6">
        <f>Arrivals!F620</f>
        <v>202</v>
      </c>
      <c r="D620" s="6">
        <f>Arrivals!K620</f>
        <v>300</v>
      </c>
      <c r="E620" s="6">
        <f>D620*8/ACE_Input!S20+ACE_Input!T20</f>
        <v>24.02</v>
      </c>
      <c r="F620" s="6">
        <f t="shared" si="230"/>
        <v>202</v>
      </c>
      <c r="G620" s="6">
        <f t="shared" si="241"/>
        <v>338.28</v>
      </c>
      <c r="H620" s="6">
        <f t="shared" si="231"/>
        <v>338.28</v>
      </c>
      <c r="I620" s="6">
        <f>MOD(H620-Settings!$B$32,Settings!$B$33)</f>
        <v>338.28</v>
      </c>
      <c r="J620" s="6">
        <f>IF(I620&lt;Settings!$B$30,IF(Settings!$B$30-I620&gt;=E620,H620,H620+(Settings!$B$30-I620)+Settings!$B$31),H620+(Settings!$B$33-I620))</f>
        <v>338.28</v>
      </c>
      <c r="K620" s="6">
        <f t="shared" si="232"/>
        <v>362.29999999999995</v>
      </c>
      <c r="L620" s="6">
        <f t="shared" si="233"/>
        <v>362.29999999999995</v>
      </c>
      <c r="M620" s="6">
        <f t="shared" si="242"/>
        <v>341.70945488778392</v>
      </c>
      <c r="N620" s="6">
        <f t="shared" si="234"/>
        <v>362.29999999999995</v>
      </c>
      <c r="O620" s="6">
        <f>Arrivals!I620</f>
        <v>0.60660678912349486</v>
      </c>
      <c r="P620" s="6">
        <f t="shared" si="235"/>
        <v>362.90660678912343</v>
      </c>
      <c r="Q620" s="6">
        <f t="shared" si="236"/>
        <v>160.90660678912343</v>
      </c>
      <c r="R620" s="6">
        <f t="shared" si="237"/>
        <v>136.27999999999997</v>
      </c>
      <c r="S620" s="6">
        <f t="shared" si="238"/>
        <v>0</v>
      </c>
      <c r="T620" s="6">
        <f t="shared" si="239"/>
        <v>0</v>
      </c>
      <c r="U620" s="6">
        <f t="shared" si="240"/>
        <v>136.27999999999997</v>
      </c>
      <c r="V620" s="6" t="str">
        <f>IF(MOD(C620-Settings!$B$32,Settings!$B$33)&lt;Settings!$B$30,"Up","Down")</f>
        <v>Up</v>
      </c>
      <c r="W620" s="6">
        <f>IF(OR(E620&gt;Settings!$B$30,Q620&gt;Settings!$B$37),0,1)</f>
        <v>1</v>
      </c>
      <c r="X620" s="6">
        <f>IF(AND(W620=1,Q620&lt;=Settings!$B$36),1,0)</f>
        <v>0</v>
      </c>
    </row>
    <row r="621" spans="1:24" x14ac:dyDescent="0.2">
      <c r="A621">
        <f>Arrivals!A621</f>
        <v>6</v>
      </c>
      <c r="B621">
        <f>Arrivals!B621</f>
        <v>16</v>
      </c>
      <c r="C621" s="6">
        <f>Arrivals!F621</f>
        <v>207</v>
      </c>
      <c r="D621" s="6">
        <f>Arrivals!K621</f>
        <v>300</v>
      </c>
      <c r="E621" s="6">
        <f>D621*8/ACE_Input!S21+ACE_Input!T21</f>
        <v>24.02</v>
      </c>
      <c r="F621" s="6">
        <f t="shared" si="230"/>
        <v>207</v>
      </c>
      <c r="G621" s="6">
        <f t="shared" si="241"/>
        <v>362.29999999999995</v>
      </c>
      <c r="H621" s="6">
        <f t="shared" si="231"/>
        <v>362.29999999999995</v>
      </c>
      <c r="I621" s="6">
        <f>MOD(H621-Settings!$B$32,Settings!$B$33)</f>
        <v>362.29999999999995</v>
      </c>
      <c r="J621" s="6">
        <f>IF(I621&lt;Settings!$B$30,IF(Settings!$B$30-I621&gt;=E621,H621,H621+(Settings!$B$30-I621)+Settings!$B$31),H621+(Settings!$B$33-I621))</f>
        <v>362.29999999999995</v>
      </c>
      <c r="K621" s="6">
        <f t="shared" si="232"/>
        <v>386.31999999999994</v>
      </c>
      <c r="L621" s="6">
        <f t="shared" si="233"/>
        <v>386.31999999999994</v>
      </c>
      <c r="M621" s="6">
        <f t="shared" si="242"/>
        <v>362.90660678912343</v>
      </c>
      <c r="N621" s="6">
        <f t="shared" si="234"/>
        <v>386.31999999999994</v>
      </c>
      <c r="O621" s="6">
        <f>Arrivals!I621</f>
        <v>12.372307094722599</v>
      </c>
      <c r="P621" s="6">
        <f t="shared" si="235"/>
        <v>398.69230709472254</v>
      </c>
      <c r="Q621" s="6">
        <f t="shared" si="236"/>
        <v>191.69230709472254</v>
      </c>
      <c r="R621" s="6">
        <f t="shared" si="237"/>
        <v>155.29999999999995</v>
      </c>
      <c r="S621" s="6">
        <f t="shared" si="238"/>
        <v>0</v>
      </c>
      <c r="T621" s="6">
        <f t="shared" si="239"/>
        <v>0</v>
      </c>
      <c r="U621" s="6">
        <f t="shared" si="240"/>
        <v>155.29999999999995</v>
      </c>
      <c r="V621" s="6" t="str">
        <f>IF(MOD(C621-Settings!$B$32,Settings!$B$33)&lt;Settings!$B$30,"Up","Down")</f>
        <v>Up</v>
      </c>
      <c r="W621" s="6">
        <f>IF(OR(E621&gt;Settings!$B$30,Q621&gt;Settings!$B$37),0,1)</f>
        <v>1</v>
      </c>
      <c r="X621" s="6">
        <f>IF(AND(W621=1,Q621&lt;=Settings!$B$36),1,0)</f>
        <v>0</v>
      </c>
    </row>
    <row r="622" spans="1:24" x14ac:dyDescent="0.2">
      <c r="A622">
        <f>Arrivals!A622</f>
        <v>6</v>
      </c>
      <c r="B622">
        <f>Arrivals!B622</f>
        <v>17</v>
      </c>
      <c r="C622" s="6">
        <f>Arrivals!F622</f>
        <v>212</v>
      </c>
      <c r="D622" s="6">
        <f>Arrivals!K622</f>
        <v>300</v>
      </c>
      <c r="E622" s="6">
        <f>D622*8/ACE_Input!S22+ACE_Input!T22</f>
        <v>24.02</v>
      </c>
      <c r="F622" s="6">
        <f t="shared" si="230"/>
        <v>212</v>
      </c>
      <c r="G622" s="6">
        <f t="shared" si="241"/>
        <v>386.31999999999994</v>
      </c>
      <c r="H622" s="6">
        <f t="shared" si="231"/>
        <v>386.31999999999994</v>
      </c>
      <c r="I622" s="6">
        <f>MOD(H622-Settings!$B$32,Settings!$B$33)</f>
        <v>386.31999999999994</v>
      </c>
      <c r="J622" s="6">
        <f>IF(I622&lt;Settings!$B$30,IF(Settings!$B$30-I622&gt;=E622,H622,H622+(Settings!$B$30-I622)+Settings!$B$31),H622+(Settings!$B$33-I622))</f>
        <v>386.31999999999994</v>
      </c>
      <c r="K622" s="6">
        <f t="shared" si="232"/>
        <v>410.33999999999992</v>
      </c>
      <c r="L622" s="6">
        <f t="shared" si="233"/>
        <v>410.33999999999992</v>
      </c>
      <c r="M622" s="6">
        <f t="shared" si="242"/>
        <v>398.69230709472254</v>
      </c>
      <c r="N622" s="6">
        <f t="shared" si="234"/>
        <v>410.33999999999992</v>
      </c>
      <c r="O622" s="6">
        <f>Arrivals!I622</f>
        <v>3.6452433751805473</v>
      </c>
      <c r="P622" s="6">
        <f t="shared" si="235"/>
        <v>413.98524337518046</v>
      </c>
      <c r="Q622" s="6">
        <f t="shared" si="236"/>
        <v>201.98524337518046</v>
      </c>
      <c r="R622" s="6">
        <f t="shared" si="237"/>
        <v>174.31999999999994</v>
      </c>
      <c r="S622" s="6">
        <f t="shared" si="238"/>
        <v>0</v>
      </c>
      <c r="T622" s="6">
        <f t="shared" si="239"/>
        <v>0</v>
      </c>
      <c r="U622" s="6">
        <f t="shared" si="240"/>
        <v>174.31999999999994</v>
      </c>
      <c r="V622" s="6" t="str">
        <f>IF(MOD(C622-Settings!$B$32,Settings!$B$33)&lt;Settings!$B$30,"Up","Down")</f>
        <v>Up</v>
      </c>
      <c r="W622" s="6">
        <f>IF(OR(E622&gt;Settings!$B$30,Q622&gt;Settings!$B$37),0,1)</f>
        <v>1</v>
      </c>
      <c r="X622" s="6">
        <f>IF(AND(W622=1,Q622&lt;=Settings!$B$36),1,0)</f>
        <v>0</v>
      </c>
    </row>
    <row r="623" spans="1:24" x14ac:dyDescent="0.2">
      <c r="A623">
        <f>Arrivals!A623</f>
        <v>6</v>
      </c>
      <c r="B623">
        <f>Arrivals!B623</f>
        <v>18</v>
      </c>
      <c r="C623" s="6">
        <f>Arrivals!F623</f>
        <v>217</v>
      </c>
      <c r="D623" s="6">
        <f>Arrivals!K623</f>
        <v>300</v>
      </c>
      <c r="E623" s="6">
        <f>D623*8/ACE_Input!S23+ACE_Input!T23</f>
        <v>24.02</v>
      </c>
      <c r="F623" s="6">
        <f t="shared" si="230"/>
        <v>217</v>
      </c>
      <c r="G623" s="6">
        <f t="shared" si="241"/>
        <v>410.33999999999992</v>
      </c>
      <c r="H623" s="6">
        <f t="shared" si="231"/>
        <v>410.33999999999992</v>
      </c>
      <c r="I623" s="6">
        <f>MOD(H623-Settings!$B$32,Settings!$B$33)</f>
        <v>410.33999999999992</v>
      </c>
      <c r="J623" s="6">
        <f>IF(I623&lt;Settings!$B$30,IF(Settings!$B$30-I623&gt;=E623,H623,H623+(Settings!$B$30-I623)+Settings!$B$31),H623+(Settings!$B$33-I623))</f>
        <v>410.33999999999992</v>
      </c>
      <c r="K623" s="6">
        <f t="shared" si="232"/>
        <v>434.3599999999999</v>
      </c>
      <c r="L623" s="6">
        <f t="shared" si="233"/>
        <v>434.3599999999999</v>
      </c>
      <c r="M623" s="6">
        <f t="shared" si="242"/>
        <v>413.98524337518046</v>
      </c>
      <c r="N623" s="6">
        <f t="shared" si="234"/>
        <v>434.3599999999999</v>
      </c>
      <c r="O623" s="6">
        <f>Arrivals!I623</f>
        <v>4.0612362446313286</v>
      </c>
      <c r="P623" s="6">
        <f t="shared" si="235"/>
        <v>438.42123624463125</v>
      </c>
      <c r="Q623" s="6">
        <f t="shared" si="236"/>
        <v>221.42123624463125</v>
      </c>
      <c r="R623" s="6">
        <f t="shared" si="237"/>
        <v>193.33999999999992</v>
      </c>
      <c r="S623" s="6">
        <f t="shared" si="238"/>
        <v>0</v>
      </c>
      <c r="T623" s="6">
        <f t="shared" si="239"/>
        <v>0</v>
      </c>
      <c r="U623" s="6">
        <f t="shared" si="240"/>
        <v>193.33999999999992</v>
      </c>
      <c r="V623" s="6" t="str">
        <f>IF(MOD(C623-Settings!$B$32,Settings!$B$33)&lt;Settings!$B$30,"Up","Down")</f>
        <v>Up</v>
      </c>
      <c r="W623" s="6">
        <f>IF(OR(E623&gt;Settings!$B$30,Q623&gt;Settings!$B$37),0,1)</f>
        <v>1</v>
      </c>
      <c r="X623" s="6">
        <f>IF(AND(W623=1,Q623&lt;=Settings!$B$36),1,0)</f>
        <v>0</v>
      </c>
    </row>
    <row r="624" spans="1:24" x14ac:dyDescent="0.2">
      <c r="A624">
        <f>Arrivals!A624</f>
        <v>6</v>
      </c>
      <c r="B624">
        <f>Arrivals!B624</f>
        <v>19</v>
      </c>
      <c r="C624" s="6">
        <f>Arrivals!F624</f>
        <v>222</v>
      </c>
      <c r="D624" s="6">
        <f>Arrivals!K624</f>
        <v>300</v>
      </c>
      <c r="E624" s="6">
        <f>D624*8/ACE_Input!S24+ACE_Input!T24</f>
        <v>24.02</v>
      </c>
      <c r="F624" s="6">
        <f t="shared" si="230"/>
        <v>222</v>
      </c>
      <c r="G624" s="6">
        <f t="shared" si="241"/>
        <v>434.3599999999999</v>
      </c>
      <c r="H624" s="6">
        <f t="shared" si="231"/>
        <v>434.3599999999999</v>
      </c>
      <c r="I624" s="6">
        <f>MOD(H624-Settings!$B$32,Settings!$B$33)</f>
        <v>434.3599999999999</v>
      </c>
      <c r="J624" s="6">
        <f>IF(I624&lt;Settings!$B$30,IF(Settings!$B$30-I624&gt;=E624,H624,H624+(Settings!$B$30-I624)+Settings!$B$31),H624+(Settings!$B$33-I624))</f>
        <v>434.3599999999999</v>
      </c>
      <c r="K624" s="6">
        <f t="shared" si="232"/>
        <v>458.37999999999988</v>
      </c>
      <c r="L624" s="6">
        <f t="shared" si="233"/>
        <v>458.37999999999988</v>
      </c>
      <c r="M624" s="6">
        <f t="shared" si="242"/>
        <v>438.42123624463125</v>
      </c>
      <c r="N624" s="6">
        <f t="shared" si="234"/>
        <v>458.37999999999988</v>
      </c>
      <c r="O624" s="6">
        <f>Arrivals!I624</f>
        <v>16.675620931082001</v>
      </c>
      <c r="P624" s="6">
        <f t="shared" si="235"/>
        <v>475.05562093108188</v>
      </c>
      <c r="Q624" s="6">
        <f t="shared" si="236"/>
        <v>253.05562093108188</v>
      </c>
      <c r="R624" s="6">
        <f t="shared" si="237"/>
        <v>212.3599999999999</v>
      </c>
      <c r="S624" s="6">
        <f t="shared" si="238"/>
        <v>0</v>
      </c>
      <c r="T624" s="6">
        <f t="shared" si="239"/>
        <v>0</v>
      </c>
      <c r="U624" s="6">
        <f t="shared" si="240"/>
        <v>212.3599999999999</v>
      </c>
      <c r="V624" s="6" t="str">
        <f>IF(MOD(C624-Settings!$B$32,Settings!$B$33)&lt;Settings!$B$30,"Up","Down")</f>
        <v>Up</v>
      </c>
      <c r="W624" s="6">
        <f>IF(OR(E624&gt;Settings!$B$30,Q624&gt;Settings!$B$37),0,1)</f>
        <v>1</v>
      </c>
      <c r="X624" s="6">
        <f>IF(AND(W624=1,Q624&lt;=Settings!$B$36),1,0)</f>
        <v>0</v>
      </c>
    </row>
    <row r="625" spans="1:24" x14ac:dyDescent="0.2">
      <c r="A625">
        <f>Arrivals!A625</f>
        <v>6</v>
      </c>
      <c r="B625">
        <f>Arrivals!B625</f>
        <v>20</v>
      </c>
      <c r="C625" s="6">
        <f>Arrivals!F625</f>
        <v>227</v>
      </c>
      <c r="D625" s="6">
        <f>Arrivals!K625</f>
        <v>300</v>
      </c>
      <c r="E625" s="6">
        <f>D625*8/ACE_Input!S25+ACE_Input!T25</f>
        <v>24.02</v>
      </c>
      <c r="F625" s="6">
        <f t="shared" si="230"/>
        <v>227</v>
      </c>
      <c r="G625" s="6">
        <f t="shared" si="241"/>
        <v>458.37999999999988</v>
      </c>
      <c r="H625" s="6">
        <f t="shared" si="231"/>
        <v>458.37999999999988</v>
      </c>
      <c r="I625" s="6">
        <f>MOD(H625-Settings!$B$32,Settings!$B$33)</f>
        <v>458.37999999999988</v>
      </c>
      <c r="J625" s="6">
        <f>IF(I625&lt;Settings!$B$30,IF(Settings!$B$30-I625&gt;=E625,H625,H625+(Settings!$B$30-I625)+Settings!$B$31),H625+(Settings!$B$33-I625))</f>
        <v>458.37999999999988</v>
      </c>
      <c r="K625" s="6">
        <f t="shared" si="232"/>
        <v>482.39999999999986</v>
      </c>
      <c r="L625" s="6">
        <f t="shared" si="233"/>
        <v>482.39999999999986</v>
      </c>
      <c r="M625" s="6">
        <f t="shared" si="242"/>
        <v>475.05562093108188</v>
      </c>
      <c r="N625" s="6">
        <f t="shared" si="234"/>
        <v>482.39999999999986</v>
      </c>
      <c r="O625" s="6">
        <f>Arrivals!I625</f>
        <v>3.7740051807287331E-2</v>
      </c>
      <c r="P625" s="6">
        <f t="shared" si="235"/>
        <v>482.43774005180717</v>
      </c>
      <c r="Q625" s="6">
        <f t="shared" si="236"/>
        <v>255.43774005180717</v>
      </c>
      <c r="R625" s="6">
        <f t="shared" si="237"/>
        <v>231.37999999999988</v>
      </c>
      <c r="S625" s="6">
        <f t="shared" si="238"/>
        <v>0</v>
      </c>
      <c r="T625" s="6">
        <f t="shared" si="239"/>
        <v>0</v>
      </c>
      <c r="U625" s="6">
        <f t="shared" si="240"/>
        <v>231.37999999999988</v>
      </c>
      <c r="V625" s="6" t="str">
        <f>IF(MOD(C625-Settings!$B$32,Settings!$B$33)&lt;Settings!$B$30,"Up","Down")</f>
        <v>Up</v>
      </c>
      <c r="W625" s="6">
        <f>IF(OR(E625&gt;Settings!$B$30,Q625&gt;Settings!$B$37),0,1)</f>
        <v>1</v>
      </c>
      <c r="X625" s="6">
        <f>IF(AND(W625=1,Q625&lt;=Settings!$B$36),1,0)</f>
        <v>0</v>
      </c>
    </row>
    <row r="626" spans="1:24" x14ac:dyDescent="0.2">
      <c r="A626">
        <f>Arrivals!A626</f>
        <v>6</v>
      </c>
      <c r="B626">
        <f>Arrivals!B626</f>
        <v>21</v>
      </c>
      <c r="C626" s="6">
        <f>Arrivals!F626</f>
        <v>232</v>
      </c>
      <c r="D626" s="6">
        <f>Arrivals!K626</f>
        <v>300</v>
      </c>
      <c r="E626" s="6">
        <f>D626*8/ACE_Input!S26+ACE_Input!T26</f>
        <v>24.02</v>
      </c>
      <c r="F626" s="6">
        <f t="shared" si="230"/>
        <v>232</v>
      </c>
      <c r="G626" s="6">
        <f t="shared" si="241"/>
        <v>482.39999999999986</v>
      </c>
      <c r="H626" s="6">
        <f t="shared" si="231"/>
        <v>482.39999999999986</v>
      </c>
      <c r="I626" s="6">
        <f>MOD(H626-Settings!$B$32,Settings!$B$33)</f>
        <v>482.39999999999986</v>
      </c>
      <c r="J626" s="6">
        <f>IF(I626&lt;Settings!$B$30,IF(Settings!$B$30-I626&gt;=E626,H626,H626+(Settings!$B$30-I626)+Settings!$B$31),H626+(Settings!$B$33-I626))</f>
        <v>482.39999999999986</v>
      </c>
      <c r="K626" s="6">
        <f t="shared" si="232"/>
        <v>506.41999999999985</v>
      </c>
      <c r="L626" s="6">
        <f t="shared" si="233"/>
        <v>506.41999999999985</v>
      </c>
      <c r="M626" s="6">
        <f t="shared" si="242"/>
        <v>482.43774005180717</v>
      </c>
      <c r="N626" s="6">
        <f t="shared" si="234"/>
        <v>506.41999999999985</v>
      </c>
      <c r="O626" s="6">
        <f>Arrivals!I626</f>
        <v>7.0534981753911241</v>
      </c>
      <c r="P626" s="6">
        <f t="shared" si="235"/>
        <v>513.473498175391</v>
      </c>
      <c r="Q626" s="6">
        <f t="shared" si="236"/>
        <v>281.473498175391</v>
      </c>
      <c r="R626" s="6">
        <f t="shared" si="237"/>
        <v>250.39999999999986</v>
      </c>
      <c r="S626" s="6">
        <f t="shared" si="238"/>
        <v>0</v>
      </c>
      <c r="T626" s="6">
        <f t="shared" si="239"/>
        <v>0</v>
      </c>
      <c r="U626" s="6">
        <f t="shared" si="240"/>
        <v>250.39999999999986</v>
      </c>
      <c r="V626" s="6" t="str">
        <f>IF(MOD(C626-Settings!$B$32,Settings!$B$33)&lt;Settings!$B$30,"Up","Down")</f>
        <v>Up</v>
      </c>
      <c r="W626" s="6">
        <f>IF(OR(E626&gt;Settings!$B$30,Q626&gt;Settings!$B$37),0,1)</f>
        <v>1</v>
      </c>
      <c r="X626" s="6">
        <f>IF(AND(W626=1,Q626&lt;=Settings!$B$36),1,0)</f>
        <v>0</v>
      </c>
    </row>
    <row r="627" spans="1:24" x14ac:dyDescent="0.2">
      <c r="A627">
        <f>Arrivals!A627</f>
        <v>6</v>
      </c>
      <c r="B627">
        <f>Arrivals!B627</f>
        <v>22</v>
      </c>
      <c r="C627" s="6">
        <f>Arrivals!F627</f>
        <v>237</v>
      </c>
      <c r="D627" s="6">
        <f>Arrivals!K627</f>
        <v>300</v>
      </c>
      <c r="E627" s="6">
        <f>D627*8/ACE_Input!S27+ACE_Input!T27</f>
        <v>24.02</v>
      </c>
      <c r="F627" s="6">
        <f t="shared" si="230"/>
        <v>237</v>
      </c>
      <c r="G627" s="6">
        <f t="shared" si="241"/>
        <v>506.41999999999985</v>
      </c>
      <c r="H627" s="6">
        <f t="shared" si="231"/>
        <v>506.41999999999985</v>
      </c>
      <c r="I627" s="6">
        <f>MOD(H627-Settings!$B$32,Settings!$B$33)</f>
        <v>506.41999999999985</v>
      </c>
      <c r="J627" s="6">
        <f>IF(I627&lt;Settings!$B$30,IF(Settings!$B$30-I627&gt;=E627,H627,H627+(Settings!$B$30-I627)+Settings!$B$31),H627+(Settings!$B$33-I627))</f>
        <v>506.41999999999985</v>
      </c>
      <c r="K627" s="6">
        <f t="shared" si="232"/>
        <v>530.43999999999983</v>
      </c>
      <c r="L627" s="6">
        <f t="shared" si="233"/>
        <v>530.43999999999983</v>
      </c>
      <c r="M627" s="6">
        <f t="shared" si="242"/>
        <v>513.473498175391</v>
      </c>
      <c r="N627" s="6">
        <f t="shared" si="234"/>
        <v>530.43999999999983</v>
      </c>
      <c r="O627" s="6">
        <f>Arrivals!I627</f>
        <v>0.8095307415268258</v>
      </c>
      <c r="P627" s="6">
        <f t="shared" si="235"/>
        <v>531.24953074152666</v>
      </c>
      <c r="Q627" s="6">
        <f t="shared" si="236"/>
        <v>294.24953074152666</v>
      </c>
      <c r="R627" s="6">
        <f t="shared" si="237"/>
        <v>269.41999999999985</v>
      </c>
      <c r="S627" s="6">
        <f t="shared" si="238"/>
        <v>0</v>
      </c>
      <c r="T627" s="6">
        <f t="shared" si="239"/>
        <v>0</v>
      </c>
      <c r="U627" s="6">
        <f t="shared" si="240"/>
        <v>269.41999999999985</v>
      </c>
      <c r="V627" s="6" t="str">
        <f>IF(MOD(C627-Settings!$B$32,Settings!$B$33)&lt;Settings!$B$30,"Up","Down")</f>
        <v>Up</v>
      </c>
      <c r="W627" s="6">
        <f>IF(OR(E627&gt;Settings!$B$30,Q627&gt;Settings!$B$37),0,1)</f>
        <v>1</v>
      </c>
      <c r="X627" s="6">
        <f>IF(AND(W627=1,Q627&lt;=Settings!$B$36),1,0)</f>
        <v>0</v>
      </c>
    </row>
    <row r="628" spans="1:24" x14ac:dyDescent="0.2">
      <c r="A628">
        <f>Arrivals!A628</f>
        <v>6</v>
      </c>
      <c r="B628">
        <f>Arrivals!B628</f>
        <v>23</v>
      </c>
      <c r="C628" s="6">
        <f>Arrivals!F628</f>
        <v>242</v>
      </c>
      <c r="D628" s="6">
        <f>Arrivals!K628</f>
        <v>300</v>
      </c>
      <c r="E628" s="6">
        <f>D628*8/ACE_Input!S28+ACE_Input!T28</f>
        <v>24.02</v>
      </c>
      <c r="F628" s="6">
        <f t="shared" si="230"/>
        <v>242</v>
      </c>
      <c r="G628" s="6">
        <f t="shared" si="241"/>
        <v>530.43999999999983</v>
      </c>
      <c r="H628" s="6">
        <f t="shared" si="231"/>
        <v>530.43999999999983</v>
      </c>
      <c r="I628" s="6">
        <f>MOD(H628-Settings!$B$32,Settings!$B$33)</f>
        <v>530.43999999999983</v>
      </c>
      <c r="J628" s="6">
        <f>IF(I628&lt;Settings!$B$30,IF(Settings!$B$30-I628&gt;=E628,H628,H628+(Settings!$B$30-I628)+Settings!$B$31),H628+(Settings!$B$33-I628))</f>
        <v>530.43999999999983</v>
      </c>
      <c r="K628" s="6">
        <f t="shared" si="232"/>
        <v>554.45999999999981</v>
      </c>
      <c r="L628" s="6">
        <f t="shared" si="233"/>
        <v>554.45999999999981</v>
      </c>
      <c r="M628" s="6">
        <f t="shared" si="242"/>
        <v>531.24953074152666</v>
      </c>
      <c r="N628" s="6">
        <f t="shared" si="234"/>
        <v>554.45999999999981</v>
      </c>
      <c r="O628" s="6">
        <f>Arrivals!I628</f>
        <v>1.6616147293608692</v>
      </c>
      <c r="P628" s="6">
        <f t="shared" si="235"/>
        <v>556.12161472936066</v>
      </c>
      <c r="Q628" s="6">
        <f t="shared" si="236"/>
        <v>314.12161472936066</v>
      </c>
      <c r="R628" s="6">
        <f t="shared" si="237"/>
        <v>288.43999999999983</v>
      </c>
      <c r="S628" s="6">
        <f t="shared" si="238"/>
        <v>0</v>
      </c>
      <c r="T628" s="6">
        <f t="shared" si="239"/>
        <v>0</v>
      </c>
      <c r="U628" s="6">
        <f t="shared" si="240"/>
        <v>288.43999999999983</v>
      </c>
      <c r="V628" s="6" t="str">
        <f>IF(MOD(C628-Settings!$B$32,Settings!$B$33)&lt;Settings!$B$30,"Up","Down")</f>
        <v>Up</v>
      </c>
      <c r="W628" s="6">
        <f>IF(OR(E628&gt;Settings!$B$30,Q628&gt;Settings!$B$37),0,1)</f>
        <v>1</v>
      </c>
      <c r="X628" s="6">
        <f>IF(AND(W628=1,Q628&lt;=Settings!$B$36),1,0)</f>
        <v>0</v>
      </c>
    </row>
    <row r="629" spans="1:24" x14ac:dyDescent="0.2">
      <c r="A629">
        <f>Arrivals!A629</f>
        <v>6</v>
      </c>
      <c r="B629">
        <f>Arrivals!B629</f>
        <v>24</v>
      </c>
      <c r="C629" s="6">
        <f>Arrivals!F629</f>
        <v>247</v>
      </c>
      <c r="D629" s="6">
        <f>Arrivals!K629</f>
        <v>300</v>
      </c>
      <c r="E629" s="6">
        <f>D629*8/ACE_Input!S29+ACE_Input!T29</f>
        <v>24.02</v>
      </c>
      <c r="F629" s="6">
        <f t="shared" si="230"/>
        <v>247</v>
      </c>
      <c r="G629" s="6">
        <f t="shared" si="241"/>
        <v>554.45999999999981</v>
      </c>
      <c r="H629" s="6">
        <f t="shared" si="231"/>
        <v>554.45999999999981</v>
      </c>
      <c r="I629" s="6">
        <f>MOD(H629-Settings!$B$32,Settings!$B$33)</f>
        <v>554.45999999999981</v>
      </c>
      <c r="J629" s="6">
        <f>IF(I629&lt;Settings!$B$30,IF(Settings!$B$30-I629&gt;=E629,H629,H629+(Settings!$B$30-I629)+Settings!$B$31),H629+(Settings!$B$33-I629))</f>
        <v>554.45999999999981</v>
      </c>
      <c r="K629" s="6">
        <f t="shared" si="232"/>
        <v>578.47999999999979</v>
      </c>
      <c r="L629" s="6">
        <f t="shared" si="233"/>
        <v>578.47999999999979</v>
      </c>
      <c r="M629" s="6">
        <f t="shared" si="242"/>
        <v>556.12161472936066</v>
      </c>
      <c r="N629" s="6">
        <f t="shared" si="234"/>
        <v>578.47999999999979</v>
      </c>
      <c r="O629" s="6">
        <f>Arrivals!I629</f>
        <v>0.60422898521294688</v>
      </c>
      <c r="P629" s="6">
        <f t="shared" si="235"/>
        <v>579.08422898521269</v>
      </c>
      <c r="Q629" s="6">
        <f t="shared" si="236"/>
        <v>332.08422898521269</v>
      </c>
      <c r="R629" s="6">
        <f t="shared" si="237"/>
        <v>307.45999999999981</v>
      </c>
      <c r="S629" s="6">
        <f t="shared" si="238"/>
        <v>0</v>
      </c>
      <c r="T629" s="6">
        <f t="shared" si="239"/>
        <v>0</v>
      </c>
      <c r="U629" s="6">
        <f t="shared" si="240"/>
        <v>307.45999999999981</v>
      </c>
      <c r="V629" s="6" t="str">
        <f>IF(MOD(C629-Settings!$B$32,Settings!$B$33)&lt;Settings!$B$30,"Up","Down")</f>
        <v>Up</v>
      </c>
      <c r="W629" s="6">
        <f>IF(OR(E629&gt;Settings!$B$30,Q629&gt;Settings!$B$37),0,1)</f>
        <v>1</v>
      </c>
      <c r="X629" s="6">
        <f>IF(AND(W629=1,Q629&lt;=Settings!$B$36),1,0)</f>
        <v>0</v>
      </c>
    </row>
    <row r="630" spans="1:24" x14ac:dyDescent="0.2">
      <c r="A630">
        <f>Arrivals!A630</f>
        <v>6</v>
      </c>
      <c r="B630">
        <f>Arrivals!B630</f>
        <v>25</v>
      </c>
      <c r="C630" s="6">
        <f>Arrivals!F630</f>
        <v>252</v>
      </c>
      <c r="D630" s="6">
        <f>Arrivals!K630</f>
        <v>300</v>
      </c>
      <c r="E630" s="6">
        <f>D630*8/ACE_Input!S30+ACE_Input!T30</f>
        <v>24.02</v>
      </c>
      <c r="F630" s="6">
        <f t="shared" si="230"/>
        <v>252</v>
      </c>
      <c r="G630" s="6">
        <f t="shared" si="241"/>
        <v>578.47999999999979</v>
      </c>
      <c r="H630" s="6">
        <f t="shared" si="231"/>
        <v>578.47999999999979</v>
      </c>
      <c r="I630" s="6">
        <f>MOD(H630-Settings!$B$32,Settings!$B$33)</f>
        <v>578.47999999999979</v>
      </c>
      <c r="J630" s="6">
        <f>IF(I630&lt;Settings!$B$30,IF(Settings!$B$30-I630&gt;=E630,H630,H630+(Settings!$B$30-I630)+Settings!$B$31),H630+(Settings!$B$33-I630))</f>
        <v>720</v>
      </c>
      <c r="K630" s="6">
        <f t="shared" si="232"/>
        <v>744.02</v>
      </c>
      <c r="L630" s="6">
        <f t="shared" si="233"/>
        <v>744.02</v>
      </c>
      <c r="M630" s="6">
        <f t="shared" si="242"/>
        <v>579.08422898521269</v>
      </c>
      <c r="N630" s="6">
        <f t="shared" si="234"/>
        <v>744.02</v>
      </c>
      <c r="O630" s="6">
        <f>Arrivals!I630</f>
        <v>1.8291244660460628</v>
      </c>
      <c r="P630" s="6">
        <f t="shared" si="235"/>
        <v>745.84912446604608</v>
      </c>
      <c r="Q630" s="6">
        <f t="shared" si="236"/>
        <v>493.84912446604608</v>
      </c>
      <c r="R630" s="6">
        <f t="shared" si="237"/>
        <v>326.47999999999979</v>
      </c>
      <c r="S630" s="6">
        <f t="shared" si="238"/>
        <v>141.52000000000021</v>
      </c>
      <c r="T630" s="6">
        <f t="shared" si="239"/>
        <v>0</v>
      </c>
      <c r="U630" s="6">
        <f t="shared" si="240"/>
        <v>468</v>
      </c>
      <c r="V630" s="6" t="str">
        <f>IF(MOD(C630-Settings!$B$32,Settings!$B$33)&lt;Settings!$B$30,"Up","Down")</f>
        <v>Up</v>
      </c>
      <c r="W630" s="6">
        <f>IF(OR(E630&gt;Settings!$B$30,Q630&gt;Settings!$B$37),0,1)</f>
        <v>1</v>
      </c>
      <c r="X630" s="6">
        <f>IF(AND(W630=1,Q630&lt;=Settings!$B$36),1,0)</f>
        <v>0</v>
      </c>
    </row>
    <row r="631" spans="1:24" x14ac:dyDescent="0.2">
      <c r="A631">
        <f>Arrivals!A631</f>
        <v>6</v>
      </c>
      <c r="B631">
        <f>Arrivals!B631</f>
        <v>26</v>
      </c>
      <c r="C631" s="6">
        <f>Arrivals!F631</f>
        <v>257</v>
      </c>
      <c r="D631" s="6">
        <f>Arrivals!K631</f>
        <v>300</v>
      </c>
      <c r="E631" s="6">
        <f>D631*8/ACE_Input!S31+ACE_Input!T31</f>
        <v>24.02</v>
      </c>
      <c r="F631" s="6">
        <f t="shared" si="230"/>
        <v>257</v>
      </c>
      <c r="G631" s="6">
        <f t="shared" si="241"/>
        <v>744.02</v>
      </c>
      <c r="H631" s="6">
        <f t="shared" si="231"/>
        <v>744.02</v>
      </c>
      <c r="I631" s="6">
        <f>MOD(H631-Settings!$B$32,Settings!$B$33)</f>
        <v>24.019999999999982</v>
      </c>
      <c r="J631" s="6">
        <f>IF(I631&lt;Settings!$B$30,IF(Settings!$B$30-I631&gt;=E631,H631,H631+(Settings!$B$30-I631)+Settings!$B$31),H631+(Settings!$B$33-I631))</f>
        <v>744.02</v>
      </c>
      <c r="K631" s="6">
        <f t="shared" si="232"/>
        <v>768.04</v>
      </c>
      <c r="L631" s="6">
        <f t="shared" si="233"/>
        <v>768.04</v>
      </c>
      <c r="M631" s="6">
        <f t="shared" si="242"/>
        <v>745.84912446604608</v>
      </c>
      <c r="N631" s="6">
        <f t="shared" si="234"/>
        <v>768.04</v>
      </c>
      <c r="O631" s="6">
        <f>Arrivals!I631</f>
        <v>0.55340498486847933</v>
      </c>
      <c r="P631" s="6">
        <f t="shared" si="235"/>
        <v>768.59340498486847</v>
      </c>
      <c r="Q631" s="6">
        <f t="shared" si="236"/>
        <v>511.59340498486847</v>
      </c>
      <c r="R631" s="6">
        <f t="shared" si="237"/>
        <v>487.02</v>
      </c>
      <c r="S631" s="6">
        <f t="shared" si="238"/>
        <v>0</v>
      </c>
      <c r="T631" s="6">
        <f t="shared" si="239"/>
        <v>0</v>
      </c>
      <c r="U631" s="6">
        <f t="shared" si="240"/>
        <v>487.02</v>
      </c>
      <c r="V631" s="6" t="str">
        <f>IF(MOD(C631-Settings!$B$32,Settings!$B$33)&lt;Settings!$B$30,"Up","Down")</f>
        <v>Up</v>
      </c>
      <c r="W631" s="6">
        <f>IF(OR(E631&gt;Settings!$B$30,Q631&gt;Settings!$B$37),0,1)</f>
        <v>1</v>
      </c>
      <c r="X631" s="6">
        <f>IF(AND(W631=1,Q631&lt;=Settings!$B$36),1,0)</f>
        <v>0</v>
      </c>
    </row>
    <row r="632" spans="1:24" x14ac:dyDescent="0.2">
      <c r="A632">
        <f>Arrivals!A632</f>
        <v>6</v>
      </c>
      <c r="B632">
        <f>Arrivals!B632</f>
        <v>27</v>
      </c>
      <c r="C632" s="6">
        <f>Arrivals!F632</f>
        <v>262</v>
      </c>
      <c r="D632" s="6">
        <f>Arrivals!K632</f>
        <v>300</v>
      </c>
      <c r="E632" s="6">
        <f>D632*8/ACE_Input!S32+ACE_Input!T32</f>
        <v>24.02</v>
      </c>
      <c r="F632" s="6">
        <f t="shared" si="230"/>
        <v>262</v>
      </c>
      <c r="G632" s="6">
        <f t="shared" si="241"/>
        <v>768.04</v>
      </c>
      <c r="H632" s="6">
        <f t="shared" si="231"/>
        <v>768.04</v>
      </c>
      <c r="I632" s="6">
        <f>MOD(H632-Settings!$B$32,Settings!$B$33)</f>
        <v>48.039999999999964</v>
      </c>
      <c r="J632" s="6">
        <f>IF(I632&lt;Settings!$B$30,IF(Settings!$B$30-I632&gt;=E632,H632,H632+(Settings!$B$30-I632)+Settings!$B$31),H632+(Settings!$B$33-I632))</f>
        <v>768.04</v>
      </c>
      <c r="K632" s="6">
        <f t="shared" si="232"/>
        <v>792.06</v>
      </c>
      <c r="L632" s="6">
        <f t="shared" si="233"/>
        <v>792.06</v>
      </c>
      <c r="M632" s="6">
        <f t="shared" si="242"/>
        <v>768.59340498486847</v>
      </c>
      <c r="N632" s="6">
        <f t="shared" si="234"/>
        <v>792.06</v>
      </c>
      <c r="O632" s="6">
        <f>Arrivals!I632</f>
        <v>3.5258630216555402</v>
      </c>
      <c r="P632" s="6">
        <f t="shared" si="235"/>
        <v>795.58586302165554</v>
      </c>
      <c r="Q632" s="6">
        <f t="shared" si="236"/>
        <v>533.58586302165554</v>
      </c>
      <c r="R632" s="6">
        <f t="shared" si="237"/>
        <v>506.03999999999996</v>
      </c>
      <c r="S632" s="6">
        <f t="shared" si="238"/>
        <v>0</v>
      </c>
      <c r="T632" s="6">
        <f t="shared" si="239"/>
        <v>0</v>
      </c>
      <c r="U632" s="6">
        <f t="shared" si="240"/>
        <v>506.03999999999996</v>
      </c>
      <c r="V632" s="6" t="str">
        <f>IF(MOD(C632-Settings!$B$32,Settings!$B$33)&lt;Settings!$B$30,"Up","Down")</f>
        <v>Up</v>
      </c>
      <c r="W632" s="6">
        <f>IF(OR(E632&gt;Settings!$B$30,Q632&gt;Settings!$B$37),0,1)</f>
        <v>1</v>
      </c>
      <c r="X632" s="6">
        <f>IF(AND(W632=1,Q632&lt;=Settings!$B$36),1,0)</f>
        <v>0</v>
      </c>
    </row>
    <row r="633" spans="1:24" x14ac:dyDescent="0.2">
      <c r="A633">
        <f>Arrivals!A633</f>
        <v>6</v>
      </c>
      <c r="B633">
        <f>Arrivals!B633</f>
        <v>28</v>
      </c>
      <c r="C633" s="6">
        <f>Arrivals!F633</f>
        <v>268</v>
      </c>
      <c r="D633" s="6">
        <f>Arrivals!K633</f>
        <v>300</v>
      </c>
      <c r="E633" s="6">
        <f>D633*8/ACE_Input!S33+ACE_Input!T33</f>
        <v>24.02</v>
      </c>
      <c r="F633" s="6">
        <f t="shared" si="230"/>
        <v>268</v>
      </c>
      <c r="G633" s="6">
        <f t="shared" si="241"/>
        <v>792.06</v>
      </c>
      <c r="H633" s="6">
        <f t="shared" si="231"/>
        <v>792.06</v>
      </c>
      <c r="I633" s="6">
        <f>MOD(H633-Settings!$B$32,Settings!$B$33)</f>
        <v>72.059999999999945</v>
      </c>
      <c r="J633" s="6">
        <f>IF(I633&lt;Settings!$B$30,IF(Settings!$B$30-I633&gt;=E633,H633,H633+(Settings!$B$30-I633)+Settings!$B$31),H633+(Settings!$B$33-I633))</f>
        <v>792.06</v>
      </c>
      <c r="K633" s="6">
        <f t="shared" si="232"/>
        <v>816.07999999999993</v>
      </c>
      <c r="L633" s="6">
        <f t="shared" si="233"/>
        <v>816.07999999999993</v>
      </c>
      <c r="M633" s="6">
        <f t="shared" si="242"/>
        <v>795.58586302165554</v>
      </c>
      <c r="N633" s="6">
        <f t="shared" si="234"/>
        <v>816.07999999999993</v>
      </c>
      <c r="O633" s="6">
        <f>Arrivals!I633</f>
        <v>12.340455279078634</v>
      </c>
      <c r="P633" s="6">
        <f t="shared" si="235"/>
        <v>828.42045527907851</v>
      </c>
      <c r="Q633" s="6">
        <f t="shared" si="236"/>
        <v>560.42045527907851</v>
      </c>
      <c r="R633" s="6">
        <f t="shared" si="237"/>
        <v>524.05999999999995</v>
      </c>
      <c r="S633" s="6">
        <f t="shared" si="238"/>
        <v>0</v>
      </c>
      <c r="T633" s="6">
        <f t="shared" si="239"/>
        <v>0</v>
      </c>
      <c r="U633" s="6">
        <f t="shared" si="240"/>
        <v>524.05999999999995</v>
      </c>
      <c r="V633" s="6" t="str">
        <f>IF(MOD(C633-Settings!$B$32,Settings!$B$33)&lt;Settings!$B$30,"Up","Down")</f>
        <v>Up</v>
      </c>
      <c r="W633" s="6">
        <f>IF(OR(E633&gt;Settings!$B$30,Q633&gt;Settings!$B$37),0,1)</f>
        <v>1</v>
      </c>
      <c r="X633" s="6">
        <f>IF(AND(W633=1,Q633&lt;=Settings!$B$36),1,0)</f>
        <v>0</v>
      </c>
    </row>
    <row r="634" spans="1:24" x14ac:dyDescent="0.2">
      <c r="A634">
        <f>Arrivals!A634</f>
        <v>6</v>
      </c>
      <c r="B634">
        <f>Arrivals!B634</f>
        <v>29</v>
      </c>
      <c r="C634" s="6">
        <f>Arrivals!F634</f>
        <v>273</v>
      </c>
      <c r="D634" s="6">
        <f>Arrivals!K634</f>
        <v>300</v>
      </c>
      <c r="E634" s="6">
        <f>D634*8/ACE_Input!S34+ACE_Input!T34</f>
        <v>24.02</v>
      </c>
      <c r="F634" s="6">
        <f t="shared" si="230"/>
        <v>273</v>
      </c>
      <c r="G634" s="6">
        <f t="shared" si="241"/>
        <v>816.07999999999993</v>
      </c>
      <c r="H634" s="6">
        <f t="shared" si="231"/>
        <v>816.07999999999993</v>
      </c>
      <c r="I634" s="6">
        <f>MOD(H634-Settings!$B$32,Settings!$B$33)</f>
        <v>96.079999999999927</v>
      </c>
      <c r="J634" s="6">
        <f>IF(I634&lt;Settings!$B$30,IF(Settings!$B$30-I634&gt;=E634,H634,H634+(Settings!$B$30-I634)+Settings!$B$31),H634+(Settings!$B$33-I634))</f>
        <v>816.07999999999993</v>
      </c>
      <c r="K634" s="6">
        <f t="shared" si="232"/>
        <v>840.09999999999991</v>
      </c>
      <c r="L634" s="6">
        <f t="shared" si="233"/>
        <v>840.09999999999991</v>
      </c>
      <c r="M634" s="6">
        <f t="shared" si="242"/>
        <v>828.42045527907851</v>
      </c>
      <c r="N634" s="6">
        <f t="shared" si="234"/>
        <v>840.09999999999991</v>
      </c>
      <c r="O634" s="6">
        <f>Arrivals!I634</f>
        <v>2.7950146055524683</v>
      </c>
      <c r="P634" s="6">
        <f t="shared" si="235"/>
        <v>842.89501460555243</v>
      </c>
      <c r="Q634" s="6">
        <f t="shared" si="236"/>
        <v>569.89501460555243</v>
      </c>
      <c r="R634" s="6">
        <f t="shared" si="237"/>
        <v>543.07999999999993</v>
      </c>
      <c r="S634" s="6">
        <f t="shared" si="238"/>
        <v>0</v>
      </c>
      <c r="T634" s="6">
        <f t="shared" si="239"/>
        <v>0</v>
      </c>
      <c r="U634" s="6">
        <f t="shared" si="240"/>
        <v>543.07999999999993</v>
      </c>
      <c r="V634" s="6" t="str">
        <f>IF(MOD(C634-Settings!$B$32,Settings!$B$33)&lt;Settings!$B$30,"Up","Down")</f>
        <v>Up</v>
      </c>
      <c r="W634" s="6">
        <f>IF(OR(E634&gt;Settings!$B$30,Q634&gt;Settings!$B$37),0,1)</f>
        <v>1</v>
      </c>
      <c r="X634" s="6">
        <f>IF(AND(W634=1,Q634&lt;=Settings!$B$36),1,0)</f>
        <v>0</v>
      </c>
    </row>
    <row r="635" spans="1:24" x14ac:dyDescent="0.2">
      <c r="A635">
        <f>Arrivals!A635</f>
        <v>6</v>
      </c>
      <c r="B635">
        <f>Arrivals!B635</f>
        <v>30</v>
      </c>
      <c r="C635" s="6">
        <f>Arrivals!F635</f>
        <v>278</v>
      </c>
      <c r="D635" s="6">
        <f>Arrivals!K635</f>
        <v>300</v>
      </c>
      <c r="E635" s="6">
        <f>D635*8/ACE_Input!S35+ACE_Input!T35</f>
        <v>24.02</v>
      </c>
      <c r="F635" s="6">
        <f t="shared" si="230"/>
        <v>278</v>
      </c>
      <c r="G635" s="6">
        <f t="shared" si="241"/>
        <v>840.09999999999991</v>
      </c>
      <c r="H635" s="6">
        <f t="shared" si="231"/>
        <v>840.09999999999991</v>
      </c>
      <c r="I635" s="6">
        <f>MOD(H635-Settings!$B$32,Settings!$B$33)</f>
        <v>120.09999999999991</v>
      </c>
      <c r="J635" s="6">
        <f>IF(I635&lt;Settings!$B$30,IF(Settings!$B$30-I635&gt;=E635,H635,H635+(Settings!$B$30-I635)+Settings!$B$31),H635+(Settings!$B$33-I635))</f>
        <v>840.09999999999991</v>
      </c>
      <c r="K635" s="6">
        <f t="shared" si="232"/>
        <v>864.11999999999989</v>
      </c>
      <c r="L635" s="6">
        <f t="shared" si="233"/>
        <v>864.11999999999989</v>
      </c>
      <c r="M635" s="6">
        <f t="shared" si="242"/>
        <v>842.89501460555243</v>
      </c>
      <c r="N635" s="6">
        <f t="shared" si="234"/>
        <v>864.11999999999989</v>
      </c>
      <c r="O635" s="6">
        <f>Arrivals!I635</f>
        <v>2.6322979800040138</v>
      </c>
      <c r="P635" s="6">
        <f t="shared" si="235"/>
        <v>866.75229798000396</v>
      </c>
      <c r="Q635" s="6">
        <f t="shared" si="236"/>
        <v>588.75229798000396</v>
      </c>
      <c r="R635" s="6">
        <f t="shared" si="237"/>
        <v>562.09999999999991</v>
      </c>
      <c r="S635" s="6">
        <f t="shared" si="238"/>
        <v>0</v>
      </c>
      <c r="T635" s="6">
        <f t="shared" si="239"/>
        <v>0</v>
      </c>
      <c r="U635" s="6">
        <f t="shared" si="240"/>
        <v>562.09999999999991</v>
      </c>
      <c r="V635" s="6" t="str">
        <f>IF(MOD(C635-Settings!$B$32,Settings!$B$33)&lt;Settings!$B$30,"Up","Down")</f>
        <v>Up</v>
      </c>
      <c r="W635" s="6">
        <f>IF(OR(E635&gt;Settings!$B$30,Q635&gt;Settings!$B$37),0,1)</f>
        <v>1</v>
      </c>
      <c r="X635" s="6">
        <f>IF(AND(W635=1,Q635&lt;=Settings!$B$36),1,0)</f>
        <v>0</v>
      </c>
    </row>
    <row r="636" spans="1:24" x14ac:dyDescent="0.2">
      <c r="A636">
        <f>Arrivals!A636</f>
        <v>6</v>
      </c>
      <c r="B636">
        <f>Arrivals!B636</f>
        <v>31</v>
      </c>
      <c r="C636" s="6">
        <f>Arrivals!F636</f>
        <v>283</v>
      </c>
      <c r="D636" s="6">
        <f>Arrivals!K636</f>
        <v>300</v>
      </c>
      <c r="E636" s="6">
        <f>D636*8/ACE_Input!S36+ACE_Input!T36</f>
        <v>24.02</v>
      </c>
      <c r="F636" s="6">
        <f t="shared" si="230"/>
        <v>283</v>
      </c>
      <c r="G636" s="6">
        <f t="shared" si="241"/>
        <v>864.11999999999989</v>
      </c>
      <c r="H636" s="6">
        <f t="shared" si="231"/>
        <v>864.11999999999989</v>
      </c>
      <c r="I636" s="6">
        <f>MOD(H636-Settings!$B$32,Settings!$B$33)</f>
        <v>144.11999999999989</v>
      </c>
      <c r="J636" s="6">
        <f>IF(I636&lt;Settings!$B$30,IF(Settings!$B$30-I636&gt;=E636,H636,H636+(Settings!$B$30-I636)+Settings!$B$31),H636+(Settings!$B$33-I636))</f>
        <v>864.11999999999989</v>
      </c>
      <c r="K636" s="6">
        <f t="shared" si="232"/>
        <v>888.13999999999987</v>
      </c>
      <c r="L636" s="6">
        <f t="shared" si="233"/>
        <v>888.13999999999987</v>
      </c>
      <c r="M636" s="6">
        <f t="shared" si="242"/>
        <v>866.75229798000396</v>
      </c>
      <c r="N636" s="6">
        <f t="shared" si="234"/>
        <v>888.13999999999987</v>
      </c>
      <c r="O636" s="6">
        <f>Arrivals!I636</f>
        <v>3.0817031364030636</v>
      </c>
      <c r="P636" s="6">
        <f t="shared" si="235"/>
        <v>891.22170313640288</v>
      </c>
      <c r="Q636" s="6">
        <f t="shared" si="236"/>
        <v>608.22170313640288</v>
      </c>
      <c r="R636" s="6">
        <f t="shared" si="237"/>
        <v>581.11999999999989</v>
      </c>
      <c r="S636" s="6">
        <f t="shared" si="238"/>
        <v>0</v>
      </c>
      <c r="T636" s="6">
        <f t="shared" si="239"/>
        <v>0</v>
      </c>
      <c r="U636" s="6">
        <f t="shared" si="240"/>
        <v>581.11999999999989</v>
      </c>
      <c r="V636" s="6" t="str">
        <f>IF(MOD(C636-Settings!$B$32,Settings!$B$33)&lt;Settings!$B$30,"Up","Down")</f>
        <v>Up</v>
      </c>
      <c r="W636" s="6">
        <f>IF(OR(E636&gt;Settings!$B$30,Q636&gt;Settings!$B$37),0,1)</f>
        <v>1</v>
      </c>
      <c r="X636" s="6">
        <f>IF(AND(W636=1,Q636&lt;=Settings!$B$36),1,0)</f>
        <v>0</v>
      </c>
    </row>
    <row r="637" spans="1:24" x14ac:dyDescent="0.2">
      <c r="A637">
        <f>Arrivals!A637</f>
        <v>6</v>
      </c>
      <c r="B637">
        <f>Arrivals!B637</f>
        <v>32</v>
      </c>
      <c r="C637" s="6">
        <f>Arrivals!F637</f>
        <v>288</v>
      </c>
      <c r="D637" s="6">
        <f>Arrivals!K637</f>
        <v>300</v>
      </c>
      <c r="E637" s="6">
        <f>D637*8/ACE_Input!S37+ACE_Input!T37</f>
        <v>24.02</v>
      </c>
      <c r="F637" s="6">
        <f t="shared" si="230"/>
        <v>288</v>
      </c>
      <c r="G637" s="6">
        <f t="shared" si="241"/>
        <v>888.13999999999987</v>
      </c>
      <c r="H637" s="6">
        <f t="shared" si="231"/>
        <v>888.13999999999987</v>
      </c>
      <c r="I637" s="6">
        <f>MOD(H637-Settings!$B$32,Settings!$B$33)</f>
        <v>168.13999999999987</v>
      </c>
      <c r="J637" s="6">
        <f>IF(I637&lt;Settings!$B$30,IF(Settings!$B$30-I637&gt;=E637,H637,H637+(Settings!$B$30-I637)+Settings!$B$31),H637+(Settings!$B$33-I637))</f>
        <v>888.13999999999987</v>
      </c>
      <c r="K637" s="6">
        <f t="shared" si="232"/>
        <v>912.15999999999985</v>
      </c>
      <c r="L637" s="6">
        <f t="shared" si="233"/>
        <v>912.15999999999985</v>
      </c>
      <c r="M637" s="6">
        <f t="shared" si="242"/>
        <v>891.22170313640288</v>
      </c>
      <c r="N637" s="6">
        <f t="shared" si="234"/>
        <v>912.15999999999985</v>
      </c>
      <c r="O637" s="6">
        <f>Arrivals!I637</f>
        <v>2.4062713184007158</v>
      </c>
      <c r="P637" s="6">
        <f t="shared" si="235"/>
        <v>914.5662713184006</v>
      </c>
      <c r="Q637" s="6">
        <f t="shared" si="236"/>
        <v>626.5662713184006</v>
      </c>
      <c r="R637" s="6">
        <f t="shared" si="237"/>
        <v>600.13999999999987</v>
      </c>
      <c r="S637" s="6">
        <f t="shared" si="238"/>
        <v>0</v>
      </c>
      <c r="T637" s="6">
        <f t="shared" si="239"/>
        <v>0</v>
      </c>
      <c r="U637" s="6">
        <f t="shared" si="240"/>
        <v>600.13999999999987</v>
      </c>
      <c r="V637" s="6" t="str">
        <f>IF(MOD(C637-Settings!$B$32,Settings!$B$33)&lt;Settings!$B$30,"Up","Down")</f>
        <v>Up</v>
      </c>
      <c r="W637" s="6">
        <f>IF(OR(E637&gt;Settings!$B$30,Q637&gt;Settings!$B$37),0,1)</f>
        <v>1</v>
      </c>
      <c r="X637" s="6">
        <f>IF(AND(W637=1,Q637&lt;=Settings!$B$36),1,0)</f>
        <v>0</v>
      </c>
    </row>
    <row r="638" spans="1:24" x14ac:dyDescent="0.2">
      <c r="A638">
        <f>Arrivals!A638</f>
        <v>6</v>
      </c>
      <c r="B638">
        <f>Arrivals!B638</f>
        <v>33</v>
      </c>
      <c r="C638" s="6">
        <f>Arrivals!F638</f>
        <v>293</v>
      </c>
      <c r="D638" s="6">
        <f>Arrivals!K638</f>
        <v>300</v>
      </c>
      <c r="E638" s="6">
        <f>D638*8/ACE_Input!S38+ACE_Input!T38</f>
        <v>24.02</v>
      </c>
      <c r="F638" s="6">
        <f t="shared" ref="F638:F669" si="243">C638</f>
        <v>293</v>
      </c>
      <c r="G638" s="6">
        <f t="shared" si="241"/>
        <v>912.15999999999985</v>
      </c>
      <c r="H638" s="6">
        <f t="shared" ref="H638:H669" si="244">MAX(F638,G638)</f>
        <v>912.15999999999985</v>
      </c>
      <c r="I638" s="6">
        <f>MOD(H638-Settings!$B$32,Settings!$B$33)</f>
        <v>192.15999999999985</v>
      </c>
      <c r="J638" s="6">
        <f>IF(I638&lt;Settings!$B$30,IF(Settings!$B$30-I638&gt;=E638,H638,H638+(Settings!$B$30-I638)+Settings!$B$31),H638+(Settings!$B$33-I638))</f>
        <v>912.15999999999985</v>
      </c>
      <c r="K638" s="6">
        <f t="shared" ref="K638:K669" si="245">J638+E638</f>
        <v>936.17999999999984</v>
      </c>
      <c r="L638" s="6">
        <f t="shared" ref="L638:L669" si="246">K638</f>
        <v>936.17999999999984</v>
      </c>
      <c r="M638" s="6">
        <f t="shared" si="242"/>
        <v>914.5662713184006</v>
      </c>
      <c r="N638" s="6">
        <f t="shared" ref="N638:N669" si="247">MAX(L638,M638)</f>
        <v>936.17999999999984</v>
      </c>
      <c r="O638" s="6">
        <f>Arrivals!I638</f>
        <v>3.4035963951407671</v>
      </c>
      <c r="P638" s="6">
        <f t="shared" ref="P638:P669" si="248">N638+O638</f>
        <v>939.5835963951406</v>
      </c>
      <c r="Q638" s="6">
        <f t="shared" ref="Q638:Q669" si="249">P638-C638</f>
        <v>646.5835963951406</v>
      </c>
      <c r="R638" s="6">
        <f t="shared" ref="R638:R669" si="250">H638-F638</f>
        <v>619.15999999999985</v>
      </c>
      <c r="S638" s="6">
        <f t="shared" ref="S638:S669" si="251">J638-H638</f>
        <v>0</v>
      </c>
      <c r="T638" s="6">
        <f t="shared" ref="T638:T669" si="252">N638-L638</f>
        <v>0</v>
      </c>
      <c r="U638" s="6">
        <f t="shared" ref="U638:U669" si="253">R638+S638+T638</f>
        <v>619.15999999999985</v>
      </c>
      <c r="V638" s="6" t="str">
        <f>IF(MOD(C638-Settings!$B$32,Settings!$B$33)&lt;Settings!$B$30,"Up","Down")</f>
        <v>Up</v>
      </c>
      <c r="W638" s="6">
        <f>IF(OR(E638&gt;Settings!$B$30,Q638&gt;Settings!$B$37),0,1)</f>
        <v>1</v>
      </c>
      <c r="X638" s="6">
        <f>IF(AND(W638=1,Q638&lt;=Settings!$B$36),1,0)</f>
        <v>0</v>
      </c>
    </row>
    <row r="639" spans="1:24" x14ac:dyDescent="0.2">
      <c r="A639">
        <f>Arrivals!A639</f>
        <v>6</v>
      </c>
      <c r="B639">
        <f>Arrivals!B639</f>
        <v>34</v>
      </c>
      <c r="C639" s="6">
        <f>Arrivals!F639</f>
        <v>298</v>
      </c>
      <c r="D639" s="6">
        <f>Arrivals!K639</f>
        <v>300</v>
      </c>
      <c r="E639" s="6">
        <f>D639*8/ACE_Input!S39+ACE_Input!T39</f>
        <v>24.02</v>
      </c>
      <c r="F639" s="6">
        <f t="shared" si="243"/>
        <v>298</v>
      </c>
      <c r="G639" s="6">
        <f t="shared" ref="G639:G670" si="254">K638</f>
        <v>936.17999999999984</v>
      </c>
      <c r="H639" s="6">
        <f t="shared" si="244"/>
        <v>936.17999999999984</v>
      </c>
      <c r="I639" s="6">
        <f>MOD(H639-Settings!$B$32,Settings!$B$33)</f>
        <v>216.17999999999984</v>
      </c>
      <c r="J639" s="6">
        <f>IF(I639&lt;Settings!$B$30,IF(Settings!$B$30-I639&gt;=E639,H639,H639+(Settings!$B$30-I639)+Settings!$B$31),H639+(Settings!$B$33-I639))</f>
        <v>936.17999999999984</v>
      </c>
      <c r="K639" s="6">
        <f t="shared" si="245"/>
        <v>960.19999999999982</v>
      </c>
      <c r="L639" s="6">
        <f t="shared" si="246"/>
        <v>960.19999999999982</v>
      </c>
      <c r="M639" s="6">
        <f t="shared" ref="M639:M670" si="255">P638</f>
        <v>939.5835963951406</v>
      </c>
      <c r="N639" s="6">
        <f t="shared" si="247"/>
        <v>960.19999999999982</v>
      </c>
      <c r="O639" s="6">
        <f>Arrivals!I639</f>
        <v>8.942272599347719</v>
      </c>
      <c r="P639" s="6">
        <f t="shared" si="248"/>
        <v>969.14227259934751</v>
      </c>
      <c r="Q639" s="6">
        <f t="shared" si="249"/>
        <v>671.14227259934751</v>
      </c>
      <c r="R639" s="6">
        <f t="shared" si="250"/>
        <v>638.17999999999984</v>
      </c>
      <c r="S639" s="6">
        <f t="shared" si="251"/>
        <v>0</v>
      </c>
      <c r="T639" s="6">
        <f t="shared" si="252"/>
        <v>0</v>
      </c>
      <c r="U639" s="6">
        <f t="shared" si="253"/>
        <v>638.17999999999984</v>
      </c>
      <c r="V639" s="6" t="str">
        <f>IF(MOD(C639-Settings!$B$32,Settings!$B$33)&lt;Settings!$B$30,"Up","Down")</f>
        <v>Up</v>
      </c>
      <c r="W639" s="6">
        <f>IF(OR(E639&gt;Settings!$B$30,Q639&gt;Settings!$B$37),0,1)</f>
        <v>1</v>
      </c>
      <c r="X639" s="6">
        <f>IF(AND(W639=1,Q639&lt;=Settings!$B$36),1,0)</f>
        <v>0</v>
      </c>
    </row>
    <row r="640" spans="1:24" x14ac:dyDescent="0.2">
      <c r="A640">
        <f>Arrivals!A640</f>
        <v>6</v>
      </c>
      <c r="B640">
        <f>Arrivals!B640</f>
        <v>35</v>
      </c>
      <c r="C640" s="6">
        <f>Arrivals!F640</f>
        <v>303</v>
      </c>
      <c r="D640" s="6">
        <f>Arrivals!K640</f>
        <v>300</v>
      </c>
      <c r="E640" s="6">
        <f>D640*8/ACE_Input!S40+ACE_Input!T40</f>
        <v>24.02</v>
      </c>
      <c r="F640" s="6">
        <f t="shared" si="243"/>
        <v>303</v>
      </c>
      <c r="G640" s="6">
        <f t="shared" si="254"/>
        <v>960.19999999999982</v>
      </c>
      <c r="H640" s="6">
        <f t="shared" si="244"/>
        <v>960.19999999999982</v>
      </c>
      <c r="I640" s="6">
        <f>MOD(H640-Settings!$B$32,Settings!$B$33)</f>
        <v>240.19999999999982</v>
      </c>
      <c r="J640" s="6">
        <f>IF(I640&lt;Settings!$B$30,IF(Settings!$B$30-I640&gt;=E640,H640,H640+(Settings!$B$30-I640)+Settings!$B$31),H640+(Settings!$B$33-I640))</f>
        <v>960.19999999999982</v>
      </c>
      <c r="K640" s="6">
        <f t="shared" si="245"/>
        <v>984.2199999999998</v>
      </c>
      <c r="L640" s="6">
        <f t="shared" si="246"/>
        <v>984.2199999999998</v>
      </c>
      <c r="M640" s="6">
        <f t="shared" si="255"/>
        <v>969.14227259934751</v>
      </c>
      <c r="N640" s="6">
        <f t="shared" si="247"/>
        <v>984.2199999999998</v>
      </c>
      <c r="O640" s="6">
        <f>Arrivals!I640</f>
        <v>6.5316435706900053</v>
      </c>
      <c r="P640" s="6">
        <f t="shared" si="248"/>
        <v>990.75164357068979</v>
      </c>
      <c r="Q640" s="6">
        <f t="shared" si="249"/>
        <v>687.75164357068979</v>
      </c>
      <c r="R640" s="6">
        <f t="shared" si="250"/>
        <v>657.19999999999982</v>
      </c>
      <c r="S640" s="6">
        <f t="shared" si="251"/>
        <v>0</v>
      </c>
      <c r="T640" s="6">
        <f t="shared" si="252"/>
        <v>0</v>
      </c>
      <c r="U640" s="6">
        <f t="shared" si="253"/>
        <v>657.19999999999982</v>
      </c>
      <c r="V640" s="6" t="str">
        <f>IF(MOD(C640-Settings!$B$32,Settings!$B$33)&lt;Settings!$B$30,"Up","Down")</f>
        <v>Up</v>
      </c>
      <c r="W640" s="6">
        <f>IF(OR(E640&gt;Settings!$B$30,Q640&gt;Settings!$B$37),0,1)</f>
        <v>1</v>
      </c>
      <c r="X640" s="6">
        <f>IF(AND(W640=1,Q640&lt;=Settings!$B$36),1,0)</f>
        <v>0</v>
      </c>
    </row>
    <row r="641" spans="1:24" x14ac:dyDescent="0.2">
      <c r="A641">
        <f>Arrivals!A641</f>
        <v>6</v>
      </c>
      <c r="B641">
        <f>Arrivals!B641</f>
        <v>36</v>
      </c>
      <c r="C641" s="6">
        <f>Arrivals!F641</f>
        <v>308</v>
      </c>
      <c r="D641" s="6">
        <f>Arrivals!K641</f>
        <v>300</v>
      </c>
      <c r="E641" s="6">
        <f>D641*8/ACE_Input!S41+ACE_Input!T41</f>
        <v>24.02</v>
      </c>
      <c r="F641" s="6">
        <f t="shared" si="243"/>
        <v>308</v>
      </c>
      <c r="G641" s="6">
        <f t="shared" si="254"/>
        <v>984.2199999999998</v>
      </c>
      <c r="H641" s="6">
        <f t="shared" si="244"/>
        <v>984.2199999999998</v>
      </c>
      <c r="I641" s="6">
        <f>MOD(H641-Settings!$B$32,Settings!$B$33)</f>
        <v>264.2199999999998</v>
      </c>
      <c r="J641" s="6">
        <f>IF(I641&lt;Settings!$B$30,IF(Settings!$B$30-I641&gt;=E641,H641,H641+(Settings!$B$30-I641)+Settings!$B$31),H641+(Settings!$B$33-I641))</f>
        <v>984.2199999999998</v>
      </c>
      <c r="K641" s="6">
        <f t="shared" si="245"/>
        <v>1008.2399999999998</v>
      </c>
      <c r="L641" s="6">
        <f t="shared" si="246"/>
        <v>1008.2399999999998</v>
      </c>
      <c r="M641" s="6">
        <f t="shared" si="255"/>
        <v>990.75164357068979</v>
      </c>
      <c r="N641" s="6">
        <f t="shared" si="247"/>
        <v>1008.2399999999998</v>
      </c>
      <c r="O641" s="6">
        <f>Arrivals!I641</f>
        <v>3.5010328821674075</v>
      </c>
      <c r="P641" s="6">
        <f t="shared" si="248"/>
        <v>1011.7410328821671</v>
      </c>
      <c r="Q641" s="6">
        <f t="shared" si="249"/>
        <v>703.74103288216713</v>
      </c>
      <c r="R641" s="6">
        <f t="shared" si="250"/>
        <v>676.2199999999998</v>
      </c>
      <c r="S641" s="6">
        <f t="shared" si="251"/>
        <v>0</v>
      </c>
      <c r="T641" s="6">
        <f t="shared" si="252"/>
        <v>0</v>
      </c>
      <c r="U641" s="6">
        <f t="shared" si="253"/>
        <v>676.2199999999998</v>
      </c>
      <c r="V641" s="6" t="str">
        <f>IF(MOD(C641-Settings!$B$32,Settings!$B$33)&lt;Settings!$B$30,"Up","Down")</f>
        <v>Up</v>
      </c>
      <c r="W641" s="6">
        <f>IF(OR(E641&gt;Settings!$B$30,Q641&gt;Settings!$B$37),0,1)</f>
        <v>1</v>
      </c>
      <c r="X641" s="6">
        <f>IF(AND(W641=1,Q641&lt;=Settings!$B$36),1,0)</f>
        <v>0</v>
      </c>
    </row>
    <row r="642" spans="1:24" x14ac:dyDescent="0.2">
      <c r="A642">
        <f>Arrivals!A642</f>
        <v>6</v>
      </c>
      <c r="B642">
        <f>Arrivals!B642</f>
        <v>37</v>
      </c>
      <c r="C642" s="6">
        <f>Arrivals!F642</f>
        <v>313</v>
      </c>
      <c r="D642" s="6">
        <f>Arrivals!K642</f>
        <v>300</v>
      </c>
      <c r="E642" s="6">
        <f>D642*8/ACE_Input!S42+ACE_Input!T42</f>
        <v>24.02</v>
      </c>
      <c r="F642" s="6">
        <f t="shared" si="243"/>
        <v>313</v>
      </c>
      <c r="G642" s="6">
        <f t="shared" si="254"/>
        <v>1008.2399999999998</v>
      </c>
      <c r="H642" s="6">
        <f t="shared" si="244"/>
        <v>1008.2399999999998</v>
      </c>
      <c r="I642" s="6">
        <f>MOD(H642-Settings!$B$32,Settings!$B$33)</f>
        <v>288.23999999999978</v>
      </c>
      <c r="J642" s="6">
        <f>IF(I642&lt;Settings!$B$30,IF(Settings!$B$30-I642&gt;=E642,H642,H642+(Settings!$B$30-I642)+Settings!$B$31),H642+(Settings!$B$33-I642))</f>
        <v>1008.2399999999998</v>
      </c>
      <c r="K642" s="6">
        <f t="shared" si="245"/>
        <v>1032.2599999999998</v>
      </c>
      <c r="L642" s="6">
        <f t="shared" si="246"/>
        <v>1032.2599999999998</v>
      </c>
      <c r="M642" s="6">
        <f t="shared" si="255"/>
        <v>1011.7410328821671</v>
      </c>
      <c r="N642" s="6">
        <f t="shared" si="247"/>
        <v>1032.2599999999998</v>
      </c>
      <c r="O642" s="6">
        <f>Arrivals!I642</f>
        <v>3.7556431432649457</v>
      </c>
      <c r="P642" s="6">
        <f t="shared" si="248"/>
        <v>1036.0156431432647</v>
      </c>
      <c r="Q642" s="6">
        <f t="shared" si="249"/>
        <v>723.0156431432647</v>
      </c>
      <c r="R642" s="6">
        <f t="shared" si="250"/>
        <v>695.23999999999978</v>
      </c>
      <c r="S642" s="6">
        <f t="shared" si="251"/>
        <v>0</v>
      </c>
      <c r="T642" s="6">
        <f t="shared" si="252"/>
        <v>0</v>
      </c>
      <c r="U642" s="6">
        <f t="shared" si="253"/>
        <v>695.23999999999978</v>
      </c>
      <c r="V642" s="6" t="str">
        <f>IF(MOD(C642-Settings!$B$32,Settings!$B$33)&lt;Settings!$B$30,"Up","Down")</f>
        <v>Up</v>
      </c>
      <c r="W642" s="6">
        <f>IF(OR(E642&gt;Settings!$B$30,Q642&gt;Settings!$B$37),0,1)</f>
        <v>1</v>
      </c>
      <c r="X642" s="6">
        <f>IF(AND(W642=1,Q642&lt;=Settings!$B$36),1,0)</f>
        <v>0</v>
      </c>
    </row>
    <row r="643" spans="1:24" x14ac:dyDescent="0.2">
      <c r="A643">
        <f>Arrivals!A643</f>
        <v>6</v>
      </c>
      <c r="B643">
        <f>Arrivals!B643</f>
        <v>38</v>
      </c>
      <c r="C643" s="6">
        <f>Arrivals!F643</f>
        <v>318</v>
      </c>
      <c r="D643" s="6">
        <f>Arrivals!K643</f>
        <v>300</v>
      </c>
      <c r="E643" s="6">
        <f>D643*8/ACE_Input!S43+ACE_Input!T43</f>
        <v>24.02</v>
      </c>
      <c r="F643" s="6">
        <f t="shared" si="243"/>
        <v>318</v>
      </c>
      <c r="G643" s="6">
        <f t="shared" si="254"/>
        <v>1032.2599999999998</v>
      </c>
      <c r="H643" s="6">
        <f t="shared" si="244"/>
        <v>1032.2599999999998</v>
      </c>
      <c r="I643" s="6">
        <f>MOD(H643-Settings!$B$32,Settings!$B$33)</f>
        <v>312.25999999999976</v>
      </c>
      <c r="J643" s="6">
        <f>IF(I643&lt;Settings!$B$30,IF(Settings!$B$30-I643&gt;=E643,H643,H643+(Settings!$B$30-I643)+Settings!$B$31),H643+(Settings!$B$33-I643))</f>
        <v>1032.2599999999998</v>
      </c>
      <c r="K643" s="6">
        <f t="shared" si="245"/>
        <v>1056.2799999999997</v>
      </c>
      <c r="L643" s="6">
        <f t="shared" si="246"/>
        <v>1056.2799999999997</v>
      </c>
      <c r="M643" s="6">
        <f t="shared" si="255"/>
        <v>1036.0156431432647</v>
      </c>
      <c r="N643" s="6">
        <f t="shared" si="247"/>
        <v>1056.2799999999997</v>
      </c>
      <c r="O643" s="6">
        <f>Arrivals!I643</f>
        <v>3.311992510378357</v>
      </c>
      <c r="P643" s="6">
        <f t="shared" si="248"/>
        <v>1059.5919925103781</v>
      </c>
      <c r="Q643" s="6">
        <f t="shared" si="249"/>
        <v>741.59199251037808</v>
      </c>
      <c r="R643" s="6">
        <f t="shared" si="250"/>
        <v>714.25999999999976</v>
      </c>
      <c r="S643" s="6">
        <f t="shared" si="251"/>
        <v>0</v>
      </c>
      <c r="T643" s="6">
        <f t="shared" si="252"/>
        <v>0</v>
      </c>
      <c r="U643" s="6">
        <f t="shared" si="253"/>
        <v>714.25999999999976</v>
      </c>
      <c r="V643" s="6" t="str">
        <f>IF(MOD(C643-Settings!$B$32,Settings!$B$33)&lt;Settings!$B$30,"Up","Down")</f>
        <v>Up</v>
      </c>
      <c r="W643" s="6">
        <f>IF(OR(E643&gt;Settings!$B$30,Q643&gt;Settings!$B$37),0,1)</f>
        <v>1</v>
      </c>
      <c r="X643" s="6">
        <f>IF(AND(W643=1,Q643&lt;=Settings!$B$36),1,0)</f>
        <v>0</v>
      </c>
    </row>
    <row r="644" spans="1:24" x14ac:dyDescent="0.2">
      <c r="A644">
        <f>Arrivals!A644</f>
        <v>6</v>
      </c>
      <c r="B644">
        <f>Arrivals!B644</f>
        <v>39</v>
      </c>
      <c r="C644" s="6">
        <f>Arrivals!F644</f>
        <v>323</v>
      </c>
      <c r="D644" s="6">
        <f>Arrivals!K644</f>
        <v>300</v>
      </c>
      <c r="E644" s="6">
        <f>D644*8/ACE_Input!S44+ACE_Input!T44</f>
        <v>24.02</v>
      </c>
      <c r="F644" s="6">
        <f t="shared" si="243"/>
        <v>323</v>
      </c>
      <c r="G644" s="6">
        <f t="shared" si="254"/>
        <v>1056.2799999999997</v>
      </c>
      <c r="H644" s="6">
        <f t="shared" si="244"/>
        <v>1056.2799999999997</v>
      </c>
      <c r="I644" s="6">
        <f>MOD(H644-Settings!$B$32,Settings!$B$33)</f>
        <v>336.27999999999975</v>
      </c>
      <c r="J644" s="6">
        <f>IF(I644&lt;Settings!$B$30,IF(Settings!$B$30-I644&gt;=E644,H644,H644+(Settings!$B$30-I644)+Settings!$B$31),H644+(Settings!$B$33-I644))</f>
        <v>1056.2799999999997</v>
      </c>
      <c r="K644" s="6">
        <f t="shared" si="245"/>
        <v>1080.2999999999997</v>
      </c>
      <c r="L644" s="6">
        <f t="shared" si="246"/>
        <v>1080.2999999999997</v>
      </c>
      <c r="M644" s="6">
        <f t="shared" si="255"/>
        <v>1059.5919925103781</v>
      </c>
      <c r="N644" s="6">
        <f t="shared" si="247"/>
        <v>1080.2999999999997</v>
      </c>
      <c r="O644" s="6">
        <f>Arrivals!I644</f>
        <v>4.0190366877411554</v>
      </c>
      <c r="P644" s="6">
        <f t="shared" si="248"/>
        <v>1084.3190366877409</v>
      </c>
      <c r="Q644" s="6">
        <f t="shared" si="249"/>
        <v>761.31903668774089</v>
      </c>
      <c r="R644" s="6">
        <f t="shared" si="250"/>
        <v>733.27999999999975</v>
      </c>
      <c r="S644" s="6">
        <f t="shared" si="251"/>
        <v>0</v>
      </c>
      <c r="T644" s="6">
        <f t="shared" si="252"/>
        <v>0</v>
      </c>
      <c r="U644" s="6">
        <f t="shared" si="253"/>
        <v>733.27999999999975</v>
      </c>
      <c r="V644" s="6" t="str">
        <f>IF(MOD(C644-Settings!$B$32,Settings!$B$33)&lt;Settings!$B$30,"Up","Down")</f>
        <v>Up</v>
      </c>
      <c r="W644" s="6">
        <f>IF(OR(E644&gt;Settings!$B$30,Q644&gt;Settings!$B$37),0,1)</f>
        <v>1</v>
      </c>
      <c r="X644" s="6">
        <f>IF(AND(W644=1,Q644&lt;=Settings!$B$36),1,0)</f>
        <v>0</v>
      </c>
    </row>
    <row r="645" spans="1:24" x14ac:dyDescent="0.2">
      <c r="A645">
        <f>Arrivals!A645</f>
        <v>6</v>
      </c>
      <c r="B645">
        <f>Arrivals!B645</f>
        <v>40</v>
      </c>
      <c r="C645" s="6">
        <f>Arrivals!F645</f>
        <v>328</v>
      </c>
      <c r="D645" s="6">
        <f>Arrivals!K645</f>
        <v>300</v>
      </c>
      <c r="E645" s="6">
        <f>D645*8/ACE_Input!S45+ACE_Input!T45</f>
        <v>24.02</v>
      </c>
      <c r="F645" s="6">
        <f t="shared" si="243"/>
        <v>328</v>
      </c>
      <c r="G645" s="6">
        <f t="shared" si="254"/>
        <v>1080.2999999999997</v>
      </c>
      <c r="H645" s="6">
        <f t="shared" si="244"/>
        <v>1080.2999999999997</v>
      </c>
      <c r="I645" s="6">
        <f>MOD(H645-Settings!$B$32,Settings!$B$33)</f>
        <v>360.29999999999973</v>
      </c>
      <c r="J645" s="6">
        <f>IF(I645&lt;Settings!$B$30,IF(Settings!$B$30-I645&gt;=E645,H645,H645+(Settings!$B$30-I645)+Settings!$B$31),H645+(Settings!$B$33-I645))</f>
        <v>1080.2999999999997</v>
      </c>
      <c r="K645" s="6">
        <f t="shared" si="245"/>
        <v>1104.3199999999997</v>
      </c>
      <c r="L645" s="6">
        <f t="shared" si="246"/>
        <v>1104.3199999999997</v>
      </c>
      <c r="M645" s="6">
        <f t="shared" si="255"/>
        <v>1084.3190366877409</v>
      </c>
      <c r="N645" s="6">
        <f t="shared" si="247"/>
        <v>1104.3199999999997</v>
      </c>
      <c r="O645" s="6">
        <f>Arrivals!I645</f>
        <v>2.0837944853930801</v>
      </c>
      <c r="P645" s="6">
        <f t="shared" si="248"/>
        <v>1106.4037944853928</v>
      </c>
      <c r="Q645" s="6">
        <f t="shared" si="249"/>
        <v>778.40379448539284</v>
      </c>
      <c r="R645" s="6">
        <f t="shared" si="250"/>
        <v>752.29999999999973</v>
      </c>
      <c r="S645" s="6">
        <f t="shared" si="251"/>
        <v>0</v>
      </c>
      <c r="T645" s="6">
        <f t="shared" si="252"/>
        <v>0</v>
      </c>
      <c r="U645" s="6">
        <f t="shared" si="253"/>
        <v>752.29999999999973</v>
      </c>
      <c r="V645" s="6" t="str">
        <f>IF(MOD(C645-Settings!$B$32,Settings!$B$33)&lt;Settings!$B$30,"Up","Down")</f>
        <v>Up</v>
      </c>
      <c r="W645" s="6">
        <f>IF(OR(E645&gt;Settings!$B$30,Q645&gt;Settings!$B$37),0,1)</f>
        <v>1</v>
      </c>
      <c r="X645" s="6">
        <f>IF(AND(W645=1,Q645&lt;=Settings!$B$36),1,0)</f>
        <v>0</v>
      </c>
    </row>
    <row r="646" spans="1:24" x14ac:dyDescent="0.2">
      <c r="A646">
        <f>Arrivals!A646</f>
        <v>6</v>
      </c>
      <c r="B646">
        <f>Arrivals!B646</f>
        <v>41</v>
      </c>
      <c r="C646" s="6">
        <f>Arrivals!F646</f>
        <v>333</v>
      </c>
      <c r="D646" s="6">
        <f>Arrivals!K646</f>
        <v>300</v>
      </c>
      <c r="E646" s="6">
        <f>D646*8/ACE_Input!S46+ACE_Input!T46</f>
        <v>24.02</v>
      </c>
      <c r="F646" s="6">
        <f t="shared" si="243"/>
        <v>333</v>
      </c>
      <c r="G646" s="6">
        <f t="shared" si="254"/>
        <v>1104.3199999999997</v>
      </c>
      <c r="H646" s="6">
        <f t="shared" si="244"/>
        <v>1104.3199999999997</v>
      </c>
      <c r="I646" s="6">
        <f>MOD(H646-Settings!$B$32,Settings!$B$33)</f>
        <v>384.31999999999971</v>
      </c>
      <c r="J646" s="6">
        <f>IF(I646&lt;Settings!$B$30,IF(Settings!$B$30-I646&gt;=E646,H646,H646+(Settings!$B$30-I646)+Settings!$B$31),H646+(Settings!$B$33-I646))</f>
        <v>1104.3199999999997</v>
      </c>
      <c r="K646" s="6">
        <f t="shared" si="245"/>
        <v>1128.3399999999997</v>
      </c>
      <c r="L646" s="6">
        <f t="shared" si="246"/>
        <v>1128.3399999999997</v>
      </c>
      <c r="M646" s="6">
        <f t="shared" si="255"/>
        <v>1106.4037944853928</v>
      </c>
      <c r="N646" s="6">
        <f t="shared" si="247"/>
        <v>1128.3399999999997</v>
      </c>
      <c r="O646" s="6">
        <f>Arrivals!I646</f>
        <v>1.8315521436456192</v>
      </c>
      <c r="P646" s="6">
        <f t="shared" si="248"/>
        <v>1130.1715521436454</v>
      </c>
      <c r="Q646" s="6">
        <f t="shared" si="249"/>
        <v>797.17155214364539</v>
      </c>
      <c r="R646" s="6">
        <f t="shared" si="250"/>
        <v>771.31999999999971</v>
      </c>
      <c r="S646" s="6">
        <f t="shared" si="251"/>
        <v>0</v>
      </c>
      <c r="T646" s="6">
        <f t="shared" si="252"/>
        <v>0</v>
      </c>
      <c r="U646" s="6">
        <f t="shared" si="253"/>
        <v>771.31999999999971</v>
      </c>
      <c r="V646" s="6" t="str">
        <f>IF(MOD(C646-Settings!$B$32,Settings!$B$33)&lt;Settings!$B$30,"Up","Down")</f>
        <v>Up</v>
      </c>
      <c r="W646" s="6">
        <f>IF(OR(E646&gt;Settings!$B$30,Q646&gt;Settings!$B$37),0,1)</f>
        <v>1</v>
      </c>
      <c r="X646" s="6">
        <f>IF(AND(W646=1,Q646&lt;=Settings!$B$36),1,0)</f>
        <v>0</v>
      </c>
    </row>
    <row r="647" spans="1:24" x14ac:dyDescent="0.2">
      <c r="A647">
        <f>Arrivals!A647</f>
        <v>6</v>
      </c>
      <c r="B647">
        <f>Arrivals!B647</f>
        <v>42</v>
      </c>
      <c r="C647" s="6">
        <f>Arrivals!F647</f>
        <v>338</v>
      </c>
      <c r="D647" s="6">
        <f>Arrivals!K647</f>
        <v>300</v>
      </c>
      <c r="E647" s="6">
        <f>D647*8/ACE_Input!S47+ACE_Input!T47</f>
        <v>24.02</v>
      </c>
      <c r="F647" s="6">
        <f t="shared" si="243"/>
        <v>338</v>
      </c>
      <c r="G647" s="6">
        <f t="shared" si="254"/>
        <v>1128.3399999999997</v>
      </c>
      <c r="H647" s="6">
        <f t="shared" si="244"/>
        <v>1128.3399999999997</v>
      </c>
      <c r="I647" s="6">
        <f>MOD(H647-Settings!$B$32,Settings!$B$33)</f>
        <v>408.33999999999969</v>
      </c>
      <c r="J647" s="6">
        <f>IF(I647&lt;Settings!$B$30,IF(Settings!$B$30-I647&gt;=E647,H647,H647+(Settings!$B$30-I647)+Settings!$B$31),H647+(Settings!$B$33-I647))</f>
        <v>1128.3399999999997</v>
      </c>
      <c r="K647" s="6">
        <f t="shared" si="245"/>
        <v>1152.3599999999997</v>
      </c>
      <c r="L647" s="6">
        <f t="shared" si="246"/>
        <v>1152.3599999999997</v>
      </c>
      <c r="M647" s="6">
        <f t="shared" si="255"/>
        <v>1130.1715521436454</v>
      </c>
      <c r="N647" s="6">
        <f t="shared" si="247"/>
        <v>1152.3599999999997</v>
      </c>
      <c r="O647" s="6">
        <f>Arrivals!I647</f>
        <v>3.510061989510898</v>
      </c>
      <c r="P647" s="6">
        <f t="shared" si="248"/>
        <v>1155.8700619895105</v>
      </c>
      <c r="Q647" s="6">
        <f t="shared" si="249"/>
        <v>817.87006198951053</v>
      </c>
      <c r="R647" s="6">
        <f t="shared" si="250"/>
        <v>790.33999999999969</v>
      </c>
      <c r="S647" s="6">
        <f t="shared" si="251"/>
        <v>0</v>
      </c>
      <c r="T647" s="6">
        <f t="shared" si="252"/>
        <v>0</v>
      </c>
      <c r="U647" s="6">
        <f t="shared" si="253"/>
        <v>790.33999999999969</v>
      </c>
      <c r="V647" s="6" t="str">
        <f>IF(MOD(C647-Settings!$B$32,Settings!$B$33)&lt;Settings!$B$30,"Up","Down")</f>
        <v>Up</v>
      </c>
      <c r="W647" s="6">
        <f>IF(OR(E647&gt;Settings!$B$30,Q647&gt;Settings!$B$37),0,1)</f>
        <v>1</v>
      </c>
      <c r="X647" s="6">
        <f>IF(AND(W647=1,Q647&lt;=Settings!$B$36),1,0)</f>
        <v>0</v>
      </c>
    </row>
    <row r="648" spans="1:24" x14ac:dyDescent="0.2">
      <c r="A648">
        <f>Arrivals!A648</f>
        <v>6</v>
      </c>
      <c r="B648">
        <f>Arrivals!B648</f>
        <v>43</v>
      </c>
      <c r="C648" s="6">
        <f>Arrivals!F648</f>
        <v>343</v>
      </c>
      <c r="D648" s="6">
        <f>Arrivals!K648</f>
        <v>300</v>
      </c>
      <c r="E648" s="6">
        <f>D648*8/ACE_Input!S48+ACE_Input!T48</f>
        <v>24.02</v>
      </c>
      <c r="F648" s="6">
        <f t="shared" si="243"/>
        <v>343</v>
      </c>
      <c r="G648" s="6">
        <f t="shared" si="254"/>
        <v>1152.3599999999997</v>
      </c>
      <c r="H648" s="6">
        <f t="shared" si="244"/>
        <v>1152.3599999999997</v>
      </c>
      <c r="I648" s="6">
        <f>MOD(H648-Settings!$B$32,Settings!$B$33)</f>
        <v>432.35999999999967</v>
      </c>
      <c r="J648" s="6">
        <f>IF(I648&lt;Settings!$B$30,IF(Settings!$B$30-I648&gt;=E648,H648,H648+(Settings!$B$30-I648)+Settings!$B$31),H648+(Settings!$B$33-I648))</f>
        <v>1152.3599999999997</v>
      </c>
      <c r="K648" s="6">
        <f t="shared" si="245"/>
        <v>1176.3799999999997</v>
      </c>
      <c r="L648" s="6">
        <f t="shared" si="246"/>
        <v>1176.3799999999997</v>
      </c>
      <c r="M648" s="6">
        <f t="shared" si="255"/>
        <v>1155.8700619895105</v>
      </c>
      <c r="N648" s="6">
        <f t="shared" si="247"/>
        <v>1176.3799999999997</v>
      </c>
      <c r="O648" s="6">
        <f>Arrivals!I648</f>
        <v>2.0564227687052816</v>
      </c>
      <c r="P648" s="6">
        <f t="shared" si="248"/>
        <v>1178.4364227687049</v>
      </c>
      <c r="Q648" s="6">
        <f t="shared" si="249"/>
        <v>835.43642276870492</v>
      </c>
      <c r="R648" s="6">
        <f t="shared" si="250"/>
        <v>809.35999999999967</v>
      </c>
      <c r="S648" s="6">
        <f t="shared" si="251"/>
        <v>0</v>
      </c>
      <c r="T648" s="6">
        <f t="shared" si="252"/>
        <v>0</v>
      </c>
      <c r="U648" s="6">
        <f t="shared" si="253"/>
        <v>809.35999999999967</v>
      </c>
      <c r="V648" s="6" t="str">
        <f>IF(MOD(C648-Settings!$B$32,Settings!$B$33)&lt;Settings!$B$30,"Up","Down")</f>
        <v>Up</v>
      </c>
      <c r="W648" s="6">
        <f>IF(OR(E648&gt;Settings!$B$30,Q648&gt;Settings!$B$37),0,1)</f>
        <v>1</v>
      </c>
      <c r="X648" s="6">
        <f>IF(AND(W648=1,Q648&lt;=Settings!$B$36),1,0)</f>
        <v>0</v>
      </c>
    </row>
    <row r="649" spans="1:24" x14ac:dyDescent="0.2">
      <c r="A649">
        <f>Arrivals!A649</f>
        <v>6</v>
      </c>
      <c r="B649">
        <f>Arrivals!B649</f>
        <v>44</v>
      </c>
      <c r="C649" s="6">
        <f>Arrivals!F649</f>
        <v>348</v>
      </c>
      <c r="D649" s="6">
        <f>Arrivals!K649</f>
        <v>300</v>
      </c>
      <c r="E649" s="6">
        <f>D649*8/ACE_Input!S49+ACE_Input!T49</f>
        <v>24.02</v>
      </c>
      <c r="F649" s="6">
        <f t="shared" si="243"/>
        <v>348</v>
      </c>
      <c r="G649" s="6">
        <f t="shared" si="254"/>
        <v>1176.3799999999997</v>
      </c>
      <c r="H649" s="6">
        <f t="shared" si="244"/>
        <v>1176.3799999999997</v>
      </c>
      <c r="I649" s="6">
        <f>MOD(H649-Settings!$B$32,Settings!$B$33)</f>
        <v>456.37999999999965</v>
      </c>
      <c r="J649" s="6">
        <f>IF(I649&lt;Settings!$B$30,IF(Settings!$B$30-I649&gt;=E649,H649,H649+(Settings!$B$30-I649)+Settings!$B$31),H649+(Settings!$B$33-I649))</f>
        <v>1176.3799999999997</v>
      </c>
      <c r="K649" s="6">
        <f t="shared" si="245"/>
        <v>1200.3999999999996</v>
      </c>
      <c r="L649" s="6">
        <f t="shared" si="246"/>
        <v>1200.3999999999996</v>
      </c>
      <c r="M649" s="6">
        <f t="shared" si="255"/>
        <v>1178.4364227687049</v>
      </c>
      <c r="N649" s="6">
        <f t="shared" si="247"/>
        <v>1200.3999999999996</v>
      </c>
      <c r="O649" s="6">
        <f>Arrivals!I649</f>
        <v>6.9191504925594733</v>
      </c>
      <c r="P649" s="6">
        <f t="shared" si="248"/>
        <v>1207.3191504925592</v>
      </c>
      <c r="Q649" s="6">
        <f t="shared" si="249"/>
        <v>859.31915049255917</v>
      </c>
      <c r="R649" s="6">
        <f t="shared" si="250"/>
        <v>828.37999999999965</v>
      </c>
      <c r="S649" s="6">
        <f t="shared" si="251"/>
        <v>0</v>
      </c>
      <c r="T649" s="6">
        <f t="shared" si="252"/>
        <v>0</v>
      </c>
      <c r="U649" s="6">
        <f t="shared" si="253"/>
        <v>828.37999999999965</v>
      </c>
      <c r="V649" s="6" t="str">
        <f>IF(MOD(C649-Settings!$B$32,Settings!$B$33)&lt;Settings!$B$30,"Up","Down")</f>
        <v>Up</v>
      </c>
      <c r="W649" s="6">
        <f>IF(OR(E649&gt;Settings!$B$30,Q649&gt;Settings!$B$37),0,1)</f>
        <v>1</v>
      </c>
      <c r="X649" s="6">
        <f>IF(AND(W649=1,Q649&lt;=Settings!$B$36),1,0)</f>
        <v>0</v>
      </c>
    </row>
    <row r="650" spans="1:24" x14ac:dyDescent="0.2">
      <c r="A650">
        <f>Arrivals!A650</f>
        <v>6</v>
      </c>
      <c r="B650">
        <f>Arrivals!B650</f>
        <v>45</v>
      </c>
      <c r="C650" s="6">
        <f>Arrivals!F650</f>
        <v>354</v>
      </c>
      <c r="D650" s="6">
        <f>Arrivals!K650</f>
        <v>300</v>
      </c>
      <c r="E650" s="6">
        <f>D650*8/ACE_Input!S50+ACE_Input!T50</f>
        <v>24.02</v>
      </c>
      <c r="F650" s="6">
        <f t="shared" si="243"/>
        <v>354</v>
      </c>
      <c r="G650" s="6">
        <f t="shared" si="254"/>
        <v>1200.3999999999996</v>
      </c>
      <c r="H650" s="6">
        <f t="shared" si="244"/>
        <v>1200.3999999999996</v>
      </c>
      <c r="I650" s="6">
        <f>MOD(H650-Settings!$B$32,Settings!$B$33)</f>
        <v>480.39999999999964</v>
      </c>
      <c r="J650" s="6">
        <f>IF(I650&lt;Settings!$B$30,IF(Settings!$B$30-I650&gt;=E650,H650,H650+(Settings!$B$30-I650)+Settings!$B$31),H650+(Settings!$B$33-I650))</f>
        <v>1200.3999999999996</v>
      </c>
      <c r="K650" s="6">
        <f t="shared" si="245"/>
        <v>1224.4199999999996</v>
      </c>
      <c r="L650" s="6">
        <f t="shared" si="246"/>
        <v>1224.4199999999996</v>
      </c>
      <c r="M650" s="6">
        <f t="shared" si="255"/>
        <v>1207.3191504925592</v>
      </c>
      <c r="N650" s="6">
        <f t="shared" si="247"/>
        <v>1224.4199999999996</v>
      </c>
      <c r="O650" s="6">
        <f>Arrivals!I650</f>
        <v>5.5141348677106921</v>
      </c>
      <c r="P650" s="6">
        <f t="shared" si="248"/>
        <v>1229.9341348677103</v>
      </c>
      <c r="Q650" s="6">
        <f t="shared" si="249"/>
        <v>875.93413486771033</v>
      </c>
      <c r="R650" s="6">
        <f t="shared" si="250"/>
        <v>846.39999999999964</v>
      </c>
      <c r="S650" s="6">
        <f t="shared" si="251"/>
        <v>0</v>
      </c>
      <c r="T650" s="6">
        <f t="shared" si="252"/>
        <v>0</v>
      </c>
      <c r="U650" s="6">
        <f t="shared" si="253"/>
        <v>846.39999999999964</v>
      </c>
      <c r="V650" s="6" t="str">
        <f>IF(MOD(C650-Settings!$B$32,Settings!$B$33)&lt;Settings!$B$30,"Up","Down")</f>
        <v>Up</v>
      </c>
      <c r="W650" s="6">
        <f>IF(OR(E650&gt;Settings!$B$30,Q650&gt;Settings!$B$37),0,1)</f>
        <v>1</v>
      </c>
      <c r="X650" s="6">
        <f>IF(AND(W650=1,Q650&lt;=Settings!$B$36),1,0)</f>
        <v>0</v>
      </c>
    </row>
    <row r="651" spans="1:24" x14ac:dyDescent="0.2">
      <c r="A651">
        <f>Arrivals!A651</f>
        <v>6</v>
      </c>
      <c r="B651">
        <f>Arrivals!B651</f>
        <v>46</v>
      </c>
      <c r="C651" s="6">
        <f>Arrivals!F651</f>
        <v>359</v>
      </c>
      <c r="D651" s="6">
        <f>Arrivals!K651</f>
        <v>300</v>
      </c>
      <c r="E651" s="6">
        <f>D651*8/ACE_Input!S51+ACE_Input!T51</f>
        <v>24.02</v>
      </c>
      <c r="F651" s="6">
        <f t="shared" si="243"/>
        <v>359</v>
      </c>
      <c r="G651" s="6">
        <f t="shared" si="254"/>
        <v>1224.4199999999996</v>
      </c>
      <c r="H651" s="6">
        <f t="shared" si="244"/>
        <v>1224.4199999999996</v>
      </c>
      <c r="I651" s="6">
        <f>MOD(H651-Settings!$B$32,Settings!$B$33)</f>
        <v>504.41999999999962</v>
      </c>
      <c r="J651" s="6">
        <f>IF(I651&lt;Settings!$B$30,IF(Settings!$B$30-I651&gt;=E651,H651,H651+(Settings!$B$30-I651)+Settings!$B$31),H651+(Settings!$B$33-I651))</f>
        <v>1224.4199999999996</v>
      </c>
      <c r="K651" s="6">
        <f t="shared" si="245"/>
        <v>1248.4399999999996</v>
      </c>
      <c r="L651" s="6">
        <f t="shared" si="246"/>
        <v>1248.4399999999996</v>
      </c>
      <c r="M651" s="6">
        <f t="shared" si="255"/>
        <v>1229.9341348677103</v>
      </c>
      <c r="N651" s="6">
        <f t="shared" si="247"/>
        <v>1248.4399999999996</v>
      </c>
      <c r="O651" s="6">
        <f>Arrivals!I651</f>
        <v>2.8932270016851538</v>
      </c>
      <c r="P651" s="6">
        <f t="shared" si="248"/>
        <v>1251.3332270016847</v>
      </c>
      <c r="Q651" s="6">
        <f t="shared" si="249"/>
        <v>892.33322700168469</v>
      </c>
      <c r="R651" s="6">
        <f t="shared" si="250"/>
        <v>865.41999999999962</v>
      </c>
      <c r="S651" s="6">
        <f t="shared" si="251"/>
        <v>0</v>
      </c>
      <c r="T651" s="6">
        <f t="shared" si="252"/>
        <v>0</v>
      </c>
      <c r="U651" s="6">
        <f t="shared" si="253"/>
        <v>865.41999999999962</v>
      </c>
      <c r="V651" s="6" t="str">
        <f>IF(MOD(C651-Settings!$B$32,Settings!$B$33)&lt;Settings!$B$30,"Up","Down")</f>
        <v>Up</v>
      </c>
      <c r="W651" s="6">
        <f>IF(OR(E651&gt;Settings!$B$30,Q651&gt;Settings!$B$37),0,1)</f>
        <v>1</v>
      </c>
      <c r="X651" s="6">
        <f>IF(AND(W651=1,Q651&lt;=Settings!$B$36),1,0)</f>
        <v>0</v>
      </c>
    </row>
    <row r="652" spans="1:24" x14ac:dyDescent="0.2">
      <c r="A652">
        <f>Arrivals!A652</f>
        <v>6</v>
      </c>
      <c r="B652">
        <f>Arrivals!B652</f>
        <v>47</v>
      </c>
      <c r="C652" s="6">
        <f>Arrivals!F652</f>
        <v>364</v>
      </c>
      <c r="D652" s="6">
        <f>Arrivals!K652</f>
        <v>300</v>
      </c>
      <c r="E652" s="6">
        <f>D652*8/ACE_Input!S52+ACE_Input!T52</f>
        <v>24.02</v>
      </c>
      <c r="F652" s="6">
        <f t="shared" si="243"/>
        <v>364</v>
      </c>
      <c r="G652" s="6">
        <f t="shared" si="254"/>
        <v>1248.4399999999996</v>
      </c>
      <c r="H652" s="6">
        <f t="shared" si="244"/>
        <v>1248.4399999999996</v>
      </c>
      <c r="I652" s="6">
        <f>MOD(H652-Settings!$B$32,Settings!$B$33)</f>
        <v>528.4399999999996</v>
      </c>
      <c r="J652" s="6">
        <f>IF(I652&lt;Settings!$B$30,IF(Settings!$B$30-I652&gt;=E652,H652,H652+(Settings!$B$30-I652)+Settings!$B$31),H652+(Settings!$B$33-I652))</f>
        <v>1248.4399999999996</v>
      </c>
      <c r="K652" s="6">
        <f t="shared" si="245"/>
        <v>1272.4599999999996</v>
      </c>
      <c r="L652" s="6">
        <f t="shared" si="246"/>
        <v>1272.4599999999996</v>
      </c>
      <c r="M652" s="6">
        <f t="shared" si="255"/>
        <v>1251.3332270016847</v>
      </c>
      <c r="N652" s="6">
        <f t="shared" si="247"/>
        <v>1272.4599999999996</v>
      </c>
      <c r="O652" s="6">
        <f>Arrivals!I652</f>
        <v>0.70775744199471913</v>
      </c>
      <c r="P652" s="6">
        <f t="shared" si="248"/>
        <v>1273.1677574419944</v>
      </c>
      <c r="Q652" s="6">
        <f t="shared" si="249"/>
        <v>909.16775744199435</v>
      </c>
      <c r="R652" s="6">
        <f t="shared" si="250"/>
        <v>884.4399999999996</v>
      </c>
      <c r="S652" s="6">
        <f t="shared" si="251"/>
        <v>0</v>
      </c>
      <c r="T652" s="6">
        <f t="shared" si="252"/>
        <v>0</v>
      </c>
      <c r="U652" s="6">
        <f t="shared" si="253"/>
        <v>884.4399999999996</v>
      </c>
      <c r="V652" s="6" t="str">
        <f>IF(MOD(C652-Settings!$B$32,Settings!$B$33)&lt;Settings!$B$30,"Up","Down")</f>
        <v>Up</v>
      </c>
      <c r="W652" s="6">
        <f>IF(OR(E652&gt;Settings!$B$30,Q652&gt;Settings!$B$37),0,1)</f>
        <v>0</v>
      </c>
      <c r="X652" s="6">
        <f>IF(AND(W652=1,Q652&lt;=Settings!$B$36),1,0)</f>
        <v>0</v>
      </c>
    </row>
    <row r="653" spans="1:24" x14ac:dyDescent="0.2">
      <c r="A653">
        <f>Arrivals!A653</f>
        <v>6</v>
      </c>
      <c r="B653">
        <f>Arrivals!B653</f>
        <v>48</v>
      </c>
      <c r="C653" s="6">
        <f>Arrivals!F653</f>
        <v>369</v>
      </c>
      <c r="D653" s="6">
        <f>Arrivals!K653</f>
        <v>300</v>
      </c>
      <c r="E653" s="6">
        <f>D653*8/ACE_Input!S53+ACE_Input!T53</f>
        <v>24.02</v>
      </c>
      <c r="F653" s="6">
        <f t="shared" si="243"/>
        <v>369</v>
      </c>
      <c r="G653" s="6">
        <f t="shared" si="254"/>
        <v>1272.4599999999996</v>
      </c>
      <c r="H653" s="6">
        <f t="shared" si="244"/>
        <v>1272.4599999999996</v>
      </c>
      <c r="I653" s="6">
        <f>MOD(H653-Settings!$B$32,Settings!$B$33)</f>
        <v>552.45999999999958</v>
      </c>
      <c r="J653" s="6">
        <f>IF(I653&lt;Settings!$B$30,IF(Settings!$B$30-I653&gt;=E653,H653,H653+(Settings!$B$30-I653)+Settings!$B$31),H653+(Settings!$B$33-I653))</f>
        <v>1272.4599999999996</v>
      </c>
      <c r="K653" s="6">
        <f t="shared" si="245"/>
        <v>1296.4799999999996</v>
      </c>
      <c r="L653" s="6">
        <f t="shared" si="246"/>
        <v>1296.4799999999996</v>
      </c>
      <c r="M653" s="6">
        <f t="shared" si="255"/>
        <v>1273.1677574419944</v>
      </c>
      <c r="N653" s="6">
        <f t="shared" si="247"/>
        <v>1296.4799999999996</v>
      </c>
      <c r="O653" s="6">
        <f>Arrivals!I653</f>
        <v>3.4823757053866529</v>
      </c>
      <c r="P653" s="6">
        <f t="shared" si="248"/>
        <v>1299.9623757053862</v>
      </c>
      <c r="Q653" s="6">
        <f t="shared" si="249"/>
        <v>930.96237570538619</v>
      </c>
      <c r="R653" s="6">
        <f t="shared" si="250"/>
        <v>903.45999999999958</v>
      </c>
      <c r="S653" s="6">
        <f t="shared" si="251"/>
        <v>0</v>
      </c>
      <c r="T653" s="6">
        <f t="shared" si="252"/>
        <v>0</v>
      </c>
      <c r="U653" s="6">
        <f t="shared" si="253"/>
        <v>903.45999999999958</v>
      </c>
      <c r="V653" s="6" t="str">
        <f>IF(MOD(C653-Settings!$B$32,Settings!$B$33)&lt;Settings!$B$30,"Up","Down")</f>
        <v>Up</v>
      </c>
      <c r="W653" s="6">
        <f>IF(OR(E653&gt;Settings!$B$30,Q653&gt;Settings!$B$37),0,1)</f>
        <v>0</v>
      </c>
      <c r="X653" s="6">
        <f>IF(AND(W653=1,Q653&lt;=Settings!$B$36),1,0)</f>
        <v>0</v>
      </c>
    </row>
    <row r="654" spans="1:24" x14ac:dyDescent="0.2">
      <c r="A654">
        <f>Arrivals!A654</f>
        <v>6</v>
      </c>
      <c r="B654">
        <f>Arrivals!B654</f>
        <v>49</v>
      </c>
      <c r="C654" s="6">
        <f>Arrivals!F654</f>
        <v>374</v>
      </c>
      <c r="D654" s="6">
        <f>Arrivals!K654</f>
        <v>300</v>
      </c>
      <c r="E654" s="6">
        <f>D654*8/ACE_Input!S54+ACE_Input!T54</f>
        <v>24.02</v>
      </c>
      <c r="F654" s="6">
        <f t="shared" si="243"/>
        <v>374</v>
      </c>
      <c r="G654" s="6">
        <f t="shared" si="254"/>
        <v>1296.4799999999996</v>
      </c>
      <c r="H654" s="6">
        <f t="shared" si="244"/>
        <v>1296.4799999999996</v>
      </c>
      <c r="I654" s="6">
        <f>MOD(H654-Settings!$B$32,Settings!$B$33)</f>
        <v>576.47999999999956</v>
      </c>
      <c r="J654" s="6">
        <f>IF(I654&lt;Settings!$B$30,IF(Settings!$B$30-I654&gt;=E654,H654,H654+(Settings!$B$30-I654)+Settings!$B$31),H654+(Settings!$B$33-I654))</f>
        <v>1440</v>
      </c>
      <c r="K654" s="6">
        <f t="shared" si="245"/>
        <v>1464.02</v>
      </c>
      <c r="L654" s="6">
        <f t="shared" si="246"/>
        <v>1464.02</v>
      </c>
      <c r="M654" s="6">
        <f t="shared" si="255"/>
        <v>1299.9623757053862</v>
      </c>
      <c r="N654" s="6">
        <f t="shared" si="247"/>
        <v>1464.02</v>
      </c>
      <c r="O654" s="6">
        <f>Arrivals!I654</f>
        <v>7.9247556566810511</v>
      </c>
      <c r="P654" s="6">
        <f t="shared" si="248"/>
        <v>1471.9447556566811</v>
      </c>
      <c r="Q654" s="6">
        <f t="shared" si="249"/>
        <v>1097.9447556566811</v>
      </c>
      <c r="R654" s="6">
        <f t="shared" si="250"/>
        <v>922.47999999999956</v>
      </c>
      <c r="S654" s="6">
        <f t="shared" si="251"/>
        <v>143.52000000000044</v>
      </c>
      <c r="T654" s="6">
        <f t="shared" si="252"/>
        <v>0</v>
      </c>
      <c r="U654" s="6">
        <f t="shared" si="253"/>
        <v>1066</v>
      </c>
      <c r="V654" s="6" t="str">
        <f>IF(MOD(C654-Settings!$B$32,Settings!$B$33)&lt;Settings!$B$30,"Up","Down")</f>
        <v>Up</v>
      </c>
      <c r="W654" s="6">
        <f>IF(OR(E654&gt;Settings!$B$30,Q654&gt;Settings!$B$37),0,1)</f>
        <v>0</v>
      </c>
      <c r="X654" s="6">
        <f>IF(AND(W654=1,Q654&lt;=Settings!$B$36),1,0)</f>
        <v>0</v>
      </c>
    </row>
    <row r="655" spans="1:24" x14ac:dyDescent="0.2">
      <c r="A655">
        <f>Arrivals!A655</f>
        <v>6</v>
      </c>
      <c r="B655">
        <f>Arrivals!B655</f>
        <v>50</v>
      </c>
      <c r="C655" s="6">
        <f>Arrivals!F655</f>
        <v>379</v>
      </c>
      <c r="D655" s="6">
        <f>Arrivals!K655</f>
        <v>300</v>
      </c>
      <c r="E655" s="6">
        <f>D655*8/ACE_Input!S55+ACE_Input!T55</f>
        <v>24.02</v>
      </c>
      <c r="F655" s="6">
        <f t="shared" si="243"/>
        <v>379</v>
      </c>
      <c r="G655" s="6">
        <f t="shared" si="254"/>
        <v>1464.02</v>
      </c>
      <c r="H655" s="6">
        <f t="shared" si="244"/>
        <v>1464.02</v>
      </c>
      <c r="I655" s="6">
        <f>MOD(H655-Settings!$B$32,Settings!$B$33)</f>
        <v>24.019999999999982</v>
      </c>
      <c r="J655" s="6">
        <f>IF(I655&lt;Settings!$B$30,IF(Settings!$B$30-I655&gt;=E655,H655,H655+(Settings!$B$30-I655)+Settings!$B$31),H655+(Settings!$B$33-I655))</f>
        <v>1464.02</v>
      </c>
      <c r="K655" s="6">
        <f t="shared" si="245"/>
        <v>1488.04</v>
      </c>
      <c r="L655" s="6">
        <f t="shared" si="246"/>
        <v>1488.04</v>
      </c>
      <c r="M655" s="6">
        <f t="shared" si="255"/>
        <v>1471.9447556566811</v>
      </c>
      <c r="N655" s="6">
        <f t="shared" si="247"/>
        <v>1488.04</v>
      </c>
      <c r="O655" s="6">
        <f>Arrivals!I655</f>
        <v>1.0330094666714533</v>
      </c>
      <c r="P655" s="6">
        <f t="shared" si="248"/>
        <v>1489.0730094666715</v>
      </c>
      <c r="Q655" s="6">
        <f t="shared" si="249"/>
        <v>1110.0730094666715</v>
      </c>
      <c r="R655" s="6">
        <f t="shared" si="250"/>
        <v>1085.02</v>
      </c>
      <c r="S655" s="6">
        <f t="shared" si="251"/>
        <v>0</v>
      </c>
      <c r="T655" s="6">
        <f t="shared" si="252"/>
        <v>0</v>
      </c>
      <c r="U655" s="6">
        <f t="shared" si="253"/>
        <v>1085.02</v>
      </c>
      <c r="V655" s="6" t="str">
        <f>IF(MOD(C655-Settings!$B$32,Settings!$B$33)&lt;Settings!$B$30,"Up","Down")</f>
        <v>Up</v>
      </c>
      <c r="W655" s="6">
        <f>IF(OR(E655&gt;Settings!$B$30,Q655&gt;Settings!$B$37),0,1)</f>
        <v>0</v>
      </c>
      <c r="X655" s="6">
        <f>IF(AND(W655=1,Q655&lt;=Settings!$B$36),1,0)</f>
        <v>0</v>
      </c>
    </row>
    <row r="656" spans="1:24" x14ac:dyDescent="0.2">
      <c r="A656">
        <f>Arrivals!A656</f>
        <v>6</v>
      </c>
      <c r="B656">
        <f>Arrivals!B656</f>
        <v>51</v>
      </c>
      <c r="C656" s="6">
        <f>Arrivals!F656</f>
        <v>384</v>
      </c>
      <c r="D656" s="6">
        <f>Arrivals!K656</f>
        <v>300</v>
      </c>
      <c r="E656" s="6">
        <f>D656*8/ACE_Input!S56+ACE_Input!T56</f>
        <v>24.02</v>
      </c>
      <c r="F656" s="6">
        <f t="shared" si="243"/>
        <v>384</v>
      </c>
      <c r="G656" s="6">
        <f t="shared" si="254"/>
        <v>1488.04</v>
      </c>
      <c r="H656" s="6">
        <f t="shared" si="244"/>
        <v>1488.04</v>
      </c>
      <c r="I656" s="6">
        <f>MOD(H656-Settings!$B$32,Settings!$B$33)</f>
        <v>48.039999999999964</v>
      </c>
      <c r="J656" s="6">
        <f>IF(I656&lt;Settings!$B$30,IF(Settings!$B$30-I656&gt;=E656,H656,H656+(Settings!$B$30-I656)+Settings!$B$31),H656+(Settings!$B$33-I656))</f>
        <v>1488.04</v>
      </c>
      <c r="K656" s="6">
        <f t="shared" si="245"/>
        <v>1512.06</v>
      </c>
      <c r="L656" s="6">
        <f t="shared" si="246"/>
        <v>1512.06</v>
      </c>
      <c r="M656" s="6">
        <f t="shared" si="255"/>
        <v>1489.0730094666715</v>
      </c>
      <c r="N656" s="6">
        <f t="shared" si="247"/>
        <v>1512.06</v>
      </c>
      <c r="O656" s="6">
        <f>Arrivals!I656</f>
        <v>1.2506526348289766</v>
      </c>
      <c r="P656" s="6">
        <f t="shared" si="248"/>
        <v>1513.310652634829</v>
      </c>
      <c r="Q656" s="6">
        <f t="shared" si="249"/>
        <v>1129.310652634829</v>
      </c>
      <c r="R656" s="6">
        <f t="shared" si="250"/>
        <v>1104.04</v>
      </c>
      <c r="S656" s="6">
        <f t="shared" si="251"/>
        <v>0</v>
      </c>
      <c r="T656" s="6">
        <f t="shared" si="252"/>
        <v>0</v>
      </c>
      <c r="U656" s="6">
        <f t="shared" si="253"/>
        <v>1104.04</v>
      </c>
      <c r="V656" s="6" t="str">
        <f>IF(MOD(C656-Settings!$B$32,Settings!$B$33)&lt;Settings!$B$30,"Up","Down")</f>
        <v>Up</v>
      </c>
      <c r="W656" s="6">
        <f>IF(OR(E656&gt;Settings!$B$30,Q656&gt;Settings!$B$37),0,1)</f>
        <v>0</v>
      </c>
      <c r="X656" s="6">
        <f>IF(AND(W656=1,Q656&lt;=Settings!$B$36),1,0)</f>
        <v>0</v>
      </c>
    </row>
    <row r="657" spans="1:24" x14ac:dyDescent="0.2">
      <c r="A657">
        <f>Arrivals!A657</f>
        <v>6</v>
      </c>
      <c r="B657">
        <f>Arrivals!B657</f>
        <v>52</v>
      </c>
      <c r="C657" s="6">
        <f>Arrivals!F657</f>
        <v>389</v>
      </c>
      <c r="D657" s="6">
        <f>Arrivals!K657</f>
        <v>300</v>
      </c>
      <c r="E657" s="6">
        <f>D657*8/ACE_Input!S57+ACE_Input!T57</f>
        <v>24.02</v>
      </c>
      <c r="F657" s="6">
        <f t="shared" si="243"/>
        <v>389</v>
      </c>
      <c r="G657" s="6">
        <f t="shared" si="254"/>
        <v>1512.06</v>
      </c>
      <c r="H657" s="6">
        <f t="shared" si="244"/>
        <v>1512.06</v>
      </c>
      <c r="I657" s="6">
        <f>MOD(H657-Settings!$B$32,Settings!$B$33)</f>
        <v>72.059999999999945</v>
      </c>
      <c r="J657" s="6">
        <f>IF(I657&lt;Settings!$B$30,IF(Settings!$B$30-I657&gt;=E657,H657,H657+(Settings!$B$30-I657)+Settings!$B$31),H657+(Settings!$B$33-I657))</f>
        <v>1512.06</v>
      </c>
      <c r="K657" s="6">
        <f t="shared" si="245"/>
        <v>1536.08</v>
      </c>
      <c r="L657" s="6">
        <f t="shared" si="246"/>
        <v>1536.08</v>
      </c>
      <c r="M657" s="6">
        <f t="shared" si="255"/>
        <v>1513.310652634829</v>
      </c>
      <c r="N657" s="6">
        <f t="shared" si="247"/>
        <v>1536.08</v>
      </c>
      <c r="O657" s="6">
        <f>Arrivals!I657</f>
        <v>5.4223336699321294</v>
      </c>
      <c r="P657" s="6">
        <f t="shared" si="248"/>
        <v>1541.5023336699321</v>
      </c>
      <c r="Q657" s="6">
        <f t="shared" si="249"/>
        <v>1152.5023336699321</v>
      </c>
      <c r="R657" s="6">
        <f t="shared" si="250"/>
        <v>1123.06</v>
      </c>
      <c r="S657" s="6">
        <f t="shared" si="251"/>
        <v>0</v>
      </c>
      <c r="T657" s="6">
        <f t="shared" si="252"/>
        <v>0</v>
      </c>
      <c r="U657" s="6">
        <f t="shared" si="253"/>
        <v>1123.06</v>
      </c>
      <c r="V657" s="6" t="str">
        <f>IF(MOD(C657-Settings!$B$32,Settings!$B$33)&lt;Settings!$B$30,"Up","Down")</f>
        <v>Up</v>
      </c>
      <c r="W657" s="6">
        <f>IF(OR(E657&gt;Settings!$B$30,Q657&gt;Settings!$B$37),0,1)</f>
        <v>0</v>
      </c>
      <c r="X657" s="6">
        <f>IF(AND(W657=1,Q657&lt;=Settings!$B$36),1,0)</f>
        <v>0</v>
      </c>
    </row>
    <row r="658" spans="1:24" x14ac:dyDescent="0.2">
      <c r="A658">
        <f>Arrivals!A658</f>
        <v>6</v>
      </c>
      <c r="B658">
        <f>Arrivals!B658</f>
        <v>53</v>
      </c>
      <c r="C658" s="6">
        <f>Arrivals!F658</f>
        <v>394</v>
      </c>
      <c r="D658" s="6">
        <f>Arrivals!K658</f>
        <v>300</v>
      </c>
      <c r="E658" s="6">
        <f>D658*8/ACE_Input!S58+ACE_Input!T58</f>
        <v>24.02</v>
      </c>
      <c r="F658" s="6">
        <f t="shared" si="243"/>
        <v>394</v>
      </c>
      <c r="G658" s="6">
        <f t="shared" si="254"/>
        <v>1536.08</v>
      </c>
      <c r="H658" s="6">
        <f t="shared" si="244"/>
        <v>1536.08</v>
      </c>
      <c r="I658" s="6">
        <f>MOD(H658-Settings!$B$32,Settings!$B$33)</f>
        <v>96.079999999999927</v>
      </c>
      <c r="J658" s="6">
        <f>IF(I658&lt;Settings!$B$30,IF(Settings!$B$30-I658&gt;=E658,H658,H658+(Settings!$B$30-I658)+Settings!$B$31),H658+(Settings!$B$33-I658))</f>
        <v>1536.08</v>
      </c>
      <c r="K658" s="6">
        <f t="shared" si="245"/>
        <v>1560.1</v>
      </c>
      <c r="L658" s="6">
        <f t="shared" si="246"/>
        <v>1560.1</v>
      </c>
      <c r="M658" s="6">
        <f t="shared" si="255"/>
        <v>1541.5023336699321</v>
      </c>
      <c r="N658" s="6">
        <f t="shared" si="247"/>
        <v>1560.1</v>
      </c>
      <c r="O658" s="6">
        <f>Arrivals!I658</f>
        <v>0.9347258146949099</v>
      </c>
      <c r="P658" s="6">
        <f t="shared" si="248"/>
        <v>1561.0347258146949</v>
      </c>
      <c r="Q658" s="6">
        <f t="shared" si="249"/>
        <v>1167.0347258146949</v>
      </c>
      <c r="R658" s="6">
        <f t="shared" si="250"/>
        <v>1142.08</v>
      </c>
      <c r="S658" s="6">
        <f t="shared" si="251"/>
        <v>0</v>
      </c>
      <c r="T658" s="6">
        <f t="shared" si="252"/>
        <v>0</v>
      </c>
      <c r="U658" s="6">
        <f t="shared" si="253"/>
        <v>1142.08</v>
      </c>
      <c r="V658" s="6" t="str">
        <f>IF(MOD(C658-Settings!$B$32,Settings!$B$33)&lt;Settings!$B$30,"Up","Down")</f>
        <v>Up</v>
      </c>
      <c r="W658" s="6">
        <f>IF(OR(E658&gt;Settings!$B$30,Q658&gt;Settings!$B$37),0,1)</f>
        <v>0</v>
      </c>
      <c r="X658" s="6">
        <f>IF(AND(W658=1,Q658&lt;=Settings!$B$36),1,0)</f>
        <v>0</v>
      </c>
    </row>
    <row r="659" spans="1:24" x14ac:dyDescent="0.2">
      <c r="A659">
        <f>Arrivals!A659</f>
        <v>6</v>
      </c>
      <c r="B659">
        <f>Arrivals!B659</f>
        <v>54</v>
      </c>
      <c r="C659" s="6">
        <f>Arrivals!F659</f>
        <v>399</v>
      </c>
      <c r="D659" s="6">
        <f>Arrivals!K659</f>
        <v>300</v>
      </c>
      <c r="E659" s="6">
        <f>D659*8/ACE_Input!S59+ACE_Input!T59</f>
        <v>24.02</v>
      </c>
      <c r="F659" s="6">
        <f t="shared" si="243"/>
        <v>399</v>
      </c>
      <c r="G659" s="6">
        <f t="shared" si="254"/>
        <v>1560.1</v>
      </c>
      <c r="H659" s="6">
        <f t="shared" si="244"/>
        <v>1560.1</v>
      </c>
      <c r="I659" s="6">
        <f>MOD(H659-Settings!$B$32,Settings!$B$33)</f>
        <v>120.09999999999991</v>
      </c>
      <c r="J659" s="6">
        <f>IF(I659&lt;Settings!$B$30,IF(Settings!$B$30-I659&gt;=E659,H659,H659+(Settings!$B$30-I659)+Settings!$B$31),H659+(Settings!$B$33-I659))</f>
        <v>1560.1</v>
      </c>
      <c r="K659" s="6">
        <f t="shared" si="245"/>
        <v>1584.12</v>
      </c>
      <c r="L659" s="6">
        <f t="shared" si="246"/>
        <v>1584.12</v>
      </c>
      <c r="M659" s="6">
        <f t="shared" si="255"/>
        <v>1561.0347258146949</v>
      </c>
      <c r="N659" s="6">
        <f t="shared" si="247"/>
        <v>1584.12</v>
      </c>
      <c r="O659" s="6">
        <f>Arrivals!I659</f>
        <v>1.6893428293235322</v>
      </c>
      <c r="P659" s="6">
        <f t="shared" si="248"/>
        <v>1585.8093428293234</v>
      </c>
      <c r="Q659" s="6">
        <f t="shared" si="249"/>
        <v>1186.8093428293234</v>
      </c>
      <c r="R659" s="6">
        <f t="shared" si="250"/>
        <v>1161.0999999999999</v>
      </c>
      <c r="S659" s="6">
        <f t="shared" si="251"/>
        <v>0</v>
      </c>
      <c r="T659" s="6">
        <f t="shared" si="252"/>
        <v>0</v>
      </c>
      <c r="U659" s="6">
        <f t="shared" si="253"/>
        <v>1161.0999999999999</v>
      </c>
      <c r="V659" s="6" t="str">
        <f>IF(MOD(C659-Settings!$B$32,Settings!$B$33)&lt;Settings!$B$30,"Up","Down")</f>
        <v>Up</v>
      </c>
      <c r="W659" s="6">
        <f>IF(OR(E659&gt;Settings!$B$30,Q659&gt;Settings!$B$37),0,1)</f>
        <v>0</v>
      </c>
      <c r="X659" s="6">
        <f>IF(AND(W659=1,Q659&lt;=Settings!$B$36),1,0)</f>
        <v>0</v>
      </c>
    </row>
    <row r="660" spans="1:24" x14ac:dyDescent="0.2">
      <c r="A660">
        <f>Arrivals!A660</f>
        <v>6</v>
      </c>
      <c r="B660">
        <f>Arrivals!B660</f>
        <v>55</v>
      </c>
      <c r="C660" s="6">
        <f>Arrivals!F660</f>
        <v>404</v>
      </c>
      <c r="D660" s="6">
        <f>Arrivals!K660</f>
        <v>300</v>
      </c>
      <c r="E660" s="6">
        <f>D660*8/ACE_Input!S60+ACE_Input!T60</f>
        <v>24.02</v>
      </c>
      <c r="F660" s="6">
        <f t="shared" si="243"/>
        <v>404</v>
      </c>
      <c r="G660" s="6">
        <f t="shared" si="254"/>
        <v>1584.12</v>
      </c>
      <c r="H660" s="6">
        <f t="shared" si="244"/>
        <v>1584.12</v>
      </c>
      <c r="I660" s="6">
        <f>MOD(H660-Settings!$B$32,Settings!$B$33)</f>
        <v>144.11999999999989</v>
      </c>
      <c r="J660" s="6">
        <f>IF(I660&lt;Settings!$B$30,IF(Settings!$B$30-I660&gt;=E660,H660,H660+(Settings!$B$30-I660)+Settings!$B$31),H660+(Settings!$B$33-I660))</f>
        <v>1584.12</v>
      </c>
      <c r="K660" s="6">
        <f t="shared" si="245"/>
        <v>1608.1399999999999</v>
      </c>
      <c r="L660" s="6">
        <f t="shared" si="246"/>
        <v>1608.1399999999999</v>
      </c>
      <c r="M660" s="6">
        <f t="shared" si="255"/>
        <v>1585.8093428293234</v>
      </c>
      <c r="N660" s="6">
        <f t="shared" si="247"/>
        <v>1608.1399999999999</v>
      </c>
      <c r="O660" s="6">
        <f>Arrivals!I660</f>
        <v>6.0056226770164356</v>
      </c>
      <c r="P660" s="6">
        <f t="shared" si="248"/>
        <v>1614.1456226770163</v>
      </c>
      <c r="Q660" s="6">
        <f t="shared" si="249"/>
        <v>1210.1456226770163</v>
      </c>
      <c r="R660" s="6">
        <f t="shared" si="250"/>
        <v>1180.1199999999999</v>
      </c>
      <c r="S660" s="6">
        <f t="shared" si="251"/>
        <v>0</v>
      </c>
      <c r="T660" s="6">
        <f t="shared" si="252"/>
        <v>0</v>
      </c>
      <c r="U660" s="6">
        <f t="shared" si="253"/>
        <v>1180.1199999999999</v>
      </c>
      <c r="V660" s="6" t="str">
        <f>IF(MOD(C660-Settings!$B$32,Settings!$B$33)&lt;Settings!$B$30,"Up","Down")</f>
        <v>Up</v>
      </c>
      <c r="W660" s="6">
        <f>IF(OR(E660&gt;Settings!$B$30,Q660&gt;Settings!$B$37),0,1)</f>
        <v>0</v>
      </c>
      <c r="X660" s="6">
        <f>IF(AND(W660=1,Q660&lt;=Settings!$B$36),1,0)</f>
        <v>0</v>
      </c>
    </row>
    <row r="661" spans="1:24" x14ac:dyDescent="0.2">
      <c r="A661">
        <f>Arrivals!A661</f>
        <v>6</v>
      </c>
      <c r="B661">
        <f>Arrivals!B661</f>
        <v>56</v>
      </c>
      <c r="C661" s="6">
        <f>Arrivals!F661</f>
        <v>409</v>
      </c>
      <c r="D661" s="6">
        <f>Arrivals!K661</f>
        <v>300</v>
      </c>
      <c r="E661" s="6">
        <f>D661*8/ACE_Input!S61+ACE_Input!T61</f>
        <v>24.02</v>
      </c>
      <c r="F661" s="6">
        <f t="shared" si="243"/>
        <v>409</v>
      </c>
      <c r="G661" s="6">
        <f t="shared" si="254"/>
        <v>1608.1399999999999</v>
      </c>
      <c r="H661" s="6">
        <f t="shared" si="244"/>
        <v>1608.1399999999999</v>
      </c>
      <c r="I661" s="6">
        <f>MOD(H661-Settings!$B$32,Settings!$B$33)</f>
        <v>168.13999999999987</v>
      </c>
      <c r="J661" s="6">
        <f>IF(I661&lt;Settings!$B$30,IF(Settings!$B$30-I661&gt;=E661,H661,H661+(Settings!$B$30-I661)+Settings!$B$31),H661+(Settings!$B$33-I661))</f>
        <v>1608.1399999999999</v>
      </c>
      <c r="K661" s="6">
        <f t="shared" si="245"/>
        <v>1632.1599999999999</v>
      </c>
      <c r="L661" s="6">
        <f t="shared" si="246"/>
        <v>1632.1599999999999</v>
      </c>
      <c r="M661" s="6">
        <f t="shared" si="255"/>
        <v>1614.1456226770163</v>
      </c>
      <c r="N661" s="6">
        <f t="shared" si="247"/>
        <v>1632.1599999999999</v>
      </c>
      <c r="O661" s="6">
        <f>Arrivals!I661</f>
        <v>0.50753409870092892</v>
      </c>
      <c r="P661" s="6">
        <f t="shared" si="248"/>
        <v>1632.6675340987008</v>
      </c>
      <c r="Q661" s="6">
        <f t="shared" si="249"/>
        <v>1223.6675340987008</v>
      </c>
      <c r="R661" s="6">
        <f t="shared" si="250"/>
        <v>1199.1399999999999</v>
      </c>
      <c r="S661" s="6">
        <f t="shared" si="251"/>
        <v>0</v>
      </c>
      <c r="T661" s="6">
        <f t="shared" si="252"/>
        <v>0</v>
      </c>
      <c r="U661" s="6">
        <f t="shared" si="253"/>
        <v>1199.1399999999999</v>
      </c>
      <c r="V661" s="6" t="str">
        <f>IF(MOD(C661-Settings!$B$32,Settings!$B$33)&lt;Settings!$B$30,"Up","Down")</f>
        <v>Up</v>
      </c>
      <c r="W661" s="6">
        <f>IF(OR(E661&gt;Settings!$B$30,Q661&gt;Settings!$B$37),0,1)</f>
        <v>0</v>
      </c>
      <c r="X661" s="6">
        <f>IF(AND(W661=1,Q661&lt;=Settings!$B$36),1,0)</f>
        <v>0</v>
      </c>
    </row>
    <row r="662" spans="1:24" x14ac:dyDescent="0.2">
      <c r="A662">
        <f>Arrivals!A662</f>
        <v>6</v>
      </c>
      <c r="B662">
        <f>Arrivals!B662</f>
        <v>57</v>
      </c>
      <c r="C662" s="6">
        <f>Arrivals!F662</f>
        <v>414</v>
      </c>
      <c r="D662" s="6">
        <f>Arrivals!K662</f>
        <v>300</v>
      </c>
      <c r="E662" s="6">
        <f>D662*8/ACE_Input!S62+ACE_Input!T62</f>
        <v>24.02</v>
      </c>
      <c r="F662" s="6">
        <f t="shared" si="243"/>
        <v>414</v>
      </c>
      <c r="G662" s="6">
        <f t="shared" si="254"/>
        <v>1632.1599999999999</v>
      </c>
      <c r="H662" s="6">
        <f t="shared" si="244"/>
        <v>1632.1599999999999</v>
      </c>
      <c r="I662" s="6">
        <f>MOD(H662-Settings!$B$32,Settings!$B$33)</f>
        <v>192.15999999999985</v>
      </c>
      <c r="J662" s="6">
        <f>IF(I662&lt;Settings!$B$30,IF(Settings!$B$30-I662&gt;=E662,H662,H662+(Settings!$B$30-I662)+Settings!$B$31),H662+(Settings!$B$33-I662))</f>
        <v>1632.1599999999999</v>
      </c>
      <c r="K662" s="6">
        <f t="shared" si="245"/>
        <v>1656.1799999999998</v>
      </c>
      <c r="L662" s="6">
        <f t="shared" si="246"/>
        <v>1656.1799999999998</v>
      </c>
      <c r="M662" s="6">
        <f t="shared" si="255"/>
        <v>1632.6675340987008</v>
      </c>
      <c r="N662" s="6">
        <f t="shared" si="247"/>
        <v>1656.1799999999998</v>
      </c>
      <c r="O662" s="6">
        <f>Arrivals!I662</f>
        <v>6.1473402187181643</v>
      </c>
      <c r="P662" s="6">
        <f t="shared" si="248"/>
        <v>1662.3273402187181</v>
      </c>
      <c r="Q662" s="6">
        <f t="shared" si="249"/>
        <v>1248.3273402187181</v>
      </c>
      <c r="R662" s="6">
        <f t="shared" si="250"/>
        <v>1218.1599999999999</v>
      </c>
      <c r="S662" s="6">
        <f t="shared" si="251"/>
        <v>0</v>
      </c>
      <c r="T662" s="6">
        <f t="shared" si="252"/>
        <v>0</v>
      </c>
      <c r="U662" s="6">
        <f t="shared" si="253"/>
        <v>1218.1599999999999</v>
      </c>
      <c r="V662" s="6" t="str">
        <f>IF(MOD(C662-Settings!$B$32,Settings!$B$33)&lt;Settings!$B$30,"Up","Down")</f>
        <v>Up</v>
      </c>
      <c r="W662" s="6">
        <f>IF(OR(E662&gt;Settings!$B$30,Q662&gt;Settings!$B$37),0,1)</f>
        <v>0</v>
      </c>
      <c r="X662" s="6">
        <f>IF(AND(W662=1,Q662&lt;=Settings!$B$36),1,0)</f>
        <v>0</v>
      </c>
    </row>
    <row r="663" spans="1:24" x14ac:dyDescent="0.2">
      <c r="A663">
        <f>Arrivals!A663</f>
        <v>6</v>
      </c>
      <c r="B663">
        <f>Arrivals!B663</f>
        <v>58</v>
      </c>
      <c r="C663" s="6">
        <f>Arrivals!F663</f>
        <v>419</v>
      </c>
      <c r="D663" s="6">
        <f>Arrivals!K663</f>
        <v>300</v>
      </c>
      <c r="E663" s="6">
        <f>D663*8/ACE_Input!S63+ACE_Input!T63</f>
        <v>24.02</v>
      </c>
      <c r="F663" s="6">
        <f t="shared" si="243"/>
        <v>419</v>
      </c>
      <c r="G663" s="6">
        <f t="shared" si="254"/>
        <v>1656.1799999999998</v>
      </c>
      <c r="H663" s="6">
        <f t="shared" si="244"/>
        <v>1656.1799999999998</v>
      </c>
      <c r="I663" s="6">
        <f>MOD(H663-Settings!$B$32,Settings!$B$33)</f>
        <v>216.17999999999984</v>
      </c>
      <c r="J663" s="6">
        <f>IF(I663&lt;Settings!$B$30,IF(Settings!$B$30-I663&gt;=E663,H663,H663+(Settings!$B$30-I663)+Settings!$B$31),H663+(Settings!$B$33-I663))</f>
        <v>1656.1799999999998</v>
      </c>
      <c r="K663" s="6">
        <f t="shared" si="245"/>
        <v>1680.1999999999998</v>
      </c>
      <c r="L663" s="6">
        <f t="shared" si="246"/>
        <v>1680.1999999999998</v>
      </c>
      <c r="M663" s="6">
        <f t="shared" si="255"/>
        <v>1662.3273402187181</v>
      </c>
      <c r="N663" s="6">
        <f t="shared" si="247"/>
        <v>1680.1999999999998</v>
      </c>
      <c r="O663" s="6">
        <f>Arrivals!I663</f>
        <v>2.5784858603017407</v>
      </c>
      <c r="P663" s="6">
        <f t="shared" si="248"/>
        <v>1682.7784858603015</v>
      </c>
      <c r="Q663" s="6">
        <f t="shared" si="249"/>
        <v>1263.7784858603015</v>
      </c>
      <c r="R663" s="6">
        <f t="shared" si="250"/>
        <v>1237.1799999999998</v>
      </c>
      <c r="S663" s="6">
        <f t="shared" si="251"/>
        <v>0</v>
      </c>
      <c r="T663" s="6">
        <f t="shared" si="252"/>
        <v>0</v>
      </c>
      <c r="U663" s="6">
        <f t="shared" si="253"/>
        <v>1237.1799999999998</v>
      </c>
      <c r="V663" s="6" t="str">
        <f>IF(MOD(C663-Settings!$B$32,Settings!$B$33)&lt;Settings!$B$30,"Up","Down")</f>
        <v>Up</v>
      </c>
      <c r="W663" s="6">
        <f>IF(OR(E663&gt;Settings!$B$30,Q663&gt;Settings!$B$37),0,1)</f>
        <v>0</v>
      </c>
      <c r="X663" s="6">
        <f>IF(AND(W663=1,Q663&lt;=Settings!$B$36),1,0)</f>
        <v>0</v>
      </c>
    </row>
    <row r="664" spans="1:24" x14ac:dyDescent="0.2">
      <c r="A664">
        <f>Arrivals!A664</f>
        <v>6</v>
      </c>
      <c r="B664">
        <f>Arrivals!B664</f>
        <v>59</v>
      </c>
      <c r="C664" s="6">
        <f>Arrivals!F664</f>
        <v>424</v>
      </c>
      <c r="D664" s="6">
        <f>Arrivals!K664</f>
        <v>300</v>
      </c>
      <c r="E664" s="6">
        <f>D664*8/ACE_Input!S64+ACE_Input!T64</f>
        <v>24.02</v>
      </c>
      <c r="F664" s="6">
        <f t="shared" si="243"/>
        <v>424</v>
      </c>
      <c r="G664" s="6">
        <f t="shared" si="254"/>
        <v>1680.1999999999998</v>
      </c>
      <c r="H664" s="6">
        <f t="shared" si="244"/>
        <v>1680.1999999999998</v>
      </c>
      <c r="I664" s="6">
        <f>MOD(H664-Settings!$B$32,Settings!$B$33)</f>
        <v>240.19999999999982</v>
      </c>
      <c r="J664" s="6">
        <f>IF(I664&lt;Settings!$B$30,IF(Settings!$B$30-I664&gt;=E664,H664,H664+(Settings!$B$30-I664)+Settings!$B$31),H664+(Settings!$B$33-I664))</f>
        <v>1680.1999999999998</v>
      </c>
      <c r="K664" s="6">
        <f t="shared" si="245"/>
        <v>1704.2199999999998</v>
      </c>
      <c r="L664" s="6">
        <f t="shared" si="246"/>
        <v>1704.2199999999998</v>
      </c>
      <c r="M664" s="6">
        <f t="shared" si="255"/>
        <v>1682.7784858603015</v>
      </c>
      <c r="N664" s="6">
        <f t="shared" si="247"/>
        <v>1704.2199999999998</v>
      </c>
      <c r="O664" s="6">
        <f>Arrivals!I664</f>
        <v>4.2929566291971817</v>
      </c>
      <c r="P664" s="6">
        <f t="shared" si="248"/>
        <v>1708.5129566291969</v>
      </c>
      <c r="Q664" s="6">
        <f t="shared" si="249"/>
        <v>1284.5129566291969</v>
      </c>
      <c r="R664" s="6">
        <f t="shared" si="250"/>
        <v>1256.1999999999998</v>
      </c>
      <c r="S664" s="6">
        <f t="shared" si="251"/>
        <v>0</v>
      </c>
      <c r="T664" s="6">
        <f t="shared" si="252"/>
        <v>0</v>
      </c>
      <c r="U664" s="6">
        <f t="shared" si="253"/>
        <v>1256.1999999999998</v>
      </c>
      <c r="V664" s="6" t="str">
        <f>IF(MOD(C664-Settings!$B$32,Settings!$B$33)&lt;Settings!$B$30,"Up","Down")</f>
        <v>Up</v>
      </c>
      <c r="W664" s="6">
        <f>IF(OR(E664&gt;Settings!$B$30,Q664&gt;Settings!$B$37),0,1)</f>
        <v>0</v>
      </c>
      <c r="X664" s="6">
        <f>IF(AND(W664=1,Q664&lt;=Settings!$B$36),1,0)</f>
        <v>0</v>
      </c>
    </row>
    <row r="665" spans="1:24" x14ac:dyDescent="0.2">
      <c r="A665">
        <f>Arrivals!A665</f>
        <v>6</v>
      </c>
      <c r="B665">
        <f>Arrivals!B665</f>
        <v>60</v>
      </c>
      <c r="C665" s="6">
        <f>Arrivals!F665</f>
        <v>429</v>
      </c>
      <c r="D665" s="6">
        <f>Arrivals!K665</f>
        <v>300</v>
      </c>
      <c r="E665" s="6">
        <f>D665*8/ACE_Input!S65+ACE_Input!T65</f>
        <v>24.02</v>
      </c>
      <c r="F665" s="6">
        <f t="shared" si="243"/>
        <v>429</v>
      </c>
      <c r="G665" s="6">
        <f t="shared" si="254"/>
        <v>1704.2199999999998</v>
      </c>
      <c r="H665" s="6">
        <f t="shared" si="244"/>
        <v>1704.2199999999998</v>
      </c>
      <c r="I665" s="6">
        <f>MOD(H665-Settings!$B$32,Settings!$B$33)</f>
        <v>264.2199999999998</v>
      </c>
      <c r="J665" s="6">
        <f>IF(I665&lt;Settings!$B$30,IF(Settings!$B$30-I665&gt;=E665,H665,H665+(Settings!$B$30-I665)+Settings!$B$31),H665+(Settings!$B$33-I665))</f>
        <v>1704.2199999999998</v>
      </c>
      <c r="K665" s="6">
        <f t="shared" si="245"/>
        <v>1728.2399999999998</v>
      </c>
      <c r="L665" s="6">
        <f t="shared" si="246"/>
        <v>1728.2399999999998</v>
      </c>
      <c r="M665" s="6">
        <f t="shared" si="255"/>
        <v>1708.5129566291969</v>
      </c>
      <c r="N665" s="6">
        <f t="shared" si="247"/>
        <v>1728.2399999999998</v>
      </c>
      <c r="O665" s="6">
        <f>Arrivals!I665</f>
        <v>4.8052121766450568</v>
      </c>
      <c r="P665" s="6">
        <f t="shared" si="248"/>
        <v>1733.0452121766448</v>
      </c>
      <c r="Q665" s="6">
        <f t="shared" si="249"/>
        <v>1304.0452121766448</v>
      </c>
      <c r="R665" s="6">
        <f t="shared" si="250"/>
        <v>1275.2199999999998</v>
      </c>
      <c r="S665" s="6">
        <f t="shared" si="251"/>
        <v>0</v>
      </c>
      <c r="T665" s="6">
        <f t="shared" si="252"/>
        <v>0</v>
      </c>
      <c r="U665" s="6">
        <f t="shared" si="253"/>
        <v>1275.2199999999998</v>
      </c>
      <c r="V665" s="6" t="str">
        <f>IF(MOD(C665-Settings!$B$32,Settings!$B$33)&lt;Settings!$B$30,"Up","Down")</f>
        <v>Up</v>
      </c>
      <c r="W665" s="6">
        <f>IF(OR(E665&gt;Settings!$B$30,Q665&gt;Settings!$B$37),0,1)</f>
        <v>0</v>
      </c>
      <c r="X665" s="6">
        <f>IF(AND(W665=1,Q665&lt;=Settings!$B$36),1,0)</f>
        <v>0</v>
      </c>
    </row>
    <row r="666" spans="1:24" x14ac:dyDescent="0.2">
      <c r="A666">
        <f>Arrivals!A666</f>
        <v>6</v>
      </c>
      <c r="B666">
        <f>Arrivals!B666</f>
        <v>61</v>
      </c>
      <c r="C666" s="6">
        <f>Arrivals!F666</f>
        <v>434</v>
      </c>
      <c r="D666" s="6">
        <f>Arrivals!K666</f>
        <v>300</v>
      </c>
      <c r="E666" s="6">
        <f>D666*8/ACE_Input!S66+ACE_Input!T66</f>
        <v>24.02</v>
      </c>
      <c r="F666" s="6">
        <f t="shared" si="243"/>
        <v>434</v>
      </c>
      <c r="G666" s="6">
        <f t="shared" si="254"/>
        <v>1728.2399999999998</v>
      </c>
      <c r="H666" s="6">
        <f t="shared" si="244"/>
        <v>1728.2399999999998</v>
      </c>
      <c r="I666" s="6">
        <f>MOD(H666-Settings!$B$32,Settings!$B$33)</f>
        <v>288.23999999999978</v>
      </c>
      <c r="J666" s="6">
        <f>IF(I666&lt;Settings!$B$30,IF(Settings!$B$30-I666&gt;=E666,H666,H666+(Settings!$B$30-I666)+Settings!$B$31),H666+(Settings!$B$33-I666))</f>
        <v>1728.2399999999998</v>
      </c>
      <c r="K666" s="6">
        <f t="shared" si="245"/>
        <v>1752.2599999999998</v>
      </c>
      <c r="L666" s="6">
        <f t="shared" si="246"/>
        <v>1752.2599999999998</v>
      </c>
      <c r="M666" s="6">
        <f t="shared" si="255"/>
        <v>1733.0452121766448</v>
      </c>
      <c r="N666" s="6">
        <f t="shared" si="247"/>
        <v>1752.2599999999998</v>
      </c>
      <c r="O666" s="6">
        <f>Arrivals!I666</f>
        <v>2.1845484498947112</v>
      </c>
      <c r="P666" s="6">
        <f t="shared" si="248"/>
        <v>1754.4445484498945</v>
      </c>
      <c r="Q666" s="6">
        <f t="shared" si="249"/>
        <v>1320.4445484498945</v>
      </c>
      <c r="R666" s="6">
        <f t="shared" si="250"/>
        <v>1294.2399999999998</v>
      </c>
      <c r="S666" s="6">
        <f t="shared" si="251"/>
        <v>0</v>
      </c>
      <c r="T666" s="6">
        <f t="shared" si="252"/>
        <v>0</v>
      </c>
      <c r="U666" s="6">
        <f t="shared" si="253"/>
        <v>1294.2399999999998</v>
      </c>
      <c r="V666" s="6" t="str">
        <f>IF(MOD(C666-Settings!$B$32,Settings!$B$33)&lt;Settings!$B$30,"Up","Down")</f>
        <v>Up</v>
      </c>
      <c r="W666" s="6">
        <f>IF(OR(E666&gt;Settings!$B$30,Q666&gt;Settings!$B$37),0,1)</f>
        <v>0</v>
      </c>
      <c r="X666" s="6">
        <f>IF(AND(W666=1,Q666&lt;=Settings!$B$36),1,0)</f>
        <v>0</v>
      </c>
    </row>
    <row r="667" spans="1:24" x14ac:dyDescent="0.2">
      <c r="A667">
        <f>Arrivals!A667</f>
        <v>6</v>
      </c>
      <c r="B667">
        <f>Arrivals!B667</f>
        <v>62</v>
      </c>
      <c r="C667" s="6">
        <f>Arrivals!F667</f>
        <v>439</v>
      </c>
      <c r="D667" s="6">
        <f>Arrivals!K667</f>
        <v>300</v>
      </c>
      <c r="E667" s="6">
        <f>D667*8/ACE_Input!S67+ACE_Input!T67</f>
        <v>24.02</v>
      </c>
      <c r="F667" s="6">
        <f t="shared" si="243"/>
        <v>439</v>
      </c>
      <c r="G667" s="6">
        <f t="shared" si="254"/>
        <v>1752.2599999999998</v>
      </c>
      <c r="H667" s="6">
        <f t="shared" si="244"/>
        <v>1752.2599999999998</v>
      </c>
      <c r="I667" s="6">
        <f>MOD(H667-Settings!$B$32,Settings!$B$33)</f>
        <v>312.25999999999976</v>
      </c>
      <c r="J667" s="6">
        <f>IF(I667&lt;Settings!$B$30,IF(Settings!$B$30-I667&gt;=E667,H667,H667+(Settings!$B$30-I667)+Settings!$B$31),H667+(Settings!$B$33-I667))</f>
        <v>1752.2599999999998</v>
      </c>
      <c r="K667" s="6">
        <f t="shared" si="245"/>
        <v>1776.2799999999997</v>
      </c>
      <c r="L667" s="6">
        <f t="shared" si="246"/>
        <v>1776.2799999999997</v>
      </c>
      <c r="M667" s="6">
        <f t="shared" si="255"/>
        <v>1754.4445484498945</v>
      </c>
      <c r="N667" s="6">
        <f t="shared" si="247"/>
        <v>1776.2799999999997</v>
      </c>
      <c r="O667" s="6">
        <f>Arrivals!I667</f>
        <v>4.4891552263933798</v>
      </c>
      <c r="P667" s="6">
        <f t="shared" si="248"/>
        <v>1780.7691552263932</v>
      </c>
      <c r="Q667" s="6">
        <f t="shared" si="249"/>
        <v>1341.7691552263932</v>
      </c>
      <c r="R667" s="6">
        <f t="shared" si="250"/>
        <v>1313.2599999999998</v>
      </c>
      <c r="S667" s="6">
        <f t="shared" si="251"/>
        <v>0</v>
      </c>
      <c r="T667" s="6">
        <f t="shared" si="252"/>
        <v>0</v>
      </c>
      <c r="U667" s="6">
        <f t="shared" si="253"/>
        <v>1313.2599999999998</v>
      </c>
      <c r="V667" s="6" t="str">
        <f>IF(MOD(C667-Settings!$B$32,Settings!$B$33)&lt;Settings!$B$30,"Up","Down")</f>
        <v>Up</v>
      </c>
      <c r="W667" s="6">
        <f>IF(OR(E667&gt;Settings!$B$30,Q667&gt;Settings!$B$37),0,1)</f>
        <v>0</v>
      </c>
      <c r="X667" s="6">
        <f>IF(AND(W667=1,Q667&lt;=Settings!$B$36),1,0)</f>
        <v>0</v>
      </c>
    </row>
    <row r="668" spans="1:24" x14ac:dyDescent="0.2">
      <c r="A668">
        <f>Arrivals!A668</f>
        <v>6</v>
      </c>
      <c r="B668">
        <f>Arrivals!B668</f>
        <v>63</v>
      </c>
      <c r="C668" s="6">
        <f>Arrivals!F668</f>
        <v>444</v>
      </c>
      <c r="D668" s="6">
        <f>Arrivals!K668</f>
        <v>300</v>
      </c>
      <c r="E668" s="6">
        <f>D668*8/ACE_Input!S68+ACE_Input!T68</f>
        <v>24.02</v>
      </c>
      <c r="F668" s="6">
        <f t="shared" si="243"/>
        <v>444</v>
      </c>
      <c r="G668" s="6">
        <f t="shared" si="254"/>
        <v>1776.2799999999997</v>
      </c>
      <c r="H668" s="6">
        <f t="shared" si="244"/>
        <v>1776.2799999999997</v>
      </c>
      <c r="I668" s="6">
        <f>MOD(H668-Settings!$B$32,Settings!$B$33)</f>
        <v>336.27999999999975</v>
      </c>
      <c r="J668" s="6">
        <f>IF(I668&lt;Settings!$B$30,IF(Settings!$B$30-I668&gt;=E668,H668,H668+(Settings!$B$30-I668)+Settings!$B$31),H668+(Settings!$B$33-I668))</f>
        <v>1776.2799999999997</v>
      </c>
      <c r="K668" s="6">
        <f t="shared" si="245"/>
        <v>1800.2999999999997</v>
      </c>
      <c r="L668" s="6">
        <f t="shared" si="246"/>
        <v>1800.2999999999997</v>
      </c>
      <c r="M668" s="6">
        <f t="shared" si="255"/>
        <v>1780.7691552263932</v>
      </c>
      <c r="N668" s="6">
        <f t="shared" si="247"/>
        <v>1800.2999999999997</v>
      </c>
      <c r="O668" s="6">
        <f>Arrivals!I668</f>
        <v>5.5847503893061212</v>
      </c>
      <c r="P668" s="6">
        <f t="shared" si="248"/>
        <v>1805.8847503893057</v>
      </c>
      <c r="Q668" s="6">
        <f t="shared" si="249"/>
        <v>1361.8847503893057</v>
      </c>
      <c r="R668" s="6">
        <f t="shared" si="250"/>
        <v>1332.2799999999997</v>
      </c>
      <c r="S668" s="6">
        <f t="shared" si="251"/>
        <v>0</v>
      </c>
      <c r="T668" s="6">
        <f t="shared" si="252"/>
        <v>0</v>
      </c>
      <c r="U668" s="6">
        <f t="shared" si="253"/>
        <v>1332.2799999999997</v>
      </c>
      <c r="V668" s="6" t="str">
        <f>IF(MOD(C668-Settings!$B$32,Settings!$B$33)&lt;Settings!$B$30,"Up","Down")</f>
        <v>Up</v>
      </c>
      <c r="W668" s="6">
        <f>IF(OR(E668&gt;Settings!$B$30,Q668&gt;Settings!$B$37),0,1)</f>
        <v>0</v>
      </c>
      <c r="X668" s="6">
        <f>IF(AND(W668=1,Q668&lt;=Settings!$B$36),1,0)</f>
        <v>0</v>
      </c>
    </row>
    <row r="669" spans="1:24" x14ac:dyDescent="0.2">
      <c r="A669">
        <f>Arrivals!A669</f>
        <v>6</v>
      </c>
      <c r="B669">
        <f>Arrivals!B669</f>
        <v>64</v>
      </c>
      <c r="C669" s="6">
        <f>Arrivals!F669</f>
        <v>449</v>
      </c>
      <c r="D669" s="6">
        <f>Arrivals!K669</f>
        <v>300</v>
      </c>
      <c r="E669" s="6">
        <f>D669*8/ACE_Input!S69+ACE_Input!T69</f>
        <v>24.02</v>
      </c>
      <c r="F669" s="6">
        <f t="shared" si="243"/>
        <v>449</v>
      </c>
      <c r="G669" s="6">
        <f t="shared" si="254"/>
        <v>1800.2999999999997</v>
      </c>
      <c r="H669" s="6">
        <f t="shared" si="244"/>
        <v>1800.2999999999997</v>
      </c>
      <c r="I669" s="6">
        <f>MOD(H669-Settings!$B$32,Settings!$B$33)</f>
        <v>360.29999999999973</v>
      </c>
      <c r="J669" s="6">
        <f>IF(I669&lt;Settings!$B$30,IF(Settings!$B$30-I669&gt;=E669,H669,H669+(Settings!$B$30-I669)+Settings!$B$31),H669+(Settings!$B$33-I669))</f>
        <v>1800.2999999999997</v>
      </c>
      <c r="K669" s="6">
        <f t="shared" si="245"/>
        <v>1824.3199999999997</v>
      </c>
      <c r="L669" s="6">
        <f t="shared" si="246"/>
        <v>1824.3199999999997</v>
      </c>
      <c r="M669" s="6">
        <f t="shared" si="255"/>
        <v>1805.8847503893057</v>
      </c>
      <c r="N669" s="6">
        <f t="shared" si="247"/>
        <v>1824.3199999999997</v>
      </c>
      <c r="O669" s="6">
        <f>Arrivals!I669</f>
        <v>3.8072173509238989</v>
      </c>
      <c r="P669" s="6">
        <f t="shared" si="248"/>
        <v>1828.1272173509235</v>
      </c>
      <c r="Q669" s="6">
        <f t="shared" si="249"/>
        <v>1379.1272173509235</v>
      </c>
      <c r="R669" s="6">
        <f t="shared" si="250"/>
        <v>1351.2999999999997</v>
      </c>
      <c r="S669" s="6">
        <f t="shared" si="251"/>
        <v>0</v>
      </c>
      <c r="T669" s="6">
        <f t="shared" si="252"/>
        <v>0</v>
      </c>
      <c r="U669" s="6">
        <f t="shared" si="253"/>
        <v>1351.2999999999997</v>
      </c>
      <c r="V669" s="6" t="str">
        <f>IF(MOD(C669-Settings!$B$32,Settings!$B$33)&lt;Settings!$B$30,"Up","Down")</f>
        <v>Up</v>
      </c>
      <c r="W669" s="6">
        <f>IF(OR(E669&gt;Settings!$B$30,Q669&gt;Settings!$B$37),0,1)</f>
        <v>0</v>
      </c>
      <c r="X669" s="6">
        <f>IF(AND(W669=1,Q669&lt;=Settings!$B$36),1,0)</f>
        <v>0</v>
      </c>
    </row>
    <row r="670" spans="1:24" x14ac:dyDescent="0.2">
      <c r="A670">
        <f>Arrivals!A670</f>
        <v>6</v>
      </c>
      <c r="B670">
        <f>Arrivals!B670</f>
        <v>65</v>
      </c>
      <c r="C670" s="6">
        <f>Arrivals!F670</f>
        <v>454</v>
      </c>
      <c r="D670" s="6">
        <f>Arrivals!K670</f>
        <v>300</v>
      </c>
      <c r="E670" s="6">
        <f>D670*8/ACE_Input!S70+ACE_Input!T70</f>
        <v>24.02</v>
      </c>
      <c r="F670" s="6">
        <f t="shared" ref="F670:F705" si="256">C670</f>
        <v>454</v>
      </c>
      <c r="G670" s="6">
        <f t="shared" si="254"/>
        <v>1824.3199999999997</v>
      </c>
      <c r="H670" s="6">
        <f t="shared" ref="H670:H701" si="257">MAX(F670,G670)</f>
        <v>1824.3199999999997</v>
      </c>
      <c r="I670" s="6">
        <f>MOD(H670-Settings!$B$32,Settings!$B$33)</f>
        <v>384.31999999999971</v>
      </c>
      <c r="J670" s="6">
        <f>IF(I670&lt;Settings!$B$30,IF(Settings!$B$30-I670&gt;=E670,H670,H670+(Settings!$B$30-I670)+Settings!$B$31),H670+(Settings!$B$33-I670))</f>
        <v>1824.3199999999997</v>
      </c>
      <c r="K670" s="6">
        <f t="shared" ref="K670:K701" si="258">J670+E670</f>
        <v>1848.3399999999997</v>
      </c>
      <c r="L670" s="6">
        <f t="shared" ref="L670:L701" si="259">K670</f>
        <v>1848.3399999999997</v>
      </c>
      <c r="M670" s="6">
        <f t="shared" si="255"/>
        <v>1828.1272173509235</v>
      </c>
      <c r="N670" s="6">
        <f t="shared" ref="N670:N701" si="260">MAX(L670,M670)</f>
        <v>1848.3399999999997</v>
      </c>
      <c r="O670" s="6">
        <f>Arrivals!I670</f>
        <v>5.7278618369221288</v>
      </c>
      <c r="P670" s="6">
        <f t="shared" ref="P670:P701" si="261">N670+O670</f>
        <v>1854.0678618369218</v>
      </c>
      <c r="Q670" s="6">
        <f t="shared" ref="Q670:Q701" si="262">P670-C670</f>
        <v>1400.0678618369218</v>
      </c>
      <c r="R670" s="6">
        <f t="shared" ref="R670:R705" si="263">H670-F670</f>
        <v>1370.3199999999997</v>
      </c>
      <c r="S670" s="6">
        <f t="shared" ref="S670:S705" si="264">J670-H670</f>
        <v>0</v>
      </c>
      <c r="T670" s="6">
        <f t="shared" ref="T670:T705" si="265">N670-L670</f>
        <v>0</v>
      </c>
      <c r="U670" s="6">
        <f t="shared" ref="U670:U701" si="266">R670+S670+T670</f>
        <v>1370.3199999999997</v>
      </c>
      <c r="V670" s="6" t="str">
        <f>IF(MOD(C670-Settings!$B$32,Settings!$B$33)&lt;Settings!$B$30,"Up","Down")</f>
        <v>Up</v>
      </c>
      <c r="W670" s="6">
        <f>IF(OR(E670&gt;Settings!$B$30,Q670&gt;Settings!$B$37),0,1)</f>
        <v>0</v>
      </c>
      <c r="X670" s="6">
        <f>IF(AND(W670=1,Q670&lt;=Settings!$B$36),1,0)</f>
        <v>0</v>
      </c>
    </row>
    <row r="671" spans="1:24" x14ac:dyDescent="0.2">
      <c r="A671">
        <f>Arrivals!A671</f>
        <v>6</v>
      </c>
      <c r="B671">
        <f>Arrivals!B671</f>
        <v>66</v>
      </c>
      <c r="C671" s="6">
        <f>Arrivals!F671</f>
        <v>459</v>
      </c>
      <c r="D671" s="6">
        <f>Arrivals!K671</f>
        <v>300</v>
      </c>
      <c r="E671" s="6">
        <f>D671*8/ACE_Input!S71+ACE_Input!T71</f>
        <v>24.02</v>
      </c>
      <c r="F671" s="6">
        <f t="shared" si="256"/>
        <v>459</v>
      </c>
      <c r="G671" s="6">
        <f t="shared" ref="G671:G705" si="267">K670</f>
        <v>1848.3399999999997</v>
      </c>
      <c r="H671" s="6">
        <f t="shared" si="257"/>
        <v>1848.3399999999997</v>
      </c>
      <c r="I671" s="6">
        <f>MOD(H671-Settings!$B$32,Settings!$B$33)</f>
        <v>408.33999999999969</v>
      </c>
      <c r="J671" s="6">
        <f>IF(I671&lt;Settings!$B$30,IF(Settings!$B$30-I671&gt;=E671,H671,H671+(Settings!$B$30-I671)+Settings!$B$31),H671+(Settings!$B$33-I671))</f>
        <v>1848.3399999999997</v>
      </c>
      <c r="K671" s="6">
        <f t="shared" si="258"/>
        <v>1872.3599999999997</v>
      </c>
      <c r="L671" s="6">
        <f t="shared" si="259"/>
        <v>1872.3599999999997</v>
      </c>
      <c r="M671" s="6">
        <f t="shared" ref="M671:M705" si="268">P670</f>
        <v>1854.0678618369218</v>
      </c>
      <c r="N671" s="6">
        <f t="shared" si="260"/>
        <v>1872.3599999999997</v>
      </c>
      <c r="O671" s="6">
        <f>Arrivals!I671</f>
        <v>7.1443459127037965</v>
      </c>
      <c r="P671" s="6">
        <f t="shared" si="261"/>
        <v>1879.5043459127035</v>
      </c>
      <c r="Q671" s="6">
        <f t="shared" si="262"/>
        <v>1420.5043459127035</v>
      </c>
      <c r="R671" s="6">
        <f t="shared" si="263"/>
        <v>1389.3399999999997</v>
      </c>
      <c r="S671" s="6">
        <f t="shared" si="264"/>
        <v>0</v>
      </c>
      <c r="T671" s="6">
        <f t="shared" si="265"/>
        <v>0</v>
      </c>
      <c r="U671" s="6">
        <f t="shared" si="266"/>
        <v>1389.3399999999997</v>
      </c>
      <c r="V671" s="6" t="str">
        <f>IF(MOD(C671-Settings!$B$32,Settings!$B$33)&lt;Settings!$B$30,"Up","Down")</f>
        <v>Up</v>
      </c>
      <c r="W671" s="6">
        <f>IF(OR(E671&gt;Settings!$B$30,Q671&gt;Settings!$B$37),0,1)</f>
        <v>0</v>
      </c>
      <c r="X671" s="6">
        <f>IF(AND(W671=1,Q671&lt;=Settings!$B$36),1,0)</f>
        <v>0</v>
      </c>
    </row>
    <row r="672" spans="1:24" x14ac:dyDescent="0.2">
      <c r="A672">
        <f>Arrivals!A672</f>
        <v>6</v>
      </c>
      <c r="B672">
        <f>Arrivals!B672</f>
        <v>67</v>
      </c>
      <c r="C672" s="6">
        <f>Arrivals!F672</f>
        <v>474</v>
      </c>
      <c r="D672" s="6">
        <f>Arrivals!K672</f>
        <v>300</v>
      </c>
      <c r="E672" s="6">
        <f>D672*8/ACE_Input!S72+ACE_Input!T72</f>
        <v>24.02</v>
      </c>
      <c r="F672" s="6">
        <f t="shared" si="256"/>
        <v>474</v>
      </c>
      <c r="G672" s="6">
        <f t="shared" si="267"/>
        <v>1872.3599999999997</v>
      </c>
      <c r="H672" s="6">
        <f t="shared" si="257"/>
        <v>1872.3599999999997</v>
      </c>
      <c r="I672" s="6">
        <f>MOD(H672-Settings!$B$32,Settings!$B$33)</f>
        <v>432.35999999999967</v>
      </c>
      <c r="J672" s="6">
        <f>IF(I672&lt;Settings!$B$30,IF(Settings!$B$30-I672&gt;=E672,H672,H672+(Settings!$B$30-I672)+Settings!$B$31),H672+(Settings!$B$33-I672))</f>
        <v>1872.3599999999997</v>
      </c>
      <c r="K672" s="6">
        <f t="shared" si="258"/>
        <v>1896.3799999999997</v>
      </c>
      <c r="L672" s="6">
        <f t="shared" si="259"/>
        <v>1896.3799999999997</v>
      </c>
      <c r="M672" s="6">
        <f t="shared" si="268"/>
        <v>1879.5043459127035</v>
      </c>
      <c r="N672" s="6">
        <f t="shared" si="260"/>
        <v>1896.3799999999997</v>
      </c>
      <c r="O672" s="6">
        <f>Arrivals!I672</f>
        <v>9.0990941345070766</v>
      </c>
      <c r="P672" s="6">
        <f t="shared" si="261"/>
        <v>1905.4790941345068</v>
      </c>
      <c r="Q672" s="6">
        <f t="shared" si="262"/>
        <v>1431.4790941345068</v>
      </c>
      <c r="R672" s="6">
        <f t="shared" si="263"/>
        <v>1398.3599999999997</v>
      </c>
      <c r="S672" s="6">
        <f t="shared" si="264"/>
        <v>0</v>
      </c>
      <c r="T672" s="6">
        <f t="shared" si="265"/>
        <v>0</v>
      </c>
      <c r="U672" s="6">
        <f t="shared" si="266"/>
        <v>1398.3599999999997</v>
      </c>
      <c r="V672" s="6" t="str">
        <f>IF(MOD(C672-Settings!$B$32,Settings!$B$33)&lt;Settings!$B$30,"Up","Down")</f>
        <v>Up</v>
      </c>
      <c r="W672" s="6">
        <f>IF(OR(E672&gt;Settings!$B$30,Q672&gt;Settings!$B$37),0,1)</f>
        <v>0</v>
      </c>
      <c r="X672" s="6">
        <f>IF(AND(W672=1,Q672&lt;=Settings!$B$36),1,0)</f>
        <v>0</v>
      </c>
    </row>
    <row r="673" spans="1:24" x14ac:dyDescent="0.2">
      <c r="A673">
        <f>Arrivals!A673</f>
        <v>6</v>
      </c>
      <c r="B673">
        <f>Arrivals!B673</f>
        <v>68</v>
      </c>
      <c r="C673" s="6">
        <f>Arrivals!F673</f>
        <v>479</v>
      </c>
      <c r="D673" s="6">
        <f>Arrivals!K673</f>
        <v>300</v>
      </c>
      <c r="E673" s="6">
        <f>D673*8/ACE_Input!S73+ACE_Input!T73</f>
        <v>24.02</v>
      </c>
      <c r="F673" s="6">
        <f t="shared" si="256"/>
        <v>479</v>
      </c>
      <c r="G673" s="6">
        <f t="shared" si="267"/>
        <v>1896.3799999999997</v>
      </c>
      <c r="H673" s="6">
        <f t="shared" si="257"/>
        <v>1896.3799999999997</v>
      </c>
      <c r="I673" s="6">
        <f>MOD(H673-Settings!$B$32,Settings!$B$33)</f>
        <v>456.37999999999965</v>
      </c>
      <c r="J673" s="6">
        <f>IF(I673&lt;Settings!$B$30,IF(Settings!$B$30-I673&gt;=E673,H673,H673+(Settings!$B$30-I673)+Settings!$B$31),H673+(Settings!$B$33-I673))</f>
        <v>1896.3799999999997</v>
      </c>
      <c r="K673" s="6">
        <f t="shared" si="258"/>
        <v>1920.3999999999996</v>
      </c>
      <c r="L673" s="6">
        <f t="shared" si="259"/>
        <v>1920.3999999999996</v>
      </c>
      <c r="M673" s="6">
        <f t="shared" si="268"/>
        <v>1905.4790941345068</v>
      </c>
      <c r="N673" s="6">
        <f t="shared" si="260"/>
        <v>1920.3999999999996</v>
      </c>
      <c r="O673" s="6">
        <f>Arrivals!I673</f>
        <v>9.2524790353852691</v>
      </c>
      <c r="P673" s="6">
        <f t="shared" si="261"/>
        <v>1929.6524790353849</v>
      </c>
      <c r="Q673" s="6">
        <f t="shared" si="262"/>
        <v>1450.6524790353849</v>
      </c>
      <c r="R673" s="6">
        <f t="shared" si="263"/>
        <v>1417.3799999999997</v>
      </c>
      <c r="S673" s="6">
        <f t="shared" si="264"/>
        <v>0</v>
      </c>
      <c r="T673" s="6">
        <f t="shared" si="265"/>
        <v>0</v>
      </c>
      <c r="U673" s="6">
        <f t="shared" si="266"/>
        <v>1417.3799999999997</v>
      </c>
      <c r="V673" s="6" t="str">
        <f>IF(MOD(C673-Settings!$B$32,Settings!$B$33)&lt;Settings!$B$30,"Up","Down")</f>
        <v>Up</v>
      </c>
      <c r="W673" s="6">
        <f>IF(OR(E673&gt;Settings!$B$30,Q673&gt;Settings!$B$37),0,1)</f>
        <v>0</v>
      </c>
      <c r="X673" s="6">
        <f>IF(AND(W673=1,Q673&lt;=Settings!$B$36),1,0)</f>
        <v>0</v>
      </c>
    </row>
    <row r="674" spans="1:24" x14ac:dyDescent="0.2">
      <c r="A674">
        <f>Arrivals!A674</f>
        <v>6</v>
      </c>
      <c r="B674">
        <f>Arrivals!B674</f>
        <v>69</v>
      </c>
      <c r="C674" s="6">
        <f>Arrivals!F674</f>
        <v>494</v>
      </c>
      <c r="D674" s="6">
        <f>Arrivals!K674</f>
        <v>300</v>
      </c>
      <c r="E674" s="6">
        <f>D674*8/ACE_Input!S74+ACE_Input!T74</f>
        <v>24.02</v>
      </c>
      <c r="F674" s="6">
        <f t="shared" si="256"/>
        <v>494</v>
      </c>
      <c r="G674" s="6">
        <f t="shared" si="267"/>
        <v>1920.3999999999996</v>
      </c>
      <c r="H674" s="6">
        <f t="shared" si="257"/>
        <v>1920.3999999999996</v>
      </c>
      <c r="I674" s="6">
        <f>MOD(H674-Settings!$B$32,Settings!$B$33)</f>
        <v>480.39999999999964</v>
      </c>
      <c r="J674" s="6">
        <f>IF(I674&lt;Settings!$B$30,IF(Settings!$B$30-I674&gt;=E674,H674,H674+(Settings!$B$30-I674)+Settings!$B$31),H674+(Settings!$B$33-I674))</f>
        <v>1920.3999999999996</v>
      </c>
      <c r="K674" s="6">
        <f t="shared" si="258"/>
        <v>1944.4199999999996</v>
      </c>
      <c r="L674" s="6">
        <f t="shared" si="259"/>
        <v>1944.4199999999996</v>
      </c>
      <c r="M674" s="6">
        <f t="shared" si="268"/>
        <v>1929.6524790353849</v>
      </c>
      <c r="N674" s="6">
        <f t="shared" si="260"/>
        <v>1944.4199999999996</v>
      </c>
      <c r="O674" s="6">
        <f>Arrivals!I674</f>
        <v>9.7526192447681375</v>
      </c>
      <c r="P674" s="6">
        <f t="shared" si="261"/>
        <v>1954.1726192447677</v>
      </c>
      <c r="Q674" s="6">
        <f t="shared" si="262"/>
        <v>1460.1726192447677</v>
      </c>
      <c r="R674" s="6">
        <f t="shared" si="263"/>
        <v>1426.3999999999996</v>
      </c>
      <c r="S674" s="6">
        <f t="shared" si="264"/>
        <v>0</v>
      </c>
      <c r="T674" s="6">
        <f t="shared" si="265"/>
        <v>0</v>
      </c>
      <c r="U674" s="6">
        <f t="shared" si="266"/>
        <v>1426.3999999999996</v>
      </c>
      <c r="V674" s="6" t="str">
        <f>IF(MOD(C674-Settings!$B$32,Settings!$B$33)&lt;Settings!$B$30,"Up","Down")</f>
        <v>Up</v>
      </c>
      <c r="W674" s="6">
        <f>IF(OR(E674&gt;Settings!$B$30,Q674&gt;Settings!$B$37),0,1)</f>
        <v>0</v>
      </c>
      <c r="X674" s="6">
        <f>IF(AND(W674=1,Q674&lt;=Settings!$B$36),1,0)</f>
        <v>0</v>
      </c>
    </row>
    <row r="675" spans="1:24" x14ac:dyDescent="0.2">
      <c r="A675">
        <f>Arrivals!A675</f>
        <v>6</v>
      </c>
      <c r="B675">
        <f>Arrivals!B675</f>
        <v>70</v>
      </c>
      <c r="C675" s="6">
        <f>Arrivals!F675</f>
        <v>499</v>
      </c>
      <c r="D675" s="6">
        <f>Arrivals!K675</f>
        <v>300</v>
      </c>
      <c r="E675" s="6">
        <f>D675*8/ACE_Input!S75+ACE_Input!T75</f>
        <v>24.02</v>
      </c>
      <c r="F675" s="6">
        <f t="shared" si="256"/>
        <v>499</v>
      </c>
      <c r="G675" s="6">
        <f t="shared" si="267"/>
        <v>1944.4199999999996</v>
      </c>
      <c r="H675" s="6">
        <f t="shared" si="257"/>
        <v>1944.4199999999996</v>
      </c>
      <c r="I675" s="6">
        <f>MOD(H675-Settings!$B$32,Settings!$B$33)</f>
        <v>504.41999999999962</v>
      </c>
      <c r="J675" s="6">
        <f>IF(I675&lt;Settings!$B$30,IF(Settings!$B$30-I675&gt;=E675,H675,H675+(Settings!$B$30-I675)+Settings!$B$31),H675+(Settings!$B$33-I675))</f>
        <v>1944.4199999999996</v>
      </c>
      <c r="K675" s="6">
        <f t="shared" si="258"/>
        <v>1968.4399999999996</v>
      </c>
      <c r="L675" s="6">
        <f t="shared" si="259"/>
        <v>1968.4399999999996</v>
      </c>
      <c r="M675" s="6">
        <f t="shared" si="268"/>
        <v>1954.1726192447677</v>
      </c>
      <c r="N675" s="6">
        <f t="shared" si="260"/>
        <v>1968.4399999999996</v>
      </c>
      <c r="O675" s="6">
        <f>Arrivals!I675</f>
        <v>1.9252880875136973</v>
      </c>
      <c r="P675" s="6">
        <f t="shared" si="261"/>
        <v>1970.3652880875134</v>
      </c>
      <c r="Q675" s="6">
        <f t="shared" si="262"/>
        <v>1471.3652880875134</v>
      </c>
      <c r="R675" s="6">
        <f t="shared" si="263"/>
        <v>1445.4199999999996</v>
      </c>
      <c r="S675" s="6">
        <f t="shared" si="264"/>
        <v>0</v>
      </c>
      <c r="T675" s="6">
        <f t="shared" si="265"/>
        <v>0</v>
      </c>
      <c r="U675" s="6">
        <f t="shared" si="266"/>
        <v>1445.4199999999996</v>
      </c>
      <c r="V675" s="6" t="str">
        <f>IF(MOD(C675-Settings!$B$32,Settings!$B$33)&lt;Settings!$B$30,"Up","Down")</f>
        <v>Up</v>
      </c>
      <c r="W675" s="6">
        <f>IF(OR(E675&gt;Settings!$B$30,Q675&gt;Settings!$B$37),0,1)</f>
        <v>0</v>
      </c>
      <c r="X675" s="6">
        <f>IF(AND(W675=1,Q675&lt;=Settings!$B$36),1,0)</f>
        <v>0</v>
      </c>
    </row>
    <row r="676" spans="1:24" x14ac:dyDescent="0.2">
      <c r="A676">
        <f>Arrivals!A676</f>
        <v>6</v>
      </c>
      <c r="B676">
        <f>Arrivals!B676</f>
        <v>71</v>
      </c>
      <c r="C676" s="6">
        <f>Arrivals!F676</f>
        <v>504</v>
      </c>
      <c r="D676" s="6">
        <f>Arrivals!K676</f>
        <v>300</v>
      </c>
      <c r="E676" s="6">
        <f>D676*8/ACE_Input!S76+ACE_Input!T76</f>
        <v>24.02</v>
      </c>
      <c r="F676" s="6">
        <f t="shared" si="256"/>
        <v>504</v>
      </c>
      <c r="G676" s="6">
        <f t="shared" si="267"/>
        <v>1968.4399999999996</v>
      </c>
      <c r="H676" s="6">
        <f t="shared" si="257"/>
        <v>1968.4399999999996</v>
      </c>
      <c r="I676" s="6">
        <f>MOD(H676-Settings!$B$32,Settings!$B$33)</f>
        <v>528.4399999999996</v>
      </c>
      <c r="J676" s="6">
        <f>IF(I676&lt;Settings!$B$30,IF(Settings!$B$30-I676&gt;=E676,H676,H676+(Settings!$B$30-I676)+Settings!$B$31),H676+(Settings!$B$33-I676))</f>
        <v>1968.4399999999996</v>
      </c>
      <c r="K676" s="6">
        <f t="shared" si="258"/>
        <v>1992.4599999999996</v>
      </c>
      <c r="L676" s="6">
        <f t="shared" si="259"/>
        <v>1992.4599999999996</v>
      </c>
      <c r="M676" s="6">
        <f t="shared" si="268"/>
        <v>1970.3652880875134</v>
      </c>
      <c r="N676" s="6">
        <f t="shared" si="260"/>
        <v>1992.4599999999996</v>
      </c>
      <c r="O676" s="6">
        <f>Arrivals!I676</f>
        <v>7.5180405451683434</v>
      </c>
      <c r="P676" s="6">
        <f t="shared" si="261"/>
        <v>1999.9780405451679</v>
      </c>
      <c r="Q676" s="6">
        <f t="shared" si="262"/>
        <v>1495.9780405451679</v>
      </c>
      <c r="R676" s="6">
        <f t="shared" si="263"/>
        <v>1464.4399999999996</v>
      </c>
      <c r="S676" s="6">
        <f t="shared" si="264"/>
        <v>0</v>
      </c>
      <c r="T676" s="6">
        <f t="shared" si="265"/>
        <v>0</v>
      </c>
      <c r="U676" s="6">
        <f t="shared" si="266"/>
        <v>1464.4399999999996</v>
      </c>
      <c r="V676" s="6" t="str">
        <f>IF(MOD(C676-Settings!$B$32,Settings!$B$33)&lt;Settings!$B$30,"Up","Down")</f>
        <v>Up</v>
      </c>
      <c r="W676" s="6">
        <f>IF(OR(E676&gt;Settings!$B$30,Q676&gt;Settings!$B$37),0,1)</f>
        <v>0</v>
      </c>
      <c r="X676" s="6">
        <f>IF(AND(W676=1,Q676&lt;=Settings!$B$36),1,0)</f>
        <v>0</v>
      </c>
    </row>
    <row r="677" spans="1:24" x14ac:dyDescent="0.2">
      <c r="A677">
        <f>Arrivals!A677</f>
        <v>6</v>
      </c>
      <c r="B677">
        <f>Arrivals!B677</f>
        <v>72</v>
      </c>
      <c r="C677" s="6">
        <f>Arrivals!F677</f>
        <v>509</v>
      </c>
      <c r="D677" s="6">
        <f>Arrivals!K677</f>
        <v>300</v>
      </c>
      <c r="E677" s="6">
        <f>D677*8/ACE_Input!S77+ACE_Input!T77</f>
        <v>24.02</v>
      </c>
      <c r="F677" s="6">
        <f t="shared" si="256"/>
        <v>509</v>
      </c>
      <c r="G677" s="6">
        <f t="shared" si="267"/>
        <v>1992.4599999999996</v>
      </c>
      <c r="H677" s="6">
        <f t="shared" si="257"/>
        <v>1992.4599999999996</v>
      </c>
      <c r="I677" s="6">
        <f>MOD(H677-Settings!$B$32,Settings!$B$33)</f>
        <v>552.45999999999958</v>
      </c>
      <c r="J677" s="6">
        <f>IF(I677&lt;Settings!$B$30,IF(Settings!$B$30-I677&gt;=E677,H677,H677+(Settings!$B$30-I677)+Settings!$B$31),H677+(Settings!$B$33-I677))</f>
        <v>1992.4599999999996</v>
      </c>
      <c r="K677" s="6">
        <f t="shared" si="258"/>
        <v>2016.4799999999996</v>
      </c>
      <c r="L677" s="6">
        <f t="shared" si="259"/>
        <v>2016.4799999999996</v>
      </c>
      <c r="M677" s="6">
        <f t="shared" si="268"/>
        <v>1999.9780405451679</v>
      </c>
      <c r="N677" s="6">
        <f t="shared" si="260"/>
        <v>2016.4799999999996</v>
      </c>
      <c r="O677" s="6">
        <f>Arrivals!I677</f>
        <v>0.70451119695831343</v>
      </c>
      <c r="P677" s="6">
        <f t="shared" si="261"/>
        <v>2017.1845111969578</v>
      </c>
      <c r="Q677" s="6">
        <f t="shared" si="262"/>
        <v>1508.1845111969578</v>
      </c>
      <c r="R677" s="6">
        <f t="shared" si="263"/>
        <v>1483.4599999999996</v>
      </c>
      <c r="S677" s="6">
        <f t="shared" si="264"/>
        <v>0</v>
      </c>
      <c r="T677" s="6">
        <f t="shared" si="265"/>
        <v>0</v>
      </c>
      <c r="U677" s="6">
        <f t="shared" si="266"/>
        <v>1483.4599999999996</v>
      </c>
      <c r="V677" s="6" t="str">
        <f>IF(MOD(C677-Settings!$B$32,Settings!$B$33)&lt;Settings!$B$30,"Up","Down")</f>
        <v>Up</v>
      </c>
      <c r="W677" s="6">
        <f>IF(OR(E677&gt;Settings!$B$30,Q677&gt;Settings!$B$37),0,1)</f>
        <v>0</v>
      </c>
      <c r="X677" s="6">
        <f>IF(AND(W677=1,Q677&lt;=Settings!$B$36),1,0)</f>
        <v>0</v>
      </c>
    </row>
    <row r="678" spans="1:24" x14ac:dyDescent="0.2">
      <c r="A678">
        <f>Arrivals!A678</f>
        <v>6</v>
      </c>
      <c r="B678">
        <f>Arrivals!B678</f>
        <v>73</v>
      </c>
      <c r="C678" s="6">
        <f>Arrivals!F678</f>
        <v>514</v>
      </c>
      <c r="D678" s="6">
        <f>Arrivals!K678</f>
        <v>300</v>
      </c>
      <c r="E678" s="6">
        <f>D678*8/ACE_Input!S78+ACE_Input!T78</f>
        <v>24.02</v>
      </c>
      <c r="F678" s="6">
        <f t="shared" si="256"/>
        <v>514</v>
      </c>
      <c r="G678" s="6">
        <f t="shared" si="267"/>
        <v>2016.4799999999996</v>
      </c>
      <c r="H678" s="6">
        <f t="shared" si="257"/>
        <v>2016.4799999999996</v>
      </c>
      <c r="I678" s="6">
        <f>MOD(H678-Settings!$B$32,Settings!$B$33)</f>
        <v>576.47999999999956</v>
      </c>
      <c r="J678" s="6">
        <f>IF(I678&lt;Settings!$B$30,IF(Settings!$B$30-I678&gt;=E678,H678,H678+(Settings!$B$30-I678)+Settings!$B$31),H678+(Settings!$B$33-I678))</f>
        <v>2160</v>
      </c>
      <c r="K678" s="6">
        <f t="shared" si="258"/>
        <v>2184.02</v>
      </c>
      <c r="L678" s="6">
        <f t="shared" si="259"/>
        <v>2184.02</v>
      </c>
      <c r="M678" s="6">
        <f t="shared" si="268"/>
        <v>2017.1845111969578</v>
      </c>
      <c r="N678" s="6">
        <f t="shared" si="260"/>
        <v>2184.02</v>
      </c>
      <c r="O678" s="6">
        <f>Arrivals!I678</f>
        <v>0.64407937677997074</v>
      </c>
      <c r="P678" s="6">
        <f t="shared" si="261"/>
        <v>2184.6640793767801</v>
      </c>
      <c r="Q678" s="6">
        <f t="shared" si="262"/>
        <v>1670.6640793767801</v>
      </c>
      <c r="R678" s="6">
        <f t="shared" si="263"/>
        <v>1502.4799999999996</v>
      </c>
      <c r="S678" s="6">
        <f t="shared" si="264"/>
        <v>143.52000000000044</v>
      </c>
      <c r="T678" s="6">
        <f t="shared" si="265"/>
        <v>0</v>
      </c>
      <c r="U678" s="6">
        <f t="shared" si="266"/>
        <v>1646</v>
      </c>
      <c r="V678" s="6" t="str">
        <f>IF(MOD(C678-Settings!$B$32,Settings!$B$33)&lt;Settings!$B$30,"Up","Down")</f>
        <v>Up</v>
      </c>
      <c r="W678" s="6">
        <f>IF(OR(E678&gt;Settings!$B$30,Q678&gt;Settings!$B$37),0,1)</f>
        <v>0</v>
      </c>
      <c r="X678" s="6">
        <f>IF(AND(W678=1,Q678&lt;=Settings!$B$36),1,0)</f>
        <v>0</v>
      </c>
    </row>
    <row r="679" spans="1:24" x14ac:dyDescent="0.2">
      <c r="A679">
        <f>Arrivals!A679</f>
        <v>6</v>
      </c>
      <c r="B679">
        <f>Arrivals!B679</f>
        <v>74</v>
      </c>
      <c r="C679" s="6">
        <f>Arrivals!F679</f>
        <v>519</v>
      </c>
      <c r="D679" s="6">
        <f>Arrivals!K679</f>
        <v>300</v>
      </c>
      <c r="E679" s="6">
        <f>D679*8/ACE_Input!S79+ACE_Input!T79</f>
        <v>24.02</v>
      </c>
      <c r="F679" s="6">
        <f t="shared" si="256"/>
        <v>519</v>
      </c>
      <c r="G679" s="6">
        <f t="shared" si="267"/>
        <v>2184.02</v>
      </c>
      <c r="H679" s="6">
        <f t="shared" si="257"/>
        <v>2184.02</v>
      </c>
      <c r="I679" s="6">
        <f>MOD(H679-Settings!$B$32,Settings!$B$33)</f>
        <v>24.019999999999982</v>
      </c>
      <c r="J679" s="6">
        <f>IF(I679&lt;Settings!$B$30,IF(Settings!$B$30-I679&gt;=E679,H679,H679+(Settings!$B$30-I679)+Settings!$B$31),H679+(Settings!$B$33-I679))</f>
        <v>2184.02</v>
      </c>
      <c r="K679" s="6">
        <f t="shared" si="258"/>
        <v>2208.04</v>
      </c>
      <c r="L679" s="6">
        <f t="shared" si="259"/>
        <v>2208.04</v>
      </c>
      <c r="M679" s="6">
        <f t="shared" si="268"/>
        <v>2184.6640793767801</v>
      </c>
      <c r="N679" s="6">
        <f t="shared" si="260"/>
        <v>2208.04</v>
      </c>
      <c r="O679" s="6">
        <f>Arrivals!I679</f>
        <v>3.8501994632050338</v>
      </c>
      <c r="P679" s="6">
        <f t="shared" si="261"/>
        <v>2211.8901994632051</v>
      </c>
      <c r="Q679" s="6">
        <f t="shared" si="262"/>
        <v>1692.8901994632051</v>
      </c>
      <c r="R679" s="6">
        <f t="shared" si="263"/>
        <v>1665.02</v>
      </c>
      <c r="S679" s="6">
        <f t="shared" si="264"/>
        <v>0</v>
      </c>
      <c r="T679" s="6">
        <f t="shared" si="265"/>
        <v>0</v>
      </c>
      <c r="U679" s="6">
        <f t="shared" si="266"/>
        <v>1665.02</v>
      </c>
      <c r="V679" s="6" t="str">
        <f>IF(MOD(C679-Settings!$B$32,Settings!$B$33)&lt;Settings!$B$30,"Up","Down")</f>
        <v>Up</v>
      </c>
      <c r="W679" s="6">
        <f>IF(OR(E679&gt;Settings!$B$30,Q679&gt;Settings!$B$37),0,1)</f>
        <v>0</v>
      </c>
      <c r="X679" s="6">
        <f>IF(AND(W679=1,Q679&lt;=Settings!$B$36),1,0)</f>
        <v>0</v>
      </c>
    </row>
    <row r="680" spans="1:24" x14ac:dyDescent="0.2">
      <c r="A680">
        <f>Arrivals!A680</f>
        <v>6</v>
      </c>
      <c r="B680">
        <f>Arrivals!B680</f>
        <v>75</v>
      </c>
      <c r="C680" s="6">
        <f>Arrivals!F680</f>
        <v>524</v>
      </c>
      <c r="D680" s="6">
        <f>Arrivals!K680</f>
        <v>300</v>
      </c>
      <c r="E680" s="6">
        <f>D680*8/ACE_Input!S80+ACE_Input!T80</f>
        <v>24.02</v>
      </c>
      <c r="F680" s="6">
        <f t="shared" si="256"/>
        <v>524</v>
      </c>
      <c r="G680" s="6">
        <f t="shared" si="267"/>
        <v>2208.04</v>
      </c>
      <c r="H680" s="6">
        <f t="shared" si="257"/>
        <v>2208.04</v>
      </c>
      <c r="I680" s="6">
        <f>MOD(H680-Settings!$B$32,Settings!$B$33)</f>
        <v>48.039999999999964</v>
      </c>
      <c r="J680" s="6">
        <f>IF(I680&lt;Settings!$B$30,IF(Settings!$B$30-I680&gt;=E680,H680,H680+(Settings!$B$30-I680)+Settings!$B$31),H680+(Settings!$B$33-I680))</f>
        <v>2208.04</v>
      </c>
      <c r="K680" s="6">
        <f t="shared" si="258"/>
        <v>2232.06</v>
      </c>
      <c r="L680" s="6">
        <f t="shared" si="259"/>
        <v>2232.06</v>
      </c>
      <c r="M680" s="6">
        <f t="shared" si="268"/>
        <v>2211.8901994632051</v>
      </c>
      <c r="N680" s="6">
        <f t="shared" si="260"/>
        <v>2232.06</v>
      </c>
      <c r="O680" s="6">
        <f>Arrivals!I680</f>
        <v>0.45475797182267025</v>
      </c>
      <c r="P680" s="6">
        <f t="shared" si="261"/>
        <v>2232.5147579718227</v>
      </c>
      <c r="Q680" s="6">
        <f t="shared" si="262"/>
        <v>1708.5147579718227</v>
      </c>
      <c r="R680" s="6">
        <f t="shared" si="263"/>
        <v>1684.04</v>
      </c>
      <c r="S680" s="6">
        <f t="shared" si="264"/>
        <v>0</v>
      </c>
      <c r="T680" s="6">
        <f t="shared" si="265"/>
        <v>0</v>
      </c>
      <c r="U680" s="6">
        <f t="shared" si="266"/>
        <v>1684.04</v>
      </c>
      <c r="V680" s="6" t="str">
        <f>IF(MOD(C680-Settings!$B$32,Settings!$B$33)&lt;Settings!$B$30,"Up","Down")</f>
        <v>Up</v>
      </c>
      <c r="W680" s="6">
        <f>IF(OR(E680&gt;Settings!$B$30,Q680&gt;Settings!$B$37),0,1)</f>
        <v>0</v>
      </c>
      <c r="X680" s="6">
        <f>IF(AND(W680=1,Q680&lt;=Settings!$B$36),1,0)</f>
        <v>0</v>
      </c>
    </row>
    <row r="681" spans="1:24" x14ac:dyDescent="0.2">
      <c r="A681">
        <f>Arrivals!A681</f>
        <v>6</v>
      </c>
      <c r="B681">
        <f>Arrivals!B681</f>
        <v>76</v>
      </c>
      <c r="C681" s="6">
        <f>Arrivals!F681</f>
        <v>529</v>
      </c>
      <c r="D681" s="6">
        <f>Arrivals!K681</f>
        <v>300</v>
      </c>
      <c r="E681" s="6">
        <f>D681*8/ACE_Input!S81+ACE_Input!T81</f>
        <v>24.02</v>
      </c>
      <c r="F681" s="6">
        <f t="shared" si="256"/>
        <v>529</v>
      </c>
      <c r="G681" s="6">
        <f t="shared" si="267"/>
        <v>2232.06</v>
      </c>
      <c r="H681" s="6">
        <f t="shared" si="257"/>
        <v>2232.06</v>
      </c>
      <c r="I681" s="6">
        <f>MOD(H681-Settings!$B$32,Settings!$B$33)</f>
        <v>72.059999999999945</v>
      </c>
      <c r="J681" s="6">
        <f>IF(I681&lt;Settings!$B$30,IF(Settings!$B$30-I681&gt;=E681,H681,H681+(Settings!$B$30-I681)+Settings!$B$31),H681+(Settings!$B$33-I681))</f>
        <v>2232.06</v>
      </c>
      <c r="K681" s="6">
        <f t="shared" si="258"/>
        <v>2256.08</v>
      </c>
      <c r="L681" s="6">
        <f t="shared" si="259"/>
        <v>2256.08</v>
      </c>
      <c r="M681" s="6">
        <f t="shared" si="268"/>
        <v>2232.5147579718227</v>
      </c>
      <c r="N681" s="6">
        <f t="shared" si="260"/>
        <v>2256.08</v>
      </c>
      <c r="O681" s="6">
        <f>Arrivals!I681</f>
        <v>0.71360399559493959</v>
      </c>
      <c r="P681" s="6">
        <f t="shared" si="261"/>
        <v>2256.7936039955948</v>
      </c>
      <c r="Q681" s="6">
        <f t="shared" si="262"/>
        <v>1727.7936039955948</v>
      </c>
      <c r="R681" s="6">
        <f t="shared" si="263"/>
        <v>1703.06</v>
      </c>
      <c r="S681" s="6">
        <f t="shared" si="264"/>
        <v>0</v>
      </c>
      <c r="T681" s="6">
        <f t="shared" si="265"/>
        <v>0</v>
      </c>
      <c r="U681" s="6">
        <f t="shared" si="266"/>
        <v>1703.06</v>
      </c>
      <c r="V681" s="6" t="str">
        <f>IF(MOD(C681-Settings!$B$32,Settings!$B$33)&lt;Settings!$B$30,"Up","Down")</f>
        <v>Up</v>
      </c>
      <c r="W681" s="6">
        <f>IF(OR(E681&gt;Settings!$B$30,Q681&gt;Settings!$B$37),0,1)</f>
        <v>0</v>
      </c>
      <c r="X681" s="6">
        <f>IF(AND(W681=1,Q681&lt;=Settings!$B$36),1,0)</f>
        <v>0</v>
      </c>
    </row>
    <row r="682" spans="1:24" x14ac:dyDescent="0.2">
      <c r="A682">
        <f>Arrivals!A682</f>
        <v>6</v>
      </c>
      <c r="B682">
        <f>Arrivals!B682</f>
        <v>77</v>
      </c>
      <c r="C682" s="6">
        <f>Arrivals!F682</f>
        <v>534</v>
      </c>
      <c r="D682" s="6">
        <f>Arrivals!K682</f>
        <v>300</v>
      </c>
      <c r="E682" s="6">
        <f>D682*8/ACE_Input!S82+ACE_Input!T82</f>
        <v>24.02</v>
      </c>
      <c r="F682" s="6">
        <f t="shared" si="256"/>
        <v>534</v>
      </c>
      <c r="G682" s="6">
        <f t="shared" si="267"/>
        <v>2256.08</v>
      </c>
      <c r="H682" s="6">
        <f t="shared" si="257"/>
        <v>2256.08</v>
      </c>
      <c r="I682" s="6">
        <f>MOD(H682-Settings!$B$32,Settings!$B$33)</f>
        <v>96.079999999999927</v>
      </c>
      <c r="J682" s="6">
        <f>IF(I682&lt;Settings!$B$30,IF(Settings!$B$30-I682&gt;=E682,H682,H682+(Settings!$B$30-I682)+Settings!$B$31),H682+(Settings!$B$33-I682))</f>
        <v>2256.08</v>
      </c>
      <c r="K682" s="6">
        <f t="shared" si="258"/>
        <v>2280.1</v>
      </c>
      <c r="L682" s="6">
        <f t="shared" si="259"/>
        <v>2280.1</v>
      </c>
      <c r="M682" s="6">
        <f t="shared" si="268"/>
        <v>2256.7936039955948</v>
      </c>
      <c r="N682" s="6">
        <f t="shared" si="260"/>
        <v>2280.1</v>
      </c>
      <c r="O682" s="6">
        <f>Arrivals!I682</f>
        <v>0.64163828756255969</v>
      </c>
      <c r="P682" s="6">
        <f t="shared" si="261"/>
        <v>2280.7416382875626</v>
      </c>
      <c r="Q682" s="6">
        <f t="shared" si="262"/>
        <v>1746.7416382875626</v>
      </c>
      <c r="R682" s="6">
        <f t="shared" si="263"/>
        <v>1722.08</v>
      </c>
      <c r="S682" s="6">
        <f t="shared" si="264"/>
        <v>0</v>
      </c>
      <c r="T682" s="6">
        <f t="shared" si="265"/>
        <v>0</v>
      </c>
      <c r="U682" s="6">
        <f t="shared" si="266"/>
        <v>1722.08</v>
      </c>
      <c r="V682" s="6" t="str">
        <f>IF(MOD(C682-Settings!$B$32,Settings!$B$33)&lt;Settings!$B$30,"Up","Down")</f>
        <v>Up</v>
      </c>
      <c r="W682" s="6">
        <f>IF(OR(E682&gt;Settings!$B$30,Q682&gt;Settings!$B$37),0,1)</f>
        <v>0</v>
      </c>
      <c r="X682" s="6">
        <f>IF(AND(W682=1,Q682&lt;=Settings!$B$36),1,0)</f>
        <v>0</v>
      </c>
    </row>
    <row r="683" spans="1:24" x14ac:dyDescent="0.2">
      <c r="A683">
        <f>Arrivals!A683</f>
        <v>6</v>
      </c>
      <c r="B683">
        <f>Arrivals!B683</f>
        <v>78</v>
      </c>
      <c r="C683" s="6">
        <f>Arrivals!F683</f>
        <v>539</v>
      </c>
      <c r="D683" s="6">
        <f>Arrivals!K683</f>
        <v>300</v>
      </c>
      <c r="E683" s="6">
        <f>D683*8/ACE_Input!S83+ACE_Input!T83</f>
        <v>24.02</v>
      </c>
      <c r="F683" s="6">
        <f t="shared" si="256"/>
        <v>539</v>
      </c>
      <c r="G683" s="6">
        <f t="shared" si="267"/>
        <v>2280.1</v>
      </c>
      <c r="H683" s="6">
        <f t="shared" si="257"/>
        <v>2280.1</v>
      </c>
      <c r="I683" s="6">
        <f>MOD(H683-Settings!$B$32,Settings!$B$33)</f>
        <v>120.09999999999991</v>
      </c>
      <c r="J683" s="6">
        <f>IF(I683&lt;Settings!$B$30,IF(Settings!$B$30-I683&gt;=E683,H683,H683+(Settings!$B$30-I683)+Settings!$B$31),H683+(Settings!$B$33-I683))</f>
        <v>2280.1</v>
      </c>
      <c r="K683" s="6">
        <f t="shared" si="258"/>
        <v>2304.12</v>
      </c>
      <c r="L683" s="6">
        <f t="shared" si="259"/>
        <v>2304.12</v>
      </c>
      <c r="M683" s="6">
        <f t="shared" si="268"/>
        <v>2280.7416382875626</v>
      </c>
      <c r="N683" s="6">
        <f t="shared" si="260"/>
        <v>2304.12</v>
      </c>
      <c r="O683" s="6">
        <f>Arrivals!I683</f>
        <v>8.6172968174359674</v>
      </c>
      <c r="P683" s="6">
        <f t="shared" si="261"/>
        <v>2312.7372968174359</v>
      </c>
      <c r="Q683" s="6">
        <f t="shared" si="262"/>
        <v>1773.7372968174359</v>
      </c>
      <c r="R683" s="6">
        <f t="shared" si="263"/>
        <v>1741.1</v>
      </c>
      <c r="S683" s="6">
        <f t="shared" si="264"/>
        <v>0</v>
      </c>
      <c r="T683" s="6">
        <f t="shared" si="265"/>
        <v>0</v>
      </c>
      <c r="U683" s="6">
        <f t="shared" si="266"/>
        <v>1741.1</v>
      </c>
      <c r="V683" s="6" t="str">
        <f>IF(MOD(C683-Settings!$B$32,Settings!$B$33)&lt;Settings!$B$30,"Up","Down")</f>
        <v>Up</v>
      </c>
      <c r="W683" s="6">
        <f>IF(OR(E683&gt;Settings!$B$30,Q683&gt;Settings!$B$37),0,1)</f>
        <v>0</v>
      </c>
      <c r="X683" s="6">
        <f>IF(AND(W683=1,Q683&lt;=Settings!$B$36),1,0)</f>
        <v>0</v>
      </c>
    </row>
    <row r="684" spans="1:24" x14ac:dyDescent="0.2">
      <c r="A684">
        <f>Arrivals!A684</f>
        <v>6</v>
      </c>
      <c r="B684">
        <f>Arrivals!B684</f>
        <v>79</v>
      </c>
      <c r="C684" s="6">
        <f>Arrivals!F684</f>
        <v>544</v>
      </c>
      <c r="D684" s="6">
        <f>Arrivals!K684</f>
        <v>300</v>
      </c>
      <c r="E684" s="6">
        <f>D684*8/ACE_Input!S84+ACE_Input!T84</f>
        <v>24.02</v>
      </c>
      <c r="F684" s="6">
        <f t="shared" si="256"/>
        <v>544</v>
      </c>
      <c r="G684" s="6">
        <f t="shared" si="267"/>
        <v>2304.12</v>
      </c>
      <c r="H684" s="6">
        <f t="shared" si="257"/>
        <v>2304.12</v>
      </c>
      <c r="I684" s="6">
        <f>MOD(H684-Settings!$B$32,Settings!$B$33)</f>
        <v>144.11999999999989</v>
      </c>
      <c r="J684" s="6">
        <f>IF(I684&lt;Settings!$B$30,IF(Settings!$B$30-I684&gt;=E684,H684,H684+(Settings!$B$30-I684)+Settings!$B$31),H684+(Settings!$B$33-I684))</f>
        <v>2304.12</v>
      </c>
      <c r="K684" s="6">
        <f t="shared" si="258"/>
        <v>2328.14</v>
      </c>
      <c r="L684" s="6">
        <f t="shared" si="259"/>
        <v>2328.14</v>
      </c>
      <c r="M684" s="6">
        <f t="shared" si="268"/>
        <v>2312.7372968174359</v>
      </c>
      <c r="N684" s="6">
        <f t="shared" si="260"/>
        <v>2328.14</v>
      </c>
      <c r="O684" s="6">
        <f>Arrivals!I684</f>
        <v>4.7918400192848365</v>
      </c>
      <c r="P684" s="6">
        <f t="shared" si="261"/>
        <v>2332.9318400192847</v>
      </c>
      <c r="Q684" s="6">
        <f t="shared" si="262"/>
        <v>1788.9318400192847</v>
      </c>
      <c r="R684" s="6">
        <f t="shared" si="263"/>
        <v>1760.12</v>
      </c>
      <c r="S684" s="6">
        <f t="shared" si="264"/>
        <v>0</v>
      </c>
      <c r="T684" s="6">
        <f t="shared" si="265"/>
        <v>0</v>
      </c>
      <c r="U684" s="6">
        <f t="shared" si="266"/>
        <v>1760.12</v>
      </c>
      <c r="V684" s="6" t="str">
        <f>IF(MOD(C684-Settings!$B$32,Settings!$B$33)&lt;Settings!$B$30,"Up","Down")</f>
        <v>Up</v>
      </c>
      <c r="W684" s="6">
        <f>IF(OR(E684&gt;Settings!$B$30,Q684&gt;Settings!$B$37),0,1)</f>
        <v>0</v>
      </c>
      <c r="X684" s="6">
        <f>IF(AND(W684=1,Q684&lt;=Settings!$B$36),1,0)</f>
        <v>0</v>
      </c>
    </row>
    <row r="685" spans="1:24" x14ac:dyDescent="0.2">
      <c r="A685">
        <f>Arrivals!A685</f>
        <v>6</v>
      </c>
      <c r="B685">
        <f>Arrivals!B685</f>
        <v>80</v>
      </c>
      <c r="C685" s="6">
        <f>Arrivals!F685</f>
        <v>549</v>
      </c>
      <c r="D685" s="6">
        <f>Arrivals!K685</f>
        <v>300</v>
      </c>
      <c r="E685" s="6">
        <f>D685*8/ACE_Input!S85+ACE_Input!T85</f>
        <v>24.02</v>
      </c>
      <c r="F685" s="6">
        <f t="shared" si="256"/>
        <v>549</v>
      </c>
      <c r="G685" s="6">
        <f t="shared" si="267"/>
        <v>2328.14</v>
      </c>
      <c r="H685" s="6">
        <f t="shared" si="257"/>
        <v>2328.14</v>
      </c>
      <c r="I685" s="6">
        <f>MOD(H685-Settings!$B$32,Settings!$B$33)</f>
        <v>168.13999999999987</v>
      </c>
      <c r="J685" s="6">
        <f>IF(I685&lt;Settings!$B$30,IF(Settings!$B$30-I685&gt;=E685,H685,H685+(Settings!$B$30-I685)+Settings!$B$31),H685+(Settings!$B$33-I685))</f>
        <v>2328.14</v>
      </c>
      <c r="K685" s="6">
        <f t="shared" si="258"/>
        <v>2352.16</v>
      </c>
      <c r="L685" s="6">
        <f t="shared" si="259"/>
        <v>2352.16</v>
      </c>
      <c r="M685" s="6">
        <f t="shared" si="268"/>
        <v>2332.9318400192847</v>
      </c>
      <c r="N685" s="6">
        <f t="shared" si="260"/>
        <v>2352.16</v>
      </c>
      <c r="O685" s="6">
        <f>Arrivals!I685</f>
        <v>2.7054374020947365</v>
      </c>
      <c r="P685" s="6">
        <f t="shared" si="261"/>
        <v>2354.8654374020948</v>
      </c>
      <c r="Q685" s="6">
        <f t="shared" si="262"/>
        <v>1805.8654374020948</v>
      </c>
      <c r="R685" s="6">
        <f t="shared" si="263"/>
        <v>1779.1399999999999</v>
      </c>
      <c r="S685" s="6">
        <f t="shared" si="264"/>
        <v>0</v>
      </c>
      <c r="T685" s="6">
        <f t="shared" si="265"/>
        <v>0</v>
      </c>
      <c r="U685" s="6">
        <f t="shared" si="266"/>
        <v>1779.1399999999999</v>
      </c>
      <c r="V685" s="6" t="str">
        <f>IF(MOD(C685-Settings!$B$32,Settings!$B$33)&lt;Settings!$B$30,"Up","Down")</f>
        <v>Up</v>
      </c>
      <c r="W685" s="6">
        <f>IF(OR(E685&gt;Settings!$B$30,Q685&gt;Settings!$B$37),0,1)</f>
        <v>0</v>
      </c>
      <c r="X685" s="6">
        <f>IF(AND(W685=1,Q685&lt;=Settings!$B$36),1,0)</f>
        <v>0</v>
      </c>
    </row>
    <row r="686" spans="1:24" x14ac:dyDescent="0.2">
      <c r="A686">
        <f>Arrivals!A686</f>
        <v>6</v>
      </c>
      <c r="B686">
        <f>Arrivals!B686</f>
        <v>81</v>
      </c>
      <c r="C686" s="6">
        <f>Arrivals!F686</f>
        <v>554</v>
      </c>
      <c r="D686" s="6">
        <f>Arrivals!K686</f>
        <v>300</v>
      </c>
      <c r="E686" s="6">
        <f>D686*8/ACE_Input!S86+ACE_Input!T86</f>
        <v>24.02</v>
      </c>
      <c r="F686" s="6">
        <f t="shared" si="256"/>
        <v>554</v>
      </c>
      <c r="G686" s="6">
        <f t="shared" si="267"/>
        <v>2352.16</v>
      </c>
      <c r="H686" s="6">
        <f t="shared" si="257"/>
        <v>2352.16</v>
      </c>
      <c r="I686" s="6">
        <f>MOD(H686-Settings!$B$32,Settings!$B$33)</f>
        <v>192.15999999999985</v>
      </c>
      <c r="J686" s="6">
        <f>IF(I686&lt;Settings!$B$30,IF(Settings!$B$30-I686&gt;=E686,H686,H686+(Settings!$B$30-I686)+Settings!$B$31),H686+(Settings!$B$33-I686))</f>
        <v>2352.16</v>
      </c>
      <c r="K686" s="6">
        <f t="shared" si="258"/>
        <v>2376.1799999999998</v>
      </c>
      <c r="L686" s="6">
        <f t="shared" si="259"/>
        <v>2376.1799999999998</v>
      </c>
      <c r="M686" s="6">
        <f t="shared" si="268"/>
        <v>2354.8654374020948</v>
      </c>
      <c r="N686" s="6">
        <f t="shared" si="260"/>
        <v>2376.1799999999998</v>
      </c>
      <c r="O686" s="6">
        <f>Arrivals!I686</f>
        <v>1.0591518414331276</v>
      </c>
      <c r="P686" s="6">
        <f t="shared" si="261"/>
        <v>2377.2391518414329</v>
      </c>
      <c r="Q686" s="6">
        <f t="shared" si="262"/>
        <v>1823.2391518414329</v>
      </c>
      <c r="R686" s="6">
        <f t="shared" si="263"/>
        <v>1798.1599999999999</v>
      </c>
      <c r="S686" s="6">
        <f t="shared" si="264"/>
        <v>0</v>
      </c>
      <c r="T686" s="6">
        <f t="shared" si="265"/>
        <v>0</v>
      </c>
      <c r="U686" s="6">
        <f t="shared" si="266"/>
        <v>1798.1599999999999</v>
      </c>
      <c r="V686" s="6" t="str">
        <f>IF(MOD(C686-Settings!$B$32,Settings!$B$33)&lt;Settings!$B$30,"Up","Down")</f>
        <v>Up</v>
      </c>
      <c r="W686" s="6">
        <f>IF(OR(E686&gt;Settings!$B$30,Q686&gt;Settings!$B$37),0,1)</f>
        <v>0</v>
      </c>
      <c r="X686" s="6">
        <f>IF(AND(W686=1,Q686&lt;=Settings!$B$36),1,0)</f>
        <v>0</v>
      </c>
    </row>
    <row r="687" spans="1:24" x14ac:dyDescent="0.2">
      <c r="A687">
        <f>Arrivals!A687</f>
        <v>6</v>
      </c>
      <c r="B687">
        <f>Arrivals!B687</f>
        <v>82</v>
      </c>
      <c r="C687" s="6">
        <f>Arrivals!F687</f>
        <v>559</v>
      </c>
      <c r="D687" s="6">
        <f>Arrivals!K687</f>
        <v>300</v>
      </c>
      <c r="E687" s="6">
        <f>D687*8/ACE_Input!S87+ACE_Input!T87</f>
        <v>24.02</v>
      </c>
      <c r="F687" s="6">
        <f t="shared" si="256"/>
        <v>559</v>
      </c>
      <c r="G687" s="6">
        <f t="shared" si="267"/>
        <v>2376.1799999999998</v>
      </c>
      <c r="H687" s="6">
        <f t="shared" si="257"/>
        <v>2376.1799999999998</v>
      </c>
      <c r="I687" s="6">
        <f>MOD(H687-Settings!$B$32,Settings!$B$33)</f>
        <v>216.17999999999984</v>
      </c>
      <c r="J687" s="6">
        <f>IF(I687&lt;Settings!$B$30,IF(Settings!$B$30-I687&gt;=E687,H687,H687+(Settings!$B$30-I687)+Settings!$B$31),H687+(Settings!$B$33-I687))</f>
        <v>2376.1799999999998</v>
      </c>
      <c r="K687" s="6">
        <f t="shared" si="258"/>
        <v>2400.1999999999998</v>
      </c>
      <c r="L687" s="6">
        <f t="shared" si="259"/>
        <v>2400.1999999999998</v>
      </c>
      <c r="M687" s="6">
        <f t="shared" si="268"/>
        <v>2377.2391518414329</v>
      </c>
      <c r="N687" s="6">
        <f t="shared" si="260"/>
        <v>2400.1999999999998</v>
      </c>
      <c r="O687" s="6">
        <f>Arrivals!I687</f>
        <v>7.2115678852628315</v>
      </c>
      <c r="P687" s="6">
        <f t="shared" si="261"/>
        <v>2407.4115678852627</v>
      </c>
      <c r="Q687" s="6">
        <f t="shared" si="262"/>
        <v>1848.4115678852627</v>
      </c>
      <c r="R687" s="6">
        <f t="shared" si="263"/>
        <v>1817.1799999999998</v>
      </c>
      <c r="S687" s="6">
        <f t="shared" si="264"/>
        <v>0</v>
      </c>
      <c r="T687" s="6">
        <f t="shared" si="265"/>
        <v>0</v>
      </c>
      <c r="U687" s="6">
        <f t="shared" si="266"/>
        <v>1817.1799999999998</v>
      </c>
      <c r="V687" s="6" t="str">
        <f>IF(MOD(C687-Settings!$B$32,Settings!$B$33)&lt;Settings!$B$30,"Up","Down")</f>
        <v>Up</v>
      </c>
      <c r="W687" s="6">
        <f>IF(OR(E687&gt;Settings!$B$30,Q687&gt;Settings!$B$37),0,1)</f>
        <v>0</v>
      </c>
      <c r="X687" s="6">
        <f>IF(AND(W687=1,Q687&lt;=Settings!$B$36),1,0)</f>
        <v>0</v>
      </c>
    </row>
    <row r="688" spans="1:24" x14ac:dyDescent="0.2">
      <c r="A688">
        <f>Arrivals!A688</f>
        <v>6</v>
      </c>
      <c r="B688">
        <f>Arrivals!B688</f>
        <v>83</v>
      </c>
      <c r="C688" s="6">
        <f>Arrivals!F688</f>
        <v>564</v>
      </c>
      <c r="D688" s="6">
        <f>Arrivals!K688</f>
        <v>300</v>
      </c>
      <c r="E688" s="6">
        <f>D688*8/ACE_Input!S88+ACE_Input!T88</f>
        <v>24.02</v>
      </c>
      <c r="F688" s="6">
        <f t="shared" si="256"/>
        <v>564</v>
      </c>
      <c r="G688" s="6">
        <f t="shared" si="267"/>
        <v>2400.1999999999998</v>
      </c>
      <c r="H688" s="6">
        <f t="shared" si="257"/>
        <v>2400.1999999999998</v>
      </c>
      <c r="I688" s="6">
        <f>MOD(H688-Settings!$B$32,Settings!$B$33)</f>
        <v>240.19999999999982</v>
      </c>
      <c r="J688" s="6">
        <f>IF(I688&lt;Settings!$B$30,IF(Settings!$B$30-I688&gt;=E688,H688,H688+(Settings!$B$30-I688)+Settings!$B$31),H688+(Settings!$B$33-I688))</f>
        <v>2400.1999999999998</v>
      </c>
      <c r="K688" s="6">
        <f t="shared" si="258"/>
        <v>2424.2199999999998</v>
      </c>
      <c r="L688" s="6">
        <f t="shared" si="259"/>
        <v>2424.2199999999998</v>
      </c>
      <c r="M688" s="6">
        <f t="shared" si="268"/>
        <v>2407.4115678852627</v>
      </c>
      <c r="N688" s="6">
        <f t="shared" si="260"/>
        <v>2424.2199999999998</v>
      </c>
      <c r="O688" s="6">
        <f>Arrivals!I688</f>
        <v>7.4416479155583524</v>
      </c>
      <c r="P688" s="6">
        <f t="shared" si="261"/>
        <v>2431.6616479155582</v>
      </c>
      <c r="Q688" s="6">
        <f t="shared" si="262"/>
        <v>1867.6616479155582</v>
      </c>
      <c r="R688" s="6">
        <f t="shared" si="263"/>
        <v>1836.1999999999998</v>
      </c>
      <c r="S688" s="6">
        <f t="shared" si="264"/>
        <v>0</v>
      </c>
      <c r="T688" s="6">
        <f t="shared" si="265"/>
        <v>0</v>
      </c>
      <c r="U688" s="6">
        <f t="shared" si="266"/>
        <v>1836.1999999999998</v>
      </c>
      <c r="V688" s="6" t="str">
        <f>IF(MOD(C688-Settings!$B$32,Settings!$B$33)&lt;Settings!$B$30,"Up","Down")</f>
        <v>Up</v>
      </c>
      <c r="W688" s="6">
        <f>IF(OR(E688&gt;Settings!$B$30,Q688&gt;Settings!$B$37),0,1)</f>
        <v>0</v>
      </c>
      <c r="X688" s="6">
        <f>IF(AND(W688=1,Q688&lt;=Settings!$B$36),1,0)</f>
        <v>0</v>
      </c>
    </row>
    <row r="689" spans="1:24" x14ac:dyDescent="0.2">
      <c r="A689">
        <f>Arrivals!A689</f>
        <v>6</v>
      </c>
      <c r="B689">
        <f>Arrivals!B689</f>
        <v>84</v>
      </c>
      <c r="C689" s="6">
        <f>Arrivals!F689</f>
        <v>569</v>
      </c>
      <c r="D689" s="6">
        <f>Arrivals!K689</f>
        <v>300</v>
      </c>
      <c r="E689" s="6">
        <f>D689*8/ACE_Input!S89+ACE_Input!T89</f>
        <v>24.02</v>
      </c>
      <c r="F689" s="6">
        <f t="shared" si="256"/>
        <v>569</v>
      </c>
      <c r="G689" s="6">
        <f t="shared" si="267"/>
        <v>2424.2199999999998</v>
      </c>
      <c r="H689" s="6">
        <f t="shared" si="257"/>
        <v>2424.2199999999998</v>
      </c>
      <c r="I689" s="6">
        <f>MOD(H689-Settings!$B$32,Settings!$B$33)</f>
        <v>264.2199999999998</v>
      </c>
      <c r="J689" s="6">
        <f>IF(I689&lt;Settings!$B$30,IF(Settings!$B$30-I689&gt;=E689,H689,H689+(Settings!$B$30-I689)+Settings!$B$31),H689+(Settings!$B$33-I689))</f>
        <v>2424.2199999999998</v>
      </c>
      <c r="K689" s="6">
        <f t="shared" si="258"/>
        <v>2448.2399999999998</v>
      </c>
      <c r="L689" s="6">
        <f t="shared" si="259"/>
        <v>2448.2399999999998</v>
      </c>
      <c r="M689" s="6">
        <f t="shared" si="268"/>
        <v>2431.6616479155582</v>
      </c>
      <c r="N689" s="6">
        <f t="shared" si="260"/>
        <v>2448.2399999999998</v>
      </c>
      <c r="O689" s="6">
        <f>Arrivals!I689</f>
        <v>4.6561479161914514</v>
      </c>
      <c r="P689" s="6">
        <f t="shared" si="261"/>
        <v>2452.8961479161912</v>
      </c>
      <c r="Q689" s="6">
        <f t="shared" si="262"/>
        <v>1883.8961479161912</v>
      </c>
      <c r="R689" s="6">
        <f t="shared" si="263"/>
        <v>1855.2199999999998</v>
      </c>
      <c r="S689" s="6">
        <f t="shared" si="264"/>
        <v>0</v>
      </c>
      <c r="T689" s="6">
        <f t="shared" si="265"/>
        <v>0</v>
      </c>
      <c r="U689" s="6">
        <f t="shared" si="266"/>
        <v>1855.2199999999998</v>
      </c>
      <c r="V689" s="6" t="str">
        <f>IF(MOD(C689-Settings!$B$32,Settings!$B$33)&lt;Settings!$B$30,"Up","Down")</f>
        <v>Up</v>
      </c>
      <c r="W689" s="6">
        <f>IF(OR(E689&gt;Settings!$B$30,Q689&gt;Settings!$B$37),0,1)</f>
        <v>0</v>
      </c>
      <c r="X689" s="6">
        <f>IF(AND(W689=1,Q689&lt;=Settings!$B$36),1,0)</f>
        <v>0</v>
      </c>
    </row>
    <row r="690" spans="1:24" x14ac:dyDescent="0.2">
      <c r="A690">
        <f>Arrivals!A690</f>
        <v>6</v>
      </c>
      <c r="B690">
        <f>Arrivals!B690</f>
        <v>85</v>
      </c>
      <c r="C690" s="6">
        <f>Arrivals!F690</f>
        <v>574</v>
      </c>
      <c r="D690" s="6">
        <f>Arrivals!K690</f>
        <v>300</v>
      </c>
      <c r="E690" s="6">
        <f>D690*8/ACE_Input!S90+ACE_Input!T90</f>
        <v>24.02</v>
      </c>
      <c r="F690" s="6">
        <f t="shared" si="256"/>
        <v>574</v>
      </c>
      <c r="G690" s="6">
        <f t="shared" si="267"/>
        <v>2448.2399999999998</v>
      </c>
      <c r="H690" s="6">
        <f t="shared" si="257"/>
        <v>2448.2399999999998</v>
      </c>
      <c r="I690" s="6">
        <f>MOD(H690-Settings!$B$32,Settings!$B$33)</f>
        <v>288.23999999999978</v>
      </c>
      <c r="J690" s="6">
        <f>IF(I690&lt;Settings!$B$30,IF(Settings!$B$30-I690&gt;=E690,H690,H690+(Settings!$B$30-I690)+Settings!$B$31),H690+(Settings!$B$33-I690))</f>
        <v>2448.2399999999998</v>
      </c>
      <c r="K690" s="6">
        <f t="shared" si="258"/>
        <v>2472.2599999999998</v>
      </c>
      <c r="L690" s="6">
        <f t="shared" si="259"/>
        <v>2472.2599999999998</v>
      </c>
      <c r="M690" s="6">
        <f t="shared" si="268"/>
        <v>2452.8961479161912</v>
      </c>
      <c r="N690" s="6">
        <f t="shared" si="260"/>
        <v>2472.2599999999998</v>
      </c>
      <c r="O690" s="6">
        <f>Arrivals!I690</f>
        <v>2.5002002324430923</v>
      </c>
      <c r="P690" s="6">
        <f t="shared" si="261"/>
        <v>2474.7602002324429</v>
      </c>
      <c r="Q690" s="6">
        <f t="shared" si="262"/>
        <v>1900.7602002324429</v>
      </c>
      <c r="R690" s="6">
        <f t="shared" si="263"/>
        <v>1874.2399999999998</v>
      </c>
      <c r="S690" s="6">
        <f t="shared" si="264"/>
        <v>0</v>
      </c>
      <c r="T690" s="6">
        <f t="shared" si="265"/>
        <v>0</v>
      </c>
      <c r="U690" s="6">
        <f t="shared" si="266"/>
        <v>1874.2399999999998</v>
      </c>
      <c r="V690" s="6" t="str">
        <f>IF(MOD(C690-Settings!$B$32,Settings!$B$33)&lt;Settings!$B$30,"Up","Down")</f>
        <v>Up</v>
      </c>
      <c r="W690" s="6">
        <f>IF(OR(E690&gt;Settings!$B$30,Q690&gt;Settings!$B$37),0,1)</f>
        <v>0</v>
      </c>
      <c r="X690" s="6">
        <f>IF(AND(W690=1,Q690&lt;=Settings!$B$36),1,0)</f>
        <v>0</v>
      </c>
    </row>
    <row r="691" spans="1:24" x14ac:dyDescent="0.2">
      <c r="A691">
        <f>Arrivals!A691</f>
        <v>6</v>
      </c>
      <c r="B691">
        <f>Arrivals!B691</f>
        <v>86</v>
      </c>
      <c r="C691" s="6">
        <f>Arrivals!F691</f>
        <v>579</v>
      </c>
      <c r="D691" s="6">
        <f>Arrivals!K691</f>
        <v>300</v>
      </c>
      <c r="E691" s="6">
        <f>D691*8/ACE_Input!S91+ACE_Input!T91</f>
        <v>24.02</v>
      </c>
      <c r="F691" s="6">
        <f t="shared" si="256"/>
        <v>579</v>
      </c>
      <c r="G691" s="6">
        <f t="shared" si="267"/>
        <v>2472.2599999999998</v>
      </c>
      <c r="H691" s="6">
        <f t="shared" si="257"/>
        <v>2472.2599999999998</v>
      </c>
      <c r="I691" s="6">
        <f>MOD(H691-Settings!$B$32,Settings!$B$33)</f>
        <v>312.25999999999976</v>
      </c>
      <c r="J691" s="6">
        <f>IF(I691&lt;Settings!$B$30,IF(Settings!$B$30-I691&gt;=E691,H691,H691+(Settings!$B$30-I691)+Settings!$B$31),H691+(Settings!$B$33-I691))</f>
        <v>2472.2599999999998</v>
      </c>
      <c r="K691" s="6">
        <f t="shared" si="258"/>
        <v>2496.2799999999997</v>
      </c>
      <c r="L691" s="6">
        <f t="shared" si="259"/>
        <v>2496.2799999999997</v>
      </c>
      <c r="M691" s="6">
        <f t="shared" si="268"/>
        <v>2474.7602002324429</v>
      </c>
      <c r="N691" s="6">
        <f t="shared" si="260"/>
        <v>2496.2799999999997</v>
      </c>
      <c r="O691" s="6">
        <f>Arrivals!I691</f>
        <v>1.4928978203821368</v>
      </c>
      <c r="P691" s="6">
        <f t="shared" si="261"/>
        <v>2497.7728978203818</v>
      </c>
      <c r="Q691" s="6">
        <f t="shared" si="262"/>
        <v>1918.7728978203818</v>
      </c>
      <c r="R691" s="6">
        <f t="shared" si="263"/>
        <v>1893.2599999999998</v>
      </c>
      <c r="S691" s="6">
        <f t="shared" si="264"/>
        <v>0</v>
      </c>
      <c r="T691" s="6">
        <f t="shared" si="265"/>
        <v>0</v>
      </c>
      <c r="U691" s="6">
        <f t="shared" si="266"/>
        <v>1893.2599999999998</v>
      </c>
      <c r="V691" s="6" t="str">
        <f>IF(MOD(C691-Settings!$B$32,Settings!$B$33)&lt;Settings!$B$30,"Up","Down")</f>
        <v>Up</v>
      </c>
      <c r="W691" s="6">
        <f>IF(OR(E691&gt;Settings!$B$30,Q691&gt;Settings!$B$37),0,1)</f>
        <v>0</v>
      </c>
      <c r="X691" s="6">
        <f>IF(AND(W691=1,Q691&lt;=Settings!$B$36),1,0)</f>
        <v>0</v>
      </c>
    </row>
    <row r="692" spans="1:24" x14ac:dyDescent="0.2">
      <c r="A692">
        <f>Arrivals!A692</f>
        <v>6</v>
      </c>
      <c r="B692">
        <f>Arrivals!B692</f>
        <v>87</v>
      </c>
      <c r="C692" s="6">
        <f>Arrivals!F692</f>
        <v>584</v>
      </c>
      <c r="D692" s="6">
        <f>Arrivals!K692</f>
        <v>300</v>
      </c>
      <c r="E692" s="6">
        <f>D692*8/ACE_Input!S92+ACE_Input!T92</f>
        <v>24.02</v>
      </c>
      <c r="F692" s="6">
        <f t="shared" si="256"/>
        <v>584</v>
      </c>
      <c r="G692" s="6">
        <f t="shared" si="267"/>
        <v>2496.2799999999997</v>
      </c>
      <c r="H692" s="6">
        <f t="shared" si="257"/>
        <v>2496.2799999999997</v>
      </c>
      <c r="I692" s="6">
        <f>MOD(H692-Settings!$B$32,Settings!$B$33)</f>
        <v>336.27999999999975</v>
      </c>
      <c r="J692" s="6">
        <f>IF(I692&lt;Settings!$B$30,IF(Settings!$B$30-I692&gt;=E692,H692,H692+(Settings!$B$30-I692)+Settings!$B$31),H692+(Settings!$B$33-I692))</f>
        <v>2496.2799999999997</v>
      </c>
      <c r="K692" s="6">
        <f t="shared" si="258"/>
        <v>2520.2999999999997</v>
      </c>
      <c r="L692" s="6">
        <f t="shared" si="259"/>
        <v>2520.2999999999997</v>
      </c>
      <c r="M692" s="6">
        <f t="shared" si="268"/>
        <v>2497.7728978203818</v>
      </c>
      <c r="N692" s="6">
        <f t="shared" si="260"/>
        <v>2520.2999999999997</v>
      </c>
      <c r="O692" s="6">
        <f>Arrivals!I692</f>
        <v>0.89793950891122309</v>
      </c>
      <c r="P692" s="6">
        <f t="shared" si="261"/>
        <v>2521.1979395089111</v>
      </c>
      <c r="Q692" s="6">
        <f t="shared" si="262"/>
        <v>1937.1979395089111</v>
      </c>
      <c r="R692" s="6">
        <f t="shared" si="263"/>
        <v>1912.2799999999997</v>
      </c>
      <c r="S692" s="6">
        <f t="shared" si="264"/>
        <v>0</v>
      </c>
      <c r="T692" s="6">
        <f t="shared" si="265"/>
        <v>0</v>
      </c>
      <c r="U692" s="6">
        <f t="shared" si="266"/>
        <v>1912.2799999999997</v>
      </c>
      <c r="V692" s="6" t="str">
        <f>IF(MOD(C692-Settings!$B$32,Settings!$B$33)&lt;Settings!$B$30,"Up","Down")</f>
        <v>Up</v>
      </c>
      <c r="W692" s="6">
        <f>IF(OR(E692&gt;Settings!$B$30,Q692&gt;Settings!$B$37),0,1)</f>
        <v>0</v>
      </c>
      <c r="X692" s="6">
        <f>IF(AND(W692=1,Q692&lt;=Settings!$B$36),1,0)</f>
        <v>0</v>
      </c>
    </row>
    <row r="693" spans="1:24" x14ac:dyDescent="0.2">
      <c r="A693">
        <f>Arrivals!A693</f>
        <v>6</v>
      </c>
      <c r="B693">
        <f>Arrivals!B693</f>
        <v>88</v>
      </c>
      <c r="C693" s="6">
        <f>Arrivals!F693</f>
        <v>589</v>
      </c>
      <c r="D693" s="6">
        <f>Arrivals!K693</f>
        <v>300</v>
      </c>
      <c r="E693" s="6">
        <f>D693*8/ACE_Input!S93+ACE_Input!T93</f>
        <v>24.02</v>
      </c>
      <c r="F693" s="6">
        <f t="shared" si="256"/>
        <v>589</v>
      </c>
      <c r="G693" s="6">
        <f t="shared" si="267"/>
        <v>2520.2999999999997</v>
      </c>
      <c r="H693" s="6">
        <f t="shared" si="257"/>
        <v>2520.2999999999997</v>
      </c>
      <c r="I693" s="6">
        <f>MOD(H693-Settings!$B$32,Settings!$B$33)</f>
        <v>360.29999999999973</v>
      </c>
      <c r="J693" s="6">
        <f>IF(I693&lt;Settings!$B$30,IF(Settings!$B$30-I693&gt;=E693,H693,H693+(Settings!$B$30-I693)+Settings!$B$31),H693+(Settings!$B$33-I693))</f>
        <v>2520.2999999999997</v>
      </c>
      <c r="K693" s="6">
        <f t="shared" si="258"/>
        <v>2544.3199999999997</v>
      </c>
      <c r="L693" s="6">
        <f t="shared" si="259"/>
        <v>2544.3199999999997</v>
      </c>
      <c r="M693" s="6">
        <f t="shared" si="268"/>
        <v>2521.1979395089111</v>
      </c>
      <c r="N693" s="6">
        <f t="shared" si="260"/>
        <v>2544.3199999999997</v>
      </c>
      <c r="O693" s="6">
        <f>Arrivals!I693</f>
        <v>2.1985551420849698</v>
      </c>
      <c r="P693" s="6">
        <f t="shared" si="261"/>
        <v>2546.5185551420846</v>
      </c>
      <c r="Q693" s="6">
        <f t="shared" si="262"/>
        <v>1957.5185551420846</v>
      </c>
      <c r="R693" s="6">
        <f t="shared" si="263"/>
        <v>1931.2999999999997</v>
      </c>
      <c r="S693" s="6">
        <f t="shared" si="264"/>
        <v>0</v>
      </c>
      <c r="T693" s="6">
        <f t="shared" si="265"/>
        <v>0</v>
      </c>
      <c r="U693" s="6">
        <f t="shared" si="266"/>
        <v>1931.2999999999997</v>
      </c>
      <c r="V693" s="6" t="str">
        <f>IF(MOD(C693-Settings!$B$32,Settings!$B$33)&lt;Settings!$B$30,"Up","Down")</f>
        <v>Up</v>
      </c>
      <c r="W693" s="6">
        <f>IF(OR(E693&gt;Settings!$B$30,Q693&gt;Settings!$B$37),0,1)</f>
        <v>0</v>
      </c>
      <c r="X693" s="6">
        <f>IF(AND(W693=1,Q693&lt;=Settings!$B$36),1,0)</f>
        <v>0</v>
      </c>
    </row>
    <row r="694" spans="1:24" x14ac:dyDescent="0.2">
      <c r="A694">
        <f>Arrivals!A694</f>
        <v>6</v>
      </c>
      <c r="B694">
        <f>Arrivals!B694</f>
        <v>89</v>
      </c>
      <c r="C694" s="6">
        <f>Arrivals!F694</f>
        <v>594</v>
      </c>
      <c r="D694" s="6">
        <f>Arrivals!K694</f>
        <v>300</v>
      </c>
      <c r="E694" s="6">
        <f>D694*8/ACE_Input!S94+ACE_Input!T94</f>
        <v>24.02</v>
      </c>
      <c r="F694" s="6">
        <f t="shared" si="256"/>
        <v>594</v>
      </c>
      <c r="G694" s="6">
        <f t="shared" si="267"/>
        <v>2544.3199999999997</v>
      </c>
      <c r="H694" s="6">
        <f t="shared" si="257"/>
        <v>2544.3199999999997</v>
      </c>
      <c r="I694" s="6">
        <f>MOD(H694-Settings!$B$32,Settings!$B$33)</f>
        <v>384.31999999999971</v>
      </c>
      <c r="J694" s="6">
        <f>IF(I694&lt;Settings!$B$30,IF(Settings!$B$30-I694&gt;=E694,H694,H694+(Settings!$B$30-I694)+Settings!$B$31),H694+(Settings!$B$33-I694))</f>
        <v>2544.3199999999997</v>
      </c>
      <c r="K694" s="6">
        <f t="shared" si="258"/>
        <v>2568.3399999999997</v>
      </c>
      <c r="L694" s="6">
        <f t="shared" si="259"/>
        <v>2568.3399999999997</v>
      </c>
      <c r="M694" s="6">
        <f t="shared" si="268"/>
        <v>2546.5185551420846</v>
      </c>
      <c r="N694" s="6">
        <f t="shared" si="260"/>
        <v>2568.3399999999997</v>
      </c>
      <c r="O694" s="6">
        <f>Arrivals!I694</f>
        <v>4.8330123550080479</v>
      </c>
      <c r="P694" s="6">
        <f t="shared" si="261"/>
        <v>2573.1730123550078</v>
      </c>
      <c r="Q694" s="6">
        <f t="shared" si="262"/>
        <v>1979.1730123550078</v>
      </c>
      <c r="R694" s="6">
        <f t="shared" si="263"/>
        <v>1950.3199999999997</v>
      </c>
      <c r="S694" s="6">
        <f t="shared" si="264"/>
        <v>0</v>
      </c>
      <c r="T694" s="6">
        <f t="shared" si="265"/>
        <v>0</v>
      </c>
      <c r="U694" s="6">
        <f t="shared" si="266"/>
        <v>1950.3199999999997</v>
      </c>
      <c r="V694" s="6" t="str">
        <f>IF(MOD(C694-Settings!$B$32,Settings!$B$33)&lt;Settings!$B$30,"Up","Down")</f>
        <v>Up</v>
      </c>
      <c r="W694" s="6">
        <f>IF(OR(E694&gt;Settings!$B$30,Q694&gt;Settings!$B$37),0,1)</f>
        <v>0</v>
      </c>
      <c r="X694" s="6">
        <f>IF(AND(W694=1,Q694&lt;=Settings!$B$36),1,0)</f>
        <v>0</v>
      </c>
    </row>
    <row r="695" spans="1:24" x14ac:dyDescent="0.2">
      <c r="A695">
        <f>Arrivals!A695</f>
        <v>6</v>
      </c>
      <c r="B695">
        <f>Arrivals!B695</f>
        <v>90</v>
      </c>
      <c r="C695" s="6">
        <f>Arrivals!F695</f>
        <v>599</v>
      </c>
      <c r="D695" s="6">
        <f>Arrivals!K695</f>
        <v>300</v>
      </c>
      <c r="E695" s="6">
        <f>D695*8/ACE_Input!S95+ACE_Input!T95</f>
        <v>24.02</v>
      </c>
      <c r="F695" s="6">
        <f t="shared" si="256"/>
        <v>599</v>
      </c>
      <c r="G695" s="6">
        <f t="shared" si="267"/>
        <v>2568.3399999999997</v>
      </c>
      <c r="H695" s="6">
        <f t="shared" si="257"/>
        <v>2568.3399999999997</v>
      </c>
      <c r="I695" s="6">
        <f>MOD(H695-Settings!$B$32,Settings!$B$33)</f>
        <v>408.33999999999969</v>
      </c>
      <c r="J695" s="6">
        <f>IF(I695&lt;Settings!$B$30,IF(Settings!$B$30-I695&gt;=E695,H695,H695+(Settings!$B$30-I695)+Settings!$B$31),H695+(Settings!$B$33-I695))</f>
        <v>2568.3399999999997</v>
      </c>
      <c r="K695" s="6">
        <f t="shared" si="258"/>
        <v>2592.3599999999997</v>
      </c>
      <c r="L695" s="6">
        <f t="shared" si="259"/>
        <v>2592.3599999999997</v>
      </c>
      <c r="M695" s="6">
        <f t="shared" si="268"/>
        <v>2573.1730123550078</v>
      </c>
      <c r="N695" s="6">
        <f t="shared" si="260"/>
        <v>2592.3599999999997</v>
      </c>
      <c r="O695" s="6">
        <f>Arrivals!I695</f>
        <v>2.2872609467337264</v>
      </c>
      <c r="P695" s="6">
        <f t="shared" si="261"/>
        <v>2594.6472609467332</v>
      </c>
      <c r="Q695" s="6">
        <f t="shared" si="262"/>
        <v>1995.6472609467332</v>
      </c>
      <c r="R695" s="6">
        <f t="shared" si="263"/>
        <v>1969.3399999999997</v>
      </c>
      <c r="S695" s="6">
        <f t="shared" si="264"/>
        <v>0</v>
      </c>
      <c r="T695" s="6">
        <f t="shared" si="265"/>
        <v>0</v>
      </c>
      <c r="U695" s="6">
        <f t="shared" si="266"/>
        <v>1969.3399999999997</v>
      </c>
      <c r="V695" s="6" t="str">
        <f>IF(MOD(C695-Settings!$B$32,Settings!$B$33)&lt;Settings!$B$30,"Up","Down")</f>
        <v>Up</v>
      </c>
      <c r="W695" s="6">
        <f>IF(OR(E695&gt;Settings!$B$30,Q695&gt;Settings!$B$37),0,1)</f>
        <v>0</v>
      </c>
      <c r="X695" s="6">
        <f>IF(AND(W695=1,Q695&lt;=Settings!$B$36),1,0)</f>
        <v>0</v>
      </c>
    </row>
    <row r="696" spans="1:24" x14ac:dyDescent="0.2">
      <c r="A696">
        <f>Arrivals!A696</f>
        <v>6</v>
      </c>
      <c r="B696">
        <f>Arrivals!B696</f>
        <v>91</v>
      </c>
      <c r="C696" s="6">
        <f>Arrivals!F696</f>
        <v>604</v>
      </c>
      <c r="D696" s="6">
        <f>Arrivals!K696</f>
        <v>300</v>
      </c>
      <c r="E696" s="6">
        <f>D696*8/ACE_Input!S96+ACE_Input!T96</f>
        <v>24.02</v>
      </c>
      <c r="F696" s="6">
        <f t="shared" si="256"/>
        <v>604</v>
      </c>
      <c r="G696" s="6">
        <f t="shared" si="267"/>
        <v>2592.3599999999997</v>
      </c>
      <c r="H696" s="6">
        <f t="shared" si="257"/>
        <v>2592.3599999999997</v>
      </c>
      <c r="I696" s="6">
        <f>MOD(H696-Settings!$B$32,Settings!$B$33)</f>
        <v>432.35999999999967</v>
      </c>
      <c r="J696" s="6">
        <f>IF(I696&lt;Settings!$B$30,IF(Settings!$B$30-I696&gt;=E696,H696,H696+(Settings!$B$30-I696)+Settings!$B$31),H696+(Settings!$B$33-I696))</f>
        <v>2592.3599999999997</v>
      </c>
      <c r="K696" s="6">
        <f t="shared" si="258"/>
        <v>2616.3799999999997</v>
      </c>
      <c r="L696" s="6">
        <f t="shared" si="259"/>
        <v>2616.3799999999997</v>
      </c>
      <c r="M696" s="6">
        <f t="shared" si="268"/>
        <v>2594.6472609467332</v>
      </c>
      <c r="N696" s="6">
        <f t="shared" si="260"/>
        <v>2616.3799999999997</v>
      </c>
      <c r="O696" s="6">
        <f>Arrivals!I696</f>
        <v>2.4040081294305278</v>
      </c>
      <c r="P696" s="6">
        <f t="shared" si="261"/>
        <v>2618.7840081294303</v>
      </c>
      <c r="Q696" s="6">
        <f t="shared" si="262"/>
        <v>2014.7840081294303</v>
      </c>
      <c r="R696" s="6">
        <f t="shared" si="263"/>
        <v>1988.3599999999997</v>
      </c>
      <c r="S696" s="6">
        <f t="shared" si="264"/>
        <v>0</v>
      </c>
      <c r="T696" s="6">
        <f t="shared" si="265"/>
        <v>0</v>
      </c>
      <c r="U696" s="6">
        <f t="shared" si="266"/>
        <v>1988.3599999999997</v>
      </c>
      <c r="V696" s="6" t="str">
        <f>IF(MOD(C696-Settings!$B$32,Settings!$B$33)&lt;Settings!$B$30,"Up","Down")</f>
        <v>Down</v>
      </c>
      <c r="W696" s="6">
        <f>IF(OR(E696&gt;Settings!$B$30,Q696&gt;Settings!$B$37),0,1)</f>
        <v>0</v>
      </c>
      <c r="X696" s="6">
        <f>IF(AND(W696=1,Q696&lt;=Settings!$B$36),1,0)</f>
        <v>0</v>
      </c>
    </row>
    <row r="697" spans="1:24" x14ac:dyDescent="0.2">
      <c r="A697">
        <f>Arrivals!A697</f>
        <v>6</v>
      </c>
      <c r="B697">
        <f>Arrivals!B697</f>
        <v>92</v>
      </c>
      <c r="C697" s="6">
        <f>Arrivals!F697</f>
        <v>609</v>
      </c>
      <c r="D697" s="6">
        <f>Arrivals!K697</f>
        <v>300</v>
      </c>
      <c r="E697" s="6">
        <f>D697*8/ACE_Input!S97+ACE_Input!T97</f>
        <v>24.02</v>
      </c>
      <c r="F697" s="6">
        <f t="shared" si="256"/>
        <v>609</v>
      </c>
      <c r="G697" s="6">
        <f t="shared" si="267"/>
        <v>2616.3799999999997</v>
      </c>
      <c r="H697" s="6">
        <f t="shared" si="257"/>
        <v>2616.3799999999997</v>
      </c>
      <c r="I697" s="6">
        <f>MOD(H697-Settings!$B$32,Settings!$B$33)</f>
        <v>456.37999999999965</v>
      </c>
      <c r="J697" s="6">
        <f>IF(I697&lt;Settings!$B$30,IF(Settings!$B$30-I697&gt;=E697,H697,H697+(Settings!$B$30-I697)+Settings!$B$31),H697+(Settings!$B$33-I697))</f>
        <v>2616.3799999999997</v>
      </c>
      <c r="K697" s="6">
        <f t="shared" si="258"/>
        <v>2640.3999999999996</v>
      </c>
      <c r="L697" s="6">
        <f t="shared" si="259"/>
        <v>2640.3999999999996</v>
      </c>
      <c r="M697" s="6">
        <f t="shared" si="268"/>
        <v>2618.7840081294303</v>
      </c>
      <c r="N697" s="6">
        <f t="shared" si="260"/>
        <v>2640.3999999999996</v>
      </c>
      <c r="O697" s="6">
        <f>Arrivals!I697</f>
        <v>1.7903167177159116</v>
      </c>
      <c r="P697" s="6">
        <f t="shared" si="261"/>
        <v>2642.1903167177156</v>
      </c>
      <c r="Q697" s="6">
        <f t="shared" si="262"/>
        <v>2033.1903167177156</v>
      </c>
      <c r="R697" s="6">
        <f t="shared" si="263"/>
        <v>2007.3799999999997</v>
      </c>
      <c r="S697" s="6">
        <f t="shared" si="264"/>
        <v>0</v>
      </c>
      <c r="T697" s="6">
        <f t="shared" si="265"/>
        <v>0</v>
      </c>
      <c r="U697" s="6">
        <f t="shared" si="266"/>
        <v>2007.3799999999997</v>
      </c>
      <c r="V697" s="6" t="str">
        <f>IF(MOD(C697-Settings!$B$32,Settings!$B$33)&lt;Settings!$B$30,"Up","Down")</f>
        <v>Down</v>
      </c>
      <c r="W697" s="6">
        <f>IF(OR(E697&gt;Settings!$B$30,Q697&gt;Settings!$B$37),0,1)</f>
        <v>0</v>
      </c>
      <c r="X697" s="6">
        <f>IF(AND(W697=1,Q697&lt;=Settings!$B$36),1,0)</f>
        <v>0</v>
      </c>
    </row>
    <row r="698" spans="1:24" x14ac:dyDescent="0.2">
      <c r="A698">
        <f>Arrivals!A698</f>
        <v>6</v>
      </c>
      <c r="B698">
        <f>Arrivals!B698</f>
        <v>93</v>
      </c>
      <c r="C698" s="6">
        <f>Arrivals!F698</f>
        <v>614</v>
      </c>
      <c r="D698" s="6">
        <f>Arrivals!K698</f>
        <v>300</v>
      </c>
      <c r="E698" s="6">
        <f>D698*8/ACE_Input!S98+ACE_Input!T98</f>
        <v>24.02</v>
      </c>
      <c r="F698" s="6">
        <f t="shared" si="256"/>
        <v>614</v>
      </c>
      <c r="G698" s="6">
        <f t="shared" si="267"/>
        <v>2640.3999999999996</v>
      </c>
      <c r="H698" s="6">
        <f t="shared" si="257"/>
        <v>2640.3999999999996</v>
      </c>
      <c r="I698" s="6">
        <f>MOD(H698-Settings!$B$32,Settings!$B$33)</f>
        <v>480.39999999999964</v>
      </c>
      <c r="J698" s="6">
        <f>IF(I698&lt;Settings!$B$30,IF(Settings!$B$30-I698&gt;=E698,H698,H698+(Settings!$B$30-I698)+Settings!$B$31),H698+(Settings!$B$33-I698))</f>
        <v>2640.3999999999996</v>
      </c>
      <c r="K698" s="6">
        <f t="shared" si="258"/>
        <v>2664.4199999999996</v>
      </c>
      <c r="L698" s="6">
        <f t="shared" si="259"/>
        <v>2664.4199999999996</v>
      </c>
      <c r="M698" s="6">
        <f t="shared" si="268"/>
        <v>2642.1903167177156</v>
      </c>
      <c r="N698" s="6">
        <f t="shared" si="260"/>
        <v>2664.4199999999996</v>
      </c>
      <c r="O698" s="6">
        <f>Arrivals!I698</f>
        <v>2.10526907305736</v>
      </c>
      <c r="P698" s="6">
        <f t="shared" si="261"/>
        <v>2666.5252690730572</v>
      </c>
      <c r="Q698" s="6">
        <f t="shared" si="262"/>
        <v>2052.5252690730572</v>
      </c>
      <c r="R698" s="6">
        <f t="shared" si="263"/>
        <v>2026.3999999999996</v>
      </c>
      <c r="S698" s="6">
        <f t="shared" si="264"/>
        <v>0</v>
      </c>
      <c r="T698" s="6">
        <f t="shared" si="265"/>
        <v>0</v>
      </c>
      <c r="U698" s="6">
        <f t="shared" si="266"/>
        <v>2026.3999999999996</v>
      </c>
      <c r="V698" s="6" t="str">
        <f>IF(MOD(C698-Settings!$B$32,Settings!$B$33)&lt;Settings!$B$30,"Up","Down")</f>
        <v>Down</v>
      </c>
      <c r="W698" s="6">
        <f>IF(OR(E698&gt;Settings!$B$30,Q698&gt;Settings!$B$37),0,1)</f>
        <v>0</v>
      </c>
      <c r="X698" s="6">
        <f>IF(AND(W698=1,Q698&lt;=Settings!$B$36),1,0)</f>
        <v>0</v>
      </c>
    </row>
    <row r="699" spans="1:24" x14ac:dyDescent="0.2">
      <c r="A699">
        <f>Arrivals!A699</f>
        <v>6</v>
      </c>
      <c r="B699">
        <f>Arrivals!B699</f>
        <v>94</v>
      </c>
      <c r="C699" s="6">
        <f>Arrivals!F699</f>
        <v>619</v>
      </c>
      <c r="D699" s="6">
        <f>Arrivals!K699</f>
        <v>300</v>
      </c>
      <c r="E699" s="6">
        <f>D699*8/ACE_Input!S99+ACE_Input!T99</f>
        <v>24.02</v>
      </c>
      <c r="F699" s="6">
        <f t="shared" si="256"/>
        <v>619</v>
      </c>
      <c r="G699" s="6">
        <f t="shared" si="267"/>
        <v>2664.4199999999996</v>
      </c>
      <c r="H699" s="6">
        <f t="shared" si="257"/>
        <v>2664.4199999999996</v>
      </c>
      <c r="I699" s="6">
        <f>MOD(H699-Settings!$B$32,Settings!$B$33)</f>
        <v>504.41999999999962</v>
      </c>
      <c r="J699" s="6">
        <f>IF(I699&lt;Settings!$B$30,IF(Settings!$B$30-I699&gt;=E699,H699,H699+(Settings!$B$30-I699)+Settings!$B$31),H699+(Settings!$B$33-I699))</f>
        <v>2664.4199999999996</v>
      </c>
      <c r="K699" s="6">
        <f t="shared" si="258"/>
        <v>2688.4399999999996</v>
      </c>
      <c r="L699" s="6">
        <f t="shared" si="259"/>
        <v>2688.4399999999996</v>
      </c>
      <c r="M699" s="6">
        <f t="shared" si="268"/>
        <v>2666.5252690730572</v>
      </c>
      <c r="N699" s="6">
        <f t="shared" si="260"/>
        <v>2688.4399999999996</v>
      </c>
      <c r="O699" s="6">
        <f>Arrivals!I699</f>
        <v>6.7932307345647942</v>
      </c>
      <c r="P699" s="6">
        <f t="shared" si="261"/>
        <v>2695.2332307345646</v>
      </c>
      <c r="Q699" s="6">
        <f t="shared" si="262"/>
        <v>2076.2332307345646</v>
      </c>
      <c r="R699" s="6">
        <f t="shared" si="263"/>
        <v>2045.4199999999996</v>
      </c>
      <c r="S699" s="6">
        <f t="shared" si="264"/>
        <v>0</v>
      </c>
      <c r="T699" s="6">
        <f t="shared" si="265"/>
        <v>0</v>
      </c>
      <c r="U699" s="6">
        <f t="shared" si="266"/>
        <v>2045.4199999999996</v>
      </c>
      <c r="V699" s="6" t="str">
        <f>IF(MOD(C699-Settings!$B$32,Settings!$B$33)&lt;Settings!$B$30,"Up","Down")</f>
        <v>Down</v>
      </c>
      <c r="W699" s="6">
        <f>IF(OR(E699&gt;Settings!$B$30,Q699&gt;Settings!$B$37),0,1)</f>
        <v>0</v>
      </c>
      <c r="X699" s="6">
        <f>IF(AND(W699=1,Q699&lt;=Settings!$B$36),1,0)</f>
        <v>0</v>
      </c>
    </row>
    <row r="700" spans="1:24" x14ac:dyDescent="0.2">
      <c r="A700">
        <f>Arrivals!A700</f>
        <v>6</v>
      </c>
      <c r="B700">
        <f>Arrivals!B700</f>
        <v>95</v>
      </c>
      <c r="C700" s="6">
        <f>Arrivals!F700</f>
        <v>624</v>
      </c>
      <c r="D700" s="6">
        <f>Arrivals!K700</f>
        <v>300</v>
      </c>
      <c r="E700" s="6">
        <f>D700*8/ACE_Input!S100+ACE_Input!T100</f>
        <v>24.02</v>
      </c>
      <c r="F700" s="6">
        <f t="shared" si="256"/>
        <v>624</v>
      </c>
      <c r="G700" s="6">
        <f t="shared" si="267"/>
        <v>2688.4399999999996</v>
      </c>
      <c r="H700" s="6">
        <f t="shared" si="257"/>
        <v>2688.4399999999996</v>
      </c>
      <c r="I700" s="6">
        <f>MOD(H700-Settings!$B$32,Settings!$B$33)</f>
        <v>528.4399999999996</v>
      </c>
      <c r="J700" s="6">
        <f>IF(I700&lt;Settings!$B$30,IF(Settings!$B$30-I700&gt;=E700,H700,H700+(Settings!$B$30-I700)+Settings!$B$31),H700+(Settings!$B$33-I700))</f>
        <v>2688.4399999999996</v>
      </c>
      <c r="K700" s="6">
        <f t="shared" si="258"/>
        <v>2712.4599999999996</v>
      </c>
      <c r="L700" s="6">
        <f t="shared" si="259"/>
        <v>2712.4599999999996</v>
      </c>
      <c r="M700" s="6">
        <f t="shared" si="268"/>
        <v>2695.2332307345646</v>
      </c>
      <c r="N700" s="6">
        <f t="shared" si="260"/>
        <v>2712.4599999999996</v>
      </c>
      <c r="O700" s="6">
        <f>Arrivals!I700</f>
        <v>2.302084436125472</v>
      </c>
      <c r="P700" s="6">
        <f t="shared" si="261"/>
        <v>2714.762084436125</v>
      </c>
      <c r="Q700" s="6">
        <f t="shared" si="262"/>
        <v>2090.762084436125</v>
      </c>
      <c r="R700" s="6">
        <f t="shared" si="263"/>
        <v>2064.4399999999996</v>
      </c>
      <c r="S700" s="6">
        <f t="shared" si="264"/>
        <v>0</v>
      </c>
      <c r="T700" s="6">
        <f t="shared" si="265"/>
        <v>0</v>
      </c>
      <c r="U700" s="6">
        <f t="shared" si="266"/>
        <v>2064.4399999999996</v>
      </c>
      <c r="V700" s="6" t="str">
        <f>IF(MOD(C700-Settings!$B$32,Settings!$B$33)&lt;Settings!$B$30,"Up","Down")</f>
        <v>Down</v>
      </c>
      <c r="W700" s="6">
        <f>IF(OR(E700&gt;Settings!$B$30,Q700&gt;Settings!$B$37),0,1)</f>
        <v>0</v>
      </c>
      <c r="X700" s="6">
        <f>IF(AND(W700=1,Q700&lt;=Settings!$B$36),1,0)</f>
        <v>0</v>
      </c>
    </row>
    <row r="701" spans="1:24" x14ac:dyDescent="0.2">
      <c r="A701">
        <f>Arrivals!A701</f>
        <v>6</v>
      </c>
      <c r="B701">
        <f>Arrivals!B701</f>
        <v>96</v>
      </c>
      <c r="C701" s="6">
        <f>Arrivals!F701</f>
        <v>629</v>
      </c>
      <c r="D701" s="6">
        <f>Arrivals!K701</f>
        <v>300</v>
      </c>
      <c r="E701" s="6">
        <f>D701*8/ACE_Input!S101+ACE_Input!T101</f>
        <v>24.02</v>
      </c>
      <c r="F701" s="6">
        <f t="shared" si="256"/>
        <v>629</v>
      </c>
      <c r="G701" s="6">
        <f t="shared" si="267"/>
        <v>2712.4599999999996</v>
      </c>
      <c r="H701" s="6">
        <f t="shared" si="257"/>
        <v>2712.4599999999996</v>
      </c>
      <c r="I701" s="6">
        <f>MOD(H701-Settings!$B$32,Settings!$B$33)</f>
        <v>552.45999999999958</v>
      </c>
      <c r="J701" s="6">
        <f>IF(I701&lt;Settings!$B$30,IF(Settings!$B$30-I701&gt;=E701,H701,H701+(Settings!$B$30-I701)+Settings!$B$31),H701+(Settings!$B$33-I701))</f>
        <v>2712.4599999999996</v>
      </c>
      <c r="K701" s="6">
        <f t="shared" si="258"/>
        <v>2736.4799999999996</v>
      </c>
      <c r="L701" s="6">
        <f t="shared" si="259"/>
        <v>2736.4799999999996</v>
      </c>
      <c r="M701" s="6">
        <f t="shared" si="268"/>
        <v>2714.762084436125</v>
      </c>
      <c r="N701" s="6">
        <f t="shared" si="260"/>
        <v>2736.4799999999996</v>
      </c>
      <c r="O701" s="6">
        <f>Arrivals!I701</f>
        <v>3.1613874424270056</v>
      </c>
      <c r="P701" s="6">
        <f t="shared" si="261"/>
        <v>2739.6413874424265</v>
      </c>
      <c r="Q701" s="6">
        <f t="shared" si="262"/>
        <v>2110.6413874424265</v>
      </c>
      <c r="R701" s="6">
        <f t="shared" si="263"/>
        <v>2083.4599999999996</v>
      </c>
      <c r="S701" s="6">
        <f t="shared" si="264"/>
        <v>0</v>
      </c>
      <c r="T701" s="6">
        <f t="shared" si="265"/>
        <v>0</v>
      </c>
      <c r="U701" s="6">
        <f t="shared" si="266"/>
        <v>2083.4599999999996</v>
      </c>
      <c r="V701" s="6" t="str">
        <f>IF(MOD(C701-Settings!$B$32,Settings!$B$33)&lt;Settings!$B$30,"Up","Down")</f>
        <v>Down</v>
      </c>
      <c r="W701" s="6">
        <f>IF(OR(E701&gt;Settings!$B$30,Q701&gt;Settings!$B$37),0,1)</f>
        <v>0</v>
      </c>
      <c r="X701" s="6">
        <f>IF(AND(W701=1,Q701&lt;=Settings!$B$36),1,0)</f>
        <v>0</v>
      </c>
    </row>
    <row r="702" spans="1:24" x14ac:dyDescent="0.2">
      <c r="A702">
        <f>Arrivals!A702</f>
        <v>6</v>
      </c>
      <c r="B702">
        <f>Arrivals!B702</f>
        <v>97</v>
      </c>
      <c r="C702" s="6">
        <f>Arrivals!F702</f>
        <v>634</v>
      </c>
      <c r="D702" s="6">
        <f>Arrivals!K702</f>
        <v>300</v>
      </c>
      <c r="E702" s="6">
        <f>D702*8/ACE_Input!S102+ACE_Input!T102</f>
        <v>24.02</v>
      </c>
      <c r="F702" s="6">
        <f t="shared" si="256"/>
        <v>634</v>
      </c>
      <c r="G702" s="6">
        <f t="shared" si="267"/>
        <v>2736.4799999999996</v>
      </c>
      <c r="H702" s="6">
        <f t="shared" ref="H702:H705" si="269">MAX(F702,G702)</f>
        <v>2736.4799999999996</v>
      </c>
      <c r="I702" s="6">
        <f>MOD(H702-Settings!$B$32,Settings!$B$33)</f>
        <v>576.47999999999956</v>
      </c>
      <c r="J702" s="6">
        <f>IF(I702&lt;Settings!$B$30,IF(Settings!$B$30-I702&gt;=E702,H702,H702+(Settings!$B$30-I702)+Settings!$B$31),H702+(Settings!$B$33-I702))</f>
        <v>2880</v>
      </c>
      <c r="K702" s="6">
        <f t="shared" ref="K702:K705" si="270">J702+E702</f>
        <v>2904.02</v>
      </c>
      <c r="L702" s="6">
        <f t="shared" ref="L702:L705" si="271">K702</f>
        <v>2904.02</v>
      </c>
      <c r="M702" s="6">
        <f t="shared" si="268"/>
        <v>2739.6413874424265</v>
      </c>
      <c r="N702" s="6">
        <f t="shared" ref="N702:N705" si="272">MAX(L702,M702)</f>
        <v>2904.02</v>
      </c>
      <c r="O702" s="6">
        <f>Arrivals!I702</f>
        <v>8.3447250778244815</v>
      </c>
      <c r="P702" s="6">
        <f t="shared" ref="P702:P705" si="273">N702+O702</f>
        <v>2912.3647250778245</v>
      </c>
      <c r="Q702" s="6">
        <f t="shared" ref="Q702:Q705" si="274">P702-C702</f>
        <v>2278.3647250778245</v>
      </c>
      <c r="R702" s="6">
        <f t="shared" si="263"/>
        <v>2102.4799999999996</v>
      </c>
      <c r="S702" s="6">
        <f t="shared" si="264"/>
        <v>143.52000000000044</v>
      </c>
      <c r="T702" s="6">
        <f t="shared" si="265"/>
        <v>0</v>
      </c>
      <c r="U702" s="6">
        <f t="shared" ref="U702:U705" si="275">R702+S702+T702</f>
        <v>2246</v>
      </c>
      <c r="V702" s="6" t="str">
        <f>IF(MOD(C702-Settings!$B$32,Settings!$B$33)&lt;Settings!$B$30,"Up","Down")</f>
        <v>Down</v>
      </c>
      <c r="W702" s="6">
        <f>IF(OR(E702&gt;Settings!$B$30,Q702&gt;Settings!$B$37),0,1)</f>
        <v>0</v>
      </c>
      <c r="X702" s="6">
        <f>IF(AND(W702=1,Q702&lt;=Settings!$B$36),1,0)</f>
        <v>0</v>
      </c>
    </row>
    <row r="703" spans="1:24" x14ac:dyDescent="0.2">
      <c r="A703">
        <f>Arrivals!A703</f>
        <v>6</v>
      </c>
      <c r="B703">
        <f>Arrivals!B703</f>
        <v>98</v>
      </c>
      <c r="C703" s="6">
        <f>Arrivals!F703</f>
        <v>639</v>
      </c>
      <c r="D703" s="6">
        <f>Arrivals!K703</f>
        <v>300</v>
      </c>
      <c r="E703" s="6">
        <f>D703*8/ACE_Input!S103+ACE_Input!T103</f>
        <v>24.02</v>
      </c>
      <c r="F703" s="6">
        <f t="shared" si="256"/>
        <v>639</v>
      </c>
      <c r="G703" s="6">
        <f t="shared" si="267"/>
        <v>2904.02</v>
      </c>
      <c r="H703" s="6">
        <f t="shared" si="269"/>
        <v>2904.02</v>
      </c>
      <c r="I703" s="6">
        <f>MOD(H703-Settings!$B$32,Settings!$B$33)</f>
        <v>24.019999999999982</v>
      </c>
      <c r="J703" s="6">
        <f>IF(I703&lt;Settings!$B$30,IF(Settings!$B$30-I703&gt;=E703,H703,H703+(Settings!$B$30-I703)+Settings!$B$31),H703+(Settings!$B$33-I703))</f>
        <v>2904.02</v>
      </c>
      <c r="K703" s="6">
        <f t="shared" si="270"/>
        <v>2928.04</v>
      </c>
      <c r="L703" s="6">
        <f t="shared" si="271"/>
        <v>2928.04</v>
      </c>
      <c r="M703" s="6">
        <f t="shared" si="268"/>
        <v>2912.3647250778245</v>
      </c>
      <c r="N703" s="6">
        <f t="shared" si="272"/>
        <v>2928.04</v>
      </c>
      <c r="O703" s="6">
        <f>Arrivals!I703</f>
        <v>1.0805088295853433</v>
      </c>
      <c r="P703" s="6">
        <f t="shared" si="273"/>
        <v>2929.1205088295851</v>
      </c>
      <c r="Q703" s="6">
        <f t="shared" si="274"/>
        <v>2290.1205088295851</v>
      </c>
      <c r="R703" s="6">
        <f t="shared" si="263"/>
        <v>2265.02</v>
      </c>
      <c r="S703" s="6">
        <f t="shared" si="264"/>
        <v>0</v>
      </c>
      <c r="T703" s="6">
        <f t="shared" si="265"/>
        <v>0</v>
      </c>
      <c r="U703" s="6">
        <f t="shared" si="275"/>
        <v>2265.02</v>
      </c>
      <c r="V703" s="6" t="str">
        <f>IF(MOD(C703-Settings!$B$32,Settings!$B$33)&lt;Settings!$B$30,"Up","Down")</f>
        <v>Down</v>
      </c>
      <c r="W703" s="6">
        <f>IF(OR(E703&gt;Settings!$B$30,Q703&gt;Settings!$B$37),0,1)</f>
        <v>0</v>
      </c>
      <c r="X703" s="6">
        <f>IF(AND(W703=1,Q703&lt;=Settings!$B$36),1,0)</f>
        <v>0</v>
      </c>
    </row>
    <row r="704" spans="1:24" x14ac:dyDescent="0.2">
      <c r="A704">
        <f>Arrivals!A704</f>
        <v>6</v>
      </c>
      <c r="B704">
        <f>Arrivals!B704</f>
        <v>99</v>
      </c>
      <c r="C704" s="6">
        <f>Arrivals!F704</f>
        <v>684</v>
      </c>
      <c r="D704" s="6">
        <f>Arrivals!K704</f>
        <v>300</v>
      </c>
      <c r="E704" s="6">
        <f>D704*8/ACE_Input!S104+ACE_Input!T104</f>
        <v>24.02</v>
      </c>
      <c r="F704" s="6">
        <f t="shared" si="256"/>
        <v>684</v>
      </c>
      <c r="G704" s="6">
        <f t="shared" si="267"/>
        <v>2928.04</v>
      </c>
      <c r="H704" s="6">
        <f t="shared" si="269"/>
        <v>2928.04</v>
      </c>
      <c r="I704" s="6">
        <f>MOD(H704-Settings!$B$32,Settings!$B$33)</f>
        <v>48.039999999999964</v>
      </c>
      <c r="J704" s="6">
        <f>IF(I704&lt;Settings!$B$30,IF(Settings!$B$30-I704&gt;=E704,H704,H704+(Settings!$B$30-I704)+Settings!$B$31),H704+(Settings!$B$33-I704))</f>
        <v>2928.04</v>
      </c>
      <c r="K704" s="6">
        <f t="shared" si="270"/>
        <v>2952.06</v>
      </c>
      <c r="L704" s="6">
        <f t="shared" si="271"/>
        <v>2952.06</v>
      </c>
      <c r="M704" s="6">
        <f t="shared" si="268"/>
        <v>2929.1205088295851</v>
      </c>
      <c r="N704" s="6">
        <f t="shared" si="272"/>
        <v>2952.06</v>
      </c>
      <c r="O704" s="6">
        <f>Arrivals!I704</f>
        <v>2.876494104532636</v>
      </c>
      <c r="P704" s="6">
        <f t="shared" si="273"/>
        <v>2954.9364941045324</v>
      </c>
      <c r="Q704" s="6">
        <f t="shared" si="274"/>
        <v>2270.9364941045324</v>
      </c>
      <c r="R704" s="6">
        <f t="shared" si="263"/>
        <v>2244.04</v>
      </c>
      <c r="S704" s="6">
        <f t="shared" si="264"/>
        <v>0</v>
      </c>
      <c r="T704" s="6">
        <f t="shared" si="265"/>
        <v>0</v>
      </c>
      <c r="U704" s="6">
        <f t="shared" si="275"/>
        <v>2244.04</v>
      </c>
      <c r="V704" s="6" t="str">
        <f>IF(MOD(C704-Settings!$B$32,Settings!$B$33)&lt;Settings!$B$30,"Up","Down")</f>
        <v>Down</v>
      </c>
      <c r="W704" s="6">
        <f>IF(OR(E704&gt;Settings!$B$30,Q704&gt;Settings!$B$37),0,1)</f>
        <v>0</v>
      </c>
      <c r="X704" s="6">
        <f>IF(AND(W704=1,Q704&lt;=Settings!$B$36),1,0)</f>
        <v>0</v>
      </c>
    </row>
    <row r="705" spans="1:24" x14ac:dyDescent="0.2">
      <c r="A705">
        <f>Arrivals!A705</f>
        <v>6</v>
      </c>
      <c r="B705">
        <f>Arrivals!B705</f>
        <v>100</v>
      </c>
      <c r="C705" s="6">
        <f>Arrivals!F705</f>
        <v>689</v>
      </c>
      <c r="D705" s="6">
        <f>Arrivals!K705</f>
        <v>300</v>
      </c>
      <c r="E705" s="6">
        <f>D705*8/ACE_Input!S105+ACE_Input!T105</f>
        <v>24.02</v>
      </c>
      <c r="F705" s="6">
        <f t="shared" si="256"/>
        <v>689</v>
      </c>
      <c r="G705" s="6">
        <f t="shared" si="267"/>
        <v>2952.06</v>
      </c>
      <c r="H705" s="6">
        <f t="shared" si="269"/>
        <v>2952.06</v>
      </c>
      <c r="I705" s="6">
        <f>MOD(H705-Settings!$B$32,Settings!$B$33)</f>
        <v>72.059999999999945</v>
      </c>
      <c r="J705" s="6">
        <f>IF(I705&lt;Settings!$B$30,IF(Settings!$B$30-I705&gt;=E705,H705,H705+(Settings!$B$30-I705)+Settings!$B$31),H705+(Settings!$B$33-I705))</f>
        <v>2952.06</v>
      </c>
      <c r="K705" s="6">
        <f t="shared" si="270"/>
        <v>2976.08</v>
      </c>
      <c r="L705" s="6">
        <f t="shared" si="271"/>
        <v>2976.08</v>
      </c>
      <c r="M705" s="6">
        <f t="shared" si="268"/>
        <v>2954.9364941045324</v>
      </c>
      <c r="N705" s="6">
        <f t="shared" si="272"/>
        <v>2976.08</v>
      </c>
      <c r="O705" s="6">
        <f>Arrivals!I705</f>
        <v>15.937058223191181</v>
      </c>
      <c r="P705" s="6">
        <f t="shared" si="273"/>
        <v>2992.0170582231913</v>
      </c>
      <c r="Q705" s="6">
        <f t="shared" si="274"/>
        <v>2303.0170582231913</v>
      </c>
      <c r="R705" s="6">
        <f t="shared" si="263"/>
        <v>2263.06</v>
      </c>
      <c r="S705" s="6">
        <f t="shared" si="264"/>
        <v>0</v>
      </c>
      <c r="T705" s="6">
        <f t="shared" si="265"/>
        <v>0</v>
      </c>
      <c r="U705" s="6">
        <f t="shared" si="275"/>
        <v>2263.06</v>
      </c>
      <c r="V705" s="6" t="str">
        <f>IF(MOD(C705-Settings!$B$32,Settings!$B$33)&lt;Settings!$B$30,"Up","Down")</f>
        <v>Down</v>
      </c>
      <c r="W705" s="6">
        <f>IF(OR(E705&gt;Settings!$B$30,Q705&gt;Settings!$B$37),0,1)</f>
        <v>0</v>
      </c>
      <c r="X705" s="6">
        <f>IF(AND(W705=1,Q705&lt;=Settings!$B$36),1,0)</f>
        <v>0</v>
      </c>
    </row>
    <row r="706" spans="1:24" x14ac:dyDescent="0.2">
      <c r="C706" s="6"/>
      <c r="D706" s="6"/>
      <c r="E706" s="6"/>
      <c r="F706" s="6"/>
      <c r="G706" s="6"/>
      <c r="H706" s="6"/>
      <c r="I706" s="6"/>
      <c r="J706" s="6"/>
      <c r="K706" s="6"/>
      <c r="L706" s="6"/>
      <c r="M706" s="6"/>
      <c r="N706" s="6"/>
      <c r="O706" s="6"/>
      <c r="P706" s="6"/>
      <c r="Q706" s="6"/>
      <c r="R706" s="6"/>
      <c r="S706" s="6"/>
      <c r="T706" s="6"/>
      <c r="U706" s="6"/>
      <c r="V706" s="6"/>
      <c r="W706" s="6"/>
      <c r="X706" s="6"/>
    </row>
    <row r="707" spans="1:24" x14ac:dyDescent="0.2">
      <c r="C707" s="6"/>
      <c r="D707" s="6"/>
      <c r="E707" s="6"/>
      <c r="F707" s="6"/>
      <c r="G707" s="6"/>
      <c r="H707" s="6"/>
      <c r="I707" s="6"/>
      <c r="J707" s="6"/>
      <c r="K707" s="6"/>
      <c r="L707" s="6"/>
      <c r="M707" s="6"/>
      <c r="N707" s="6"/>
      <c r="O707" s="6"/>
      <c r="P707" s="6"/>
      <c r="Q707" s="6"/>
      <c r="R707" s="6"/>
      <c r="S707" s="6"/>
      <c r="T707" s="6"/>
      <c r="U707" s="6"/>
      <c r="V707" s="6"/>
      <c r="W707" s="6"/>
      <c r="X707" s="6"/>
    </row>
    <row r="708" spans="1:24" x14ac:dyDescent="0.2">
      <c r="C708" s="6"/>
      <c r="D708" s="6"/>
      <c r="E708" s="6"/>
      <c r="F708" s="6"/>
      <c r="G708" s="6"/>
      <c r="H708" s="6"/>
      <c r="I708" s="6"/>
      <c r="J708" s="6"/>
      <c r="K708" s="6"/>
      <c r="L708" s="6"/>
      <c r="M708" s="6"/>
      <c r="N708" s="6"/>
      <c r="O708" s="6"/>
      <c r="P708" s="6"/>
      <c r="Q708" s="6"/>
      <c r="R708" s="6"/>
      <c r="S708" s="6"/>
      <c r="T708" s="6"/>
      <c r="U708" s="6"/>
      <c r="V708" s="6"/>
      <c r="W708" s="6"/>
      <c r="X708" s="6"/>
    </row>
    <row r="709" spans="1:24" x14ac:dyDescent="0.2">
      <c r="C709" s="6"/>
      <c r="D709" s="6"/>
      <c r="E709" s="6"/>
      <c r="F709" s="6"/>
      <c r="G709" s="6"/>
      <c r="H709" s="6"/>
      <c r="I709" s="6"/>
      <c r="J709" s="6"/>
      <c r="K709" s="6"/>
      <c r="L709" s="6"/>
      <c r="M709" s="6"/>
      <c r="N709" s="6"/>
      <c r="O709" s="6"/>
      <c r="P709" s="6"/>
      <c r="Q709" s="6"/>
      <c r="R709" s="6"/>
      <c r="S709" s="6"/>
      <c r="T709" s="6"/>
      <c r="U709" s="6"/>
      <c r="V709" s="6"/>
      <c r="W709" s="6"/>
      <c r="X709" s="6"/>
    </row>
    <row r="710" spans="1:24" x14ac:dyDescent="0.2">
      <c r="C710" s="6"/>
      <c r="D710" s="6"/>
      <c r="E710" s="6"/>
      <c r="F710" s="6"/>
      <c r="G710" s="6"/>
      <c r="H710" s="6"/>
      <c r="I710" s="6"/>
      <c r="J710" s="6"/>
      <c r="K710" s="6"/>
      <c r="L710" s="6"/>
      <c r="M710" s="6"/>
      <c r="N710" s="6"/>
      <c r="O710" s="6"/>
      <c r="P710" s="6"/>
      <c r="Q710" s="6"/>
      <c r="R710" s="6"/>
      <c r="S710" s="6"/>
      <c r="T710" s="6"/>
      <c r="U710" s="6"/>
      <c r="V710" s="6"/>
      <c r="W710" s="6"/>
      <c r="X710" s="6"/>
    </row>
    <row r="711" spans="1:24" x14ac:dyDescent="0.2">
      <c r="C711" s="6"/>
      <c r="D711" s="6"/>
      <c r="E711" s="6"/>
      <c r="F711" s="6"/>
      <c r="G711" s="6"/>
      <c r="H711" s="6"/>
      <c r="I711" s="6"/>
      <c r="J711" s="6"/>
      <c r="K711" s="6"/>
      <c r="L711" s="6"/>
      <c r="M711" s="6"/>
      <c r="N711" s="6"/>
      <c r="O711" s="6"/>
      <c r="P711" s="6"/>
      <c r="Q711" s="6"/>
      <c r="R711" s="6"/>
      <c r="S711" s="6"/>
      <c r="T711" s="6"/>
      <c r="U711" s="6"/>
      <c r="V711" s="6"/>
      <c r="W711" s="6"/>
      <c r="X711" s="6"/>
    </row>
    <row r="712" spans="1:24" x14ac:dyDescent="0.2">
      <c r="C712" s="6"/>
      <c r="D712" s="6"/>
      <c r="E712" s="6"/>
      <c r="F712" s="6"/>
      <c r="G712" s="6"/>
      <c r="H712" s="6"/>
      <c r="I712" s="6"/>
      <c r="J712" s="6"/>
      <c r="K712" s="6"/>
      <c r="L712" s="6"/>
      <c r="M712" s="6"/>
      <c r="N712" s="6"/>
      <c r="O712" s="6"/>
      <c r="P712" s="6"/>
      <c r="Q712" s="6"/>
      <c r="R712" s="6"/>
      <c r="S712" s="6"/>
      <c r="T712" s="6"/>
      <c r="U712" s="6"/>
      <c r="V712" s="6"/>
      <c r="W712" s="6"/>
      <c r="X712" s="6"/>
    </row>
    <row r="713" spans="1:24" x14ac:dyDescent="0.2">
      <c r="C713" s="6"/>
      <c r="D713" s="6"/>
      <c r="E713" s="6"/>
      <c r="F713" s="6"/>
      <c r="G713" s="6"/>
      <c r="H713" s="6"/>
      <c r="I713" s="6"/>
      <c r="J713" s="6"/>
      <c r="K713" s="6"/>
      <c r="L713" s="6"/>
      <c r="M713" s="6"/>
      <c r="N713" s="6"/>
      <c r="O713" s="6"/>
      <c r="P713" s="6"/>
      <c r="Q713" s="6"/>
      <c r="R713" s="6"/>
      <c r="S713" s="6"/>
      <c r="T713" s="6"/>
      <c r="U713" s="6"/>
      <c r="V713" s="6"/>
      <c r="W713" s="6"/>
      <c r="X713" s="6"/>
    </row>
    <row r="714" spans="1:24" x14ac:dyDescent="0.2">
      <c r="C714" s="6"/>
      <c r="D714" s="6"/>
      <c r="E714" s="6"/>
      <c r="F714" s="6"/>
      <c r="G714" s="6"/>
      <c r="H714" s="6"/>
      <c r="I714" s="6"/>
      <c r="J714" s="6"/>
      <c r="K714" s="6"/>
      <c r="L714" s="6"/>
      <c r="M714" s="6"/>
      <c r="N714" s="6"/>
      <c r="O714" s="6"/>
      <c r="P714" s="6"/>
      <c r="Q714" s="6"/>
      <c r="R714" s="6"/>
      <c r="S714" s="6"/>
      <c r="T714" s="6"/>
      <c r="U714" s="6"/>
      <c r="V714" s="6"/>
      <c r="W714" s="6"/>
      <c r="X714" s="6"/>
    </row>
    <row r="715" spans="1:24" x14ac:dyDescent="0.2">
      <c r="C715" s="6"/>
      <c r="D715" s="6"/>
      <c r="E715" s="6"/>
      <c r="F715" s="6"/>
      <c r="G715" s="6"/>
      <c r="H715" s="6"/>
      <c r="I715" s="6"/>
      <c r="J715" s="6"/>
      <c r="K715" s="6"/>
      <c r="L715" s="6"/>
      <c r="M715" s="6"/>
      <c r="N715" s="6"/>
      <c r="O715" s="6"/>
      <c r="P715" s="6"/>
      <c r="Q715" s="6"/>
      <c r="R715" s="6"/>
      <c r="S715" s="6"/>
      <c r="T715" s="6"/>
      <c r="U715" s="6"/>
      <c r="V715" s="6"/>
      <c r="W715" s="6"/>
      <c r="X715" s="6"/>
    </row>
    <row r="716" spans="1:24" x14ac:dyDescent="0.2">
      <c r="C716" s="6"/>
      <c r="D716" s="6"/>
      <c r="E716" s="6"/>
      <c r="F716" s="6"/>
      <c r="G716" s="6"/>
      <c r="H716" s="6"/>
      <c r="I716" s="6"/>
      <c r="J716" s="6"/>
      <c r="K716" s="6"/>
      <c r="L716" s="6"/>
      <c r="M716" s="6"/>
      <c r="N716" s="6"/>
      <c r="O716" s="6"/>
      <c r="P716" s="6"/>
      <c r="Q716" s="6"/>
      <c r="R716" s="6"/>
      <c r="S716" s="6"/>
      <c r="T716" s="6"/>
      <c r="U716" s="6"/>
      <c r="V716" s="6"/>
      <c r="W716" s="6"/>
      <c r="X716" s="6"/>
    </row>
    <row r="717" spans="1:24" x14ac:dyDescent="0.2">
      <c r="C717" s="6"/>
      <c r="D717" s="6"/>
      <c r="E717" s="6"/>
      <c r="F717" s="6"/>
      <c r="G717" s="6"/>
      <c r="H717" s="6"/>
      <c r="I717" s="6"/>
      <c r="J717" s="6"/>
      <c r="K717" s="6"/>
      <c r="L717" s="6"/>
      <c r="M717" s="6"/>
      <c r="N717" s="6"/>
      <c r="O717" s="6"/>
      <c r="P717" s="6"/>
      <c r="Q717" s="6"/>
      <c r="R717" s="6"/>
      <c r="S717" s="6"/>
      <c r="T717" s="6"/>
      <c r="U717" s="6"/>
      <c r="V717" s="6"/>
      <c r="W717" s="6"/>
      <c r="X717" s="6"/>
    </row>
    <row r="718" spans="1:24" x14ac:dyDescent="0.2">
      <c r="C718" s="6"/>
      <c r="D718" s="6"/>
      <c r="E718" s="6"/>
      <c r="F718" s="6"/>
      <c r="G718" s="6"/>
      <c r="H718" s="6"/>
      <c r="I718" s="6"/>
      <c r="J718" s="6"/>
      <c r="K718" s="6"/>
      <c r="L718" s="6"/>
      <c r="M718" s="6"/>
      <c r="N718" s="6"/>
      <c r="O718" s="6"/>
      <c r="P718" s="6"/>
      <c r="Q718" s="6"/>
      <c r="R718" s="6"/>
      <c r="S718" s="6"/>
      <c r="T718" s="6"/>
      <c r="U718" s="6"/>
      <c r="V718" s="6"/>
      <c r="W718" s="6"/>
      <c r="X718" s="6"/>
    </row>
    <row r="719" spans="1:24" x14ac:dyDescent="0.2">
      <c r="C719" s="6"/>
      <c r="D719" s="6"/>
      <c r="E719" s="6"/>
      <c r="F719" s="6"/>
      <c r="G719" s="6"/>
      <c r="H719" s="6"/>
      <c r="I719" s="6"/>
      <c r="J719" s="6"/>
      <c r="K719" s="6"/>
      <c r="L719" s="6"/>
      <c r="M719" s="6"/>
      <c r="N719" s="6"/>
      <c r="O719" s="6"/>
      <c r="P719" s="6"/>
      <c r="Q719" s="6"/>
      <c r="R719" s="6"/>
      <c r="S719" s="6"/>
      <c r="T719" s="6"/>
      <c r="U719" s="6"/>
      <c r="V719" s="6"/>
      <c r="W719" s="6"/>
      <c r="X719" s="6"/>
    </row>
    <row r="720" spans="1:24" x14ac:dyDescent="0.2">
      <c r="C720" s="6"/>
      <c r="D720" s="6"/>
      <c r="E720" s="6"/>
      <c r="F720" s="6"/>
      <c r="G720" s="6"/>
      <c r="H720" s="6"/>
      <c r="I720" s="6"/>
      <c r="J720" s="6"/>
      <c r="K720" s="6"/>
      <c r="L720" s="6"/>
      <c r="M720" s="6"/>
      <c r="N720" s="6"/>
      <c r="O720" s="6"/>
      <c r="P720" s="6"/>
      <c r="Q720" s="6"/>
      <c r="R720" s="6"/>
      <c r="S720" s="6"/>
      <c r="T720" s="6"/>
      <c r="U720" s="6"/>
      <c r="V720" s="6"/>
      <c r="W720" s="6"/>
      <c r="X720" s="6"/>
    </row>
    <row r="721" spans="1:24" x14ac:dyDescent="0.2">
      <c r="C721" s="6"/>
      <c r="D721" s="6"/>
      <c r="E721" s="6"/>
      <c r="F721" s="6"/>
      <c r="G721" s="6"/>
      <c r="H721" s="6"/>
      <c r="I721" s="6"/>
      <c r="J721" s="6"/>
      <c r="K721" s="6"/>
      <c r="L721" s="6"/>
      <c r="M721" s="6"/>
      <c r="N721" s="6"/>
      <c r="O721" s="6"/>
      <c r="P721" s="6"/>
      <c r="Q721" s="6"/>
      <c r="R721" s="6"/>
      <c r="S721" s="6"/>
      <c r="T721" s="6"/>
      <c r="U721" s="6"/>
      <c r="V721" s="6"/>
      <c r="W721" s="6"/>
      <c r="X721" s="6"/>
    </row>
    <row r="722" spans="1:24" x14ac:dyDescent="0.2">
      <c r="C722" s="6"/>
      <c r="D722" s="6"/>
      <c r="E722" s="6"/>
      <c r="F722" s="6"/>
      <c r="G722" s="6"/>
      <c r="H722" s="6"/>
      <c r="I722" s="6"/>
      <c r="J722" s="6"/>
      <c r="K722" s="6"/>
      <c r="L722" s="6"/>
      <c r="M722" s="6"/>
      <c r="N722" s="6"/>
      <c r="O722" s="6"/>
      <c r="P722" s="6"/>
      <c r="Q722" s="6"/>
      <c r="R722" s="6"/>
      <c r="S722" s="6"/>
      <c r="T722" s="6"/>
      <c r="U722" s="6"/>
      <c r="V722" s="6"/>
      <c r="W722" s="6"/>
      <c r="X722" s="6"/>
    </row>
    <row r="723" spans="1:24" x14ac:dyDescent="0.2">
      <c r="C723" s="6"/>
      <c r="D723" s="6"/>
      <c r="E723" s="6"/>
      <c r="F723" s="6"/>
      <c r="G723" s="6"/>
      <c r="H723" s="6"/>
      <c r="I723" s="6"/>
      <c r="J723" s="6"/>
      <c r="K723" s="6"/>
      <c r="L723" s="6"/>
      <c r="M723" s="6"/>
      <c r="N723" s="6"/>
      <c r="O723" s="6"/>
      <c r="P723" s="6"/>
      <c r="Q723" s="6"/>
      <c r="R723" s="6"/>
      <c r="S723" s="6"/>
      <c r="T723" s="6"/>
      <c r="U723" s="6"/>
      <c r="V723" s="6"/>
      <c r="W723" s="6"/>
      <c r="X723" s="6"/>
    </row>
    <row r="724" spans="1:24" x14ac:dyDescent="0.2">
      <c r="C724" s="6"/>
      <c r="D724" s="6"/>
      <c r="E724" s="6"/>
      <c r="F724" s="6"/>
      <c r="G724" s="6"/>
      <c r="H724" s="6"/>
      <c r="I724" s="6"/>
      <c r="J724" s="6"/>
      <c r="K724" s="6"/>
      <c r="L724" s="6"/>
      <c r="M724" s="6"/>
      <c r="N724" s="6"/>
      <c r="O724" s="6"/>
      <c r="P724" s="6"/>
      <c r="Q724" s="6"/>
      <c r="R724" s="6"/>
      <c r="S724" s="6"/>
      <c r="T724" s="6"/>
      <c r="U724" s="6"/>
      <c r="V724" s="6"/>
      <c r="W724" s="6"/>
      <c r="X724" s="6"/>
    </row>
    <row r="725" spans="1:24" x14ac:dyDescent="0.2">
      <c r="C725" s="6"/>
      <c r="D725" s="6"/>
      <c r="E725" s="6"/>
      <c r="F725" s="6"/>
      <c r="G725" s="6"/>
      <c r="H725" s="6"/>
      <c r="I725" s="6"/>
      <c r="J725" s="6"/>
      <c r="K725" s="6"/>
      <c r="L725" s="6"/>
      <c r="M725" s="6"/>
      <c r="N725" s="6"/>
      <c r="O725" s="6"/>
      <c r="P725" s="6"/>
      <c r="Q725" s="6"/>
      <c r="R725" s="6"/>
      <c r="S725" s="6"/>
      <c r="T725" s="6"/>
      <c r="U725" s="6"/>
      <c r="V725" s="6"/>
      <c r="W725" s="6"/>
      <c r="X725" s="6"/>
    </row>
    <row r="726" spans="1:24" x14ac:dyDescent="0.2">
      <c r="A726">
        <f>Arrivals!A726</f>
        <v>7</v>
      </c>
      <c r="B726">
        <f>Arrivals!B726</f>
        <v>1</v>
      </c>
      <c r="C726" s="6">
        <f>Arrivals!F726</f>
        <v>2</v>
      </c>
      <c r="D726" s="6">
        <f>Arrivals!K726</f>
        <v>300</v>
      </c>
      <c r="E726" s="6">
        <f>D726*8/ACE_Input!S6+ACE_Input!T6</f>
        <v>24.02</v>
      </c>
      <c r="F726" s="6">
        <f t="shared" ref="F726:F757" si="276">C726</f>
        <v>2</v>
      </c>
      <c r="G726" s="6">
        <f>0</f>
        <v>0</v>
      </c>
      <c r="H726" s="6">
        <f t="shared" ref="H726:H757" si="277">MAX(F726,G726)</f>
        <v>2</v>
      </c>
      <c r="I726" s="6">
        <f>MOD(H726-Settings!$B$32,Settings!$B$33)</f>
        <v>2</v>
      </c>
      <c r="J726" s="6">
        <f>IF(I726&lt;Settings!$B$30,IF(Settings!$B$30-I726&gt;=E726,H726,H726+(Settings!$B$30-I726)+Settings!$B$31),H726+(Settings!$B$33-I726))</f>
        <v>2</v>
      </c>
      <c r="K726" s="6">
        <f t="shared" ref="K726:K757" si="278">J726+E726</f>
        <v>26.02</v>
      </c>
      <c r="L726" s="6">
        <f t="shared" ref="L726:L757" si="279">K726</f>
        <v>26.02</v>
      </c>
      <c r="M726" s="6">
        <f>0</f>
        <v>0</v>
      </c>
      <c r="N726" s="6">
        <f t="shared" ref="N726:N757" si="280">MAX(L726,M726)</f>
        <v>26.02</v>
      </c>
      <c r="O726" s="6">
        <f>Arrivals!I726</f>
        <v>2.9365368434811137</v>
      </c>
      <c r="P726" s="6">
        <f t="shared" ref="P726:P757" si="281">N726+O726</f>
        <v>28.956536843481114</v>
      </c>
      <c r="Q726" s="6">
        <f t="shared" ref="Q726:Q757" si="282">P726-C726</f>
        <v>26.956536843481114</v>
      </c>
      <c r="R726" s="6">
        <f t="shared" ref="R726:R757" si="283">H726-F726</f>
        <v>0</v>
      </c>
      <c r="S726" s="6">
        <f t="shared" ref="S726:S757" si="284">J726-H726</f>
        <v>0</v>
      </c>
      <c r="T726" s="6">
        <f t="shared" ref="T726:T757" si="285">N726-L726</f>
        <v>0</v>
      </c>
      <c r="U726" s="6">
        <f t="shared" ref="U726:U757" si="286">R726+S726+T726</f>
        <v>0</v>
      </c>
      <c r="V726" s="6" t="str">
        <f>IF(MOD(C726-Settings!$B$32,Settings!$B$33)&lt;Settings!$B$30,"Up","Down")</f>
        <v>Up</v>
      </c>
      <c r="W726" s="6">
        <f>IF(OR(E726&gt;Settings!$B$30,Q726&gt;Settings!$B$37),0,1)</f>
        <v>1</v>
      </c>
      <c r="X726" s="6">
        <f>IF(AND(W726=1,Q726&lt;=Settings!$B$36),1,0)</f>
        <v>1</v>
      </c>
    </row>
    <row r="727" spans="1:24" x14ac:dyDescent="0.2">
      <c r="A727">
        <f>Arrivals!A727</f>
        <v>7</v>
      </c>
      <c r="B727">
        <f>Arrivals!B727</f>
        <v>2</v>
      </c>
      <c r="C727" s="6">
        <f>Arrivals!F727</f>
        <v>7</v>
      </c>
      <c r="D727" s="6">
        <f>Arrivals!K727</f>
        <v>300</v>
      </c>
      <c r="E727" s="6">
        <f>D727*8/ACE_Input!S7+ACE_Input!T7</f>
        <v>24.02</v>
      </c>
      <c r="F727" s="6">
        <f t="shared" si="276"/>
        <v>7</v>
      </c>
      <c r="G727" s="6">
        <f t="shared" ref="G727:G758" si="287">K726</f>
        <v>26.02</v>
      </c>
      <c r="H727" s="6">
        <f t="shared" si="277"/>
        <v>26.02</v>
      </c>
      <c r="I727" s="6">
        <f>MOD(H727-Settings!$B$32,Settings!$B$33)</f>
        <v>26.02</v>
      </c>
      <c r="J727" s="6">
        <f>IF(I727&lt;Settings!$B$30,IF(Settings!$B$30-I727&gt;=E727,H727,H727+(Settings!$B$30-I727)+Settings!$B$31),H727+(Settings!$B$33-I727))</f>
        <v>26.02</v>
      </c>
      <c r="K727" s="6">
        <f t="shared" si="278"/>
        <v>50.04</v>
      </c>
      <c r="L727" s="6">
        <f t="shared" si="279"/>
        <v>50.04</v>
      </c>
      <c r="M727" s="6">
        <f t="shared" ref="M727:M758" si="288">P726</f>
        <v>28.956536843481114</v>
      </c>
      <c r="N727" s="6">
        <f t="shared" si="280"/>
        <v>50.04</v>
      </c>
      <c r="O727" s="6">
        <f>Arrivals!I727</f>
        <v>14.202495160215536</v>
      </c>
      <c r="P727" s="6">
        <f t="shared" si="281"/>
        <v>64.24249516021554</v>
      </c>
      <c r="Q727" s="6">
        <f t="shared" si="282"/>
        <v>57.24249516021554</v>
      </c>
      <c r="R727" s="6">
        <f t="shared" si="283"/>
        <v>19.02</v>
      </c>
      <c r="S727" s="6">
        <f t="shared" si="284"/>
        <v>0</v>
      </c>
      <c r="T727" s="6">
        <f t="shared" si="285"/>
        <v>0</v>
      </c>
      <c r="U727" s="6">
        <f t="shared" si="286"/>
        <v>19.02</v>
      </c>
      <c r="V727" s="6" t="str">
        <f>IF(MOD(C727-Settings!$B$32,Settings!$B$33)&lt;Settings!$B$30,"Up","Down")</f>
        <v>Up</v>
      </c>
      <c r="W727" s="6">
        <f>IF(OR(E727&gt;Settings!$B$30,Q727&gt;Settings!$B$37),0,1)</f>
        <v>1</v>
      </c>
      <c r="X727" s="6">
        <f>IF(AND(W727=1,Q727&lt;=Settings!$B$36),1,0)</f>
        <v>1</v>
      </c>
    </row>
    <row r="728" spans="1:24" x14ac:dyDescent="0.2">
      <c r="A728">
        <f>Arrivals!A728</f>
        <v>7</v>
      </c>
      <c r="B728">
        <f>Arrivals!B728</f>
        <v>3</v>
      </c>
      <c r="C728" s="6">
        <f>Arrivals!F728</f>
        <v>32</v>
      </c>
      <c r="D728" s="6">
        <f>Arrivals!K728</f>
        <v>300</v>
      </c>
      <c r="E728" s="6">
        <f>D728*8/ACE_Input!S8+ACE_Input!T8</f>
        <v>24.02</v>
      </c>
      <c r="F728" s="6">
        <f t="shared" si="276"/>
        <v>32</v>
      </c>
      <c r="G728" s="6">
        <f t="shared" si="287"/>
        <v>50.04</v>
      </c>
      <c r="H728" s="6">
        <f t="shared" si="277"/>
        <v>50.04</v>
      </c>
      <c r="I728" s="6">
        <f>MOD(H728-Settings!$B$32,Settings!$B$33)</f>
        <v>50.04</v>
      </c>
      <c r="J728" s="6">
        <f>IF(I728&lt;Settings!$B$30,IF(Settings!$B$30-I728&gt;=E728,H728,H728+(Settings!$B$30-I728)+Settings!$B$31),H728+(Settings!$B$33-I728))</f>
        <v>50.04</v>
      </c>
      <c r="K728" s="6">
        <f t="shared" si="278"/>
        <v>74.06</v>
      </c>
      <c r="L728" s="6">
        <f t="shared" si="279"/>
        <v>74.06</v>
      </c>
      <c r="M728" s="6">
        <f t="shared" si="288"/>
        <v>64.24249516021554</v>
      </c>
      <c r="N728" s="6">
        <f t="shared" si="280"/>
        <v>74.06</v>
      </c>
      <c r="O728" s="6">
        <f>Arrivals!I728</f>
        <v>2.9865098026932735</v>
      </c>
      <c r="P728" s="6">
        <f t="shared" si="281"/>
        <v>77.046509802693279</v>
      </c>
      <c r="Q728" s="6">
        <f t="shared" si="282"/>
        <v>45.046509802693279</v>
      </c>
      <c r="R728" s="6">
        <f t="shared" si="283"/>
        <v>18.04</v>
      </c>
      <c r="S728" s="6">
        <f t="shared" si="284"/>
        <v>0</v>
      </c>
      <c r="T728" s="6">
        <f t="shared" si="285"/>
        <v>0</v>
      </c>
      <c r="U728" s="6">
        <f t="shared" si="286"/>
        <v>18.04</v>
      </c>
      <c r="V728" s="6" t="str">
        <f>IF(MOD(C728-Settings!$B$32,Settings!$B$33)&lt;Settings!$B$30,"Up","Down")</f>
        <v>Up</v>
      </c>
      <c r="W728" s="6">
        <f>IF(OR(E728&gt;Settings!$B$30,Q728&gt;Settings!$B$37),0,1)</f>
        <v>1</v>
      </c>
      <c r="X728" s="6">
        <f>IF(AND(W728=1,Q728&lt;=Settings!$B$36),1,0)</f>
        <v>1</v>
      </c>
    </row>
    <row r="729" spans="1:24" x14ac:dyDescent="0.2">
      <c r="A729">
        <f>Arrivals!A729</f>
        <v>7</v>
      </c>
      <c r="B729">
        <f>Arrivals!B729</f>
        <v>4</v>
      </c>
      <c r="C729" s="6">
        <f>Arrivals!F729</f>
        <v>37</v>
      </c>
      <c r="D729" s="6">
        <f>Arrivals!K729</f>
        <v>300</v>
      </c>
      <c r="E729" s="6">
        <f>D729*8/ACE_Input!S9+ACE_Input!T9</f>
        <v>24.02</v>
      </c>
      <c r="F729" s="6">
        <f t="shared" si="276"/>
        <v>37</v>
      </c>
      <c r="G729" s="6">
        <f t="shared" si="287"/>
        <v>74.06</v>
      </c>
      <c r="H729" s="6">
        <f t="shared" si="277"/>
        <v>74.06</v>
      </c>
      <c r="I729" s="6">
        <f>MOD(H729-Settings!$B$32,Settings!$B$33)</f>
        <v>74.06</v>
      </c>
      <c r="J729" s="6">
        <f>IF(I729&lt;Settings!$B$30,IF(Settings!$B$30-I729&gt;=E729,H729,H729+(Settings!$B$30-I729)+Settings!$B$31),H729+(Settings!$B$33-I729))</f>
        <v>74.06</v>
      </c>
      <c r="K729" s="6">
        <f t="shared" si="278"/>
        <v>98.08</v>
      </c>
      <c r="L729" s="6">
        <f t="shared" si="279"/>
        <v>98.08</v>
      </c>
      <c r="M729" s="6">
        <f t="shared" si="288"/>
        <v>77.046509802693279</v>
      </c>
      <c r="N729" s="6">
        <f t="shared" si="280"/>
        <v>98.08</v>
      </c>
      <c r="O729" s="6">
        <f>Arrivals!I729</f>
        <v>0.48984730634007895</v>
      </c>
      <c r="P729" s="6">
        <f t="shared" si="281"/>
        <v>98.56984730634008</v>
      </c>
      <c r="Q729" s="6">
        <f t="shared" si="282"/>
        <v>61.56984730634008</v>
      </c>
      <c r="R729" s="6">
        <f t="shared" si="283"/>
        <v>37.06</v>
      </c>
      <c r="S729" s="6">
        <f t="shared" si="284"/>
        <v>0</v>
      </c>
      <c r="T729" s="6">
        <f t="shared" si="285"/>
        <v>0</v>
      </c>
      <c r="U729" s="6">
        <f t="shared" si="286"/>
        <v>37.06</v>
      </c>
      <c r="V729" s="6" t="str">
        <f>IF(MOD(C729-Settings!$B$32,Settings!$B$33)&lt;Settings!$B$30,"Up","Down")</f>
        <v>Up</v>
      </c>
      <c r="W729" s="6">
        <f>IF(OR(E729&gt;Settings!$B$30,Q729&gt;Settings!$B$37),0,1)</f>
        <v>1</v>
      </c>
      <c r="X729" s="6">
        <f>IF(AND(W729=1,Q729&lt;=Settings!$B$36),1,0)</f>
        <v>1</v>
      </c>
    </row>
    <row r="730" spans="1:24" x14ac:dyDescent="0.2">
      <c r="A730">
        <f>Arrivals!A730</f>
        <v>7</v>
      </c>
      <c r="B730">
        <f>Arrivals!B730</f>
        <v>5</v>
      </c>
      <c r="C730" s="6">
        <f>Arrivals!F730</f>
        <v>42</v>
      </c>
      <c r="D730" s="6">
        <f>Arrivals!K730</f>
        <v>300</v>
      </c>
      <c r="E730" s="6">
        <f>D730*8/ACE_Input!S10+ACE_Input!T10</f>
        <v>24.02</v>
      </c>
      <c r="F730" s="6">
        <f t="shared" si="276"/>
        <v>42</v>
      </c>
      <c r="G730" s="6">
        <f t="shared" si="287"/>
        <v>98.08</v>
      </c>
      <c r="H730" s="6">
        <f t="shared" si="277"/>
        <v>98.08</v>
      </c>
      <c r="I730" s="6">
        <f>MOD(H730-Settings!$B$32,Settings!$B$33)</f>
        <v>98.08</v>
      </c>
      <c r="J730" s="6">
        <f>IF(I730&lt;Settings!$B$30,IF(Settings!$B$30-I730&gt;=E730,H730,H730+(Settings!$B$30-I730)+Settings!$B$31),H730+(Settings!$B$33-I730))</f>
        <v>98.08</v>
      </c>
      <c r="K730" s="6">
        <f t="shared" si="278"/>
        <v>122.1</v>
      </c>
      <c r="L730" s="6">
        <f t="shared" si="279"/>
        <v>122.1</v>
      </c>
      <c r="M730" s="6">
        <f t="shared" si="288"/>
        <v>98.56984730634008</v>
      </c>
      <c r="N730" s="6">
        <f t="shared" si="280"/>
        <v>122.1</v>
      </c>
      <c r="O730" s="6">
        <f>Arrivals!I730</f>
        <v>0.7949485448988407</v>
      </c>
      <c r="P730" s="6">
        <f t="shared" si="281"/>
        <v>122.89494854489884</v>
      </c>
      <c r="Q730" s="6">
        <f t="shared" si="282"/>
        <v>80.894948544898838</v>
      </c>
      <c r="R730" s="6">
        <f t="shared" si="283"/>
        <v>56.08</v>
      </c>
      <c r="S730" s="6">
        <f t="shared" si="284"/>
        <v>0</v>
      </c>
      <c r="T730" s="6">
        <f t="shared" si="285"/>
        <v>0</v>
      </c>
      <c r="U730" s="6">
        <f t="shared" si="286"/>
        <v>56.08</v>
      </c>
      <c r="V730" s="6" t="str">
        <f>IF(MOD(C730-Settings!$B$32,Settings!$B$33)&lt;Settings!$B$30,"Up","Down")</f>
        <v>Up</v>
      </c>
      <c r="W730" s="6">
        <f>IF(OR(E730&gt;Settings!$B$30,Q730&gt;Settings!$B$37),0,1)</f>
        <v>1</v>
      </c>
      <c r="X730" s="6">
        <f>IF(AND(W730=1,Q730&lt;=Settings!$B$36),1,0)</f>
        <v>1</v>
      </c>
    </row>
    <row r="731" spans="1:24" x14ac:dyDescent="0.2">
      <c r="A731">
        <f>Arrivals!A731</f>
        <v>7</v>
      </c>
      <c r="B731">
        <f>Arrivals!B731</f>
        <v>6</v>
      </c>
      <c r="C731" s="6">
        <f>Arrivals!F731</f>
        <v>47</v>
      </c>
      <c r="D731" s="6">
        <f>Arrivals!K731</f>
        <v>300</v>
      </c>
      <c r="E731" s="6">
        <f>D731*8/ACE_Input!S11+ACE_Input!T11</f>
        <v>24.02</v>
      </c>
      <c r="F731" s="6">
        <f t="shared" si="276"/>
        <v>47</v>
      </c>
      <c r="G731" s="6">
        <f t="shared" si="287"/>
        <v>122.1</v>
      </c>
      <c r="H731" s="6">
        <f t="shared" si="277"/>
        <v>122.1</v>
      </c>
      <c r="I731" s="6">
        <f>MOD(H731-Settings!$B$32,Settings!$B$33)</f>
        <v>122.1</v>
      </c>
      <c r="J731" s="6">
        <f>IF(I731&lt;Settings!$B$30,IF(Settings!$B$30-I731&gt;=E731,H731,H731+(Settings!$B$30-I731)+Settings!$B$31),H731+(Settings!$B$33-I731))</f>
        <v>122.1</v>
      </c>
      <c r="K731" s="6">
        <f t="shared" si="278"/>
        <v>146.12</v>
      </c>
      <c r="L731" s="6">
        <f t="shared" si="279"/>
        <v>146.12</v>
      </c>
      <c r="M731" s="6">
        <f t="shared" si="288"/>
        <v>122.89494854489884</v>
      </c>
      <c r="N731" s="6">
        <f t="shared" si="280"/>
        <v>146.12</v>
      </c>
      <c r="O731" s="6">
        <f>Arrivals!I731</f>
        <v>0.91129381584176128</v>
      </c>
      <c r="P731" s="6">
        <f t="shared" si="281"/>
        <v>147.03129381584176</v>
      </c>
      <c r="Q731" s="6">
        <f t="shared" si="282"/>
        <v>100.03129381584176</v>
      </c>
      <c r="R731" s="6">
        <f t="shared" si="283"/>
        <v>75.099999999999994</v>
      </c>
      <c r="S731" s="6">
        <f t="shared" si="284"/>
        <v>0</v>
      </c>
      <c r="T731" s="6">
        <f t="shared" si="285"/>
        <v>0</v>
      </c>
      <c r="U731" s="6">
        <f t="shared" si="286"/>
        <v>75.099999999999994</v>
      </c>
      <c r="V731" s="6" t="str">
        <f>IF(MOD(C731-Settings!$B$32,Settings!$B$33)&lt;Settings!$B$30,"Up","Down")</f>
        <v>Up</v>
      </c>
      <c r="W731" s="6">
        <f>IF(OR(E731&gt;Settings!$B$30,Q731&gt;Settings!$B$37),0,1)</f>
        <v>1</v>
      </c>
      <c r="X731" s="6">
        <f>IF(AND(W731=1,Q731&lt;=Settings!$B$36),1,0)</f>
        <v>1</v>
      </c>
    </row>
    <row r="732" spans="1:24" x14ac:dyDescent="0.2">
      <c r="A732">
        <f>Arrivals!A732</f>
        <v>7</v>
      </c>
      <c r="B732">
        <f>Arrivals!B732</f>
        <v>7</v>
      </c>
      <c r="C732" s="6">
        <f>Arrivals!F732</f>
        <v>52</v>
      </c>
      <c r="D732" s="6">
        <f>Arrivals!K732</f>
        <v>300</v>
      </c>
      <c r="E732" s="6">
        <f>D732*8/ACE_Input!S12+ACE_Input!T12</f>
        <v>24.02</v>
      </c>
      <c r="F732" s="6">
        <f t="shared" si="276"/>
        <v>52</v>
      </c>
      <c r="G732" s="6">
        <f t="shared" si="287"/>
        <v>146.12</v>
      </c>
      <c r="H732" s="6">
        <f t="shared" si="277"/>
        <v>146.12</v>
      </c>
      <c r="I732" s="6">
        <f>MOD(H732-Settings!$B$32,Settings!$B$33)</f>
        <v>146.12</v>
      </c>
      <c r="J732" s="6">
        <f>IF(I732&lt;Settings!$B$30,IF(Settings!$B$30-I732&gt;=E732,H732,H732+(Settings!$B$30-I732)+Settings!$B$31),H732+(Settings!$B$33-I732))</f>
        <v>146.12</v>
      </c>
      <c r="K732" s="6">
        <f t="shared" si="278"/>
        <v>170.14000000000001</v>
      </c>
      <c r="L732" s="6">
        <f t="shared" si="279"/>
        <v>170.14000000000001</v>
      </c>
      <c r="M732" s="6">
        <f t="shared" si="288"/>
        <v>147.03129381584176</v>
      </c>
      <c r="N732" s="6">
        <f t="shared" si="280"/>
        <v>170.14000000000001</v>
      </c>
      <c r="O732" s="6">
        <f>Arrivals!I732</f>
        <v>0.77962944236221587</v>
      </c>
      <c r="P732" s="6">
        <f t="shared" si="281"/>
        <v>170.91962944236224</v>
      </c>
      <c r="Q732" s="6">
        <f t="shared" si="282"/>
        <v>118.91962944236224</v>
      </c>
      <c r="R732" s="6">
        <f t="shared" si="283"/>
        <v>94.12</v>
      </c>
      <c r="S732" s="6">
        <f t="shared" si="284"/>
        <v>0</v>
      </c>
      <c r="T732" s="6">
        <f t="shared" si="285"/>
        <v>0</v>
      </c>
      <c r="U732" s="6">
        <f t="shared" si="286"/>
        <v>94.12</v>
      </c>
      <c r="V732" s="6" t="str">
        <f>IF(MOD(C732-Settings!$B$32,Settings!$B$33)&lt;Settings!$B$30,"Up","Down")</f>
        <v>Up</v>
      </c>
      <c r="W732" s="6">
        <f>IF(OR(E732&gt;Settings!$B$30,Q732&gt;Settings!$B$37),0,1)</f>
        <v>1</v>
      </c>
      <c r="X732" s="6">
        <f>IF(AND(W732=1,Q732&lt;=Settings!$B$36),1,0)</f>
        <v>1</v>
      </c>
    </row>
    <row r="733" spans="1:24" x14ac:dyDescent="0.2">
      <c r="A733">
        <f>Arrivals!A733</f>
        <v>7</v>
      </c>
      <c r="B733">
        <f>Arrivals!B733</f>
        <v>8</v>
      </c>
      <c r="C733" s="6">
        <f>Arrivals!F733</f>
        <v>57</v>
      </c>
      <c r="D733" s="6">
        <f>Arrivals!K733</f>
        <v>300</v>
      </c>
      <c r="E733" s="6">
        <f>D733*8/ACE_Input!S13+ACE_Input!T13</f>
        <v>24.02</v>
      </c>
      <c r="F733" s="6">
        <f t="shared" si="276"/>
        <v>57</v>
      </c>
      <c r="G733" s="6">
        <f t="shared" si="287"/>
        <v>170.14000000000001</v>
      </c>
      <c r="H733" s="6">
        <f t="shared" si="277"/>
        <v>170.14000000000001</v>
      </c>
      <c r="I733" s="6">
        <f>MOD(H733-Settings!$B$32,Settings!$B$33)</f>
        <v>170.14000000000001</v>
      </c>
      <c r="J733" s="6">
        <f>IF(I733&lt;Settings!$B$30,IF(Settings!$B$30-I733&gt;=E733,H733,H733+(Settings!$B$30-I733)+Settings!$B$31),H733+(Settings!$B$33-I733))</f>
        <v>170.14000000000001</v>
      </c>
      <c r="K733" s="6">
        <f t="shared" si="278"/>
        <v>194.16000000000003</v>
      </c>
      <c r="L733" s="6">
        <f t="shared" si="279"/>
        <v>194.16000000000003</v>
      </c>
      <c r="M733" s="6">
        <f t="shared" si="288"/>
        <v>170.91962944236224</v>
      </c>
      <c r="N733" s="6">
        <f t="shared" si="280"/>
        <v>194.16000000000003</v>
      </c>
      <c r="O733" s="6">
        <f>Arrivals!I733</f>
        <v>1.6420930228630035</v>
      </c>
      <c r="P733" s="6">
        <f t="shared" si="281"/>
        <v>195.80209302286303</v>
      </c>
      <c r="Q733" s="6">
        <f t="shared" si="282"/>
        <v>138.80209302286303</v>
      </c>
      <c r="R733" s="6">
        <f t="shared" si="283"/>
        <v>113.14000000000001</v>
      </c>
      <c r="S733" s="6">
        <f t="shared" si="284"/>
        <v>0</v>
      </c>
      <c r="T733" s="6">
        <f t="shared" si="285"/>
        <v>0</v>
      </c>
      <c r="U733" s="6">
        <f t="shared" si="286"/>
        <v>113.14000000000001</v>
      </c>
      <c r="V733" s="6" t="str">
        <f>IF(MOD(C733-Settings!$B$32,Settings!$B$33)&lt;Settings!$B$30,"Up","Down")</f>
        <v>Up</v>
      </c>
      <c r="W733" s="6">
        <f>IF(OR(E733&gt;Settings!$B$30,Q733&gt;Settings!$B$37),0,1)</f>
        <v>1</v>
      </c>
      <c r="X733" s="6">
        <f>IF(AND(W733=1,Q733&lt;=Settings!$B$36),1,0)</f>
        <v>0</v>
      </c>
    </row>
    <row r="734" spans="1:24" x14ac:dyDescent="0.2">
      <c r="A734">
        <f>Arrivals!A734</f>
        <v>7</v>
      </c>
      <c r="B734">
        <f>Arrivals!B734</f>
        <v>9</v>
      </c>
      <c r="C734" s="6">
        <f>Arrivals!F734</f>
        <v>172</v>
      </c>
      <c r="D734" s="6">
        <f>Arrivals!K734</f>
        <v>300</v>
      </c>
      <c r="E734" s="6">
        <f>D734*8/ACE_Input!S14+ACE_Input!T14</f>
        <v>24.02</v>
      </c>
      <c r="F734" s="6">
        <f t="shared" si="276"/>
        <v>172</v>
      </c>
      <c r="G734" s="6">
        <f t="shared" si="287"/>
        <v>194.16000000000003</v>
      </c>
      <c r="H734" s="6">
        <f t="shared" si="277"/>
        <v>194.16000000000003</v>
      </c>
      <c r="I734" s="6">
        <f>MOD(H734-Settings!$B$32,Settings!$B$33)</f>
        <v>194.16000000000003</v>
      </c>
      <c r="J734" s="6">
        <f>IF(I734&lt;Settings!$B$30,IF(Settings!$B$30-I734&gt;=E734,H734,H734+(Settings!$B$30-I734)+Settings!$B$31),H734+(Settings!$B$33-I734))</f>
        <v>194.16000000000003</v>
      </c>
      <c r="K734" s="6">
        <f t="shared" si="278"/>
        <v>218.18000000000004</v>
      </c>
      <c r="L734" s="6">
        <f t="shared" si="279"/>
        <v>218.18000000000004</v>
      </c>
      <c r="M734" s="6">
        <f t="shared" si="288"/>
        <v>195.80209302286303</v>
      </c>
      <c r="N734" s="6">
        <f t="shared" si="280"/>
        <v>218.18000000000004</v>
      </c>
      <c r="O734" s="6">
        <f>Arrivals!I734</f>
        <v>8.0128176605394668</v>
      </c>
      <c r="P734" s="6">
        <f t="shared" si="281"/>
        <v>226.1928176605395</v>
      </c>
      <c r="Q734" s="6">
        <f t="shared" si="282"/>
        <v>54.192817660539504</v>
      </c>
      <c r="R734" s="6">
        <f t="shared" si="283"/>
        <v>22.160000000000025</v>
      </c>
      <c r="S734" s="6">
        <f t="shared" si="284"/>
        <v>0</v>
      </c>
      <c r="T734" s="6">
        <f t="shared" si="285"/>
        <v>0</v>
      </c>
      <c r="U734" s="6">
        <f t="shared" si="286"/>
        <v>22.160000000000025</v>
      </c>
      <c r="V734" s="6" t="str">
        <f>IF(MOD(C734-Settings!$B$32,Settings!$B$33)&lt;Settings!$B$30,"Up","Down")</f>
        <v>Up</v>
      </c>
      <c r="W734" s="6">
        <f>IF(OR(E734&gt;Settings!$B$30,Q734&gt;Settings!$B$37),0,1)</f>
        <v>1</v>
      </c>
      <c r="X734" s="6">
        <f>IF(AND(W734=1,Q734&lt;=Settings!$B$36),1,0)</f>
        <v>1</v>
      </c>
    </row>
    <row r="735" spans="1:24" x14ac:dyDescent="0.2">
      <c r="A735">
        <f>Arrivals!A735</f>
        <v>7</v>
      </c>
      <c r="B735">
        <f>Arrivals!B735</f>
        <v>10</v>
      </c>
      <c r="C735" s="6">
        <f>Arrivals!F735</f>
        <v>177</v>
      </c>
      <c r="D735" s="6">
        <f>Arrivals!K735</f>
        <v>300</v>
      </c>
      <c r="E735" s="6">
        <f>D735*8/ACE_Input!S15+ACE_Input!T15</f>
        <v>24.02</v>
      </c>
      <c r="F735" s="6">
        <f t="shared" si="276"/>
        <v>177</v>
      </c>
      <c r="G735" s="6">
        <f t="shared" si="287"/>
        <v>218.18000000000004</v>
      </c>
      <c r="H735" s="6">
        <f t="shared" si="277"/>
        <v>218.18000000000004</v>
      </c>
      <c r="I735" s="6">
        <f>MOD(H735-Settings!$B$32,Settings!$B$33)</f>
        <v>218.18000000000004</v>
      </c>
      <c r="J735" s="6">
        <f>IF(I735&lt;Settings!$B$30,IF(Settings!$B$30-I735&gt;=E735,H735,H735+(Settings!$B$30-I735)+Settings!$B$31),H735+(Settings!$B$33-I735))</f>
        <v>218.18000000000004</v>
      </c>
      <c r="K735" s="6">
        <f t="shared" si="278"/>
        <v>242.20000000000005</v>
      </c>
      <c r="L735" s="6">
        <f t="shared" si="279"/>
        <v>242.20000000000005</v>
      </c>
      <c r="M735" s="6">
        <f t="shared" si="288"/>
        <v>226.1928176605395</v>
      </c>
      <c r="N735" s="6">
        <f t="shared" si="280"/>
        <v>242.20000000000005</v>
      </c>
      <c r="O735" s="6">
        <f>Arrivals!I735</f>
        <v>4.7751396768542413</v>
      </c>
      <c r="P735" s="6">
        <f t="shared" si="281"/>
        <v>246.9751396768543</v>
      </c>
      <c r="Q735" s="6">
        <f t="shared" si="282"/>
        <v>69.975139676854297</v>
      </c>
      <c r="R735" s="6">
        <f t="shared" si="283"/>
        <v>41.180000000000035</v>
      </c>
      <c r="S735" s="6">
        <f t="shared" si="284"/>
        <v>0</v>
      </c>
      <c r="T735" s="6">
        <f t="shared" si="285"/>
        <v>0</v>
      </c>
      <c r="U735" s="6">
        <f t="shared" si="286"/>
        <v>41.180000000000035</v>
      </c>
      <c r="V735" s="6" t="str">
        <f>IF(MOD(C735-Settings!$B$32,Settings!$B$33)&lt;Settings!$B$30,"Up","Down")</f>
        <v>Up</v>
      </c>
      <c r="W735" s="6">
        <f>IF(OR(E735&gt;Settings!$B$30,Q735&gt;Settings!$B$37),0,1)</f>
        <v>1</v>
      </c>
      <c r="X735" s="6">
        <f>IF(AND(W735=1,Q735&lt;=Settings!$B$36),1,0)</f>
        <v>1</v>
      </c>
    </row>
    <row r="736" spans="1:24" x14ac:dyDescent="0.2">
      <c r="A736">
        <f>Arrivals!A736</f>
        <v>7</v>
      </c>
      <c r="B736">
        <f>Arrivals!B736</f>
        <v>11</v>
      </c>
      <c r="C736" s="6">
        <f>Arrivals!F736</f>
        <v>182</v>
      </c>
      <c r="D736" s="6">
        <f>Arrivals!K736</f>
        <v>300</v>
      </c>
      <c r="E736" s="6">
        <f>D736*8/ACE_Input!S16+ACE_Input!T16</f>
        <v>24.02</v>
      </c>
      <c r="F736" s="6">
        <f t="shared" si="276"/>
        <v>182</v>
      </c>
      <c r="G736" s="6">
        <f t="shared" si="287"/>
        <v>242.20000000000005</v>
      </c>
      <c r="H736" s="6">
        <f t="shared" si="277"/>
        <v>242.20000000000005</v>
      </c>
      <c r="I736" s="6">
        <f>MOD(H736-Settings!$B$32,Settings!$B$33)</f>
        <v>242.20000000000005</v>
      </c>
      <c r="J736" s="6">
        <f>IF(I736&lt;Settings!$B$30,IF(Settings!$B$30-I736&gt;=E736,H736,H736+(Settings!$B$30-I736)+Settings!$B$31),H736+(Settings!$B$33-I736))</f>
        <v>242.20000000000005</v>
      </c>
      <c r="K736" s="6">
        <f t="shared" si="278"/>
        <v>266.22000000000003</v>
      </c>
      <c r="L736" s="6">
        <f t="shared" si="279"/>
        <v>266.22000000000003</v>
      </c>
      <c r="M736" s="6">
        <f t="shared" si="288"/>
        <v>246.9751396768543</v>
      </c>
      <c r="N736" s="6">
        <f t="shared" si="280"/>
        <v>266.22000000000003</v>
      </c>
      <c r="O736" s="6">
        <f>Arrivals!I736</f>
        <v>1.2539486834935727</v>
      </c>
      <c r="P736" s="6">
        <f t="shared" si="281"/>
        <v>267.47394868349357</v>
      </c>
      <c r="Q736" s="6">
        <f t="shared" si="282"/>
        <v>85.473948683493575</v>
      </c>
      <c r="R736" s="6">
        <f t="shared" si="283"/>
        <v>60.200000000000045</v>
      </c>
      <c r="S736" s="6">
        <f t="shared" si="284"/>
        <v>0</v>
      </c>
      <c r="T736" s="6">
        <f t="shared" si="285"/>
        <v>0</v>
      </c>
      <c r="U736" s="6">
        <f t="shared" si="286"/>
        <v>60.200000000000045</v>
      </c>
      <c r="V736" s="6" t="str">
        <f>IF(MOD(C736-Settings!$B$32,Settings!$B$33)&lt;Settings!$B$30,"Up","Down")</f>
        <v>Up</v>
      </c>
      <c r="W736" s="6">
        <f>IF(OR(E736&gt;Settings!$B$30,Q736&gt;Settings!$B$37),0,1)</f>
        <v>1</v>
      </c>
      <c r="X736" s="6">
        <f>IF(AND(W736=1,Q736&lt;=Settings!$B$36),1,0)</f>
        <v>1</v>
      </c>
    </row>
    <row r="737" spans="1:24" x14ac:dyDescent="0.2">
      <c r="A737">
        <f>Arrivals!A737</f>
        <v>7</v>
      </c>
      <c r="B737">
        <f>Arrivals!B737</f>
        <v>12</v>
      </c>
      <c r="C737" s="6">
        <f>Arrivals!F737</f>
        <v>187</v>
      </c>
      <c r="D737" s="6">
        <f>Arrivals!K737</f>
        <v>300</v>
      </c>
      <c r="E737" s="6">
        <f>D737*8/ACE_Input!S17+ACE_Input!T17</f>
        <v>24.02</v>
      </c>
      <c r="F737" s="6">
        <f t="shared" si="276"/>
        <v>187</v>
      </c>
      <c r="G737" s="6">
        <f t="shared" si="287"/>
        <v>266.22000000000003</v>
      </c>
      <c r="H737" s="6">
        <f t="shared" si="277"/>
        <v>266.22000000000003</v>
      </c>
      <c r="I737" s="6">
        <f>MOD(H737-Settings!$B$32,Settings!$B$33)</f>
        <v>266.22000000000003</v>
      </c>
      <c r="J737" s="6">
        <f>IF(I737&lt;Settings!$B$30,IF(Settings!$B$30-I737&gt;=E737,H737,H737+(Settings!$B$30-I737)+Settings!$B$31),H737+(Settings!$B$33-I737))</f>
        <v>266.22000000000003</v>
      </c>
      <c r="K737" s="6">
        <f t="shared" si="278"/>
        <v>290.24</v>
      </c>
      <c r="L737" s="6">
        <f t="shared" si="279"/>
        <v>290.24</v>
      </c>
      <c r="M737" s="6">
        <f t="shared" si="288"/>
        <v>267.47394868349357</v>
      </c>
      <c r="N737" s="6">
        <f t="shared" si="280"/>
        <v>290.24</v>
      </c>
      <c r="O737" s="6">
        <f>Arrivals!I737</f>
        <v>8.1195109651485762</v>
      </c>
      <c r="P737" s="6">
        <f t="shared" si="281"/>
        <v>298.35951096514856</v>
      </c>
      <c r="Q737" s="6">
        <f t="shared" si="282"/>
        <v>111.35951096514856</v>
      </c>
      <c r="R737" s="6">
        <f t="shared" si="283"/>
        <v>79.220000000000027</v>
      </c>
      <c r="S737" s="6">
        <f t="shared" si="284"/>
        <v>0</v>
      </c>
      <c r="T737" s="6">
        <f t="shared" si="285"/>
        <v>0</v>
      </c>
      <c r="U737" s="6">
        <f t="shared" si="286"/>
        <v>79.220000000000027</v>
      </c>
      <c r="V737" s="6" t="str">
        <f>IF(MOD(C737-Settings!$B$32,Settings!$B$33)&lt;Settings!$B$30,"Up","Down")</f>
        <v>Up</v>
      </c>
      <c r="W737" s="6">
        <f>IF(OR(E737&gt;Settings!$B$30,Q737&gt;Settings!$B$37),0,1)</f>
        <v>1</v>
      </c>
      <c r="X737" s="6">
        <f>IF(AND(W737=1,Q737&lt;=Settings!$B$36),1,0)</f>
        <v>1</v>
      </c>
    </row>
    <row r="738" spans="1:24" x14ac:dyDescent="0.2">
      <c r="A738">
        <f>Arrivals!A738</f>
        <v>7</v>
      </c>
      <c r="B738">
        <f>Arrivals!B738</f>
        <v>13</v>
      </c>
      <c r="C738" s="6">
        <f>Arrivals!F738</f>
        <v>192</v>
      </c>
      <c r="D738" s="6">
        <f>Arrivals!K738</f>
        <v>300</v>
      </c>
      <c r="E738" s="6">
        <f>D738*8/ACE_Input!S18+ACE_Input!T18</f>
        <v>24.02</v>
      </c>
      <c r="F738" s="6">
        <f t="shared" si="276"/>
        <v>192</v>
      </c>
      <c r="G738" s="6">
        <f t="shared" si="287"/>
        <v>290.24</v>
      </c>
      <c r="H738" s="6">
        <f t="shared" si="277"/>
        <v>290.24</v>
      </c>
      <c r="I738" s="6">
        <f>MOD(H738-Settings!$B$32,Settings!$B$33)</f>
        <v>290.24</v>
      </c>
      <c r="J738" s="6">
        <f>IF(I738&lt;Settings!$B$30,IF(Settings!$B$30-I738&gt;=E738,H738,H738+(Settings!$B$30-I738)+Settings!$B$31),H738+(Settings!$B$33-I738))</f>
        <v>290.24</v>
      </c>
      <c r="K738" s="6">
        <f t="shared" si="278"/>
        <v>314.26</v>
      </c>
      <c r="L738" s="6">
        <f t="shared" si="279"/>
        <v>314.26</v>
      </c>
      <c r="M738" s="6">
        <f t="shared" si="288"/>
        <v>298.35951096514856</v>
      </c>
      <c r="N738" s="6">
        <f t="shared" si="280"/>
        <v>314.26</v>
      </c>
      <c r="O738" s="6">
        <f>Arrivals!I738</f>
        <v>1.8736901984978298</v>
      </c>
      <c r="P738" s="6">
        <f t="shared" si="281"/>
        <v>316.13369019849785</v>
      </c>
      <c r="Q738" s="6">
        <f t="shared" si="282"/>
        <v>124.13369019849785</v>
      </c>
      <c r="R738" s="6">
        <f t="shared" si="283"/>
        <v>98.240000000000009</v>
      </c>
      <c r="S738" s="6">
        <f t="shared" si="284"/>
        <v>0</v>
      </c>
      <c r="T738" s="6">
        <f t="shared" si="285"/>
        <v>0</v>
      </c>
      <c r="U738" s="6">
        <f t="shared" si="286"/>
        <v>98.240000000000009</v>
      </c>
      <c r="V738" s="6" t="str">
        <f>IF(MOD(C738-Settings!$B$32,Settings!$B$33)&lt;Settings!$B$30,"Up","Down")</f>
        <v>Up</v>
      </c>
      <c r="W738" s="6">
        <f>IF(OR(E738&gt;Settings!$B$30,Q738&gt;Settings!$B$37),0,1)</f>
        <v>1</v>
      </c>
      <c r="X738" s="6">
        <f>IF(AND(W738=1,Q738&lt;=Settings!$B$36),1,0)</f>
        <v>0</v>
      </c>
    </row>
    <row r="739" spans="1:24" x14ac:dyDescent="0.2">
      <c r="A739">
        <f>Arrivals!A739</f>
        <v>7</v>
      </c>
      <c r="B739">
        <f>Arrivals!B739</f>
        <v>14</v>
      </c>
      <c r="C739" s="6">
        <f>Arrivals!F739</f>
        <v>197</v>
      </c>
      <c r="D739" s="6">
        <f>Arrivals!K739</f>
        <v>300</v>
      </c>
      <c r="E739" s="6">
        <f>D739*8/ACE_Input!S19+ACE_Input!T19</f>
        <v>24.02</v>
      </c>
      <c r="F739" s="6">
        <f t="shared" si="276"/>
        <v>197</v>
      </c>
      <c r="G739" s="6">
        <f t="shared" si="287"/>
        <v>314.26</v>
      </c>
      <c r="H739" s="6">
        <f t="shared" si="277"/>
        <v>314.26</v>
      </c>
      <c r="I739" s="6">
        <f>MOD(H739-Settings!$B$32,Settings!$B$33)</f>
        <v>314.26</v>
      </c>
      <c r="J739" s="6">
        <f>IF(I739&lt;Settings!$B$30,IF(Settings!$B$30-I739&gt;=E739,H739,H739+(Settings!$B$30-I739)+Settings!$B$31),H739+(Settings!$B$33-I739))</f>
        <v>314.26</v>
      </c>
      <c r="K739" s="6">
        <f t="shared" si="278"/>
        <v>338.28</v>
      </c>
      <c r="L739" s="6">
        <f t="shared" si="279"/>
        <v>338.28</v>
      </c>
      <c r="M739" s="6">
        <f t="shared" si="288"/>
        <v>316.13369019849785</v>
      </c>
      <c r="N739" s="6">
        <f t="shared" si="280"/>
        <v>338.28</v>
      </c>
      <c r="O739" s="6">
        <f>Arrivals!I739</f>
        <v>1.446751425268241E-2</v>
      </c>
      <c r="P739" s="6">
        <f t="shared" si="281"/>
        <v>338.29446751425263</v>
      </c>
      <c r="Q739" s="6">
        <f t="shared" si="282"/>
        <v>141.29446751425263</v>
      </c>
      <c r="R739" s="6">
        <f t="shared" si="283"/>
        <v>117.25999999999999</v>
      </c>
      <c r="S739" s="6">
        <f t="shared" si="284"/>
        <v>0</v>
      </c>
      <c r="T739" s="6">
        <f t="shared" si="285"/>
        <v>0</v>
      </c>
      <c r="U739" s="6">
        <f t="shared" si="286"/>
        <v>117.25999999999999</v>
      </c>
      <c r="V739" s="6" t="str">
        <f>IF(MOD(C739-Settings!$B$32,Settings!$B$33)&lt;Settings!$B$30,"Up","Down")</f>
        <v>Up</v>
      </c>
      <c r="W739" s="6">
        <f>IF(OR(E739&gt;Settings!$B$30,Q739&gt;Settings!$B$37),0,1)</f>
        <v>1</v>
      </c>
      <c r="X739" s="6">
        <f>IF(AND(W739=1,Q739&lt;=Settings!$B$36),1,0)</f>
        <v>0</v>
      </c>
    </row>
    <row r="740" spans="1:24" x14ac:dyDescent="0.2">
      <c r="A740">
        <f>Arrivals!A740</f>
        <v>7</v>
      </c>
      <c r="B740">
        <f>Arrivals!B740</f>
        <v>15</v>
      </c>
      <c r="C740" s="6">
        <f>Arrivals!F740</f>
        <v>202</v>
      </c>
      <c r="D740" s="6">
        <f>Arrivals!K740</f>
        <v>300</v>
      </c>
      <c r="E740" s="6">
        <f>D740*8/ACE_Input!S20+ACE_Input!T20</f>
        <v>24.02</v>
      </c>
      <c r="F740" s="6">
        <f t="shared" si="276"/>
        <v>202</v>
      </c>
      <c r="G740" s="6">
        <f t="shared" si="287"/>
        <v>338.28</v>
      </c>
      <c r="H740" s="6">
        <f t="shared" si="277"/>
        <v>338.28</v>
      </c>
      <c r="I740" s="6">
        <f>MOD(H740-Settings!$B$32,Settings!$B$33)</f>
        <v>338.28</v>
      </c>
      <c r="J740" s="6">
        <f>IF(I740&lt;Settings!$B$30,IF(Settings!$B$30-I740&gt;=E740,H740,H740+(Settings!$B$30-I740)+Settings!$B$31),H740+(Settings!$B$33-I740))</f>
        <v>338.28</v>
      </c>
      <c r="K740" s="6">
        <f t="shared" si="278"/>
        <v>362.29999999999995</v>
      </c>
      <c r="L740" s="6">
        <f t="shared" si="279"/>
        <v>362.29999999999995</v>
      </c>
      <c r="M740" s="6">
        <f t="shared" si="288"/>
        <v>338.29446751425263</v>
      </c>
      <c r="N740" s="6">
        <f t="shared" si="280"/>
        <v>362.29999999999995</v>
      </c>
      <c r="O740" s="6">
        <f>Arrivals!I740</f>
        <v>4.5462216578136703</v>
      </c>
      <c r="P740" s="6">
        <f t="shared" si="281"/>
        <v>366.8462216578136</v>
      </c>
      <c r="Q740" s="6">
        <f t="shared" si="282"/>
        <v>164.8462216578136</v>
      </c>
      <c r="R740" s="6">
        <f t="shared" si="283"/>
        <v>136.27999999999997</v>
      </c>
      <c r="S740" s="6">
        <f t="shared" si="284"/>
        <v>0</v>
      </c>
      <c r="T740" s="6">
        <f t="shared" si="285"/>
        <v>0</v>
      </c>
      <c r="U740" s="6">
        <f t="shared" si="286"/>
        <v>136.27999999999997</v>
      </c>
      <c r="V740" s="6" t="str">
        <f>IF(MOD(C740-Settings!$B$32,Settings!$B$33)&lt;Settings!$B$30,"Up","Down")</f>
        <v>Up</v>
      </c>
      <c r="W740" s="6">
        <f>IF(OR(E740&gt;Settings!$B$30,Q740&gt;Settings!$B$37),0,1)</f>
        <v>1</v>
      </c>
      <c r="X740" s="6">
        <f>IF(AND(W740=1,Q740&lt;=Settings!$B$36),1,0)</f>
        <v>0</v>
      </c>
    </row>
    <row r="741" spans="1:24" x14ac:dyDescent="0.2">
      <c r="A741">
        <f>Arrivals!A741</f>
        <v>7</v>
      </c>
      <c r="B741">
        <f>Arrivals!B741</f>
        <v>16</v>
      </c>
      <c r="C741" s="6">
        <f>Arrivals!F741</f>
        <v>207</v>
      </c>
      <c r="D741" s="6">
        <f>Arrivals!K741</f>
        <v>300</v>
      </c>
      <c r="E741" s="6">
        <f>D741*8/ACE_Input!S21+ACE_Input!T21</f>
        <v>24.02</v>
      </c>
      <c r="F741" s="6">
        <f t="shared" si="276"/>
        <v>207</v>
      </c>
      <c r="G741" s="6">
        <f t="shared" si="287"/>
        <v>362.29999999999995</v>
      </c>
      <c r="H741" s="6">
        <f t="shared" si="277"/>
        <v>362.29999999999995</v>
      </c>
      <c r="I741" s="6">
        <f>MOD(H741-Settings!$B$32,Settings!$B$33)</f>
        <v>362.29999999999995</v>
      </c>
      <c r="J741" s="6">
        <f>IF(I741&lt;Settings!$B$30,IF(Settings!$B$30-I741&gt;=E741,H741,H741+(Settings!$B$30-I741)+Settings!$B$31),H741+(Settings!$B$33-I741))</f>
        <v>362.29999999999995</v>
      </c>
      <c r="K741" s="6">
        <f t="shared" si="278"/>
        <v>386.31999999999994</v>
      </c>
      <c r="L741" s="6">
        <f t="shared" si="279"/>
        <v>386.31999999999994</v>
      </c>
      <c r="M741" s="6">
        <f t="shared" si="288"/>
        <v>366.8462216578136</v>
      </c>
      <c r="N741" s="6">
        <f t="shared" si="280"/>
        <v>386.31999999999994</v>
      </c>
      <c r="O741" s="6">
        <f>Arrivals!I741</f>
        <v>1.1745027739451062</v>
      </c>
      <c r="P741" s="6">
        <f t="shared" si="281"/>
        <v>387.49450277394504</v>
      </c>
      <c r="Q741" s="6">
        <f t="shared" si="282"/>
        <v>180.49450277394504</v>
      </c>
      <c r="R741" s="6">
        <f t="shared" si="283"/>
        <v>155.29999999999995</v>
      </c>
      <c r="S741" s="6">
        <f t="shared" si="284"/>
        <v>0</v>
      </c>
      <c r="T741" s="6">
        <f t="shared" si="285"/>
        <v>0</v>
      </c>
      <c r="U741" s="6">
        <f t="shared" si="286"/>
        <v>155.29999999999995</v>
      </c>
      <c r="V741" s="6" t="str">
        <f>IF(MOD(C741-Settings!$B$32,Settings!$B$33)&lt;Settings!$B$30,"Up","Down")</f>
        <v>Up</v>
      </c>
      <c r="W741" s="6">
        <f>IF(OR(E741&gt;Settings!$B$30,Q741&gt;Settings!$B$37),0,1)</f>
        <v>1</v>
      </c>
      <c r="X741" s="6">
        <f>IF(AND(W741=1,Q741&lt;=Settings!$B$36),1,0)</f>
        <v>0</v>
      </c>
    </row>
    <row r="742" spans="1:24" x14ac:dyDescent="0.2">
      <c r="A742">
        <f>Arrivals!A742</f>
        <v>7</v>
      </c>
      <c r="B742">
        <f>Arrivals!B742</f>
        <v>17</v>
      </c>
      <c r="C742" s="6">
        <f>Arrivals!F742</f>
        <v>212</v>
      </c>
      <c r="D742" s="6">
        <f>Arrivals!K742</f>
        <v>300</v>
      </c>
      <c r="E742" s="6">
        <f>D742*8/ACE_Input!S22+ACE_Input!T22</f>
        <v>24.02</v>
      </c>
      <c r="F742" s="6">
        <f t="shared" si="276"/>
        <v>212</v>
      </c>
      <c r="G742" s="6">
        <f t="shared" si="287"/>
        <v>386.31999999999994</v>
      </c>
      <c r="H742" s="6">
        <f t="shared" si="277"/>
        <v>386.31999999999994</v>
      </c>
      <c r="I742" s="6">
        <f>MOD(H742-Settings!$B$32,Settings!$B$33)</f>
        <v>386.31999999999994</v>
      </c>
      <c r="J742" s="6">
        <f>IF(I742&lt;Settings!$B$30,IF(Settings!$B$30-I742&gt;=E742,H742,H742+(Settings!$B$30-I742)+Settings!$B$31),H742+(Settings!$B$33-I742))</f>
        <v>386.31999999999994</v>
      </c>
      <c r="K742" s="6">
        <f t="shared" si="278"/>
        <v>410.33999999999992</v>
      </c>
      <c r="L742" s="6">
        <f t="shared" si="279"/>
        <v>410.33999999999992</v>
      </c>
      <c r="M742" s="6">
        <f t="shared" si="288"/>
        <v>387.49450277394504</v>
      </c>
      <c r="N742" s="6">
        <f t="shared" si="280"/>
        <v>410.33999999999992</v>
      </c>
      <c r="O742" s="6">
        <f>Arrivals!I742</f>
        <v>2.3813169507532685</v>
      </c>
      <c r="P742" s="6">
        <f t="shared" si="281"/>
        <v>412.72131695075319</v>
      </c>
      <c r="Q742" s="6">
        <f t="shared" si="282"/>
        <v>200.72131695075319</v>
      </c>
      <c r="R742" s="6">
        <f t="shared" si="283"/>
        <v>174.31999999999994</v>
      </c>
      <c r="S742" s="6">
        <f t="shared" si="284"/>
        <v>0</v>
      </c>
      <c r="T742" s="6">
        <f t="shared" si="285"/>
        <v>0</v>
      </c>
      <c r="U742" s="6">
        <f t="shared" si="286"/>
        <v>174.31999999999994</v>
      </c>
      <c r="V742" s="6" t="str">
        <f>IF(MOD(C742-Settings!$B$32,Settings!$B$33)&lt;Settings!$B$30,"Up","Down")</f>
        <v>Up</v>
      </c>
      <c r="W742" s="6">
        <f>IF(OR(E742&gt;Settings!$B$30,Q742&gt;Settings!$B$37),0,1)</f>
        <v>1</v>
      </c>
      <c r="X742" s="6">
        <f>IF(AND(W742=1,Q742&lt;=Settings!$B$36),1,0)</f>
        <v>0</v>
      </c>
    </row>
    <row r="743" spans="1:24" x14ac:dyDescent="0.2">
      <c r="A743">
        <f>Arrivals!A743</f>
        <v>7</v>
      </c>
      <c r="B743">
        <f>Arrivals!B743</f>
        <v>18</v>
      </c>
      <c r="C743" s="6">
        <f>Arrivals!F743</f>
        <v>217</v>
      </c>
      <c r="D743" s="6">
        <f>Arrivals!K743</f>
        <v>300</v>
      </c>
      <c r="E743" s="6">
        <f>D743*8/ACE_Input!S23+ACE_Input!T23</f>
        <v>24.02</v>
      </c>
      <c r="F743" s="6">
        <f t="shared" si="276"/>
        <v>217</v>
      </c>
      <c r="G743" s="6">
        <f t="shared" si="287"/>
        <v>410.33999999999992</v>
      </c>
      <c r="H743" s="6">
        <f t="shared" si="277"/>
        <v>410.33999999999992</v>
      </c>
      <c r="I743" s="6">
        <f>MOD(H743-Settings!$B$32,Settings!$B$33)</f>
        <v>410.33999999999992</v>
      </c>
      <c r="J743" s="6">
        <f>IF(I743&lt;Settings!$B$30,IF(Settings!$B$30-I743&gt;=E743,H743,H743+(Settings!$B$30-I743)+Settings!$B$31),H743+(Settings!$B$33-I743))</f>
        <v>410.33999999999992</v>
      </c>
      <c r="K743" s="6">
        <f t="shared" si="278"/>
        <v>434.3599999999999</v>
      </c>
      <c r="L743" s="6">
        <f t="shared" si="279"/>
        <v>434.3599999999999</v>
      </c>
      <c r="M743" s="6">
        <f t="shared" si="288"/>
        <v>412.72131695075319</v>
      </c>
      <c r="N743" s="6">
        <f t="shared" si="280"/>
        <v>434.3599999999999</v>
      </c>
      <c r="O743" s="6">
        <f>Arrivals!I743</f>
        <v>11.221991505961713</v>
      </c>
      <c r="P743" s="6">
        <f t="shared" si="281"/>
        <v>445.58199150596164</v>
      </c>
      <c r="Q743" s="6">
        <f t="shared" si="282"/>
        <v>228.58199150596164</v>
      </c>
      <c r="R743" s="6">
        <f t="shared" si="283"/>
        <v>193.33999999999992</v>
      </c>
      <c r="S743" s="6">
        <f t="shared" si="284"/>
        <v>0</v>
      </c>
      <c r="T743" s="6">
        <f t="shared" si="285"/>
        <v>0</v>
      </c>
      <c r="U743" s="6">
        <f t="shared" si="286"/>
        <v>193.33999999999992</v>
      </c>
      <c r="V743" s="6" t="str">
        <f>IF(MOD(C743-Settings!$B$32,Settings!$B$33)&lt;Settings!$B$30,"Up","Down")</f>
        <v>Up</v>
      </c>
      <c r="W743" s="6">
        <f>IF(OR(E743&gt;Settings!$B$30,Q743&gt;Settings!$B$37),0,1)</f>
        <v>1</v>
      </c>
      <c r="X743" s="6">
        <f>IF(AND(W743=1,Q743&lt;=Settings!$B$36),1,0)</f>
        <v>0</v>
      </c>
    </row>
    <row r="744" spans="1:24" x14ac:dyDescent="0.2">
      <c r="A744">
        <f>Arrivals!A744</f>
        <v>7</v>
      </c>
      <c r="B744">
        <f>Arrivals!B744</f>
        <v>19</v>
      </c>
      <c r="C744" s="6">
        <f>Arrivals!F744</f>
        <v>222</v>
      </c>
      <c r="D744" s="6">
        <f>Arrivals!K744</f>
        <v>300</v>
      </c>
      <c r="E744" s="6">
        <f>D744*8/ACE_Input!S24+ACE_Input!T24</f>
        <v>24.02</v>
      </c>
      <c r="F744" s="6">
        <f t="shared" si="276"/>
        <v>222</v>
      </c>
      <c r="G744" s="6">
        <f t="shared" si="287"/>
        <v>434.3599999999999</v>
      </c>
      <c r="H744" s="6">
        <f t="shared" si="277"/>
        <v>434.3599999999999</v>
      </c>
      <c r="I744" s="6">
        <f>MOD(H744-Settings!$B$32,Settings!$B$33)</f>
        <v>434.3599999999999</v>
      </c>
      <c r="J744" s="6">
        <f>IF(I744&lt;Settings!$B$30,IF(Settings!$B$30-I744&gt;=E744,H744,H744+(Settings!$B$30-I744)+Settings!$B$31),H744+(Settings!$B$33-I744))</f>
        <v>434.3599999999999</v>
      </c>
      <c r="K744" s="6">
        <f t="shared" si="278"/>
        <v>458.37999999999988</v>
      </c>
      <c r="L744" s="6">
        <f t="shared" si="279"/>
        <v>458.37999999999988</v>
      </c>
      <c r="M744" s="6">
        <f t="shared" si="288"/>
        <v>445.58199150596164</v>
      </c>
      <c r="N744" s="6">
        <f t="shared" si="280"/>
        <v>458.37999999999988</v>
      </c>
      <c r="O744" s="6">
        <f>Arrivals!I744</f>
        <v>3.3654757696733197</v>
      </c>
      <c r="P744" s="6">
        <f t="shared" si="281"/>
        <v>461.74547576967319</v>
      </c>
      <c r="Q744" s="6">
        <f t="shared" si="282"/>
        <v>239.74547576967319</v>
      </c>
      <c r="R744" s="6">
        <f t="shared" si="283"/>
        <v>212.3599999999999</v>
      </c>
      <c r="S744" s="6">
        <f t="shared" si="284"/>
        <v>0</v>
      </c>
      <c r="T744" s="6">
        <f t="shared" si="285"/>
        <v>0</v>
      </c>
      <c r="U744" s="6">
        <f t="shared" si="286"/>
        <v>212.3599999999999</v>
      </c>
      <c r="V744" s="6" t="str">
        <f>IF(MOD(C744-Settings!$B$32,Settings!$B$33)&lt;Settings!$B$30,"Up","Down")</f>
        <v>Up</v>
      </c>
      <c r="W744" s="6">
        <f>IF(OR(E744&gt;Settings!$B$30,Q744&gt;Settings!$B$37),0,1)</f>
        <v>1</v>
      </c>
      <c r="X744" s="6">
        <f>IF(AND(W744=1,Q744&lt;=Settings!$B$36),1,0)</f>
        <v>0</v>
      </c>
    </row>
    <row r="745" spans="1:24" x14ac:dyDescent="0.2">
      <c r="A745">
        <f>Arrivals!A745</f>
        <v>7</v>
      </c>
      <c r="B745">
        <f>Arrivals!B745</f>
        <v>20</v>
      </c>
      <c r="C745" s="6">
        <f>Arrivals!F745</f>
        <v>227</v>
      </c>
      <c r="D745" s="6">
        <f>Arrivals!K745</f>
        <v>300</v>
      </c>
      <c r="E745" s="6">
        <f>D745*8/ACE_Input!S25+ACE_Input!T25</f>
        <v>24.02</v>
      </c>
      <c r="F745" s="6">
        <f t="shared" si="276"/>
        <v>227</v>
      </c>
      <c r="G745" s="6">
        <f t="shared" si="287"/>
        <v>458.37999999999988</v>
      </c>
      <c r="H745" s="6">
        <f t="shared" si="277"/>
        <v>458.37999999999988</v>
      </c>
      <c r="I745" s="6">
        <f>MOD(H745-Settings!$B$32,Settings!$B$33)</f>
        <v>458.37999999999988</v>
      </c>
      <c r="J745" s="6">
        <f>IF(I745&lt;Settings!$B$30,IF(Settings!$B$30-I745&gt;=E745,H745,H745+(Settings!$B$30-I745)+Settings!$B$31),H745+(Settings!$B$33-I745))</f>
        <v>458.37999999999988</v>
      </c>
      <c r="K745" s="6">
        <f t="shared" si="278"/>
        <v>482.39999999999986</v>
      </c>
      <c r="L745" s="6">
        <f t="shared" si="279"/>
        <v>482.39999999999986</v>
      </c>
      <c r="M745" s="6">
        <f t="shared" si="288"/>
        <v>461.74547576967319</v>
      </c>
      <c r="N745" s="6">
        <f t="shared" si="280"/>
        <v>482.39999999999986</v>
      </c>
      <c r="O745" s="6">
        <f>Arrivals!I745</f>
        <v>0.73162190565382534</v>
      </c>
      <c r="P745" s="6">
        <f t="shared" si="281"/>
        <v>483.13162190565367</v>
      </c>
      <c r="Q745" s="6">
        <f t="shared" si="282"/>
        <v>256.13162190565367</v>
      </c>
      <c r="R745" s="6">
        <f t="shared" si="283"/>
        <v>231.37999999999988</v>
      </c>
      <c r="S745" s="6">
        <f t="shared" si="284"/>
        <v>0</v>
      </c>
      <c r="T745" s="6">
        <f t="shared" si="285"/>
        <v>0</v>
      </c>
      <c r="U745" s="6">
        <f t="shared" si="286"/>
        <v>231.37999999999988</v>
      </c>
      <c r="V745" s="6" t="str">
        <f>IF(MOD(C745-Settings!$B$32,Settings!$B$33)&lt;Settings!$B$30,"Up","Down")</f>
        <v>Up</v>
      </c>
      <c r="W745" s="6">
        <f>IF(OR(E745&gt;Settings!$B$30,Q745&gt;Settings!$B$37),0,1)</f>
        <v>1</v>
      </c>
      <c r="X745" s="6">
        <f>IF(AND(W745=1,Q745&lt;=Settings!$B$36),1,0)</f>
        <v>0</v>
      </c>
    </row>
    <row r="746" spans="1:24" x14ac:dyDescent="0.2">
      <c r="A746">
        <f>Arrivals!A746</f>
        <v>7</v>
      </c>
      <c r="B746">
        <f>Arrivals!B746</f>
        <v>21</v>
      </c>
      <c r="C746" s="6">
        <f>Arrivals!F746</f>
        <v>232</v>
      </c>
      <c r="D746" s="6">
        <f>Arrivals!K746</f>
        <v>300</v>
      </c>
      <c r="E746" s="6">
        <f>D746*8/ACE_Input!S26+ACE_Input!T26</f>
        <v>24.02</v>
      </c>
      <c r="F746" s="6">
        <f t="shared" si="276"/>
        <v>232</v>
      </c>
      <c r="G746" s="6">
        <f t="shared" si="287"/>
        <v>482.39999999999986</v>
      </c>
      <c r="H746" s="6">
        <f t="shared" si="277"/>
        <v>482.39999999999986</v>
      </c>
      <c r="I746" s="6">
        <f>MOD(H746-Settings!$B$32,Settings!$B$33)</f>
        <v>482.39999999999986</v>
      </c>
      <c r="J746" s="6">
        <f>IF(I746&lt;Settings!$B$30,IF(Settings!$B$30-I746&gt;=E746,H746,H746+(Settings!$B$30-I746)+Settings!$B$31),H746+(Settings!$B$33-I746))</f>
        <v>482.39999999999986</v>
      </c>
      <c r="K746" s="6">
        <f t="shared" si="278"/>
        <v>506.41999999999985</v>
      </c>
      <c r="L746" s="6">
        <f t="shared" si="279"/>
        <v>506.41999999999985</v>
      </c>
      <c r="M746" s="6">
        <f t="shared" si="288"/>
        <v>483.13162190565367</v>
      </c>
      <c r="N746" s="6">
        <f t="shared" si="280"/>
        <v>506.41999999999985</v>
      </c>
      <c r="O746" s="6">
        <f>Arrivals!I746</f>
        <v>1.6776087553017867</v>
      </c>
      <c r="P746" s="6">
        <f t="shared" si="281"/>
        <v>508.09760875530162</v>
      </c>
      <c r="Q746" s="6">
        <f t="shared" si="282"/>
        <v>276.09760875530162</v>
      </c>
      <c r="R746" s="6">
        <f t="shared" si="283"/>
        <v>250.39999999999986</v>
      </c>
      <c r="S746" s="6">
        <f t="shared" si="284"/>
        <v>0</v>
      </c>
      <c r="T746" s="6">
        <f t="shared" si="285"/>
        <v>0</v>
      </c>
      <c r="U746" s="6">
        <f t="shared" si="286"/>
        <v>250.39999999999986</v>
      </c>
      <c r="V746" s="6" t="str">
        <f>IF(MOD(C746-Settings!$B$32,Settings!$B$33)&lt;Settings!$B$30,"Up","Down")</f>
        <v>Up</v>
      </c>
      <c r="W746" s="6">
        <f>IF(OR(E746&gt;Settings!$B$30,Q746&gt;Settings!$B$37),0,1)</f>
        <v>1</v>
      </c>
      <c r="X746" s="6">
        <f>IF(AND(W746=1,Q746&lt;=Settings!$B$36),1,0)</f>
        <v>0</v>
      </c>
    </row>
    <row r="747" spans="1:24" x14ac:dyDescent="0.2">
      <c r="A747">
        <f>Arrivals!A747</f>
        <v>7</v>
      </c>
      <c r="B747">
        <f>Arrivals!B747</f>
        <v>22</v>
      </c>
      <c r="C747" s="6">
        <f>Arrivals!F747</f>
        <v>237</v>
      </c>
      <c r="D747" s="6">
        <f>Arrivals!K747</f>
        <v>300</v>
      </c>
      <c r="E747" s="6">
        <f>D747*8/ACE_Input!S27+ACE_Input!T27</f>
        <v>24.02</v>
      </c>
      <c r="F747" s="6">
        <f t="shared" si="276"/>
        <v>237</v>
      </c>
      <c r="G747" s="6">
        <f t="shared" si="287"/>
        <v>506.41999999999985</v>
      </c>
      <c r="H747" s="6">
        <f t="shared" si="277"/>
        <v>506.41999999999985</v>
      </c>
      <c r="I747" s="6">
        <f>MOD(H747-Settings!$B$32,Settings!$B$33)</f>
        <v>506.41999999999985</v>
      </c>
      <c r="J747" s="6">
        <f>IF(I747&lt;Settings!$B$30,IF(Settings!$B$30-I747&gt;=E747,H747,H747+(Settings!$B$30-I747)+Settings!$B$31),H747+(Settings!$B$33-I747))</f>
        <v>506.41999999999985</v>
      </c>
      <c r="K747" s="6">
        <f t="shared" si="278"/>
        <v>530.43999999999983</v>
      </c>
      <c r="L747" s="6">
        <f t="shared" si="279"/>
        <v>530.43999999999983</v>
      </c>
      <c r="M747" s="6">
        <f t="shared" si="288"/>
        <v>508.09760875530162</v>
      </c>
      <c r="N747" s="6">
        <f t="shared" si="280"/>
        <v>530.43999999999983</v>
      </c>
      <c r="O747" s="6">
        <f>Arrivals!I747</f>
        <v>2.1139584840049754</v>
      </c>
      <c r="P747" s="6">
        <f t="shared" si="281"/>
        <v>532.55395848400485</v>
      </c>
      <c r="Q747" s="6">
        <f t="shared" si="282"/>
        <v>295.55395848400485</v>
      </c>
      <c r="R747" s="6">
        <f t="shared" si="283"/>
        <v>269.41999999999985</v>
      </c>
      <c r="S747" s="6">
        <f t="shared" si="284"/>
        <v>0</v>
      </c>
      <c r="T747" s="6">
        <f t="shared" si="285"/>
        <v>0</v>
      </c>
      <c r="U747" s="6">
        <f t="shared" si="286"/>
        <v>269.41999999999985</v>
      </c>
      <c r="V747" s="6" t="str">
        <f>IF(MOD(C747-Settings!$B$32,Settings!$B$33)&lt;Settings!$B$30,"Up","Down")</f>
        <v>Up</v>
      </c>
      <c r="W747" s="6">
        <f>IF(OR(E747&gt;Settings!$B$30,Q747&gt;Settings!$B$37),0,1)</f>
        <v>1</v>
      </c>
      <c r="X747" s="6">
        <f>IF(AND(W747=1,Q747&lt;=Settings!$B$36),1,0)</f>
        <v>0</v>
      </c>
    </row>
    <row r="748" spans="1:24" x14ac:dyDescent="0.2">
      <c r="A748">
        <f>Arrivals!A748</f>
        <v>7</v>
      </c>
      <c r="B748">
        <f>Arrivals!B748</f>
        <v>23</v>
      </c>
      <c r="C748" s="6">
        <f>Arrivals!F748</f>
        <v>242</v>
      </c>
      <c r="D748" s="6">
        <f>Arrivals!K748</f>
        <v>300</v>
      </c>
      <c r="E748" s="6">
        <f>D748*8/ACE_Input!S28+ACE_Input!T28</f>
        <v>24.02</v>
      </c>
      <c r="F748" s="6">
        <f t="shared" si="276"/>
        <v>242</v>
      </c>
      <c r="G748" s="6">
        <f t="shared" si="287"/>
        <v>530.43999999999983</v>
      </c>
      <c r="H748" s="6">
        <f t="shared" si="277"/>
        <v>530.43999999999983</v>
      </c>
      <c r="I748" s="6">
        <f>MOD(H748-Settings!$B$32,Settings!$B$33)</f>
        <v>530.43999999999983</v>
      </c>
      <c r="J748" s="6">
        <f>IF(I748&lt;Settings!$B$30,IF(Settings!$B$30-I748&gt;=E748,H748,H748+(Settings!$B$30-I748)+Settings!$B$31),H748+(Settings!$B$33-I748))</f>
        <v>530.43999999999983</v>
      </c>
      <c r="K748" s="6">
        <f t="shared" si="278"/>
        <v>554.45999999999981</v>
      </c>
      <c r="L748" s="6">
        <f t="shared" si="279"/>
        <v>554.45999999999981</v>
      </c>
      <c r="M748" s="6">
        <f t="shared" si="288"/>
        <v>532.55395848400485</v>
      </c>
      <c r="N748" s="6">
        <f t="shared" si="280"/>
        <v>554.45999999999981</v>
      </c>
      <c r="O748" s="6">
        <f>Arrivals!I748</f>
        <v>1.8057223330674412</v>
      </c>
      <c r="P748" s="6">
        <f t="shared" si="281"/>
        <v>556.26572233306729</v>
      </c>
      <c r="Q748" s="6">
        <f t="shared" si="282"/>
        <v>314.26572233306729</v>
      </c>
      <c r="R748" s="6">
        <f t="shared" si="283"/>
        <v>288.43999999999983</v>
      </c>
      <c r="S748" s="6">
        <f t="shared" si="284"/>
        <v>0</v>
      </c>
      <c r="T748" s="6">
        <f t="shared" si="285"/>
        <v>0</v>
      </c>
      <c r="U748" s="6">
        <f t="shared" si="286"/>
        <v>288.43999999999983</v>
      </c>
      <c r="V748" s="6" t="str">
        <f>IF(MOD(C748-Settings!$B$32,Settings!$B$33)&lt;Settings!$B$30,"Up","Down")</f>
        <v>Up</v>
      </c>
      <c r="W748" s="6">
        <f>IF(OR(E748&gt;Settings!$B$30,Q748&gt;Settings!$B$37),0,1)</f>
        <v>1</v>
      </c>
      <c r="X748" s="6">
        <f>IF(AND(W748=1,Q748&lt;=Settings!$B$36),1,0)</f>
        <v>0</v>
      </c>
    </row>
    <row r="749" spans="1:24" x14ac:dyDescent="0.2">
      <c r="A749">
        <f>Arrivals!A749</f>
        <v>7</v>
      </c>
      <c r="B749">
        <f>Arrivals!B749</f>
        <v>24</v>
      </c>
      <c r="C749" s="6">
        <f>Arrivals!F749</f>
        <v>247</v>
      </c>
      <c r="D749" s="6">
        <f>Arrivals!K749</f>
        <v>300</v>
      </c>
      <c r="E749" s="6">
        <f>D749*8/ACE_Input!S29+ACE_Input!T29</f>
        <v>24.02</v>
      </c>
      <c r="F749" s="6">
        <f t="shared" si="276"/>
        <v>247</v>
      </c>
      <c r="G749" s="6">
        <f t="shared" si="287"/>
        <v>554.45999999999981</v>
      </c>
      <c r="H749" s="6">
        <f t="shared" si="277"/>
        <v>554.45999999999981</v>
      </c>
      <c r="I749" s="6">
        <f>MOD(H749-Settings!$B$32,Settings!$B$33)</f>
        <v>554.45999999999981</v>
      </c>
      <c r="J749" s="6">
        <f>IF(I749&lt;Settings!$B$30,IF(Settings!$B$30-I749&gt;=E749,H749,H749+(Settings!$B$30-I749)+Settings!$B$31),H749+(Settings!$B$33-I749))</f>
        <v>554.45999999999981</v>
      </c>
      <c r="K749" s="6">
        <f t="shared" si="278"/>
        <v>578.47999999999979</v>
      </c>
      <c r="L749" s="6">
        <f t="shared" si="279"/>
        <v>578.47999999999979</v>
      </c>
      <c r="M749" s="6">
        <f t="shared" si="288"/>
        <v>556.26572233306729</v>
      </c>
      <c r="N749" s="6">
        <f t="shared" si="280"/>
        <v>578.47999999999979</v>
      </c>
      <c r="O749" s="6">
        <f>Arrivals!I749</f>
        <v>4.8656230328742591</v>
      </c>
      <c r="P749" s="6">
        <f t="shared" si="281"/>
        <v>583.34562303287407</v>
      </c>
      <c r="Q749" s="6">
        <f t="shared" si="282"/>
        <v>336.34562303287407</v>
      </c>
      <c r="R749" s="6">
        <f t="shared" si="283"/>
        <v>307.45999999999981</v>
      </c>
      <c r="S749" s="6">
        <f t="shared" si="284"/>
        <v>0</v>
      </c>
      <c r="T749" s="6">
        <f t="shared" si="285"/>
        <v>0</v>
      </c>
      <c r="U749" s="6">
        <f t="shared" si="286"/>
        <v>307.45999999999981</v>
      </c>
      <c r="V749" s="6" t="str">
        <f>IF(MOD(C749-Settings!$B$32,Settings!$B$33)&lt;Settings!$B$30,"Up","Down")</f>
        <v>Up</v>
      </c>
      <c r="W749" s="6">
        <f>IF(OR(E749&gt;Settings!$B$30,Q749&gt;Settings!$B$37),0,1)</f>
        <v>1</v>
      </c>
      <c r="X749" s="6">
        <f>IF(AND(W749=1,Q749&lt;=Settings!$B$36),1,0)</f>
        <v>0</v>
      </c>
    </row>
    <row r="750" spans="1:24" x14ac:dyDescent="0.2">
      <c r="A750">
        <f>Arrivals!A750</f>
        <v>7</v>
      </c>
      <c r="B750">
        <f>Arrivals!B750</f>
        <v>25</v>
      </c>
      <c r="C750" s="6">
        <f>Arrivals!F750</f>
        <v>252</v>
      </c>
      <c r="D750" s="6">
        <f>Arrivals!K750</f>
        <v>300</v>
      </c>
      <c r="E750" s="6">
        <f>D750*8/ACE_Input!S30+ACE_Input!T30</f>
        <v>24.02</v>
      </c>
      <c r="F750" s="6">
        <f t="shared" si="276"/>
        <v>252</v>
      </c>
      <c r="G750" s="6">
        <f t="shared" si="287"/>
        <v>578.47999999999979</v>
      </c>
      <c r="H750" s="6">
        <f t="shared" si="277"/>
        <v>578.47999999999979</v>
      </c>
      <c r="I750" s="6">
        <f>MOD(H750-Settings!$B$32,Settings!$B$33)</f>
        <v>578.47999999999979</v>
      </c>
      <c r="J750" s="6">
        <f>IF(I750&lt;Settings!$B$30,IF(Settings!$B$30-I750&gt;=E750,H750,H750+(Settings!$B$30-I750)+Settings!$B$31),H750+(Settings!$B$33-I750))</f>
        <v>720</v>
      </c>
      <c r="K750" s="6">
        <f t="shared" si="278"/>
        <v>744.02</v>
      </c>
      <c r="L750" s="6">
        <f t="shared" si="279"/>
        <v>744.02</v>
      </c>
      <c r="M750" s="6">
        <f t="shared" si="288"/>
        <v>583.34562303287407</v>
      </c>
      <c r="N750" s="6">
        <f t="shared" si="280"/>
        <v>744.02</v>
      </c>
      <c r="O750" s="6">
        <f>Arrivals!I750</f>
        <v>0.89310986010073523</v>
      </c>
      <c r="P750" s="6">
        <f t="shared" si="281"/>
        <v>744.91310986010069</v>
      </c>
      <c r="Q750" s="6">
        <f t="shared" si="282"/>
        <v>492.91310986010069</v>
      </c>
      <c r="R750" s="6">
        <f t="shared" si="283"/>
        <v>326.47999999999979</v>
      </c>
      <c r="S750" s="6">
        <f t="shared" si="284"/>
        <v>141.52000000000021</v>
      </c>
      <c r="T750" s="6">
        <f t="shared" si="285"/>
        <v>0</v>
      </c>
      <c r="U750" s="6">
        <f t="shared" si="286"/>
        <v>468</v>
      </c>
      <c r="V750" s="6" t="str">
        <f>IF(MOD(C750-Settings!$B$32,Settings!$B$33)&lt;Settings!$B$30,"Up","Down")</f>
        <v>Up</v>
      </c>
      <c r="W750" s="6">
        <f>IF(OR(E750&gt;Settings!$B$30,Q750&gt;Settings!$B$37),0,1)</f>
        <v>1</v>
      </c>
      <c r="X750" s="6">
        <f>IF(AND(W750=1,Q750&lt;=Settings!$B$36),1,0)</f>
        <v>0</v>
      </c>
    </row>
    <row r="751" spans="1:24" x14ac:dyDescent="0.2">
      <c r="A751">
        <f>Arrivals!A751</f>
        <v>7</v>
      </c>
      <c r="B751">
        <f>Arrivals!B751</f>
        <v>26</v>
      </c>
      <c r="C751" s="6">
        <f>Arrivals!F751</f>
        <v>257</v>
      </c>
      <c r="D751" s="6">
        <f>Arrivals!K751</f>
        <v>300</v>
      </c>
      <c r="E751" s="6">
        <f>D751*8/ACE_Input!S31+ACE_Input!T31</f>
        <v>24.02</v>
      </c>
      <c r="F751" s="6">
        <f t="shared" si="276"/>
        <v>257</v>
      </c>
      <c r="G751" s="6">
        <f t="shared" si="287"/>
        <v>744.02</v>
      </c>
      <c r="H751" s="6">
        <f t="shared" si="277"/>
        <v>744.02</v>
      </c>
      <c r="I751" s="6">
        <f>MOD(H751-Settings!$B$32,Settings!$B$33)</f>
        <v>24.019999999999982</v>
      </c>
      <c r="J751" s="6">
        <f>IF(I751&lt;Settings!$B$30,IF(Settings!$B$30-I751&gt;=E751,H751,H751+(Settings!$B$30-I751)+Settings!$B$31),H751+(Settings!$B$33-I751))</f>
        <v>744.02</v>
      </c>
      <c r="K751" s="6">
        <f t="shared" si="278"/>
        <v>768.04</v>
      </c>
      <c r="L751" s="6">
        <f t="shared" si="279"/>
        <v>768.04</v>
      </c>
      <c r="M751" s="6">
        <f t="shared" si="288"/>
        <v>744.91310986010069</v>
      </c>
      <c r="N751" s="6">
        <f t="shared" si="280"/>
        <v>768.04</v>
      </c>
      <c r="O751" s="6">
        <f>Arrivals!I751</f>
        <v>0.89472297468165973</v>
      </c>
      <c r="P751" s="6">
        <f t="shared" si="281"/>
        <v>768.93472297468168</v>
      </c>
      <c r="Q751" s="6">
        <f t="shared" si="282"/>
        <v>511.93472297468168</v>
      </c>
      <c r="R751" s="6">
        <f t="shared" si="283"/>
        <v>487.02</v>
      </c>
      <c r="S751" s="6">
        <f t="shared" si="284"/>
        <v>0</v>
      </c>
      <c r="T751" s="6">
        <f t="shared" si="285"/>
        <v>0</v>
      </c>
      <c r="U751" s="6">
        <f t="shared" si="286"/>
        <v>487.02</v>
      </c>
      <c r="V751" s="6" t="str">
        <f>IF(MOD(C751-Settings!$B$32,Settings!$B$33)&lt;Settings!$B$30,"Up","Down")</f>
        <v>Up</v>
      </c>
      <c r="W751" s="6">
        <f>IF(OR(E751&gt;Settings!$B$30,Q751&gt;Settings!$B$37),0,1)</f>
        <v>1</v>
      </c>
      <c r="X751" s="6">
        <f>IF(AND(W751=1,Q751&lt;=Settings!$B$36),1,0)</f>
        <v>0</v>
      </c>
    </row>
    <row r="752" spans="1:24" x14ac:dyDescent="0.2">
      <c r="A752">
        <f>Arrivals!A752</f>
        <v>7</v>
      </c>
      <c r="B752">
        <f>Arrivals!B752</f>
        <v>27</v>
      </c>
      <c r="C752" s="6">
        <f>Arrivals!F752</f>
        <v>262</v>
      </c>
      <c r="D752" s="6">
        <f>Arrivals!K752</f>
        <v>300</v>
      </c>
      <c r="E752" s="6">
        <f>D752*8/ACE_Input!S32+ACE_Input!T32</f>
        <v>24.02</v>
      </c>
      <c r="F752" s="6">
        <f t="shared" si="276"/>
        <v>262</v>
      </c>
      <c r="G752" s="6">
        <f t="shared" si="287"/>
        <v>768.04</v>
      </c>
      <c r="H752" s="6">
        <f t="shared" si="277"/>
        <v>768.04</v>
      </c>
      <c r="I752" s="6">
        <f>MOD(H752-Settings!$B$32,Settings!$B$33)</f>
        <v>48.039999999999964</v>
      </c>
      <c r="J752" s="6">
        <f>IF(I752&lt;Settings!$B$30,IF(Settings!$B$30-I752&gt;=E752,H752,H752+(Settings!$B$30-I752)+Settings!$B$31),H752+(Settings!$B$33-I752))</f>
        <v>768.04</v>
      </c>
      <c r="K752" s="6">
        <f t="shared" si="278"/>
        <v>792.06</v>
      </c>
      <c r="L752" s="6">
        <f t="shared" si="279"/>
        <v>792.06</v>
      </c>
      <c r="M752" s="6">
        <f t="shared" si="288"/>
        <v>768.93472297468168</v>
      </c>
      <c r="N752" s="6">
        <f t="shared" si="280"/>
        <v>792.06</v>
      </c>
      <c r="O752" s="6">
        <f>Arrivals!I752</f>
        <v>3.8801782637090918</v>
      </c>
      <c r="P752" s="6">
        <f t="shared" si="281"/>
        <v>795.94017826370907</v>
      </c>
      <c r="Q752" s="6">
        <f t="shared" si="282"/>
        <v>533.94017826370907</v>
      </c>
      <c r="R752" s="6">
        <f t="shared" si="283"/>
        <v>506.03999999999996</v>
      </c>
      <c r="S752" s="6">
        <f t="shared" si="284"/>
        <v>0</v>
      </c>
      <c r="T752" s="6">
        <f t="shared" si="285"/>
        <v>0</v>
      </c>
      <c r="U752" s="6">
        <f t="shared" si="286"/>
        <v>506.03999999999996</v>
      </c>
      <c r="V752" s="6" t="str">
        <f>IF(MOD(C752-Settings!$B$32,Settings!$B$33)&lt;Settings!$B$30,"Up","Down")</f>
        <v>Up</v>
      </c>
      <c r="W752" s="6">
        <f>IF(OR(E752&gt;Settings!$B$30,Q752&gt;Settings!$B$37),0,1)</f>
        <v>1</v>
      </c>
      <c r="X752" s="6">
        <f>IF(AND(W752=1,Q752&lt;=Settings!$B$36),1,0)</f>
        <v>0</v>
      </c>
    </row>
    <row r="753" spans="1:24" x14ac:dyDescent="0.2">
      <c r="A753">
        <f>Arrivals!A753</f>
        <v>7</v>
      </c>
      <c r="B753">
        <f>Arrivals!B753</f>
        <v>28</v>
      </c>
      <c r="C753" s="6">
        <f>Arrivals!F753</f>
        <v>268</v>
      </c>
      <c r="D753" s="6">
        <f>Arrivals!K753</f>
        <v>300</v>
      </c>
      <c r="E753" s="6">
        <f>D753*8/ACE_Input!S33+ACE_Input!T33</f>
        <v>24.02</v>
      </c>
      <c r="F753" s="6">
        <f t="shared" si="276"/>
        <v>268</v>
      </c>
      <c r="G753" s="6">
        <f t="shared" si="287"/>
        <v>792.06</v>
      </c>
      <c r="H753" s="6">
        <f t="shared" si="277"/>
        <v>792.06</v>
      </c>
      <c r="I753" s="6">
        <f>MOD(H753-Settings!$B$32,Settings!$B$33)</f>
        <v>72.059999999999945</v>
      </c>
      <c r="J753" s="6">
        <f>IF(I753&lt;Settings!$B$30,IF(Settings!$B$30-I753&gt;=E753,H753,H753+(Settings!$B$30-I753)+Settings!$B$31),H753+(Settings!$B$33-I753))</f>
        <v>792.06</v>
      </c>
      <c r="K753" s="6">
        <f t="shared" si="278"/>
        <v>816.07999999999993</v>
      </c>
      <c r="L753" s="6">
        <f t="shared" si="279"/>
        <v>816.07999999999993</v>
      </c>
      <c r="M753" s="6">
        <f t="shared" si="288"/>
        <v>795.94017826370907</v>
      </c>
      <c r="N753" s="6">
        <f t="shared" si="280"/>
        <v>816.07999999999993</v>
      </c>
      <c r="O753" s="6">
        <f>Arrivals!I753</f>
        <v>0.1438057993244187</v>
      </c>
      <c r="P753" s="6">
        <f t="shared" si="281"/>
        <v>816.2238057993244</v>
      </c>
      <c r="Q753" s="6">
        <f t="shared" si="282"/>
        <v>548.2238057993244</v>
      </c>
      <c r="R753" s="6">
        <f t="shared" si="283"/>
        <v>524.05999999999995</v>
      </c>
      <c r="S753" s="6">
        <f t="shared" si="284"/>
        <v>0</v>
      </c>
      <c r="T753" s="6">
        <f t="shared" si="285"/>
        <v>0</v>
      </c>
      <c r="U753" s="6">
        <f t="shared" si="286"/>
        <v>524.05999999999995</v>
      </c>
      <c r="V753" s="6" t="str">
        <f>IF(MOD(C753-Settings!$B$32,Settings!$B$33)&lt;Settings!$B$30,"Up","Down")</f>
        <v>Up</v>
      </c>
      <c r="W753" s="6">
        <f>IF(OR(E753&gt;Settings!$B$30,Q753&gt;Settings!$B$37),0,1)</f>
        <v>1</v>
      </c>
      <c r="X753" s="6">
        <f>IF(AND(W753=1,Q753&lt;=Settings!$B$36),1,0)</f>
        <v>0</v>
      </c>
    </row>
    <row r="754" spans="1:24" x14ac:dyDescent="0.2">
      <c r="A754">
        <f>Arrivals!A754</f>
        <v>7</v>
      </c>
      <c r="B754">
        <f>Arrivals!B754</f>
        <v>29</v>
      </c>
      <c r="C754" s="6">
        <f>Arrivals!F754</f>
        <v>273</v>
      </c>
      <c r="D754" s="6">
        <f>Arrivals!K754</f>
        <v>300</v>
      </c>
      <c r="E754" s="6">
        <f>D754*8/ACE_Input!S34+ACE_Input!T34</f>
        <v>24.02</v>
      </c>
      <c r="F754" s="6">
        <f t="shared" si="276"/>
        <v>273</v>
      </c>
      <c r="G754" s="6">
        <f t="shared" si="287"/>
        <v>816.07999999999993</v>
      </c>
      <c r="H754" s="6">
        <f t="shared" si="277"/>
        <v>816.07999999999993</v>
      </c>
      <c r="I754" s="6">
        <f>MOD(H754-Settings!$B$32,Settings!$B$33)</f>
        <v>96.079999999999927</v>
      </c>
      <c r="J754" s="6">
        <f>IF(I754&lt;Settings!$B$30,IF(Settings!$B$30-I754&gt;=E754,H754,H754+(Settings!$B$30-I754)+Settings!$B$31),H754+(Settings!$B$33-I754))</f>
        <v>816.07999999999993</v>
      </c>
      <c r="K754" s="6">
        <f t="shared" si="278"/>
        <v>840.09999999999991</v>
      </c>
      <c r="L754" s="6">
        <f t="shared" si="279"/>
        <v>840.09999999999991</v>
      </c>
      <c r="M754" s="6">
        <f t="shared" si="288"/>
        <v>816.2238057993244</v>
      </c>
      <c r="N754" s="6">
        <f t="shared" si="280"/>
        <v>840.09999999999991</v>
      </c>
      <c r="O754" s="6">
        <f>Arrivals!I754</f>
        <v>2.8001920744130815</v>
      </c>
      <c r="P754" s="6">
        <f t="shared" si="281"/>
        <v>842.90019207441298</v>
      </c>
      <c r="Q754" s="6">
        <f t="shared" si="282"/>
        <v>569.90019207441298</v>
      </c>
      <c r="R754" s="6">
        <f t="shared" si="283"/>
        <v>543.07999999999993</v>
      </c>
      <c r="S754" s="6">
        <f t="shared" si="284"/>
        <v>0</v>
      </c>
      <c r="T754" s="6">
        <f t="shared" si="285"/>
        <v>0</v>
      </c>
      <c r="U754" s="6">
        <f t="shared" si="286"/>
        <v>543.07999999999993</v>
      </c>
      <c r="V754" s="6" t="str">
        <f>IF(MOD(C754-Settings!$B$32,Settings!$B$33)&lt;Settings!$B$30,"Up","Down")</f>
        <v>Up</v>
      </c>
      <c r="W754" s="6">
        <f>IF(OR(E754&gt;Settings!$B$30,Q754&gt;Settings!$B$37),0,1)</f>
        <v>1</v>
      </c>
      <c r="X754" s="6">
        <f>IF(AND(W754=1,Q754&lt;=Settings!$B$36),1,0)</f>
        <v>0</v>
      </c>
    </row>
    <row r="755" spans="1:24" x14ac:dyDescent="0.2">
      <c r="A755">
        <f>Arrivals!A755</f>
        <v>7</v>
      </c>
      <c r="B755">
        <f>Arrivals!B755</f>
        <v>30</v>
      </c>
      <c r="C755" s="6">
        <f>Arrivals!F755</f>
        <v>278</v>
      </c>
      <c r="D755" s="6">
        <f>Arrivals!K755</f>
        <v>300</v>
      </c>
      <c r="E755" s="6">
        <f>D755*8/ACE_Input!S35+ACE_Input!T35</f>
        <v>24.02</v>
      </c>
      <c r="F755" s="6">
        <f t="shared" si="276"/>
        <v>278</v>
      </c>
      <c r="G755" s="6">
        <f t="shared" si="287"/>
        <v>840.09999999999991</v>
      </c>
      <c r="H755" s="6">
        <f t="shared" si="277"/>
        <v>840.09999999999991</v>
      </c>
      <c r="I755" s="6">
        <f>MOD(H755-Settings!$B$32,Settings!$B$33)</f>
        <v>120.09999999999991</v>
      </c>
      <c r="J755" s="6">
        <f>IF(I755&lt;Settings!$B$30,IF(Settings!$B$30-I755&gt;=E755,H755,H755+(Settings!$B$30-I755)+Settings!$B$31),H755+(Settings!$B$33-I755))</f>
        <v>840.09999999999991</v>
      </c>
      <c r="K755" s="6">
        <f t="shared" si="278"/>
        <v>864.11999999999989</v>
      </c>
      <c r="L755" s="6">
        <f t="shared" si="279"/>
        <v>864.11999999999989</v>
      </c>
      <c r="M755" s="6">
        <f t="shared" si="288"/>
        <v>842.90019207441298</v>
      </c>
      <c r="N755" s="6">
        <f t="shared" si="280"/>
        <v>864.11999999999989</v>
      </c>
      <c r="O755" s="6">
        <f>Arrivals!I755</f>
        <v>1.378748697088513</v>
      </c>
      <c r="P755" s="6">
        <f t="shared" si="281"/>
        <v>865.49874869708844</v>
      </c>
      <c r="Q755" s="6">
        <f t="shared" si="282"/>
        <v>587.49874869708844</v>
      </c>
      <c r="R755" s="6">
        <f t="shared" si="283"/>
        <v>562.09999999999991</v>
      </c>
      <c r="S755" s="6">
        <f t="shared" si="284"/>
        <v>0</v>
      </c>
      <c r="T755" s="6">
        <f t="shared" si="285"/>
        <v>0</v>
      </c>
      <c r="U755" s="6">
        <f t="shared" si="286"/>
        <v>562.09999999999991</v>
      </c>
      <c r="V755" s="6" t="str">
        <f>IF(MOD(C755-Settings!$B$32,Settings!$B$33)&lt;Settings!$B$30,"Up","Down")</f>
        <v>Up</v>
      </c>
      <c r="W755" s="6">
        <f>IF(OR(E755&gt;Settings!$B$30,Q755&gt;Settings!$B$37),0,1)</f>
        <v>1</v>
      </c>
      <c r="X755" s="6">
        <f>IF(AND(W755=1,Q755&lt;=Settings!$B$36),1,0)</f>
        <v>0</v>
      </c>
    </row>
    <row r="756" spans="1:24" x14ac:dyDescent="0.2">
      <c r="A756">
        <f>Arrivals!A756</f>
        <v>7</v>
      </c>
      <c r="B756">
        <f>Arrivals!B756</f>
        <v>31</v>
      </c>
      <c r="C756" s="6">
        <f>Arrivals!F756</f>
        <v>283</v>
      </c>
      <c r="D756" s="6">
        <f>Arrivals!K756</f>
        <v>300</v>
      </c>
      <c r="E756" s="6">
        <f>D756*8/ACE_Input!S36+ACE_Input!T36</f>
        <v>24.02</v>
      </c>
      <c r="F756" s="6">
        <f t="shared" si="276"/>
        <v>283</v>
      </c>
      <c r="G756" s="6">
        <f t="shared" si="287"/>
        <v>864.11999999999989</v>
      </c>
      <c r="H756" s="6">
        <f t="shared" si="277"/>
        <v>864.11999999999989</v>
      </c>
      <c r="I756" s="6">
        <f>MOD(H756-Settings!$B$32,Settings!$B$33)</f>
        <v>144.11999999999989</v>
      </c>
      <c r="J756" s="6">
        <f>IF(I756&lt;Settings!$B$30,IF(Settings!$B$30-I756&gt;=E756,H756,H756+(Settings!$B$30-I756)+Settings!$B$31),H756+(Settings!$B$33-I756))</f>
        <v>864.11999999999989</v>
      </c>
      <c r="K756" s="6">
        <f t="shared" si="278"/>
        <v>888.13999999999987</v>
      </c>
      <c r="L756" s="6">
        <f t="shared" si="279"/>
        <v>888.13999999999987</v>
      </c>
      <c r="M756" s="6">
        <f t="shared" si="288"/>
        <v>865.49874869708844</v>
      </c>
      <c r="N756" s="6">
        <f t="shared" si="280"/>
        <v>888.13999999999987</v>
      </c>
      <c r="O756" s="6">
        <f>Arrivals!I756</f>
        <v>0.97518923558878867</v>
      </c>
      <c r="P756" s="6">
        <f t="shared" si="281"/>
        <v>889.11518923558867</v>
      </c>
      <c r="Q756" s="6">
        <f t="shared" si="282"/>
        <v>606.11518923558867</v>
      </c>
      <c r="R756" s="6">
        <f t="shared" si="283"/>
        <v>581.11999999999989</v>
      </c>
      <c r="S756" s="6">
        <f t="shared" si="284"/>
        <v>0</v>
      </c>
      <c r="T756" s="6">
        <f t="shared" si="285"/>
        <v>0</v>
      </c>
      <c r="U756" s="6">
        <f t="shared" si="286"/>
        <v>581.11999999999989</v>
      </c>
      <c r="V756" s="6" t="str">
        <f>IF(MOD(C756-Settings!$B$32,Settings!$B$33)&lt;Settings!$B$30,"Up","Down")</f>
        <v>Up</v>
      </c>
      <c r="W756" s="6">
        <f>IF(OR(E756&gt;Settings!$B$30,Q756&gt;Settings!$B$37),0,1)</f>
        <v>1</v>
      </c>
      <c r="X756" s="6">
        <f>IF(AND(W756=1,Q756&lt;=Settings!$B$36),1,0)</f>
        <v>0</v>
      </c>
    </row>
    <row r="757" spans="1:24" x14ac:dyDescent="0.2">
      <c r="A757">
        <f>Arrivals!A757</f>
        <v>7</v>
      </c>
      <c r="B757">
        <f>Arrivals!B757</f>
        <v>32</v>
      </c>
      <c r="C757" s="6">
        <f>Arrivals!F757</f>
        <v>288</v>
      </c>
      <c r="D757" s="6">
        <f>Arrivals!K757</f>
        <v>300</v>
      </c>
      <c r="E757" s="6">
        <f>D757*8/ACE_Input!S37+ACE_Input!T37</f>
        <v>24.02</v>
      </c>
      <c r="F757" s="6">
        <f t="shared" si="276"/>
        <v>288</v>
      </c>
      <c r="G757" s="6">
        <f t="shared" si="287"/>
        <v>888.13999999999987</v>
      </c>
      <c r="H757" s="6">
        <f t="shared" si="277"/>
        <v>888.13999999999987</v>
      </c>
      <c r="I757" s="6">
        <f>MOD(H757-Settings!$B$32,Settings!$B$33)</f>
        <v>168.13999999999987</v>
      </c>
      <c r="J757" s="6">
        <f>IF(I757&lt;Settings!$B$30,IF(Settings!$B$30-I757&gt;=E757,H757,H757+(Settings!$B$30-I757)+Settings!$B$31),H757+(Settings!$B$33-I757))</f>
        <v>888.13999999999987</v>
      </c>
      <c r="K757" s="6">
        <f t="shared" si="278"/>
        <v>912.15999999999985</v>
      </c>
      <c r="L757" s="6">
        <f t="shared" si="279"/>
        <v>912.15999999999985</v>
      </c>
      <c r="M757" s="6">
        <f t="shared" si="288"/>
        <v>889.11518923558867</v>
      </c>
      <c r="N757" s="6">
        <f t="shared" si="280"/>
        <v>912.15999999999985</v>
      </c>
      <c r="O757" s="6">
        <f>Arrivals!I757</f>
        <v>1.1721640097615014</v>
      </c>
      <c r="P757" s="6">
        <f t="shared" si="281"/>
        <v>913.3321640097613</v>
      </c>
      <c r="Q757" s="6">
        <f t="shared" si="282"/>
        <v>625.3321640097613</v>
      </c>
      <c r="R757" s="6">
        <f t="shared" si="283"/>
        <v>600.13999999999987</v>
      </c>
      <c r="S757" s="6">
        <f t="shared" si="284"/>
        <v>0</v>
      </c>
      <c r="T757" s="6">
        <f t="shared" si="285"/>
        <v>0</v>
      </c>
      <c r="U757" s="6">
        <f t="shared" si="286"/>
        <v>600.13999999999987</v>
      </c>
      <c r="V757" s="6" t="str">
        <f>IF(MOD(C757-Settings!$B$32,Settings!$B$33)&lt;Settings!$B$30,"Up","Down")</f>
        <v>Up</v>
      </c>
      <c r="W757" s="6">
        <f>IF(OR(E757&gt;Settings!$B$30,Q757&gt;Settings!$B$37),0,1)</f>
        <v>1</v>
      </c>
      <c r="X757" s="6">
        <f>IF(AND(W757=1,Q757&lt;=Settings!$B$36),1,0)</f>
        <v>0</v>
      </c>
    </row>
    <row r="758" spans="1:24" x14ac:dyDescent="0.2">
      <c r="A758">
        <f>Arrivals!A758</f>
        <v>7</v>
      </c>
      <c r="B758">
        <f>Arrivals!B758</f>
        <v>33</v>
      </c>
      <c r="C758" s="6">
        <f>Arrivals!F758</f>
        <v>293</v>
      </c>
      <c r="D758" s="6">
        <f>Arrivals!K758</f>
        <v>300</v>
      </c>
      <c r="E758" s="6">
        <f>D758*8/ACE_Input!S38+ACE_Input!T38</f>
        <v>24.02</v>
      </c>
      <c r="F758" s="6">
        <f t="shared" ref="F758:F789" si="289">C758</f>
        <v>293</v>
      </c>
      <c r="G758" s="6">
        <f t="shared" si="287"/>
        <v>912.15999999999985</v>
      </c>
      <c r="H758" s="6">
        <f t="shared" ref="H758:H789" si="290">MAX(F758,G758)</f>
        <v>912.15999999999985</v>
      </c>
      <c r="I758" s="6">
        <f>MOD(H758-Settings!$B$32,Settings!$B$33)</f>
        <v>192.15999999999985</v>
      </c>
      <c r="J758" s="6">
        <f>IF(I758&lt;Settings!$B$30,IF(Settings!$B$30-I758&gt;=E758,H758,H758+(Settings!$B$30-I758)+Settings!$B$31),H758+(Settings!$B$33-I758))</f>
        <v>912.15999999999985</v>
      </c>
      <c r="K758" s="6">
        <f t="shared" ref="K758:K789" si="291">J758+E758</f>
        <v>936.17999999999984</v>
      </c>
      <c r="L758" s="6">
        <f t="shared" ref="L758:L789" si="292">K758</f>
        <v>936.17999999999984</v>
      </c>
      <c r="M758" s="6">
        <f t="shared" si="288"/>
        <v>913.3321640097613</v>
      </c>
      <c r="N758" s="6">
        <f t="shared" ref="N758:N789" si="293">MAX(L758,M758)</f>
        <v>936.17999999999984</v>
      </c>
      <c r="O758" s="6">
        <f>Arrivals!I758</f>
        <v>0.51122221223469699</v>
      </c>
      <c r="P758" s="6">
        <f t="shared" ref="P758:P789" si="294">N758+O758</f>
        <v>936.69122221223449</v>
      </c>
      <c r="Q758" s="6">
        <f t="shared" ref="Q758:Q789" si="295">P758-C758</f>
        <v>643.69122221223449</v>
      </c>
      <c r="R758" s="6">
        <f t="shared" ref="R758:R789" si="296">H758-F758</f>
        <v>619.15999999999985</v>
      </c>
      <c r="S758" s="6">
        <f t="shared" ref="S758:S789" si="297">J758-H758</f>
        <v>0</v>
      </c>
      <c r="T758" s="6">
        <f t="shared" ref="T758:T789" si="298">N758-L758</f>
        <v>0</v>
      </c>
      <c r="U758" s="6">
        <f t="shared" ref="U758:U789" si="299">R758+S758+T758</f>
        <v>619.15999999999985</v>
      </c>
      <c r="V758" s="6" t="str">
        <f>IF(MOD(C758-Settings!$B$32,Settings!$B$33)&lt;Settings!$B$30,"Up","Down")</f>
        <v>Up</v>
      </c>
      <c r="W758" s="6">
        <f>IF(OR(E758&gt;Settings!$B$30,Q758&gt;Settings!$B$37),0,1)</f>
        <v>1</v>
      </c>
      <c r="X758" s="6">
        <f>IF(AND(W758=1,Q758&lt;=Settings!$B$36),1,0)</f>
        <v>0</v>
      </c>
    </row>
    <row r="759" spans="1:24" x14ac:dyDescent="0.2">
      <c r="A759">
        <f>Arrivals!A759</f>
        <v>7</v>
      </c>
      <c r="B759">
        <f>Arrivals!B759</f>
        <v>34</v>
      </c>
      <c r="C759" s="6">
        <f>Arrivals!F759</f>
        <v>298</v>
      </c>
      <c r="D759" s="6">
        <f>Arrivals!K759</f>
        <v>300</v>
      </c>
      <c r="E759" s="6">
        <f>D759*8/ACE_Input!S39+ACE_Input!T39</f>
        <v>24.02</v>
      </c>
      <c r="F759" s="6">
        <f t="shared" si="289"/>
        <v>298</v>
      </c>
      <c r="G759" s="6">
        <f t="shared" ref="G759:G790" si="300">K758</f>
        <v>936.17999999999984</v>
      </c>
      <c r="H759" s="6">
        <f t="shared" si="290"/>
        <v>936.17999999999984</v>
      </c>
      <c r="I759" s="6">
        <f>MOD(H759-Settings!$B$32,Settings!$B$33)</f>
        <v>216.17999999999984</v>
      </c>
      <c r="J759" s="6">
        <f>IF(I759&lt;Settings!$B$30,IF(Settings!$B$30-I759&gt;=E759,H759,H759+(Settings!$B$30-I759)+Settings!$B$31),H759+(Settings!$B$33-I759))</f>
        <v>936.17999999999984</v>
      </c>
      <c r="K759" s="6">
        <f t="shared" si="291"/>
        <v>960.19999999999982</v>
      </c>
      <c r="L759" s="6">
        <f t="shared" si="292"/>
        <v>960.19999999999982</v>
      </c>
      <c r="M759" s="6">
        <f t="shared" ref="M759:M790" si="301">P758</f>
        <v>936.69122221223449</v>
      </c>
      <c r="N759" s="6">
        <f t="shared" si="293"/>
        <v>960.19999999999982</v>
      </c>
      <c r="O759" s="6">
        <f>Arrivals!I759</f>
        <v>2.2383476829132096</v>
      </c>
      <c r="P759" s="6">
        <f t="shared" si="294"/>
        <v>962.43834768291299</v>
      </c>
      <c r="Q759" s="6">
        <f t="shared" si="295"/>
        <v>664.43834768291299</v>
      </c>
      <c r="R759" s="6">
        <f t="shared" si="296"/>
        <v>638.17999999999984</v>
      </c>
      <c r="S759" s="6">
        <f t="shared" si="297"/>
        <v>0</v>
      </c>
      <c r="T759" s="6">
        <f t="shared" si="298"/>
        <v>0</v>
      </c>
      <c r="U759" s="6">
        <f t="shared" si="299"/>
        <v>638.17999999999984</v>
      </c>
      <c r="V759" s="6" t="str">
        <f>IF(MOD(C759-Settings!$B$32,Settings!$B$33)&lt;Settings!$B$30,"Up","Down")</f>
        <v>Up</v>
      </c>
      <c r="W759" s="6">
        <f>IF(OR(E759&gt;Settings!$B$30,Q759&gt;Settings!$B$37),0,1)</f>
        <v>1</v>
      </c>
      <c r="X759" s="6">
        <f>IF(AND(W759=1,Q759&lt;=Settings!$B$36),1,0)</f>
        <v>0</v>
      </c>
    </row>
    <row r="760" spans="1:24" x14ac:dyDescent="0.2">
      <c r="A760">
        <f>Arrivals!A760</f>
        <v>7</v>
      </c>
      <c r="B760">
        <f>Arrivals!B760</f>
        <v>35</v>
      </c>
      <c r="C760" s="6">
        <f>Arrivals!F760</f>
        <v>303</v>
      </c>
      <c r="D760" s="6">
        <f>Arrivals!K760</f>
        <v>300</v>
      </c>
      <c r="E760" s="6">
        <f>D760*8/ACE_Input!S40+ACE_Input!T40</f>
        <v>24.02</v>
      </c>
      <c r="F760" s="6">
        <f t="shared" si="289"/>
        <v>303</v>
      </c>
      <c r="G760" s="6">
        <f t="shared" si="300"/>
        <v>960.19999999999982</v>
      </c>
      <c r="H760" s="6">
        <f t="shared" si="290"/>
        <v>960.19999999999982</v>
      </c>
      <c r="I760" s="6">
        <f>MOD(H760-Settings!$B$32,Settings!$B$33)</f>
        <v>240.19999999999982</v>
      </c>
      <c r="J760" s="6">
        <f>IF(I760&lt;Settings!$B$30,IF(Settings!$B$30-I760&gt;=E760,H760,H760+(Settings!$B$30-I760)+Settings!$B$31),H760+(Settings!$B$33-I760))</f>
        <v>960.19999999999982</v>
      </c>
      <c r="K760" s="6">
        <f t="shared" si="291"/>
        <v>984.2199999999998</v>
      </c>
      <c r="L760" s="6">
        <f t="shared" si="292"/>
        <v>984.2199999999998</v>
      </c>
      <c r="M760" s="6">
        <f t="shared" si="301"/>
        <v>962.43834768291299</v>
      </c>
      <c r="N760" s="6">
        <f t="shared" si="293"/>
        <v>984.2199999999998</v>
      </c>
      <c r="O760" s="6">
        <f>Arrivals!I760</f>
        <v>5.1314196713825142</v>
      </c>
      <c r="P760" s="6">
        <f t="shared" si="294"/>
        <v>989.35141967138236</v>
      </c>
      <c r="Q760" s="6">
        <f t="shared" si="295"/>
        <v>686.35141967138236</v>
      </c>
      <c r="R760" s="6">
        <f t="shared" si="296"/>
        <v>657.19999999999982</v>
      </c>
      <c r="S760" s="6">
        <f t="shared" si="297"/>
        <v>0</v>
      </c>
      <c r="T760" s="6">
        <f t="shared" si="298"/>
        <v>0</v>
      </c>
      <c r="U760" s="6">
        <f t="shared" si="299"/>
        <v>657.19999999999982</v>
      </c>
      <c r="V760" s="6" t="str">
        <f>IF(MOD(C760-Settings!$B$32,Settings!$B$33)&lt;Settings!$B$30,"Up","Down")</f>
        <v>Up</v>
      </c>
      <c r="W760" s="6">
        <f>IF(OR(E760&gt;Settings!$B$30,Q760&gt;Settings!$B$37),0,1)</f>
        <v>1</v>
      </c>
      <c r="X760" s="6">
        <f>IF(AND(W760=1,Q760&lt;=Settings!$B$36),1,0)</f>
        <v>0</v>
      </c>
    </row>
    <row r="761" spans="1:24" x14ac:dyDescent="0.2">
      <c r="A761">
        <f>Arrivals!A761</f>
        <v>7</v>
      </c>
      <c r="B761">
        <f>Arrivals!B761</f>
        <v>36</v>
      </c>
      <c r="C761" s="6">
        <f>Arrivals!F761</f>
        <v>308</v>
      </c>
      <c r="D761" s="6">
        <f>Arrivals!K761</f>
        <v>300</v>
      </c>
      <c r="E761" s="6">
        <f>D761*8/ACE_Input!S41+ACE_Input!T41</f>
        <v>24.02</v>
      </c>
      <c r="F761" s="6">
        <f t="shared" si="289"/>
        <v>308</v>
      </c>
      <c r="G761" s="6">
        <f t="shared" si="300"/>
        <v>984.2199999999998</v>
      </c>
      <c r="H761" s="6">
        <f t="shared" si="290"/>
        <v>984.2199999999998</v>
      </c>
      <c r="I761" s="6">
        <f>MOD(H761-Settings!$B$32,Settings!$B$33)</f>
        <v>264.2199999999998</v>
      </c>
      <c r="J761" s="6">
        <f>IF(I761&lt;Settings!$B$30,IF(Settings!$B$30-I761&gt;=E761,H761,H761+(Settings!$B$30-I761)+Settings!$B$31),H761+(Settings!$B$33-I761))</f>
        <v>984.2199999999998</v>
      </c>
      <c r="K761" s="6">
        <f t="shared" si="291"/>
        <v>1008.2399999999998</v>
      </c>
      <c r="L761" s="6">
        <f t="shared" si="292"/>
        <v>1008.2399999999998</v>
      </c>
      <c r="M761" s="6">
        <f t="shared" si="301"/>
        <v>989.35141967138236</v>
      </c>
      <c r="N761" s="6">
        <f t="shared" si="293"/>
        <v>1008.2399999999998</v>
      </c>
      <c r="O761" s="6">
        <f>Arrivals!I761</f>
        <v>1.717102233698335</v>
      </c>
      <c r="P761" s="6">
        <f t="shared" si="294"/>
        <v>1009.9571022336982</v>
      </c>
      <c r="Q761" s="6">
        <f t="shared" si="295"/>
        <v>701.95710223369815</v>
      </c>
      <c r="R761" s="6">
        <f t="shared" si="296"/>
        <v>676.2199999999998</v>
      </c>
      <c r="S761" s="6">
        <f t="shared" si="297"/>
        <v>0</v>
      </c>
      <c r="T761" s="6">
        <f t="shared" si="298"/>
        <v>0</v>
      </c>
      <c r="U761" s="6">
        <f t="shared" si="299"/>
        <v>676.2199999999998</v>
      </c>
      <c r="V761" s="6" t="str">
        <f>IF(MOD(C761-Settings!$B$32,Settings!$B$33)&lt;Settings!$B$30,"Up","Down")</f>
        <v>Up</v>
      </c>
      <c r="W761" s="6">
        <f>IF(OR(E761&gt;Settings!$B$30,Q761&gt;Settings!$B$37),0,1)</f>
        <v>1</v>
      </c>
      <c r="X761" s="6">
        <f>IF(AND(W761=1,Q761&lt;=Settings!$B$36),1,0)</f>
        <v>0</v>
      </c>
    </row>
    <row r="762" spans="1:24" x14ac:dyDescent="0.2">
      <c r="A762">
        <f>Arrivals!A762</f>
        <v>7</v>
      </c>
      <c r="B762">
        <f>Arrivals!B762</f>
        <v>37</v>
      </c>
      <c r="C762" s="6">
        <f>Arrivals!F762</f>
        <v>313</v>
      </c>
      <c r="D762" s="6">
        <f>Arrivals!K762</f>
        <v>300</v>
      </c>
      <c r="E762" s="6">
        <f>D762*8/ACE_Input!S42+ACE_Input!T42</f>
        <v>24.02</v>
      </c>
      <c r="F762" s="6">
        <f t="shared" si="289"/>
        <v>313</v>
      </c>
      <c r="G762" s="6">
        <f t="shared" si="300"/>
        <v>1008.2399999999998</v>
      </c>
      <c r="H762" s="6">
        <f t="shared" si="290"/>
        <v>1008.2399999999998</v>
      </c>
      <c r="I762" s="6">
        <f>MOD(H762-Settings!$B$32,Settings!$B$33)</f>
        <v>288.23999999999978</v>
      </c>
      <c r="J762" s="6">
        <f>IF(I762&lt;Settings!$B$30,IF(Settings!$B$30-I762&gt;=E762,H762,H762+(Settings!$B$30-I762)+Settings!$B$31),H762+(Settings!$B$33-I762))</f>
        <v>1008.2399999999998</v>
      </c>
      <c r="K762" s="6">
        <f t="shared" si="291"/>
        <v>1032.2599999999998</v>
      </c>
      <c r="L762" s="6">
        <f t="shared" si="292"/>
        <v>1032.2599999999998</v>
      </c>
      <c r="M762" s="6">
        <f t="shared" si="301"/>
        <v>1009.9571022336982</v>
      </c>
      <c r="N762" s="6">
        <f t="shared" si="293"/>
        <v>1032.2599999999998</v>
      </c>
      <c r="O762" s="6">
        <f>Arrivals!I762</f>
        <v>14.077028491121707</v>
      </c>
      <c r="P762" s="6">
        <f t="shared" si="294"/>
        <v>1046.3370284911214</v>
      </c>
      <c r="Q762" s="6">
        <f t="shared" si="295"/>
        <v>733.33702849112137</v>
      </c>
      <c r="R762" s="6">
        <f t="shared" si="296"/>
        <v>695.23999999999978</v>
      </c>
      <c r="S762" s="6">
        <f t="shared" si="297"/>
        <v>0</v>
      </c>
      <c r="T762" s="6">
        <f t="shared" si="298"/>
        <v>0</v>
      </c>
      <c r="U762" s="6">
        <f t="shared" si="299"/>
        <v>695.23999999999978</v>
      </c>
      <c r="V762" s="6" t="str">
        <f>IF(MOD(C762-Settings!$B$32,Settings!$B$33)&lt;Settings!$B$30,"Up","Down")</f>
        <v>Up</v>
      </c>
      <c r="W762" s="6">
        <f>IF(OR(E762&gt;Settings!$B$30,Q762&gt;Settings!$B$37),0,1)</f>
        <v>1</v>
      </c>
      <c r="X762" s="6">
        <f>IF(AND(W762=1,Q762&lt;=Settings!$B$36),1,0)</f>
        <v>0</v>
      </c>
    </row>
    <row r="763" spans="1:24" x14ac:dyDescent="0.2">
      <c r="A763">
        <f>Arrivals!A763</f>
        <v>7</v>
      </c>
      <c r="B763">
        <f>Arrivals!B763</f>
        <v>38</v>
      </c>
      <c r="C763" s="6">
        <f>Arrivals!F763</f>
        <v>318</v>
      </c>
      <c r="D763" s="6">
        <f>Arrivals!K763</f>
        <v>300</v>
      </c>
      <c r="E763" s="6">
        <f>D763*8/ACE_Input!S43+ACE_Input!T43</f>
        <v>24.02</v>
      </c>
      <c r="F763" s="6">
        <f t="shared" si="289"/>
        <v>318</v>
      </c>
      <c r="G763" s="6">
        <f t="shared" si="300"/>
        <v>1032.2599999999998</v>
      </c>
      <c r="H763" s="6">
        <f t="shared" si="290"/>
        <v>1032.2599999999998</v>
      </c>
      <c r="I763" s="6">
        <f>MOD(H763-Settings!$B$32,Settings!$B$33)</f>
        <v>312.25999999999976</v>
      </c>
      <c r="J763" s="6">
        <f>IF(I763&lt;Settings!$B$30,IF(Settings!$B$30-I763&gt;=E763,H763,H763+(Settings!$B$30-I763)+Settings!$B$31),H763+(Settings!$B$33-I763))</f>
        <v>1032.2599999999998</v>
      </c>
      <c r="K763" s="6">
        <f t="shared" si="291"/>
        <v>1056.2799999999997</v>
      </c>
      <c r="L763" s="6">
        <f t="shared" si="292"/>
        <v>1056.2799999999997</v>
      </c>
      <c r="M763" s="6">
        <f t="shared" si="301"/>
        <v>1046.3370284911214</v>
      </c>
      <c r="N763" s="6">
        <f t="shared" si="293"/>
        <v>1056.2799999999997</v>
      </c>
      <c r="O763" s="6">
        <f>Arrivals!I763</f>
        <v>0.66228715261444793</v>
      </c>
      <c r="P763" s="6">
        <f t="shared" si="294"/>
        <v>1056.9422871526142</v>
      </c>
      <c r="Q763" s="6">
        <f t="shared" si="295"/>
        <v>738.9422871526142</v>
      </c>
      <c r="R763" s="6">
        <f t="shared" si="296"/>
        <v>714.25999999999976</v>
      </c>
      <c r="S763" s="6">
        <f t="shared" si="297"/>
        <v>0</v>
      </c>
      <c r="T763" s="6">
        <f t="shared" si="298"/>
        <v>0</v>
      </c>
      <c r="U763" s="6">
        <f t="shared" si="299"/>
        <v>714.25999999999976</v>
      </c>
      <c r="V763" s="6" t="str">
        <f>IF(MOD(C763-Settings!$B$32,Settings!$B$33)&lt;Settings!$B$30,"Up","Down")</f>
        <v>Up</v>
      </c>
      <c r="W763" s="6">
        <f>IF(OR(E763&gt;Settings!$B$30,Q763&gt;Settings!$B$37),0,1)</f>
        <v>1</v>
      </c>
      <c r="X763" s="6">
        <f>IF(AND(W763=1,Q763&lt;=Settings!$B$36),1,0)</f>
        <v>0</v>
      </c>
    </row>
    <row r="764" spans="1:24" x14ac:dyDescent="0.2">
      <c r="A764">
        <f>Arrivals!A764</f>
        <v>7</v>
      </c>
      <c r="B764">
        <f>Arrivals!B764</f>
        <v>39</v>
      </c>
      <c r="C764" s="6">
        <f>Arrivals!F764</f>
        <v>323</v>
      </c>
      <c r="D764" s="6">
        <f>Arrivals!K764</f>
        <v>300</v>
      </c>
      <c r="E764" s="6">
        <f>D764*8/ACE_Input!S44+ACE_Input!T44</f>
        <v>24.02</v>
      </c>
      <c r="F764" s="6">
        <f t="shared" si="289"/>
        <v>323</v>
      </c>
      <c r="G764" s="6">
        <f t="shared" si="300"/>
        <v>1056.2799999999997</v>
      </c>
      <c r="H764" s="6">
        <f t="shared" si="290"/>
        <v>1056.2799999999997</v>
      </c>
      <c r="I764" s="6">
        <f>MOD(H764-Settings!$B$32,Settings!$B$33)</f>
        <v>336.27999999999975</v>
      </c>
      <c r="J764" s="6">
        <f>IF(I764&lt;Settings!$B$30,IF(Settings!$B$30-I764&gt;=E764,H764,H764+(Settings!$B$30-I764)+Settings!$B$31),H764+(Settings!$B$33-I764))</f>
        <v>1056.2799999999997</v>
      </c>
      <c r="K764" s="6">
        <f t="shared" si="291"/>
        <v>1080.2999999999997</v>
      </c>
      <c r="L764" s="6">
        <f t="shared" si="292"/>
        <v>1080.2999999999997</v>
      </c>
      <c r="M764" s="6">
        <f t="shared" si="301"/>
        <v>1056.9422871526142</v>
      </c>
      <c r="N764" s="6">
        <f t="shared" si="293"/>
        <v>1080.2999999999997</v>
      </c>
      <c r="O764" s="6">
        <f>Arrivals!I764</f>
        <v>3.6301334265883565</v>
      </c>
      <c r="P764" s="6">
        <f t="shared" si="294"/>
        <v>1083.9301334265881</v>
      </c>
      <c r="Q764" s="6">
        <f t="shared" si="295"/>
        <v>760.9301334265881</v>
      </c>
      <c r="R764" s="6">
        <f t="shared" si="296"/>
        <v>733.27999999999975</v>
      </c>
      <c r="S764" s="6">
        <f t="shared" si="297"/>
        <v>0</v>
      </c>
      <c r="T764" s="6">
        <f t="shared" si="298"/>
        <v>0</v>
      </c>
      <c r="U764" s="6">
        <f t="shared" si="299"/>
        <v>733.27999999999975</v>
      </c>
      <c r="V764" s="6" t="str">
        <f>IF(MOD(C764-Settings!$B$32,Settings!$B$33)&lt;Settings!$B$30,"Up","Down")</f>
        <v>Up</v>
      </c>
      <c r="W764" s="6">
        <f>IF(OR(E764&gt;Settings!$B$30,Q764&gt;Settings!$B$37),0,1)</f>
        <v>1</v>
      </c>
      <c r="X764" s="6">
        <f>IF(AND(W764=1,Q764&lt;=Settings!$B$36),1,0)</f>
        <v>0</v>
      </c>
    </row>
    <row r="765" spans="1:24" x14ac:dyDescent="0.2">
      <c r="A765">
        <f>Arrivals!A765</f>
        <v>7</v>
      </c>
      <c r="B765">
        <f>Arrivals!B765</f>
        <v>40</v>
      </c>
      <c r="C765" s="6">
        <f>Arrivals!F765</f>
        <v>328</v>
      </c>
      <c r="D765" s="6">
        <f>Arrivals!K765</f>
        <v>300</v>
      </c>
      <c r="E765" s="6">
        <f>D765*8/ACE_Input!S45+ACE_Input!T45</f>
        <v>24.02</v>
      </c>
      <c r="F765" s="6">
        <f t="shared" si="289"/>
        <v>328</v>
      </c>
      <c r="G765" s="6">
        <f t="shared" si="300"/>
        <v>1080.2999999999997</v>
      </c>
      <c r="H765" s="6">
        <f t="shared" si="290"/>
        <v>1080.2999999999997</v>
      </c>
      <c r="I765" s="6">
        <f>MOD(H765-Settings!$B$32,Settings!$B$33)</f>
        <v>360.29999999999973</v>
      </c>
      <c r="J765" s="6">
        <f>IF(I765&lt;Settings!$B$30,IF(Settings!$B$30-I765&gt;=E765,H765,H765+(Settings!$B$30-I765)+Settings!$B$31),H765+(Settings!$B$33-I765))</f>
        <v>1080.2999999999997</v>
      </c>
      <c r="K765" s="6">
        <f t="shared" si="291"/>
        <v>1104.3199999999997</v>
      </c>
      <c r="L765" s="6">
        <f t="shared" si="292"/>
        <v>1104.3199999999997</v>
      </c>
      <c r="M765" s="6">
        <f t="shared" si="301"/>
        <v>1083.9301334265881</v>
      </c>
      <c r="N765" s="6">
        <f t="shared" si="293"/>
        <v>1104.3199999999997</v>
      </c>
      <c r="O765" s="6">
        <f>Arrivals!I765</f>
        <v>0.2789973467353245</v>
      </c>
      <c r="P765" s="6">
        <f t="shared" si="294"/>
        <v>1104.5989973467351</v>
      </c>
      <c r="Q765" s="6">
        <f t="shared" si="295"/>
        <v>776.59899734673513</v>
      </c>
      <c r="R765" s="6">
        <f t="shared" si="296"/>
        <v>752.29999999999973</v>
      </c>
      <c r="S765" s="6">
        <f t="shared" si="297"/>
        <v>0</v>
      </c>
      <c r="T765" s="6">
        <f t="shared" si="298"/>
        <v>0</v>
      </c>
      <c r="U765" s="6">
        <f t="shared" si="299"/>
        <v>752.29999999999973</v>
      </c>
      <c r="V765" s="6" t="str">
        <f>IF(MOD(C765-Settings!$B$32,Settings!$B$33)&lt;Settings!$B$30,"Up","Down")</f>
        <v>Up</v>
      </c>
      <c r="W765" s="6">
        <f>IF(OR(E765&gt;Settings!$B$30,Q765&gt;Settings!$B$37),0,1)</f>
        <v>1</v>
      </c>
      <c r="X765" s="6">
        <f>IF(AND(W765=1,Q765&lt;=Settings!$B$36),1,0)</f>
        <v>0</v>
      </c>
    </row>
    <row r="766" spans="1:24" x14ac:dyDescent="0.2">
      <c r="A766">
        <f>Arrivals!A766</f>
        <v>7</v>
      </c>
      <c r="B766">
        <f>Arrivals!B766</f>
        <v>41</v>
      </c>
      <c r="C766" s="6">
        <f>Arrivals!F766</f>
        <v>333</v>
      </c>
      <c r="D766" s="6">
        <f>Arrivals!K766</f>
        <v>300</v>
      </c>
      <c r="E766" s="6">
        <f>D766*8/ACE_Input!S46+ACE_Input!T46</f>
        <v>24.02</v>
      </c>
      <c r="F766" s="6">
        <f t="shared" si="289"/>
        <v>333</v>
      </c>
      <c r="G766" s="6">
        <f t="shared" si="300"/>
        <v>1104.3199999999997</v>
      </c>
      <c r="H766" s="6">
        <f t="shared" si="290"/>
        <v>1104.3199999999997</v>
      </c>
      <c r="I766" s="6">
        <f>MOD(H766-Settings!$B$32,Settings!$B$33)</f>
        <v>384.31999999999971</v>
      </c>
      <c r="J766" s="6">
        <f>IF(I766&lt;Settings!$B$30,IF(Settings!$B$30-I766&gt;=E766,H766,H766+(Settings!$B$30-I766)+Settings!$B$31),H766+(Settings!$B$33-I766))</f>
        <v>1104.3199999999997</v>
      </c>
      <c r="K766" s="6">
        <f t="shared" si="291"/>
        <v>1128.3399999999997</v>
      </c>
      <c r="L766" s="6">
        <f t="shared" si="292"/>
        <v>1128.3399999999997</v>
      </c>
      <c r="M766" s="6">
        <f t="shared" si="301"/>
        <v>1104.5989973467351</v>
      </c>
      <c r="N766" s="6">
        <f t="shared" si="293"/>
        <v>1128.3399999999997</v>
      </c>
      <c r="O766" s="6">
        <f>Arrivals!I766</f>
        <v>1.5929418015618315</v>
      </c>
      <c r="P766" s="6">
        <f t="shared" si="294"/>
        <v>1129.9329418015616</v>
      </c>
      <c r="Q766" s="6">
        <f t="shared" si="295"/>
        <v>796.93294180156158</v>
      </c>
      <c r="R766" s="6">
        <f t="shared" si="296"/>
        <v>771.31999999999971</v>
      </c>
      <c r="S766" s="6">
        <f t="shared" si="297"/>
        <v>0</v>
      </c>
      <c r="T766" s="6">
        <f t="shared" si="298"/>
        <v>0</v>
      </c>
      <c r="U766" s="6">
        <f t="shared" si="299"/>
        <v>771.31999999999971</v>
      </c>
      <c r="V766" s="6" t="str">
        <f>IF(MOD(C766-Settings!$B$32,Settings!$B$33)&lt;Settings!$B$30,"Up","Down")</f>
        <v>Up</v>
      </c>
      <c r="W766" s="6">
        <f>IF(OR(E766&gt;Settings!$B$30,Q766&gt;Settings!$B$37),0,1)</f>
        <v>1</v>
      </c>
      <c r="X766" s="6">
        <f>IF(AND(W766=1,Q766&lt;=Settings!$B$36),1,0)</f>
        <v>0</v>
      </c>
    </row>
    <row r="767" spans="1:24" x14ac:dyDescent="0.2">
      <c r="A767">
        <f>Arrivals!A767</f>
        <v>7</v>
      </c>
      <c r="B767">
        <f>Arrivals!B767</f>
        <v>42</v>
      </c>
      <c r="C767" s="6">
        <f>Arrivals!F767</f>
        <v>338</v>
      </c>
      <c r="D767" s="6">
        <f>Arrivals!K767</f>
        <v>300</v>
      </c>
      <c r="E767" s="6">
        <f>D767*8/ACE_Input!S47+ACE_Input!T47</f>
        <v>24.02</v>
      </c>
      <c r="F767" s="6">
        <f t="shared" si="289"/>
        <v>338</v>
      </c>
      <c r="G767" s="6">
        <f t="shared" si="300"/>
        <v>1128.3399999999997</v>
      </c>
      <c r="H767" s="6">
        <f t="shared" si="290"/>
        <v>1128.3399999999997</v>
      </c>
      <c r="I767" s="6">
        <f>MOD(H767-Settings!$B$32,Settings!$B$33)</f>
        <v>408.33999999999969</v>
      </c>
      <c r="J767" s="6">
        <f>IF(I767&lt;Settings!$B$30,IF(Settings!$B$30-I767&gt;=E767,H767,H767+(Settings!$B$30-I767)+Settings!$B$31),H767+(Settings!$B$33-I767))</f>
        <v>1128.3399999999997</v>
      </c>
      <c r="K767" s="6">
        <f t="shared" si="291"/>
        <v>1152.3599999999997</v>
      </c>
      <c r="L767" s="6">
        <f t="shared" si="292"/>
        <v>1152.3599999999997</v>
      </c>
      <c r="M767" s="6">
        <f t="shared" si="301"/>
        <v>1129.9329418015616</v>
      </c>
      <c r="N767" s="6">
        <f t="shared" si="293"/>
        <v>1152.3599999999997</v>
      </c>
      <c r="O767" s="6">
        <f>Arrivals!I767</f>
        <v>0.13794784532651524</v>
      </c>
      <c r="P767" s="6">
        <f t="shared" si="294"/>
        <v>1152.4979478453263</v>
      </c>
      <c r="Q767" s="6">
        <f t="shared" si="295"/>
        <v>814.49794784532628</v>
      </c>
      <c r="R767" s="6">
        <f t="shared" si="296"/>
        <v>790.33999999999969</v>
      </c>
      <c r="S767" s="6">
        <f t="shared" si="297"/>
        <v>0</v>
      </c>
      <c r="T767" s="6">
        <f t="shared" si="298"/>
        <v>0</v>
      </c>
      <c r="U767" s="6">
        <f t="shared" si="299"/>
        <v>790.33999999999969</v>
      </c>
      <c r="V767" s="6" t="str">
        <f>IF(MOD(C767-Settings!$B$32,Settings!$B$33)&lt;Settings!$B$30,"Up","Down")</f>
        <v>Up</v>
      </c>
      <c r="W767" s="6">
        <f>IF(OR(E767&gt;Settings!$B$30,Q767&gt;Settings!$B$37),0,1)</f>
        <v>1</v>
      </c>
      <c r="X767" s="6">
        <f>IF(AND(W767=1,Q767&lt;=Settings!$B$36),1,0)</f>
        <v>0</v>
      </c>
    </row>
    <row r="768" spans="1:24" x14ac:dyDescent="0.2">
      <c r="A768">
        <f>Arrivals!A768</f>
        <v>7</v>
      </c>
      <c r="B768">
        <f>Arrivals!B768</f>
        <v>43</v>
      </c>
      <c r="C768" s="6">
        <f>Arrivals!F768</f>
        <v>343</v>
      </c>
      <c r="D768" s="6">
        <f>Arrivals!K768</f>
        <v>300</v>
      </c>
      <c r="E768" s="6">
        <f>D768*8/ACE_Input!S48+ACE_Input!T48</f>
        <v>24.02</v>
      </c>
      <c r="F768" s="6">
        <f t="shared" si="289"/>
        <v>343</v>
      </c>
      <c r="G768" s="6">
        <f t="shared" si="300"/>
        <v>1152.3599999999997</v>
      </c>
      <c r="H768" s="6">
        <f t="shared" si="290"/>
        <v>1152.3599999999997</v>
      </c>
      <c r="I768" s="6">
        <f>MOD(H768-Settings!$B$32,Settings!$B$33)</f>
        <v>432.35999999999967</v>
      </c>
      <c r="J768" s="6">
        <f>IF(I768&lt;Settings!$B$30,IF(Settings!$B$30-I768&gt;=E768,H768,H768+(Settings!$B$30-I768)+Settings!$B$31),H768+(Settings!$B$33-I768))</f>
        <v>1152.3599999999997</v>
      </c>
      <c r="K768" s="6">
        <f t="shared" si="291"/>
        <v>1176.3799999999997</v>
      </c>
      <c r="L768" s="6">
        <f t="shared" si="292"/>
        <v>1176.3799999999997</v>
      </c>
      <c r="M768" s="6">
        <f t="shared" si="301"/>
        <v>1152.4979478453263</v>
      </c>
      <c r="N768" s="6">
        <f t="shared" si="293"/>
        <v>1176.3799999999997</v>
      </c>
      <c r="O768" s="6">
        <f>Arrivals!I768</f>
        <v>5.4124294315556432</v>
      </c>
      <c r="P768" s="6">
        <f t="shared" si="294"/>
        <v>1181.7924294315553</v>
      </c>
      <c r="Q768" s="6">
        <f t="shared" si="295"/>
        <v>838.79242943155532</v>
      </c>
      <c r="R768" s="6">
        <f t="shared" si="296"/>
        <v>809.35999999999967</v>
      </c>
      <c r="S768" s="6">
        <f t="shared" si="297"/>
        <v>0</v>
      </c>
      <c r="T768" s="6">
        <f t="shared" si="298"/>
        <v>0</v>
      </c>
      <c r="U768" s="6">
        <f t="shared" si="299"/>
        <v>809.35999999999967</v>
      </c>
      <c r="V768" s="6" t="str">
        <f>IF(MOD(C768-Settings!$B$32,Settings!$B$33)&lt;Settings!$B$30,"Up","Down")</f>
        <v>Up</v>
      </c>
      <c r="W768" s="6">
        <f>IF(OR(E768&gt;Settings!$B$30,Q768&gt;Settings!$B$37),0,1)</f>
        <v>1</v>
      </c>
      <c r="X768" s="6">
        <f>IF(AND(W768=1,Q768&lt;=Settings!$B$36),1,0)</f>
        <v>0</v>
      </c>
    </row>
    <row r="769" spans="1:24" x14ac:dyDescent="0.2">
      <c r="A769">
        <f>Arrivals!A769</f>
        <v>7</v>
      </c>
      <c r="B769">
        <f>Arrivals!B769</f>
        <v>44</v>
      </c>
      <c r="C769" s="6">
        <f>Arrivals!F769</f>
        <v>348</v>
      </c>
      <c r="D769" s="6">
        <f>Arrivals!K769</f>
        <v>300</v>
      </c>
      <c r="E769" s="6">
        <f>D769*8/ACE_Input!S49+ACE_Input!T49</f>
        <v>24.02</v>
      </c>
      <c r="F769" s="6">
        <f t="shared" si="289"/>
        <v>348</v>
      </c>
      <c r="G769" s="6">
        <f t="shared" si="300"/>
        <v>1176.3799999999997</v>
      </c>
      <c r="H769" s="6">
        <f t="shared" si="290"/>
        <v>1176.3799999999997</v>
      </c>
      <c r="I769" s="6">
        <f>MOD(H769-Settings!$B$32,Settings!$B$33)</f>
        <v>456.37999999999965</v>
      </c>
      <c r="J769" s="6">
        <f>IF(I769&lt;Settings!$B$30,IF(Settings!$B$30-I769&gt;=E769,H769,H769+(Settings!$B$30-I769)+Settings!$B$31),H769+(Settings!$B$33-I769))</f>
        <v>1176.3799999999997</v>
      </c>
      <c r="K769" s="6">
        <f t="shared" si="291"/>
        <v>1200.3999999999996</v>
      </c>
      <c r="L769" s="6">
        <f t="shared" si="292"/>
        <v>1200.3999999999996</v>
      </c>
      <c r="M769" s="6">
        <f t="shared" si="301"/>
        <v>1181.7924294315553</v>
      </c>
      <c r="N769" s="6">
        <f t="shared" si="293"/>
        <v>1200.3999999999996</v>
      </c>
      <c r="O769" s="6">
        <f>Arrivals!I769</f>
        <v>2.5157569887778566</v>
      </c>
      <c r="P769" s="6">
        <f t="shared" si="294"/>
        <v>1202.9157569887775</v>
      </c>
      <c r="Q769" s="6">
        <f t="shared" si="295"/>
        <v>854.9157569887775</v>
      </c>
      <c r="R769" s="6">
        <f t="shared" si="296"/>
        <v>828.37999999999965</v>
      </c>
      <c r="S769" s="6">
        <f t="shared" si="297"/>
        <v>0</v>
      </c>
      <c r="T769" s="6">
        <f t="shared" si="298"/>
        <v>0</v>
      </c>
      <c r="U769" s="6">
        <f t="shared" si="299"/>
        <v>828.37999999999965</v>
      </c>
      <c r="V769" s="6" t="str">
        <f>IF(MOD(C769-Settings!$B$32,Settings!$B$33)&lt;Settings!$B$30,"Up","Down")</f>
        <v>Up</v>
      </c>
      <c r="W769" s="6">
        <f>IF(OR(E769&gt;Settings!$B$30,Q769&gt;Settings!$B$37),0,1)</f>
        <v>1</v>
      </c>
      <c r="X769" s="6">
        <f>IF(AND(W769=1,Q769&lt;=Settings!$B$36),1,0)</f>
        <v>0</v>
      </c>
    </row>
    <row r="770" spans="1:24" x14ac:dyDescent="0.2">
      <c r="A770">
        <f>Arrivals!A770</f>
        <v>7</v>
      </c>
      <c r="B770">
        <f>Arrivals!B770</f>
        <v>45</v>
      </c>
      <c r="C770" s="6">
        <f>Arrivals!F770</f>
        <v>354</v>
      </c>
      <c r="D770" s="6">
        <f>Arrivals!K770</f>
        <v>300</v>
      </c>
      <c r="E770" s="6">
        <f>D770*8/ACE_Input!S50+ACE_Input!T50</f>
        <v>24.02</v>
      </c>
      <c r="F770" s="6">
        <f t="shared" si="289"/>
        <v>354</v>
      </c>
      <c r="G770" s="6">
        <f t="shared" si="300"/>
        <v>1200.3999999999996</v>
      </c>
      <c r="H770" s="6">
        <f t="shared" si="290"/>
        <v>1200.3999999999996</v>
      </c>
      <c r="I770" s="6">
        <f>MOD(H770-Settings!$B$32,Settings!$B$33)</f>
        <v>480.39999999999964</v>
      </c>
      <c r="J770" s="6">
        <f>IF(I770&lt;Settings!$B$30,IF(Settings!$B$30-I770&gt;=E770,H770,H770+(Settings!$B$30-I770)+Settings!$B$31),H770+(Settings!$B$33-I770))</f>
        <v>1200.3999999999996</v>
      </c>
      <c r="K770" s="6">
        <f t="shared" si="291"/>
        <v>1224.4199999999996</v>
      </c>
      <c r="L770" s="6">
        <f t="shared" si="292"/>
        <v>1224.4199999999996</v>
      </c>
      <c r="M770" s="6">
        <f t="shared" si="301"/>
        <v>1202.9157569887775</v>
      </c>
      <c r="N770" s="6">
        <f t="shared" si="293"/>
        <v>1224.4199999999996</v>
      </c>
      <c r="O770" s="6">
        <f>Arrivals!I770</f>
        <v>1.0427458856718801</v>
      </c>
      <c r="P770" s="6">
        <f t="shared" si="294"/>
        <v>1225.4627458856714</v>
      </c>
      <c r="Q770" s="6">
        <f t="shared" si="295"/>
        <v>871.46274588567144</v>
      </c>
      <c r="R770" s="6">
        <f t="shared" si="296"/>
        <v>846.39999999999964</v>
      </c>
      <c r="S770" s="6">
        <f t="shared" si="297"/>
        <v>0</v>
      </c>
      <c r="T770" s="6">
        <f t="shared" si="298"/>
        <v>0</v>
      </c>
      <c r="U770" s="6">
        <f t="shared" si="299"/>
        <v>846.39999999999964</v>
      </c>
      <c r="V770" s="6" t="str">
        <f>IF(MOD(C770-Settings!$B$32,Settings!$B$33)&lt;Settings!$B$30,"Up","Down")</f>
        <v>Up</v>
      </c>
      <c r="W770" s="6">
        <f>IF(OR(E770&gt;Settings!$B$30,Q770&gt;Settings!$B$37),0,1)</f>
        <v>1</v>
      </c>
      <c r="X770" s="6">
        <f>IF(AND(W770=1,Q770&lt;=Settings!$B$36),1,0)</f>
        <v>0</v>
      </c>
    </row>
    <row r="771" spans="1:24" x14ac:dyDescent="0.2">
      <c r="A771">
        <f>Arrivals!A771</f>
        <v>7</v>
      </c>
      <c r="B771">
        <f>Arrivals!B771</f>
        <v>46</v>
      </c>
      <c r="C771" s="6">
        <f>Arrivals!F771</f>
        <v>359</v>
      </c>
      <c r="D771" s="6">
        <f>Arrivals!K771</f>
        <v>300</v>
      </c>
      <c r="E771" s="6">
        <f>D771*8/ACE_Input!S51+ACE_Input!T51</f>
        <v>24.02</v>
      </c>
      <c r="F771" s="6">
        <f t="shared" si="289"/>
        <v>359</v>
      </c>
      <c r="G771" s="6">
        <f t="shared" si="300"/>
        <v>1224.4199999999996</v>
      </c>
      <c r="H771" s="6">
        <f t="shared" si="290"/>
        <v>1224.4199999999996</v>
      </c>
      <c r="I771" s="6">
        <f>MOD(H771-Settings!$B$32,Settings!$B$33)</f>
        <v>504.41999999999962</v>
      </c>
      <c r="J771" s="6">
        <f>IF(I771&lt;Settings!$B$30,IF(Settings!$B$30-I771&gt;=E771,H771,H771+(Settings!$B$30-I771)+Settings!$B$31),H771+(Settings!$B$33-I771))</f>
        <v>1224.4199999999996</v>
      </c>
      <c r="K771" s="6">
        <f t="shared" si="291"/>
        <v>1248.4399999999996</v>
      </c>
      <c r="L771" s="6">
        <f t="shared" si="292"/>
        <v>1248.4399999999996</v>
      </c>
      <c r="M771" s="6">
        <f t="shared" si="301"/>
        <v>1225.4627458856714</v>
      </c>
      <c r="N771" s="6">
        <f t="shared" si="293"/>
        <v>1248.4399999999996</v>
      </c>
      <c r="O771" s="6">
        <f>Arrivals!I771</f>
        <v>7.0637050808058026</v>
      </c>
      <c r="P771" s="6">
        <f t="shared" si="294"/>
        <v>1255.5037050808055</v>
      </c>
      <c r="Q771" s="6">
        <f t="shared" si="295"/>
        <v>896.5037050808055</v>
      </c>
      <c r="R771" s="6">
        <f t="shared" si="296"/>
        <v>865.41999999999962</v>
      </c>
      <c r="S771" s="6">
        <f t="shared" si="297"/>
        <v>0</v>
      </c>
      <c r="T771" s="6">
        <f t="shared" si="298"/>
        <v>0</v>
      </c>
      <c r="U771" s="6">
        <f t="shared" si="299"/>
        <v>865.41999999999962</v>
      </c>
      <c r="V771" s="6" t="str">
        <f>IF(MOD(C771-Settings!$B$32,Settings!$B$33)&lt;Settings!$B$30,"Up","Down")</f>
        <v>Up</v>
      </c>
      <c r="W771" s="6">
        <f>IF(OR(E771&gt;Settings!$B$30,Q771&gt;Settings!$B$37),0,1)</f>
        <v>1</v>
      </c>
      <c r="X771" s="6">
        <f>IF(AND(W771=1,Q771&lt;=Settings!$B$36),1,0)</f>
        <v>0</v>
      </c>
    </row>
    <row r="772" spans="1:24" x14ac:dyDescent="0.2">
      <c r="A772">
        <f>Arrivals!A772</f>
        <v>7</v>
      </c>
      <c r="B772">
        <f>Arrivals!B772</f>
        <v>47</v>
      </c>
      <c r="C772" s="6">
        <f>Arrivals!F772</f>
        <v>364</v>
      </c>
      <c r="D772" s="6">
        <f>Arrivals!K772</f>
        <v>300</v>
      </c>
      <c r="E772" s="6">
        <f>D772*8/ACE_Input!S52+ACE_Input!T52</f>
        <v>24.02</v>
      </c>
      <c r="F772" s="6">
        <f t="shared" si="289"/>
        <v>364</v>
      </c>
      <c r="G772" s="6">
        <f t="shared" si="300"/>
        <v>1248.4399999999996</v>
      </c>
      <c r="H772" s="6">
        <f t="shared" si="290"/>
        <v>1248.4399999999996</v>
      </c>
      <c r="I772" s="6">
        <f>MOD(H772-Settings!$B$32,Settings!$B$33)</f>
        <v>528.4399999999996</v>
      </c>
      <c r="J772" s="6">
        <f>IF(I772&lt;Settings!$B$30,IF(Settings!$B$30-I772&gt;=E772,H772,H772+(Settings!$B$30-I772)+Settings!$B$31),H772+(Settings!$B$33-I772))</f>
        <v>1248.4399999999996</v>
      </c>
      <c r="K772" s="6">
        <f t="shared" si="291"/>
        <v>1272.4599999999996</v>
      </c>
      <c r="L772" s="6">
        <f t="shared" si="292"/>
        <v>1272.4599999999996</v>
      </c>
      <c r="M772" s="6">
        <f t="shared" si="301"/>
        <v>1255.5037050808055</v>
      </c>
      <c r="N772" s="6">
        <f t="shared" si="293"/>
        <v>1272.4599999999996</v>
      </c>
      <c r="O772" s="6">
        <f>Arrivals!I772</f>
        <v>2.9984579596875625</v>
      </c>
      <c r="P772" s="6">
        <f t="shared" si="294"/>
        <v>1275.4584579596872</v>
      </c>
      <c r="Q772" s="6">
        <f t="shared" si="295"/>
        <v>911.45845795968717</v>
      </c>
      <c r="R772" s="6">
        <f t="shared" si="296"/>
        <v>884.4399999999996</v>
      </c>
      <c r="S772" s="6">
        <f t="shared" si="297"/>
        <v>0</v>
      </c>
      <c r="T772" s="6">
        <f t="shared" si="298"/>
        <v>0</v>
      </c>
      <c r="U772" s="6">
        <f t="shared" si="299"/>
        <v>884.4399999999996</v>
      </c>
      <c r="V772" s="6" t="str">
        <f>IF(MOD(C772-Settings!$B$32,Settings!$B$33)&lt;Settings!$B$30,"Up","Down")</f>
        <v>Up</v>
      </c>
      <c r="W772" s="6">
        <f>IF(OR(E772&gt;Settings!$B$30,Q772&gt;Settings!$B$37),0,1)</f>
        <v>0</v>
      </c>
      <c r="X772" s="6">
        <f>IF(AND(W772=1,Q772&lt;=Settings!$B$36),1,0)</f>
        <v>0</v>
      </c>
    </row>
    <row r="773" spans="1:24" x14ac:dyDescent="0.2">
      <c r="A773">
        <f>Arrivals!A773</f>
        <v>7</v>
      </c>
      <c r="B773">
        <f>Arrivals!B773</f>
        <v>48</v>
      </c>
      <c r="C773" s="6">
        <f>Arrivals!F773</f>
        <v>369</v>
      </c>
      <c r="D773" s="6">
        <f>Arrivals!K773</f>
        <v>300</v>
      </c>
      <c r="E773" s="6">
        <f>D773*8/ACE_Input!S53+ACE_Input!T53</f>
        <v>24.02</v>
      </c>
      <c r="F773" s="6">
        <f t="shared" si="289"/>
        <v>369</v>
      </c>
      <c r="G773" s="6">
        <f t="shared" si="300"/>
        <v>1272.4599999999996</v>
      </c>
      <c r="H773" s="6">
        <f t="shared" si="290"/>
        <v>1272.4599999999996</v>
      </c>
      <c r="I773" s="6">
        <f>MOD(H773-Settings!$B$32,Settings!$B$33)</f>
        <v>552.45999999999958</v>
      </c>
      <c r="J773" s="6">
        <f>IF(I773&lt;Settings!$B$30,IF(Settings!$B$30-I773&gt;=E773,H773,H773+(Settings!$B$30-I773)+Settings!$B$31),H773+(Settings!$B$33-I773))</f>
        <v>1272.4599999999996</v>
      </c>
      <c r="K773" s="6">
        <f t="shared" si="291"/>
        <v>1296.4799999999996</v>
      </c>
      <c r="L773" s="6">
        <f t="shared" si="292"/>
        <v>1296.4799999999996</v>
      </c>
      <c r="M773" s="6">
        <f t="shared" si="301"/>
        <v>1275.4584579596872</v>
      </c>
      <c r="N773" s="6">
        <f t="shared" si="293"/>
        <v>1296.4799999999996</v>
      </c>
      <c r="O773" s="6">
        <f>Arrivals!I773</f>
        <v>8.2912503381631772</v>
      </c>
      <c r="P773" s="6">
        <f t="shared" si="294"/>
        <v>1304.7712503381626</v>
      </c>
      <c r="Q773" s="6">
        <f t="shared" si="295"/>
        <v>935.77125033816264</v>
      </c>
      <c r="R773" s="6">
        <f t="shared" si="296"/>
        <v>903.45999999999958</v>
      </c>
      <c r="S773" s="6">
        <f t="shared" si="297"/>
        <v>0</v>
      </c>
      <c r="T773" s="6">
        <f t="shared" si="298"/>
        <v>0</v>
      </c>
      <c r="U773" s="6">
        <f t="shared" si="299"/>
        <v>903.45999999999958</v>
      </c>
      <c r="V773" s="6" t="str">
        <f>IF(MOD(C773-Settings!$B$32,Settings!$B$33)&lt;Settings!$B$30,"Up","Down")</f>
        <v>Up</v>
      </c>
      <c r="W773" s="6">
        <f>IF(OR(E773&gt;Settings!$B$30,Q773&gt;Settings!$B$37),0,1)</f>
        <v>0</v>
      </c>
      <c r="X773" s="6">
        <f>IF(AND(W773=1,Q773&lt;=Settings!$B$36),1,0)</f>
        <v>0</v>
      </c>
    </row>
    <row r="774" spans="1:24" x14ac:dyDescent="0.2">
      <c r="A774">
        <f>Arrivals!A774</f>
        <v>7</v>
      </c>
      <c r="B774">
        <f>Arrivals!B774</f>
        <v>49</v>
      </c>
      <c r="C774" s="6">
        <f>Arrivals!F774</f>
        <v>374</v>
      </c>
      <c r="D774" s="6">
        <f>Arrivals!K774</f>
        <v>300</v>
      </c>
      <c r="E774" s="6">
        <f>D774*8/ACE_Input!S54+ACE_Input!T54</f>
        <v>24.02</v>
      </c>
      <c r="F774" s="6">
        <f t="shared" si="289"/>
        <v>374</v>
      </c>
      <c r="G774" s="6">
        <f t="shared" si="300"/>
        <v>1296.4799999999996</v>
      </c>
      <c r="H774" s="6">
        <f t="shared" si="290"/>
        <v>1296.4799999999996</v>
      </c>
      <c r="I774" s="6">
        <f>MOD(H774-Settings!$B$32,Settings!$B$33)</f>
        <v>576.47999999999956</v>
      </c>
      <c r="J774" s="6">
        <f>IF(I774&lt;Settings!$B$30,IF(Settings!$B$30-I774&gt;=E774,H774,H774+(Settings!$B$30-I774)+Settings!$B$31),H774+(Settings!$B$33-I774))</f>
        <v>1440</v>
      </c>
      <c r="K774" s="6">
        <f t="shared" si="291"/>
        <v>1464.02</v>
      </c>
      <c r="L774" s="6">
        <f t="shared" si="292"/>
        <v>1464.02</v>
      </c>
      <c r="M774" s="6">
        <f t="shared" si="301"/>
        <v>1304.7712503381626</v>
      </c>
      <c r="N774" s="6">
        <f t="shared" si="293"/>
        <v>1464.02</v>
      </c>
      <c r="O774" s="6">
        <f>Arrivals!I774</f>
        <v>0.66010264400466589</v>
      </c>
      <c r="P774" s="6">
        <f t="shared" si="294"/>
        <v>1464.6801026440046</v>
      </c>
      <c r="Q774" s="6">
        <f t="shared" si="295"/>
        <v>1090.6801026440046</v>
      </c>
      <c r="R774" s="6">
        <f t="shared" si="296"/>
        <v>922.47999999999956</v>
      </c>
      <c r="S774" s="6">
        <f t="shared" si="297"/>
        <v>143.52000000000044</v>
      </c>
      <c r="T774" s="6">
        <f t="shared" si="298"/>
        <v>0</v>
      </c>
      <c r="U774" s="6">
        <f t="shared" si="299"/>
        <v>1066</v>
      </c>
      <c r="V774" s="6" t="str">
        <f>IF(MOD(C774-Settings!$B$32,Settings!$B$33)&lt;Settings!$B$30,"Up","Down")</f>
        <v>Up</v>
      </c>
      <c r="W774" s="6">
        <f>IF(OR(E774&gt;Settings!$B$30,Q774&gt;Settings!$B$37),0,1)</f>
        <v>0</v>
      </c>
      <c r="X774" s="6">
        <f>IF(AND(W774=1,Q774&lt;=Settings!$B$36),1,0)</f>
        <v>0</v>
      </c>
    </row>
    <row r="775" spans="1:24" x14ac:dyDescent="0.2">
      <c r="A775">
        <f>Arrivals!A775</f>
        <v>7</v>
      </c>
      <c r="B775">
        <f>Arrivals!B775</f>
        <v>50</v>
      </c>
      <c r="C775" s="6">
        <f>Arrivals!F775</f>
        <v>379</v>
      </c>
      <c r="D775" s="6">
        <f>Arrivals!K775</f>
        <v>300</v>
      </c>
      <c r="E775" s="6">
        <f>D775*8/ACE_Input!S55+ACE_Input!T55</f>
        <v>24.02</v>
      </c>
      <c r="F775" s="6">
        <f t="shared" si="289"/>
        <v>379</v>
      </c>
      <c r="G775" s="6">
        <f t="shared" si="300"/>
        <v>1464.02</v>
      </c>
      <c r="H775" s="6">
        <f t="shared" si="290"/>
        <v>1464.02</v>
      </c>
      <c r="I775" s="6">
        <f>MOD(H775-Settings!$B$32,Settings!$B$33)</f>
        <v>24.019999999999982</v>
      </c>
      <c r="J775" s="6">
        <f>IF(I775&lt;Settings!$B$30,IF(Settings!$B$30-I775&gt;=E775,H775,H775+(Settings!$B$30-I775)+Settings!$B$31),H775+(Settings!$B$33-I775))</f>
        <v>1464.02</v>
      </c>
      <c r="K775" s="6">
        <f t="shared" si="291"/>
        <v>1488.04</v>
      </c>
      <c r="L775" s="6">
        <f t="shared" si="292"/>
        <v>1488.04</v>
      </c>
      <c r="M775" s="6">
        <f t="shared" si="301"/>
        <v>1464.6801026440046</v>
      </c>
      <c r="N775" s="6">
        <f t="shared" si="293"/>
        <v>1488.04</v>
      </c>
      <c r="O775" s="6">
        <f>Arrivals!I775</f>
        <v>6.7754992138238563</v>
      </c>
      <c r="P775" s="6">
        <f t="shared" si="294"/>
        <v>1494.8154992138238</v>
      </c>
      <c r="Q775" s="6">
        <f t="shared" si="295"/>
        <v>1115.8154992138238</v>
      </c>
      <c r="R775" s="6">
        <f t="shared" si="296"/>
        <v>1085.02</v>
      </c>
      <c r="S775" s="6">
        <f t="shared" si="297"/>
        <v>0</v>
      </c>
      <c r="T775" s="6">
        <f t="shared" si="298"/>
        <v>0</v>
      </c>
      <c r="U775" s="6">
        <f t="shared" si="299"/>
        <v>1085.02</v>
      </c>
      <c r="V775" s="6" t="str">
        <f>IF(MOD(C775-Settings!$B$32,Settings!$B$33)&lt;Settings!$B$30,"Up","Down")</f>
        <v>Up</v>
      </c>
      <c r="W775" s="6">
        <f>IF(OR(E775&gt;Settings!$B$30,Q775&gt;Settings!$B$37),0,1)</f>
        <v>0</v>
      </c>
      <c r="X775" s="6">
        <f>IF(AND(W775=1,Q775&lt;=Settings!$B$36),1,0)</f>
        <v>0</v>
      </c>
    </row>
    <row r="776" spans="1:24" x14ac:dyDescent="0.2">
      <c r="A776">
        <f>Arrivals!A776</f>
        <v>7</v>
      </c>
      <c r="B776">
        <f>Arrivals!B776</f>
        <v>51</v>
      </c>
      <c r="C776" s="6">
        <f>Arrivals!F776</f>
        <v>384</v>
      </c>
      <c r="D776" s="6">
        <f>Arrivals!K776</f>
        <v>300</v>
      </c>
      <c r="E776" s="6">
        <f>D776*8/ACE_Input!S56+ACE_Input!T56</f>
        <v>24.02</v>
      </c>
      <c r="F776" s="6">
        <f t="shared" si="289"/>
        <v>384</v>
      </c>
      <c r="G776" s="6">
        <f t="shared" si="300"/>
        <v>1488.04</v>
      </c>
      <c r="H776" s="6">
        <f t="shared" si="290"/>
        <v>1488.04</v>
      </c>
      <c r="I776" s="6">
        <f>MOD(H776-Settings!$B$32,Settings!$B$33)</f>
        <v>48.039999999999964</v>
      </c>
      <c r="J776" s="6">
        <f>IF(I776&lt;Settings!$B$30,IF(Settings!$B$30-I776&gt;=E776,H776,H776+(Settings!$B$30-I776)+Settings!$B$31),H776+(Settings!$B$33-I776))</f>
        <v>1488.04</v>
      </c>
      <c r="K776" s="6">
        <f t="shared" si="291"/>
        <v>1512.06</v>
      </c>
      <c r="L776" s="6">
        <f t="shared" si="292"/>
        <v>1512.06</v>
      </c>
      <c r="M776" s="6">
        <f t="shared" si="301"/>
        <v>1494.8154992138238</v>
      </c>
      <c r="N776" s="6">
        <f t="shared" si="293"/>
        <v>1512.06</v>
      </c>
      <c r="O776" s="6">
        <f>Arrivals!I776</f>
        <v>5.9440319282649208</v>
      </c>
      <c r="P776" s="6">
        <f t="shared" si="294"/>
        <v>1518.0040319282648</v>
      </c>
      <c r="Q776" s="6">
        <f t="shared" si="295"/>
        <v>1134.0040319282648</v>
      </c>
      <c r="R776" s="6">
        <f t="shared" si="296"/>
        <v>1104.04</v>
      </c>
      <c r="S776" s="6">
        <f t="shared" si="297"/>
        <v>0</v>
      </c>
      <c r="T776" s="6">
        <f t="shared" si="298"/>
        <v>0</v>
      </c>
      <c r="U776" s="6">
        <f t="shared" si="299"/>
        <v>1104.04</v>
      </c>
      <c r="V776" s="6" t="str">
        <f>IF(MOD(C776-Settings!$B$32,Settings!$B$33)&lt;Settings!$B$30,"Up","Down")</f>
        <v>Up</v>
      </c>
      <c r="W776" s="6">
        <f>IF(OR(E776&gt;Settings!$B$30,Q776&gt;Settings!$B$37),0,1)</f>
        <v>0</v>
      </c>
      <c r="X776" s="6">
        <f>IF(AND(W776=1,Q776&lt;=Settings!$B$36),1,0)</f>
        <v>0</v>
      </c>
    </row>
    <row r="777" spans="1:24" x14ac:dyDescent="0.2">
      <c r="A777">
        <f>Arrivals!A777</f>
        <v>7</v>
      </c>
      <c r="B777">
        <f>Arrivals!B777</f>
        <v>52</v>
      </c>
      <c r="C777" s="6">
        <f>Arrivals!F777</f>
        <v>389</v>
      </c>
      <c r="D777" s="6">
        <f>Arrivals!K777</f>
        <v>300</v>
      </c>
      <c r="E777" s="6">
        <f>D777*8/ACE_Input!S57+ACE_Input!T57</f>
        <v>24.02</v>
      </c>
      <c r="F777" s="6">
        <f t="shared" si="289"/>
        <v>389</v>
      </c>
      <c r="G777" s="6">
        <f t="shared" si="300"/>
        <v>1512.06</v>
      </c>
      <c r="H777" s="6">
        <f t="shared" si="290"/>
        <v>1512.06</v>
      </c>
      <c r="I777" s="6">
        <f>MOD(H777-Settings!$B$32,Settings!$B$33)</f>
        <v>72.059999999999945</v>
      </c>
      <c r="J777" s="6">
        <f>IF(I777&lt;Settings!$B$30,IF(Settings!$B$30-I777&gt;=E777,H777,H777+(Settings!$B$30-I777)+Settings!$B$31),H777+(Settings!$B$33-I777))</f>
        <v>1512.06</v>
      </c>
      <c r="K777" s="6">
        <f t="shared" si="291"/>
        <v>1536.08</v>
      </c>
      <c r="L777" s="6">
        <f t="shared" si="292"/>
        <v>1536.08</v>
      </c>
      <c r="M777" s="6">
        <f t="shared" si="301"/>
        <v>1518.0040319282648</v>
      </c>
      <c r="N777" s="6">
        <f t="shared" si="293"/>
        <v>1536.08</v>
      </c>
      <c r="O777" s="6">
        <f>Arrivals!I777</f>
        <v>4.1972029968103605E-2</v>
      </c>
      <c r="P777" s="6">
        <f t="shared" si="294"/>
        <v>1536.121972029968</v>
      </c>
      <c r="Q777" s="6">
        <f t="shared" si="295"/>
        <v>1147.121972029968</v>
      </c>
      <c r="R777" s="6">
        <f t="shared" si="296"/>
        <v>1123.06</v>
      </c>
      <c r="S777" s="6">
        <f t="shared" si="297"/>
        <v>0</v>
      </c>
      <c r="T777" s="6">
        <f t="shared" si="298"/>
        <v>0</v>
      </c>
      <c r="U777" s="6">
        <f t="shared" si="299"/>
        <v>1123.06</v>
      </c>
      <c r="V777" s="6" t="str">
        <f>IF(MOD(C777-Settings!$B$32,Settings!$B$33)&lt;Settings!$B$30,"Up","Down")</f>
        <v>Up</v>
      </c>
      <c r="W777" s="6">
        <f>IF(OR(E777&gt;Settings!$B$30,Q777&gt;Settings!$B$37),0,1)</f>
        <v>0</v>
      </c>
      <c r="X777" s="6">
        <f>IF(AND(W777=1,Q777&lt;=Settings!$B$36),1,0)</f>
        <v>0</v>
      </c>
    </row>
    <row r="778" spans="1:24" x14ac:dyDescent="0.2">
      <c r="A778">
        <f>Arrivals!A778</f>
        <v>7</v>
      </c>
      <c r="B778">
        <f>Arrivals!B778</f>
        <v>53</v>
      </c>
      <c r="C778" s="6">
        <f>Arrivals!F778</f>
        <v>394</v>
      </c>
      <c r="D778" s="6">
        <f>Arrivals!K778</f>
        <v>300</v>
      </c>
      <c r="E778" s="6">
        <f>D778*8/ACE_Input!S58+ACE_Input!T58</f>
        <v>24.02</v>
      </c>
      <c r="F778" s="6">
        <f t="shared" si="289"/>
        <v>394</v>
      </c>
      <c r="G778" s="6">
        <f t="shared" si="300"/>
        <v>1536.08</v>
      </c>
      <c r="H778" s="6">
        <f t="shared" si="290"/>
        <v>1536.08</v>
      </c>
      <c r="I778" s="6">
        <f>MOD(H778-Settings!$B$32,Settings!$B$33)</f>
        <v>96.079999999999927</v>
      </c>
      <c r="J778" s="6">
        <f>IF(I778&lt;Settings!$B$30,IF(Settings!$B$30-I778&gt;=E778,H778,H778+(Settings!$B$30-I778)+Settings!$B$31),H778+(Settings!$B$33-I778))</f>
        <v>1536.08</v>
      </c>
      <c r="K778" s="6">
        <f t="shared" si="291"/>
        <v>1560.1</v>
      </c>
      <c r="L778" s="6">
        <f t="shared" si="292"/>
        <v>1560.1</v>
      </c>
      <c r="M778" s="6">
        <f t="shared" si="301"/>
        <v>1536.121972029968</v>
      </c>
      <c r="N778" s="6">
        <f t="shared" si="293"/>
        <v>1560.1</v>
      </c>
      <c r="O778" s="6">
        <f>Arrivals!I778</f>
        <v>2.2763082781073742</v>
      </c>
      <c r="P778" s="6">
        <f t="shared" si="294"/>
        <v>1562.3763082781072</v>
      </c>
      <c r="Q778" s="6">
        <f t="shared" si="295"/>
        <v>1168.3763082781072</v>
      </c>
      <c r="R778" s="6">
        <f t="shared" si="296"/>
        <v>1142.08</v>
      </c>
      <c r="S778" s="6">
        <f t="shared" si="297"/>
        <v>0</v>
      </c>
      <c r="T778" s="6">
        <f t="shared" si="298"/>
        <v>0</v>
      </c>
      <c r="U778" s="6">
        <f t="shared" si="299"/>
        <v>1142.08</v>
      </c>
      <c r="V778" s="6" t="str">
        <f>IF(MOD(C778-Settings!$B$32,Settings!$B$33)&lt;Settings!$B$30,"Up","Down")</f>
        <v>Up</v>
      </c>
      <c r="W778" s="6">
        <f>IF(OR(E778&gt;Settings!$B$30,Q778&gt;Settings!$B$37),0,1)</f>
        <v>0</v>
      </c>
      <c r="X778" s="6">
        <f>IF(AND(W778=1,Q778&lt;=Settings!$B$36),1,0)</f>
        <v>0</v>
      </c>
    </row>
    <row r="779" spans="1:24" x14ac:dyDescent="0.2">
      <c r="A779">
        <f>Arrivals!A779</f>
        <v>7</v>
      </c>
      <c r="B779">
        <f>Arrivals!B779</f>
        <v>54</v>
      </c>
      <c r="C779" s="6">
        <f>Arrivals!F779</f>
        <v>399</v>
      </c>
      <c r="D779" s="6">
        <f>Arrivals!K779</f>
        <v>300</v>
      </c>
      <c r="E779" s="6">
        <f>D779*8/ACE_Input!S59+ACE_Input!T59</f>
        <v>24.02</v>
      </c>
      <c r="F779" s="6">
        <f t="shared" si="289"/>
        <v>399</v>
      </c>
      <c r="G779" s="6">
        <f t="shared" si="300"/>
        <v>1560.1</v>
      </c>
      <c r="H779" s="6">
        <f t="shared" si="290"/>
        <v>1560.1</v>
      </c>
      <c r="I779" s="6">
        <f>MOD(H779-Settings!$B$32,Settings!$B$33)</f>
        <v>120.09999999999991</v>
      </c>
      <c r="J779" s="6">
        <f>IF(I779&lt;Settings!$B$30,IF(Settings!$B$30-I779&gt;=E779,H779,H779+(Settings!$B$30-I779)+Settings!$B$31),H779+(Settings!$B$33-I779))</f>
        <v>1560.1</v>
      </c>
      <c r="K779" s="6">
        <f t="shared" si="291"/>
        <v>1584.12</v>
      </c>
      <c r="L779" s="6">
        <f t="shared" si="292"/>
        <v>1584.12</v>
      </c>
      <c r="M779" s="6">
        <f t="shared" si="301"/>
        <v>1562.3763082781072</v>
      </c>
      <c r="N779" s="6">
        <f t="shared" si="293"/>
        <v>1584.12</v>
      </c>
      <c r="O779" s="6">
        <f>Arrivals!I779</f>
        <v>2.3024931937864448</v>
      </c>
      <c r="P779" s="6">
        <f t="shared" si="294"/>
        <v>1586.4224931937863</v>
      </c>
      <c r="Q779" s="6">
        <f t="shared" si="295"/>
        <v>1187.4224931937863</v>
      </c>
      <c r="R779" s="6">
        <f t="shared" si="296"/>
        <v>1161.0999999999999</v>
      </c>
      <c r="S779" s="6">
        <f t="shared" si="297"/>
        <v>0</v>
      </c>
      <c r="T779" s="6">
        <f t="shared" si="298"/>
        <v>0</v>
      </c>
      <c r="U779" s="6">
        <f t="shared" si="299"/>
        <v>1161.0999999999999</v>
      </c>
      <c r="V779" s="6" t="str">
        <f>IF(MOD(C779-Settings!$B$32,Settings!$B$33)&lt;Settings!$B$30,"Up","Down")</f>
        <v>Up</v>
      </c>
      <c r="W779" s="6">
        <f>IF(OR(E779&gt;Settings!$B$30,Q779&gt;Settings!$B$37),0,1)</f>
        <v>0</v>
      </c>
      <c r="X779" s="6">
        <f>IF(AND(W779=1,Q779&lt;=Settings!$B$36),1,0)</f>
        <v>0</v>
      </c>
    </row>
    <row r="780" spans="1:24" x14ac:dyDescent="0.2">
      <c r="A780">
        <f>Arrivals!A780</f>
        <v>7</v>
      </c>
      <c r="B780">
        <f>Arrivals!B780</f>
        <v>55</v>
      </c>
      <c r="C780" s="6">
        <f>Arrivals!F780</f>
        <v>404</v>
      </c>
      <c r="D780" s="6">
        <f>Arrivals!K780</f>
        <v>300</v>
      </c>
      <c r="E780" s="6">
        <f>D780*8/ACE_Input!S60+ACE_Input!T60</f>
        <v>24.02</v>
      </c>
      <c r="F780" s="6">
        <f t="shared" si="289"/>
        <v>404</v>
      </c>
      <c r="G780" s="6">
        <f t="shared" si="300"/>
        <v>1584.12</v>
      </c>
      <c r="H780" s="6">
        <f t="shared" si="290"/>
        <v>1584.12</v>
      </c>
      <c r="I780" s="6">
        <f>MOD(H780-Settings!$B$32,Settings!$B$33)</f>
        <v>144.11999999999989</v>
      </c>
      <c r="J780" s="6">
        <f>IF(I780&lt;Settings!$B$30,IF(Settings!$B$30-I780&gt;=E780,H780,H780+(Settings!$B$30-I780)+Settings!$B$31),H780+(Settings!$B$33-I780))</f>
        <v>1584.12</v>
      </c>
      <c r="K780" s="6">
        <f t="shared" si="291"/>
        <v>1608.1399999999999</v>
      </c>
      <c r="L780" s="6">
        <f t="shared" si="292"/>
        <v>1608.1399999999999</v>
      </c>
      <c r="M780" s="6">
        <f t="shared" si="301"/>
        <v>1586.4224931937863</v>
      </c>
      <c r="N780" s="6">
        <f t="shared" si="293"/>
        <v>1608.1399999999999</v>
      </c>
      <c r="O780" s="6">
        <f>Arrivals!I780</f>
        <v>2.8714316489669209</v>
      </c>
      <c r="P780" s="6">
        <f t="shared" si="294"/>
        <v>1611.0114316489669</v>
      </c>
      <c r="Q780" s="6">
        <f t="shared" si="295"/>
        <v>1207.0114316489669</v>
      </c>
      <c r="R780" s="6">
        <f t="shared" si="296"/>
        <v>1180.1199999999999</v>
      </c>
      <c r="S780" s="6">
        <f t="shared" si="297"/>
        <v>0</v>
      </c>
      <c r="T780" s="6">
        <f t="shared" si="298"/>
        <v>0</v>
      </c>
      <c r="U780" s="6">
        <f t="shared" si="299"/>
        <v>1180.1199999999999</v>
      </c>
      <c r="V780" s="6" t="str">
        <f>IF(MOD(C780-Settings!$B$32,Settings!$B$33)&lt;Settings!$B$30,"Up","Down")</f>
        <v>Up</v>
      </c>
      <c r="W780" s="6">
        <f>IF(OR(E780&gt;Settings!$B$30,Q780&gt;Settings!$B$37),0,1)</f>
        <v>0</v>
      </c>
      <c r="X780" s="6">
        <f>IF(AND(W780=1,Q780&lt;=Settings!$B$36),1,0)</f>
        <v>0</v>
      </c>
    </row>
    <row r="781" spans="1:24" x14ac:dyDescent="0.2">
      <c r="A781">
        <f>Arrivals!A781</f>
        <v>7</v>
      </c>
      <c r="B781">
        <f>Arrivals!B781</f>
        <v>56</v>
      </c>
      <c r="C781" s="6">
        <f>Arrivals!F781</f>
        <v>409</v>
      </c>
      <c r="D781" s="6">
        <f>Arrivals!K781</f>
        <v>300</v>
      </c>
      <c r="E781" s="6">
        <f>D781*8/ACE_Input!S61+ACE_Input!T61</f>
        <v>24.02</v>
      </c>
      <c r="F781" s="6">
        <f t="shared" si="289"/>
        <v>409</v>
      </c>
      <c r="G781" s="6">
        <f t="shared" si="300"/>
        <v>1608.1399999999999</v>
      </c>
      <c r="H781" s="6">
        <f t="shared" si="290"/>
        <v>1608.1399999999999</v>
      </c>
      <c r="I781" s="6">
        <f>MOD(H781-Settings!$B$32,Settings!$B$33)</f>
        <v>168.13999999999987</v>
      </c>
      <c r="J781" s="6">
        <f>IF(I781&lt;Settings!$B$30,IF(Settings!$B$30-I781&gt;=E781,H781,H781+(Settings!$B$30-I781)+Settings!$B$31),H781+(Settings!$B$33-I781))</f>
        <v>1608.1399999999999</v>
      </c>
      <c r="K781" s="6">
        <f t="shared" si="291"/>
        <v>1632.1599999999999</v>
      </c>
      <c r="L781" s="6">
        <f t="shared" si="292"/>
        <v>1632.1599999999999</v>
      </c>
      <c r="M781" s="6">
        <f t="shared" si="301"/>
        <v>1611.0114316489669</v>
      </c>
      <c r="N781" s="6">
        <f t="shared" si="293"/>
        <v>1632.1599999999999</v>
      </c>
      <c r="O781" s="6">
        <f>Arrivals!I781</f>
        <v>3.7866216537130413</v>
      </c>
      <c r="P781" s="6">
        <f t="shared" si="294"/>
        <v>1635.946621653713</v>
      </c>
      <c r="Q781" s="6">
        <f t="shared" si="295"/>
        <v>1226.946621653713</v>
      </c>
      <c r="R781" s="6">
        <f t="shared" si="296"/>
        <v>1199.1399999999999</v>
      </c>
      <c r="S781" s="6">
        <f t="shared" si="297"/>
        <v>0</v>
      </c>
      <c r="T781" s="6">
        <f t="shared" si="298"/>
        <v>0</v>
      </c>
      <c r="U781" s="6">
        <f t="shared" si="299"/>
        <v>1199.1399999999999</v>
      </c>
      <c r="V781" s="6" t="str">
        <f>IF(MOD(C781-Settings!$B$32,Settings!$B$33)&lt;Settings!$B$30,"Up","Down")</f>
        <v>Up</v>
      </c>
      <c r="W781" s="6">
        <f>IF(OR(E781&gt;Settings!$B$30,Q781&gt;Settings!$B$37),0,1)</f>
        <v>0</v>
      </c>
      <c r="X781" s="6">
        <f>IF(AND(W781=1,Q781&lt;=Settings!$B$36),1,0)</f>
        <v>0</v>
      </c>
    </row>
    <row r="782" spans="1:24" x14ac:dyDescent="0.2">
      <c r="A782">
        <f>Arrivals!A782</f>
        <v>7</v>
      </c>
      <c r="B782">
        <f>Arrivals!B782</f>
        <v>57</v>
      </c>
      <c r="C782" s="6">
        <f>Arrivals!F782</f>
        <v>414</v>
      </c>
      <c r="D782" s="6">
        <f>Arrivals!K782</f>
        <v>300</v>
      </c>
      <c r="E782" s="6">
        <f>D782*8/ACE_Input!S62+ACE_Input!T62</f>
        <v>24.02</v>
      </c>
      <c r="F782" s="6">
        <f t="shared" si="289"/>
        <v>414</v>
      </c>
      <c r="G782" s="6">
        <f t="shared" si="300"/>
        <v>1632.1599999999999</v>
      </c>
      <c r="H782" s="6">
        <f t="shared" si="290"/>
        <v>1632.1599999999999</v>
      </c>
      <c r="I782" s="6">
        <f>MOD(H782-Settings!$B$32,Settings!$B$33)</f>
        <v>192.15999999999985</v>
      </c>
      <c r="J782" s="6">
        <f>IF(I782&lt;Settings!$B$30,IF(Settings!$B$30-I782&gt;=E782,H782,H782+(Settings!$B$30-I782)+Settings!$B$31),H782+(Settings!$B$33-I782))</f>
        <v>1632.1599999999999</v>
      </c>
      <c r="K782" s="6">
        <f t="shared" si="291"/>
        <v>1656.1799999999998</v>
      </c>
      <c r="L782" s="6">
        <f t="shared" si="292"/>
        <v>1656.1799999999998</v>
      </c>
      <c r="M782" s="6">
        <f t="shared" si="301"/>
        <v>1635.946621653713</v>
      </c>
      <c r="N782" s="6">
        <f t="shared" si="293"/>
        <v>1656.1799999999998</v>
      </c>
      <c r="O782" s="6">
        <f>Arrivals!I782</f>
        <v>1.2454752428477394</v>
      </c>
      <c r="P782" s="6">
        <f t="shared" si="294"/>
        <v>1657.4254752428476</v>
      </c>
      <c r="Q782" s="6">
        <f t="shared" si="295"/>
        <v>1243.4254752428476</v>
      </c>
      <c r="R782" s="6">
        <f t="shared" si="296"/>
        <v>1218.1599999999999</v>
      </c>
      <c r="S782" s="6">
        <f t="shared" si="297"/>
        <v>0</v>
      </c>
      <c r="T782" s="6">
        <f t="shared" si="298"/>
        <v>0</v>
      </c>
      <c r="U782" s="6">
        <f t="shared" si="299"/>
        <v>1218.1599999999999</v>
      </c>
      <c r="V782" s="6" t="str">
        <f>IF(MOD(C782-Settings!$B$32,Settings!$B$33)&lt;Settings!$B$30,"Up","Down")</f>
        <v>Up</v>
      </c>
      <c r="W782" s="6">
        <f>IF(OR(E782&gt;Settings!$B$30,Q782&gt;Settings!$B$37),0,1)</f>
        <v>0</v>
      </c>
      <c r="X782" s="6">
        <f>IF(AND(W782=1,Q782&lt;=Settings!$B$36),1,0)</f>
        <v>0</v>
      </c>
    </row>
    <row r="783" spans="1:24" x14ac:dyDescent="0.2">
      <c r="A783">
        <f>Arrivals!A783</f>
        <v>7</v>
      </c>
      <c r="B783">
        <f>Arrivals!B783</f>
        <v>58</v>
      </c>
      <c r="C783" s="6">
        <f>Arrivals!F783</f>
        <v>419</v>
      </c>
      <c r="D783" s="6">
        <f>Arrivals!K783</f>
        <v>300</v>
      </c>
      <c r="E783" s="6">
        <f>D783*8/ACE_Input!S63+ACE_Input!T63</f>
        <v>24.02</v>
      </c>
      <c r="F783" s="6">
        <f t="shared" si="289"/>
        <v>419</v>
      </c>
      <c r="G783" s="6">
        <f t="shared" si="300"/>
        <v>1656.1799999999998</v>
      </c>
      <c r="H783" s="6">
        <f t="shared" si="290"/>
        <v>1656.1799999999998</v>
      </c>
      <c r="I783" s="6">
        <f>MOD(H783-Settings!$B$32,Settings!$B$33)</f>
        <v>216.17999999999984</v>
      </c>
      <c r="J783" s="6">
        <f>IF(I783&lt;Settings!$B$30,IF(Settings!$B$30-I783&gt;=E783,H783,H783+(Settings!$B$30-I783)+Settings!$B$31),H783+(Settings!$B$33-I783))</f>
        <v>1656.1799999999998</v>
      </c>
      <c r="K783" s="6">
        <f t="shared" si="291"/>
        <v>1680.1999999999998</v>
      </c>
      <c r="L783" s="6">
        <f t="shared" si="292"/>
        <v>1680.1999999999998</v>
      </c>
      <c r="M783" s="6">
        <f t="shared" si="301"/>
        <v>1657.4254752428476</v>
      </c>
      <c r="N783" s="6">
        <f t="shared" si="293"/>
        <v>1680.1999999999998</v>
      </c>
      <c r="O783" s="6">
        <f>Arrivals!I783</f>
        <v>6.8337694360365902</v>
      </c>
      <c r="P783" s="6">
        <f t="shared" si="294"/>
        <v>1687.0337694360364</v>
      </c>
      <c r="Q783" s="6">
        <f t="shared" si="295"/>
        <v>1268.0337694360364</v>
      </c>
      <c r="R783" s="6">
        <f t="shared" si="296"/>
        <v>1237.1799999999998</v>
      </c>
      <c r="S783" s="6">
        <f t="shared" si="297"/>
        <v>0</v>
      </c>
      <c r="T783" s="6">
        <f t="shared" si="298"/>
        <v>0</v>
      </c>
      <c r="U783" s="6">
        <f t="shared" si="299"/>
        <v>1237.1799999999998</v>
      </c>
      <c r="V783" s="6" t="str">
        <f>IF(MOD(C783-Settings!$B$32,Settings!$B$33)&lt;Settings!$B$30,"Up","Down")</f>
        <v>Up</v>
      </c>
      <c r="W783" s="6">
        <f>IF(OR(E783&gt;Settings!$B$30,Q783&gt;Settings!$B$37),0,1)</f>
        <v>0</v>
      </c>
      <c r="X783" s="6">
        <f>IF(AND(W783=1,Q783&lt;=Settings!$B$36),1,0)</f>
        <v>0</v>
      </c>
    </row>
    <row r="784" spans="1:24" x14ac:dyDescent="0.2">
      <c r="A784">
        <f>Arrivals!A784</f>
        <v>7</v>
      </c>
      <c r="B784">
        <f>Arrivals!B784</f>
        <v>59</v>
      </c>
      <c r="C784" s="6">
        <f>Arrivals!F784</f>
        <v>424</v>
      </c>
      <c r="D784" s="6">
        <f>Arrivals!K784</f>
        <v>300</v>
      </c>
      <c r="E784" s="6">
        <f>D784*8/ACE_Input!S64+ACE_Input!T64</f>
        <v>24.02</v>
      </c>
      <c r="F784" s="6">
        <f t="shared" si="289"/>
        <v>424</v>
      </c>
      <c r="G784" s="6">
        <f t="shared" si="300"/>
        <v>1680.1999999999998</v>
      </c>
      <c r="H784" s="6">
        <f t="shared" si="290"/>
        <v>1680.1999999999998</v>
      </c>
      <c r="I784" s="6">
        <f>MOD(H784-Settings!$B$32,Settings!$B$33)</f>
        <v>240.19999999999982</v>
      </c>
      <c r="J784" s="6">
        <f>IF(I784&lt;Settings!$B$30,IF(Settings!$B$30-I784&gt;=E784,H784,H784+(Settings!$B$30-I784)+Settings!$B$31),H784+(Settings!$B$33-I784))</f>
        <v>1680.1999999999998</v>
      </c>
      <c r="K784" s="6">
        <f t="shared" si="291"/>
        <v>1704.2199999999998</v>
      </c>
      <c r="L784" s="6">
        <f t="shared" si="292"/>
        <v>1704.2199999999998</v>
      </c>
      <c r="M784" s="6">
        <f t="shared" si="301"/>
        <v>1687.0337694360364</v>
      </c>
      <c r="N784" s="6">
        <f t="shared" si="293"/>
        <v>1704.2199999999998</v>
      </c>
      <c r="O784" s="6">
        <f>Arrivals!I784</f>
        <v>2.3913414561687998</v>
      </c>
      <c r="P784" s="6">
        <f t="shared" si="294"/>
        <v>1706.6113414561687</v>
      </c>
      <c r="Q784" s="6">
        <f t="shared" si="295"/>
        <v>1282.6113414561687</v>
      </c>
      <c r="R784" s="6">
        <f t="shared" si="296"/>
        <v>1256.1999999999998</v>
      </c>
      <c r="S784" s="6">
        <f t="shared" si="297"/>
        <v>0</v>
      </c>
      <c r="T784" s="6">
        <f t="shared" si="298"/>
        <v>0</v>
      </c>
      <c r="U784" s="6">
        <f t="shared" si="299"/>
        <v>1256.1999999999998</v>
      </c>
      <c r="V784" s="6" t="str">
        <f>IF(MOD(C784-Settings!$B$32,Settings!$B$33)&lt;Settings!$B$30,"Up","Down")</f>
        <v>Up</v>
      </c>
      <c r="W784" s="6">
        <f>IF(OR(E784&gt;Settings!$B$30,Q784&gt;Settings!$B$37),0,1)</f>
        <v>0</v>
      </c>
      <c r="X784" s="6">
        <f>IF(AND(W784=1,Q784&lt;=Settings!$B$36),1,0)</f>
        <v>0</v>
      </c>
    </row>
    <row r="785" spans="1:24" x14ac:dyDescent="0.2">
      <c r="A785">
        <f>Arrivals!A785</f>
        <v>7</v>
      </c>
      <c r="B785">
        <f>Arrivals!B785</f>
        <v>60</v>
      </c>
      <c r="C785" s="6">
        <f>Arrivals!F785</f>
        <v>429</v>
      </c>
      <c r="D785" s="6">
        <f>Arrivals!K785</f>
        <v>300</v>
      </c>
      <c r="E785" s="6">
        <f>D785*8/ACE_Input!S65+ACE_Input!T65</f>
        <v>24.02</v>
      </c>
      <c r="F785" s="6">
        <f t="shared" si="289"/>
        <v>429</v>
      </c>
      <c r="G785" s="6">
        <f t="shared" si="300"/>
        <v>1704.2199999999998</v>
      </c>
      <c r="H785" s="6">
        <f t="shared" si="290"/>
        <v>1704.2199999999998</v>
      </c>
      <c r="I785" s="6">
        <f>MOD(H785-Settings!$B$32,Settings!$B$33)</f>
        <v>264.2199999999998</v>
      </c>
      <c r="J785" s="6">
        <f>IF(I785&lt;Settings!$B$30,IF(Settings!$B$30-I785&gt;=E785,H785,H785+(Settings!$B$30-I785)+Settings!$B$31),H785+(Settings!$B$33-I785))</f>
        <v>1704.2199999999998</v>
      </c>
      <c r="K785" s="6">
        <f t="shared" si="291"/>
        <v>1728.2399999999998</v>
      </c>
      <c r="L785" s="6">
        <f t="shared" si="292"/>
        <v>1728.2399999999998</v>
      </c>
      <c r="M785" s="6">
        <f t="shared" si="301"/>
        <v>1706.6113414561687</v>
      </c>
      <c r="N785" s="6">
        <f t="shared" si="293"/>
        <v>1728.2399999999998</v>
      </c>
      <c r="O785" s="6">
        <f>Arrivals!I785</f>
        <v>0.57950407763828959</v>
      </c>
      <c r="P785" s="6">
        <f t="shared" si="294"/>
        <v>1728.8195040776382</v>
      </c>
      <c r="Q785" s="6">
        <f t="shared" si="295"/>
        <v>1299.8195040776382</v>
      </c>
      <c r="R785" s="6">
        <f t="shared" si="296"/>
        <v>1275.2199999999998</v>
      </c>
      <c r="S785" s="6">
        <f t="shared" si="297"/>
        <v>0</v>
      </c>
      <c r="T785" s="6">
        <f t="shared" si="298"/>
        <v>0</v>
      </c>
      <c r="U785" s="6">
        <f t="shared" si="299"/>
        <v>1275.2199999999998</v>
      </c>
      <c r="V785" s="6" t="str">
        <f>IF(MOD(C785-Settings!$B$32,Settings!$B$33)&lt;Settings!$B$30,"Up","Down")</f>
        <v>Up</v>
      </c>
      <c r="W785" s="6">
        <f>IF(OR(E785&gt;Settings!$B$30,Q785&gt;Settings!$B$37),0,1)</f>
        <v>0</v>
      </c>
      <c r="X785" s="6">
        <f>IF(AND(W785=1,Q785&lt;=Settings!$B$36),1,0)</f>
        <v>0</v>
      </c>
    </row>
    <row r="786" spans="1:24" x14ac:dyDescent="0.2">
      <c r="A786">
        <f>Arrivals!A786</f>
        <v>7</v>
      </c>
      <c r="B786">
        <f>Arrivals!B786</f>
        <v>61</v>
      </c>
      <c r="C786" s="6">
        <f>Arrivals!F786</f>
        <v>434</v>
      </c>
      <c r="D786" s="6">
        <f>Arrivals!K786</f>
        <v>300</v>
      </c>
      <c r="E786" s="6">
        <f>D786*8/ACE_Input!S66+ACE_Input!T66</f>
        <v>24.02</v>
      </c>
      <c r="F786" s="6">
        <f t="shared" si="289"/>
        <v>434</v>
      </c>
      <c r="G786" s="6">
        <f t="shared" si="300"/>
        <v>1728.2399999999998</v>
      </c>
      <c r="H786" s="6">
        <f t="shared" si="290"/>
        <v>1728.2399999999998</v>
      </c>
      <c r="I786" s="6">
        <f>MOD(H786-Settings!$B$32,Settings!$B$33)</f>
        <v>288.23999999999978</v>
      </c>
      <c r="J786" s="6">
        <f>IF(I786&lt;Settings!$B$30,IF(Settings!$B$30-I786&gt;=E786,H786,H786+(Settings!$B$30-I786)+Settings!$B$31),H786+(Settings!$B$33-I786))</f>
        <v>1728.2399999999998</v>
      </c>
      <c r="K786" s="6">
        <f t="shared" si="291"/>
        <v>1752.2599999999998</v>
      </c>
      <c r="L786" s="6">
        <f t="shared" si="292"/>
        <v>1752.2599999999998</v>
      </c>
      <c r="M786" s="6">
        <f t="shared" si="301"/>
        <v>1728.8195040776382</v>
      </c>
      <c r="N786" s="6">
        <f t="shared" si="293"/>
        <v>1752.2599999999998</v>
      </c>
      <c r="O786" s="6">
        <f>Arrivals!I786</f>
        <v>5.83933049255333</v>
      </c>
      <c r="P786" s="6">
        <f t="shared" si="294"/>
        <v>1758.099330492553</v>
      </c>
      <c r="Q786" s="6">
        <f t="shared" si="295"/>
        <v>1324.099330492553</v>
      </c>
      <c r="R786" s="6">
        <f t="shared" si="296"/>
        <v>1294.2399999999998</v>
      </c>
      <c r="S786" s="6">
        <f t="shared" si="297"/>
        <v>0</v>
      </c>
      <c r="T786" s="6">
        <f t="shared" si="298"/>
        <v>0</v>
      </c>
      <c r="U786" s="6">
        <f t="shared" si="299"/>
        <v>1294.2399999999998</v>
      </c>
      <c r="V786" s="6" t="str">
        <f>IF(MOD(C786-Settings!$B$32,Settings!$B$33)&lt;Settings!$B$30,"Up","Down")</f>
        <v>Up</v>
      </c>
      <c r="W786" s="6">
        <f>IF(OR(E786&gt;Settings!$B$30,Q786&gt;Settings!$B$37),0,1)</f>
        <v>0</v>
      </c>
      <c r="X786" s="6">
        <f>IF(AND(W786=1,Q786&lt;=Settings!$B$36),1,0)</f>
        <v>0</v>
      </c>
    </row>
    <row r="787" spans="1:24" x14ac:dyDescent="0.2">
      <c r="A787">
        <f>Arrivals!A787</f>
        <v>7</v>
      </c>
      <c r="B787">
        <f>Arrivals!B787</f>
        <v>62</v>
      </c>
      <c r="C787" s="6">
        <f>Arrivals!F787</f>
        <v>439</v>
      </c>
      <c r="D787" s="6">
        <f>Arrivals!K787</f>
        <v>300</v>
      </c>
      <c r="E787" s="6">
        <f>D787*8/ACE_Input!S67+ACE_Input!T67</f>
        <v>24.02</v>
      </c>
      <c r="F787" s="6">
        <f t="shared" si="289"/>
        <v>439</v>
      </c>
      <c r="G787" s="6">
        <f t="shared" si="300"/>
        <v>1752.2599999999998</v>
      </c>
      <c r="H787" s="6">
        <f t="shared" si="290"/>
        <v>1752.2599999999998</v>
      </c>
      <c r="I787" s="6">
        <f>MOD(H787-Settings!$B$32,Settings!$B$33)</f>
        <v>312.25999999999976</v>
      </c>
      <c r="J787" s="6">
        <f>IF(I787&lt;Settings!$B$30,IF(Settings!$B$30-I787&gt;=E787,H787,H787+(Settings!$B$30-I787)+Settings!$B$31),H787+(Settings!$B$33-I787))</f>
        <v>1752.2599999999998</v>
      </c>
      <c r="K787" s="6">
        <f t="shared" si="291"/>
        <v>1776.2799999999997</v>
      </c>
      <c r="L787" s="6">
        <f t="shared" si="292"/>
        <v>1776.2799999999997</v>
      </c>
      <c r="M787" s="6">
        <f t="shared" si="301"/>
        <v>1758.099330492553</v>
      </c>
      <c r="N787" s="6">
        <f t="shared" si="293"/>
        <v>1776.2799999999997</v>
      </c>
      <c r="O787" s="6">
        <f>Arrivals!I787</f>
        <v>0.65747737912028692</v>
      </c>
      <c r="P787" s="6">
        <f t="shared" si="294"/>
        <v>1776.9374773791201</v>
      </c>
      <c r="Q787" s="6">
        <f t="shared" si="295"/>
        <v>1337.9374773791201</v>
      </c>
      <c r="R787" s="6">
        <f t="shared" si="296"/>
        <v>1313.2599999999998</v>
      </c>
      <c r="S787" s="6">
        <f t="shared" si="297"/>
        <v>0</v>
      </c>
      <c r="T787" s="6">
        <f t="shared" si="298"/>
        <v>0</v>
      </c>
      <c r="U787" s="6">
        <f t="shared" si="299"/>
        <v>1313.2599999999998</v>
      </c>
      <c r="V787" s="6" t="str">
        <f>IF(MOD(C787-Settings!$B$32,Settings!$B$33)&lt;Settings!$B$30,"Up","Down")</f>
        <v>Up</v>
      </c>
      <c r="W787" s="6">
        <f>IF(OR(E787&gt;Settings!$B$30,Q787&gt;Settings!$B$37),0,1)</f>
        <v>0</v>
      </c>
      <c r="X787" s="6">
        <f>IF(AND(W787=1,Q787&lt;=Settings!$B$36),1,0)</f>
        <v>0</v>
      </c>
    </row>
    <row r="788" spans="1:24" x14ac:dyDescent="0.2">
      <c r="A788">
        <f>Arrivals!A788</f>
        <v>7</v>
      </c>
      <c r="B788">
        <f>Arrivals!B788</f>
        <v>63</v>
      </c>
      <c r="C788" s="6">
        <f>Arrivals!F788</f>
        <v>444</v>
      </c>
      <c r="D788" s="6">
        <f>Arrivals!K788</f>
        <v>300</v>
      </c>
      <c r="E788" s="6">
        <f>D788*8/ACE_Input!S68+ACE_Input!T68</f>
        <v>24.02</v>
      </c>
      <c r="F788" s="6">
        <f t="shared" si="289"/>
        <v>444</v>
      </c>
      <c r="G788" s="6">
        <f t="shared" si="300"/>
        <v>1776.2799999999997</v>
      </c>
      <c r="H788" s="6">
        <f t="shared" si="290"/>
        <v>1776.2799999999997</v>
      </c>
      <c r="I788" s="6">
        <f>MOD(H788-Settings!$B$32,Settings!$B$33)</f>
        <v>336.27999999999975</v>
      </c>
      <c r="J788" s="6">
        <f>IF(I788&lt;Settings!$B$30,IF(Settings!$B$30-I788&gt;=E788,H788,H788+(Settings!$B$30-I788)+Settings!$B$31),H788+(Settings!$B$33-I788))</f>
        <v>1776.2799999999997</v>
      </c>
      <c r="K788" s="6">
        <f t="shared" si="291"/>
        <v>1800.2999999999997</v>
      </c>
      <c r="L788" s="6">
        <f t="shared" si="292"/>
        <v>1800.2999999999997</v>
      </c>
      <c r="M788" s="6">
        <f t="shared" si="301"/>
        <v>1776.9374773791201</v>
      </c>
      <c r="N788" s="6">
        <f t="shared" si="293"/>
        <v>1800.2999999999997</v>
      </c>
      <c r="O788" s="6">
        <f>Arrivals!I788</f>
        <v>2.4684312352631865</v>
      </c>
      <c r="P788" s="6">
        <f t="shared" si="294"/>
        <v>1802.7684312352628</v>
      </c>
      <c r="Q788" s="6">
        <f t="shared" si="295"/>
        <v>1358.7684312352628</v>
      </c>
      <c r="R788" s="6">
        <f t="shared" si="296"/>
        <v>1332.2799999999997</v>
      </c>
      <c r="S788" s="6">
        <f t="shared" si="297"/>
        <v>0</v>
      </c>
      <c r="T788" s="6">
        <f t="shared" si="298"/>
        <v>0</v>
      </c>
      <c r="U788" s="6">
        <f t="shared" si="299"/>
        <v>1332.2799999999997</v>
      </c>
      <c r="V788" s="6" t="str">
        <f>IF(MOD(C788-Settings!$B$32,Settings!$B$33)&lt;Settings!$B$30,"Up","Down")</f>
        <v>Up</v>
      </c>
      <c r="W788" s="6">
        <f>IF(OR(E788&gt;Settings!$B$30,Q788&gt;Settings!$B$37),0,1)</f>
        <v>0</v>
      </c>
      <c r="X788" s="6">
        <f>IF(AND(W788=1,Q788&lt;=Settings!$B$36),1,0)</f>
        <v>0</v>
      </c>
    </row>
    <row r="789" spans="1:24" x14ac:dyDescent="0.2">
      <c r="A789">
        <f>Arrivals!A789</f>
        <v>7</v>
      </c>
      <c r="B789">
        <f>Arrivals!B789</f>
        <v>64</v>
      </c>
      <c r="C789" s="6">
        <f>Arrivals!F789</f>
        <v>449</v>
      </c>
      <c r="D789" s="6">
        <f>Arrivals!K789</f>
        <v>300</v>
      </c>
      <c r="E789" s="6">
        <f>D789*8/ACE_Input!S69+ACE_Input!T69</f>
        <v>24.02</v>
      </c>
      <c r="F789" s="6">
        <f t="shared" si="289"/>
        <v>449</v>
      </c>
      <c r="G789" s="6">
        <f t="shared" si="300"/>
        <v>1800.2999999999997</v>
      </c>
      <c r="H789" s="6">
        <f t="shared" si="290"/>
        <v>1800.2999999999997</v>
      </c>
      <c r="I789" s="6">
        <f>MOD(H789-Settings!$B$32,Settings!$B$33)</f>
        <v>360.29999999999973</v>
      </c>
      <c r="J789" s="6">
        <f>IF(I789&lt;Settings!$B$30,IF(Settings!$B$30-I789&gt;=E789,H789,H789+(Settings!$B$30-I789)+Settings!$B$31),H789+(Settings!$B$33-I789))</f>
        <v>1800.2999999999997</v>
      </c>
      <c r="K789" s="6">
        <f t="shared" si="291"/>
        <v>1824.3199999999997</v>
      </c>
      <c r="L789" s="6">
        <f t="shared" si="292"/>
        <v>1824.3199999999997</v>
      </c>
      <c r="M789" s="6">
        <f t="shared" si="301"/>
        <v>1802.7684312352628</v>
      </c>
      <c r="N789" s="6">
        <f t="shared" si="293"/>
        <v>1824.3199999999997</v>
      </c>
      <c r="O789" s="6">
        <f>Arrivals!I789</f>
        <v>3.4796806050557936</v>
      </c>
      <c r="P789" s="6">
        <f t="shared" si="294"/>
        <v>1827.7996806050555</v>
      </c>
      <c r="Q789" s="6">
        <f t="shared" si="295"/>
        <v>1378.7996806050555</v>
      </c>
      <c r="R789" s="6">
        <f t="shared" si="296"/>
        <v>1351.2999999999997</v>
      </c>
      <c r="S789" s="6">
        <f t="shared" si="297"/>
        <v>0</v>
      </c>
      <c r="T789" s="6">
        <f t="shared" si="298"/>
        <v>0</v>
      </c>
      <c r="U789" s="6">
        <f t="shared" si="299"/>
        <v>1351.2999999999997</v>
      </c>
      <c r="V789" s="6" t="str">
        <f>IF(MOD(C789-Settings!$B$32,Settings!$B$33)&lt;Settings!$B$30,"Up","Down")</f>
        <v>Up</v>
      </c>
      <c r="W789" s="6">
        <f>IF(OR(E789&gt;Settings!$B$30,Q789&gt;Settings!$B$37),0,1)</f>
        <v>0</v>
      </c>
      <c r="X789" s="6">
        <f>IF(AND(W789=1,Q789&lt;=Settings!$B$36),1,0)</f>
        <v>0</v>
      </c>
    </row>
    <row r="790" spans="1:24" x14ac:dyDescent="0.2">
      <c r="A790">
        <f>Arrivals!A790</f>
        <v>7</v>
      </c>
      <c r="B790">
        <f>Arrivals!B790</f>
        <v>65</v>
      </c>
      <c r="C790" s="6">
        <f>Arrivals!F790</f>
        <v>454</v>
      </c>
      <c r="D790" s="6">
        <f>Arrivals!K790</f>
        <v>300</v>
      </c>
      <c r="E790" s="6">
        <f>D790*8/ACE_Input!S70+ACE_Input!T70</f>
        <v>24.02</v>
      </c>
      <c r="F790" s="6">
        <f t="shared" ref="F790:F825" si="302">C790</f>
        <v>454</v>
      </c>
      <c r="G790" s="6">
        <f t="shared" si="300"/>
        <v>1824.3199999999997</v>
      </c>
      <c r="H790" s="6">
        <f t="shared" ref="H790:H821" si="303">MAX(F790,G790)</f>
        <v>1824.3199999999997</v>
      </c>
      <c r="I790" s="6">
        <f>MOD(H790-Settings!$B$32,Settings!$B$33)</f>
        <v>384.31999999999971</v>
      </c>
      <c r="J790" s="6">
        <f>IF(I790&lt;Settings!$B$30,IF(Settings!$B$30-I790&gt;=E790,H790,H790+(Settings!$B$30-I790)+Settings!$B$31),H790+(Settings!$B$33-I790))</f>
        <v>1824.3199999999997</v>
      </c>
      <c r="K790" s="6">
        <f t="shared" ref="K790:K821" si="304">J790+E790</f>
        <v>1848.3399999999997</v>
      </c>
      <c r="L790" s="6">
        <f t="shared" ref="L790:L821" si="305">K790</f>
        <v>1848.3399999999997</v>
      </c>
      <c r="M790" s="6">
        <f t="shared" si="301"/>
        <v>1827.7996806050555</v>
      </c>
      <c r="N790" s="6">
        <f t="shared" ref="N790:N821" si="306">MAX(L790,M790)</f>
        <v>1848.3399999999997</v>
      </c>
      <c r="O790" s="6">
        <f>Arrivals!I790</f>
        <v>0.50701286513303145</v>
      </c>
      <c r="P790" s="6">
        <f t="shared" ref="P790:P821" si="307">N790+O790</f>
        <v>1848.8470128651327</v>
      </c>
      <c r="Q790" s="6">
        <f t="shared" ref="Q790:Q821" si="308">P790-C790</f>
        <v>1394.8470128651327</v>
      </c>
      <c r="R790" s="6">
        <f t="shared" ref="R790:R825" si="309">H790-F790</f>
        <v>1370.3199999999997</v>
      </c>
      <c r="S790" s="6">
        <f t="shared" ref="S790:S825" si="310">J790-H790</f>
        <v>0</v>
      </c>
      <c r="T790" s="6">
        <f t="shared" ref="T790:T825" si="311">N790-L790</f>
        <v>0</v>
      </c>
      <c r="U790" s="6">
        <f t="shared" ref="U790:U821" si="312">R790+S790+T790</f>
        <v>1370.3199999999997</v>
      </c>
      <c r="V790" s="6" t="str">
        <f>IF(MOD(C790-Settings!$B$32,Settings!$B$33)&lt;Settings!$B$30,"Up","Down")</f>
        <v>Up</v>
      </c>
      <c r="W790" s="6">
        <f>IF(OR(E790&gt;Settings!$B$30,Q790&gt;Settings!$B$37),0,1)</f>
        <v>0</v>
      </c>
      <c r="X790" s="6">
        <f>IF(AND(W790=1,Q790&lt;=Settings!$B$36),1,0)</f>
        <v>0</v>
      </c>
    </row>
    <row r="791" spans="1:24" x14ac:dyDescent="0.2">
      <c r="A791">
        <f>Arrivals!A791</f>
        <v>7</v>
      </c>
      <c r="B791">
        <f>Arrivals!B791</f>
        <v>66</v>
      </c>
      <c r="C791" s="6">
        <f>Arrivals!F791</f>
        <v>459</v>
      </c>
      <c r="D791" s="6">
        <f>Arrivals!K791</f>
        <v>300</v>
      </c>
      <c r="E791" s="6">
        <f>D791*8/ACE_Input!S71+ACE_Input!T71</f>
        <v>24.02</v>
      </c>
      <c r="F791" s="6">
        <f t="shared" si="302"/>
        <v>459</v>
      </c>
      <c r="G791" s="6">
        <f t="shared" ref="G791:G825" si="313">K790</f>
        <v>1848.3399999999997</v>
      </c>
      <c r="H791" s="6">
        <f t="shared" si="303"/>
        <v>1848.3399999999997</v>
      </c>
      <c r="I791" s="6">
        <f>MOD(H791-Settings!$B$32,Settings!$B$33)</f>
        <v>408.33999999999969</v>
      </c>
      <c r="J791" s="6">
        <f>IF(I791&lt;Settings!$B$30,IF(Settings!$B$30-I791&gt;=E791,H791,H791+(Settings!$B$30-I791)+Settings!$B$31),H791+(Settings!$B$33-I791))</f>
        <v>1848.3399999999997</v>
      </c>
      <c r="K791" s="6">
        <f t="shared" si="304"/>
        <v>1872.3599999999997</v>
      </c>
      <c r="L791" s="6">
        <f t="shared" si="305"/>
        <v>1872.3599999999997</v>
      </c>
      <c r="M791" s="6">
        <f t="shared" ref="M791:M825" si="314">P790</f>
        <v>1848.8470128651327</v>
      </c>
      <c r="N791" s="6">
        <f t="shared" si="306"/>
        <v>1872.3599999999997</v>
      </c>
      <c r="O791" s="6">
        <f>Arrivals!I791</f>
        <v>7.7434478256779897</v>
      </c>
      <c r="P791" s="6">
        <f t="shared" si="307"/>
        <v>1880.1034478256777</v>
      </c>
      <c r="Q791" s="6">
        <f t="shared" si="308"/>
        <v>1421.1034478256777</v>
      </c>
      <c r="R791" s="6">
        <f t="shared" si="309"/>
        <v>1389.3399999999997</v>
      </c>
      <c r="S791" s="6">
        <f t="shared" si="310"/>
        <v>0</v>
      </c>
      <c r="T791" s="6">
        <f t="shared" si="311"/>
        <v>0</v>
      </c>
      <c r="U791" s="6">
        <f t="shared" si="312"/>
        <v>1389.3399999999997</v>
      </c>
      <c r="V791" s="6" t="str">
        <f>IF(MOD(C791-Settings!$B$32,Settings!$B$33)&lt;Settings!$B$30,"Up","Down")</f>
        <v>Up</v>
      </c>
      <c r="W791" s="6">
        <f>IF(OR(E791&gt;Settings!$B$30,Q791&gt;Settings!$B$37),0,1)</f>
        <v>0</v>
      </c>
      <c r="X791" s="6">
        <f>IF(AND(W791=1,Q791&lt;=Settings!$B$36),1,0)</f>
        <v>0</v>
      </c>
    </row>
    <row r="792" spans="1:24" x14ac:dyDescent="0.2">
      <c r="A792">
        <f>Arrivals!A792</f>
        <v>7</v>
      </c>
      <c r="B792">
        <f>Arrivals!B792</f>
        <v>67</v>
      </c>
      <c r="C792" s="6">
        <f>Arrivals!F792</f>
        <v>474</v>
      </c>
      <c r="D792" s="6">
        <f>Arrivals!K792</f>
        <v>300</v>
      </c>
      <c r="E792" s="6">
        <f>D792*8/ACE_Input!S72+ACE_Input!T72</f>
        <v>24.02</v>
      </c>
      <c r="F792" s="6">
        <f t="shared" si="302"/>
        <v>474</v>
      </c>
      <c r="G792" s="6">
        <f t="shared" si="313"/>
        <v>1872.3599999999997</v>
      </c>
      <c r="H792" s="6">
        <f t="shared" si="303"/>
        <v>1872.3599999999997</v>
      </c>
      <c r="I792" s="6">
        <f>MOD(H792-Settings!$B$32,Settings!$B$33)</f>
        <v>432.35999999999967</v>
      </c>
      <c r="J792" s="6">
        <f>IF(I792&lt;Settings!$B$30,IF(Settings!$B$30-I792&gt;=E792,H792,H792+(Settings!$B$30-I792)+Settings!$B$31),H792+(Settings!$B$33-I792))</f>
        <v>1872.3599999999997</v>
      </c>
      <c r="K792" s="6">
        <f t="shared" si="304"/>
        <v>1896.3799999999997</v>
      </c>
      <c r="L792" s="6">
        <f t="shared" si="305"/>
        <v>1896.3799999999997</v>
      </c>
      <c r="M792" s="6">
        <f t="shared" si="314"/>
        <v>1880.1034478256777</v>
      </c>
      <c r="N792" s="6">
        <f t="shared" si="306"/>
        <v>1896.3799999999997</v>
      </c>
      <c r="O792" s="6">
        <f>Arrivals!I792</f>
        <v>5.5881690296843516</v>
      </c>
      <c r="P792" s="6">
        <f t="shared" si="307"/>
        <v>1901.9681690296841</v>
      </c>
      <c r="Q792" s="6">
        <f t="shared" si="308"/>
        <v>1427.9681690296841</v>
      </c>
      <c r="R792" s="6">
        <f t="shared" si="309"/>
        <v>1398.3599999999997</v>
      </c>
      <c r="S792" s="6">
        <f t="shared" si="310"/>
        <v>0</v>
      </c>
      <c r="T792" s="6">
        <f t="shared" si="311"/>
        <v>0</v>
      </c>
      <c r="U792" s="6">
        <f t="shared" si="312"/>
        <v>1398.3599999999997</v>
      </c>
      <c r="V792" s="6" t="str">
        <f>IF(MOD(C792-Settings!$B$32,Settings!$B$33)&lt;Settings!$B$30,"Up","Down")</f>
        <v>Up</v>
      </c>
      <c r="W792" s="6">
        <f>IF(OR(E792&gt;Settings!$B$30,Q792&gt;Settings!$B$37),0,1)</f>
        <v>0</v>
      </c>
      <c r="X792" s="6">
        <f>IF(AND(W792=1,Q792&lt;=Settings!$B$36),1,0)</f>
        <v>0</v>
      </c>
    </row>
    <row r="793" spans="1:24" x14ac:dyDescent="0.2">
      <c r="A793">
        <f>Arrivals!A793</f>
        <v>7</v>
      </c>
      <c r="B793">
        <f>Arrivals!B793</f>
        <v>68</v>
      </c>
      <c r="C793" s="6">
        <f>Arrivals!F793</f>
        <v>479</v>
      </c>
      <c r="D793" s="6">
        <f>Arrivals!K793</f>
        <v>300</v>
      </c>
      <c r="E793" s="6">
        <f>D793*8/ACE_Input!S73+ACE_Input!T73</f>
        <v>24.02</v>
      </c>
      <c r="F793" s="6">
        <f t="shared" si="302"/>
        <v>479</v>
      </c>
      <c r="G793" s="6">
        <f t="shared" si="313"/>
        <v>1896.3799999999997</v>
      </c>
      <c r="H793" s="6">
        <f t="shared" si="303"/>
        <v>1896.3799999999997</v>
      </c>
      <c r="I793" s="6">
        <f>MOD(H793-Settings!$B$32,Settings!$B$33)</f>
        <v>456.37999999999965</v>
      </c>
      <c r="J793" s="6">
        <f>IF(I793&lt;Settings!$B$30,IF(Settings!$B$30-I793&gt;=E793,H793,H793+(Settings!$B$30-I793)+Settings!$B$31),H793+(Settings!$B$33-I793))</f>
        <v>1896.3799999999997</v>
      </c>
      <c r="K793" s="6">
        <f t="shared" si="304"/>
        <v>1920.3999999999996</v>
      </c>
      <c r="L793" s="6">
        <f t="shared" si="305"/>
        <v>1920.3999999999996</v>
      </c>
      <c r="M793" s="6">
        <f t="shared" si="314"/>
        <v>1901.9681690296841</v>
      </c>
      <c r="N793" s="6">
        <f t="shared" si="306"/>
        <v>1920.3999999999996</v>
      </c>
      <c r="O793" s="6">
        <f>Arrivals!I793</f>
        <v>0.73642727107296579</v>
      </c>
      <c r="P793" s="6">
        <f t="shared" si="307"/>
        <v>1921.1364272710725</v>
      </c>
      <c r="Q793" s="6">
        <f t="shared" si="308"/>
        <v>1442.1364272710725</v>
      </c>
      <c r="R793" s="6">
        <f t="shared" si="309"/>
        <v>1417.3799999999997</v>
      </c>
      <c r="S793" s="6">
        <f t="shared" si="310"/>
        <v>0</v>
      </c>
      <c r="T793" s="6">
        <f t="shared" si="311"/>
        <v>0</v>
      </c>
      <c r="U793" s="6">
        <f t="shared" si="312"/>
        <v>1417.3799999999997</v>
      </c>
      <c r="V793" s="6" t="str">
        <f>IF(MOD(C793-Settings!$B$32,Settings!$B$33)&lt;Settings!$B$30,"Up","Down")</f>
        <v>Up</v>
      </c>
      <c r="W793" s="6">
        <f>IF(OR(E793&gt;Settings!$B$30,Q793&gt;Settings!$B$37),0,1)</f>
        <v>0</v>
      </c>
      <c r="X793" s="6">
        <f>IF(AND(W793=1,Q793&lt;=Settings!$B$36),1,0)</f>
        <v>0</v>
      </c>
    </row>
    <row r="794" spans="1:24" x14ac:dyDescent="0.2">
      <c r="A794">
        <f>Arrivals!A794</f>
        <v>7</v>
      </c>
      <c r="B794">
        <f>Arrivals!B794</f>
        <v>69</v>
      </c>
      <c r="C794" s="6">
        <f>Arrivals!F794</f>
        <v>494</v>
      </c>
      <c r="D794" s="6">
        <f>Arrivals!K794</f>
        <v>300</v>
      </c>
      <c r="E794" s="6">
        <f>D794*8/ACE_Input!S74+ACE_Input!T74</f>
        <v>24.02</v>
      </c>
      <c r="F794" s="6">
        <f t="shared" si="302"/>
        <v>494</v>
      </c>
      <c r="G794" s="6">
        <f t="shared" si="313"/>
        <v>1920.3999999999996</v>
      </c>
      <c r="H794" s="6">
        <f t="shared" si="303"/>
        <v>1920.3999999999996</v>
      </c>
      <c r="I794" s="6">
        <f>MOD(H794-Settings!$B$32,Settings!$B$33)</f>
        <v>480.39999999999964</v>
      </c>
      <c r="J794" s="6">
        <f>IF(I794&lt;Settings!$B$30,IF(Settings!$B$30-I794&gt;=E794,H794,H794+(Settings!$B$30-I794)+Settings!$B$31),H794+(Settings!$B$33-I794))</f>
        <v>1920.3999999999996</v>
      </c>
      <c r="K794" s="6">
        <f t="shared" si="304"/>
        <v>1944.4199999999996</v>
      </c>
      <c r="L794" s="6">
        <f t="shared" si="305"/>
        <v>1944.4199999999996</v>
      </c>
      <c r="M794" s="6">
        <f t="shared" si="314"/>
        <v>1921.1364272710725</v>
      </c>
      <c r="N794" s="6">
        <f t="shared" si="306"/>
        <v>1944.4199999999996</v>
      </c>
      <c r="O794" s="6">
        <f>Arrivals!I794</f>
        <v>0.64268589891183014</v>
      </c>
      <c r="P794" s="6">
        <f t="shared" si="307"/>
        <v>1945.0626858989115</v>
      </c>
      <c r="Q794" s="6">
        <f t="shared" si="308"/>
        <v>1451.0626858989115</v>
      </c>
      <c r="R794" s="6">
        <f t="shared" si="309"/>
        <v>1426.3999999999996</v>
      </c>
      <c r="S794" s="6">
        <f t="shared" si="310"/>
        <v>0</v>
      </c>
      <c r="T794" s="6">
        <f t="shared" si="311"/>
        <v>0</v>
      </c>
      <c r="U794" s="6">
        <f t="shared" si="312"/>
        <v>1426.3999999999996</v>
      </c>
      <c r="V794" s="6" t="str">
        <f>IF(MOD(C794-Settings!$B$32,Settings!$B$33)&lt;Settings!$B$30,"Up","Down")</f>
        <v>Up</v>
      </c>
      <c r="W794" s="6">
        <f>IF(OR(E794&gt;Settings!$B$30,Q794&gt;Settings!$B$37),0,1)</f>
        <v>0</v>
      </c>
      <c r="X794" s="6">
        <f>IF(AND(W794=1,Q794&lt;=Settings!$B$36),1,0)</f>
        <v>0</v>
      </c>
    </row>
    <row r="795" spans="1:24" x14ac:dyDescent="0.2">
      <c r="A795">
        <f>Arrivals!A795</f>
        <v>7</v>
      </c>
      <c r="B795">
        <f>Arrivals!B795</f>
        <v>70</v>
      </c>
      <c r="C795" s="6">
        <f>Arrivals!F795</f>
        <v>499</v>
      </c>
      <c r="D795" s="6">
        <f>Arrivals!K795</f>
        <v>300</v>
      </c>
      <c r="E795" s="6">
        <f>D795*8/ACE_Input!S75+ACE_Input!T75</f>
        <v>24.02</v>
      </c>
      <c r="F795" s="6">
        <f t="shared" si="302"/>
        <v>499</v>
      </c>
      <c r="G795" s="6">
        <f t="shared" si="313"/>
        <v>1944.4199999999996</v>
      </c>
      <c r="H795" s="6">
        <f t="shared" si="303"/>
        <v>1944.4199999999996</v>
      </c>
      <c r="I795" s="6">
        <f>MOD(H795-Settings!$B$32,Settings!$B$33)</f>
        <v>504.41999999999962</v>
      </c>
      <c r="J795" s="6">
        <f>IF(I795&lt;Settings!$B$30,IF(Settings!$B$30-I795&gt;=E795,H795,H795+(Settings!$B$30-I795)+Settings!$B$31),H795+(Settings!$B$33-I795))</f>
        <v>1944.4199999999996</v>
      </c>
      <c r="K795" s="6">
        <f t="shared" si="304"/>
        <v>1968.4399999999996</v>
      </c>
      <c r="L795" s="6">
        <f t="shared" si="305"/>
        <v>1968.4399999999996</v>
      </c>
      <c r="M795" s="6">
        <f t="shared" si="314"/>
        <v>1945.0626858989115</v>
      </c>
      <c r="N795" s="6">
        <f t="shared" si="306"/>
        <v>1968.4399999999996</v>
      </c>
      <c r="O795" s="6">
        <f>Arrivals!I795</f>
        <v>4.0091257975994701</v>
      </c>
      <c r="P795" s="6">
        <f t="shared" si="307"/>
        <v>1972.449125797599</v>
      </c>
      <c r="Q795" s="6">
        <f t="shared" si="308"/>
        <v>1473.449125797599</v>
      </c>
      <c r="R795" s="6">
        <f t="shared" si="309"/>
        <v>1445.4199999999996</v>
      </c>
      <c r="S795" s="6">
        <f t="shared" si="310"/>
        <v>0</v>
      </c>
      <c r="T795" s="6">
        <f t="shared" si="311"/>
        <v>0</v>
      </c>
      <c r="U795" s="6">
        <f t="shared" si="312"/>
        <v>1445.4199999999996</v>
      </c>
      <c r="V795" s="6" t="str">
        <f>IF(MOD(C795-Settings!$B$32,Settings!$B$33)&lt;Settings!$B$30,"Up","Down")</f>
        <v>Up</v>
      </c>
      <c r="W795" s="6">
        <f>IF(OR(E795&gt;Settings!$B$30,Q795&gt;Settings!$B$37),0,1)</f>
        <v>0</v>
      </c>
      <c r="X795" s="6">
        <f>IF(AND(W795=1,Q795&lt;=Settings!$B$36),1,0)</f>
        <v>0</v>
      </c>
    </row>
    <row r="796" spans="1:24" x14ac:dyDescent="0.2">
      <c r="A796">
        <f>Arrivals!A796</f>
        <v>7</v>
      </c>
      <c r="B796">
        <f>Arrivals!B796</f>
        <v>71</v>
      </c>
      <c r="C796" s="6">
        <f>Arrivals!F796</f>
        <v>504</v>
      </c>
      <c r="D796" s="6">
        <f>Arrivals!K796</f>
        <v>300</v>
      </c>
      <c r="E796" s="6">
        <f>D796*8/ACE_Input!S76+ACE_Input!T76</f>
        <v>24.02</v>
      </c>
      <c r="F796" s="6">
        <f t="shared" si="302"/>
        <v>504</v>
      </c>
      <c r="G796" s="6">
        <f t="shared" si="313"/>
        <v>1968.4399999999996</v>
      </c>
      <c r="H796" s="6">
        <f t="shared" si="303"/>
        <v>1968.4399999999996</v>
      </c>
      <c r="I796" s="6">
        <f>MOD(H796-Settings!$B$32,Settings!$B$33)</f>
        <v>528.4399999999996</v>
      </c>
      <c r="J796" s="6">
        <f>IF(I796&lt;Settings!$B$30,IF(Settings!$B$30-I796&gt;=E796,H796,H796+(Settings!$B$30-I796)+Settings!$B$31),H796+(Settings!$B$33-I796))</f>
        <v>1968.4399999999996</v>
      </c>
      <c r="K796" s="6">
        <f t="shared" si="304"/>
        <v>1992.4599999999996</v>
      </c>
      <c r="L796" s="6">
        <f t="shared" si="305"/>
        <v>1992.4599999999996</v>
      </c>
      <c r="M796" s="6">
        <f t="shared" si="314"/>
        <v>1972.449125797599</v>
      </c>
      <c r="N796" s="6">
        <f t="shared" si="306"/>
        <v>1992.4599999999996</v>
      </c>
      <c r="O796" s="6">
        <f>Arrivals!I796</f>
        <v>0.60440956090265918</v>
      </c>
      <c r="P796" s="6">
        <f t="shared" si="307"/>
        <v>1993.0644095609023</v>
      </c>
      <c r="Q796" s="6">
        <f t="shared" si="308"/>
        <v>1489.0644095609023</v>
      </c>
      <c r="R796" s="6">
        <f t="shared" si="309"/>
        <v>1464.4399999999996</v>
      </c>
      <c r="S796" s="6">
        <f t="shared" si="310"/>
        <v>0</v>
      </c>
      <c r="T796" s="6">
        <f t="shared" si="311"/>
        <v>0</v>
      </c>
      <c r="U796" s="6">
        <f t="shared" si="312"/>
        <v>1464.4399999999996</v>
      </c>
      <c r="V796" s="6" t="str">
        <f>IF(MOD(C796-Settings!$B$32,Settings!$B$33)&lt;Settings!$B$30,"Up","Down")</f>
        <v>Up</v>
      </c>
      <c r="W796" s="6">
        <f>IF(OR(E796&gt;Settings!$B$30,Q796&gt;Settings!$B$37),0,1)</f>
        <v>0</v>
      </c>
      <c r="X796" s="6">
        <f>IF(AND(W796=1,Q796&lt;=Settings!$B$36),1,0)</f>
        <v>0</v>
      </c>
    </row>
    <row r="797" spans="1:24" x14ac:dyDescent="0.2">
      <c r="A797">
        <f>Arrivals!A797</f>
        <v>7</v>
      </c>
      <c r="B797">
        <f>Arrivals!B797</f>
        <v>72</v>
      </c>
      <c r="C797" s="6">
        <f>Arrivals!F797</f>
        <v>509</v>
      </c>
      <c r="D797" s="6">
        <f>Arrivals!K797</f>
        <v>300</v>
      </c>
      <c r="E797" s="6">
        <f>D797*8/ACE_Input!S77+ACE_Input!T77</f>
        <v>24.02</v>
      </c>
      <c r="F797" s="6">
        <f t="shared" si="302"/>
        <v>509</v>
      </c>
      <c r="G797" s="6">
        <f t="shared" si="313"/>
        <v>1992.4599999999996</v>
      </c>
      <c r="H797" s="6">
        <f t="shared" si="303"/>
        <v>1992.4599999999996</v>
      </c>
      <c r="I797" s="6">
        <f>MOD(H797-Settings!$B$32,Settings!$B$33)</f>
        <v>552.45999999999958</v>
      </c>
      <c r="J797" s="6">
        <f>IF(I797&lt;Settings!$B$30,IF(Settings!$B$30-I797&gt;=E797,H797,H797+(Settings!$B$30-I797)+Settings!$B$31),H797+(Settings!$B$33-I797))</f>
        <v>1992.4599999999996</v>
      </c>
      <c r="K797" s="6">
        <f t="shared" si="304"/>
        <v>2016.4799999999996</v>
      </c>
      <c r="L797" s="6">
        <f t="shared" si="305"/>
        <v>2016.4799999999996</v>
      </c>
      <c r="M797" s="6">
        <f t="shared" si="314"/>
        <v>1993.0644095609023</v>
      </c>
      <c r="N797" s="6">
        <f t="shared" si="306"/>
        <v>2016.4799999999996</v>
      </c>
      <c r="O797" s="6">
        <f>Arrivals!I797</f>
        <v>7.812260169372022E-2</v>
      </c>
      <c r="P797" s="6">
        <f t="shared" si="307"/>
        <v>2016.5581226016932</v>
      </c>
      <c r="Q797" s="6">
        <f t="shared" si="308"/>
        <v>1507.5581226016932</v>
      </c>
      <c r="R797" s="6">
        <f t="shared" si="309"/>
        <v>1483.4599999999996</v>
      </c>
      <c r="S797" s="6">
        <f t="shared" si="310"/>
        <v>0</v>
      </c>
      <c r="T797" s="6">
        <f t="shared" si="311"/>
        <v>0</v>
      </c>
      <c r="U797" s="6">
        <f t="shared" si="312"/>
        <v>1483.4599999999996</v>
      </c>
      <c r="V797" s="6" t="str">
        <f>IF(MOD(C797-Settings!$B$32,Settings!$B$33)&lt;Settings!$B$30,"Up","Down")</f>
        <v>Up</v>
      </c>
      <c r="W797" s="6">
        <f>IF(OR(E797&gt;Settings!$B$30,Q797&gt;Settings!$B$37),0,1)</f>
        <v>0</v>
      </c>
      <c r="X797" s="6">
        <f>IF(AND(W797=1,Q797&lt;=Settings!$B$36),1,0)</f>
        <v>0</v>
      </c>
    </row>
    <row r="798" spans="1:24" x14ac:dyDescent="0.2">
      <c r="A798">
        <f>Arrivals!A798</f>
        <v>7</v>
      </c>
      <c r="B798">
        <f>Arrivals!B798</f>
        <v>73</v>
      </c>
      <c r="C798" s="6">
        <f>Arrivals!F798</f>
        <v>514</v>
      </c>
      <c r="D798" s="6">
        <f>Arrivals!K798</f>
        <v>300</v>
      </c>
      <c r="E798" s="6">
        <f>D798*8/ACE_Input!S78+ACE_Input!T78</f>
        <v>24.02</v>
      </c>
      <c r="F798" s="6">
        <f t="shared" si="302"/>
        <v>514</v>
      </c>
      <c r="G798" s="6">
        <f t="shared" si="313"/>
        <v>2016.4799999999996</v>
      </c>
      <c r="H798" s="6">
        <f t="shared" si="303"/>
        <v>2016.4799999999996</v>
      </c>
      <c r="I798" s="6">
        <f>MOD(H798-Settings!$B$32,Settings!$B$33)</f>
        <v>576.47999999999956</v>
      </c>
      <c r="J798" s="6">
        <f>IF(I798&lt;Settings!$B$30,IF(Settings!$B$30-I798&gt;=E798,H798,H798+(Settings!$B$30-I798)+Settings!$B$31),H798+(Settings!$B$33-I798))</f>
        <v>2160</v>
      </c>
      <c r="K798" s="6">
        <f t="shared" si="304"/>
        <v>2184.02</v>
      </c>
      <c r="L798" s="6">
        <f t="shared" si="305"/>
        <v>2184.02</v>
      </c>
      <c r="M798" s="6">
        <f t="shared" si="314"/>
        <v>2016.5581226016932</v>
      </c>
      <c r="N798" s="6">
        <f t="shared" si="306"/>
        <v>2184.02</v>
      </c>
      <c r="O798" s="6">
        <f>Arrivals!I798</f>
        <v>0.27707678366371569</v>
      </c>
      <c r="P798" s="6">
        <f t="shared" si="307"/>
        <v>2184.2970767836637</v>
      </c>
      <c r="Q798" s="6">
        <f t="shared" si="308"/>
        <v>1670.2970767836637</v>
      </c>
      <c r="R798" s="6">
        <f t="shared" si="309"/>
        <v>1502.4799999999996</v>
      </c>
      <c r="S798" s="6">
        <f t="shared" si="310"/>
        <v>143.52000000000044</v>
      </c>
      <c r="T798" s="6">
        <f t="shared" si="311"/>
        <v>0</v>
      </c>
      <c r="U798" s="6">
        <f t="shared" si="312"/>
        <v>1646</v>
      </c>
      <c r="V798" s="6" t="str">
        <f>IF(MOD(C798-Settings!$B$32,Settings!$B$33)&lt;Settings!$B$30,"Up","Down")</f>
        <v>Up</v>
      </c>
      <c r="W798" s="6">
        <f>IF(OR(E798&gt;Settings!$B$30,Q798&gt;Settings!$B$37),0,1)</f>
        <v>0</v>
      </c>
      <c r="X798" s="6">
        <f>IF(AND(W798=1,Q798&lt;=Settings!$B$36),1,0)</f>
        <v>0</v>
      </c>
    </row>
    <row r="799" spans="1:24" x14ac:dyDescent="0.2">
      <c r="A799">
        <f>Arrivals!A799</f>
        <v>7</v>
      </c>
      <c r="B799">
        <f>Arrivals!B799</f>
        <v>74</v>
      </c>
      <c r="C799" s="6">
        <f>Arrivals!F799</f>
        <v>519</v>
      </c>
      <c r="D799" s="6">
        <f>Arrivals!K799</f>
        <v>300</v>
      </c>
      <c r="E799" s="6">
        <f>D799*8/ACE_Input!S79+ACE_Input!T79</f>
        <v>24.02</v>
      </c>
      <c r="F799" s="6">
        <f t="shared" si="302"/>
        <v>519</v>
      </c>
      <c r="G799" s="6">
        <f t="shared" si="313"/>
        <v>2184.02</v>
      </c>
      <c r="H799" s="6">
        <f t="shared" si="303"/>
        <v>2184.02</v>
      </c>
      <c r="I799" s="6">
        <f>MOD(H799-Settings!$B$32,Settings!$B$33)</f>
        <v>24.019999999999982</v>
      </c>
      <c r="J799" s="6">
        <f>IF(I799&lt;Settings!$B$30,IF(Settings!$B$30-I799&gt;=E799,H799,H799+(Settings!$B$30-I799)+Settings!$B$31),H799+(Settings!$B$33-I799))</f>
        <v>2184.02</v>
      </c>
      <c r="K799" s="6">
        <f t="shared" si="304"/>
        <v>2208.04</v>
      </c>
      <c r="L799" s="6">
        <f t="shared" si="305"/>
        <v>2208.04</v>
      </c>
      <c r="M799" s="6">
        <f t="shared" si="314"/>
        <v>2184.2970767836637</v>
      </c>
      <c r="N799" s="6">
        <f t="shared" si="306"/>
        <v>2208.04</v>
      </c>
      <c r="O799" s="6">
        <f>Arrivals!I799</f>
        <v>6.450576460775566</v>
      </c>
      <c r="P799" s="6">
        <f t="shared" si="307"/>
        <v>2214.4905764607756</v>
      </c>
      <c r="Q799" s="6">
        <f t="shared" si="308"/>
        <v>1695.4905764607756</v>
      </c>
      <c r="R799" s="6">
        <f t="shared" si="309"/>
        <v>1665.02</v>
      </c>
      <c r="S799" s="6">
        <f t="shared" si="310"/>
        <v>0</v>
      </c>
      <c r="T799" s="6">
        <f t="shared" si="311"/>
        <v>0</v>
      </c>
      <c r="U799" s="6">
        <f t="shared" si="312"/>
        <v>1665.02</v>
      </c>
      <c r="V799" s="6" t="str">
        <f>IF(MOD(C799-Settings!$B$32,Settings!$B$33)&lt;Settings!$B$30,"Up","Down")</f>
        <v>Up</v>
      </c>
      <c r="W799" s="6">
        <f>IF(OR(E799&gt;Settings!$B$30,Q799&gt;Settings!$B$37),0,1)</f>
        <v>0</v>
      </c>
      <c r="X799" s="6">
        <f>IF(AND(W799=1,Q799&lt;=Settings!$B$36),1,0)</f>
        <v>0</v>
      </c>
    </row>
    <row r="800" spans="1:24" x14ac:dyDescent="0.2">
      <c r="A800">
        <f>Arrivals!A800</f>
        <v>7</v>
      </c>
      <c r="B800">
        <f>Arrivals!B800</f>
        <v>75</v>
      </c>
      <c r="C800" s="6">
        <f>Arrivals!F800</f>
        <v>524</v>
      </c>
      <c r="D800" s="6">
        <f>Arrivals!K800</f>
        <v>300</v>
      </c>
      <c r="E800" s="6">
        <f>D800*8/ACE_Input!S80+ACE_Input!T80</f>
        <v>24.02</v>
      </c>
      <c r="F800" s="6">
        <f t="shared" si="302"/>
        <v>524</v>
      </c>
      <c r="G800" s="6">
        <f t="shared" si="313"/>
        <v>2208.04</v>
      </c>
      <c r="H800" s="6">
        <f t="shared" si="303"/>
        <v>2208.04</v>
      </c>
      <c r="I800" s="6">
        <f>MOD(H800-Settings!$B$32,Settings!$B$33)</f>
        <v>48.039999999999964</v>
      </c>
      <c r="J800" s="6">
        <f>IF(I800&lt;Settings!$B$30,IF(Settings!$B$30-I800&gt;=E800,H800,H800+(Settings!$B$30-I800)+Settings!$B$31),H800+(Settings!$B$33-I800))</f>
        <v>2208.04</v>
      </c>
      <c r="K800" s="6">
        <f t="shared" si="304"/>
        <v>2232.06</v>
      </c>
      <c r="L800" s="6">
        <f t="shared" si="305"/>
        <v>2232.06</v>
      </c>
      <c r="M800" s="6">
        <f t="shared" si="314"/>
        <v>2214.4905764607756</v>
      </c>
      <c r="N800" s="6">
        <f t="shared" si="306"/>
        <v>2232.06</v>
      </c>
      <c r="O800" s="6">
        <f>Arrivals!I800</f>
        <v>1.7855937736218328</v>
      </c>
      <c r="P800" s="6">
        <f t="shared" si="307"/>
        <v>2233.8455937736217</v>
      </c>
      <c r="Q800" s="6">
        <f t="shared" si="308"/>
        <v>1709.8455937736217</v>
      </c>
      <c r="R800" s="6">
        <f t="shared" si="309"/>
        <v>1684.04</v>
      </c>
      <c r="S800" s="6">
        <f t="shared" si="310"/>
        <v>0</v>
      </c>
      <c r="T800" s="6">
        <f t="shared" si="311"/>
        <v>0</v>
      </c>
      <c r="U800" s="6">
        <f t="shared" si="312"/>
        <v>1684.04</v>
      </c>
      <c r="V800" s="6" t="str">
        <f>IF(MOD(C800-Settings!$B$32,Settings!$B$33)&lt;Settings!$B$30,"Up","Down")</f>
        <v>Up</v>
      </c>
      <c r="W800" s="6">
        <f>IF(OR(E800&gt;Settings!$B$30,Q800&gt;Settings!$B$37),0,1)</f>
        <v>0</v>
      </c>
      <c r="X800" s="6">
        <f>IF(AND(W800=1,Q800&lt;=Settings!$B$36),1,0)</f>
        <v>0</v>
      </c>
    </row>
    <row r="801" spans="1:24" x14ac:dyDescent="0.2">
      <c r="A801">
        <f>Arrivals!A801</f>
        <v>7</v>
      </c>
      <c r="B801">
        <f>Arrivals!B801</f>
        <v>76</v>
      </c>
      <c r="C801" s="6">
        <f>Arrivals!F801</f>
        <v>529</v>
      </c>
      <c r="D801" s="6">
        <f>Arrivals!K801</f>
        <v>300</v>
      </c>
      <c r="E801" s="6">
        <f>D801*8/ACE_Input!S81+ACE_Input!T81</f>
        <v>24.02</v>
      </c>
      <c r="F801" s="6">
        <f t="shared" si="302"/>
        <v>529</v>
      </c>
      <c r="G801" s="6">
        <f t="shared" si="313"/>
        <v>2232.06</v>
      </c>
      <c r="H801" s="6">
        <f t="shared" si="303"/>
        <v>2232.06</v>
      </c>
      <c r="I801" s="6">
        <f>MOD(H801-Settings!$B$32,Settings!$B$33)</f>
        <v>72.059999999999945</v>
      </c>
      <c r="J801" s="6">
        <f>IF(I801&lt;Settings!$B$30,IF(Settings!$B$30-I801&gt;=E801,H801,H801+(Settings!$B$30-I801)+Settings!$B$31),H801+(Settings!$B$33-I801))</f>
        <v>2232.06</v>
      </c>
      <c r="K801" s="6">
        <f t="shared" si="304"/>
        <v>2256.08</v>
      </c>
      <c r="L801" s="6">
        <f t="shared" si="305"/>
        <v>2256.08</v>
      </c>
      <c r="M801" s="6">
        <f t="shared" si="314"/>
        <v>2233.8455937736217</v>
      </c>
      <c r="N801" s="6">
        <f t="shared" si="306"/>
        <v>2256.08</v>
      </c>
      <c r="O801" s="6">
        <f>Arrivals!I801</f>
        <v>5.0572722842826812</v>
      </c>
      <c r="P801" s="6">
        <f t="shared" si="307"/>
        <v>2261.1372722842825</v>
      </c>
      <c r="Q801" s="6">
        <f t="shared" si="308"/>
        <v>1732.1372722842825</v>
      </c>
      <c r="R801" s="6">
        <f t="shared" si="309"/>
        <v>1703.06</v>
      </c>
      <c r="S801" s="6">
        <f t="shared" si="310"/>
        <v>0</v>
      </c>
      <c r="T801" s="6">
        <f t="shared" si="311"/>
        <v>0</v>
      </c>
      <c r="U801" s="6">
        <f t="shared" si="312"/>
        <v>1703.06</v>
      </c>
      <c r="V801" s="6" t="str">
        <f>IF(MOD(C801-Settings!$B$32,Settings!$B$33)&lt;Settings!$B$30,"Up","Down")</f>
        <v>Up</v>
      </c>
      <c r="W801" s="6">
        <f>IF(OR(E801&gt;Settings!$B$30,Q801&gt;Settings!$B$37),0,1)</f>
        <v>0</v>
      </c>
      <c r="X801" s="6">
        <f>IF(AND(W801=1,Q801&lt;=Settings!$B$36),1,0)</f>
        <v>0</v>
      </c>
    </row>
    <row r="802" spans="1:24" x14ac:dyDescent="0.2">
      <c r="A802">
        <f>Arrivals!A802</f>
        <v>7</v>
      </c>
      <c r="B802">
        <f>Arrivals!B802</f>
        <v>77</v>
      </c>
      <c r="C802" s="6">
        <f>Arrivals!F802</f>
        <v>534</v>
      </c>
      <c r="D802" s="6">
        <f>Arrivals!K802</f>
        <v>300</v>
      </c>
      <c r="E802" s="6">
        <f>D802*8/ACE_Input!S82+ACE_Input!T82</f>
        <v>24.02</v>
      </c>
      <c r="F802" s="6">
        <f t="shared" si="302"/>
        <v>534</v>
      </c>
      <c r="G802" s="6">
        <f t="shared" si="313"/>
        <v>2256.08</v>
      </c>
      <c r="H802" s="6">
        <f t="shared" si="303"/>
        <v>2256.08</v>
      </c>
      <c r="I802" s="6">
        <f>MOD(H802-Settings!$B$32,Settings!$B$33)</f>
        <v>96.079999999999927</v>
      </c>
      <c r="J802" s="6">
        <f>IF(I802&lt;Settings!$B$30,IF(Settings!$B$30-I802&gt;=E802,H802,H802+(Settings!$B$30-I802)+Settings!$B$31),H802+(Settings!$B$33-I802))</f>
        <v>2256.08</v>
      </c>
      <c r="K802" s="6">
        <f t="shared" si="304"/>
        <v>2280.1</v>
      </c>
      <c r="L802" s="6">
        <f t="shared" si="305"/>
        <v>2280.1</v>
      </c>
      <c r="M802" s="6">
        <f t="shared" si="314"/>
        <v>2261.1372722842825</v>
      </c>
      <c r="N802" s="6">
        <f t="shared" si="306"/>
        <v>2280.1</v>
      </c>
      <c r="O802" s="6">
        <f>Arrivals!I802</f>
        <v>0.73689983287233685</v>
      </c>
      <c r="P802" s="6">
        <f t="shared" si="307"/>
        <v>2280.8368998328724</v>
      </c>
      <c r="Q802" s="6">
        <f t="shared" si="308"/>
        <v>1746.8368998328724</v>
      </c>
      <c r="R802" s="6">
        <f t="shared" si="309"/>
        <v>1722.08</v>
      </c>
      <c r="S802" s="6">
        <f t="shared" si="310"/>
        <v>0</v>
      </c>
      <c r="T802" s="6">
        <f t="shared" si="311"/>
        <v>0</v>
      </c>
      <c r="U802" s="6">
        <f t="shared" si="312"/>
        <v>1722.08</v>
      </c>
      <c r="V802" s="6" t="str">
        <f>IF(MOD(C802-Settings!$B$32,Settings!$B$33)&lt;Settings!$B$30,"Up","Down")</f>
        <v>Up</v>
      </c>
      <c r="W802" s="6">
        <f>IF(OR(E802&gt;Settings!$B$30,Q802&gt;Settings!$B$37),0,1)</f>
        <v>0</v>
      </c>
      <c r="X802" s="6">
        <f>IF(AND(W802=1,Q802&lt;=Settings!$B$36),1,0)</f>
        <v>0</v>
      </c>
    </row>
    <row r="803" spans="1:24" x14ac:dyDescent="0.2">
      <c r="A803">
        <f>Arrivals!A803</f>
        <v>7</v>
      </c>
      <c r="B803">
        <f>Arrivals!B803</f>
        <v>78</v>
      </c>
      <c r="C803" s="6">
        <f>Arrivals!F803</f>
        <v>539</v>
      </c>
      <c r="D803" s="6">
        <f>Arrivals!K803</f>
        <v>300</v>
      </c>
      <c r="E803" s="6">
        <f>D803*8/ACE_Input!S83+ACE_Input!T83</f>
        <v>24.02</v>
      </c>
      <c r="F803" s="6">
        <f t="shared" si="302"/>
        <v>539</v>
      </c>
      <c r="G803" s="6">
        <f t="shared" si="313"/>
        <v>2280.1</v>
      </c>
      <c r="H803" s="6">
        <f t="shared" si="303"/>
        <v>2280.1</v>
      </c>
      <c r="I803" s="6">
        <f>MOD(H803-Settings!$B$32,Settings!$B$33)</f>
        <v>120.09999999999991</v>
      </c>
      <c r="J803" s="6">
        <f>IF(I803&lt;Settings!$B$30,IF(Settings!$B$30-I803&gt;=E803,H803,H803+(Settings!$B$30-I803)+Settings!$B$31),H803+(Settings!$B$33-I803))</f>
        <v>2280.1</v>
      </c>
      <c r="K803" s="6">
        <f t="shared" si="304"/>
        <v>2304.12</v>
      </c>
      <c r="L803" s="6">
        <f t="shared" si="305"/>
        <v>2304.12</v>
      </c>
      <c r="M803" s="6">
        <f t="shared" si="314"/>
        <v>2280.8368998328724</v>
      </c>
      <c r="N803" s="6">
        <f t="shared" si="306"/>
        <v>2304.12</v>
      </c>
      <c r="O803" s="6">
        <f>Arrivals!I803</f>
        <v>6.4384465735963365</v>
      </c>
      <c r="P803" s="6">
        <f t="shared" si="307"/>
        <v>2310.558446573596</v>
      </c>
      <c r="Q803" s="6">
        <f t="shared" si="308"/>
        <v>1771.558446573596</v>
      </c>
      <c r="R803" s="6">
        <f t="shared" si="309"/>
        <v>1741.1</v>
      </c>
      <c r="S803" s="6">
        <f t="shared" si="310"/>
        <v>0</v>
      </c>
      <c r="T803" s="6">
        <f t="shared" si="311"/>
        <v>0</v>
      </c>
      <c r="U803" s="6">
        <f t="shared" si="312"/>
        <v>1741.1</v>
      </c>
      <c r="V803" s="6" t="str">
        <f>IF(MOD(C803-Settings!$B$32,Settings!$B$33)&lt;Settings!$B$30,"Up","Down")</f>
        <v>Up</v>
      </c>
      <c r="W803" s="6">
        <f>IF(OR(E803&gt;Settings!$B$30,Q803&gt;Settings!$B$37),0,1)</f>
        <v>0</v>
      </c>
      <c r="X803" s="6">
        <f>IF(AND(W803=1,Q803&lt;=Settings!$B$36),1,0)</f>
        <v>0</v>
      </c>
    </row>
    <row r="804" spans="1:24" x14ac:dyDescent="0.2">
      <c r="A804">
        <f>Arrivals!A804</f>
        <v>7</v>
      </c>
      <c r="B804">
        <f>Arrivals!B804</f>
        <v>79</v>
      </c>
      <c r="C804" s="6">
        <f>Arrivals!F804</f>
        <v>544</v>
      </c>
      <c r="D804" s="6">
        <f>Arrivals!K804</f>
        <v>300</v>
      </c>
      <c r="E804" s="6">
        <f>D804*8/ACE_Input!S84+ACE_Input!T84</f>
        <v>24.02</v>
      </c>
      <c r="F804" s="6">
        <f t="shared" si="302"/>
        <v>544</v>
      </c>
      <c r="G804" s="6">
        <f t="shared" si="313"/>
        <v>2304.12</v>
      </c>
      <c r="H804" s="6">
        <f t="shared" si="303"/>
        <v>2304.12</v>
      </c>
      <c r="I804" s="6">
        <f>MOD(H804-Settings!$B$32,Settings!$B$33)</f>
        <v>144.11999999999989</v>
      </c>
      <c r="J804" s="6">
        <f>IF(I804&lt;Settings!$B$30,IF(Settings!$B$30-I804&gt;=E804,H804,H804+(Settings!$B$30-I804)+Settings!$B$31),H804+(Settings!$B$33-I804))</f>
        <v>2304.12</v>
      </c>
      <c r="K804" s="6">
        <f t="shared" si="304"/>
        <v>2328.14</v>
      </c>
      <c r="L804" s="6">
        <f t="shared" si="305"/>
        <v>2328.14</v>
      </c>
      <c r="M804" s="6">
        <f t="shared" si="314"/>
        <v>2310.558446573596</v>
      </c>
      <c r="N804" s="6">
        <f t="shared" si="306"/>
        <v>2328.14</v>
      </c>
      <c r="O804" s="6">
        <f>Arrivals!I804</f>
        <v>0.81301342216124328</v>
      </c>
      <c r="P804" s="6">
        <f t="shared" si="307"/>
        <v>2328.9530134221609</v>
      </c>
      <c r="Q804" s="6">
        <f t="shared" si="308"/>
        <v>1784.9530134221609</v>
      </c>
      <c r="R804" s="6">
        <f t="shared" si="309"/>
        <v>1760.12</v>
      </c>
      <c r="S804" s="6">
        <f t="shared" si="310"/>
        <v>0</v>
      </c>
      <c r="T804" s="6">
        <f t="shared" si="311"/>
        <v>0</v>
      </c>
      <c r="U804" s="6">
        <f t="shared" si="312"/>
        <v>1760.12</v>
      </c>
      <c r="V804" s="6" t="str">
        <f>IF(MOD(C804-Settings!$B$32,Settings!$B$33)&lt;Settings!$B$30,"Up","Down")</f>
        <v>Up</v>
      </c>
      <c r="W804" s="6">
        <f>IF(OR(E804&gt;Settings!$B$30,Q804&gt;Settings!$B$37),0,1)</f>
        <v>0</v>
      </c>
      <c r="X804" s="6">
        <f>IF(AND(W804=1,Q804&lt;=Settings!$B$36),1,0)</f>
        <v>0</v>
      </c>
    </row>
    <row r="805" spans="1:24" x14ac:dyDescent="0.2">
      <c r="A805">
        <f>Arrivals!A805</f>
        <v>7</v>
      </c>
      <c r="B805">
        <f>Arrivals!B805</f>
        <v>80</v>
      </c>
      <c r="C805" s="6">
        <f>Arrivals!F805</f>
        <v>549</v>
      </c>
      <c r="D805" s="6">
        <f>Arrivals!K805</f>
        <v>300</v>
      </c>
      <c r="E805" s="6">
        <f>D805*8/ACE_Input!S85+ACE_Input!T85</f>
        <v>24.02</v>
      </c>
      <c r="F805" s="6">
        <f t="shared" si="302"/>
        <v>549</v>
      </c>
      <c r="G805" s="6">
        <f t="shared" si="313"/>
        <v>2328.14</v>
      </c>
      <c r="H805" s="6">
        <f t="shared" si="303"/>
        <v>2328.14</v>
      </c>
      <c r="I805" s="6">
        <f>MOD(H805-Settings!$B$32,Settings!$B$33)</f>
        <v>168.13999999999987</v>
      </c>
      <c r="J805" s="6">
        <f>IF(I805&lt;Settings!$B$30,IF(Settings!$B$30-I805&gt;=E805,H805,H805+(Settings!$B$30-I805)+Settings!$B$31),H805+(Settings!$B$33-I805))</f>
        <v>2328.14</v>
      </c>
      <c r="K805" s="6">
        <f t="shared" si="304"/>
        <v>2352.16</v>
      </c>
      <c r="L805" s="6">
        <f t="shared" si="305"/>
        <v>2352.16</v>
      </c>
      <c r="M805" s="6">
        <f t="shared" si="314"/>
        <v>2328.9530134221609</v>
      </c>
      <c r="N805" s="6">
        <f t="shared" si="306"/>
        <v>2352.16</v>
      </c>
      <c r="O805" s="6">
        <f>Arrivals!I805</f>
        <v>1.3530307890187059</v>
      </c>
      <c r="P805" s="6">
        <f t="shared" si="307"/>
        <v>2353.5130307890186</v>
      </c>
      <c r="Q805" s="6">
        <f t="shared" si="308"/>
        <v>1804.5130307890186</v>
      </c>
      <c r="R805" s="6">
        <f t="shared" si="309"/>
        <v>1779.1399999999999</v>
      </c>
      <c r="S805" s="6">
        <f t="shared" si="310"/>
        <v>0</v>
      </c>
      <c r="T805" s="6">
        <f t="shared" si="311"/>
        <v>0</v>
      </c>
      <c r="U805" s="6">
        <f t="shared" si="312"/>
        <v>1779.1399999999999</v>
      </c>
      <c r="V805" s="6" t="str">
        <f>IF(MOD(C805-Settings!$B$32,Settings!$B$33)&lt;Settings!$B$30,"Up","Down")</f>
        <v>Up</v>
      </c>
      <c r="W805" s="6">
        <f>IF(OR(E805&gt;Settings!$B$30,Q805&gt;Settings!$B$37),0,1)</f>
        <v>0</v>
      </c>
      <c r="X805" s="6">
        <f>IF(AND(W805=1,Q805&lt;=Settings!$B$36),1,0)</f>
        <v>0</v>
      </c>
    </row>
    <row r="806" spans="1:24" x14ac:dyDescent="0.2">
      <c r="A806">
        <f>Arrivals!A806</f>
        <v>7</v>
      </c>
      <c r="B806">
        <f>Arrivals!B806</f>
        <v>81</v>
      </c>
      <c r="C806" s="6">
        <f>Arrivals!F806</f>
        <v>554</v>
      </c>
      <c r="D806" s="6">
        <f>Arrivals!K806</f>
        <v>300</v>
      </c>
      <c r="E806" s="6">
        <f>D806*8/ACE_Input!S86+ACE_Input!T86</f>
        <v>24.02</v>
      </c>
      <c r="F806" s="6">
        <f t="shared" si="302"/>
        <v>554</v>
      </c>
      <c r="G806" s="6">
        <f t="shared" si="313"/>
        <v>2352.16</v>
      </c>
      <c r="H806" s="6">
        <f t="shared" si="303"/>
        <v>2352.16</v>
      </c>
      <c r="I806" s="6">
        <f>MOD(H806-Settings!$B$32,Settings!$B$33)</f>
        <v>192.15999999999985</v>
      </c>
      <c r="J806" s="6">
        <f>IF(I806&lt;Settings!$B$30,IF(Settings!$B$30-I806&gt;=E806,H806,H806+(Settings!$B$30-I806)+Settings!$B$31),H806+(Settings!$B$33-I806))</f>
        <v>2352.16</v>
      </c>
      <c r="K806" s="6">
        <f t="shared" si="304"/>
        <v>2376.1799999999998</v>
      </c>
      <c r="L806" s="6">
        <f t="shared" si="305"/>
        <v>2376.1799999999998</v>
      </c>
      <c r="M806" s="6">
        <f t="shared" si="314"/>
        <v>2353.5130307890186</v>
      </c>
      <c r="N806" s="6">
        <f t="shared" si="306"/>
        <v>2376.1799999999998</v>
      </c>
      <c r="O806" s="6">
        <f>Arrivals!I806</f>
        <v>2.1468383016411701</v>
      </c>
      <c r="P806" s="6">
        <f t="shared" si="307"/>
        <v>2378.3268383016411</v>
      </c>
      <c r="Q806" s="6">
        <f t="shared" si="308"/>
        <v>1824.3268383016411</v>
      </c>
      <c r="R806" s="6">
        <f t="shared" si="309"/>
        <v>1798.1599999999999</v>
      </c>
      <c r="S806" s="6">
        <f t="shared" si="310"/>
        <v>0</v>
      </c>
      <c r="T806" s="6">
        <f t="shared" si="311"/>
        <v>0</v>
      </c>
      <c r="U806" s="6">
        <f t="shared" si="312"/>
        <v>1798.1599999999999</v>
      </c>
      <c r="V806" s="6" t="str">
        <f>IF(MOD(C806-Settings!$B$32,Settings!$B$33)&lt;Settings!$B$30,"Up","Down")</f>
        <v>Up</v>
      </c>
      <c r="W806" s="6">
        <f>IF(OR(E806&gt;Settings!$B$30,Q806&gt;Settings!$B$37),0,1)</f>
        <v>0</v>
      </c>
      <c r="X806" s="6">
        <f>IF(AND(W806=1,Q806&lt;=Settings!$B$36),1,0)</f>
        <v>0</v>
      </c>
    </row>
    <row r="807" spans="1:24" x14ac:dyDescent="0.2">
      <c r="A807">
        <f>Arrivals!A807</f>
        <v>7</v>
      </c>
      <c r="B807">
        <f>Arrivals!B807</f>
        <v>82</v>
      </c>
      <c r="C807" s="6">
        <f>Arrivals!F807</f>
        <v>559</v>
      </c>
      <c r="D807" s="6">
        <f>Arrivals!K807</f>
        <v>300</v>
      </c>
      <c r="E807" s="6">
        <f>D807*8/ACE_Input!S87+ACE_Input!T87</f>
        <v>24.02</v>
      </c>
      <c r="F807" s="6">
        <f t="shared" si="302"/>
        <v>559</v>
      </c>
      <c r="G807" s="6">
        <f t="shared" si="313"/>
        <v>2376.1799999999998</v>
      </c>
      <c r="H807" s="6">
        <f t="shared" si="303"/>
        <v>2376.1799999999998</v>
      </c>
      <c r="I807" s="6">
        <f>MOD(H807-Settings!$B$32,Settings!$B$33)</f>
        <v>216.17999999999984</v>
      </c>
      <c r="J807" s="6">
        <f>IF(I807&lt;Settings!$B$30,IF(Settings!$B$30-I807&gt;=E807,H807,H807+(Settings!$B$30-I807)+Settings!$B$31),H807+(Settings!$B$33-I807))</f>
        <v>2376.1799999999998</v>
      </c>
      <c r="K807" s="6">
        <f t="shared" si="304"/>
        <v>2400.1999999999998</v>
      </c>
      <c r="L807" s="6">
        <f t="shared" si="305"/>
        <v>2400.1999999999998</v>
      </c>
      <c r="M807" s="6">
        <f t="shared" si="314"/>
        <v>2378.3268383016411</v>
      </c>
      <c r="N807" s="6">
        <f t="shared" si="306"/>
        <v>2400.1999999999998</v>
      </c>
      <c r="O807" s="6">
        <f>Arrivals!I807</f>
        <v>2.5380255272943266</v>
      </c>
      <c r="P807" s="6">
        <f t="shared" si="307"/>
        <v>2402.7380255272942</v>
      </c>
      <c r="Q807" s="6">
        <f t="shared" si="308"/>
        <v>1843.7380255272942</v>
      </c>
      <c r="R807" s="6">
        <f t="shared" si="309"/>
        <v>1817.1799999999998</v>
      </c>
      <c r="S807" s="6">
        <f t="shared" si="310"/>
        <v>0</v>
      </c>
      <c r="T807" s="6">
        <f t="shared" si="311"/>
        <v>0</v>
      </c>
      <c r="U807" s="6">
        <f t="shared" si="312"/>
        <v>1817.1799999999998</v>
      </c>
      <c r="V807" s="6" t="str">
        <f>IF(MOD(C807-Settings!$B$32,Settings!$B$33)&lt;Settings!$B$30,"Up","Down")</f>
        <v>Up</v>
      </c>
      <c r="W807" s="6">
        <f>IF(OR(E807&gt;Settings!$B$30,Q807&gt;Settings!$B$37),0,1)</f>
        <v>0</v>
      </c>
      <c r="X807" s="6">
        <f>IF(AND(W807=1,Q807&lt;=Settings!$B$36),1,0)</f>
        <v>0</v>
      </c>
    </row>
    <row r="808" spans="1:24" x14ac:dyDescent="0.2">
      <c r="A808">
        <f>Arrivals!A808</f>
        <v>7</v>
      </c>
      <c r="B808">
        <f>Arrivals!B808</f>
        <v>83</v>
      </c>
      <c r="C808" s="6">
        <f>Arrivals!F808</f>
        <v>564</v>
      </c>
      <c r="D808" s="6">
        <f>Arrivals!K808</f>
        <v>300</v>
      </c>
      <c r="E808" s="6">
        <f>D808*8/ACE_Input!S88+ACE_Input!T88</f>
        <v>24.02</v>
      </c>
      <c r="F808" s="6">
        <f t="shared" si="302"/>
        <v>564</v>
      </c>
      <c r="G808" s="6">
        <f t="shared" si="313"/>
        <v>2400.1999999999998</v>
      </c>
      <c r="H808" s="6">
        <f t="shared" si="303"/>
        <v>2400.1999999999998</v>
      </c>
      <c r="I808" s="6">
        <f>MOD(H808-Settings!$B$32,Settings!$B$33)</f>
        <v>240.19999999999982</v>
      </c>
      <c r="J808" s="6">
        <f>IF(I808&lt;Settings!$B$30,IF(Settings!$B$30-I808&gt;=E808,H808,H808+(Settings!$B$30-I808)+Settings!$B$31),H808+(Settings!$B$33-I808))</f>
        <v>2400.1999999999998</v>
      </c>
      <c r="K808" s="6">
        <f t="shared" si="304"/>
        <v>2424.2199999999998</v>
      </c>
      <c r="L808" s="6">
        <f t="shared" si="305"/>
        <v>2424.2199999999998</v>
      </c>
      <c r="M808" s="6">
        <f t="shared" si="314"/>
        <v>2402.7380255272942</v>
      </c>
      <c r="N808" s="6">
        <f t="shared" si="306"/>
        <v>2424.2199999999998</v>
      </c>
      <c r="O808" s="6">
        <f>Arrivals!I808</f>
        <v>15.035528525775579</v>
      </c>
      <c r="P808" s="6">
        <f t="shared" si="307"/>
        <v>2439.2555285257754</v>
      </c>
      <c r="Q808" s="6">
        <f t="shared" si="308"/>
        <v>1875.2555285257754</v>
      </c>
      <c r="R808" s="6">
        <f t="shared" si="309"/>
        <v>1836.1999999999998</v>
      </c>
      <c r="S808" s="6">
        <f t="shared" si="310"/>
        <v>0</v>
      </c>
      <c r="T808" s="6">
        <f t="shared" si="311"/>
        <v>0</v>
      </c>
      <c r="U808" s="6">
        <f t="shared" si="312"/>
        <v>1836.1999999999998</v>
      </c>
      <c r="V808" s="6" t="str">
        <f>IF(MOD(C808-Settings!$B$32,Settings!$B$33)&lt;Settings!$B$30,"Up","Down")</f>
        <v>Up</v>
      </c>
      <c r="W808" s="6">
        <f>IF(OR(E808&gt;Settings!$B$30,Q808&gt;Settings!$B$37),0,1)</f>
        <v>0</v>
      </c>
      <c r="X808" s="6">
        <f>IF(AND(W808=1,Q808&lt;=Settings!$B$36),1,0)</f>
        <v>0</v>
      </c>
    </row>
    <row r="809" spans="1:24" x14ac:dyDescent="0.2">
      <c r="A809">
        <f>Arrivals!A809</f>
        <v>7</v>
      </c>
      <c r="B809">
        <f>Arrivals!B809</f>
        <v>84</v>
      </c>
      <c r="C809" s="6">
        <f>Arrivals!F809</f>
        <v>569</v>
      </c>
      <c r="D809" s="6">
        <f>Arrivals!K809</f>
        <v>300</v>
      </c>
      <c r="E809" s="6">
        <f>D809*8/ACE_Input!S89+ACE_Input!T89</f>
        <v>24.02</v>
      </c>
      <c r="F809" s="6">
        <f t="shared" si="302"/>
        <v>569</v>
      </c>
      <c r="G809" s="6">
        <f t="shared" si="313"/>
        <v>2424.2199999999998</v>
      </c>
      <c r="H809" s="6">
        <f t="shared" si="303"/>
        <v>2424.2199999999998</v>
      </c>
      <c r="I809" s="6">
        <f>MOD(H809-Settings!$B$32,Settings!$B$33)</f>
        <v>264.2199999999998</v>
      </c>
      <c r="J809" s="6">
        <f>IF(I809&lt;Settings!$B$30,IF(Settings!$B$30-I809&gt;=E809,H809,H809+(Settings!$B$30-I809)+Settings!$B$31),H809+(Settings!$B$33-I809))</f>
        <v>2424.2199999999998</v>
      </c>
      <c r="K809" s="6">
        <f t="shared" si="304"/>
        <v>2448.2399999999998</v>
      </c>
      <c r="L809" s="6">
        <f t="shared" si="305"/>
        <v>2448.2399999999998</v>
      </c>
      <c r="M809" s="6">
        <f t="shared" si="314"/>
        <v>2439.2555285257754</v>
      </c>
      <c r="N809" s="6">
        <f t="shared" si="306"/>
        <v>2448.2399999999998</v>
      </c>
      <c r="O809" s="6">
        <f>Arrivals!I809</f>
        <v>1.0583401035661717</v>
      </c>
      <c r="P809" s="6">
        <f t="shared" si="307"/>
        <v>2449.2983401035658</v>
      </c>
      <c r="Q809" s="6">
        <f t="shared" si="308"/>
        <v>1880.2983401035658</v>
      </c>
      <c r="R809" s="6">
        <f t="shared" si="309"/>
        <v>1855.2199999999998</v>
      </c>
      <c r="S809" s="6">
        <f t="shared" si="310"/>
        <v>0</v>
      </c>
      <c r="T809" s="6">
        <f t="shared" si="311"/>
        <v>0</v>
      </c>
      <c r="U809" s="6">
        <f t="shared" si="312"/>
        <v>1855.2199999999998</v>
      </c>
      <c r="V809" s="6" t="str">
        <f>IF(MOD(C809-Settings!$B$32,Settings!$B$33)&lt;Settings!$B$30,"Up","Down")</f>
        <v>Up</v>
      </c>
      <c r="W809" s="6">
        <f>IF(OR(E809&gt;Settings!$B$30,Q809&gt;Settings!$B$37),0,1)</f>
        <v>0</v>
      </c>
      <c r="X809" s="6">
        <f>IF(AND(W809=1,Q809&lt;=Settings!$B$36),1,0)</f>
        <v>0</v>
      </c>
    </row>
    <row r="810" spans="1:24" x14ac:dyDescent="0.2">
      <c r="A810">
        <f>Arrivals!A810</f>
        <v>7</v>
      </c>
      <c r="B810">
        <f>Arrivals!B810</f>
        <v>85</v>
      </c>
      <c r="C810" s="6">
        <f>Arrivals!F810</f>
        <v>574</v>
      </c>
      <c r="D810" s="6">
        <f>Arrivals!K810</f>
        <v>300</v>
      </c>
      <c r="E810" s="6">
        <f>D810*8/ACE_Input!S90+ACE_Input!T90</f>
        <v>24.02</v>
      </c>
      <c r="F810" s="6">
        <f t="shared" si="302"/>
        <v>574</v>
      </c>
      <c r="G810" s="6">
        <f t="shared" si="313"/>
        <v>2448.2399999999998</v>
      </c>
      <c r="H810" s="6">
        <f t="shared" si="303"/>
        <v>2448.2399999999998</v>
      </c>
      <c r="I810" s="6">
        <f>MOD(H810-Settings!$B$32,Settings!$B$33)</f>
        <v>288.23999999999978</v>
      </c>
      <c r="J810" s="6">
        <f>IF(I810&lt;Settings!$B$30,IF(Settings!$B$30-I810&gt;=E810,H810,H810+(Settings!$B$30-I810)+Settings!$B$31),H810+(Settings!$B$33-I810))</f>
        <v>2448.2399999999998</v>
      </c>
      <c r="K810" s="6">
        <f t="shared" si="304"/>
        <v>2472.2599999999998</v>
      </c>
      <c r="L810" s="6">
        <f t="shared" si="305"/>
        <v>2472.2599999999998</v>
      </c>
      <c r="M810" s="6">
        <f t="shared" si="314"/>
        <v>2449.2983401035658</v>
      </c>
      <c r="N810" s="6">
        <f t="shared" si="306"/>
        <v>2472.2599999999998</v>
      </c>
      <c r="O810" s="6">
        <f>Arrivals!I810</f>
        <v>0.98172847140166208</v>
      </c>
      <c r="P810" s="6">
        <f t="shared" si="307"/>
        <v>2473.2417284714015</v>
      </c>
      <c r="Q810" s="6">
        <f t="shared" si="308"/>
        <v>1899.2417284714015</v>
      </c>
      <c r="R810" s="6">
        <f t="shared" si="309"/>
        <v>1874.2399999999998</v>
      </c>
      <c r="S810" s="6">
        <f t="shared" si="310"/>
        <v>0</v>
      </c>
      <c r="T810" s="6">
        <f t="shared" si="311"/>
        <v>0</v>
      </c>
      <c r="U810" s="6">
        <f t="shared" si="312"/>
        <v>1874.2399999999998</v>
      </c>
      <c r="V810" s="6" t="str">
        <f>IF(MOD(C810-Settings!$B$32,Settings!$B$33)&lt;Settings!$B$30,"Up","Down")</f>
        <v>Up</v>
      </c>
      <c r="W810" s="6">
        <f>IF(OR(E810&gt;Settings!$B$30,Q810&gt;Settings!$B$37),0,1)</f>
        <v>0</v>
      </c>
      <c r="X810" s="6">
        <f>IF(AND(W810=1,Q810&lt;=Settings!$B$36),1,0)</f>
        <v>0</v>
      </c>
    </row>
    <row r="811" spans="1:24" x14ac:dyDescent="0.2">
      <c r="A811">
        <f>Arrivals!A811</f>
        <v>7</v>
      </c>
      <c r="B811">
        <f>Arrivals!B811</f>
        <v>86</v>
      </c>
      <c r="C811" s="6">
        <f>Arrivals!F811</f>
        <v>579</v>
      </c>
      <c r="D811" s="6">
        <f>Arrivals!K811</f>
        <v>300</v>
      </c>
      <c r="E811" s="6">
        <f>D811*8/ACE_Input!S91+ACE_Input!T91</f>
        <v>24.02</v>
      </c>
      <c r="F811" s="6">
        <f t="shared" si="302"/>
        <v>579</v>
      </c>
      <c r="G811" s="6">
        <f t="shared" si="313"/>
        <v>2472.2599999999998</v>
      </c>
      <c r="H811" s="6">
        <f t="shared" si="303"/>
        <v>2472.2599999999998</v>
      </c>
      <c r="I811" s="6">
        <f>MOD(H811-Settings!$B$32,Settings!$B$33)</f>
        <v>312.25999999999976</v>
      </c>
      <c r="J811" s="6">
        <f>IF(I811&lt;Settings!$B$30,IF(Settings!$B$30-I811&gt;=E811,H811,H811+(Settings!$B$30-I811)+Settings!$B$31),H811+(Settings!$B$33-I811))</f>
        <v>2472.2599999999998</v>
      </c>
      <c r="K811" s="6">
        <f t="shared" si="304"/>
        <v>2496.2799999999997</v>
      </c>
      <c r="L811" s="6">
        <f t="shared" si="305"/>
        <v>2496.2799999999997</v>
      </c>
      <c r="M811" s="6">
        <f t="shared" si="314"/>
        <v>2473.2417284714015</v>
      </c>
      <c r="N811" s="6">
        <f t="shared" si="306"/>
        <v>2496.2799999999997</v>
      </c>
      <c r="O811" s="6">
        <f>Arrivals!I811</f>
        <v>5.8453034055283473</v>
      </c>
      <c r="P811" s="6">
        <f t="shared" si="307"/>
        <v>2502.125303405528</v>
      </c>
      <c r="Q811" s="6">
        <f t="shared" si="308"/>
        <v>1923.125303405528</v>
      </c>
      <c r="R811" s="6">
        <f t="shared" si="309"/>
        <v>1893.2599999999998</v>
      </c>
      <c r="S811" s="6">
        <f t="shared" si="310"/>
        <v>0</v>
      </c>
      <c r="T811" s="6">
        <f t="shared" si="311"/>
        <v>0</v>
      </c>
      <c r="U811" s="6">
        <f t="shared" si="312"/>
        <v>1893.2599999999998</v>
      </c>
      <c r="V811" s="6" t="str">
        <f>IF(MOD(C811-Settings!$B$32,Settings!$B$33)&lt;Settings!$B$30,"Up","Down")</f>
        <v>Up</v>
      </c>
      <c r="W811" s="6">
        <f>IF(OR(E811&gt;Settings!$B$30,Q811&gt;Settings!$B$37),0,1)</f>
        <v>0</v>
      </c>
      <c r="X811" s="6">
        <f>IF(AND(W811=1,Q811&lt;=Settings!$B$36),1,0)</f>
        <v>0</v>
      </c>
    </row>
    <row r="812" spans="1:24" x14ac:dyDescent="0.2">
      <c r="A812">
        <f>Arrivals!A812</f>
        <v>7</v>
      </c>
      <c r="B812">
        <f>Arrivals!B812</f>
        <v>87</v>
      </c>
      <c r="C812" s="6">
        <f>Arrivals!F812</f>
        <v>584</v>
      </c>
      <c r="D812" s="6">
        <f>Arrivals!K812</f>
        <v>300</v>
      </c>
      <c r="E812" s="6">
        <f>D812*8/ACE_Input!S92+ACE_Input!T92</f>
        <v>24.02</v>
      </c>
      <c r="F812" s="6">
        <f t="shared" si="302"/>
        <v>584</v>
      </c>
      <c r="G812" s="6">
        <f t="shared" si="313"/>
        <v>2496.2799999999997</v>
      </c>
      <c r="H812" s="6">
        <f t="shared" si="303"/>
        <v>2496.2799999999997</v>
      </c>
      <c r="I812" s="6">
        <f>MOD(H812-Settings!$B$32,Settings!$B$33)</f>
        <v>336.27999999999975</v>
      </c>
      <c r="J812" s="6">
        <f>IF(I812&lt;Settings!$B$30,IF(Settings!$B$30-I812&gt;=E812,H812,H812+(Settings!$B$30-I812)+Settings!$B$31),H812+(Settings!$B$33-I812))</f>
        <v>2496.2799999999997</v>
      </c>
      <c r="K812" s="6">
        <f t="shared" si="304"/>
        <v>2520.2999999999997</v>
      </c>
      <c r="L812" s="6">
        <f t="shared" si="305"/>
        <v>2520.2999999999997</v>
      </c>
      <c r="M812" s="6">
        <f t="shared" si="314"/>
        <v>2502.125303405528</v>
      </c>
      <c r="N812" s="6">
        <f t="shared" si="306"/>
        <v>2520.2999999999997</v>
      </c>
      <c r="O812" s="6">
        <f>Arrivals!I812</f>
        <v>15.012909429729127</v>
      </c>
      <c r="P812" s="6">
        <f t="shared" si="307"/>
        <v>2535.3129094297287</v>
      </c>
      <c r="Q812" s="6">
        <f t="shared" si="308"/>
        <v>1951.3129094297287</v>
      </c>
      <c r="R812" s="6">
        <f t="shared" si="309"/>
        <v>1912.2799999999997</v>
      </c>
      <c r="S812" s="6">
        <f t="shared" si="310"/>
        <v>0</v>
      </c>
      <c r="T812" s="6">
        <f t="shared" si="311"/>
        <v>0</v>
      </c>
      <c r="U812" s="6">
        <f t="shared" si="312"/>
        <v>1912.2799999999997</v>
      </c>
      <c r="V812" s="6" t="str">
        <f>IF(MOD(C812-Settings!$B$32,Settings!$B$33)&lt;Settings!$B$30,"Up","Down")</f>
        <v>Up</v>
      </c>
      <c r="W812" s="6">
        <f>IF(OR(E812&gt;Settings!$B$30,Q812&gt;Settings!$B$37),0,1)</f>
        <v>0</v>
      </c>
      <c r="X812" s="6">
        <f>IF(AND(W812=1,Q812&lt;=Settings!$B$36),1,0)</f>
        <v>0</v>
      </c>
    </row>
    <row r="813" spans="1:24" x14ac:dyDescent="0.2">
      <c r="A813">
        <f>Arrivals!A813</f>
        <v>7</v>
      </c>
      <c r="B813">
        <f>Arrivals!B813</f>
        <v>88</v>
      </c>
      <c r="C813" s="6">
        <f>Arrivals!F813</f>
        <v>589</v>
      </c>
      <c r="D813" s="6">
        <f>Arrivals!K813</f>
        <v>300</v>
      </c>
      <c r="E813" s="6">
        <f>D813*8/ACE_Input!S93+ACE_Input!T93</f>
        <v>24.02</v>
      </c>
      <c r="F813" s="6">
        <f t="shared" si="302"/>
        <v>589</v>
      </c>
      <c r="G813" s="6">
        <f t="shared" si="313"/>
        <v>2520.2999999999997</v>
      </c>
      <c r="H813" s="6">
        <f t="shared" si="303"/>
        <v>2520.2999999999997</v>
      </c>
      <c r="I813" s="6">
        <f>MOD(H813-Settings!$B$32,Settings!$B$33)</f>
        <v>360.29999999999973</v>
      </c>
      <c r="J813" s="6">
        <f>IF(I813&lt;Settings!$B$30,IF(Settings!$B$30-I813&gt;=E813,H813,H813+(Settings!$B$30-I813)+Settings!$B$31),H813+(Settings!$B$33-I813))</f>
        <v>2520.2999999999997</v>
      </c>
      <c r="K813" s="6">
        <f t="shared" si="304"/>
        <v>2544.3199999999997</v>
      </c>
      <c r="L813" s="6">
        <f t="shared" si="305"/>
        <v>2544.3199999999997</v>
      </c>
      <c r="M813" s="6">
        <f t="shared" si="314"/>
        <v>2535.3129094297287</v>
      </c>
      <c r="N813" s="6">
        <f t="shared" si="306"/>
        <v>2544.3199999999997</v>
      </c>
      <c r="O813" s="6">
        <f>Arrivals!I813</f>
        <v>4.3610082410040073E-2</v>
      </c>
      <c r="P813" s="6">
        <f t="shared" si="307"/>
        <v>2544.3636100824097</v>
      </c>
      <c r="Q813" s="6">
        <f t="shared" si="308"/>
        <v>1955.3636100824097</v>
      </c>
      <c r="R813" s="6">
        <f t="shared" si="309"/>
        <v>1931.2999999999997</v>
      </c>
      <c r="S813" s="6">
        <f t="shared" si="310"/>
        <v>0</v>
      </c>
      <c r="T813" s="6">
        <f t="shared" si="311"/>
        <v>0</v>
      </c>
      <c r="U813" s="6">
        <f t="shared" si="312"/>
        <v>1931.2999999999997</v>
      </c>
      <c r="V813" s="6" t="str">
        <f>IF(MOD(C813-Settings!$B$32,Settings!$B$33)&lt;Settings!$B$30,"Up","Down")</f>
        <v>Up</v>
      </c>
      <c r="W813" s="6">
        <f>IF(OR(E813&gt;Settings!$B$30,Q813&gt;Settings!$B$37),0,1)</f>
        <v>0</v>
      </c>
      <c r="X813" s="6">
        <f>IF(AND(W813=1,Q813&lt;=Settings!$B$36),1,0)</f>
        <v>0</v>
      </c>
    </row>
    <row r="814" spans="1:24" x14ac:dyDescent="0.2">
      <c r="A814">
        <f>Arrivals!A814</f>
        <v>7</v>
      </c>
      <c r="B814">
        <f>Arrivals!B814</f>
        <v>89</v>
      </c>
      <c r="C814" s="6">
        <f>Arrivals!F814</f>
        <v>594</v>
      </c>
      <c r="D814" s="6">
        <f>Arrivals!K814</f>
        <v>300</v>
      </c>
      <c r="E814" s="6">
        <f>D814*8/ACE_Input!S94+ACE_Input!T94</f>
        <v>24.02</v>
      </c>
      <c r="F814" s="6">
        <f t="shared" si="302"/>
        <v>594</v>
      </c>
      <c r="G814" s="6">
        <f t="shared" si="313"/>
        <v>2544.3199999999997</v>
      </c>
      <c r="H814" s="6">
        <f t="shared" si="303"/>
        <v>2544.3199999999997</v>
      </c>
      <c r="I814" s="6">
        <f>MOD(H814-Settings!$B$32,Settings!$B$33)</f>
        <v>384.31999999999971</v>
      </c>
      <c r="J814" s="6">
        <f>IF(I814&lt;Settings!$B$30,IF(Settings!$B$30-I814&gt;=E814,H814,H814+(Settings!$B$30-I814)+Settings!$B$31),H814+(Settings!$B$33-I814))</f>
        <v>2544.3199999999997</v>
      </c>
      <c r="K814" s="6">
        <f t="shared" si="304"/>
        <v>2568.3399999999997</v>
      </c>
      <c r="L814" s="6">
        <f t="shared" si="305"/>
        <v>2568.3399999999997</v>
      </c>
      <c r="M814" s="6">
        <f t="shared" si="314"/>
        <v>2544.3636100824097</v>
      </c>
      <c r="N814" s="6">
        <f t="shared" si="306"/>
        <v>2568.3399999999997</v>
      </c>
      <c r="O814" s="6">
        <f>Arrivals!I814</f>
        <v>1.1156946880366021</v>
      </c>
      <c r="P814" s="6">
        <f t="shared" si="307"/>
        <v>2569.4556946880361</v>
      </c>
      <c r="Q814" s="6">
        <f t="shared" si="308"/>
        <v>1975.4556946880361</v>
      </c>
      <c r="R814" s="6">
        <f t="shared" si="309"/>
        <v>1950.3199999999997</v>
      </c>
      <c r="S814" s="6">
        <f t="shared" si="310"/>
        <v>0</v>
      </c>
      <c r="T814" s="6">
        <f t="shared" si="311"/>
        <v>0</v>
      </c>
      <c r="U814" s="6">
        <f t="shared" si="312"/>
        <v>1950.3199999999997</v>
      </c>
      <c r="V814" s="6" t="str">
        <f>IF(MOD(C814-Settings!$B$32,Settings!$B$33)&lt;Settings!$B$30,"Up","Down")</f>
        <v>Up</v>
      </c>
      <c r="W814" s="6">
        <f>IF(OR(E814&gt;Settings!$B$30,Q814&gt;Settings!$B$37),0,1)</f>
        <v>0</v>
      </c>
      <c r="X814" s="6">
        <f>IF(AND(W814=1,Q814&lt;=Settings!$B$36),1,0)</f>
        <v>0</v>
      </c>
    </row>
    <row r="815" spans="1:24" x14ac:dyDescent="0.2">
      <c r="A815">
        <f>Arrivals!A815</f>
        <v>7</v>
      </c>
      <c r="B815">
        <f>Arrivals!B815</f>
        <v>90</v>
      </c>
      <c r="C815" s="6">
        <f>Arrivals!F815</f>
        <v>599</v>
      </c>
      <c r="D815" s="6">
        <f>Arrivals!K815</f>
        <v>300</v>
      </c>
      <c r="E815" s="6">
        <f>D815*8/ACE_Input!S95+ACE_Input!T95</f>
        <v>24.02</v>
      </c>
      <c r="F815" s="6">
        <f t="shared" si="302"/>
        <v>599</v>
      </c>
      <c r="G815" s="6">
        <f t="shared" si="313"/>
        <v>2568.3399999999997</v>
      </c>
      <c r="H815" s="6">
        <f t="shared" si="303"/>
        <v>2568.3399999999997</v>
      </c>
      <c r="I815" s="6">
        <f>MOD(H815-Settings!$B$32,Settings!$B$33)</f>
        <v>408.33999999999969</v>
      </c>
      <c r="J815" s="6">
        <f>IF(I815&lt;Settings!$B$30,IF(Settings!$B$30-I815&gt;=E815,H815,H815+(Settings!$B$30-I815)+Settings!$B$31),H815+(Settings!$B$33-I815))</f>
        <v>2568.3399999999997</v>
      </c>
      <c r="K815" s="6">
        <f t="shared" si="304"/>
        <v>2592.3599999999997</v>
      </c>
      <c r="L815" s="6">
        <f t="shared" si="305"/>
        <v>2592.3599999999997</v>
      </c>
      <c r="M815" s="6">
        <f t="shared" si="314"/>
        <v>2569.4556946880361</v>
      </c>
      <c r="N815" s="6">
        <f t="shared" si="306"/>
        <v>2592.3599999999997</v>
      </c>
      <c r="O815" s="6">
        <f>Arrivals!I815</f>
        <v>7.9594722735609</v>
      </c>
      <c r="P815" s="6">
        <f t="shared" si="307"/>
        <v>2600.3194722735607</v>
      </c>
      <c r="Q815" s="6">
        <f t="shared" si="308"/>
        <v>2001.3194722735607</v>
      </c>
      <c r="R815" s="6">
        <f t="shared" si="309"/>
        <v>1969.3399999999997</v>
      </c>
      <c r="S815" s="6">
        <f t="shared" si="310"/>
        <v>0</v>
      </c>
      <c r="T815" s="6">
        <f t="shared" si="311"/>
        <v>0</v>
      </c>
      <c r="U815" s="6">
        <f t="shared" si="312"/>
        <v>1969.3399999999997</v>
      </c>
      <c r="V815" s="6" t="str">
        <f>IF(MOD(C815-Settings!$B$32,Settings!$B$33)&lt;Settings!$B$30,"Up","Down")</f>
        <v>Up</v>
      </c>
      <c r="W815" s="6">
        <f>IF(OR(E815&gt;Settings!$B$30,Q815&gt;Settings!$B$37),0,1)</f>
        <v>0</v>
      </c>
      <c r="X815" s="6">
        <f>IF(AND(W815=1,Q815&lt;=Settings!$B$36),1,0)</f>
        <v>0</v>
      </c>
    </row>
    <row r="816" spans="1:24" x14ac:dyDescent="0.2">
      <c r="A816">
        <f>Arrivals!A816</f>
        <v>7</v>
      </c>
      <c r="B816">
        <f>Arrivals!B816</f>
        <v>91</v>
      </c>
      <c r="C816" s="6">
        <f>Arrivals!F816</f>
        <v>604</v>
      </c>
      <c r="D816" s="6">
        <f>Arrivals!K816</f>
        <v>300</v>
      </c>
      <c r="E816" s="6">
        <f>D816*8/ACE_Input!S96+ACE_Input!T96</f>
        <v>24.02</v>
      </c>
      <c r="F816" s="6">
        <f t="shared" si="302"/>
        <v>604</v>
      </c>
      <c r="G816" s="6">
        <f t="shared" si="313"/>
        <v>2592.3599999999997</v>
      </c>
      <c r="H816" s="6">
        <f t="shared" si="303"/>
        <v>2592.3599999999997</v>
      </c>
      <c r="I816" s="6">
        <f>MOD(H816-Settings!$B$32,Settings!$B$33)</f>
        <v>432.35999999999967</v>
      </c>
      <c r="J816" s="6">
        <f>IF(I816&lt;Settings!$B$30,IF(Settings!$B$30-I816&gt;=E816,H816,H816+(Settings!$B$30-I816)+Settings!$B$31),H816+(Settings!$B$33-I816))</f>
        <v>2592.3599999999997</v>
      </c>
      <c r="K816" s="6">
        <f t="shared" si="304"/>
        <v>2616.3799999999997</v>
      </c>
      <c r="L816" s="6">
        <f t="shared" si="305"/>
        <v>2616.3799999999997</v>
      </c>
      <c r="M816" s="6">
        <f t="shared" si="314"/>
        <v>2600.3194722735607</v>
      </c>
      <c r="N816" s="6">
        <f t="shared" si="306"/>
        <v>2616.3799999999997</v>
      </c>
      <c r="O816" s="6">
        <f>Arrivals!I816</f>
        <v>1.187481057133452</v>
      </c>
      <c r="P816" s="6">
        <f t="shared" si="307"/>
        <v>2617.5674810571331</v>
      </c>
      <c r="Q816" s="6">
        <f t="shared" si="308"/>
        <v>2013.5674810571331</v>
      </c>
      <c r="R816" s="6">
        <f t="shared" si="309"/>
        <v>1988.3599999999997</v>
      </c>
      <c r="S816" s="6">
        <f t="shared" si="310"/>
        <v>0</v>
      </c>
      <c r="T816" s="6">
        <f t="shared" si="311"/>
        <v>0</v>
      </c>
      <c r="U816" s="6">
        <f t="shared" si="312"/>
        <v>1988.3599999999997</v>
      </c>
      <c r="V816" s="6" t="str">
        <f>IF(MOD(C816-Settings!$B$32,Settings!$B$33)&lt;Settings!$B$30,"Up","Down")</f>
        <v>Down</v>
      </c>
      <c r="W816" s="6">
        <f>IF(OR(E816&gt;Settings!$B$30,Q816&gt;Settings!$B$37),0,1)</f>
        <v>0</v>
      </c>
      <c r="X816" s="6">
        <f>IF(AND(W816=1,Q816&lt;=Settings!$B$36),1,0)</f>
        <v>0</v>
      </c>
    </row>
    <row r="817" spans="1:24" x14ac:dyDescent="0.2">
      <c r="A817">
        <f>Arrivals!A817</f>
        <v>7</v>
      </c>
      <c r="B817">
        <f>Arrivals!B817</f>
        <v>92</v>
      </c>
      <c r="C817" s="6">
        <f>Arrivals!F817</f>
        <v>609</v>
      </c>
      <c r="D817" s="6">
        <f>Arrivals!K817</f>
        <v>300</v>
      </c>
      <c r="E817" s="6">
        <f>D817*8/ACE_Input!S97+ACE_Input!T97</f>
        <v>24.02</v>
      </c>
      <c r="F817" s="6">
        <f t="shared" si="302"/>
        <v>609</v>
      </c>
      <c r="G817" s="6">
        <f t="shared" si="313"/>
        <v>2616.3799999999997</v>
      </c>
      <c r="H817" s="6">
        <f t="shared" si="303"/>
        <v>2616.3799999999997</v>
      </c>
      <c r="I817" s="6">
        <f>MOD(H817-Settings!$B$32,Settings!$B$33)</f>
        <v>456.37999999999965</v>
      </c>
      <c r="J817" s="6">
        <f>IF(I817&lt;Settings!$B$30,IF(Settings!$B$30-I817&gt;=E817,H817,H817+(Settings!$B$30-I817)+Settings!$B$31),H817+(Settings!$B$33-I817))</f>
        <v>2616.3799999999997</v>
      </c>
      <c r="K817" s="6">
        <f t="shared" si="304"/>
        <v>2640.3999999999996</v>
      </c>
      <c r="L817" s="6">
        <f t="shared" si="305"/>
        <v>2640.3999999999996</v>
      </c>
      <c r="M817" s="6">
        <f t="shared" si="314"/>
        <v>2617.5674810571331</v>
      </c>
      <c r="N817" s="6">
        <f t="shared" si="306"/>
        <v>2640.3999999999996</v>
      </c>
      <c r="O817" s="6">
        <f>Arrivals!I817</f>
        <v>0.15910390927103366</v>
      </c>
      <c r="P817" s="6">
        <f t="shared" si="307"/>
        <v>2640.5591039092706</v>
      </c>
      <c r="Q817" s="6">
        <f t="shared" si="308"/>
        <v>2031.5591039092706</v>
      </c>
      <c r="R817" s="6">
        <f t="shared" si="309"/>
        <v>2007.3799999999997</v>
      </c>
      <c r="S817" s="6">
        <f t="shared" si="310"/>
        <v>0</v>
      </c>
      <c r="T817" s="6">
        <f t="shared" si="311"/>
        <v>0</v>
      </c>
      <c r="U817" s="6">
        <f t="shared" si="312"/>
        <v>2007.3799999999997</v>
      </c>
      <c r="V817" s="6" t="str">
        <f>IF(MOD(C817-Settings!$B$32,Settings!$B$33)&lt;Settings!$B$30,"Up","Down")</f>
        <v>Down</v>
      </c>
      <c r="W817" s="6">
        <f>IF(OR(E817&gt;Settings!$B$30,Q817&gt;Settings!$B$37),0,1)</f>
        <v>0</v>
      </c>
      <c r="X817" s="6">
        <f>IF(AND(W817=1,Q817&lt;=Settings!$B$36),1,0)</f>
        <v>0</v>
      </c>
    </row>
    <row r="818" spans="1:24" x14ac:dyDescent="0.2">
      <c r="A818">
        <f>Arrivals!A818</f>
        <v>7</v>
      </c>
      <c r="B818">
        <f>Arrivals!B818</f>
        <v>93</v>
      </c>
      <c r="C818" s="6">
        <f>Arrivals!F818</f>
        <v>614</v>
      </c>
      <c r="D818" s="6">
        <f>Arrivals!K818</f>
        <v>300</v>
      </c>
      <c r="E818" s="6">
        <f>D818*8/ACE_Input!S98+ACE_Input!T98</f>
        <v>24.02</v>
      </c>
      <c r="F818" s="6">
        <f t="shared" si="302"/>
        <v>614</v>
      </c>
      <c r="G818" s="6">
        <f t="shared" si="313"/>
        <v>2640.3999999999996</v>
      </c>
      <c r="H818" s="6">
        <f t="shared" si="303"/>
        <v>2640.3999999999996</v>
      </c>
      <c r="I818" s="6">
        <f>MOD(H818-Settings!$B$32,Settings!$B$33)</f>
        <v>480.39999999999964</v>
      </c>
      <c r="J818" s="6">
        <f>IF(I818&lt;Settings!$B$30,IF(Settings!$B$30-I818&gt;=E818,H818,H818+(Settings!$B$30-I818)+Settings!$B$31),H818+(Settings!$B$33-I818))</f>
        <v>2640.3999999999996</v>
      </c>
      <c r="K818" s="6">
        <f t="shared" si="304"/>
        <v>2664.4199999999996</v>
      </c>
      <c r="L818" s="6">
        <f t="shared" si="305"/>
        <v>2664.4199999999996</v>
      </c>
      <c r="M818" s="6">
        <f t="shared" si="314"/>
        <v>2640.5591039092706</v>
      </c>
      <c r="N818" s="6">
        <f t="shared" si="306"/>
        <v>2664.4199999999996</v>
      </c>
      <c r="O818" s="6">
        <f>Arrivals!I818</f>
        <v>2.0033383105677403</v>
      </c>
      <c r="P818" s="6">
        <f t="shared" si="307"/>
        <v>2666.4233383105675</v>
      </c>
      <c r="Q818" s="6">
        <f t="shared" si="308"/>
        <v>2052.4233383105675</v>
      </c>
      <c r="R818" s="6">
        <f t="shared" si="309"/>
        <v>2026.3999999999996</v>
      </c>
      <c r="S818" s="6">
        <f t="shared" si="310"/>
        <v>0</v>
      </c>
      <c r="T818" s="6">
        <f t="shared" si="311"/>
        <v>0</v>
      </c>
      <c r="U818" s="6">
        <f t="shared" si="312"/>
        <v>2026.3999999999996</v>
      </c>
      <c r="V818" s="6" t="str">
        <f>IF(MOD(C818-Settings!$B$32,Settings!$B$33)&lt;Settings!$B$30,"Up","Down")</f>
        <v>Down</v>
      </c>
      <c r="W818" s="6">
        <f>IF(OR(E818&gt;Settings!$B$30,Q818&gt;Settings!$B$37),0,1)</f>
        <v>0</v>
      </c>
      <c r="X818" s="6">
        <f>IF(AND(W818=1,Q818&lt;=Settings!$B$36),1,0)</f>
        <v>0</v>
      </c>
    </row>
    <row r="819" spans="1:24" x14ac:dyDescent="0.2">
      <c r="A819">
        <f>Arrivals!A819</f>
        <v>7</v>
      </c>
      <c r="B819">
        <f>Arrivals!B819</f>
        <v>94</v>
      </c>
      <c r="C819" s="6">
        <f>Arrivals!F819</f>
        <v>619</v>
      </c>
      <c r="D819" s="6">
        <f>Arrivals!K819</f>
        <v>300</v>
      </c>
      <c r="E819" s="6">
        <f>D819*8/ACE_Input!S99+ACE_Input!T99</f>
        <v>24.02</v>
      </c>
      <c r="F819" s="6">
        <f t="shared" si="302"/>
        <v>619</v>
      </c>
      <c r="G819" s="6">
        <f t="shared" si="313"/>
        <v>2664.4199999999996</v>
      </c>
      <c r="H819" s="6">
        <f t="shared" si="303"/>
        <v>2664.4199999999996</v>
      </c>
      <c r="I819" s="6">
        <f>MOD(H819-Settings!$B$32,Settings!$B$33)</f>
        <v>504.41999999999962</v>
      </c>
      <c r="J819" s="6">
        <f>IF(I819&lt;Settings!$B$30,IF(Settings!$B$30-I819&gt;=E819,H819,H819+(Settings!$B$30-I819)+Settings!$B$31),H819+(Settings!$B$33-I819))</f>
        <v>2664.4199999999996</v>
      </c>
      <c r="K819" s="6">
        <f t="shared" si="304"/>
        <v>2688.4399999999996</v>
      </c>
      <c r="L819" s="6">
        <f t="shared" si="305"/>
        <v>2688.4399999999996</v>
      </c>
      <c r="M819" s="6">
        <f t="shared" si="314"/>
        <v>2666.4233383105675</v>
      </c>
      <c r="N819" s="6">
        <f t="shared" si="306"/>
        <v>2688.4399999999996</v>
      </c>
      <c r="O819" s="6">
        <f>Arrivals!I819</f>
        <v>3.1349563970956695</v>
      </c>
      <c r="P819" s="6">
        <f t="shared" si="307"/>
        <v>2691.5749563970953</v>
      </c>
      <c r="Q819" s="6">
        <f t="shared" si="308"/>
        <v>2072.5749563970953</v>
      </c>
      <c r="R819" s="6">
        <f t="shared" si="309"/>
        <v>2045.4199999999996</v>
      </c>
      <c r="S819" s="6">
        <f t="shared" si="310"/>
        <v>0</v>
      </c>
      <c r="T819" s="6">
        <f t="shared" si="311"/>
        <v>0</v>
      </c>
      <c r="U819" s="6">
        <f t="shared" si="312"/>
        <v>2045.4199999999996</v>
      </c>
      <c r="V819" s="6" t="str">
        <f>IF(MOD(C819-Settings!$B$32,Settings!$B$33)&lt;Settings!$B$30,"Up","Down")</f>
        <v>Down</v>
      </c>
      <c r="W819" s="6">
        <f>IF(OR(E819&gt;Settings!$B$30,Q819&gt;Settings!$B$37),0,1)</f>
        <v>0</v>
      </c>
      <c r="X819" s="6">
        <f>IF(AND(W819=1,Q819&lt;=Settings!$B$36),1,0)</f>
        <v>0</v>
      </c>
    </row>
    <row r="820" spans="1:24" x14ac:dyDescent="0.2">
      <c r="A820">
        <f>Arrivals!A820</f>
        <v>7</v>
      </c>
      <c r="B820">
        <f>Arrivals!B820</f>
        <v>95</v>
      </c>
      <c r="C820" s="6">
        <f>Arrivals!F820</f>
        <v>624</v>
      </c>
      <c r="D820" s="6">
        <f>Arrivals!K820</f>
        <v>300</v>
      </c>
      <c r="E820" s="6">
        <f>D820*8/ACE_Input!S100+ACE_Input!T100</f>
        <v>24.02</v>
      </c>
      <c r="F820" s="6">
        <f t="shared" si="302"/>
        <v>624</v>
      </c>
      <c r="G820" s="6">
        <f t="shared" si="313"/>
        <v>2688.4399999999996</v>
      </c>
      <c r="H820" s="6">
        <f t="shared" si="303"/>
        <v>2688.4399999999996</v>
      </c>
      <c r="I820" s="6">
        <f>MOD(H820-Settings!$B$32,Settings!$B$33)</f>
        <v>528.4399999999996</v>
      </c>
      <c r="J820" s="6">
        <f>IF(I820&lt;Settings!$B$30,IF(Settings!$B$30-I820&gt;=E820,H820,H820+(Settings!$B$30-I820)+Settings!$B$31),H820+(Settings!$B$33-I820))</f>
        <v>2688.4399999999996</v>
      </c>
      <c r="K820" s="6">
        <f t="shared" si="304"/>
        <v>2712.4599999999996</v>
      </c>
      <c r="L820" s="6">
        <f t="shared" si="305"/>
        <v>2712.4599999999996</v>
      </c>
      <c r="M820" s="6">
        <f t="shared" si="314"/>
        <v>2691.5749563970953</v>
      </c>
      <c r="N820" s="6">
        <f t="shared" si="306"/>
        <v>2712.4599999999996</v>
      </c>
      <c r="O820" s="6">
        <f>Arrivals!I820</f>
        <v>1.5662828750855315</v>
      </c>
      <c r="P820" s="6">
        <f t="shared" si="307"/>
        <v>2714.0262828750851</v>
      </c>
      <c r="Q820" s="6">
        <f t="shared" si="308"/>
        <v>2090.0262828750851</v>
      </c>
      <c r="R820" s="6">
        <f t="shared" si="309"/>
        <v>2064.4399999999996</v>
      </c>
      <c r="S820" s="6">
        <f t="shared" si="310"/>
        <v>0</v>
      </c>
      <c r="T820" s="6">
        <f t="shared" si="311"/>
        <v>0</v>
      </c>
      <c r="U820" s="6">
        <f t="shared" si="312"/>
        <v>2064.4399999999996</v>
      </c>
      <c r="V820" s="6" t="str">
        <f>IF(MOD(C820-Settings!$B$32,Settings!$B$33)&lt;Settings!$B$30,"Up","Down")</f>
        <v>Down</v>
      </c>
      <c r="W820" s="6">
        <f>IF(OR(E820&gt;Settings!$B$30,Q820&gt;Settings!$B$37),0,1)</f>
        <v>0</v>
      </c>
      <c r="X820" s="6">
        <f>IF(AND(W820=1,Q820&lt;=Settings!$B$36),1,0)</f>
        <v>0</v>
      </c>
    </row>
    <row r="821" spans="1:24" x14ac:dyDescent="0.2">
      <c r="A821">
        <f>Arrivals!A821</f>
        <v>7</v>
      </c>
      <c r="B821">
        <f>Arrivals!B821</f>
        <v>96</v>
      </c>
      <c r="C821" s="6">
        <f>Arrivals!F821</f>
        <v>629</v>
      </c>
      <c r="D821" s="6">
        <f>Arrivals!K821</f>
        <v>300</v>
      </c>
      <c r="E821" s="6">
        <f>D821*8/ACE_Input!S101+ACE_Input!T101</f>
        <v>24.02</v>
      </c>
      <c r="F821" s="6">
        <f t="shared" si="302"/>
        <v>629</v>
      </c>
      <c r="G821" s="6">
        <f t="shared" si="313"/>
        <v>2712.4599999999996</v>
      </c>
      <c r="H821" s="6">
        <f t="shared" si="303"/>
        <v>2712.4599999999996</v>
      </c>
      <c r="I821" s="6">
        <f>MOD(H821-Settings!$B$32,Settings!$B$33)</f>
        <v>552.45999999999958</v>
      </c>
      <c r="J821" s="6">
        <f>IF(I821&lt;Settings!$B$30,IF(Settings!$B$30-I821&gt;=E821,H821,H821+(Settings!$B$30-I821)+Settings!$B$31),H821+(Settings!$B$33-I821))</f>
        <v>2712.4599999999996</v>
      </c>
      <c r="K821" s="6">
        <f t="shared" si="304"/>
        <v>2736.4799999999996</v>
      </c>
      <c r="L821" s="6">
        <f t="shared" si="305"/>
        <v>2736.4799999999996</v>
      </c>
      <c r="M821" s="6">
        <f t="shared" si="314"/>
        <v>2714.0262828750851</v>
      </c>
      <c r="N821" s="6">
        <f t="shared" si="306"/>
        <v>2736.4799999999996</v>
      </c>
      <c r="O821" s="6">
        <f>Arrivals!I821</f>
        <v>3.3273616682072311</v>
      </c>
      <c r="P821" s="6">
        <f t="shared" si="307"/>
        <v>2739.8073616682068</v>
      </c>
      <c r="Q821" s="6">
        <f t="shared" si="308"/>
        <v>2110.8073616682068</v>
      </c>
      <c r="R821" s="6">
        <f t="shared" si="309"/>
        <v>2083.4599999999996</v>
      </c>
      <c r="S821" s="6">
        <f t="shared" si="310"/>
        <v>0</v>
      </c>
      <c r="T821" s="6">
        <f t="shared" si="311"/>
        <v>0</v>
      </c>
      <c r="U821" s="6">
        <f t="shared" si="312"/>
        <v>2083.4599999999996</v>
      </c>
      <c r="V821" s="6" t="str">
        <f>IF(MOD(C821-Settings!$B$32,Settings!$B$33)&lt;Settings!$B$30,"Up","Down")</f>
        <v>Down</v>
      </c>
      <c r="W821" s="6">
        <f>IF(OR(E821&gt;Settings!$B$30,Q821&gt;Settings!$B$37),0,1)</f>
        <v>0</v>
      </c>
      <c r="X821" s="6">
        <f>IF(AND(W821=1,Q821&lt;=Settings!$B$36),1,0)</f>
        <v>0</v>
      </c>
    </row>
    <row r="822" spans="1:24" x14ac:dyDescent="0.2">
      <c r="A822">
        <f>Arrivals!A822</f>
        <v>7</v>
      </c>
      <c r="B822">
        <f>Arrivals!B822</f>
        <v>97</v>
      </c>
      <c r="C822" s="6">
        <f>Arrivals!F822</f>
        <v>634</v>
      </c>
      <c r="D822" s="6">
        <f>Arrivals!K822</f>
        <v>300</v>
      </c>
      <c r="E822" s="6">
        <f>D822*8/ACE_Input!S102+ACE_Input!T102</f>
        <v>24.02</v>
      </c>
      <c r="F822" s="6">
        <f t="shared" si="302"/>
        <v>634</v>
      </c>
      <c r="G822" s="6">
        <f t="shared" si="313"/>
        <v>2736.4799999999996</v>
      </c>
      <c r="H822" s="6">
        <f t="shared" ref="H822:H825" si="315">MAX(F822,G822)</f>
        <v>2736.4799999999996</v>
      </c>
      <c r="I822" s="6">
        <f>MOD(H822-Settings!$B$32,Settings!$B$33)</f>
        <v>576.47999999999956</v>
      </c>
      <c r="J822" s="6">
        <f>IF(I822&lt;Settings!$B$30,IF(Settings!$B$30-I822&gt;=E822,H822,H822+(Settings!$B$30-I822)+Settings!$B$31),H822+(Settings!$B$33-I822))</f>
        <v>2880</v>
      </c>
      <c r="K822" s="6">
        <f t="shared" ref="K822:K825" si="316">J822+E822</f>
        <v>2904.02</v>
      </c>
      <c r="L822" s="6">
        <f t="shared" ref="L822:L825" si="317">K822</f>
        <v>2904.02</v>
      </c>
      <c r="M822" s="6">
        <f t="shared" si="314"/>
        <v>2739.8073616682068</v>
      </c>
      <c r="N822" s="6">
        <f t="shared" ref="N822:N825" si="318">MAX(L822,M822)</f>
        <v>2904.02</v>
      </c>
      <c r="O822" s="6">
        <f>Arrivals!I822</f>
        <v>6.340329387728322</v>
      </c>
      <c r="P822" s="6">
        <f t="shared" ref="P822:P825" si="319">N822+O822</f>
        <v>2910.3603293877281</v>
      </c>
      <c r="Q822" s="6">
        <f t="shared" ref="Q822:Q825" si="320">P822-C822</f>
        <v>2276.3603293877281</v>
      </c>
      <c r="R822" s="6">
        <f t="shared" si="309"/>
        <v>2102.4799999999996</v>
      </c>
      <c r="S822" s="6">
        <f t="shared" si="310"/>
        <v>143.52000000000044</v>
      </c>
      <c r="T822" s="6">
        <f t="shared" si="311"/>
        <v>0</v>
      </c>
      <c r="U822" s="6">
        <f t="shared" ref="U822:U825" si="321">R822+S822+T822</f>
        <v>2246</v>
      </c>
      <c r="V822" s="6" t="str">
        <f>IF(MOD(C822-Settings!$B$32,Settings!$B$33)&lt;Settings!$B$30,"Up","Down")</f>
        <v>Down</v>
      </c>
      <c r="W822" s="6">
        <f>IF(OR(E822&gt;Settings!$B$30,Q822&gt;Settings!$B$37),0,1)</f>
        <v>0</v>
      </c>
      <c r="X822" s="6">
        <f>IF(AND(W822=1,Q822&lt;=Settings!$B$36),1,0)</f>
        <v>0</v>
      </c>
    </row>
    <row r="823" spans="1:24" x14ac:dyDescent="0.2">
      <c r="A823">
        <f>Arrivals!A823</f>
        <v>7</v>
      </c>
      <c r="B823">
        <f>Arrivals!B823</f>
        <v>98</v>
      </c>
      <c r="C823" s="6">
        <f>Arrivals!F823</f>
        <v>639</v>
      </c>
      <c r="D823" s="6">
        <f>Arrivals!K823</f>
        <v>300</v>
      </c>
      <c r="E823" s="6">
        <f>D823*8/ACE_Input!S103+ACE_Input!T103</f>
        <v>24.02</v>
      </c>
      <c r="F823" s="6">
        <f t="shared" si="302"/>
        <v>639</v>
      </c>
      <c r="G823" s="6">
        <f t="shared" si="313"/>
        <v>2904.02</v>
      </c>
      <c r="H823" s="6">
        <f t="shared" si="315"/>
        <v>2904.02</v>
      </c>
      <c r="I823" s="6">
        <f>MOD(H823-Settings!$B$32,Settings!$B$33)</f>
        <v>24.019999999999982</v>
      </c>
      <c r="J823" s="6">
        <f>IF(I823&lt;Settings!$B$30,IF(Settings!$B$30-I823&gt;=E823,H823,H823+(Settings!$B$30-I823)+Settings!$B$31),H823+(Settings!$B$33-I823))</f>
        <v>2904.02</v>
      </c>
      <c r="K823" s="6">
        <f t="shared" si="316"/>
        <v>2928.04</v>
      </c>
      <c r="L823" s="6">
        <f t="shared" si="317"/>
        <v>2928.04</v>
      </c>
      <c r="M823" s="6">
        <f t="shared" si="314"/>
        <v>2910.3603293877281</v>
      </c>
      <c r="N823" s="6">
        <f t="shared" si="318"/>
        <v>2928.04</v>
      </c>
      <c r="O823" s="6">
        <f>Arrivals!I823</f>
        <v>5.1796497999491704</v>
      </c>
      <c r="P823" s="6">
        <f t="shared" si="319"/>
        <v>2933.2196497999489</v>
      </c>
      <c r="Q823" s="6">
        <f t="shared" si="320"/>
        <v>2294.2196497999489</v>
      </c>
      <c r="R823" s="6">
        <f t="shared" si="309"/>
        <v>2265.02</v>
      </c>
      <c r="S823" s="6">
        <f t="shared" si="310"/>
        <v>0</v>
      </c>
      <c r="T823" s="6">
        <f t="shared" si="311"/>
        <v>0</v>
      </c>
      <c r="U823" s="6">
        <f t="shared" si="321"/>
        <v>2265.02</v>
      </c>
      <c r="V823" s="6" t="str">
        <f>IF(MOD(C823-Settings!$B$32,Settings!$B$33)&lt;Settings!$B$30,"Up","Down")</f>
        <v>Down</v>
      </c>
      <c r="W823" s="6">
        <f>IF(OR(E823&gt;Settings!$B$30,Q823&gt;Settings!$B$37),0,1)</f>
        <v>0</v>
      </c>
      <c r="X823" s="6">
        <f>IF(AND(W823=1,Q823&lt;=Settings!$B$36),1,0)</f>
        <v>0</v>
      </c>
    </row>
    <row r="824" spans="1:24" x14ac:dyDescent="0.2">
      <c r="A824">
        <f>Arrivals!A824</f>
        <v>7</v>
      </c>
      <c r="B824">
        <f>Arrivals!B824</f>
        <v>99</v>
      </c>
      <c r="C824" s="6">
        <f>Arrivals!F824</f>
        <v>684</v>
      </c>
      <c r="D824" s="6">
        <f>Arrivals!K824</f>
        <v>300</v>
      </c>
      <c r="E824" s="6">
        <f>D824*8/ACE_Input!S104+ACE_Input!T104</f>
        <v>24.02</v>
      </c>
      <c r="F824" s="6">
        <f t="shared" si="302"/>
        <v>684</v>
      </c>
      <c r="G824" s="6">
        <f t="shared" si="313"/>
        <v>2928.04</v>
      </c>
      <c r="H824" s="6">
        <f t="shared" si="315"/>
        <v>2928.04</v>
      </c>
      <c r="I824" s="6">
        <f>MOD(H824-Settings!$B$32,Settings!$B$33)</f>
        <v>48.039999999999964</v>
      </c>
      <c r="J824" s="6">
        <f>IF(I824&lt;Settings!$B$30,IF(Settings!$B$30-I824&gt;=E824,H824,H824+(Settings!$B$30-I824)+Settings!$B$31),H824+(Settings!$B$33-I824))</f>
        <v>2928.04</v>
      </c>
      <c r="K824" s="6">
        <f t="shared" si="316"/>
        <v>2952.06</v>
      </c>
      <c r="L824" s="6">
        <f t="shared" si="317"/>
        <v>2952.06</v>
      </c>
      <c r="M824" s="6">
        <f t="shared" si="314"/>
        <v>2933.2196497999489</v>
      </c>
      <c r="N824" s="6">
        <f t="shared" si="318"/>
        <v>2952.06</v>
      </c>
      <c r="O824" s="6">
        <f>Arrivals!I824</f>
        <v>0.87037932964632281</v>
      </c>
      <c r="P824" s="6">
        <f t="shared" si="319"/>
        <v>2952.9303793296463</v>
      </c>
      <c r="Q824" s="6">
        <f t="shared" si="320"/>
        <v>2268.9303793296463</v>
      </c>
      <c r="R824" s="6">
        <f t="shared" si="309"/>
        <v>2244.04</v>
      </c>
      <c r="S824" s="6">
        <f t="shared" si="310"/>
        <v>0</v>
      </c>
      <c r="T824" s="6">
        <f t="shared" si="311"/>
        <v>0</v>
      </c>
      <c r="U824" s="6">
        <f t="shared" si="321"/>
        <v>2244.04</v>
      </c>
      <c r="V824" s="6" t="str">
        <f>IF(MOD(C824-Settings!$B$32,Settings!$B$33)&lt;Settings!$B$30,"Up","Down")</f>
        <v>Down</v>
      </c>
      <c r="W824" s="6">
        <f>IF(OR(E824&gt;Settings!$B$30,Q824&gt;Settings!$B$37),0,1)</f>
        <v>0</v>
      </c>
      <c r="X824" s="6">
        <f>IF(AND(W824=1,Q824&lt;=Settings!$B$36),1,0)</f>
        <v>0</v>
      </c>
    </row>
    <row r="825" spans="1:24" x14ac:dyDescent="0.2">
      <c r="A825">
        <f>Arrivals!A825</f>
        <v>7</v>
      </c>
      <c r="B825">
        <f>Arrivals!B825</f>
        <v>100</v>
      </c>
      <c r="C825" s="6">
        <f>Arrivals!F825</f>
        <v>689</v>
      </c>
      <c r="D825" s="6">
        <f>Arrivals!K825</f>
        <v>300</v>
      </c>
      <c r="E825" s="6">
        <f>D825*8/ACE_Input!S105+ACE_Input!T105</f>
        <v>24.02</v>
      </c>
      <c r="F825" s="6">
        <f t="shared" si="302"/>
        <v>689</v>
      </c>
      <c r="G825" s="6">
        <f t="shared" si="313"/>
        <v>2952.06</v>
      </c>
      <c r="H825" s="6">
        <f t="shared" si="315"/>
        <v>2952.06</v>
      </c>
      <c r="I825" s="6">
        <f>MOD(H825-Settings!$B$32,Settings!$B$33)</f>
        <v>72.059999999999945</v>
      </c>
      <c r="J825" s="6">
        <f>IF(I825&lt;Settings!$B$30,IF(Settings!$B$30-I825&gt;=E825,H825,H825+(Settings!$B$30-I825)+Settings!$B$31),H825+(Settings!$B$33-I825))</f>
        <v>2952.06</v>
      </c>
      <c r="K825" s="6">
        <f t="shared" si="316"/>
        <v>2976.08</v>
      </c>
      <c r="L825" s="6">
        <f t="shared" si="317"/>
        <v>2976.08</v>
      </c>
      <c r="M825" s="6">
        <f t="shared" si="314"/>
        <v>2952.9303793296463</v>
      </c>
      <c r="N825" s="6">
        <f t="shared" si="318"/>
        <v>2976.08</v>
      </c>
      <c r="O825" s="6">
        <f>Arrivals!I825</f>
        <v>3.5350841197340208</v>
      </c>
      <c r="P825" s="6">
        <f t="shared" si="319"/>
        <v>2979.6150841197341</v>
      </c>
      <c r="Q825" s="6">
        <f t="shared" si="320"/>
        <v>2290.6150841197341</v>
      </c>
      <c r="R825" s="6">
        <f t="shared" si="309"/>
        <v>2263.06</v>
      </c>
      <c r="S825" s="6">
        <f t="shared" si="310"/>
        <v>0</v>
      </c>
      <c r="T825" s="6">
        <f t="shared" si="311"/>
        <v>0</v>
      </c>
      <c r="U825" s="6">
        <f t="shared" si="321"/>
        <v>2263.06</v>
      </c>
      <c r="V825" s="6" t="str">
        <f>IF(MOD(C825-Settings!$B$32,Settings!$B$33)&lt;Settings!$B$30,"Up","Down")</f>
        <v>Down</v>
      </c>
      <c r="W825" s="6">
        <f>IF(OR(E825&gt;Settings!$B$30,Q825&gt;Settings!$B$37),0,1)</f>
        <v>0</v>
      </c>
      <c r="X825" s="6">
        <f>IF(AND(W825=1,Q825&lt;=Settings!$B$36),1,0)</f>
        <v>0</v>
      </c>
    </row>
    <row r="826" spans="1:24" x14ac:dyDescent="0.2">
      <c r="C826" s="6"/>
      <c r="D826" s="6"/>
      <c r="E826" s="6"/>
      <c r="F826" s="6"/>
      <c r="G826" s="6"/>
      <c r="H826" s="6"/>
      <c r="I826" s="6"/>
      <c r="J826" s="6"/>
      <c r="K826" s="6"/>
      <c r="L826" s="6"/>
      <c r="M826" s="6"/>
      <c r="N826" s="6"/>
      <c r="O826" s="6"/>
      <c r="P826" s="6"/>
      <c r="Q826" s="6"/>
      <c r="R826" s="6"/>
      <c r="S826" s="6"/>
      <c r="T826" s="6"/>
      <c r="U826" s="6"/>
      <c r="V826" s="6"/>
      <c r="W826" s="6"/>
      <c r="X826" s="6"/>
    </row>
    <row r="827" spans="1:24" x14ac:dyDescent="0.2">
      <c r="C827" s="6"/>
      <c r="D827" s="6"/>
      <c r="E827" s="6"/>
      <c r="F827" s="6"/>
      <c r="G827" s="6"/>
      <c r="H827" s="6"/>
      <c r="I827" s="6"/>
      <c r="J827" s="6"/>
      <c r="K827" s="6"/>
      <c r="L827" s="6"/>
      <c r="M827" s="6"/>
      <c r="N827" s="6"/>
      <c r="O827" s="6"/>
      <c r="P827" s="6"/>
      <c r="Q827" s="6"/>
      <c r="R827" s="6"/>
      <c r="S827" s="6"/>
      <c r="T827" s="6"/>
      <c r="U827" s="6"/>
      <c r="V827" s="6"/>
      <c r="W827" s="6"/>
      <c r="X827" s="6"/>
    </row>
    <row r="828" spans="1:24" x14ac:dyDescent="0.2">
      <c r="C828" s="6"/>
      <c r="D828" s="6"/>
      <c r="E828" s="6"/>
      <c r="F828" s="6"/>
      <c r="G828" s="6"/>
      <c r="H828" s="6"/>
      <c r="I828" s="6"/>
      <c r="J828" s="6"/>
      <c r="K828" s="6"/>
      <c r="L828" s="6"/>
      <c r="M828" s="6"/>
      <c r="N828" s="6"/>
      <c r="O828" s="6"/>
      <c r="P828" s="6"/>
      <c r="Q828" s="6"/>
      <c r="R828" s="6"/>
      <c r="S828" s="6"/>
      <c r="T828" s="6"/>
      <c r="U828" s="6"/>
      <c r="V828" s="6"/>
      <c r="W828" s="6"/>
      <c r="X828" s="6"/>
    </row>
    <row r="829" spans="1:24" x14ac:dyDescent="0.2">
      <c r="C829" s="6"/>
      <c r="D829" s="6"/>
      <c r="E829" s="6"/>
      <c r="F829" s="6"/>
      <c r="G829" s="6"/>
      <c r="H829" s="6"/>
      <c r="I829" s="6"/>
      <c r="J829" s="6"/>
      <c r="K829" s="6"/>
      <c r="L829" s="6"/>
      <c r="M829" s="6"/>
      <c r="N829" s="6"/>
      <c r="O829" s="6"/>
      <c r="P829" s="6"/>
      <c r="Q829" s="6"/>
      <c r="R829" s="6"/>
      <c r="S829" s="6"/>
      <c r="T829" s="6"/>
      <c r="U829" s="6"/>
      <c r="V829" s="6"/>
      <c r="W829" s="6"/>
      <c r="X829" s="6"/>
    </row>
    <row r="830" spans="1:24" x14ac:dyDescent="0.2">
      <c r="C830" s="6"/>
      <c r="D830" s="6"/>
      <c r="E830" s="6"/>
      <c r="F830" s="6"/>
      <c r="G830" s="6"/>
      <c r="H830" s="6"/>
      <c r="I830" s="6"/>
      <c r="J830" s="6"/>
      <c r="K830" s="6"/>
      <c r="L830" s="6"/>
      <c r="M830" s="6"/>
      <c r="N830" s="6"/>
      <c r="O830" s="6"/>
      <c r="P830" s="6"/>
      <c r="Q830" s="6"/>
      <c r="R830" s="6"/>
      <c r="S830" s="6"/>
      <c r="T830" s="6"/>
      <c r="U830" s="6"/>
      <c r="V830" s="6"/>
      <c r="W830" s="6"/>
      <c r="X830" s="6"/>
    </row>
    <row r="831" spans="1:24" x14ac:dyDescent="0.2">
      <c r="C831" s="6"/>
      <c r="D831" s="6"/>
      <c r="E831" s="6"/>
      <c r="F831" s="6"/>
      <c r="G831" s="6"/>
      <c r="H831" s="6"/>
      <c r="I831" s="6"/>
      <c r="J831" s="6"/>
      <c r="K831" s="6"/>
      <c r="L831" s="6"/>
      <c r="M831" s="6"/>
      <c r="N831" s="6"/>
      <c r="O831" s="6"/>
      <c r="P831" s="6"/>
      <c r="Q831" s="6"/>
      <c r="R831" s="6"/>
      <c r="S831" s="6"/>
      <c r="T831" s="6"/>
      <c r="U831" s="6"/>
      <c r="V831" s="6"/>
      <c r="W831" s="6"/>
      <c r="X831" s="6"/>
    </row>
    <row r="832" spans="1:24" x14ac:dyDescent="0.2">
      <c r="C832" s="6"/>
      <c r="D832" s="6"/>
      <c r="E832" s="6"/>
      <c r="F832" s="6"/>
      <c r="G832" s="6"/>
      <c r="H832" s="6"/>
      <c r="I832" s="6"/>
      <c r="J832" s="6"/>
      <c r="K832" s="6"/>
      <c r="L832" s="6"/>
      <c r="M832" s="6"/>
      <c r="N832" s="6"/>
      <c r="O832" s="6"/>
      <c r="P832" s="6"/>
      <c r="Q832" s="6"/>
      <c r="R832" s="6"/>
      <c r="S832" s="6"/>
      <c r="T832" s="6"/>
      <c r="U832" s="6"/>
      <c r="V832" s="6"/>
      <c r="W832" s="6"/>
      <c r="X832" s="6"/>
    </row>
    <row r="833" spans="1:24" x14ac:dyDescent="0.2">
      <c r="C833" s="6"/>
      <c r="D833" s="6"/>
      <c r="E833" s="6"/>
      <c r="F833" s="6"/>
      <c r="G833" s="6"/>
      <c r="H833" s="6"/>
      <c r="I833" s="6"/>
      <c r="J833" s="6"/>
      <c r="K833" s="6"/>
      <c r="L833" s="6"/>
      <c r="M833" s="6"/>
      <c r="N833" s="6"/>
      <c r="O833" s="6"/>
      <c r="P833" s="6"/>
      <c r="Q833" s="6"/>
      <c r="R833" s="6"/>
      <c r="S833" s="6"/>
      <c r="T833" s="6"/>
      <c r="U833" s="6"/>
      <c r="V833" s="6"/>
      <c r="W833" s="6"/>
      <c r="X833" s="6"/>
    </row>
    <row r="834" spans="1:24" x14ac:dyDescent="0.2">
      <c r="C834" s="6"/>
      <c r="D834" s="6"/>
      <c r="E834" s="6"/>
      <c r="F834" s="6"/>
      <c r="G834" s="6"/>
      <c r="H834" s="6"/>
      <c r="I834" s="6"/>
      <c r="J834" s="6"/>
      <c r="K834" s="6"/>
      <c r="L834" s="6"/>
      <c r="M834" s="6"/>
      <c r="N834" s="6"/>
      <c r="O834" s="6"/>
      <c r="P834" s="6"/>
      <c r="Q834" s="6"/>
      <c r="R834" s="6"/>
      <c r="S834" s="6"/>
      <c r="T834" s="6"/>
      <c r="U834" s="6"/>
      <c r="V834" s="6"/>
      <c r="W834" s="6"/>
      <c r="X834" s="6"/>
    </row>
    <row r="835" spans="1:24" x14ac:dyDescent="0.2">
      <c r="C835" s="6"/>
      <c r="D835" s="6"/>
      <c r="E835" s="6"/>
      <c r="F835" s="6"/>
      <c r="G835" s="6"/>
      <c r="H835" s="6"/>
      <c r="I835" s="6"/>
      <c r="J835" s="6"/>
      <c r="K835" s="6"/>
      <c r="L835" s="6"/>
      <c r="M835" s="6"/>
      <c r="N835" s="6"/>
      <c r="O835" s="6"/>
      <c r="P835" s="6"/>
      <c r="Q835" s="6"/>
      <c r="R835" s="6"/>
      <c r="S835" s="6"/>
      <c r="T835" s="6"/>
      <c r="U835" s="6"/>
      <c r="V835" s="6"/>
      <c r="W835" s="6"/>
      <c r="X835" s="6"/>
    </row>
    <row r="836" spans="1:24" x14ac:dyDescent="0.2">
      <c r="C836" s="6"/>
      <c r="D836" s="6"/>
      <c r="E836" s="6"/>
      <c r="F836" s="6"/>
      <c r="G836" s="6"/>
      <c r="H836" s="6"/>
      <c r="I836" s="6"/>
      <c r="J836" s="6"/>
      <c r="K836" s="6"/>
      <c r="L836" s="6"/>
      <c r="M836" s="6"/>
      <c r="N836" s="6"/>
      <c r="O836" s="6"/>
      <c r="P836" s="6"/>
      <c r="Q836" s="6"/>
      <c r="R836" s="6"/>
      <c r="S836" s="6"/>
      <c r="T836" s="6"/>
      <c r="U836" s="6"/>
      <c r="V836" s="6"/>
      <c r="W836" s="6"/>
      <c r="X836" s="6"/>
    </row>
    <row r="837" spans="1:24" x14ac:dyDescent="0.2">
      <c r="C837" s="6"/>
      <c r="D837" s="6"/>
      <c r="E837" s="6"/>
      <c r="F837" s="6"/>
      <c r="G837" s="6"/>
      <c r="H837" s="6"/>
      <c r="I837" s="6"/>
      <c r="J837" s="6"/>
      <c r="K837" s="6"/>
      <c r="L837" s="6"/>
      <c r="M837" s="6"/>
      <c r="N837" s="6"/>
      <c r="O837" s="6"/>
      <c r="P837" s="6"/>
      <c r="Q837" s="6"/>
      <c r="R837" s="6"/>
      <c r="S837" s="6"/>
      <c r="T837" s="6"/>
      <c r="U837" s="6"/>
      <c r="V837" s="6"/>
      <c r="W837" s="6"/>
      <c r="X837" s="6"/>
    </row>
    <row r="838" spans="1:24" x14ac:dyDescent="0.2">
      <c r="C838" s="6"/>
      <c r="D838" s="6"/>
      <c r="E838" s="6"/>
      <c r="F838" s="6"/>
      <c r="G838" s="6"/>
      <c r="H838" s="6"/>
      <c r="I838" s="6"/>
      <c r="J838" s="6"/>
      <c r="K838" s="6"/>
      <c r="L838" s="6"/>
      <c r="M838" s="6"/>
      <c r="N838" s="6"/>
      <c r="O838" s="6"/>
      <c r="P838" s="6"/>
      <c r="Q838" s="6"/>
      <c r="R838" s="6"/>
      <c r="S838" s="6"/>
      <c r="T838" s="6"/>
      <c r="U838" s="6"/>
      <c r="V838" s="6"/>
      <c r="W838" s="6"/>
      <c r="X838" s="6"/>
    </row>
    <row r="839" spans="1:24" x14ac:dyDescent="0.2">
      <c r="C839" s="6"/>
      <c r="D839" s="6"/>
      <c r="E839" s="6"/>
      <c r="F839" s="6"/>
      <c r="G839" s="6"/>
      <c r="H839" s="6"/>
      <c r="I839" s="6"/>
      <c r="J839" s="6"/>
      <c r="K839" s="6"/>
      <c r="L839" s="6"/>
      <c r="M839" s="6"/>
      <c r="N839" s="6"/>
      <c r="O839" s="6"/>
      <c r="P839" s="6"/>
      <c r="Q839" s="6"/>
      <c r="R839" s="6"/>
      <c r="S839" s="6"/>
      <c r="T839" s="6"/>
      <c r="U839" s="6"/>
      <c r="V839" s="6"/>
      <c r="W839" s="6"/>
      <c r="X839" s="6"/>
    </row>
    <row r="840" spans="1:24" x14ac:dyDescent="0.2">
      <c r="C840" s="6"/>
      <c r="D840" s="6"/>
      <c r="E840" s="6"/>
      <c r="F840" s="6"/>
      <c r="G840" s="6"/>
      <c r="H840" s="6"/>
      <c r="I840" s="6"/>
      <c r="J840" s="6"/>
      <c r="K840" s="6"/>
      <c r="L840" s="6"/>
      <c r="M840" s="6"/>
      <c r="N840" s="6"/>
      <c r="O840" s="6"/>
      <c r="P840" s="6"/>
      <c r="Q840" s="6"/>
      <c r="R840" s="6"/>
      <c r="S840" s="6"/>
      <c r="T840" s="6"/>
      <c r="U840" s="6"/>
      <c r="V840" s="6"/>
      <c r="W840" s="6"/>
      <c r="X840" s="6"/>
    </row>
    <row r="841" spans="1:24" x14ac:dyDescent="0.2">
      <c r="C841" s="6"/>
      <c r="D841" s="6"/>
      <c r="E841" s="6"/>
      <c r="F841" s="6"/>
      <c r="G841" s="6"/>
      <c r="H841" s="6"/>
      <c r="I841" s="6"/>
      <c r="J841" s="6"/>
      <c r="K841" s="6"/>
      <c r="L841" s="6"/>
      <c r="M841" s="6"/>
      <c r="N841" s="6"/>
      <c r="O841" s="6"/>
      <c r="P841" s="6"/>
      <c r="Q841" s="6"/>
      <c r="R841" s="6"/>
      <c r="S841" s="6"/>
      <c r="T841" s="6"/>
      <c r="U841" s="6"/>
      <c r="V841" s="6"/>
      <c r="W841" s="6"/>
      <c r="X841" s="6"/>
    </row>
    <row r="842" spans="1:24" x14ac:dyDescent="0.2">
      <c r="C842" s="6"/>
      <c r="D842" s="6"/>
      <c r="E842" s="6"/>
      <c r="F842" s="6"/>
      <c r="G842" s="6"/>
      <c r="H842" s="6"/>
      <c r="I842" s="6"/>
      <c r="J842" s="6"/>
      <c r="K842" s="6"/>
      <c r="L842" s="6"/>
      <c r="M842" s="6"/>
      <c r="N842" s="6"/>
      <c r="O842" s="6"/>
      <c r="P842" s="6"/>
      <c r="Q842" s="6"/>
      <c r="R842" s="6"/>
      <c r="S842" s="6"/>
      <c r="T842" s="6"/>
      <c r="U842" s="6"/>
      <c r="V842" s="6"/>
      <c r="W842" s="6"/>
      <c r="X842" s="6"/>
    </row>
    <row r="843" spans="1:24" x14ac:dyDescent="0.2">
      <c r="C843" s="6"/>
      <c r="D843" s="6"/>
      <c r="E843" s="6"/>
      <c r="F843" s="6"/>
      <c r="G843" s="6"/>
      <c r="H843" s="6"/>
      <c r="I843" s="6"/>
      <c r="J843" s="6"/>
      <c r="K843" s="6"/>
      <c r="L843" s="6"/>
      <c r="M843" s="6"/>
      <c r="N843" s="6"/>
      <c r="O843" s="6"/>
      <c r="P843" s="6"/>
      <c r="Q843" s="6"/>
      <c r="R843" s="6"/>
      <c r="S843" s="6"/>
      <c r="T843" s="6"/>
      <c r="U843" s="6"/>
      <c r="V843" s="6"/>
      <c r="W843" s="6"/>
      <c r="X843" s="6"/>
    </row>
    <row r="844" spans="1:24" x14ac:dyDescent="0.2">
      <c r="C844" s="6"/>
      <c r="D844" s="6"/>
      <c r="E844" s="6"/>
      <c r="F844" s="6"/>
      <c r="G844" s="6"/>
      <c r="H844" s="6"/>
      <c r="I844" s="6"/>
      <c r="J844" s="6"/>
      <c r="K844" s="6"/>
      <c r="L844" s="6"/>
      <c r="M844" s="6"/>
      <c r="N844" s="6"/>
      <c r="O844" s="6"/>
      <c r="P844" s="6"/>
      <c r="Q844" s="6"/>
      <c r="R844" s="6"/>
      <c r="S844" s="6"/>
      <c r="T844" s="6"/>
      <c r="U844" s="6"/>
      <c r="V844" s="6"/>
      <c r="W844" s="6"/>
      <c r="X844" s="6"/>
    </row>
    <row r="845" spans="1:24" x14ac:dyDescent="0.2">
      <c r="C845" s="6"/>
      <c r="D845" s="6"/>
      <c r="E845" s="6"/>
      <c r="F845" s="6"/>
      <c r="G845" s="6"/>
      <c r="H845" s="6"/>
      <c r="I845" s="6"/>
      <c r="J845" s="6"/>
      <c r="K845" s="6"/>
      <c r="L845" s="6"/>
      <c r="M845" s="6"/>
      <c r="N845" s="6"/>
      <c r="O845" s="6"/>
      <c r="P845" s="6"/>
      <c r="Q845" s="6"/>
      <c r="R845" s="6"/>
      <c r="S845" s="6"/>
      <c r="T845" s="6"/>
      <c r="U845" s="6"/>
      <c r="V845" s="6"/>
      <c r="W845" s="6"/>
      <c r="X845" s="6"/>
    </row>
    <row r="846" spans="1:24" x14ac:dyDescent="0.2">
      <c r="A846">
        <f>Arrivals!A846</f>
        <v>8</v>
      </c>
      <c r="B846">
        <f>Arrivals!B846</f>
        <v>1</v>
      </c>
      <c r="C846" s="6">
        <f>Arrivals!F846</f>
        <v>2</v>
      </c>
      <c r="D846" s="6">
        <f>Arrivals!K846</f>
        <v>300</v>
      </c>
      <c r="E846" s="6">
        <f>D846*8/ACE_Input!S6+ACE_Input!T6</f>
        <v>24.02</v>
      </c>
      <c r="F846" s="6">
        <f t="shared" ref="F846:F877" si="322">C846</f>
        <v>2</v>
      </c>
      <c r="G846" s="6">
        <f>0</f>
        <v>0</v>
      </c>
      <c r="H846" s="6">
        <f t="shared" ref="H846:H877" si="323">MAX(F846,G846)</f>
        <v>2</v>
      </c>
      <c r="I846" s="6">
        <f>MOD(H846-Settings!$B$32,Settings!$B$33)</f>
        <v>2</v>
      </c>
      <c r="J846" s="6">
        <f>IF(I846&lt;Settings!$B$30,IF(Settings!$B$30-I846&gt;=E846,H846,H846+(Settings!$B$30-I846)+Settings!$B$31),H846+(Settings!$B$33-I846))</f>
        <v>2</v>
      </c>
      <c r="K846" s="6">
        <f t="shared" ref="K846:K877" si="324">J846+E846</f>
        <v>26.02</v>
      </c>
      <c r="L846" s="6">
        <f t="shared" ref="L846:L877" si="325">K846</f>
        <v>26.02</v>
      </c>
      <c r="M846" s="6">
        <f>0</f>
        <v>0</v>
      </c>
      <c r="N846" s="6">
        <f t="shared" ref="N846:N877" si="326">MAX(L846,M846)</f>
        <v>26.02</v>
      </c>
      <c r="O846" s="6">
        <f>Arrivals!I846</f>
        <v>2.8718324999483689</v>
      </c>
      <c r="P846" s="6">
        <f t="shared" ref="P846:P877" si="327">N846+O846</f>
        <v>28.891832499948368</v>
      </c>
      <c r="Q846" s="6">
        <f t="shared" ref="Q846:Q877" si="328">P846-C846</f>
        <v>26.891832499948368</v>
      </c>
      <c r="R846" s="6">
        <f t="shared" ref="R846:R877" si="329">H846-F846</f>
        <v>0</v>
      </c>
      <c r="S846" s="6">
        <f t="shared" ref="S846:S877" si="330">J846-H846</f>
        <v>0</v>
      </c>
      <c r="T846" s="6">
        <f t="shared" ref="T846:T877" si="331">N846-L846</f>
        <v>0</v>
      </c>
      <c r="U846" s="6">
        <f t="shared" ref="U846:U877" si="332">R846+S846+T846</f>
        <v>0</v>
      </c>
      <c r="V846" s="6" t="str">
        <f>IF(MOD(C846-Settings!$B$32,Settings!$B$33)&lt;Settings!$B$30,"Up","Down")</f>
        <v>Up</v>
      </c>
      <c r="W846" s="6">
        <f>IF(OR(E846&gt;Settings!$B$30,Q846&gt;Settings!$B$37),0,1)</f>
        <v>1</v>
      </c>
      <c r="X846" s="6">
        <f>IF(AND(W846=1,Q846&lt;=Settings!$B$36),1,0)</f>
        <v>1</v>
      </c>
    </row>
    <row r="847" spans="1:24" x14ac:dyDescent="0.2">
      <c r="A847">
        <f>Arrivals!A847</f>
        <v>8</v>
      </c>
      <c r="B847">
        <f>Arrivals!B847</f>
        <v>2</v>
      </c>
      <c r="C847" s="6">
        <f>Arrivals!F847</f>
        <v>7</v>
      </c>
      <c r="D847" s="6">
        <f>Arrivals!K847</f>
        <v>300</v>
      </c>
      <c r="E847" s="6">
        <f>D847*8/ACE_Input!S7+ACE_Input!T7</f>
        <v>24.02</v>
      </c>
      <c r="F847" s="6">
        <f t="shared" si="322"/>
        <v>7</v>
      </c>
      <c r="G847" s="6">
        <f t="shared" ref="G847:G878" si="333">K846</f>
        <v>26.02</v>
      </c>
      <c r="H847" s="6">
        <f t="shared" si="323"/>
        <v>26.02</v>
      </c>
      <c r="I847" s="6">
        <f>MOD(H847-Settings!$B$32,Settings!$B$33)</f>
        <v>26.02</v>
      </c>
      <c r="J847" s="6">
        <f>IF(I847&lt;Settings!$B$30,IF(Settings!$B$30-I847&gt;=E847,H847,H847+(Settings!$B$30-I847)+Settings!$B$31),H847+(Settings!$B$33-I847))</f>
        <v>26.02</v>
      </c>
      <c r="K847" s="6">
        <f t="shared" si="324"/>
        <v>50.04</v>
      </c>
      <c r="L847" s="6">
        <f t="shared" si="325"/>
        <v>50.04</v>
      </c>
      <c r="M847" s="6">
        <f t="shared" ref="M847:M878" si="334">P846</f>
        <v>28.891832499948368</v>
      </c>
      <c r="N847" s="6">
        <f t="shared" si="326"/>
        <v>50.04</v>
      </c>
      <c r="O847" s="6">
        <f>Arrivals!I847</f>
        <v>2.2731490147789386</v>
      </c>
      <c r="P847" s="6">
        <f t="shared" si="327"/>
        <v>52.313149014778936</v>
      </c>
      <c r="Q847" s="6">
        <f t="shared" si="328"/>
        <v>45.313149014778936</v>
      </c>
      <c r="R847" s="6">
        <f t="shared" si="329"/>
        <v>19.02</v>
      </c>
      <c r="S847" s="6">
        <f t="shared" si="330"/>
        <v>0</v>
      </c>
      <c r="T847" s="6">
        <f t="shared" si="331"/>
        <v>0</v>
      </c>
      <c r="U847" s="6">
        <f t="shared" si="332"/>
        <v>19.02</v>
      </c>
      <c r="V847" s="6" t="str">
        <f>IF(MOD(C847-Settings!$B$32,Settings!$B$33)&lt;Settings!$B$30,"Up","Down")</f>
        <v>Up</v>
      </c>
      <c r="W847" s="6">
        <f>IF(OR(E847&gt;Settings!$B$30,Q847&gt;Settings!$B$37),0,1)</f>
        <v>1</v>
      </c>
      <c r="X847" s="6">
        <f>IF(AND(W847=1,Q847&lt;=Settings!$B$36),1,0)</f>
        <v>1</v>
      </c>
    </row>
    <row r="848" spans="1:24" x14ac:dyDescent="0.2">
      <c r="A848">
        <f>Arrivals!A848</f>
        <v>8</v>
      </c>
      <c r="B848">
        <f>Arrivals!B848</f>
        <v>3</v>
      </c>
      <c r="C848" s="6">
        <f>Arrivals!F848</f>
        <v>32</v>
      </c>
      <c r="D848" s="6">
        <f>Arrivals!K848</f>
        <v>300</v>
      </c>
      <c r="E848" s="6">
        <f>D848*8/ACE_Input!S8+ACE_Input!T8</f>
        <v>24.02</v>
      </c>
      <c r="F848" s="6">
        <f t="shared" si="322"/>
        <v>32</v>
      </c>
      <c r="G848" s="6">
        <f t="shared" si="333"/>
        <v>50.04</v>
      </c>
      <c r="H848" s="6">
        <f t="shared" si="323"/>
        <v>50.04</v>
      </c>
      <c r="I848" s="6">
        <f>MOD(H848-Settings!$B$32,Settings!$B$33)</f>
        <v>50.04</v>
      </c>
      <c r="J848" s="6">
        <f>IF(I848&lt;Settings!$B$30,IF(Settings!$B$30-I848&gt;=E848,H848,H848+(Settings!$B$30-I848)+Settings!$B$31),H848+(Settings!$B$33-I848))</f>
        <v>50.04</v>
      </c>
      <c r="K848" s="6">
        <f t="shared" si="324"/>
        <v>74.06</v>
      </c>
      <c r="L848" s="6">
        <f t="shared" si="325"/>
        <v>74.06</v>
      </c>
      <c r="M848" s="6">
        <f t="shared" si="334"/>
        <v>52.313149014778936</v>
      </c>
      <c r="N848" s="6">
        <f t="shared" si="326"/>
        <v>74.06</v>
      </c>
      <c r="O848" s="6">
        <f>Arrivals!I848</f>
        <v>10.138849678086995</v>
      </c>
      <c r="P848" s="6">
        <f t="shared" si="327"/>
        <v>84.198849678087001</v>
      </c>
      <c r="Q848" s="6">
        <f t="shared" si="328"/>
        <v>52.198849678087001</v>
      </c>
      <c r="R848" s="6">
        <f t="shared" si="329"/>
        <v>18.04</v>
      </c>
      <c r="S848" s="6">
        <f t="shared" si="330"/>
        <v>0</v>
      </c>
      <c r="T848" s="6">
        <f t="shared" si="331"/>
        <v>0</v>
      </c>
      <c r="U848" s="6">
        <f t="shared" si="332"/>
        <v>18.04</v>
      </c>
      <c r="V848" s="6" t="str">
        <f>IF(MOD(C848-Settings!$B$32,Settings!$B$33)&lt;Settings!$B$30,"Up","Down")</f>
        <v>Up</v>
      </c>
      <c r="W848" s="6">
        <f>IF(OR(E848&gt;Settings!$B$30,Q848&gt;Settings!$B$37),0,1)</f>
        <v>1</v>
      </c>
      <c r="X848" s="6">
        <f>IF(AND(W848=1,Q848&lt;=Settings!$B$36),1,0)</f>
        <v>1</v>
      </c>
    </row>
    <row r="849" spans="1:24" x14ac:dyDescent="0.2">
      <c r="A849">
        <f>Arrivals!A849</f>
        <v>8</v>
      </c>
      <c r="B849">
        <f>Arrivals!B849</f>
        <v>4</v>
      </c>
      <c r="C849" s="6">
        <f>Arrivals!F849</f>
        <v>37</v>
      </c>
      <c r="D849" s="6">
        <f>Arrivals!K849</f>
        <v>300</v>
      </c>
      <c r="E849" s="6">
        <f>D849*8/ACE_Input!S9+ACE_Input!T9</f>
        <v>24.02</v>
      </c>
      <c r="F849" s="6">
        <f t="shared" si="322"/>
        <v>37</v>
      </c>
      <c r="G849" s="6">
        <f t="shared" si="333"/>
        <v>74.06</v>
      </c>
      <c r="H849" s="6">
        <f t="shared" si="323"/>
        <v>74.06</v>
      </c>
      <c r="I849" s="6">
        <f>MOD(H849-Settings!$B$32,Settings!$B$33)</f>
        <v>74.06</v>
      </c>
      <c r="J849" s="6">
        <f>IF(I849&lt;Settings!$B$30,IF(Settings!$B$30-I849&gt;=E849,H849,H849+(Settings!$B$30-I849)+Settings!$B$31),H849+(Settings!$B$33-I849))</f>
        <v>74.06</v>
      </c>
      <c r="K849" s="6">
        <f t="shared" si="324"/>
        <v>98.08</v>
      </c>
      <c r="L849" s="6">
        <f t="shared" si="325"/>
        <v>98.08</v>
      </c>
      <c r="M849" s="6">
        <f t="shared" si="334"/>
        <v>84.198849678087001</v>
      </c>
      <c r="N849" s="6">
        <f t="shared" si="326"/>
        <v>98.08</v>
      </c>
      <c r="O849" s="6">
        <f>Arrivals!I849</f>
        <v>2.5029142339679455</v>
      </c>
      <c r="P849" s="6">
        <f t="shared" si="327"/>
        <v>100.58291423396794</v>
      </c>
      <c r="Q849" s="6">
        <f t="shared" si="328"/>
        <v>63.582914233967941</v>
      </c>
      <c r="R849" s="6">
        <f t="shared" si="329"/>
        <v>37.06</v>
      </c>
      <c r="S849" s="6">
        <f t="shared" si="330"/>
        <v>0</v>
      </c>
      <c r="T849" s="6">
        <f t="shared" si="331"/>
        <v>0</v>
      </c>
      <c r="U849" s="6">
        <f t="shared" si="332"/>
        <v>37.06</v>
      </c>
      <c r="V849" s="6" t="str">
        <f>IF(MOD(C849-Settings!$B$32,Settings!$B$33)&lt;Settings!$B$30,"Up","Down")</f>
        <v>Up</v>
      </c>
      <c r="W849" s="6">
        <f>IF(OR(E849&gt;Settings!$B$30,Q849&gt;Settings!$B$37),0,1)</f>
        <v>1</v>
      </c>
      <c r="X849" s="6">
        <f>IF(AND(W849=1,Q849&lt;=Settings!$B$36),1,0)</f>
        <v>1</v>
      </c>
    </row>
    <row r="850" spans="1:24" x14ac:dyDescent="0.2">
      <c r="A850">
        <f>Arrivals!A850</f>
        <v>8</v>
      </c>
      <c r="B850">
        <f>Arrivals!B850</f>
        <v>5</v>
      </c>
      <c r="C850" s="6">
        <f>Arrivals!F850</f>
        <v>42</v>
      </c>
      <c r="D850" s="6">
        <f>Arrivals!K850</f>
        <v>300</v>
      </c>
      <c r="E850" s="6">
        <f>D850*8/ACE_Input!S10+ACE_Input!T10</f>
        <v>24.02</v>
      </c>
      <c r="F850" s="6">
        <f t="shared" si="322"/>
        <v>42</v>
      </c>
      <c r="G850" s="6">
        <f t="shared" si="333"/>
        <v>98.08</v>
      </c>
      <c r="H850" s="6">
        <f t="shared" si="323"/>
        <v>98.08</v>
      </c>
      <c r="I850" s="6">
        <f>MOD(H850-Settings!$B$32,Settings!$B$33)</f>
        <v>98.08</v>
      </c>
      <c r="J850" s="6">
        <f>IF(I850&lt;Settings!$B$30,IF(Settings!$B$30-I850&gt;=E850,H850,H850+(Settings!$B$30-I850)+Settings!$B$31),H850+(Settings!$B$33-I850))</f>
        <v>98.08</v>
      </c>
      <c r="K850" s="6">
        <f t="shared" si="324"/>
        <v>122.1</v>
      </c>
      <c r="L850" s="6">
        <f t="shared" si="325"/>
        <v>122.1</v>
      </c>
      <c r="M850" s="6">
        <f t="shared" si="334"/>
        <v>100.58291423396794</v>
      </c>
      <c r="N850" s="6">
        <f t="shared" si="326"/>
        <v>122.1</v>
      </c>
      <c r="O850" s="6">
        <f>Arrivals!I850</f>
        <v>2.1309030032840361</v>
      </c>
      <c r="P850" s="6">
        <f t="shared" si="327"/>
        <v>124.23090300328403</v>
      </c>
      <c r="Q850" s="6">
        <f t="shared" si="328"/>
        <v>82.230903003284027</v>
      </c>
      <c r="R850" s="6">
        <f t="shared" si="329"/>
        <v>56.08</v>
      </c>
      <c r="S850" s="6">
        <f t="shared" si="330"/>
        <v>0</v>
      </c>
      <c r="T850" s="6">
        <f t="shared" si="331"/>
        <v>0</v>
      </c>
      <c r="U850" s="6">
        <f t="shared" si="332"/>
        <v>56.08</v>
      </c>
      <c r="V850" s="6" t="str">
        <f>IF(MOD(C850-Settings!$B$32,Settings!$B$33)&lt;Settings!$B$30,"Up","Down")</f>
        <v>Up</v>
      </c>
      <c r="W850" s="6">
        <f>IF(OR(E850&gt;Settings!$B$30,Q850&gt;Settings!$B$37),0,1)</f>
        <v>1</v>
      </c>
      <c r="X850" s="6">
        <f>IF(AND(W850=1,Q850&lt;=Settings!$B$36),1,0)</f>
        <v>1</v>
      </c>
    </row>
    <row r="851" spans="1:24" x14ac:dyDescent="0.2">
      <c r="A851">
        <f>Arrivals!A851</f>
        <v>8</v>
      </c>
      <c r="B851">
        <f>Arrivals!B851</f>
        <v>6</v>
      </c>
      <c r="C851" s="6">
        <f>Arrivals!F851</f>
        <v>47</v>
      </c>
      <c r="D851" s="6">
        <f>Arrivals!K851</f>
        <v>300</v>
      </c>
      <c r="E851" s="6">
        <f>D851*8/ACE_Input!S11+ACE_Input!T11</f>
        <v>24.02</v>
      </c>
      <c r="F851" s="6">
        <f t="shared" si="322"/>
        <v>47</v>
      </c>
      <c r="G851" s="6">
        <f t="shared" si="333"/>
        <v>122.1</v>
      </c>
      <c r="H851" s="6">
        <f t="shared" si="323"/>
        <v>122.1</v>
      </c>
      <c r="I851" s="6">
        <f>MOD(H851-Settings!$B$32,Settings!$B$33)</f>
        <v>122.1</v>
      </c>
      <c r="J851" s="6">
        <f>IF(I851&lt;Settings!$B$30,IF(Settings!$B$30-I851&gt;=E851,H851,H851+(Settings!$B$30-I851)+Settings!$B$31),H851+(Settings!$B$33-I851))</f>
        <v>122.1</v>
      </c>
      <c r="K851" s="6">
        <f t="shared" si="324"/>
        <v>146.12</v>
      </c>
      <c r="L851" s="6">
        <f t="shared" si="325"/>
        <v>146.12</v>
      </c>
      <c r="M851" s="6">
        <f t="shared" si="334"/>
        <v>124.23090300328403</v>
      </c>
      <c r="N851" s="6">
        <f t="shared" si="326"/>
        <v>146.12</v>
      </c>
      <c r="O851" s="6">
        <f>Arrivals!I851</f>
        <v>1.1217606186502354</v>
      </c>
      <c r="P851" s="6">
        <f t="shared" si="327"/>
        <v>147.24176061865023</v>
      </c>
      <c r="Q851" s="6">
        <f t="shared" si="328"/>
        <v>100.24176061865023</v>
      </c>
      <c r="R851" s="6">
        <f t="shared" si="329"/>
        <v>75.099999999999994</v>
      </c>
      <c r="S851" s="6">
        <f t="shared" si="330"/>
        <v>0</v>
      </c>
      <c r="T851" s="6">
        <f t="shared" si="331"/>
        <v>0</v>
      </c>
      <c r="U851" s="6">
        <f t="shared" si="332"/>
        <v>75.099999999999994</v>
      </c>
      <c r="V851" s="6" t="str">
        <f>IF(MOD(C851-Settings!$B$32,Settings!$B$33)&lt;Settings!$B$30,"Up","Down")</f>
        <v>Up</v>
      </c>
      <c r="W851" s="6">
        <f>IF(OR(E851&gt;Settings!$B$30,Q851&gt;Settings!$B$37),0,1)</f>
        <v>1</v>
      </c>
      <c r="X851" s="6">
        <f>IF(AND(W851=1,Q851&lt;=Settings!$B$36),1,0)</f>
        <v>1</v>
      </c>
    </row>
    <row r="852" spans="1:24" x14ac:dyDescent="0.2">
      <c r="A852">
        <f>Arrivals!A852</f>
        <v>8</v>
      </c>
      <c r="B852">
        <f>Arrivals!B852</f>
        <v>7</v>
      </c>
      <c r="C852" s="6">
        <f>Arrivals!F852</f>
        <v>52</v>
      </c>
      <c r="D852" s="6">
        <f>Arrivals!K852</f>
        <v>300</v>
      </c>
      <c r="E852" s="6">
        <f>D852*8/ACE_Input!S12+ACE_Input!T12</f>
        <v>24.02</v>
      </c>
      <c r="F852" s="6">
        <f t="shared" si="322"/>
        <v>52</v>
      </c>
      <c r="G852" s="6">
        <f t="shared" si="333"/>
        <v>146.12</v>
      </c>
      <c r="H852" s="6">
        <f t="shared" si="323"/>
        <v>146.12</v>
      </c>
      <c r="I852" s="6">
        <f>MOD(H852-Settings!$B$32,Settings!$B$33)</f>
        <v>146.12</v>
      </c>
      <c r="J852" s="6">
        <f>IF(I852&lt;Settings!$B$30,IF(Settings!$B$30-I852&gt;=E852,H852,H852+(Settings!$B$30-I852)+Settings!$B$31),H852+(Settings!$B$33-I852))</f>
        <v>146.12</v>
      </c>
      <c r="K852" s="6">
        <f t="shared" si="324"/>
        <v>170.14000000000001</v>
      </c>
      <c r="L852" s="6">
        <f t="shared" si="325"/>
        <v>170.14000000000001</v>
      </c>
      <c r="M852" s="6">
        <f t="shared" si="334"/>
        <v>147.24176061865023</v>
      </c>
      <c r="N852" s="6">
        <f t="shared" si="326"/>
        <v>170.14000000000001</v>
      </c>
      <c r="O852" s="6">
        <f>Arrivals!I852</f>
        <v>0.56843410003824313</v>
      </c>
      <c r="P852" s="6">
        <f t="shared" si="327"/>
        <v>170.70843410003826</v>
      </c>
      <c r="Q852" s="6">
        <f t="shared" si="328"/>
        <v>118.70843410003826</v>
      </c>
      <c r="R852" s="6">
        <f t="shared" si="329"/>
        <v>94.12</v>
      </c>
      <c r="S852" s="6">
        <f t="shared" si="330"/>
        <v>0</v>
      </c>
      <c r="T852" s="6">
        <f t="shared" si="331"/>
        <v>0</v>
      </c>
      <c r="U852" s="6">
        <f t="shared" si="332"/>
        <v>94.12</v>
      </c>
      <c r="V852" s="6" t="str">
        <f>IF(MOD(C852-Settings!$B$32,Settings!$B$33)&lt;Settings!$B$30,"Up","Down")</f>
        <v>Up</v>
      </c>
      <c r="W852" s="6">
        <f>IF(OR(E852&gt;Settings!$B$30,Q852&gt;Settings!$B$37),0,1)</f>
        <v>1</v>
      </c>
      <c r="X852" s="6">
        <f>IF(AND(W852=1,Q852&lt;=Settings!$B$36),1,0)</f>
        <v>1</v>
      </c>
    </row>
    <row r="853" spans="1:24" x14ac:dyDescent="0.2">
      <c r="A853">
        <f>Arrivals!A853</f>
        <v>8</v>
      </c>
      <c r="B853">
        <f>Arrivals!B853</f>
        <v>8</v>
      </c>
      <c r="C853" s="6">
        <f>Arrivals!F853</f>
        <v>57</v>
      </c>
      <c r="D853" s="6">
        <f>Arrivals!K853</f>
        <v>300</v>
      </c>
      <c r="E853" s="6">
        <f>D853*8/ACE_Input!S13+ACE_Input!T13</f>
        <v>24.02</v>
      </c>
      <c r="F853" s="6">
        <f t="shared" si="322"/>
        <v>57</v>
      </c>
      <c r="G853" s="6">
        <f t="shared" si="333"/>
        <v>170.14000000000001</v>
      </c>
      <c r="H853" s="6">
        <f t="shared" si="323"/>
        <v>170.14000000000001</v>
      </c>
      <c r="I853" s="6">
        <f>MOD(H853-Settings!$B$32,Settings!$B$33)</f>
        <v>170.14000000000001</v>
      </c>
      <c r="J853" s="6">
        <f>IF(I853&lt;Settings!$B$30,IF(Settings!$B$30-I853&gt;=E853,H853,H853+(Settings!$B$30-I853)+Settings!$B$31),H853+(Settings!$B$33-I853))</f>
        <v>170.14000000000001</v>
      </c>
      <c r="K853" s="6">
        <f t="shared" si="324"/>
        <v>194.16000000000003</v>
      </c>
      <c r="L853" s="6">
        <f t="shared" si="325"/>
        <v>194.16000000000003</v>
      </c>
      <c r="M853" s="6">
        <f t="shared" si="334"/>
        <v>170.70843410003826</v>
      </c>
      <c r="N853" s="6">
        <f t="shared" si="326"/>
        <v>194.16000000000003</v>
      </c>
      <c r="O853" s="6">
        <f>Arrivals!I853</f>
        <v>2.5544848437667644</v>
      </c>
      <c r="P853" s="6">
        <f t="shared" si="327"/>
        <v>196.7144848437668</v>
      </c>
      <c r="Q853" s="6">
        <f t="shared" si="328"/>
        <v>139.7144848437668</v>
      </c>
      <c r="R853" s="6">
        <f t="shared" si="329"/>
        <v>113.14000000000001</v>
      </c>
      <c r="S853" s="6">
        <f t="shared" si="330"/>
        <v>0</v>
      </c>
      <c r="T853" s="6">
        <f t="shared" si="331"/>
        <v>0</v>
      </c>
      <c r="U853" s="6">
        <f t="shared" si="332"/>
        <v>113.14000000000001</v>
      </c>
      <c r="V853" s="6" t="str">
        <f>IF(MOD(C853-Settings!$B$32,Settings!$B$33)&lt;Settings!$B$30,"Up","Down")</f>
        <v>Up</v>
      </c>
      <c r="W853" s="6">
        <f>IF(OR(E853&gt;Settings!$B$30,Q853&gt;Settings!$B$37),0,1)</f>
        <v>1</v>
      </c>
      <c r="X853" s="6">
        <f>IF(AND(W853=1,Q853&lt;=Settings!$B$36),1,0)</f>
        <v>0</v>
      </c>
    </row>
    <row r="854" spans="1:24" x14ac:dyDescent="0.2">
      <c r="A854">
        <f>Arrivals!A854</f>
        <v>8</v>
      </c>
      <c r="B854">
        <f>Arrivals!B854</f>
        <v>9</v>
      </c>
      <c r="C854" s="6">
        <f>Arrivals!F854</f>
        <v>172</v>
      </c>
      <c r="D854" s="6">
        <f>Arrivals!K854</f>
        <v>300</v>
      </c>
      <c r="E854" s="6">
        <f>D854*8/ACE_Input!S14+ACE_Input!T14</f>
        <v>24.02</v>
      </c>
      <c r="F854" s="6">
        <f t="shared" si="322"/>
        <v>172</v>
      </c>
      <c r="G854" s="6">
        <f t="shared" si="333"/>
        <v>194.16000000000003</v>
      </c>
      <c r="H854" s="6">
        <f t="shared" si="323"/>
        <v>194.16000000000003</v>
      </c>
      <c r="I854" s="6">
        <f>MOD(H854-Settings!$B$32,Settings!$B$33)</f>
        <v>194.16000000000003</v>
      </c>
      <c r="J854" s="6">
        <f>IF(I854&lt;Settings!$B$30,IF(Settings!$B$30-I854&gt;=E854,H854,H854+(Settings!$B$30-I854)+Settings!$B$31),H854+(Settings!$B$33-I854))</f>
        <v>194.16000000000003</v>
      </c>
      <c r="K854" s="6">
        <f t="shared" si="324"/>
        <v>218.18000000000004</v>
      </c>
      <c r="L854" s="6">
        <f t="shared" si="325"/>
        <v>218.18000000000004</v>
      </c>
      <c r="M854" s="6">
        <f t="shared" si="334"/>
        <v>196.7144848437668</v>
      </c>
      <c r="N854" s="6">
        <f t="shared" si="326"/>
        <v>218.18000000000004</v>
      </c>
      <c r="O854" s="6">
        <f>Arrivals!I854</f>
        <v>3.3637299768015287</v>
      </c>
      <c r="P854" s="6">
        <f t="shared" si="327"/>
        <v>221.54372997680156</v>
      </c>
      <c r="Q854" s="6">
        <f t="shared" si="328"/>
        <v>49.543729976801558</v>
      </c>
      <c r="R854" s="6">
        <f t="shared" si="329"/>
        <v>22.160000000000025</v>
      </c>
      <c r="S854" s="6">
        <f t="shared" si="330"/>
        <v>0</v>
      </c>
      <c r="T854" s="6">
        <f t="shared" si="331"/>
        <v>0</v>
      </c>
      <c r="U854" s="6">
        <f t="shared" si="332"/>
        <v>22.160000000000025</v>
      </c>
      <c r="V854" s="6" t="str">
        <f>IF(MOD(C854-Settings!$B$32,Settings!$B$33)&lt;Settings!$B$30,"Up","Down")</f>
        <v>Up</v>
      </c>
      <c r="W854" s="6">
        <f>IF(OR(E854&gt;Settings!$B$30,Q854&gt;Settings!$B$37),0,1)</f>
        <v>1</v>
      </c>
      <c r="X854" s="6">
        <f>IF(AND(W854=1,Q854&lt;=Settings!$B$36),1,0)</f>
        <v>1</v>
      </c>
    </row>
    <row r="855" spans="1:24" x14ac:dyDescent="0.2">
      <c r="A855">
        <f>Arrivals!A855</f>
        <v>8</v>
      </c>
      <c r="B855">
        <f>Arrivals!B855</f>
        <v>10</v>
      </c>
      <c r="C855" s="6">
        <f>Arrivals!F855</f>
        <v>177</v>
      </c>
      <c r="D855" s="6">
        <f>Arrivals!K855</f>
        <v>300</v>
      </c>
      <c r="E855" s="6">
        <f>D855*8/ACE_Input!S15+ACE_Input!T15</f>
        <v>24.02</v>
      </c>
      <c r="F855" s="6">
        <f t="shared" si="322"/>
        <v>177</v>
      </c>
      <c r="G855" s="6">
        <f t="shared" si="333"/>
        <v>218.18000000000004</v>
      </c>
      <c r="H855" s="6">
        <f t="shared" si="323"/>
        <v>218.18000000000004</v>
      </c>
      <c r="I855" s="6">
        <f>MOD(H855-Settings!$B$32,Settings!$B$33)</f>
        <v>218.18000000000004</v>
      </c>
      <c r="J855" s="6">
        <f>IF(I855&lt;Settings!$B$30,IF(Settings!$B$30-I855&gt;=E855,H855,H855+(Settings!$B$30-I855)+Settings!$B$31),H855+(Settings!$B$33-I855))</f>
        <v>218.18000000000004</v>
      </c>
      <c r="K855" s="6">
        <f t="shared" si="324"/>
        <v>242.20000000000005</v>
      </c>
      <c r="L855" s="6">
        <f t="shared" si="325"/>
        <v>242.20000000000005</v>
      </c>
      <c r="M855" s="6">
        <f t="shared" si="334"/>
        <v>221.54372997680156</v>
      </c>
      <c r="N855" s="6">
        <f t="shared" si="326"/>
        <v>242.20000000000005</v>
      </c>
      <c r="O855" s="6">
        <f>Arrivals!I855</f>
        <v>1.6160889598513011E-2</v>
      </c>
      <c r="P855" s="6">
        <f t="shared" si="327"/>
        <v>242.21616088959857</v>
      </c>
      <c r="Q855" s="6">
        <f t="shared" si="328"/>
        <v>65.216160889598569</v>
      </c>
      <c r="R855" s="6">
        <f t="shared" si="329"/>
        <v>41.180000000000035</v>
      </c>
      <c r="S855" s="6">
        <f t="shared" si="330"/>
        <v>0</v>
      </c>
      <c r="T855" s="6">
        <f t="shared" si="331"/>
        <v>0</v>
      </c>
      <c r="U855" s="6">
        <f t="shared" si="332"/>
        <v>41.180000000000035</v>
      </c>
      <c r="V855" s="6" t="str">
        <f>IF(MOD(C855-Settings!$B$32,Settings!$B$33)&lt;Settings!$B$30,"Up","Down")</f>
        <v>Up</v>
      </c>
      <c r="W855" s="6">
        <f>IF(OR(E855&gt;Settings!$B$30,Q855&gt;Settings!$B$37),0,1)</f>
        <v>1</v>
      </c>
      <c r="X855" s="6">
        <f>IF(AND(W855=1,Q855&lt;=Settings!$B$36),1,0)</f>
        <v>1</v>
      </c>
    </row>
    <row r="856" spans="1:24" x14ac:dyDescent="0.2">
      <c r="A856">
        <f>Arrivals!A856</f>
        <v>8</v>
      </c>
      <c r="B856">
        <f>Arrivals!B856</f>
        <v>11</v>
      </c>
      <c r="C856" s="6">
        <f>Arrivals!F856</f>
        <v>182</v>
      </c>
      <c r="D856" s="6">
        <f>Arrivals!K856</f>
        <v>300</v>
      </c>
      <c r="E856" s="6">
        <f>D856*8/ACE_Input!S16+ACE_Input!T16</f>
        <v>24.02</v>
      </c>
      <c r="F856" s="6">
        <f t="shared" si="322"/>
        <v>182</v>
      </c>
      <c r="G856" s="6">
        <f t="shared" si="333"/>
        <v>242.20000000000005</v>
      </c>
      <c r="H856" s="6">
        <f t="shared" si="323"/>
        <v>242.20000000000005</v>
      </c>
      <c r="I856" s="6">
        <f>MOD(H856-Settings!$B$32,Settings!$B$33)</f>
        <v>242.20000000000005</v>
      </c>
      <c r="J856" s="6">
        <f>IF(I856&lt;Settings!$B$30,IF(Settings!$B$30-I856&gt;=E856,H856,H856+(Settings!$B$30-I856)+Settings!$B$31),H856+(Settings!$B$33-I856))</f>
        <v>242.20000000000005</v>
      </c>
      <c r="K856" s="6">
        <f t="shared" si="324"/>
        <v>266.22000000000003</v>
      </c>
      <c r="L856" s="6">
        <f t="shared" si="325"/>
        <v>266.22000000000003</v>
      </c>
      <c r="M856" s="6">
        <f t="shared" si="334"/>
        <v>242.21616088959857</v>
      </c>
      <c r="N856" s="6">
        <f t="shared" si="326"/>
        <v>266.22000000000003</v>
      </c>
      <c r="O856" s="6">
        <f>Arrivals!I856</f>
        <v>5.8273609710733281</v>
      </c>
      <c r="P856" s="6">
        <f t="shared" si="327"/>
        <v>272.04736097107337</v>
      </c>
      <c r="Q856" s="6">
        <f t="shared" si="328"/>
        <v>90.047360971073374</v>
      </c>
      <c r="R856" s="6">
        <f t="shared" si="329"/>
        <v>60.200000000000045</v>
      </c>
      <c r="S856" s="6">
        <f t="shared" si="330"/>
        <v>0</v>
      </c>
      <c r="T856" s="6">
        <f t="shared" si="331"/>
        <v>0</v>
      </c>
      <c r="U856" s="6">
        <f t="shared" si="332"/>
        <v>60.200000000000045</v>
      </c>
      <c r="V856" s="6" t="str">
        <f>IF(MOD(C856-Settings!$B$32,Settings!$B$33)&lt;Settings!$B$30,"Up","Down")</f>
        <v>Up</v>
      </c>
      <c r="W856" s="6">
        <f>IF(OR(E856&gt;Settings!$B$30,Q856&gt;Settings!$B$37),0,1)</f>
        <v>1</v>
      </c>
      <c r="X856" s="6">
        <f>IF(AND(W856=1,Q856&lt;=Settings!$B$36),1,0)</f>
        <v>1</v>
      </c>
    </row>
    <row r="857" spans="1:24" x14ac:dyDescent="0.2">
      <c r="A857">
        <f>Arrivals!A857</f>
        <v>8</v>
      </c>
      <c r="B857">
        <f>Arrivals!B857</f>
        <v>12</v>
      </c>
      <c r="C857" s="6">
        <f>Arrivals!F857</f>
        <v>187</v>
      </c>
      <c r="D857" s="6">
        <f>Arrivals!K857</f>
        <v>300</v>
      </c>
      <c r="E857" s="6">
        <f>D857*8/ACE_Input!S17+ACE_Input!T17</f>
        <v>24.02</v>
      </c>
      <c r="F857" s="6">
        <f t="shared" si="322"/>
        <v>187</v>
      </c>
      <c r="G857" s="6">
        <f t="shared" si="333"/>
        <v>266.22000000000003</v>
      </c>
      <c r="H857" s="6">
        <f t="shared" si="323"/>
        <v>266.22000000000003</v>
      </c>
      <c r="I857" s="6">
        <f>MOD(H857-Settings!$B$32,Settings!$B$33)</f>
        <v>266.22000000000003</v>
      </c>
      <c r="J857" s="6">
        <f>IF(I857&lt;Settings!$B$30,IF(Settings!$B$30-I857&gt;=E857,H857,H857+(Settings!$B$30-I857)+Settings!$B$31),H857+(Settings!$B$33-I857))</f>
        <v>266.22000000000003</v>
      </c>
      <c r="K857" s="6">
        <f t="shared" si="324"/>
        <v>290.24</v>
      </c>
      <c r="L857" s="6">
        <f t="shared" si="325"/>
        <v>290.24</v>
      </c>
      <c r="M857" s="6">
        <f t="shared" si="334"/>
        <v>272.04736097107337</v>
      </c>
      <c r="N857" s="6">
        <f t="shared" si="326"/>
        <v>290.24</v>
      </c>
      <c r="O857" s="6">
        <f>Arrivals!I857</f>
        <v>2.4079376521406823</v>
      </c>
      <c r="P857" s="6">
        <f t="shared" si="327"/>
        <v>292.64793765214068</v>
      </c>
      <c r="Q857" s="6">
        <f t="shared" si="328"/>
        <v>105.64793765214068</v>
      </c>
      <c r="R857" s="6">
        <f t="shared" si="329"/>
        <v>79.220000000000027</v>
      </c>
      <c r="S857" s="6">
        <f t="shared" si="330"/>
        <v>0</v>
      </c>
      <c r="T857" s="6">
        <f t="shared" si="331"/>
        <v>0</v>
      </c>
      <c r="U857" s="6">
        <f t="shared" si="332"/>
        <v>79.220000000000027</v>
      </c>
      <c r="V857" s="6" t="str">
        <f>IF(MOD(C857-Settings!$B$32,Settings!$B$33)&lt;Settings!$B$30,"Up","Down")</f>
        <v>Up</v>
      </c>
      <c r="W857" s="6">
        <f>IF(OR(E857&gt;Settings!$B$30,Q857&gt;Settings!$B$37),0,1)</f>
        <v>1</v>
      </c>
      <c r="X857" s="6">
        <f>IF(AND(W857=1,Q857&lt;=Settings!$B$36),1,0)</f>
        <v>1</v>
      </c>
    </row>
    <row r="858" spans="1:24" x14ac:dyDescent="0.2">
      <c r="A858">
        <f>Arrivals!A858</f>
        <v>8</v>
      </c>
      <c r="B858">
        <f>Arrivals!B858</f>
        <v>13</v>
      </c>
      <c r="C858" s="6">
        <f>Arrivals!F858</f>
        <v>192</v>
      </c>
      <c r="D858" s="6">
        <f>Arrivals!K858</f>
        <v>300</v>
      </c>
      <c r="E858" s="6">
        <f>D858*8/ACE_Input!S18+ACE_Input!T18</f>
        <v>24.02</v>
      </c>
      <c r="F858" s="6">
        <f t="shared" si="322"/>
        <v>192</v>
      </c>
      <c r="G858" s="6">
        <f t="shared" si="333"/>
        <v>290.24</v>
      </c>
      <c r="H858" s="6">
        <f t="shared" si="323"/>
        <v>290.24</v>
      </c>
      <c r="I858" s="6">
        <f>MOD(H858-Settings!$B$32,Settings!$B$33)</f>
        <v>290.24</v>
      </c>
      <c r="J858" s="6">
        <f>IF(I858&lt;Settings!$B$30,IF(Settings!$B$30-I858&gt;=E858,H858,H858+(Settings!$B$30-I858)+Settings!$B$31),H858+(Settings!$B$33-I858))</f>
        <v>290.24</v>
      </c>
      <c r="K858" s="6">
        <f t="shared" si="324"/>
        <v>314.26</v>
      </c>
      <c r="L858" s="6">
        <f t="shared" si="325"/>
        <v>314.26</v>
      </c>
      <c r="M858" s="6">
        <f t="shared" si="334"/>
        <v>292.64793765214068</v>
      </c>
      <c r="N858" s="6">
        <f t="shared" si="326"/>
        <v>314.26</v>
      </c>
      <c r="O858" s="6">
        <f>Arrivals!I858</f>
        <v>2.1014898802526916</v>
      </c>
      <c r="P858" s="6">
        <f t="shared" si="327"/>
        <v>316.36148988025269</v>
      </c>
      <c r="Q858" s="6">
        <f t="shared" si="328"/>
        <v>124.36148988025269</v>
      </c>
      <c r="R858" s="6">
        <f t="shared" si="329"/>
        <v>98.240000000000009</v>
      </c>
      <c r="S858" s="6">
        <f t="shared" si="330"/>
        <v>0</v>
      </c>
      <c r="T858" s="6">
        <f t="shared" si="331"/>
        <v>0</v>
      </c>
      <c r="U858" s="6">
        <f t="shared" si="332"/>
        <v>98.240000000000009</v>
      </c>
      <c r="V858" s="6" t="str">
        <f>IF(MOD(C858-Settings!$B$32,Settings!$B$33)&lt;Settings!$B$30,"Up","Down")</f>
        <v>Up</v>
      </c>
      <c r="W858" s="6">
        <f>IF(OR(E858&gt;Settings!$B$30,Q858&gt;Settings!$B$37),0,1)</f>
        <v>1</v>
      </c>
      <c r="X858" s="6">
        <f>IF(AND(W858=1,Q858&lt;=Settings!$B$36),1,0)</f>
        <v>0</v>
      </c>
    </row>
    <row r="859" spans="1:24" x14ac:dyDescent="0.2">
      <c r="A859">
        <f>Arrivals!A859</f>
        <v>8</v>
      </c>
      <c r="B859">
        <f>Arrivals!B859</f>
        <v>14</v>
      </c>
      <c r="C859" s="6">
        <f>Arrivals!F859</f>
        <v>197</v>
      </c>
      <c r="D859" s="6">
        <f>Arrivals!K859</f>
        <v>300</v>
      </c>
      <c r="E859" s="6">
        <f>D859*8/ACE_Input!S19+ACE_Input!T19</f>
        <v>24.02</v>
      </c>
      <c r="F859" s="6">
        <f t="shared" si="322"/>
        <v>197</v>
      </c>
      <c r="G859" s="6">
        <f t="shared" si="333"/>
        <v>314.26</v>
      </c>
      <c r="H859" s="6">
        <f t="shared" si="323"/>
        <v>314.26</v>
      </c>
      <c r="I859" s="6">
        <f>MOD(H859-Settings!$B$32,Settings!$B$33)</f>
        <v>314.26</v>
      </c>
      <c r="J859" s="6">
        <f>IF(I859&lt;Settings!$B$30,IF(Settings!$B$30-I859&gt;=E859,H859,H859+(Settings!$B$30-I859)+Settings!$B$31),H859+(Settings!$B$33-I859))</f>
        <v>314.26</v>
      </c>
      <c r="K859" s="6">
        <f t="shared" si="324"/>
        <v>338.28</v>
      </c>
      <c r="L859" s="6">
        <f t="shared" si="325"/>
        <v>338.28</v>
      </c>
      <c r="M859" s="6">
        <f t="shared" si="334"/>
        <v>316.36148988025269</v>
      </c>
      <c r="N859" s="6">
        <f t="shared" si="326"/>
        <v>338.28</v>
      </c>
      <c r="O859" s="6">
        <f>Arrivals!I859</f>
        <v>2.2590145831327249</v>
      </c>
      <c r="P859" s="6">
        <f t="shared" si="327"/>
        <v>340.53901458313271</v>
      </c>
      <c r="Q859" s="6">
        <f t="shared" si="328"/>
        <v>143.53901458313271</v>
      </c>
      <c r="R859" s="6">
        <f t="shared" si="329"/>
        <v>117.25999999999999</v>
      </c>
      <c r="S859" s="6">
        <f t="shared" si="330"/>
        <v>0</v>
      </c>
      <c r="T859" s="6">
        <f t="shared" si="331"/>
        <v>0</v>
      </c>
      <c r="U859" s="6">
        <f t="shared" si="332"/>
        <v>117.25999999999999</v>
      </c>
      <c r="V859" s="6" t="str">
        <f>IF(MOD(C859-Settings!$B$32,Settings!$B$33)&lt;Settings!$B$30,"Up","Down")</f>
        <v>Up</v>
      </c>
      <c r="W859" s="6">
        <f>IF(OR(E859&gt;Settings!$B$30,Q859&gt;Settings!$B$37),0,1)</f>
        <v>1</v>
      </c>
      <c r="X859" s="6">
        <f>IF(AND(W859=1,Q859&lt;=Settings!$B$36),1,0)</f>
        <v>0</v>
      </c>
    </row>
    <row r="860" spans="1:24" x14ac:dyDescent="0.2">
      <c r="A860">
        <f>Arrivals!A860</f>
        <v>8</v>
      </c>
      <c r="B860">
        <f>Arrivals!B860</f>
        <v>15</v>
      </c>
      <c r="C860" s="6">
        <f>Arrivals!F860</f>
        <v>202</v>
      </c>
      <c r="D860" s="6">
        <f>Arrivals!K860</f>
        <v>300</v>
      </c>
      <c r="E860" s="6">
        <f>D860*8/ACE_Input!S20+ACE_Input!T20</f>
        <v>24.02</v>
      </c>
      <c r="F860" s="6">
        <f t="shared" si="322"/>
        <v>202</v>
      </c>
      <c r="G860" s="6">
        <f t="shared" si="333"/>
        <v>338.28</v>
      </c>
      <c r="H860" s="6">
        <f t="shared" si="323"/>
        <v>338.28</v>
      </c>
      <c r="I860" s="6">
        <f>MOD(H860-Settings!$B$32,Settings!$B$33)</f>
        <v>338.28</v>
      </c>
      <c r="J860" s="6">
        <f>IF(I860&lt;Settings!$B$30,IF(Settings!$B$30-I860&gt;=E860,H860,H860+(Settings!$B$30-I860)+Settings!$B$31),H860+(Settings!$B$33-I860))</f>
        <v>338.28</v>
      </c>
      <c r="K860" s="6">
        <f t="shared" si="324"/>
        <v>362.29999999999995</v>
      </c>
      <c r="L860" s="6">
        <f t="shared" si="325"/>
        <v>362.29999999999995</v>
      </c>
      <c r="M860" s="6">
        <f t="shared" si="334"/>
        <v>340.53901458313271</v>
      </c>
      <c r="N860" s="6">
        <f t="shared" si="326"/>
        <v>362.29999999999995</v>
      </c>
      <c r="O860" s="6">
        <f>Arrivals!I860</f>
        <v>0.98075094583751987</v>
      </c>
      <c r="P860" s="6">
        <f t="shared" si="327"/>
        <v>363.2807509458375</v>
      </c>
      <c r="Q860" s="6">
        <f t="shared" si="328"/>
        <v>161.2807509458375</v>
      </c>
      <c r="R860" s="6">
        <f t="shared" si="329"/>
        <v>136.27999999999997</v>
      </c>
      <c r="S860" s="6">
        <f t="shared" si="330"/>
        <v>0</v>
      </c>
      <c r="T860" s="6">
        <f t="shared" si="331"/>
        <v>0</v>
      </c>
      <c r="U860" s="6">
        <f t="shared" si="332"/>
        <v>136.27999999999997</v>
      </c>
      <c r="V860" s="6" t="str">
        <f>IF(MOD(C860-Settings!$B$32,Settings!$B$33)&lt;Settings!$B$30,"Up","Down")</f>
        <v>Up</v>
      </c>
      <c r="W860" s="6">
        <f>IF(OR(E860&gt;Settings!$B$30,Q860&gt;Settings!$B$37),0,1)</f>
        <v>1</v>
      </c>
      <c r="X860" s="6">
        <f>IF(AND(W860=1,Q860&lt;=Settings!$B$36),1,0)</f>
        <v>0</v>
      </c>
    </row>
    <row r="861" spans="1:24" x14ac:dyDescent="0.2">
      <c r="A861">
        <f>Arrivals!A861</f>
        <v>8</v>
      </c>
      <c r="B861">
        <f>Arrivals!B861</f>
        <v>16</v>
      </c>
      <c r="C861" s="6">
        <f>Arrivals!F861</f>
        <v>207</v>
      </c>
      <c r="D861" s="6">
        <f>Arrivals!K861</f>
        <v>300</v>
      </c>
      <c r="E861" s="6">
        <f>D861*8/ACE_Input!S21+ACE_Input!T21</f>
        <v>24.02</v>
      </c>
      <c r="F861" s="6">
        <f t="shared" si="322"/>
        <v>207</v>
      </c>
      <c r="G861" s="6">
        <f t="shared" si="333"/>
        <v>362.29999999999995</v>
      </c>
      <c r="H861" s="6">
        <f t="shared" si="323"/>
        <v>362.29999999999995</v>
      </c>
      <c r="I861" s="6">
        <f>MOD(H861-Settings!$B$32,Settings!$B$33)</f>
        <v>362.29999999999995</v>
      </c>
      <c r="J861" s="6">
        <f>IF(I861&lt;Settings!$B$30,IF(Settings!$B$30-I861&gt;=E861,H861,H861+(Settings!$B$30-I861)+Settings!$B$31),H861+(Settings!$B$33-I861))</f>
        <v>362.29999999999995</v>
      </c>
      <c r="K861" s="6">
        <f t="shared" si="324"/>
        <v>386.31999999999994</v>
      </c>
      <c r="L861" s="6">
        <f t="shared" si="325"/>
        <v>386.31999999999994</v>
      </c>
      <c r="M861" s="6">
        <f t="shared" si="334"/>
        <v>363.2807509458375</v>
      </c>
      <c r="N861" s="6">
        <f t="shared" si="326"/>
        <v>386.31999999999994</v>
      </c>
      <c r="O861" s="6">
        <f>Arrivals!I861</f>
        <v>3.231998492412631</v>
      </c>
      <c r="P861" s="6">
        <f t="shared" si="327"/>
        <v>389.55199849241257</v>
      </c>
      <c r="Q861" s="6">
        <f t="shared" si="328"/>
        <v>182.55199849241257</v>
      </c>
      <c r="R861" s="6">
        <f t="shared" si="329"/>
        <v>155.29999999999995</v>
      </c>
      <c r="S861" s="6">
        <f t="shared" si="330"/>
        <v>0</v>
      </c>
      <c r="T861" s="6">
        <f t="shared" si="331"/>
        <v>0</v>
      </c>
      <c r="U861" s="6">
        <f t="shared" si="332"/>
        <v>155.29999999999995</v>
      </c>
      <c r="V861" s="6" t="str">
        <f>IF(MOD(C861-Settings!$B$32,Settings!$B$33)&lt;Settings!$B$30,"Up","Down")</f>
        <v>Up</v>
      </c>
      <c r="W861" s="6">
        <f>IF(OR(E861&gt;Settings!$B$30,Q861&gt;Settings!$B$37),0,1)</f>
        <v>1</v>
      </c>
      <c r="X861" s="6">
        <f>IF(AND(W861=1,Q861&lt;=Settings!$B$36),1,0)</f>
        <v>0</v>
      </c>
    </row>
    <row r="862" spans="1:24" x14ac:dyDescent="0.2">
      <c r="A862">
        <f>Arrivals!A862</f>
        <v>8</v>
      </c>
      <c r="B862">
        <f>Arrivals!B862</f>
        <v>17</v>
      </c>
      <c r="C862" s="6">
        <f>Arrivals!F862</f>
        <v>212</v>
      </c>
      <c r="D862" s="6">
        <f>Arrivals!K862</f>
        <v>300</v>
      </c>
      <c r="E862" s="6">
        <f>D862*8/ACE_Input!S22+ACE_Input!T22</f>
        <v>24.02</v>
      </c>
      <c r="F862" s="6">
        <f t="shared" si="322"/>
        <v>212</v>
      </c>
      <c r="G862" s="6">
        <f t="shared" si="333"/>
        <v>386.31999999999994</v>
      </c>
      <c r="H862" s="6">
        <f t="shared" si="323"/>
        <v>386.31999999999994</v>
      </c>
      <c r="I862" s="6">
        <f>MOD(H862-Settings!$B$32,Settings!$B$33)</f>
        <v>386.31999999999994</v>
      </c>
      <c r="J862" s="6">
        <f>IF(I862&lt;Settings!$B$30,IF(Settings!$B$30-I862&gt;=E862,H862,H862+(Settings!$B$30-I862)+Settings!$B$31),H862+(Settings!$B$33-I862))</f>
        <v>386.31999999999994</v>
      </c>
      <c r="K862" s="6">
        <f t="shared" si="324"/>
        <v>410.33999999999992</v>
      </c>
      <c r="L862" s="6">
        <f t="shared" si="325"/>
        <v>410.33999999999992</v>
      </c>
      <c r="M862" s="6">
        <f t="shared" si="334"/>
        <v>389.55199849241257</v>
      </c>
      <c r="N862" s="6">
        <f t="shared" si="326"/>
        <v>410.33999999999992</v>
      </c>
      <c r="O862" s="6">
        <f>Arrivals!I862</f>
        <v>1.422330289936792</v>
      </c>
      <c r="P862" s="6">
        <f t="shared" si="327"/>
        <v>411.7623302899367</v>
      </c>
      <c r="Q862" s="6">
        <f t="shared" si="328"/>
        <v>199.7623302899367</v>
      </c>
      <c r="R862" s="6">
        <f t="shared" si="329"/>
        <v>174.31999999999994</v>
      </c>
      <c r="S862" s="6">
        <f t="shared" si="330"/>
        <v>0</v>
      </c>
      <c r="T862" s="6">
        <f t="shared" si="331"/>
        <v>0</v>
      </c>
      <c r="U862" s="6">
        <f t="shared" si="332"/>
        <v>174.31999999999994</v>
      </c>
      <c r="V862" s="6" t="str">
        <f>IF(MOD(C862-Settings!$B$32,Settings!$B$33)&lt;Settings!$B$30,"Up","Down")</f>
        <v>Up</v>
      </c>
      <c r="W862" s="6">
        <f>IF(OR(E862&gt;Settings!$B$30,Q862&gt;Settings!$B$37),0,1)</f>
        <v>1</v>
      </c>
      <c r="X862" s="6">
        <f>IF(AND(W862=1,Q862&lt;=Settings!$B$36),1,0)</f>
        <v>0</v>
      </c>
    </row>
    <row r="863" spans="1:24" x14ac:dyDescent="0.2">
      <c r="A863">
        <f>Arrivals!A863</f>
        <v>8</v>
      </c>
      <c r="B863">
        <f>Arrivals!B863</f>
        <v>18</v>
      </c>
      <c r="C863" s="6">
        <f>Arrivals!F863</f>
        <v>217</v>
      </c>
      <c r="D863" s="6">
        <f>Arrivals!K863</f>
        <v>300</v>
      </c>
      <c r="E863" s="6">
        <f>D863*8/ACE_Input!S23+ACE_Input!T23</f>
        <v>24.02</v>
      </c>
      <c r="F863" s="6">
        <f t="shared" si="322"/>
        <v>217</v>
      </c>
      <c r="G863" s="6">
        <f t="shared" si="333"/>
        <v>410.33999999999992</v>
      </c>
      <c r="H863" s="6">
        <f t="shared" si="323"/>
        <v>410.33999999999992</v>
      </c>
      <c r="I863" s="6">
        <f>MOD(H863-Settings!$B$32,Settings!$B$33)</f>
        <v>410.33999999999992</v>
      </c>
      <c r="J863" s="6">
        <f>IF(I863&lt;Settings!$B$30,IF(Settings!$B$30-I863&gt;=E863,H863,H863+(Settings!$B$30-I863)+Settings!$B$31),H863+(Settings!$B$33-I863))</f>
        <v>410.33999999999992</v>
      </c>
      <c r="K863" s="6">
        <f t="shared" si="324"/>
        <v>434.3599999999999</v>
      </c>
      <c r="L863" s="6">
        <f t="shared" si="325"/>
        <v>434.3599999999999</v>
      </c>
      <c r="M863" s="6">
        <f t="shared" si="334"/>
        <v>411.7623302899367</v>
      </c>
      <c r="N863" s="6">
        <f t="shared" si="326"/>
        <v>434.3599999999999</v>
      </c>
      <c r="O863" s="6">
        <f>Arrivals!I863</f>
        <v>1.1047911340294376</v>
      </c>
      <c r="P863" s="6">
        <f t="shared" si="327"/>
        <v>435.46479113402933</v>
      </c>
      <c r="Q863" s="6">
        <f t="shared" si="328"/>
        <v>218.46479113402933</v>
      </c>
      <c r="R863" s="6">
        <f t="shared" si="329"/>
        <v>193.33999999999992</v>
      </c>
      <c r="S863" s="6">
        <f t="shared" si="330"/>
        <v>0</v>
      </c>
      <c r="T863" s="6">
        <f t="shared" si="331"/>
        <v>0</v>
      </c>
      <c r="U863" s="6">
        <f t="shared" si="332"/>
        <v>193.33999999999992</v>
      </c>
      <c r="V863" s="6" t="str">
        <f>IF(MOD(C863-Settings!$B$32,Settings!$B$33)&lt;Settings!$B$30,"Up","Down")</f>
        <v>Up</v>
      </c>
      <c r="W863" s="6">
        <f>IF(OR(E863&gt;Settings!$B$30,Q863&gt;Settings!$B$37),0,1)</f>
        <v>1</v>
      </c>
      <c r="X863" s="6">
        <f>IF(AND(W863=1,Q863&lt;=Settings!$B$36),1,0)</f>
        <v>0</v>
      </c>
    </row>
    <row r="864" spans="1:24" x14ac:dyDescent="0.2">
      <c r="A864">
        <f>Arrivals!A864</f>
        <v>8</v>
      </c>
      <c r="B864">
        <f>Arrivals!B864</f>
        <v>19</v>
      </c>
      <c r="C864" s="6">
        <f>Arrivals!F864</f>
        <v>222</v>
      </c>
      <c r="D864" s="6">
        <f>Arrivals!K864</f>
        <v>300</v>
      </c>
      <c r="E864" s="6">
        <f>D864*8/ACE_Input!S24+ACE_Input!T24</f>
        <v>24.02</v>
      </c>
      <c r="F864" s="6">
        <f t="shared" si="322"/>
        <v>222</v>
      </c>
      <c r="G864" s="6">
        <f t="shared" si="333"/>
        <v>434.3599999999999</v>
      </c>
      <c r="H864" s="6">
        <f t="shared" si="323"/>
        <v>434.3599999999999</v>
      </c>
      <c r="I864" s="6">
        <f>MOD(H864-Settings!$B$32,Settings!$B$33)</f>
        <v>434.3599999999999</v>
      </c>
      <c r="J864" s="6">
        <f>IF(I864&lt;Settings!$B$30,IF(Settings!$B$30-I864&gt;=E864,H864,H864+(Settings!$B$30-I864)+Settings!$B$31),H864+(Settings!$B$33-I864))</f>
        <v>434.3599999999999</v>
      </c>
      <c r="K864" s="6">
        <f t="shared" si="324"/>
        <v>458.37999999999988</v>
      </c>
      <c r="L864" s="6">
        <f t="shared" si="325"/>
        <v>458.37999999999988</v>
      </c>
      <c r="M864" s="6">
        <f t="shared" si="334"/>
        <v>435.46479113402933</v>
      </c>
      <c r="N864" s="6">
        <f t="shared" si="326"/>
        <v>458.37999999999988</v>
      </c>
      <c r="O864" s="6">
        <f>Arrivals!I864</f>
        <v>0.6653013844978104</v>
      </c>
      <c r="P864" s="6">
        <f t="shared" si="327"/>
        <v>459.04530138449769</v>
      </c>
      <c r="Q864" s="6">
        <f t="shared" si="328"/>
        <v>237.04530138449769</v>
      </c>
      <c r="R864" s="6">
        <f t="shared" si="329"/>
        <v>212.3599999999999</v>
      </c>
      <c r="S864" s="6">
        <f t="shared" si="330"/>
        <v>0</v>
      </c>
      <c r="T864" s="6">
        <f t="shared" si="331"/>
        <v>0</v>
      </c>
      <c r="U864" s="6">
        <f t="shared" si="332"/>
        <v>212.3599999999999</v>
      </c>
      <c r="V864" s="6" t="str">
        <f>IF(MOD(C864-Settings!$B$32,Settings!$B$33)&lt;Settings!$B$30,"Up","Down")</f>
        <v>Up</v>
      </c>
      <c r="W864" s="6">
        <f>IF(OR(E864&gt;Settings!$B$30,Q864&gt;Settings!$B$37),0,1)</f>
        <v>1</v>
      </c>
      <c r="X864" s="6">
        <f>IF(AND(W864=1,Q864&lt;=Settings!$B$36),1,0)</f>
        <v>0</v>
      </c>
    </row>
    <row r="865" spans="1:24" x14ac:dyDescent="0.2">
      <c r="A865">
        <f>Arrivals!A865</f>
        <v>8</v>
      </c>
      <c r="B865">
        <f>Arrivals!B865</f>
        <v>20</v>
      </c>
      <c r="C865" s="6">
        <f>Arrivals!F865</f>
        <v>227</v>
      </c>
      <c r="D865" s="6">
        <f>Arrivals!K865</f>
        <v>300</v>
      </c>
      <c r="E865" s="6">
        <f>D865*8/ACE_Input!S25+ACE_Input!T25</f>
        <v>24.02</v>
      </c>
      <c r="F865" s="6">
        <f t="shared" si="322"/>
        <v>227</v>
      </c>
      <c r="G865" s="6">
        <f t="shared" si="333"/>
        <v>458.37999999999988</v>
      </c>
      <c r="H865" s="6">
        <f t="shared" si="323"/>
        <v>458.37999999999988</v>
      </c>
      <c r="I865" s="6">
        <f>MOD(H865-Settings!$B$32,Settings!$B$33)</f>
        <v>458.37999999999988</v>
      </c>
      <c r="J865" s="6">
        <f>IF(I865&lt;Settings!$B$30,IF(Settings!$B$30-I865&gt;=E865,H865,H865+(Settings!$B$30-I865)+Settings!$B$31),H865+(Settings!$B$33-I865))</f>
        <v>458.37999999999988</v>
      </c>
      <c r="K865" s="6">
        <f t="shared" si="324"/>
        <v>482.39999999999986</v>
      </c>
      <c r="L865" s="6">
        <f t="shared" si="325"/>
        <v>482.39999999999986</v>
      </c>
      <c r="M865" s="6">
        <f t="shared" si="334"/>
        <v>459.04530138449769</v>
      </c>
      <c r="N865" s="6">
        <f t="shared" si="326"/>
        <v>482.39999999999986</v>
      </c>
      <c r="O865" s="6">
        <f>Arrivals!I865</f>
        <v>1.5716702696171143</v>
      </c>
      <c r="P865" s="6">
        <f t="shared" si="327"/>
        <v>483.97167026961699</v>
      </c>
      <c r="Q865" s="6">
        <f t="shared" si="328"/>
        <v>256.97167026961699</v>
      </c>
      <c r="R865" s="6">
        <f t="shared" si="329"/>
        <v>231.37999999999988</v>
      </c>
      <c r="S865" s="6">
        <f t="shared" si="330"/>
        <v>0</v>
      </c>
      <c r="T865" s="6">
        <f t="shared" si="331"/>
        <v>0</v>
      </c>
      <c r="U865" s="6">
        <f t="shared" si="332"/>
        <v>231.37999999999988</v>
      </c>
      <c r="V865" s="6" t="str">
        <f>IF(MOD(C865-Settings!$B$32,Settings!$B$33)&lt;Settings!$B$30,"Up","Down")</f>
        <v>Up</v>
      </c>
      <c r="W865" s="6">
        <f>IF(OR(E865&gt;Settings!$B$30,Q865&gt;Settings!$B$37),0,1)</f>
        <v>1</v>
      </c>
      <c r="X865" s="6">
        <f>IF(AND(W865=1,Q865&lt;=Settings!$B$36),1,0)</f>
        <v>0</v>
      </c>
    </row>
    <row r="866" spans="1:24" x14ac:dyDescent="0.2">
      <c r="A866">
        <f>Arrivals!A866</f>
        <v>8</v>
      </c>
      <c r="B866">
        <f>Arrivals!B866</f>
        <v>21</v>
      </c>
      <c r="C866" s="6">
        <f>Arrivals!F866</f>
        <v>232</v>
      </c>
      <c r="D866" s="6">
        <f>Arrivals!K866</f>
        <v>300</v>
      </c>
      <c r="E866" s="6">
        <f>D866*8/ACE_Input!S26+ACE_Input!T26</f>
        <v>24.02</v>
      </c>
      <c r="F866" s="6">
        <f t="shared" si="322"/>
        <v>232</v>
      </c>
      <c r="G866" s="6">
        <f t="shared" si="333"/>
        <v>482.39999999999986</v>
      </c>
      <c r="H866" s="6">
        <f t="shared" si="323"/>
        <v>482.39999999999986</v>
      </c>
      <c r="I866" s="6">
        <f>MOD(H866-Settings!$B$32,Settings!$B$33)</f>
        <v>482.39999999999986</v>
      </c>
      <c r="J866" s="6">
        <f>IF(I866&lt;Settings!$B$30,IF(Settings!$B$30-I866&gt;=E866,H866,H866+(Settings!$B$30-I866)+Settings!$B$31),H866+(Settings!$B$33-I866))</f>
        <v>482.39999999999986</v>
      </c>
      <c r="K866" s="6">
        <f t="shared" si="324"/>
        <v>506.41999999999985</v>
      </c>
      <c r="L866" s="6">
        <f t="shared" si="325"/>
        <v>506.41999999999985</v>
      </c>
      <c r="M866" s="6">
        <f t="shared" si="334"/>
        <v>483.97167026961699</v>
      </c>
      <c r="N866" s="6">
        <f t="shared" si="326"/>
        <v>506.41999999999985</v>
      </c>
      <c r="O866" s="6">
        <f>Arrivals!I866</f>
        <v>7.768073746864486</v>
      </c>
      <c r="P866" s="6">
        <f t="shared" si="327"/>
        <v>514.18807374686435</v>
      </c>
      <c r="Q866" s="6">
        <f t="shared" si="328"/>
        <v>282.18807374686435</v>
      </c>
      <c r="R866" s="6">
        <f t="shared" si="329"/>
        <v>250.39999999999986</v>
      </c>
      <c r="S866" s="6">
        <f t="shared" si="330"/>
        <v>0</v>
      </c>
      <c r="T866" s="6">
        <f t="shared" si="331"/>
        <v>0</v>
      </c>
      <c r="U866" s="6">
        <f t="shared" si="332"/>
        <v>250.39999999999986</v>
      </c>
      <c r="V866" s="6" t="str">
        <f>IF(MOD(C866-Settings!$B$32,Settings!$B$33)&lt;Settings!$B$30,"Up","Down")</f>
        <v>Up</v>
      </c>
      <c r="W866" s="6">
        <f>IF(OR(E866&gt;Settings!$B$30,Q866&gt;Settings!$B$37),0,1)</f>
        <v>1</v>
      </c>
      <c r="X866" s="6">
        <f>IF(AND(W866=1,Q866&lt;=Settings!$B$36),1,0)</f>
        <v>0</v>
      </c>
    </row>
    <row r="867" spans="1:24" x14ac:dyDescent="0.2">
      <c r="A867">
        <f>Arrivals!A867</f>
        <v>8</v>
      </c>
      <c r="B867">
        <f>Arrivals!B867</f>
        <v>22</v>
      </c>
      <c r="C867" s="6">
        <f>Arrivals!F867</f>
        <v>237</v>
      </c>
      <c r="D867" s="6">
        <f>Arrivals!K867</f>
        <v>300</v>
      </c>
      <c r="E867" s="6">
        <f>D867*8/ACE_Input!S27+ACE_Input!T27</f>
        <v>24.02</v>
      </c>
      <c r="F867" s="6">
        <f t="shared" si="322"/>
        <v>237</v>
      </c>
      <c r="G867" s="6">
        <f t="shared" si="333"/>
        <v>506.41999999999985</v>
      </c>
      <c r="H867" s="6">
        <f t="shared" si="323"/>
        <v>506.41999999999985</v>
      </c>
      <c r="I867" s="6">
        <f>MOD(H867-Settings!$B$32,Settings!$B$33)</f>
        <v>506.41999999999985</v>
      </c>
      <c r="J867" s="6">
        <f>IF(I867&lt;Settings!$B$30,IF(Settings!$B$30-I867&gt;=E867,H867,H867+(Settings!$B$30-I867)+Settings!$B$31),H867+(Settings!$B$33-I867))</f>
        <v>506.41999999999985</v>
      </c>
      <c r="K867" s="6">
        <f t="shared" si="324"/>
        <v>530.43999999999983</v>
      </c>
      <c r="L867" s="6">
        <f t="shared" si="325"/>
        <v>530.43999999999983</v>
      </c>
      <c r="M867" s="6">
        <f t="shared" si="334"/>
        <v>514.18807374686435</v>
      </c>
      <c r="N867" s="6">
        <f t="shared" si="326"/>
        <v>530.43999999999983</v>
      </c>
      <c r="O867" s="6">
        <f>Arrivals!I867</f>
        <v>4.062157425514143</v>
      </c>
      <c r="P867" s="6">
        <f t="shared" si="327"/>
        <v>534.50215742551393</v>
      </c>
      <c r="Q867" s="6">
        <f t="shared" si="328"/>
        <v>297.50215742551393</v>
      </c>
      <c r="R867" s="6">
        <f t="shared" si="329"/>
        <v>269.41999999999985</v>
      </c>
      <c r="S867" s="6">
        <f t="shared" si="330"/>
        <v>0</v>
      </c>
      <c r="T867" s="6">
        <f t="shared" si="331"/>
        <v>0</v>
      </c>
      <c r="U867" s="6">
        <f t="shared" si="332"/>
        <v>269.41999999999985</v>
      </c>
      <c r="V867" s="6" t="str">
        <f>IF(MOD(C867-Settings!$B$32,Settings!$B$33)&lt;Settings!$B$30,"Up","Down")</f>
        <v>Up</v>
      </c>
      <c r="W867" s="6">
        <f>IF(OR(E867&gt;Settings!$B$30,Q867&gt;Settings!$B$37),0,1)</f>
        <v>1</v>
      </c>
      <c r="X867" s="6">
        <f>IF(AND(W867=1,Q867&lt;=Settings!$B$36),1,0)</f>
        <v>0</v>
      </c>
    </row>
    <row r="868" spans="1:24" x14ac:dyDescent="0.2">
      <c r="A868">
        <f>Arrivals!A868</f>
        <v>8</v>
      </c>
      <c r="B868">
        <f>Arrivals!B868</f>
        <v>23</v>
      </c>
      <c r="C868" s="6">
        <f>Arrivals!F868</f>
        <v>242</v>
      </c>
      <c r="D868" s="6">
        <f>Arrivals!K868</f>
        <v>300</v>
      </c>
      <c r="E868" s="6">
        <f>D868*8/ACE_Input!S28+ACE_Input!T28</f>
        <v>24.02</v>
      </c>
      <c r="F868" s="6">
        <f t="shared" si="322"/>
        <v>242</v>
      </c>
      <c r="G868" s="6">
        <f t="shared" si="333"/>
        <v>530.43999999999983</v>
      </c>
      <c r="H868" s="6">
        <f t="shared" si="323"/>
        <v>530.43999999999983</v>
      </c>
      <c r="I868" s="6">
        <f>MOD(H868-Settings!$B$32,Settings!$B$33)</f>
        <v>530.43999999999983</v>
      </c>
      <c r="J868" s="6">
        <f>IF(I868&lt;Settings!$B$30,IF(Settings!$B$30-I868&gt;=E868,H868,H868+(Settings!$B$30-I868)+Settings!$B$31),H868+(Settings!$B$33-I868))</f>
        <v>530.43999999999983</v>
      </c>
      <c r="K868" s="6">
        <f t="shared" si="324"/>
        <v>554.45999999999981</v>
      </c>
      <c r="L868" s="6">
        <f t="shared" si="325"/>
        <v>554.45999999999981</v>
      </c>
      <c r="M868" s="6">
        <f t="shared" si="334"/>
        <v>534.50215742551393</v>
      </c>
      <c r="N868" s="6">
        <f t="shared" si="326"/>
        <v>554.45999999999981</v>
      </c>
      <c r="O868" s="6">
        <f>Arrivals!I868</f>
        <v>1.9552163471460078</v>
      </c>
      <c r="P868" s="6">
        <f t="shared" si="327"/>
        <v>556.41521634714582</v>
      </c>
      <c r="Q868" s="6">
        <f t="shared" si="328"/>
        <v>314.41521634714582</v>
      </c>
      <c r="R868" s="6">
        <f t="shared" si="329"/>
        <v>288.43999999999983</v>
      </c>
      <c r="S868" s="6">
        <f t="shared" si="330"/>
        <v>0</v>
      </c>
      <c r="T868" s="6">
        <f t="shared" si="331"/>
        <v>0</v>
      </c>
      <c r="U868" s="6">
        <f t="shared" si="332"/>
        <v>288.43999999999983</v>
      </c>
      <c r="V868" s="6" t="str">
        <f>IF(MOD(C868-Settings!$B$32,Settings!$B$33)&lt;Settings!$B$30,"Up","Down")</f>
        <v>Up</v>
      </c>
      <c r="W868" s="6">
        <f>IF(OR(E868&gt;Settings!$B$30,Q868&gt;Settings!$B$37),0,1)</f>
        <v>1</v>
      </c>
      <c r="X868" s="6">
        <f>IF(AND(W868=1,Q868&lt;=Settings!$B$36),1,0)</f>
        <v>0</v>
      </c>
    </row>
    <row r="869" spans="1:24" x14ac:dyDescent="0.2">
      <c r="A869">
        <f>Arrivals!A869</f>
        <v>8</v>
      </c>
      <c r="B869">
        <f>Arrivals!B869</f>
        <v>24</v>
      </c>
      <c r="C869" s="6">
        <f>Arrivals!F869</f>
        <v>247</v>
      </c>
      <c r="D869" s="6">
        <f>Arrivals!K869</f>
        <v>300</v>
      </c>
      <c r="E869" s="6">
        <f>D869*8/ACE_Input!S29+ACE_Input!T29</f>
        <v>24.02</v>
      </c>
      <c r="F869" s="6">
        <f t="shared" si="322"/>
        <v>247</v>
      </c>
      <c r="G869" s="6">
        <f t="shared" si="333"/>
        <v>554.45999999999981</v>
      </c>
      <c r="H869" s="6">
        <f t="shared" si="323"/>
        <v>554.45999999999981</v>
      </c>
      <c r="I869" s="6">
        <f>MOD(H869-Settings!$B$32,Settings!$B$33)</f>
        <v>554.45999999999981</v>
      </c>
      <c r="J869" s="6">
        <f>IF(I869&lt;Settings!$B$30,IF(Settings!$B$30-I869&gt;=E869,H869,H869+(Settings!$B$30-I869)+Settings!$B$31),H869+(Settings!$B$33-I869))</f>
        <v>554.45999999999981</v>
      </c>
      <c r="K869" s="6">
        <f t="shared" si="324"/>
        <v>578.47999999999979</v>
      </c>
      <c r="L869" s="6">
        <f t="shared" si="325"/>
        <v>578.47999999999979</v>
      </c>
      <c r="M869" s="6">
        <f t="shared" si="334"/>
        <v>556.41521634714582</v>
      </c>
      <c r="N869" s="6">
        <f t="shared" si="326"/>
        <v>578.47999999999979</v>
      </c>
      <c r="O869" s="6">
        <f>Arrivals!I869</f>
        <v>1.2435957330612182</v>
      </c>
      <c r="P869" s="6">
        <f t="shared" si="327"/>
        <v>579.72359573306096</v>
      </c>
      <c r="Q869" s="6">
        <f t="shared" si="328"/>
        <v>332.72359573306096</v>
      </c>
      <c r="R869" s="6">
        <f t="shared" si="329"/>
        <v>307.45999999999981</v>
      </c>
      <c r="S869" s="6">
        <f t="shared" si="330"/>
        <v>0</v>
      </c>
      <c r="T869" s="6">
        <f t="shared" si="331"/>
        <v>0</v>
      </c>
      <c r="U869" s="6">
        <f t="shared" si="332"/>
        <v>307.45999999999981</v>
      </c>
      <c r="V869" s="6" t="str">
        <f>IF(MOD(C869-Settings!$B$32,Settings!$B$33)&lt;Settings!$B$30,"Up","Down")</f>
        <v>Up</v>
      </c>
      <c r="W869" s="6">
        <f>IF(OR(E869&gt;Settings!$B$30,Q869&gt;Settings!$B$37),0,1)</f>
        <v>1</v>
      </c>
      <c r="X869" s="6">
        <f>IF(AND(W869=1,Q869&lt;=Settings!$B$36),1,0)</f>
        <v>0</v>
      </c>
    </row>
    <row r="870" spans="1:24" x14ac:dyDescent="0.2">
      <c r="A870">
        <f>Arrivals!A870</f>
        <v>8</v>
      </c>
      <c r="B870">
        <f>Arrivals!B870</f>
        <v>25</v>
      </c>
      <c r="C870" s="6">
        <f>Arrivals!F870</f>
        <v>252</v>
      </c>
      <c r="D870" s="6">
        <f>Arrivals!K870</f>
        <v>300</v>
      </c>
      <c r="E870" s="6">
        <f>D870*8/ACE_Input!S30+ACE_Input!T30</f>
        <v>24.02</v>
      </c>
      <c r="F870" s="6">
        <f t="shared" si="322"/>
        <v>252</v>
      </c>
      <c r="G870" s="6">
        <f t="shared" si="333"/>
        <v>578.47999999999979</v>
      </c>
      <c r="H870" s="6">
        <f t="shared" si="323"/>
        <v>578.47999999999979</v>
      </c>
      <c r="I870" s="6">
        <f>MOD(H870-Settings!$B$32,Settings!$B$33)</f>
        <v>578.47999999999979</v>
      </c>
      <c r="J870" s="6">
        <f>IF(I870&lt;Settings!$B$30,IF(Settings!$B$30-I870&gt;=E870,H870,H870+(Settings!$B$30-I870)+Settings!$B$31),H870+(Settings!$B$33-I870))</f>
        <v>720</v>
      </c>
      <c r="K870" s="6">
        <f t="shared" si="324"/>
        <v>744.02</v>
      </c>
      <c r="L870" s="6">
        <f t="shared" si="325"/>
        <v>744.02</v>
      </c>
      <c r="M870" s="6">
        <f t="shared" si="334"/>
        <v>579.72359573306096</v>
      </c>
      <c r="N870" s="6">
        <f t="shared" si="326"/>
        <v>744.02</v>
      </c>
      <c r="O870" s="6">
        <f>Arrivals!I870</f>
        <v>0.13512326436686553</v>
      </c>
      <c r="P870" s="6">
        <f t="shared" si="327"/>
        <v>744.15512326436681</v>
      </c>
      <c r="Q870" s="6">
        <f t="shared" si="328"/>
        <v>492.15512326436681</v>
      </c>
      <c r="R870" s="6">
        <f t="shared" si="329"/>
        <v>326.47999999999979</v>
      </c>
      <c r="S870" s="6">
        <f t="shared" si="330"/>
        <v>141.52000000000021</v>
      </c>
      <c r="T870" s="6">
        <f t="shared" si="331"/>
        <v>0</v>
      </c>
      <c r="U870" s="6">
        <f t="shared" si="332"/>
        <v>468</v>
      </c>
      <c r="V870" s="6" t="str">
        <f>IF(MOD(C870-Settings!$B$32,Settings!$B$33)&lt;Settings!$B$30,"Up","Down")</f>
        <v>Up</v>
      </c>
      <c r="W870" s="6">
        <f>IF(OR(E870&gt;Settings!$B$30,Q870&gt;Settings!$B$37),0,1)</f>
        <v>1</v>
      </c>
      <c r="X870" s="6">
        <f>IF(AND(W870=1,Q870&lt;=Settings!$B$36),1,0)</f>
        <v>0</v>
      </c>
    </row>
    <row r="871" spans="1:24" x14ac:dyDescent="0.2">
      <c r="A871">
        <f>Arrivals!A871</f>
        <v>8</v>
      </c>
      <c r="B871">
        <f>Arrivals!B871</f>
        <v>26</v>
      </c>
      <c r="C871" s="6">
        <f>Arrivals!F871</f>
        <v>257</v>
      </c>
      <c r="D871" s="6">
        <f>Arrivals!K871</f>
        <v>300</v>
      </c>
      <c r="E871" s="6">
        <f>D871*8/ACE_Input!S31+ACE_Input!T31</f>
        <v>24.02</v>
      </c>
      <c r="F871" s="6">
        <f t="shared" si="322"/>
        <v>257</v>
      </c>
      <c r="G871" s="6">
        <f t="shared" si="333"/>
        <v>744.02</v>
      </c>
      <c r="H871" s="6">
        <f t="shared" si="323"/>
        <v>744.02</v>
      </c>
      <c r="I871" s="6">
        <f>MOD(H871-Settings!$B$32,Settings!$B$33)</f>
        <v>24.019999999999982</v>
      </c>
      <c r="J871" s="6">
        <f>IF(I871&lt;Settings!$B$30,IF(Settings!$B$30-I871&gt;=E871,H871,H871+(Settings!$B$30-I871)+Settings!$B$31),H871+(Settings!$B$33-I871))</f>
        <v>744.02</v>
      </c>
      <c r="K871" s="6">
        <f t="shared" si="324"/>
        <v>768.04</v>
      </c>
      <c r="L871" s="6">
        <f t="shared" si="325"/>
        <v>768.04</v>
      </c>
      <c r="M871" s="6">
        <f t="shared" si="334"/>
        <v>744.15512326436681</v>
      </c>
      <c r="N871" s="6">
        <f t="shared" si="326"/>
        <v>768.04</v>
      </c>
      <c r="O871" s="6">
        <f>Arrivals!I871</f>
        <v>1.2679055793495762</v>
      </c>
      <c r="P871" s="6">
        <f t="shared" si="327"/>
        <v>769.30790557934949</v>
      </c>
      <c r="Q871" s="6">
        <f t="shared" si="328"/>
        <v>512.30790557934949</v>
      </c>
      <c r="R871" s="6">
        <f t="shared" si="329"/>
        <v>487.02</v>
      </c>
      <c r="S871" s="6">
        <f t="shared" si="330"/>
        <v>0</v>
      </c>
      <c r="T871" s="6">
        <f t="shared" si="331"/>
        <v>0</v>
      </c>
      <c r="U871" s="6">
        <f t="shared" si="332"/>
        <v>487.02</v>
      </c>
      <c r="V871" s="6" t="str">
        <f>IF(MOD(C871-Settings!$B$32,Settings!$B$33)&lt;Settings!$B$30,"Up","Down")</f>
        <v>Up</v>
      </c>
      <c r="W871" s="6">
        <f>IF(OR(E871&gt;Settings!$B$30,Q871&gt;Settings!$B$37),0,1)</f>
        <v>1</v>
      </c>
      <c r="X871" s="6">
        <f>IF(AND(W871=1,Q871&lt;=Settings!$B$36),1,0)</f>
        <v>0</v>
      </c>
    </row>
    <row r="872" spans="1:24" x14ac:dyDescent="0.2">
      <c r="A872">
        <f>Arrivals!A872</f>
        <v>8</v>
      </c>
      <c r="B872">
        <f>Arrivals!B872</f>
        <v>27</v>
      </c>
      <c r="C872" s="6">
        <f>Arrivals!F872</f>
        <v>262</v>
      </c>
      <c r="D872" s="6">
        <f>Arrivals!K872</f>
        <v>300</v>
      </c>
      <c r="E872" s="6">
        <f>D872*8/ACE_Input!S32+ACE_Input!T32</f>
        <v>24.02</v>
      </c>
      <c r="F872" s="6">
        <f t="shared" si="322"/>
        <v>262</v>
      </c>
      <c r="G872" s="6">
        <f t="shared" si="333"/>
        <v>768.04</v>
      </c>
      <c r="H872" s="6">
        <f t="shared" si="323"/>
        <v>768.04</v>
      </c>
      <c r="I872" s="6">
        <f>MOD(H872-Settings!$B$32,Settings!$B$33)</f>
        <v>48.039999999999964</v>
      </c>
      <c r="J872" s="6">
        <f>IF(I872&lt;Settings!$B$30,IF(Settings!$B$30-I872&gt;=E872,H872,H872+(Settings!$B$30-I872)+Settings!$B$31),H872+(Settings!$B$33-I872))</f>
        <v>768.04</v>
      </c>
      <c r="K872" s="6">
        <f t="shared" si="324"/>
        <v>792.06</v>
      </c>
      <c r="L872" s="6">
        <f t="shared" si="325"/>
        <v>792.06</v>
      </c>
      <c r="M872" s="6">
        <f t="shared" si="334"/>
        <v>769.30790557934949</v>
      </c>
      <c r="N872" s="6">
        <f t="shared" si="326"/>
        <v>792.06</v>
      </c>
      <c r="O872" s="6">
        <f>Arrivals!I872</f>
        <v>4.2689556590859619</v>
      </c>
      <c r="P872" s="6">
        <f t="shared" si="327"/>
        <v>796.32895565908586</v>
      </c>
      <c r="Q872" s="6">
        <f t="shared" si="328"/>
        <v>534.32895565908586</v>
      </c>
      <c r="R872" s="6">
        <f t="shared" si="329"/>
        <v>506.03999999999996</v>
      </c>
      <c r="S872" s="6">
        <f t="shared" si="330"/>
        <v>0</v>
      </c>
      <c r="T872" s="6">
        <f t="shared" si="331"/>
        <v>0</v>
      </c>
      <c r="U872" s="6">
        <f t="shared" si="332"/>
        <v>506.03999999999996</v>
      </c>
      <c r="V872" s="6" t="str">
        <f>IF(MOD(C872-Settings!$B$32,Settings!$B$33)&lt;Settings!$B$30,"Up","Down")</f>
        <v>Up</v>
      </c>
      <c r="W872" s="6">
        <f>IF(OR(E872&gt;Settings!$B$30,Q872&gt;Settings!$B$37),0,1)</f>
        <v>1</v>
      </c>
      <c r="X872" s="6">
        <f>IF(AND(W872=1,Q872&lt;=Settings!$B$36),1,0)</f>
        <v>0</v>
      </c>
    </row>
    <row r="873" spans="1:24" x14ac:dyDescent="0.2">
      <c r="A873">
        <f>Arrivals!A873</f>
        <v>8</v>
      </c>
      <c r="B873">
        <f>Arrivals!B873</f>
        <v>28</v>
      </c>
      <c r="C873" s="6">
        <f>Arrivals!F873</f>
        <v>268</v>
      </c>
      <c r="D873" s="6">
        <f>Arrivals!K873</f>
        <v>300</v>
      </c>
      <c r="E873" s="6">
        <f>D873*8/ACE_Input!S33+ACE_Input!T33</f>
        <v>24.02</v>
      </c>
      <c r="F873" s="6">
        <f t="shared" si="322"/>
        <v>268</v>
      </c>
      <c r="G873" s="6">
        <f t="shared" si="333"/>
        <v>792.06</v>
      </c>
      <c r="H873" s="6">
        <f t="shared" si="323"/>
        <v>792.06</v>
      </c>
      <c r="I873" s="6">
        <f>MOD(H873-Settings!$B$32,Settings!$B$33)</f>
        <v>72.059999999999945</v>
      </c>
      <c r="J873" s="6">
        <f>IF(I873&lt;Settings!$B$30,IF(Settings!$B$30-I873&gt;=E873,H873,H873+(Settings!$B$30-I873)+Settings!$B$31),H873+(Settings!$B$33-I873))</f>
        <v>792.06</v>
      </c>
      <c r="K873" s="6">
        <f t="shared" si="324"/>
        <v>816.07999999999993</v>
      </c>
      <c r="L873" s="6">
        <f t="shared" si="325"/>
        <v>816.07999999999993</v>
      </c>
      <c r="M873" s="6">
        <f t="shared" si="334"/>
        <v>796.32895565908586</v>
      </c>
      <c r="N873" s="6">
        <f t="shared" si="326"/>
        <v>816.07999999999993</v>
      </c>
      <c r="O873" s="6">
        <f>Arrivals!I873</f>
        <v>0.49477948351777179</v>
      </c>
      <c r="P873" s="6">
        <f t="shared" si="327"/>
        <v>816.57477948351766</v>
      </c>
      <c r="Q873" s="6">
        <f t="shared" si="328"/>
        <v>548.57477948351766</v>
      </c>
      <c r="R873" s="6">
        <f t="shared" si="329"/>
        <v>524.05999999999995</v>
      </c>
      <c r="S873" s="6">
        <f t="shared" si="330"/>
        <v>0</v>
      </c>
      <c r="T873" s="6">
        <f t="shared" si="331"/>
        <v>0</v>
      </c>
      <c r="U873" s="6">
        <f t="shared" si="332"/>
        <v>524.05999999999995</v>
      </c>
      <c r="V873" s="6" t="str">
        <f>IF(MOD(C873-Settings!$B$32,Settings!$B$33)&lt;Settings!$B$30,"Up","Down")</f>
        <v>Up</v>
      </c>
      <c r="W873" s="6">
        <f>IF(OR(E873&gt;Settings!$B$30,Q873&gt;Settings!$B$37),0,1)</f>
        <v>1</v>
      </c>
      <c r="X873" s="6">
        <f>IF(AND(W873=1,Q873&lt;=Settings!$B$36),1,0)</f>
        <v>0</v>
      </c>
    </row>
    <row r="874" spans="1:24" x14ac:dyDescent="0.2">
      <c r="A874">
        <f>Arrivals!A874</f>
        <v>8</v>
      </c>
      <c r="B874">
        <f>Arrivals!B874</f>
        <v>29</v>
      </c>
      <c r="C874" s="6">
        <f>Arrivals!F874</f>
        <v>273</v>
      </c>
      <c r="D874" s="6">
        <f>Arrivals!K874</f>
        <v>300</v>
      </c>
      <c r="E874" s="6">
        <f>D874*8/ACE_Input!S34+ACE_Input!T34</f>
        <v>24.02</v>
      </c>
      <c r="F874" s="6">
        <f t="shared" si="322"/>
        <v>273</v>
      </c>
      <c r="G874" s="6">
        <f t="shared" si="333"/>
        <v>816.07999999999993</v>
      </c>
      <c r="H874" s="6">
        <f t="shared" si="323"/>
        <v>816.07999999999993</v>
      </c>
      <c r="I874" s="6">
        <f>MOD(H874-Settings!$B$32,Settings!$B$33)</f>
        <v>96.079999999999927</v>
      </c>
      <c r="J874" s="6">
        <f>IF(I874&lt;Settings!$B$30,IF(Settings!$B$30-I874&gt;=E874,H874,H874+(Settings!$B$30-I874)+Settings!$B$31),H874+(Settings!$B$33-I874))</f>
        <v>816.07999999999993</v>
      </c>
      <c r="K874" s="6">
        <f t="shared" si="324"/>
        <v>840.09999999999991</v>
      </c>
      <c r="L874" s="6">
        <f t="shared" si="325"/>
        <v>840.09999999999991</v>
      </c>
      <c r="M874" s="6">
        <f t="shared" si="334"/>
        <v>816.57477948351766</v>
      </c>
      <c r="N874" s="6">
        <f t="shared" si="326"/>
        <v>840.09999999999991</v>
      </c>
      <c r="O874" s="6">
        <f>Arrivals!I874</f>
        <v>2.8053762535060884</v>
      </c>
      <c r="P874" s="6">
        <f t="shared" si="327"/>
        <v>842.90537625350601</v>
      </c>
      <c r="Q874" s="6">
        <f t="shared" si="328"/>
        <v>569.90537625350601</v>
      </c>
      <c r="R874" s="6">
        <f t="shared" si="329"/>
        <v>543.07999999999993</v>
      </c>
      <c r="S874" s="6">
        <f t="shared" si="330"/>
        <v>0</v>
      </c>
      <c r="T874" s="6">
        <f t="shared" si="331"/>
        <v>0</v>
      </c>
      <c r="U874" s="6">
        <f t="shared" si="332"/>
        <v>543.07999999999993</v>
      </c>
      <c r="V874" s="6" t="str">
        <f>IF(MOD(C874-Settings!$B$32,Settings!$B$33)&lt;Settings!$B$30,"Up","Down")</f>
        <v>Up</v>
      </c>
      <c r="W874" s="6">
        <f>IF(OR(E874&gt;Settings!$B$30,Q874&gt;Settings!$B$37),0,1)</f>
        <v>1</v>
      </c>
      <c r="X874" s="6">
        <f>IF(AND(W874=1,Q874&lt;=Settings!$B$36),1,0)</f>
        <v>0</v>
      </c>
    </row>
    <row r="875" spans="1:24" x14ac:dyDescent="0.2">
      <c r="A875">
        <f>Arrivals!A875</f>
        <v>8</v>
      </c>
      <c r="B875">
        <f>Arrivals!B875</f>
        <v>30</v>
      </c>
      <c r="C875" s="6">
        <f>Arrivals!F875</f>
        <v>278</v>
      </c>
      <c r="D875" s="6">
        <f>Arrivals!K875</f>
        <v>300</v>
      </c>
      <c r="E875" s="6">
        <f>D875*8/ACE_Input!S35+ACE_Input!T35</f>
        <v>24.02</v>
      </c>
      <c r="F875" s="6">
        <f t="shared" si="322"/>
        <v>278</v>
      </c>
      <c r="G875" s="6">
        <f t="shared" si="333"/>
        <v>840.09999999999991</v>
      </c>
      <c r="H875" s="6">
        <f t="shared" si="323"/>
        <v>840.09999999999991</v>
      </c>
      <c r="I875" s="6">
        <f>MOD(H875-Settings!$B$32,Settings!$B$33)</f>
        <v>120.09999999999991</v>
      </c>
      <c r="J875" s="6">
        <f>IF(I875&lt;Settings!$B$30,IF(Settings!$B$30-I875&gt;=E875,H875,H875+(Settings!$B$30-I875)+Settings!$B$31),H875+(Settings!$B$33-I875))</f>
        <v>840.09999999999991</v>
      </c>
      <c r="K875" s="6">
        <f t="shared" si="324"/>
        <v>864.11999999999989</v>
      </c>
      <c r="L875" s="6">
        <f t="shared" si="325"/>
        <v>864.11999999999989</v>
      </c>
      <c r="M875" s="6">
        <f t="shared" si="334"/>
        <v>842.90537625350601</v>
      </c>
      <c r="N875" s="6">
        <f t="shared" si="326"/>
        <v>864.11999999999989</v>
      </c>
      <c r="O875" s="6">
        <f>Arrivals!I875</f>
        <v>0.42572710243891543</v>
      </c>
      <c r="P875" s="6">
        <f t="shared" si="327"/>
        <v>864.54572710243883</v>
      </c>
      <c r="Q875" s="6">
        <f t="shared" si="328"/>
        <v>586.54572710243883</v>
      </c>
      <c r="R875" s="6">
        <f t="shared" si="329"/>
        <v>562.09999999999991</v>
      </c>
      <c r="S875" s="6">
        <f t="shared" si="330"/>
        <v>0</v>
      </c>
      <c r="T875" s="6">
        <f t="shared" si="331"/>
        <v>0</v>
      </c>
      <c r="U875" s="6">
        <f t="shared" si="332"/>
        <v>562.09999999999991</v>
      </c>
      <c r="V875" s="6" t="str">
        <f>IF(MOD(C875-Settings!$B$32,Settings!$B$33)&lt;Settings!$B$30,"Up","Down")</f>
        <v>Up</v>
      </c>
      <c r="W875" s="6">
        <f>IF(OR(E875&gt;Settings!$B$30,Q875&gt;Settings!$B$37),0,1)</f>
        <v>1</v>
      </c>
      <c r="X875" s="6">
        <f>IF(AND(W875=1,Q875&lt;=Settings!$B$36),1,0)</f>
        <v>0</v>
      </c>
    </row>
    <row r="876" spans="1:24" x14ac:dyDescent="0.2">
      <c r="A876">
        <f>Arrivals!A876</f>
        <v>8</v>
      </c>
      <c r="B876">
        <f>Arrivals!B876</f>
        <v>31</v>
      </c>
      <c r="C876" s="6">
        <f>Arrivals!F876</f>
        <v>283</v>
      </c>
      <c r="D876" s="6">
        <f>Arrivals!K876</f>
        <v>300</v>
      </c>
      <c r="E876" s="6">
        <f>D876*8/ACE_Input!S36+ACE_Input!T36</f>
        <v>24.02</v>
      </c>
      <c r="F876" s="6">
        <f t="shared" si="322"/>
        <v>283</v>
      </c>
      <c r="G876" s="6">
        <f t="shared" si="333"/>
        <v>864.11999999999989</v>
      </c>
      <c r="H876" s="6">
        <f t="shared" si="323"/>
        <v>864.11999999999989</v>
      </c>
      <c r="I876" s="6">
        <f>MOD(H876-Settings!$B$32,Settings!$B$33)</f>
        <v>144.11999999999989</v>
      </c>
      <c r="J876" s="6">
        <f>IF(I876&lt;Settings!$B$30,IF(Settings!$B$30-I876&gt;=E876,H876,H876+(Settings!$B$30-I876)+Settings!$B$31),H876+(Settings!$B$33-I876))</f>
        <v>864.11999999999989</v>
      </c>
      <c r="K876" s="6">
        <f t="shared" si="324"/>
        <v>888.13999999999987</v>
      </c>
      <c r="L876" s="6">
        <f t="shared" si="325"/>
        <v>888.13999999999987</v>
      </c>
      <c r="M876" s="6">
        <f t="shared" si="334"/>
        <v>864.54572710243883</v>
      </c>
      <c r="N876" s="6">
        <f t="shared" si="326"/>
        <v>888.13999999999987</v>
      </c>
      <c r="O876" s="6">
        <f>Arrivals!I876</f>
        <v>9.0351553778428677</v>
      </c>
      <c r="P876" s="6">
        <f t="shared" si="327"/>
        <v>897.17515537784277</v>
      </c>
      <c r="Q876" s="6">
        <f t="shared" si="328"/>
        <v>614.17515537784277</v>
      </c>
      <c r="R876" s="6">
        <f t="shared" si="329"/>
        <v>581.11999999999989</v>
      </c>
      <c r="S876" s="6">
        <f t="shared" si="330"/>
        <v>0</v>
      </c>
      <c r="T876" s="6">
        <f t="shared" si="331"/>
        <v>0</v>
      </c>
      <c r="U876" s="6">
        <f t="shared" si="332"/>
        <v>581.11999999999989</v>
      </c>
      <c r="V876" s="6" t="str">
        <f>IF(MOD(C876-Settings!$B$32,Settings!$B$33)&lt;Settings!$B$30,"Up","Down")</f>
        <v>Up</v>
      </c>
      <c r="W876" s="6">
        <f>IF(OR(E876&gt;Settings!$B$30,Q876&gt;Settings!$B$37),0,1)</f>
        <v>1</v>
      </c>
      <c r="X876" s="6">
        <f>IF(AND(W876=1,Q876&lt;=Settings!$B$36),1,0)</f>
        <v>0</v>
      </c>
    </row>
    <row r="877" spans="1:24" x14ac:dyDescent="0.2">
      <c r="A877">
        <f>Arrivals!A877</f>
        <v>8</v>
      </c>
      <c r="B877">
        <f>Arrivals!B877</f>
        <v>32</v>
      </c>
      <c r="C877" s="6">
        <f>Arrivals!F877</f>
        <v>288</v>
      </c>
      <c r="D877" s="6">
        <f>Arrivals!K877</f>
        <v>300</v>
      </c>
      <c r="E877" s="6">
        <f>D877*8/ACE_Input!S37+ACE_Input!T37</f>
        <v>24.02</v>
      </c>
      <c r="F877" s="6">
        <f t="shared" si="322"/>
        <v>288</v>
      </c>
      <c r="G877" s="6">
        <f t="shared" si="333"/>
        <v>888.13999999999987</v>
      </c>
      <c r="H877" s="6">
        <f t="shared" si="323"/>
        <v>888.13999999999987</v>
      </c>
      <c r="I877" s="6">
        <f>MOD(H877-Settings!$B$32,Settings!$B$33)</f>
        <v>168.13999999999987</v>
      </c>
      <c r="J877" s="6">
        <f>IF(I877&lt;Settings!$B$30,IF(Settings!$B$30-I877&gt;=E877,H877,H877+(Settings!$B$30-I877)+Settings!$B$31),H877+(Settings!$B$33-I877))</f>
        <v>888.13999999999987</v>
      </c>
      <c r="K877" s="6">
        <f t="shared" si="324"/>
        <v>912.15999999999985</v>
      </c>
      <c r="L877" s="6">
        <f t="shared" si="325"/>
        <v>912.15999999999985</v>
      </c>
      <c r="M877" s="6">
        <f t="shared" si="334"/>
        <v>897.17515537784277</v>
      </c>
      <c r="N877" s="6">
        <f t="shared" si="326"/>
        <v>912.15999999999985</v>
      </c>
      <c r="O877" s="6">
        <f>Arrivals!I877</f>
        <v>0.23038408885780057</v>
      </c>
      <c r="P877" s="6">
        <f t="shared" si="327"/>
        <v>912.39038408885767</v>
      </c>
      <c r="Q877" s="6">
        <f t="shared" si="328"/>
        <v>624.39038408885767</v>
      </c>
      <c r="R877" s="6">
        <f t="shared" si="329"/>
        <v>600.13999999999987</v>
      </c>
      <c r="S877" s="6">
        <f t="shared" si="330"/>
        <v>0</v>
      </c>
      <c r="T877" s="6">
        <f t="shared" si="331"/>
        <v>0</v>
      </c>
      <c r="U877" s="6">
        <f t="shared" si="332"/>
        <v>600.13999999999987</v>
      </c>
      <c r="V877" s="6" t="str">
        <f>IF(MOD(C877-Settings!$B$32,Settings!$B$33)&lt;Settings!$B$30,"Up","Down")</f>
        <v>Up</v>
      </c>
      <c r="W877" s="6">
        <f>IF(OR(E877&gt;Settings!$B$30,Q877&gt;Settings!$B$37),0,1)</f>
        <v>1</v>
      </c>
      <c r="X877" s="6">
        <f>IF(AND(W877=1,Q877&lt;=Settings!$B$36),1,0)</f>
        <v>0</v>
      </c>
    </row>
    <row r="878" spans="1:24" x14ac:dyDescent="0.2">
      <c r="A878">
        <f>Arrivals!A878</f>
        <v>8</v>
      </c>
      <c r="B878">
        <f>Arrivals!B878</f>
        <v>33</v>
      </c>
      <c r="C878" s="6">
        <f>Arrivals!F878</f>
        <v>293</v>
      </c>
      <c r="D878" s="6">
        <f>Arrivals!K878</f>
        <v>300</v>
      </c>
      <c r="E878" s="6">
        <f>D878*8/ACE_Input!S38+ACE_Input!T38</f>
        <v>24.02</v>
      </c>
      <c r="F878" s="6">
        <f t="shared" ref="F878:F909" si="335">C878</f>
        <v>293</v>
      </c>
      <c r="G878" s="6">
        <f t="shared" si="333"/>
        <v>912.15999999999985</v>
      </c>
      <c r="H878" s="6">
        <f t="shared" ref="H878:H909" si="336">MAX(F878,G878)</f>
        <v>912.15999999999985</v>
      </c>
      <c r="I878" s="6">
        <f>MOD(H878-Settings!$B$32,Settings!$B$33)</f>
        <v>192.15999999999985</v>
      </c>
      <c r="J878" s="6">
        <f>IF(I878&lt;Settings!$B$30,IF(Settings!$B$30-I878&gt;=E878,H878,H878+(Settings!$B$30-I878)+Settings!$B$31),H878+(Settings!$B$33-I878))</f>
        <v>912.15999999999985</v>
      </c>
      <c r="K878" s="6">
        <f t="shared" ref="K878:K909" si="337">J878+E878</f>
        <v>936.17999999999984</v>
      </c>
      <c r="L878" s="6">
        <f t="shared" ref="L878:L909" si="338">K878</f>
        <v>936.17999999999984</v>
      </c>
      <c r="M878" s="6">
        <f t="shared" si="334"/>
        <v>912.39038408885767</v>
      </c>
      <c r="N878" s="6">
        <f t="shared" ref="N878:N909" si="339">MAX(L878,M878)</f>
        <v>936.17999999999984</v>
      </c>
      <c r="O878" s="6">
        <f>Arrivals!I878</f>
        <v>4.3982332070170758</v>
      </c>
      <c r="P878" s="6">
        <f t="shared" ref="P878:P909" si="340">N878+O878</f>
        <v>940.57823320701686</v>
      </c>
      <c r="Q878" s="6">
        <f t="shared" ref="Q878:Q909" si="341">P878-C878</f>
        <v>647.57823320701686</v>
      </c>
      <c r="R878" s="6">
        <f t="shared" ref="R878:R909" si="342">H878-F878</f>
        <v>619.15999999999985</v>
      </c>
      <c r="S878" s="6">
        <f t="shared" ref="S878:S909" si="343">J878-H878</f>
        <v>0</v>
      </c>
      <c r="T878" s="6">
        <f t="shared" ref="T878:T909" si="344">N878-L878</f>
        <v>0</v>
      </c>
      <c r="U878" s="6">
        <f t="shared" ref="U878:U909" si="345">R878+S878+T878</f>
        <v>619.15999999999985</v>
      </c>
      <c r="V878" s="6" t="str">
        <f>IF(MOD(C878-Settings!$B$32,Settings!$B$33)&lt;Settings!$B$30,"Up","Down")</f>
        <v>Up</v>
      </c>
      <c r="W878" s="6">
        <f>IF(OR(E878&gt;Settings!$B$30,Q878&gt;Settings!$B$37),0,1)</f>
        <v>1</v>
      </c>
      <c r="X878" s="6">
        <f>IF(AND(W878=1,Q878&lt;=Settings!$B$36),1,0)</f>
        <v>0</v>
      </c>
    </row>
    <row r="879" spans="1:24" x14ac:dyDescent="0.2">
      <c r="A879">
        <f>Arrivals!A879</f>
        <v>8</v>
      </c>
      <c r="B879">
        <f>Arrivals!B879</f>
        <v>34</v>
      </c>
      <c r="C879" s="6">
        <f>Arrivals!F879</f>
        <v>298</v>
      </c>
      <c r="D879" s="6">
        <f>Arrivals!K879</f>
        <v>300</v>
      </c>
      <c r="E879" s="6">
        <f>D879*8/ACE_Input!S39+ACE_Input!T39</f>
        <v>24.02</v>
      </c>
      <c r="F879" s="6">
        <f t="shared" si="335"/>
        <v>298</v>
      </c>
      <c r="G879" s="6">
        <f t="shared" ref="G879:G910" si="346">K878</f>
        <v>936.17999999999984</v>
      </c>
      <c r="H879" s="6">
        <f t="shared" si="336"/>
        <v>936.17999999999984</v>
      </c>
      <c r="I879" s="6">
        <f>MOD(H879-Settings!$B$32,Settings!$B$33)</f>
        <v>216.17999999999984</v>
      </c>
      <c r="J879" s="6">
        <f>IF(I879&lt;Settings!$B$30,IF(Settings!$B$30-I879&gt;=E879,H879,H879+(Settings!$B$30-I879)+Settings!$B$31),H879+(Settings!$B$33-I879))</f>
        <v>936.17999999999984</v>
      </c>
      <c r="K879" s="6">
        <f t="shared" si="337"/>
        <v>960.19999999999982</v>
      </c>
      <c r="L879" s="6">
        <f t="shared" si="338"/>
        <v>960.19999999999982</v>
      </c>
      <c r="M879" s="6">
        <f t="shared" ref="M879:M910" si="347">P878</f>
        <v>940.57823320701686</v>
      </c>
      <c r="N879" s="6">
        <f t="shared" si="339"/>
        <v>960.19999999999982</v>
      </c>
      <c r="O879" s="6">
        <f>Arrivals!I879</f>
        <v>13.301528556783806</v>
      </c>
      <c r="P879" s="6">
        <f t="shared" si="340"/>
        <v>973.50152855678357</v>
      </c>
      <c r="Q879" s="6">
        <f t="shared" si="341"/>
        <v>675.50152855678357</v>
      </c>
      <c r="R879" s="6">
        <f t="shared" si="342"/>
        <v>638.17999999999984</v>
      </c>
      <c r="S879" s="6">
        <f t="shared" si="343"/>
        <v>0</v>
      </c>
      <c r="T879" s="6">
        <f t="shared" si="344"/>
        <v>0</v>
      </c>
      <c r="U879" s="6">
        <f t="shared" si="345"/>
        <v>638.17999999999984</v>
      </c>
      <c r="V879" s="6" t="str">
        <f>IF(MOD(C879-Settings!$B$32,Settings!$B$33)&lt;Settings!$B$30,"Up","Down")</f>
        <v>Up</v>
      </c>
      <c r="W879" s="6">
        <f>IF(OR(E879&gt;Settings!$B$30,Q879&gt;Settings!$B$37),0,1)</f>
        <v>1</v>
      </c>
      <c r="X879" s="6">
        <f>IF(AND(W879=1,Q879&lt;=Settings!$B$36),1,0)</f>
        <v>0</v>
      </c>
    </row>
    <row r="880" spans="1:24" x14ac:dyDescent="0.2">
      <c r="A880">
        <f>Arrivals!A880</f>
        <v>8</v>
      </c>
      <c r="B880">
        <f>Arrivals!B880</f>
        <v>35</v>
      </c>
      <c r="C880" s="6">
        <f>Arrivals!F880</f>
        <v>303</v>
      </c>
      <c r="D880" s="6">
        <f>Arrivals!K880</f>
        <v>300</v>
      </c>
      <c r="E880" s="6">
        <f>D880*8/ACE_Input!S40+ACE_Input!T40</f>
        <v>24.02</v>
      </c>
      <c r="F880" s="6">
        <f t="shared" si="335"/>
        <v>303</v>
      </c>
      <c r="G880" s="6">
        <f t="shared" si="346"/>
        <v>960.19999999999982</v>
      </c>
      <c r="H880" s="6">
        <f t="shared" si="336"/>
        <v>960.19999999999982</v>
      </c>
      <c r="I880" s="6">
        <f>MOD(H880-Settings!$B$32,Settings!$B$33)</f>
        <v>240.19999999999982</v>
      </c>
      <c r="J880" s="6">
        <f>IF(I880&lt;Settings!$B$30,IF(Settings!$B$30-I880&gt;=E880,H880,H880+(Settings!$B$30-I880)+Settings!$B$31),H880+(Settings!$B$33-I880))</f>
        <v>960.19999999999982</v>
      </c>
      <c r="K880" s="6">
        <f t="shared" si="337"/>
        <v>984.2199999999998</v>
      </c>
      <c r="L880" s="6">
        <f t="shared" si="338"/>
        <v>984.2199999999998</v>
      </c>
      <c r="M880" s="6">
        <f t="shared" si="347"/>
        <v>973.50152855678357</v>
      </c>
      <c r="N880" s="6">
        <f t="shared" si="339"/>
        <v>984.2199999999998</v>
      </c>
      <c r="O880" s="6">
        <f>Arrivals!I880</f>
        <v>4.0962917747430057</v>
      </c>
      <c r="P880" s="6">
        <f t="shared" si="340"/>
        <v>988.31629177474281</v>
      </c>
      <c r="Q880" s="6">
        <f t="shared" si="341"/>
        <v>685.31629177474281</v>
      </c>
      <c r="R880" s="6">
        <f t="shared" si="342"/>
        <v>657.19999999999982</v>
      </c>
      <c r="S880" s="6">
        <f t="shared" si="343"/>
        <v>0</v>
      </c>
      <c r="T880" s="6">
        <f t="shared" si="344"/>
        <v>0</v>
      </c>
      <c r="U880" s="6">
        <f t="shared" si="345"/>
        <v>657.19999999999982</v>
      </c>
      <c r="V880" s="6" t="str">
        <f>IF(MOD(C880-Settings!$B$32,Settings!$B$33)&lt;Settings!$B$30,"Up","Down")</f>
        <v>Up</v>
      </c>
      <c r="W880" s="6">
        <f>IF(OR(E880&gt;Settings!$B$30,Q880&gt;Settings!$B$37),0,1)</f>
        <v>1</v>
      </c>
      <c r="X880" s="6">
        <f>IF(AND(W880=1,Q880&lt;=Settings!$B$36),1,0)</f>
        <v>0</v>
      </c>
    </row>
    <row r="881" spans="1:24" x14ac:dyDescent="0.2">
      <c r="A881">
        <f>Arrivals!A881</f>
        <v>8</v>
      </c>
      <c r="B881">
        <f>Arrivals!B881</f>
        <v>36</v>
      </c>
      <c r="C881" s="6">
        <f>Arrivals!F881</f>
        <v>308</v>
      </c>
      <c r="D881" s="6">
        <f>Arrivals!K881</f>
        <v>300</v>
      </c>
      <c r="E881" s="6">
        <f>D881*8/ACE_Input!S41+ACE_Input!T41</f>
        <v>24.02</v>
      </c>
      <c r="F881" s="6">
        <f t="shared" si="335"/>
        <v>308</v>
      </c>
      <c r="G881" s="6">
        <f t="shared" si="346"/>
        <v>984.2199999999998</v>
      </c>
      <c r="H881" s="6">
        <f t="shared" si="336"/>
        <v>984.2199999999998</v>
      </c>
      <c r="I881" s="6">
        <f>MOD(H881-Settings!$B$32,Settings!$B$33)</f>
        <v>264.2199999999998</v>
      </c>
      <c r="J881" s="6">
        <f>IF(I881&lt;Settings!$B$30,IF(Settings!$B$30-I881&gt;=E881,H881,H881+(Settings!$B$30-I881)+Settings!$B$31),H881+(Settings!$B$33-I881))</f>
        <v>984.2199999999998</v>
      </c>
      <c r="K881" s="6">
        <f t="shared" si="337"/>
        <v>1008.2399999999998</v>
      </c>
      <c r="L881" s="6">
        <f t="shared" si="338"/>
        <v>1008.2399999999998</v>
      </c>
      <c r="M881" s="6">
        <f t="shared" si="347"/>
        <v>988.31629177474281</v>
      </c>
      <c r="N881" s="6">
        <f t="shared" si="339"/>
        <v>1008.2399999999998</v>
      </c>
      <c r="O881" s="6">
        <f>Arrivals!I881</f>
        <v>0.48773662750573427</v>
      </c>
      <c r="P881" s="6">
        <f t="shared" si="340"/>
        <v>1008.7277366275055</v>
      </c>
      <c r="Q881" s="6">
        <f t="shared" si="341"/>
        <v>700.72773662750546</v>
      </c>
      <c r="R881" s="6">
        <f t="shared" si="342"/>
        <v>676.2199999999998</v>
      </c>
      <c r="S881" s="6">
        <f t="shared" si="343"/>
        <v>0</v>
      </c>
      <c r="T881" s="6">
        <f t="shared" si="344"/>
        <v>0</v>
      </c>
      <c r="U881" s="6">
        <f t="shared" si="345"/>
        <v>676.2199999999998</v>
      </c>
      <c r="V881" s="6" t="str">
        <f>IF(MOD(C881-Settings!$B$32,Settings!$B$33)&lt;Settings!$B$30,"Up","Down")</f>
        <v>Up</v>
      </c>
      <c r="W881" s="6">
        <f>IF(OR(E881&gt;Settings!$B$30,Q881&gt;Settings!$B$37),0,1)</f>
        <v>1</v>
      </c>
      <c r="X881" s="6">
        <f>IF(AND(W881=1,Q881&lt;=Settings!$B$36),1,0)</f>
        <v>0</v>
      </c>
    </row>
    <row r="882" spans="1:24" x14ac:dyDescent="0.2">
      <c r="A882">
        <f>Arrivals!A882</f>
        <v>8</v>
      </c>
      <c r="B882">
        <f>Arrivals!B882</f>
        <v>37</v>
      </c>
      <c r="C882" s="6">
        <f>Arrivals!F882</f>
        <v>313</v>
      </c>
      <c r="D882" s="6">
        <f>Arrivals!K882</f>
        <v>300</v>
      </c>
      <c r="E882" s="6">
        <f>D882*8/ACE_Input!S42+ACE_Input!T42</f>
        <v>24.02</v>
      </c>
      <c r="F882" s="6">
        <f t="shared" si="335"/>
        <v>313</v>
      </c>
      <c r="G882" s="6">
        <f t="shared" si="346"/>
        <v>1008.2399999999998</v>
      </c>
      <c r="H882" s="6">
        <f t="shared" si="336"/>
        <v>1008.2399999999998</v>
      </c>
      <c r="I882" s="6">
        <f>MOD(H882-Settings!$B$32,Settings!$B$33)</f>
        <v>288.23999999999978</v>
      </c>
      <c r="J882" s="6">
        <f>IF(I882&lt;Settings!$B$30,IF(Settings!$B$30-I882&gt;=E882,H882,H882+(Settings!$B$30-I882)+Settings!$B$31),H882+(Settings!$B$33-I882))</f>
        <v>1008.2399999999998</v>
      </c>
      <c r="K882" s="6">
        <f t="shared" si="337"/>
        <v>1032.2599999999998</v>
      </c>
      <c r="L882" s="6">
        <f t="shared" si="338"/>
        <v>1032.2599999999998</v>
      </c>
      <c r="M882" s="6">
        <f t="shared" si="347"/>
        <v>1008.7277366275055</v>
      </c>
      <c r="N882" s="6">
        <f t="shared" si="339"/>
        <v>1032.2599999999998</v>
      </c>
      <c r="O882" s="6">
        <f>Arrivals!I882</f>
        <v>1.6127349319332824</v>
      </c>
      <c r="P882" s="6">
        <f t="shared" si="340"/>
        <v>1033.8727349319331</v>
      </c>
      <c r="Q882" s="6">
        <f t="shared" si="341"/>
        <v>720.87273493193311</v>
      </c>
      <c r="R882" s="6">
        <f t="shared" si="342"/>
        <v>695.23999999999978</v>
      </c>
      <c r="S882" s="6">
        <f t="shared" si="343"/>
        <v>0</v>
      </c>
      <c r="T882" s="6">
        <f t="shared" si="344"/>
        <v>0</v>
      </c>
      <c r="U882" s="6">
        <f t="shared" si="345"/>
        <v>695.23999999999978</v>
      </c>
      <c r="V882" s="6" t="str">
        <f>IF(MOD(C882-Settings!$B$32,Settings!$B$33)&lt;Settings!$B$30,"Up","Down")</f>
        <v>Up</v>
      </c>
      <c r="W882" s="6">
        <f>IF(OR(E882&gt;Settings!$B$30,Q882&gt;Settings!$B$37),0,1)</f>
        <v>1</v>
      </c>
      <c r="X882" s="6">
        <f>IF(AND(W882=1,Q882&lt;=Settings!$B$36),1,0)</f>
        <v>0</v>
      </c>
    </row>
    <row r="883" spans="1:24" x14ac:dyDescent="0.2">
      <c r="A883">
        <f>Arrivals!A883</f>
        <v>8</v>
      </c>
      <c r="B883">
        <f>Arrivals!B883</f>
        <v>38</v>
      </c>
      <c r="C883" s="6">
        <f>Arrivals!F883</f>
        <v>318</v>
      </c>
      <c r="D883" s="6">
        <f>Arrivals!K883</f>
        <v>300</v>
      </c>
      <c r="E883" s="6">
        <f>D883*8/ACE_Input!S43+ACE_Input!T43</f>
        <v>24.02</v>
      </c>
      <c r="F883" s="6">
        <f t="shared" si="335"/>
        <v>318</v>
      </c>
      <c r="G883" s="6">
        <f t="shared" si="346"/>
        <v>1032.2599999999998</v>
      </c>
      <c r="H883" s="6">
        <f t="shared" si="336"/>
        <v>1032.2599999999998</v>
      </c>
      <c r="I883" s="6">
        <f>MOD(H883-Settings!$B$32,Settings!$B$33)</f>
        <v>312.25999999999976</v>
      </c>
      <c r="J883" s="6">
        <f>IF(I883&lt;Settings!$B$30,IF(Settings!$B$30-I883&gt;=E883,H883,H883+(Settings!$B$30-I883)+Settings!$B$31),H883+(Settings!$B$33-I883))</f>
        <v>1032.2599999999998</v>
      </c>
      <c r="K883" s="6">
        <f t="shared" si="337"/>
        <v>1056.2799999999997</v>
      </c>
      <c r="L883" s="6">
        <f t="shared" si="338"/>
        <v>1056.2799999999997</v>
      </c>
      <c r="M883" s="6">
        <f t="shared" si="347"/>
        <v>1033.8727349319331</v>
      </c>
      <c r="N883" s="6">
        <f t="shared" si="339"/>
        <v>1056.2799999999997</v>
      </c>
      <c r="O883" s="6">
        <f>Arrivals!I883</f>
        <v>5.420811347836902</v>
      </c>
      <c r="P883" s="6">
        <f t="shared" si="340"/>
        <v>1061.7008113478366</v>
      </c>
      <c r="Q883" s="6">
        <f t="shared" si="341"/>
        <v>743.70081134783663</v>
      </c>
      <c r="R883" s="6">
        <f t="shared" si="342"/>
        <v>714.25999999999976</v>
      </c>
      <c r="S883" s="6">
        <f t="shared" si="343"/>
        <v>0</v>
      </c>
      <c r="T883" s="6">
        <f t="shared" si="344"/>
        <v>0</v>
      </c>
      <c r="U883" s="6">
        <f t="shared" si="345"/>
        <v>714.25999999999976</v>
      </c>
      <c r="V883" s="6" t="str">
        <f>IF(MOD(C883-Settings!$B$32,Settings!$B$33)&lt;Settings!$B$30,"Up","Down")</f>
        <v>Up</v>
      </c>
      <c r="W883" s="6">
        <f>IF(OR(E883&gt;Settings!$B$30,Q883&gt;Settings!$B$37),0,1)</f>
        <v>1</v>
      </c>
      <c r="X883" s="6">
        <f>IF(AND(W883=1,Q883&lt;=Settings!$B$36),1,0)</f>
        <v>0</v>
      </c>
    </row>
    <row r="884" spans="1:24" x14ac:dyDescent="0.2">
      <c r="A884">
        <f>Arrivals!A884</f>
        <v>8</v>
      </c>
      <c r="B884">
        <f>Arrivals!B884</f>
        <v>39</v>
      </c>
      <c r="C884" s="6">
        <f>Arrivals!F884</f>
        <v>323</v>
      </c>
      <c r="D884" s="6">
        <f>Arrivals!K884</f>
        <v>300</v>
      </c>
      <c r="E884" s="6">
        <f>D884*8/ACE_Input!S44+ACE_Input!T44</f>
        <v>24.02</v>
      </c>
      <c r="F884" s="6">
        <f t="shared" si="335"/>
        <v>323</v>
      </c>
      <c r="G884" s="6">
        <f t="shared" si="346"/>
        <v>1056.2799999999997</v>
      </c>
      <c r="H884" s="6">
        <f t="shared" si="336"/>
        <v>1056.2799999999997</v>
      </c>
      <c r="I884" s="6">
        <f>MOD(H884-Settings!$B$32,Settings!$B$33)</f>
        <v>336.27999999999975</v>
      </c>
      <c r="J884" s="6">
        <f>IF(I884&lt;Settings!$B$30,IF(Settings!$B$30-I884&gt;=E884,H884,H884+(Settings!$B$30-I884)+Settings!$B$31),H884+(Settings!$B$33-I884))</f>
        <v>1056.2799999999997</v>
      </c>
      <c r="K884" s="6">
        <f t="shared" si="337"/>
        <v>1080.2999999999997</v>
      </c>
      <c r="L884" s="6">
        <f t="shared" si="338"/>
        <v>1080.2999999999997</v>
      </c>
      <c r="M884" s="6">
        <f t="shared" si="347"/>
        <v>1061.7008113478366</v>
      </c>
      <c r="N884" s="6">
        <f t="shared" si="339"/>
        <v>1080.2999999999997</v>
      </c>
      <c r="O884" s="6">
        <f>Arrivals!I884</f>
        <v>3.2757136608065038</v>
      </c>
      <c r="P884" s="6">
        <f t="shared" si="340"/>
        <v>1083.5757136608063</v>
      </c>
      <c r="Q884" s="6">
        <f t="shared" si="341"/>
        <v>760.57571366080629</v>
      </c>
      <c r="R884" s="6">
        <f t="shared" si="342"/>
        <v>733.27999999999975</v>
      </c>
      <c r="S884" s="6">
        <f t="shared" si="343"/>
        <v>0</v>
      </c>
      <c r="T884" s="6">
        <f t="shared" si="344"/>
        <v>0</v>
      </c>
      <c r="U884" s="6">
        <f t="shared" si="345"/>
        <v>733.27999999999975</v>
      </c>
      <c r="V884" s="6" t="str">
        <f>IF(MOD(C884-Settings!$B$32,Settings!$B$33)&lt;Settings!$B$30,"Up","Down")</f>
        <v>Up</v>
      </c>
      <c r="W884" s="6">
        <f>IF(OR(E884&gt;Settings!$B$30,Q884&gt;Settings!$B$37),0,1)</f>
        <v>1</v>
      </c>
      <c r="X884" s="6">
        <f>IF(AND(W884=1,Q884&lt;=Settings!$B$36),1,0)</f>
        <v>0</v>
      </c>
    </row>
    <row r="885" spans="1:24" x14ac:dyDescent="0.2">
      <c r="A885">
        <f>Arrivals!A885</f>
        <v>8</v>
      </c>
      <c r="B885">
        <f>Arrivals!B885</f>
        <v>40</v>
      </c>
      <c r="C885" s="6">
        <f>Arrivals!F885</f>
        <v>328</v>
      </c>
      <c r="D885" s="6">
        <f>Arrivals!K885</f>
        <v>300</v>
      </c>
      <c r="E885" s="6">
        <f>D885*8/ACE_Input!S45+ACE_Input!T45</f>
        <v>24.02</v>
      </c>
      <c r="F885" s="6">
        <f t="shared" si="335"/>
        <v>328</v>
      </c>
      <c r="G885" s="6">
        <f t="shared" si="346"/>
        <v>1080.2999999999997</v>
      </c>
      <c r="H885" s="6">
        <f t="shared" si="336"/>
        <v>1080.2999999999997</v>
      </c>
      <c r="I885" s="6">
        <f>MOD(H885-Settings!$B$32,Settings!$B$33)</f>
        <v>360.29999999999973</v>
      </c>
      <c r="J885" s="6">
        <f>IF(I885&lt;Settings!$B$30,IF(Settings!$B$30-I885&gt;=E885,H885,H885+(Settings!$B$30-I885)+Settings!$B$31),H885+(Settings!$B$33-I885))</f>
        <v>1080.2999999999997</v>
      </c>
      <c r="K885" s="6">
        <f t="shared" si="337"/>
        <v>1104.3199999999997</v>
      </c>
      <c r="L885" s="6">
        <f t="shared" si="338"/>
        <v>1104.3199999999997</v>
      </c>
      <c r="M885" s="6">
        <f t="shared" si="347"/>
        <v>1083.5757136608063</v>
      </c>
      <c r="N885" s="6">
        <f t="shared" si="339"/>
        <v>1104.3199999999997</v>
      </c>
      <c r="O885" s="6">
        <f>Arrivals!I885</f>
        <v>5.2181454234352742</v>
      </c>
      <c r="P885" s="6">
        <f t="shared" si="340"/>
        <v>1109.538145423435</v>
      </c>
      <c r="Q885" s="6">
        <f t="shared" si="341"/>
        <v>781.53814542343503</v>
      </c>
      <c r="R885" s="6">
        <f t="shared" si="342"/>
        <v>752.29999999999973</v>
      </c>
      <c r="S885" s="6">
        <f t="shared" si="343"/>
        <v>0</v>
      </c>
      <c r="T885" s="6">
        <f t="shared" si="344"/>
        <v>0</v>
      </c>
      <c r="U885" s="6">
        <f t="shared" si="345"/>
        <v>752.29999999999973</v>
      </c>
      <c r="V885" s="6" t="str">
        <f>IF(MOD(C885-Settings!$B$32,Settings!$B$33)&lt;Settings!$B$30,"Up","Down")</f>
        <v>Up</v>
      </c>
      <c r="W885" s="6">
        <f>IF(OR(E885&gt;Settings!$B$30,Q885&gt;Settings!$B$37),0,1)</f>
        <v>1</v>
      </c>
      <c r="X885" s="6">
        <f>IF(AND(W885=1,Q885&lt;=Settings!$B$36),1,0)</f>
        <v>0</v>
      </c>
    </row>
    <row r="886" spans="1:24" x14ac:dyDescent="0.2">
      <c r="A886">
        <f>Arrivals!A886</f>
        <v>8</v>
      </c>
      <c r="B886">
        <f>Arrivals!B886</f>
        <v>41</v>
      </c>
      <c r="C886" s="6">
        <f>Arrivals!F886</f>
        <v>333</v>
      </c>
      <c r="D886" s="6">
        <f>Arrivals!K886</f>
        <v>300</v>
      </c>
      <c r="E886" s="6">
        <f>D886*8/ACE_Input!S46+ACE_Input!T46</f>
        <v>24.02</v>
      </c>
      <c r="F886" s="6">
        <f t="shared" si="335"/>
        <v>333</v>
      </c>
      <c r="G886" s="6">
        <f t="shared" si="346"/>
        <v>1104.3199999999997</v>
      </c>
      <c r="H886" s="6">
        <f t="shared" si="336"/>
        <v>1104.3199999999997</v>
      </c>
      <c r="I886" s="6">
        <f>MOD(H886-Settings!$B$32,Settings!$B$33)</f>
        <v>384.31999999999971</v>
      </c>
      <c r="J886" s="6">
        <f>IF(I886&lt;Settings!$B$30,IF(Settings!$B$30-I886&gt;=E886,H886,H886+(Settings!$B$30-I886)+Settings!$B$31),H886+(Settings!$B$33-I886))</f>
        <v>1104.3199999999997</v>
      </c>
      <c r="K886" s="6">
        <f t="shared" si="337"/>
        <v>1128.3399999999997</v>
      </c>
      <c r="L886" s="6">
        <f t="shared" si="338"/>
        <v>1128.3399999999997</v>
      </c>
      <c r="M886" s="6">
        <f t="shared" si="347"/>
        <v>1109.538145423435</v>
      </c>
      <c r="N886" s="6">
        <f t="shared" si="339"/>
        <v>1128.3399999999997</v>
      </c>
      <c r="O886" s="6">
        <f>Arrivals!I886</f>
        <v>1.3677674509560391</v>
      </c>
      <c r="P886" s="6">
        <f t="shared" si="340"/>
        <v>1129.7077674509558</v>
      </c>
      <c r="Q886" s="6">
        <f t="shared" si="341"/>
        <v>796.70776745095577</v>
      </c>
      <c r="R886" s="6">
        <f t="shared" si="342"/>
        <v>771.31999999999971</v>
      </c>
      <c r="S886" s="6">
        <f t="shared" si="343"/>
        <v>0</v>
      </c>
      <c r="T886" s="6">
        <f t="shared" si="344"/>
        <v>0</v>
      </c>
      <c r="U886" s="6">
        <f t="shared" si="345"/>
        <v>771.31999999999971</v>
      </c>
      <c r="V886" s="6" t="str">
        <f>IF(MOD(C886-Settings!$B$32,Settings!$B$33)&lt;Settings!$B$30,"Up","Down")</f>
        <v>Up</v>
      </c>
      <c r="W886" s="6">
        <f>IF(OR(E886&gt;Settings!$B$30,Q886&gt;Settings!$B$37),0,1)</f>
        <v>1</v>
      </c>
      <c r="X886" s="6">
        <f>IF(AND(W886=1,Q886&lt;=Settings!$B$36),1,0)</f>
        <v>0</v>
      </c>
    </row>
    <row r="887" spans="1:24" x14ac:dyDescent="0.2">
      <c r="A887">
        <f>Arrivals!A887</f>
        <v>8</v>
      </c>
      <c r="B887">
        <f>Arrivals!B887</f>
        <v>42</v>
      </c>
      <c r="C887" s="6">
        <f>Arrivals!F887</f>
        <v>338</v>
      </c>
      <c r="D887" s="6">
        <f>Arrivals!K887</f>
        <v>300</v>
      </c>
      <c r="E887" s="6">
        <f>D887*8/ACE_Input!S47+ACE_Input!T47</f>
        <v>24.02</v>
      </c>
      <c r="F887" s="6">
        <f t="shared" si="335"/>
        <v>338</v>
      </c>
      <c r="G887" s="6">
        <f t="shared" si="346"/>
        <v>1128.3399999999997</v>
      </c>
      <c r="H887" s="6">
        <f t="shared" si="336"/>
        <v>1128.3399999999997</v>
      </c>
      <c r="I887" s="6">
        <f>MOD(H887-Settings!$B$32,Settings!$B$33)</f>
        <v>408.33999999999969</v>
      </c>
      <c r="J887" s="6">
        <f>IF(I887&lt;Settings!$B$30,IF(Settings!$B$30-I887&gt;=E887,H887,H887+(Settings!$B$30-I887)+Settings!$B$31),H887+(Settings!$B$33-I887))</f>
        <v>1128.3399999999997</v>
      </c>
      <c r="K887" s="6">
        <f t="shared" si="337"/>
        <v>1152.3599999999997</v>
      </c>
      <c r="L887" s="6">
        <f t="shared" si="338"/>
        <v>1152.3599999999997</v>
      </c>
      <c r="M887" s="6">
        <f t="shared" si="347"/>
        <v>1129.7077674509558</v>
      </c>
      <c r="N887" s="6">
        <f t="shared" si="339"/>
        <v>1152.3599999999997</v>
      </c>
      <c r="O887" s="6">
        <f>Arrivals!I887</f>
        <v>2.6435940134403544</v>
      </c>
      <c r="P887" s="6">
        <f t="shared" si="340"/>
        <v>1155.0035940134401</v>
      </c>
      <c r="Q887" s="6">
        <f t="shared" si="341"/>
        <v>817.00359401344008</v>
      </c>
      <c r="R887" s="6">
        <f t="shared" si="342"/>
        <v>790.33999999999969</v>
      </c>
      <c r="S887" s="6">
        <f t="shared" si="343"/>
        <v>0</v>
      </c>
      <c r="T887" s="6">
        <f t="shared" si="344"/>
        <v>0</v>
      </c>
      <c r="U887" s="6">
        <f t="shared" si="345"/>
        <v>790.33999999999969</v>
      </c>
      <c r="V887" s="6" t="str">
        <f>IF(MOD(C887-Settings!$B$32,Settings!$B$33)&lt;Settings!$B$30,"Up","Down")</f>
        <v>Up</v>
      </c>
      <c r="W887" s="6">
        <f>IF(OR(E887&gt;Settings!$B$30,Q887&gt;Settings!$B$37),0,1)</f>
        <v>1</v>
      </c>
      <c r="X887" s="6">
        <f>IF(AND(W887=1,Q887&lt;=Settings!$B$36),1,0)</f>
        <v>0</v>
      </c>
    </row>
    <row r="888" spans="1:24" x14ac:dyDescent="0.2">
      <c r="A888">
        <f>Arrivals!A888</f>
        <v>8</v>
      </c>
      <c r="B888">
        <f>Arrivals!B888</f>
        <v>43</v>
      </c>
      <c r="C888" s="6">
        <f>Arrivals!F888</f>
        <v>343</v>
      </c>
      <c r="D888" s="6">
        <f>Arrivals!K888</f>
        <v>300</v>
      </c>
      <c r="E888" s="6">
        <f>D888*8/ACE_Input!S48+ACE_Input!T48</f>
        <v>24.02</v>
      </c>
      <c r="F888" s="6">
        <f t="shared" si="335"/>
        <v>343</v>
      </c>
      <c r="G888" s="6">
        <f t="shared" si="346"/>
        <v>1152.3599999999997</v>
      </c>
      <c r="H888" s="6">
        <f t="shared" si="336"/>
        <v>1152.3599999999997</v>
      </c>
      <c r="I888" s="6">
        <f>MOD(H888-Settings!$B$32,Settings!$B$33)</f>
        <v>432.35999999999967</v>
      </c>
      <c r="J888" s="6">
        <f>IF(I888&lt;Settings!$B$30,IF(Settings!$B$30-I888&gt;=E888,H888,H888+(Settings!$B$30-I888)+Settings!$B$31),H888+(Settings!$B$33-I888))</f>
        <v>1152.3599999999997</v>
      </c>
      <c r="K888" s="6">
        <f t="shared" si="337"/>
        <v>1176.3799999999997</v>
      </c>
      <c r="L888" s="6">
        <f t="shared" si="338"/>
        <v>1176.3799999999997</v>
      </c>
      <c r="M888" s="6">
        <f t="shared" si="347"/>
        <v>1155.0035940134401</v>
      </c>
      <c r="N888" s="6">
        <f t="shared" si="339"/>
        <v>1176.3799999999997</v>
      </c>
      <c r="O888" s="6">
        <f>Arrivals!I888</f>
        <v>0.33858731327158559</v>
      </c>
      <c r="P888" s="6">
        <f t="shared" si="340"/>
        <v>1176.7185873132712</v>
      </c>
      <c r="Q888" s="6">
        <f t="shared" si="341"/>
        <v>833.7185873132712</v>
      </c>
      <c r="R888" s="6">
        <f t="shared" si="342"/>
        <v>809.35999999999967</v>
      </c>
      <c r="S888" s="6">
        <f t="shared" si="343"/>
        <v>0</v>
      </c>
      <c r="T888" s="6">
        <f t="shared" si="344"/>
        <v>0</v>
      </c>
      <c r="U888" s="6">
        <f t="shared" si="345"/>
        <v>809.35999999999967</v>
      </c>
      <c r="V888" s="6" t="str">
        <f>IF(MOD(C888-Settings!$B$32,Settings!$B$33)&lt;Settings!$B$30,"Up","Down")</f>
        <v>Up</v>
      </c>
      <c r="W888" s="6">
        <f>IF(OR(E888&gt;Settings!$B$30,Q888&gt;Settings!$B$37),0,1)</f>
        <v>1</v>
      </c>
      <c r="X888" s="6">
        <f>IF(AND(W888=1,Q888&lt;=Settings!$B$36),1,0)</f>
        <v>0</v>
      </c>
    </row>
    <row r="889" spans="1:24" x14ac:dyDescent="0.2">
      <c r="A889">
        <f>Arrivals!A889</f>
        <v>8</v>
      </c>
      <c r="B889">
        <f>Arrivals!B889</f>
        <v>44</v>
      </c>
      <c r="C889" s="6">
        <f>Arrivals!F889</f>
        <v>348</v>
      </c>
      <c r="D889" s="6">
        <f>Arrivals!K889</f>
        <v>300</v>
      </c>
      <c r="E889" s="6">
        <f>D889*8/ACE_Input!S49+ACE_Input!T49</f>
        <v>24.02</v>
      </c>
      <c r="F889" s="6">
        <f t="shared" si="335"/>
        <v>348</v>
      </c>
      <c r="G889" s="6">
        <f t="shared" si="346"/>
        <v>1176.3799999999997</v>
      </c>
      <c r="H889" s="6">
        <f t="shared" si="336"/>
        <v>1176.3799999999997</v>
      </c>
      <c r="I889" s="6">
        <f>MOD(H889-Settings!$B$32,Settings!$B$33)</f>
        <v>456.37999999999965</v>
      </c>
      <c r="J889" s="6">
        <f>IF(I889&lt;Settings!$B$30,IF(Settings!$B$30-I889&gt;=E889,H889,H889+(Settings!$B$30-I889)+Settings!$B$31),H889+(Settings!$B$33-I889))</f>
        <v>1176.3799999999997</v>
      </c>
      <c r="K889" s="6">
        <f t="shared" si="337"/>
        <v>1200.3999999999996</v>
      </c>
      <c r="L889" s="6">
        <f t="shared" si="338"/>
        <v>1200.3999999999996</v>
      </c>
      <c r="M889" s="6">
        <f t="shared" si="347"/>
        <v>1176.7185873132712</v>
      </c>
      <c r="N889" s="6">
        <f t="shared" si="339"/>
        <v>1200.3999999999996</v>
      </c>
      <c r="O889" s="6">
        <f>Arrivals!I889</f>
        <v>0.47066802143146474</v>
      </c>
      <c r="P889" s="6">
        <f t="shared" si="340"/>
        <v>1200.8706680214311</v>
      </c>
      <c r="Q889" s="6">
        <f t="shared" si="341"/>
        <v>852.87066802143113</v>
      </c>
      <c r="R889" s="6">
        <f t="shared" si="342"/>
        <v>828.37999999999965</v>
      </c>
      <c r="S889" s="6">
        <f t="shared" si="343"/>
        <v>0</v>
      </c>
      <c r="T889" s="6">
        <f t="shared" si="344"/>
        <v>0</v>
      </c>
      <c r="U889" s="6">
        <f t="shared" si="345"/>
        <v>828.37999999999965</v>
      </c>
      <c r="V889" s="6" t="str">
        <f>IF(MOD(C889-Settings!$B$32,Settings!$B$33)&lt;Settings!$B$30,"Up","Down")</f>
        <v>Up</v>
      </c>
      <c r="W889" s="6">
        <f>IF(OR(E889&gt;Settings!$B$30,Q889&gt;Settings!$B$37),0,1)</f>
        <v>1</v>
      </c>
      <c r="X889" s="6">
        <f>IF(AND(W889=1,Q889&lt;=Settings!$B$36),1,0)</f>
        <v>0</v>
      </c>
    </row>
    <row r="890" spans="1:24" x14ac:dyDescent="0.2">
      <c r="A890">
        <f>Arrivals!A890</f>
        <v>8</v>
      </c>
      <c r="B890">
        <f>Arrivals!B890</f>
        <v>45</v>
      </c>
      <c r="C890" s="6">
        <f>Arrivals!F890</f>
        <v>354</v>
      </c>
      <c r="D890" s="6">
        <f>Arrivals!K890</f>
        <v>300</v>
      </c>
      <c r="E890" s="6">
        <f>D890*8/ACE_Input!S50+ACE_Input!T50</f>
        <v>24.02</v>
      </c>
      <c r="F890" s="6">
        <f t="shared" si="335"/>
        <v>354</v>
      </c>
      <c r="G890" s="6">
        <f t="shared" si="346"/>
        <v>1200.3999999999996</v>
      </c>
      <c r="H890" s="6">
        <f t="shared" si="336"/>
        <v>1200.3999999999996</v>
      </c>
      <c r="I890" s="6">
        <f>MOD(H890-Settings!$B$32,Settings!$B$33)</f>
        <v>480.39999999999964</v>
      </c>
      <c r="J890" s="6">
        <f>IF(I890&lt;Settings!$B$30,IF(Settings!$B$30-I890&gt;=E890,H890,H890+(Settings!$B$30-I890)+Settings!$B$31),H890+(Settings!$B$33-I890))</f>
        <v>1200.3999999999996</v>
      </c>
      <c r="K890" s="6">
        <f t="shared" si="337"/>
        <v>1224.4199999999996</v>
      </c>
      <c r="L890" s="6">
        <f t="shared" si="338"/>
        <v>1224.4199999999996</v>
      </c>
      <c r="M890" s="6">
        <f t="shared" si="347"/>
        <v>1200.8706680214311</v>
      </c>
      <c r="N890" s="6">
        <f t="shared" si="339"/>
        <v>1224.4199999999996</v>
      </c>
      <c r="O890" s="6">
        <f>Arrivals!I890</f>
        <v>4.9639690379782753</v>
      </c>
      <c r="P890" s="6">
        <f t="shared" si="340"/>
        <v>1229.383969037978</v>
      </c>
      <c r="Q890" s="6">
        <f t="shared" si="341"/>
        <v>875.38396903797798</v>
      </c>
      <c r="R890" s="6">
        <f t="shared" si="342"/>
        <v>846.39999999999964</v>
      </c>
      <c r="S890" s="6">
        <f t="shared" si="343"/>
        <v>0</v>
      </c>
      <c r="T890" s="6">
        <f t="shared" si="344"/>
        <v>0</v>
      </c>
      <c r="U890" s="6">
        <f t="shared" si="345"/>
        <v>846.39999999999964</v>
      </c>
      <c r="V890" s="6" t="str">
        <f>IF(MOD(C890-Settings!$B$32,Settings!$B$33)&lt;Settings!$B$30,"Up","Down")</f>
        <v>Up</v>
      </c>
      <c r="W890" s="6">
        <f>IF(OR(E890&gt;Settings!$B$30,Q890&gt;Settings!$B$37),0,1)</f>
        <v>1</v>
      </c>
      <c r="X890" s="6">
        <f>IF(AND(W890=1,Q890&lt;=Settings!$B$36),1,0)</f>
        <v>0</v>
      </c>
    </row>
    <row r="891" spans="1:24" x14ac:dyDescent="0.2">
      <c r="A891">
        <f>Arrivals!A891</f>
        <v>8</v>
      </c>
      <c r="B891">
        <f>Arrivals!B891</f>
        <v>46</v>
      </c>
      <c r="C891" s="6">
        <f>Arrivals!F891</f>
        <v>359</v>
      </c>
      <c r="D891" s="6">
        <f>Arrivals!K891</f>
        <v>300</v>
      </c>
      <c r="E891" s="6">
        <f>D891*8/ACE_Input!S51+ACE_Input!T51</f>
        <v>24.02</v>
      </c>
      <c r="F891" s="6">
        <f t="shared" si="335"/>
        <v>359</v>
      </c>
      <c r="G891" s="6">
        <f t="shared" si="346"/>
        <v>1224.4199999999996</v>
      </c>
      <c r="H891" s="6">
        <f t="shared" si="336"/>
        <v>1224.4199999999996</v>
      </c>
      <c r="I891" s="6">
        <f>MOD(H891-Settings!$B$32,Settings!$B$33)</f>
        <v>504.41999999999962</v>
      </c>
      <c r="J891" s="6">
        <f>IF(I891&lt;Settings!$B$30,IF(Settings!$B$30-I891&gt;=E891,H891,H891+(Settings!$B$30-I891)+Settings!$B$31),H891+(Settings!$B$33-I891))</f>
        <v>1224.4199999999996</v>
      </c>
      <c r="K891" s="6">
        <f t="shared" si="337"/>
        <v>1248.4399999999996</v>
      </c>
      <c r="L891" s="6">
        <f t="shared" si="338"/>
        <v>1248.4399999999996</v>
      </c>
      <c r="M891" s="6">
        <f t="shared" si="347"/>
        <v>1229.383969037978</v>
      </c>
      <c r="N891" s="6">
        <f t="shared" si="339"/>
        <v>1248.4399999999996</v>
      </c>
      <c r="O891" s="6">
        <f>Arrivals!I891</f>
        <v>0.61768372978887565</v>
      </c>
      <c r="P891" s="6">
        <f t="shared" si="340"/>
        <v>1249.0576837297886</v>
      </c>
      <c r="Q891" s="6">
        <f t="shared" si="341"/>
        <v>890.05768372978855</v>
      </c>
      <c r="R891" s="6">
        <f t="shared" si="342"/>
        <v>865.41999999999962</v>
      </c>
      <c r="S891" s="6">
        <f t="shared" si="343"/>
        <v>0</v>
      </c>
      <c r="T891" s="6">
        <f t="shared" si="344"/>
        <v>0</v>
      </c>
      <c r="U891" s="6">
        <f t="shared" si="345"/>
        <v>865.41999999999962</v>
      </c>
      <c r="V891" s="6" t="str">
        <f>IF(MOD(C891-Settings!$B$32,Settings!$B$33)&lt;Settings!$B$30,"Up","Down")</f>
        <v>Up</v>
      </c>
      <c r="W891" s="6">
        <f>IF(OR(E891&gt;Settings!$B$30,Q891&gt;Settings!$B$37),0,1)</f>
        <v>1</v>
      </c>
      <c r="X891" s="6">
        <f>IF(AND(W891=1,Q891&lt;=Settings!$B$36),1,0)</f>
        <v>0</v>
      </c>
    </row>
    <row r="892" spans="1:24" x14ac:dyDescent="0.2">
      <c r="A892">
        <f>Arrivals!A892</f>
        <v>8</v>
      </c>
      <c r="B892">
        <f>Arrivals!B892</f>
        <v>47</v>
      </c>
      <c r="C892" s="6">
        <f>Arrivals!F892</f>
        <v>364</v>
      </c>
      <c r="D892" s="6">
        <f>Arrivals!K892</f>
        <v>300</v>
      </c>
      <c r="E892" s="6">
        <f>D892*8/ACE_Input!S52+ACE_Input!T52</f>
        <v>24.02</v>
      </c>
      <c r="F892" s="6">
        <f t="shared" si="335"/>
        <v>364</v>
      </c>
      <c r="G892" s="6">
        <f t="shared" si="346"/>
        <v>1248.4399999999996</v>
      </c>
      <c r="H892" s="6">
        <f t="shared" si="336"/>
        <v>1248.4399999999996</v>
      </c>
      <c r="I892" s="6">
        <f>MOD(H892-Settings!$B$32,Settings!$B$33)</f>
        <v>528.4399999999996</v>
      </c>
      <c r="J892" s="6">
        <f>IF(I892&lt;Settings!$B$30,IF(Settings!$B$30-I892&gt;=E892,H892,H892+(Settings!$B$30-I892)+Settings!$B$31),H892+(Settings!$B$33-I892))</f>
        <v>1248.4399999999996</v>
      </c>
      <c r="K892" s="6">
        <f t="shared" si="337"/>
        <v>1272.4599999999996</v>
      </c>
      <c r="L892" s="6">
        <f t="shared" si="338"/>
        <v>1272.4599999999996</v>
      </c>
      <c r="M892" s="6">
        <f t="shared" si="347"/>
        <v>1249.0576837297886</v>
      </c>
      <c r="N892" s="6">
        <f t="shared" si="339"/>
        <v>1272.4599999999996</v>
      </c>
      <c r="O892" s="6">
        <f>Arrivals!I892</f>
        <v>8.9297446879395377</v>
      </c>
      <c r="P892" s="6">
        <f t="shared" si="340"/>
        <v>1281.3897446879391</v>
      </c>
      <c r="Q892" s="6">
        <f t="shared" si="341"/>
        <v>917.38974468793913</v>
      </c>
      <c r="R892" s="6">
        <f t="shared" si="342"/>
        <v>884.4399999999996</v>
      </c>
      <c r="S892" s="6">
        <f t="shared" si="343"/>
        <v>0</v>
      </c>
      <c r="T892" s="6">
        <f t="shared" si="344"/>
        <v>0</v>
      </c>
      <c r="U892" s="6">
        <f t="shared" si="345"/>
        <v>884.4399999999996</v>
      </c>
      <c r="V892" s="6" t="str">
        <f>IF(MOD(C892-Settings!$B$32,Settings!$B$33)&lt;Settings!$B$30,"Up","Down")</f>
        <v>Up</v>
      </c>
      <c r="W892" s="6">
        <f>IF(OR(E892&gt;Settings!$B$30,Q892&gt;Settings!$B$37),0,1)</f>
        <v>0</v>
      </c>
      <c r="X892" s="6">
        <f>IF(AND(W892=1,Q892&lt;=Settings!$B$36),1,0)</f>
        <v>0</v>
      </c>
    </row>
    <row r="893" spans="1:24" x14ac:dyDescent="0.2">
      <c r="A893">
        <f>Arrivals!A893</f>
        <v>8</v>
      </c>
      <c r="B893">
        <f>Arrivals!B893</f>
        <v>48</v>
      </c>
      <c r="C893" s="6">
        <f>Arrivals!F893</f>
        <v>369</v>
      </c>
      <c r="D893" s="6">
        <f>Arrivals!K893</f>
        <v>300</v>
      </c>
      <c r="E893" s="6">
        <f>D893*8/ACE_Input!S53+ACE_Input!T53</f>
        <v>24.02</v>
      </c>
      <c r="F893" s="6">
        <f t="shared" si="335"/>
        <v>369</v>
      </c>
      <c r="G893" s="6">
        <f t="shared" si="346"/>
        <v>1272.4599999999996</v>
      </c>
      <c r="H893" s="6">
        <f t="shared" si="336"/>
        <v>1272.4599999999996</v>
      </c>
      <c r="I893" s="6">
        <f>MOD(H893-Settings!$B$32,Settings!$B$33)</f>
        <v>552.45999999999958</v>
      </c>
      <c r="J893" s="6">
        <f>IF(I893&lt;Settings!$B$30,IF(Settings!$B$30-I893&gt;=E893,H893,H893+(Settings!$B$30-I893)+Settings!$B$31),H893+(Settings!$B$33-I893))</f>
        <v>1272.4599999999996</v>
      </c>
      <c r="K893" s="6">
        <f t="shared" si="337"/>
        <v>1296.4799999999996</v>
      </c>
      <c r="L893" s="6">
        <f t="shared" si="338"/>
        <v>1296.4799999999996</v>
      </c>
      <c r="M893" s="6">
        <f t="shared" si="347"/>
        <v>1281.3897446879391</v>
      </c>
      <c r="N893" s="6">
        <f t="shared" si="339"/>
        <v>1296.4799999999996</v>
      </c>
      <c r="O893" s="6">
        <f>Arrivals!I893</f>
        <v>0.73107888050861936</v>
      </c>
      <c r="P893" s="6">
        <f t="shared" si="340"/>
        <v>1297.2110788805082</v>
      </c>
      <c r="Q893" s="6">
        <f t="shared" si="341"/>
        <v>928.21107888050824</v>
      </c>
      <c r="R893" s="6">
        <f t="shared" si="342"/>
        <v>903.45999999999958</v>
      </c>
      <c r="S893" s="6">
        <f t="shared" si="343"/>
        <v>0</v>
      </c>
      <c r="T893" s="6">
        <f t="shared" si="344"/>
        <v>0</v>
      </c>
      <c r="U893" s="6">
        <f t="shared" si="345"/>
        <v>903.45999999999958</v>
      </c>
      <c r="V893" s="6" t="str">
        <f>IF(MOD(C893-Settings!$B$32,Settings!$B$33)&lt;Settings!$B$30,"Up","Down")</f>
        <v>Up</v>
      </c>
      <c r="W893" s="6">
        <f>IF(OR(E893&gt;Settings!$B$30,Q893&gt;Settings!$B$37),0,1)</f>
        <v>0</v>
      </c>
      <c r="X893" s="6">
        <f>IF(AND(W893=1,Q893&lt;=Settings!$B$36),1,0)</f>
        <v>0</v>
      </c>
    </row>
    <row r="894" spans="1:24" x14ac:dyDescent="0.2">
      <c r="A894">
        <f>Arrivals!A894</f>
        <v>8</v>
      </c>
      <c r="B894">
        <f>Arrivals!B894</f>
        <v>49</v>
      </c>
      <c r="C894" s="6">
        <f>Arrivals!F894</f>
        <v>374</v>
      </c>
      <c r="D894" s="6">
        <f>Arrivals!K894</f>
        <v>300</v>
      </c>
      <c r="E894" s="6">
        <f>D894*8/ACE_Input!S54+ACE_Input!T54</f>
        <v>24.02</v>
      </c>
      <c r="F894" s="6">
        <f t="shared" si="335"/>
        <v>374</v>
      </c>
      <c r="G894" s="6">
        <f t="shared" si="346"/>
        <v>1296.4799999999996</v>
      </c>
      <c r="H894" s="6">
        <f t="shared" si="336"/>
        <v>1296.4799999999996</v>
      </c>
      <c r="I894" s="6">
        <f>MOD(H894-Settings!$B$32,Settings!$B$33)</f>
        <v>576.47999999999956</v>
      </c>
      <c r="J894" s="6">
        <f>IF(I894&lt;Settings!$B$30,IF(Settings!$B$30-I894&gt;=E894,H894,H894+(Settings!$B$30-I894)+Settings!$B$31),H894+(Settings!$B$33-I894))</f>
        <v>1440</v>
      </c>
      <c r="K894" s="6">
        <f t="shared" si="337"/>
        <v>1464.02</v>
      </c>
      <c r="L894" s="6">
        <f t="shared" si="338"/>
        <v>1464.02</v>
      </c>
      <c r="M894" s="6">
        <f t="shared" si="347"/>
        <v>1297.2110788805082</v>
      </c>
      <c r="N894" s="6">
        <f t="shared" si="339"/>
        <v>1464.02</v>
      </c>
      <c r="O894" s="6">
        <f>Arrivals!I894</f>
        <v>2.3347416288717602</v>
      </c>
      <c r="P894" s="6">
        <f t="shared" si="340"/>
        <v>1466.3547416288718</v>
      </c>
      <c r="Q894" s="6">
        <f t="shared" si="341"/>
        <v>1092.3547416288718</v>
      </c>
      <c r="R894" s="6">
        <f t="shared" si="342"/>
        <v>922.47999999999956</v>
      </c>
      <c r="S894" s="6">
        <f t="shared" si="343"/>
        <v>143.52000000000044</v>
      </c>
      <c r="T894" s="6">
        <f t="shared" si="344"/>
        <v>0</v>
      </c>
      <c r="U894" s="6">
        <f t="shared" si="345"/>
        <v>1066</v>
      </c>
      <c r="V894" s="6" t="str">
        <f>IF(MOD(C894-Settings!$B$32,Settings!$B$33)&lt;Settings!$B$30,"Up","Down")</f>
        <v>Up</v>
      </c>
      <c r="W894" s="6">
        <f>IF(OR(E894&gt;Settings!$B$30,Q894&gt;Settings!$B$37),0,1)</f>
        <v>0</v>
      </c>
      <c r="X894" s="6">
        <f>IF(AND(W894=1,Q894&lt;=Settings!$B$36),1,0)</f>
        <v>0</v>
      </c>
    </row>
    <row r="895" spans="1:24" x14ac:dyDescent="0.2">
      <c r="A895">
        <f>Arrivals!A895</f>
        <v>8</v>
      </c>
      <c r="B895">
        <f>Arrivals!B895</f>
        <v>50</v>
      </c>
      <c r="C895" s="6">
        <f>Arrivals!F895</f>
        <v>379</v>
      </c>
      <c r="D895" s="6">
        <f>Arrivals!K895</f>
        <v>300</v>
      </c>
      <c r="E895" s="6">
        <f>D895*8/ACE_Input!S55+ACE_Input!T55</f>
        <v>24.02</v>
      </c>
      <c r="F895" s="6">
        <f t="shared" si="335"/>
        <v>379</v>
      </c>
      <c r="G895" s="6">
        <f t="shared" si="346"/>
        <v>1464.02</v>
      </c>
      <c r="H895" s="6">
        <f t="shared" si="336"/>
        <v>1464.02</v>
      </c>
      <c r="I895" s="6">
        <f>MOD(H895-Settings!$B$32,Settings!$B$33)</f>
        <v>24.019999999999982</v>
      </c>
      <c r="J895" s="6">
        <f>IF(I895&lt;Settings!$B$30,IF(Settings!$B$30-I895&gt;=E895,H895,H895+(Settings!$B$30-I895)+Settings!$B$31),H895+(Settings!$B$33-I895))</f>
        <v>1464.02</v>
      </c>
      <c r="K895" s="6">
        <f t="shared" si="337"/>
        <v>1488.04</v>
      </c>
      <c r="L895" s="6">
        <f t="shared" si="338"/>
        <v>1488.04</v>
      </c>
      <c r="M895" s="6">
        <f t="shared" si="347"/>
        <v>1466.3547416288718</v>
      </c>
      <c r="N895" s="6">
        <f t="shared" si="339"/>
        <v>1488.04</v>
      </c>
      <c r="O895" s="6">
        <f>Arrivals!I895</f>
        <v>2.0753533492487848</v>
      </c>
      <c r="P895" s="6">
        <f t="shared" si="340"/>
        <v>1490.1153533492488</v>
      </c>
      <c r="Q895" s="6">
        <f t="shared" si="341"/>
        <v>1111.1153533492488</v>
      </c>
      <c r="R895" s="6">
        <f t="shared" si="342"/>
        <v>1085.02</v>
      </c>
      <c r="S895" s="6">
        <f t="shared" si="343"/>
        <v>0</v>
      </c>
      <c r="T895" s="6">
        <f t="shared" si="344"/>
        <v>0</v>
      </c>
      <c r="U895" s="6">
        <f t="shared" si="345"/>
        <v>1085.02</v>
      </c>
      <c r="V895" s="6" t="str">
        <f>IF(MOD(C895-Settings!$B$32,Settings!$B$33)&lt;Settings!$B$30,"Up","Down")</f>
        <v>Up</v>
      </c>
      <c r="W895" s="6">
        <f>IF(OR(E895&gt;Settings!$B$30,Q895&gt;Settings!$B$37),0,1)</f>
        <v>0</v>
      </c>
      <c r="X895" s="6">
        <f>IF(AND(W895=1,Q895&lt;=Settings!$B$36),1,0)</f>
        <v>0</v>
      </c>
    </row>
    <row r="896" spans="1:24" x14ac:dyDescent="0.2">
      <c r="A896">
        <f>Arrivals!A896</f>
        <v>8</v>
      </c>
      <c r="B896">
        <f>Arrivals!B896</f>
        <v>51</v>
      </c>
      <c r="C896" s="6">
        <f>Arrivals!F896</f>
        <v>384</v>
      </c>
      <c r="D896" s="6">
        <f>Arrivals!K896</f>
        <v>300</v>
      </c>
      <c r="E896" s="6">
        <f>D896*8/ACE_Input!S56+ACE_Input!T56</f>
        <v>24.02</v>
      </c>
      <c r="F896" s="6">
        <f t="shared" si="335"/>
        <v>384</v>
      </c>
      <c r="G896" s="6">
        <f t="shared" si="346"/>
        <v>1488.04</v>
      </c>
      <c r="H896" s="6">
        <f t="shared" si="336"/>
        <v>1488.04</v>
      </c>
      <c r="I896" s="6">
        <f>MOD(H896-Settings!$B$32,Settings!$B$33)</f>
        <v>48.039999999999964</v>
      </c>
      <c r="J896" s="6">
        <f>IF(I896&lt;Settings!$B$30,IF(Settings!$B$30-I896&gt;=E896,H896,H896+(Settings!$B$30-I896)+Settings!$B$31),H896+(Settings!$B$33-I896))</f>
        <v>1488.04</v>
      </c>
      <c r="K896" s="6">
        <f t="shared" si="337"/>
        <v>1512.06</v>
      </c>
      <c r="L896" s="6">
        <f t="shared" si="338"/>
        <v>1512.06</v>
      </c>
      <c r="M896" s="6">
        <f t="shared" si="347"/>
        <v>1490.1153533492488</v>
      </c>
      <c r="N896" s="6">
        <f t="shared" si="339"/>
        <v>1512.06</v>
      </c>
      <c r="O896" s="6">
        <f>Arrivals!I896</f>
        <v>1.3081759692132762</v>
      </c>
      <c r="P896" s="6">
        <f t="shared" si="340"/>
        <v>1513.3681759692133</v>
      </c>
      <c r="Q896" s="6">
        <f t="shared" si="341"/>
        <v>1129.3681759692133</v>
      </c>
      <c r="R896" s="6">
        <f t="shared" si="342"/>
        <v>1104.04</v>
      </c>
      <c r="S896" s="6">
        <f t="shared" si="343"/>
        <v>0</v>
      </c>
      <c r="T896" s="6">
        <f t="shared" si="344"/>
        <v>0</v>
      </c>
      <c r="U896" s="6">
        <f t="shared" si="345"/>
        <v>1104.04</v>
      </c>
      <c r="V896" s="6" t="str">
        <f>IF(MOD(C896-Settings!$B$32,Settings!$B$33)&lt;Settings!$B$30,"Up","Down")</f>
        <v>Up</v>
      </c>
      <c r="W896" s="6">
        <f>IF(OR(E896&gt;Settings!$B$30,Q896&gt;Settings!$B$37),0,1)</f>
        <v>0</v>
      </c>
      <c r="X896" s="6">
        <f>IF(AND(W896=1,Q896&lt;=Settings!$B$36),1,0)</f>
        <v>0</v>
      </c>
    </row>
    <row r="897" spans="1:24" x14ac:dyDescent="0.2">
      <c r="A897">
        <f>Arrivals!A897</f>
        <v>8</v>
      </c>
      <c r="B897">
        <f>Arrivals!B897</f>
        <v>52</v>
      </c>
      <c r="C897" s="6">
        <f>Arrivals!F897</f>
        <v>389</v>
      </c>
      <c r="D897" s="6">
        <f>Arrivals!K897</f>
        <v>300</v>
      </c>
      <c r="E897" s="6">
        <f>D897*8/ACE_Input!S57+ACE_Input!T57</f>
        <v>24.02</v>
      </c>
      <c r="F897" s="6">
        <f t="shared" si="335"/>
        <v>389</v>
      </c>
      <c r="G897" s="6">
        <f t="shared" si="346"/>
        <v>1512.06</v>
      </c>
      <c r="H897" s="6">
        <f t="shared" si="336"/>
        <v>1512.06</v>
      </c>
      <c r="I897" s="6">
        <f>MOD(H897-Settings!$B$32,Settings!$B$33)</f>
        <v>72.059999999999945</v>
      </c>
      <c r="J897" s="6">
        <f>IF(I897&lt;Settings!$B$30,IF(Settings!$B$30-I897&gt;=E897,H897,H897+(Settings!$B$30-I897)+Settings!$B$31),H897+(Settings!$B$33-I897))</f>
        <v>1512.06</v>
      </c>
      <c r="K897" s="6">
        <f t="shared" si="337"/>
        <v>1536.08</v>
      </c>
      <c r="L897" s="6">
        <f t="shared" si="338"/>
        <v>1536.08</v>
      </c>
      <c r="M897" s="6">
        <f t="shared" si="347"/>
        <v>1513.3681759692133</v>
      </c>
      <c r="N897" s="6">
        <f t="shared" si="339"/>
        <v>1536.08</v>
      </c>
      <c r="O897" s="6">
        <f>Arrivals!I897</f>
        <v>1.3066516254392699</v>
      </c>
      <c r="P897" s="6">
        <f t="shared" si="340"/>
        <v>1537.3866516254393</v>
      </c>
      <c r="Q897" s="6">
        <f t="shared" si="341"/>
        <v>1148.3866516254393</v>
      </c>
      <c r="R897" s="6">
        <f t="shared" si="342"/>
        <v>1123.06</v>
      </c>
      <c r="S897" s="6">
        <f t="shared" si="343"/>
        <v>0</v>
      </c>
      <c r="T897" s="6">
        <f t="shared" si="344"/>
        <v>0</v>
      </c>
      <c r="U897" s="6">
        <f t="shared" si="345"/>
        <v>1123.06</v>
      </c>
      <c r="V897" s="6" t="str">
        <f>IF(MOD(C897-Settings!$B$32,Settings!$B$33)&lt;Settings!$B$30,"Up","Down")</f>
        <v>Up</v>
      </c>
      <c r="W897" s="6">
        <f>IF(OR(E897&gt;Settings!$B$30,Q897&gt;Settings!$B$37),0,1)</f>
        <v>0</v>
      </c>
      <c r="X897" s="6">
        <f>IF(AND(W897=1,Q897&lt;=Settings!$B$36),1,0)</f>
        <v>0</v>
      </c>
    </row>
    <row r="898" spans="1:24" x14ac:dyDescent="0.2">
      <c r="A898">
        <f>Arrivals!A898</f>
        <v>8</v>
      </c>
      <c r="B898">
        <f>Arrivals!B898</f>
        <v>53</v>
      </c>
      <c r="C898" s="6">
        <f>Arrivals!F898</f>
        <v>394</v>
      </c>
      <c r="D898" s="6">
        <f>Arrivals!K898</f>
        <v>300</v>
      </c>
      <c r="E898" s="6">
        <f>D898*8/ACE_Input!S58+ACE_Input!T58</f>
        <v>24.02</v>
      </c>
      <c r="F898" s="6">
        <f t="shared" si="335"/>
        <v>394</v>
      </c>
      <c r="G898" s="6">
        <f t="shared" si="346"/>
        <v>1536.08</v>
      </c>
      <c r="H898" s="6">
        <f t="shared" si="336"/>
        <v>1536.08</v>
      </c>
      <c r="I898" s="6">
        <f>MOD(H898-Settings!$B$32,Settings!$B$33)</f>
        <v>96.079999999999927</v>
      </c>
      <c r="J898" s="6">
        <f>IF(I898&lt;Settings!$B$30,IF(Settings!$B$30-I898&gt;=E898,H898,H898+(Settings!$B$30-I898)+Settings!$B$31),H898+(Settings!$B$33-I898))</f>
        <v>1536.08</v>
      </c>
      <c r="K898" s="6">
        <f t="shared" si="337"/>
        <v>1560.1</v>
      </c>
      <c r="L898" s="6">
        <f t="shared" si="338"/>
        <v>1560.1</v>
      </c>
      <c r="M898" s="6">
        <f t="shared" si="347"/>
        <v>1537.3866516254393</v>
      </c>
      <c r="N898" s="6">
        <f t="shared" si="339"/>
        <v>1560.1</v>
      </c>
      <c r="O898" s="6">
        <f>Arrivals!I898</f>
        <v>4.3095803067199512</v>
      </c>
      <c r="P898" s="6">
        <f t="shared" si="340"/>
        <v>1564.4095803067198</v>
      </c>
      <c r="Q898" s="6">
        <f t="shared" si="341"/>
        <v>1170.4095803067198</v>
      </c>
      <c r="R898" s="6">
        <f t="shared" si="342"/>
        <v>1142.08</v>
      </c>
      <c r="S898" s="6">
        <f t="shared" si="343"/>
        <v>0</v>
      </c>
      <c r="T898" s="6">
        <f t="shared" si="344"/>
        <v>0</v>
      </c>
      <c r="U898" s="6">
        <f t="shared" si="345"/>
        <v>1142.08</v>
      </c>
      <c r="V898" s="6" t="str">
        <f>IF(MOD(C898-Settings!$B$32,Settings!$B$33)&lt;Settings!$B$30,"Up","Down")</f>
        <v>Up</v>
      </c>
      <c r="W898" s="6">
        <f>IF(OR(E898&gt;Settings!$B$30,Q898&gt;Settings!$B$37),0,1)</f>
        <v>0</v>
      </c>
      <c r="X898" s="6">
        <f>IF(AND(W898=1,Q898&lt;=Settings!$B$36),1,0)</f>
        <v>0</v>
      </c>
    </row>
    <row r="899" spans="1:24" x14ac:dyDescent="0.2">
      <c r="A899">
        <f>Arrivals!A899</f>
        <v>8</v>
      </c>
      <c r="B899">
        <f>Arrivals!B899</f>
        <v>54</v>
      </c>
      <c r="C899" s="6">
        <f>Arrivals!F899</f>
        <v>399</v>
      </c>
      <c r="D899" s="6">
        <f>Arrivals!K899</f>
        <v>300</v>
      </c>
      <c r="E899" s="6">
        <f>D899*8/ACE_Input!S59+ACE_Input!T59</f>
        <v>24.02</v>
      </c>
      <c r="F899" s="6">
        <f t="shared" si="335"/>
        <v>399</v>
      </c>
      <c r="G899" s="6">
        <f t="shared" si="346"/>
        <v>1560.1</v>
      </c>
      <c r="H899" s="6">
        <f t="shared" si="336"/>
        <v>1560.1</v>
      </c>
      <c r="I899" s="6">
        <f>MOD(H899-Settings!$B$32,Settings!$B$33)</f>
        <v>120.09999999999991</v>
      </c>
      <c r="J899" s="6">
        <f>IF(I899&lt;Settings!$B$30,IF(Settings!$B$30-I899&gt;=E899,H899,H899+(Settings!$B$30-I899)+Settings!$B$31),H899+(Settings!$B$33-I899))</f>
        <v>1560.1</v>
      </c>
      <c r="K899" s="6">
        <f t="shared" si="337"/>
        <v>1584.12</v>
      </c>
      <c r="L899" s="6">
        <f t="shared" si="338"/>
        <v>1584.12</v>
      </c>
      <c r="M899" s="6">
        <f t="shared" si="347"/>
        <v>1564.4095803067198</v>
      </c>
      <c r="N899" s="6">
        <f t="shared" si="339"/>
        <v>1584.12</v>
      </c>
      <c r="O899" s="6">
        <f>Arrivals!I899</f>
        <v>3.0269511245882819</v>
      </c>
      <c r="P899" s="6">
        <f t="shared" si="340"/>
        <v>1587.1469511245882</v>
      </c>
      <c r="Q899" s="6">
        <f t="shared" si="341"/>
        <v>1188.1469511245882</v>
      </c>
      <c r="R899" s="6">
        <f t="shared" si="342"/>
        <v>1161.0999999999999</v>
      </c>
      <c r="S899" s="6">
        <f t="shared" si="343"/>
        <v>0</v>
      </c>
      <c r="T899" s="6">
        <f t="shared" si="344"/>
        <v>0</v>
      </c>
      <c r="U899" s="6">
        <f t="shared" si="345"/>
        <v>1161.0999999999999</v>
      </c>
      <c r="V899" s="6" t="str">
        <f>IF(MOD(C899-Settings!$B$32,Settings!$B$33)&lt;Settings!$B$30,"Up","Down")</f>
        <v>Up</v>
      </c>
      <c r="W899" s="6">
        <f>IF(OR(E899&gt;Settings!$B$30,Q899&gt;Settings!$B$37),0,1)</f>
        <v>0</v>
      </c>
      <c r="X899" s="6">
        <f>IF(AND(W899=1,Q899&lt;=Settings!$B$36),1,0)</f>
        <v>0</v>
      </c>
    </row>
    <row r="900" spans="1:24" x14ac:dyDescent="0.2">
      <c r="A900">
        <f>Arrivals!A900</f>
        <v>8</v>
      </c>
      <c r="B900">
        <f>Arrivals!B900</f>
        <v>55</v>
      </c>
      <c r="C900" s="6">
        <f>Arrivals!F900</f>
        <v>404</v>
      </c>
      <c r="D900" s="6">
        <f>Arrivals!K900</f>
        <v>300</v>
      </c>
      <c r="E900" s="6">
        <f>D900*8/ACE_Input!S60+ACE_Input!T60</f>
        <v>24.02</v>
      </c>
      <c r="F900" s="6">
        <f t="shared" si="335"/>
        <v>404</v>
      </c>
      <c r="G900" s="6">
        <f t="shared" si="346"/>
        <v>1584.12</v>
      </c>
      <c r="H900" s="6">
        <f t="shared" si="336"/>
        <v>1584.12</v>
      </c>
      <c r="I900" s="6">
        <f>MOD(H900-Settings!$B$32,Settings!$B$33)</f>
        <v>144.11999999999989</v>
      </c>
      <c r="J900" s="6">
        <f>IF(I900&lt;Settings!$B$30,IF(Settings!$B$30-I900&gt;=E900,H900,H900+(Settings!$B$30-I900)+Settings!$B$31),H900+(Settings!$B$33-I900))</f>
        <v>1584.12</v>
      </c>
      <c r="K900" s="6">
        <f t="shared" si="337"/>
        <v>1608.1399999999999</v>
      </c>
      <c r="L900" s="6">
        <f t="shared" si="338"/>
        <v>1608.1399999999999</v>
      </c>
      <c r="M900" s="6">
        <f t="shared" si="347"/>
        <v>1587.1469511245882</v>
      </c>
      <c r="N900" s="6">
        <f t="shared" si="339"/>
        <v>1608.1399999999999</v>
      </c>
      <c r="O900" s="6">
        <f>Arrivals!I900</f>
        <v>1.1359537649154776</v>
      </c>
      <c r="P900" s="6">
        <f t="shared" si="340"/>
        <v>1609.2759537649154</v>
      </c>
      <c r="Q900" s="6">
        <f t="shared" si="341"/>
        <v>1205.2759537649154</v>
      </c>
      <c r="R900" s="6">
        <f t="shared" si="342"/>
        <v>1180.1199999999999</v>
      </c>
      <c r="S900" s="6">
        <f t="shared" si="343"/>
        <v>0</v>
      </c>
      <c r="T900" s="6">
        <f t="shared" si="344"/>
        <v>0</v>
      </c>
      <c r="U900" s="6">
        <f t="shared" si="345"/>
        <v>1180.1199999999999</v>
      </c>
      <c r="V900" s="6" t="str">
        <f>IF(MOD(C900-Settings!$B$32,Settings!$B$33)&lt;Settings!$B$30,"Up","Down")</f>
        <v>Up</v>
      </c>
      <c r="W900" s="6">
        <f>IF(OR(E900&gt;Settings!$B$30,Q900&gt;Settings!$B$37),0,1)</f>
        <v>0</v>
      </c>
      <c r="X900" s="6">
        <f>IF(AND(W900=1,Q900&lt;=Settings!$B$36),1,0)</f>
        <v>0</v>
      </c>
    </row>
    <row r="901" spans="1:24" x14ac:dyDescent="0.2">
      <c r="A901">
        <f>Arrivals!A901</f>
        <v>8</v>
      </c>
      <c r="B901">
        <f>Arrivals!B901</f>
        <v>56</v>
      </c>
      <c r="C901" s="6">
        <f>Arrivals!F901</f>
        <v>409</v>
      </c>
      <c r="D901" s="6">
        <f>Arrivals!K901</f>
        <v>300</v>
      </c>
      <c r="E901" s="6">
        <f>D901*8/ACE_Input!S61+ACE_Input!T61</f>
        <v>24.02</v>
      </c>
      <c r="F901" s="6">
        <f t="shared" si="335"/>
        <v>409</v>
      </c>
      <c r="G901" s="6">
        <f t="shared" si="346"/>
        <v>1608.1399999999999</v>
      </c>
      <c r="H901" s="6">
        <f t="shared" si="336"/>
        <v>1608.1399999999999</v>
      </c>
      <c r="I901" s="6">
        <f>MOD(H901-Settings!$B$32,Settings!$B$33)</f>
        <v>168.13999999999987</v>
      </c>
      <c r="J901" s="6">
        <f>IF(I901&lt;Settings!$B$30,IF(Settings!$B$30-I901&gt;=E901,H901,H901+(Settings!$B$30-I901)+Settings!$B$31),H901+(Settings!$B$33-I901))</f>
        <v>1608.1399999999999</v>
      </c>
      <c r="K901" s="6">
        <f t="shared" si="337"/>
        <v>1632.1599999999999</v>
      </c>
      <c r="L901" s="6">
        <f t="shared" si="338"/>
        <v>1632.1599999999999</v>
      </c>
      <c r="M901" s="6">
        <f t="shared" si="347"/>
        <v>1609.2759537649154</v>
      </c>
      <c r="N901" s="6">
        <f t="shared" si="339"/>
        <v>1632.1599999999999</v>
      </c>
      <c r="O901" s="6">
        <f>Arrivals!I901</f>
        <v>0.44266674840038583</v>
      </c>
      <c r="P901" s="6">
        <f t="shared" si="340"/>
        <v>1632.6026667484002</v>
      </c>
      <c r="Q901" s="6">
        <f t="shared" si="341"/>
        <v>1223.6026667484002</v>
      </c>
      <c r="R901" s="6">
        <f t="shared" si="342"/>
        <v>1199.1399999999999</v>
      </c>
      <c r="S901" s="6">
        <f t="shared" si="343"/>
        <v>0</v>
      </c>
      <c r="T901" s="6">
        <f t="shared" si="344"/>
        <v>0</v>
      </c>
      <c r="U901" s="6">
        <f t="shared" si="345"/>
        <v>1199.1399999999999</v>
      </c>
      <c r="V901" s="6" t="str">
        <f>IF(MOD(C901-Settings!$B$32,Settings!$B$33)&lt;Settings!$B$30,"Up","Down")</f>
        <v>Up</v>
      </c>
      <c r="W901" s="6">
        <f>IF(OR(E901&gt;Settings!$B$30,Q901&gt;Settings!$B$37),0,1)</f>
        <v>0</v>
      </c>
      <c r="X901" s="6">
        <f>IF(AND(W901=1,Q901&lt;=Settings!$B$36),1,0)</f>
        <v>0</v>
      </c>
    </row>
    <row r="902" spans="1:24" x14ac:dyDescent="0.2">
      <c r="A902">
        <f>Arrivals!A902</f>
        <v>8</v>
      </c>
      <c r="B902">
        <f>Arrivals!B902</f>
        <v>57</v>
      </c>
      <c r="C902" s="6">
        <f>Arrivals!F902</f>
        <v>414</v>
      </c>
      <c r="D902" s="6">
        <f>Arrivals!K902</f>
        <v>300</v>
      </c>
      <c r="E902" s="6">
        <f>D902*8/ACE_Input!S62+ACE_Input!T62</f>
        <v>24.02</v>
      </c>
      <c r="F902" s="6">
        <f t="shared" si="335"/>
        <v>414</v>
      </c>
      <c r="G902" s="6">
        <f t="shared" si="346"/>
        <v>1632.1599999999999</v>
      </c>
      <c r="H902" s="6">
        <f t="shared" si="336"/>
        <v>1632.1599999999999</v>
      </c>
      <c r="I902" s="6">
        <f>MOD(H902-Settings!$B$32,Settings!$B$33)</f>
        <v>192.15999999999985</v>
      </c>
      <c r="J902" s="6">
        <f>IF(I902&lt;Settings!$B$30,IF(Settings!$B$30-I902&gt;=E902,H902,H902+(Settings!$B$30-I902)+Settings!$B$31),H902+(Settings!$B$33-I902))</f>
        <v>1632.1599999999999</v>
      </c>
      <c r="K902" s="6">
        <f t="shared" si="337"/>
        <v>1656.1799999999998</v>
      </c>
      <c r="L902" s="6">
        <f t="shared" si="338"/>
        <v>1656.1799999999998</v>
      </c>
      <c r="M902" s="6">
        <f t="shared" si="347"/>
        <v>1632.6026667484002</v>
      </c>
      <c r="N902" s="6">
        <f t="shared" si="339"/>
        <v>1656.1799999999998</v>
      </c>
      <c r="O902" s="6">
        <f>Arrivals!I902</f>
        <v>5.5479511227253289</v>
      </c>
      <c r="P902" s="6">
        <f t="shared" si="340"/>
        <v>1661.7279511227252</v>
      </c>
      <c r="Q902" s="6">
        <f t="shared" si="341"/>
        <v>1247.7279511227252</v>
      </c>
      <c r="R902" s="6">
        <f t="shared" si="342"/>
        <v>1218.1599999999999</v>
      </c>
      <c r="S902" s="6">
        <f t="shared" si="343"/>
        <v>0</v>
      </c>
      <c r="T902" s="6">
        <f t="shared" si="344"/>
        <v>0</v>
      </c>
      <c r="U902" s="6">
        <f t="shared" si="345"/>
        <v>1218.1599999999999</v>
      </c>
      <c r="V902" s="6" t="str">
        <f>IF(MOD(C902-Settings!$B$32,Settings!$B$33)&lt;Settings!$B$30,"Up","Down")</f>
        <v>Up</v>
      </c>
      <c r="W902" s="6">
        <f>IF(OR(E902&gt;Settings!$B$30,Q902&gt;Settings!$B$37),0,1)</f>
        <v>0</v>
      </c>
      <c r="X902" s="6">
        <f>IF(AND(W902=1,Q902&lt;=Settings!$B$36),1,0)</f>
        <v>0</v>
      </c>
    </row>
    <row r="903" spans="1:24" x14ac:dyDescent="0.2">
      <c r="A903">
        <f>Arrivals!A903</f>
        <v>8</v>
      </c>
      <c r="B903">
        <f>Arrivals!B903</f>
        <v>58</v>
      </c>
      <c r="C903" s="6">
        <f>Arrivals!F903</f>
        <v>419</v>
      </c>
      <c r="D903" s="6">
        <f>Arrivals!K903</f>
        <v>300</v>
      </c>
      <c r="E903" s="6">
        <f>D903*8/ACE_Input!S63+ACE_Input!T63</f>
        <v>24.02</v>
      </c>
      <c r="F903" s="6">
        <f t="shared" si="335"/>
        <v>419</v>
      </c>
      <c r="G903" s="6">
        <f t="shared" si="346"/>
        <v>1656.1799999999998</v>
      </c>
      <c r="H903" s="6">
        <f t="shared" si="336"/>
        <v>1656.1799999999998</v>
      </c>
      <c r="I903" s="6">
        <f>MOD(H903-Settings!$B$32,Settings!$B$33)</f>
        <v>216.17999999999984</v>
      </c>
      <c r="J903" s="6">
        <f>IF(I903&lt;Settings!$B$30,IF(Settings!$B$30-I903&gt;=E903,H903,H903+(Settings!$B$30-I903)+Settings!$B$31),H903+(Settings!$B$33-I903))</f>
        <v>1656.1799999999998</v>
      </c>
      <c r="K903" s="6">
        <f t="shared" si="337"/>
        <v>1680.1999999999998</v>
      </c>
      <c r="L903" s="6">
        <f t="shared" si="338"/>
        <v>1680.1999999999998</v>
      </c>
      <c r="M903" s="6">
        <f t="shared" si="347"/>
        <v>1661.7279511227252</v>
      </c>
      <c r="N903" s="6">
        <f t="shared" si="339"/>
        <v>1680.1999999999998</v>
      </c>
      <c r="O903" s="6">
        <f>Arrivals!I903</f>
        <v>0.70964991494601448</v>
      </c>
      <c r="P903" s="6">
        <f t="shared" si="340"/>
        <v>1680.9096499149459</v>
      </c>
      <c r="Q903" s="6">
        <f t="shared" si="341"/>
        <v>1261.9096499149459</v>
      </c>
      <c r="R903" s="6">
        <f t="shared" si="342"/>
        <v>1237.1799999999998</v>
      </c>
      <c r="S903" s="6">
        <f t="shared" si="343"/>
        <v>0</v>
      </c>
      <c r="T903" s="6">
        <f t="shared" si="344"/>
        <v>0</v>
      </c>
      <c r="U903" s="6">
        <f t="shared" si="345"/>
        <v>1237.1799999999998</v>
      </c>
      <c r="V903" s="6" t="str">
        <f>IF(MOD(C903-Settings!$B$32,Settings!$B$33)&lt;Settings!$B$30,"Up","Down")</f>
        <v>Up</v>
      </c>
      <c r="W903" s="6">
        <f>IF(OR(E903&gt;Settings!$B$30,Q903&gt;Settings!$B$37),0,1)</f>
        <v>0</v>
      </c>
      <c r="X903" s="6">
        <f>IF(AND(W903=1,Q903&lt;=Settings!$B$36),1,0)</f>
        <v>0</v>
      </c>
    </row>
    <row r="904" spans="1:24" x14ac:dyDescent="0.2">
      <c r="A904">
        <f>Arrivals!A904</f>
        <v>8</v>
      </c>
      <c r="B904">
        <f>Arrivals!B904</f>
        <v>59</v>
      </c>
      <c r="C904" s="6">
        <f>Arrivals!F904</f>
        <v>424</v>
      </c>
      <c r="D904" s="6">
        <f>Arrivals!K904</f>
        <v>300</v>
      </c>
      <c r="E904" s="6">
        <f>D904*8/ACE_Input!S64+ACE_Input!T64</f>
        <v>24.02</v>
      </c>
      <c r="F904" s="6">
        <f t="shared" si="335"/>
        <v>424</v>
      </c>
      <c r="G904" s="6">
        <f t="shared" si="346"/>
        <v>1680.1999999999998</v>
      </c>
      <c r="H904" s="6">
        <f t="shared" si="336"/>
        <v>1680.1999999999998</v>
      </c>
      <c r="I904" s="6">
        <f>MOD(H904-Settings!$B$32,Settings!$B$33)</f>
        <v>240.19999999999982</v>
      </c>
      <c r="J904" s="6">
        <f>IF(I904&lt;Settings!$B$30,IF(Settings!$B$30-I904&gt;=E904,H904,H904+(Settings!$B$30-I904)+Settings!$B$31),H904+(Settings!$B$33-I904))</f>
        <v>1680.1999999999998</v>
      </c>
      <c r="K904" s="6">
        <f t="shared" si="337"/>
        <v>1704.2199999999998</v>
      </c>
      <c r="L904" s="6">
        <f t="shared" si="338"/>
        <v>1704.2199999999998</v>
      </c>
      <c r="M904" s="6">
        <f t="shared" si="347"/>
        <v>1680.9096499149459</v>
      </c>
      <c r="N904" s="6">
        <f t="shared" si="339"/>
        <v>1704.2199999999998</v>
      </c>
      <c r="O904" s="6">
        <f>Arrivals!I904</f>
        <v>1.1077464806439887</v>
      </c>
      <c r="P904" s="6">
        <f t="shared" si="340"/>
        <v>1705.3277464806438</v>
      </c>
      <c r="Q904" s="6">
        <f t="shared" si="341"/>
        <v>1281.3277464806438</v>
      </c>
      <c r="R904" s="6">
        <f t="shared" si="342"/>
        <v>1256.1999999999998</v>
      </c>
      <c r="S904" s="6">
        <f t="shared" si="343"/>
        <v>0</v>
      </c>
      <c r="T904" s="6">
        <f t="shared" si="344"/>
        <v>0</v>
      </c>
      <c r="U904" s="6">
        <f t="shared" si="345"/>
        <v>1256.1999999999998</v>
      </c>
      <c r="V904" s="6" t="str">
        <f>IF(MOD(C904-Settings!$B$32,Settings!$B$33)&lt;Settings!$B$30,"Up","Down")</f>
        <v>Up</v>
      </c>
      <c r="W904" s="6">
        <f>IF(OR(E904&gt;Settings!$B$30,Q904&gt;Settings!$B$37),0,1)</f>
        <v>0</v>
      </c>
      <c r="X904" s="6">
        <f>IF(AND(W904=1,Q904&lt;=Settings!$B$36),1,0)</f>
        <v>0</v>
      </c>
    </row>
    <row r="905" spans="1:24" x14ac:dyDescent="0.2">
      <c r="A905">
        <f>Arrivals!A905</f>
        <v>8</v>
      </c>
      <c r="B905">
        <f>Arrivals!B905</f>
        <v>60</v>
      </c>
      <c r="C905" s="6">
        <f>Arrivals!F905</f>
        <v>429</v>
      </c>
      <c r="D905" s="6">
        <f>Arrivals!K905</f>
        <v>300</v>
      </c>
      <c r="E905" s="6">
        <f>D905*8/ACE_Input!S65+ACE_Input!T65</f>
        <v>24.02</v>
      </c>
      <c r="F905" s="6">
        <f t="shared" si="335"/>
        <v>429</v>
      </c>
      <c r="G905" s="6">
        <f t="shared" si="346"/>
        <v>1704.2199999999998</v>
      </c>
      <c r="H905" s="6">
        <f t="shared" si="336"/>
        <v>1704.2199999999998</v>
      </c>
      <c r="I905" s="6">
        <f>MOD(H905-Settings!$B$32,Settings!$B$33)</f>
        <v>264.2199999999998</v>
      </c>
      <c r="J905" s="6">
        <f>IF(I905&lt;Settings!$B$30,IF(Settings!$B$30-I905&gt;=E905,H905,H905+(Settings!$B$30-I905)+Settings!$B$31),H905+(Settings!$B$33-I905))</f>
        <v>1704.2199999999998</v>
      </c>
      <c r="K905" s="6">
        <f t="shared" si="337"/>
        <v>1728.2399999999998</v>
      </c>
      <c r="L905" s="6">
        <f t="shared" si="338"/>
        <v>1728.2399999999998</v>
      </c>
      <c r="M905" s="6">
        <f t="shared" si="347"/>
        <v>1705.3277464806438</v>
      </c>
      <c r="N905" s="6">
        <f t="shared" si="339"/>
        <v>1728.2399999999998</v>
      </c>
      <c r="O905" s="6">
        <f>Arrivals!I905</f>
        <v>3.3809337667154478</v>
      </c>
      <c r="P905" s="6">
        <f t="shared" si="340"/>
        <v>1731.6209337667153</v>
      </c>
      <c r="Q905" s="6">
        <f t="shared" si="341"/>
        <v>1302.6209337667153</v>
      </c>
      <c r="R905" s="6">
        <f t="shared" si="342"/>
        <v>1275.2199999999998</v>
      </c>
      <c r="S905" s="6">
        <f t="shared" si="343"/>
        <v>0</v>
      </c>
      <c r="T905" s="6">
        <f t="shared" si="344"/>
        <v>0</v>
      </c>
      <c r="U905" s="6">
        <f t="shared" si="345"/>
        <v>1275.2199999999998</v>
      </c>
      <c r="V905" s="6" t="str">
        <f>IF(MOD(C905-Settings!$B$32,Settings!$B$33)&lt;Settings!$B$30,"Up","Down")</f>
        <v>Up</v>
      </c>
      <c r="W905" s="6">
        <f>IF(OR(E905&gt;Settings!$B$30,Q905&gt;Settings!$B$37),0,1)</f>
        <v>0</v>
      </c>
      <c r="X905" s="6">
        <f>IF(AND(W905=1,Q905&lt;=Settings!$B$36),1,0)</f>
        <v>0</v>
      </c>
    </row>
    <row r="906" spans="1:24" x14ac:dyDescent="0.2">
      <c r="A906">
        <f>Arrivals!A906</f>
        <v>8</v>
      </c>
      <c r="B906">
        <f>Arrivals!B906</f>
        <v>61</v>
      </c>
      <c r="C906" s="6">
        <f>Arrivals!F906</f>
        <v>434</v>
      </c>
      <c r="D906" s="6">
        <f>Arrivals!K906</f>
        <v>300</v>
      </c>
      <c r="E906" s="6">
        <f>D906*8/ACE_Input!S66+ACE_Input!T66</f>
        <v>24.02</v>
      </c>
      <c r="F906" s="6">
        <f t="shared" si="335"/>
        <v>434</v>
      </c>
      <c r="G906" s="6">
        <f t="shared" si="346"/>
        <v>1728.2399999999998</v>
      </c>
      <c r="H906" s="6">
        <f t="shared" si="336"/>
        <v>1728.2399999999998</v>
      </c>
      <c r="I906" s="6">
        <f>MOD(H906-Settings!$B$32,Settings!$B$33)</f>
        <v>288.23999999999978</v>
      </c>
      <c r="J906" s="6">
        <f>IF(I906&lt;Settings!$B$30,IF(Settings!$B$30-I906&gt;=E906,H906,H906+(Settings!$B$30-I906)+Settings!$B$31),H906+(Settings!$B$33-I906))</f>
        <v>1728.2399999999998</v>
      </c>
      <c r="K906" s="6">
        <f t="shared" si="337"/>
        <v>1752.2599999999998</v>
      </c>
      <c r="L906" s="6">
        <f t="shared" si="338"/>
        <v>1752.2599999999998</v>
      </c>
      <c r="M906" s="6">
        <f t="shared" si="347"/>
        <v>1731.6209337667153</v>
      </c>
      <c r="N906" s="6">
        <f t="shared" si="339"/>
        <v>1752.2599999999998</v>
      </c>
      <c r="O906" s="6">
        <f>Arrivals!I906</f>
        <v>0.48700993069976817</v>
      </c>
      <c r="P906" s="6">
        <f t="shared" si="340"/>
        <v>1752.7470099306995</v>
      </c>
      <c r="Q906" s="6">
        <f t="shared" si="341"/>
        <v>1318.7470099306995</v>
      </c>
      <c r="R906" s="6">
        <f t="shared" si="342"/>
        <v>1294.2399999999998</v>
      </c>
      <c r="S906" s="6">
        <f t="shared" si="343"/>
        <v>0</v>
      </c>
      <c r="T906" s="6">
        <f t="shared" si="344"/>
        <v>0</v>
      </c>
      <c r="U906" s="6">
        <f t="shared" si="345"/>
        <v>1294.2399999999998</v>
      </c>
      <c r="V906" s="6" t="str">
        <f>IF(MOD(C906-Settings!$B$32,Settings!$B$33)&lt;Settings!$B$30,"Up","Down")</f>
        <v>Up</v>
      </c>
      <c r="W906" s="6">
        <f>IF(OR(E906&gt;Settings!$B$30,Q906&gt;Settings!$B$37),0,1)</f>
        <v>0</v>
      </c>
      <c r="X906" s="6">
        <f>IF(AND(W906=1,Q906&lt;=Settings!$B$36),1,0)</f>
        <v>0</v>
      </c>
    </row>
    <row r="907" spans="1:24" x14ac:dyDescent="0.2">
      <c r="A907">
        <f>Arrivals!A907</f>
        <v>8</v>
      </c>
      <c r="B907">
        <f>Arrivals!B907</f>
        <v>62</v>
      </c>
      <c r="C907" s="6">
        <f>Arrivals!F907</f>
        <v>439</v>
      </c>
      <c r="D907" s="6">
        <f>Arrivals!K907</f>
        <v>300</v>
      </c>
      <c r="E907" s="6">
        <f>D907*8/ACE_Input!S67+ACE_Input!T67</f>
        <v>24.02</v>
      </c>
      <c r="F907" s="6">
        <f t="shared" si="335"/>
        <v>439</v>
      </c>
      <c r="G907" s="6">
        <f t="shared" si="346"/>
        <v>1752.2599999999998</v>
      </c>
      <c r="H907" s="6">
        <f t="shared" si="336"/>
        <v>1752.2599999999998</v>
      </c>
      <c r="I907" s="6">
        <f>MOD(H907-Settings!$B$32,Settings!$B$33)</f>
        <v>312.25999999999976</v>
      </c>
      <c r="J907" s="6">
        <f>IF(I907&lt;Settings!$B$30,IF(Settings!$B$30-I907&gt;=E907,H907,H907+(Settings!$B$30-I907)+Settings!$B$31),H907+(Settings!$B$33-I907))</f>
        <v>1752.2599999999998</v>
      </c>
      <c r="K907" s="6">
        <f t="shared" si="337"/>
        <v>1776.2799999999997</v>
      </c>
      <c r="L907" s="6">
        <f t="shared" si="338"/>
        <v>1776.2799999999997</v>
      </c>
      <c r="M907" s="6">
        <f t="shared" si="347"/>
        <v>1752.7470099306995</v>
      </c>
      <c r="N907" s="6">
        <f t="shared" si="339"/>
        <v>1776.2799999999997</v>
      </c>
      <c r="O907" s="6">
        <f>Arrivals!I907</f>
        <v>3.9627281800242811</v>
      </c>
      <c r="P907" s="6">
        <f t="shared" si="340"/>
        <v>1780.242728180024</v>
      </c>
      <c r="Q907" s="6">
        <f t="shared" si="341"/>
        <v>1341.242728180024</v>
      </c>
      <c r="R907" s="6">
        <f t="shared" si="342"/>
        <v>1313.2599999999998</v>
      </c>
      <c r="S907" s="6">
        <f t="shared" si="343"/>
        <v>0</v>
      </c>
      <c r="T907" s="6">
        <f t="shared" si="344"/>
        <v>0</v>
      </c>
      <c r="U907" s="6">
        <f t="shared" si="345"/>
        <v>1313.2599999999998</v>
      </c>
      <c r="V907" s="6" t="str">
        <f>IF(MOD(C907-Settings!$B$32,Settings!$B$33)&lt;Settings!$B$30,"Up","Down")</f>
        <v>Up</v>
      </c>
      <c r="W907" s="6">
        <f>IF(OR(E907&gt;Settings!$B$30,Q907&gt;Settings!$B$37),0,1)</f>
        <v>0</v>
      </c>
      <c r="X907" s="6">
        <f>IF(AND(W907=1,Q907&lt;=Settings!$B$36),1,0)</f>
        <v>0</v>
      </c>
    </row>
    <row r="908" spans="1:24" x14ac:dyDescent="0.2">
      <c r="A908">
        <f>Arrivals!A908</f>
        <v>8</v>
      </c>
      <c r="B908">
        <f>Arrivals!B908</f>
        <v>63</v>
      </c>
      <c r="C908" s="6">
        <f>Arrivals!F908</f>
        <v>444</v>
      </c>
      <c r="D908" s="6">
        <f>Arrivals!K908</f>
        <v>300</v>
      </c>
      <c r="E908" s="6">
        <f>D908*8/ACE_Input!S68+ACE_Input!T68</f>
        <v>24.02</v>
      </c>
      <c r="F908" s="6">
        <f t="shared" si="335"/>
        <v>444</v>
      </c>
      <c r="G908" s="6">
        <f t="shared" si="346"/>
        <v>1776.2799999999997</v>
      </c>
      <c r="H908" s="6">
        <f t="shared" si="336"/>
        <v>1776.2799999999997</v>
      </c>
      <c r="I908" s="6">
        <f>MOD(H908-Settings!$B$32,Settings!$B$33)</f>
        <v>336.27999999999975</v>
      </c>
      <c r="J908" s="6">
        <f>IF(I908&lt;Settings!$B$30,IF(Settings!$B$30-I908&gt;=E908,H908,H908+(Settings!$B$30-I908)+Settings!$B$31),H908+(Settings!$B$33-I908))</f>
        <v>1776.2799999999997</v>
      </c>
      <c r="K908" s="6">
        <f t="shared" si="337"/>
        <v>1800.2999999999997</v>
      </c>
      <c r="L908" s="6">
        <f t="shared" si="338"/>
        <v>1800.2999999999997</v>
      </c>
      <c r="M908" s="6">
        <f t="shared" si="347"/>
        <v>1780.242728180024</v>
      </c>
      <c r="N908" s="6">
        <f t="shared" si="339"/>
        <v>1800.2999999999997</v>
      </c>
      <c r="O908" s="6">
        <f>Arrivals!I908</f>
        <v>0.73825866474316582</v>
      </c>
      <c r="P908" s="6">
        <f t="shared" si="340"/>
        <v>1801.0382586647429</v>
      </c>
      <c r="Q908" s="6">
        <f t="shared" si="341"/>
        <v>1357.0382586647429</v>
      </c>
      <c r="R908" s="6">
        <f t="shared" si="342"/>
        <v>1332.2799999999997</v>
      </c>
      <c r="S908" s="6">
        <f t="shared" si="343"/>
        <v>0</v>
      </c>
      <c r="T908" s="6">
        <f t="shared" si="344"/>
        <v>0</v>
      </c>
      <c r="U908" s="6">
        <f t="shared" si="345"/>
        <v>1332.2799999999997</v>
      </c>
      <c r="V908" s="6" t="str">
        <f>IF(MOD(C908-Settings!$B$32,Settings!$B$33)&lt;Settings!$B$30,"Up","Down")</f>
        <v>Up</v>
      </c>
      <c r="W908" s="6">
        <f>IF(OR(E908&gt;Settings!$B$30,Q908&gt;Settings!$B$37),0,1)</f>
        <v>0</v>
      </c>
      <c r="X908" s="6">
        <f>IF(AND(W908=1,Q908&lt;=Settings!$B$36),1,0)</f>
        <v>0</v>
      </c>
    </row>
    <row r="909" spans="1:24" x14ac:dyDescent="0.2">
      <c r="A909">
        <f>Arrivals!A909</f>
        <v>8</v>
      </c>
      <c r="B909">
        <f>Arrivals!B909</f>
        <v>64</v>
      </c>
      <c r="C909" s="6">
        <f>Arrivals!F909</f>
        <v>449</v>
      </c>
      <c r="D909" s="6">
        <f>Arrivals!K909</f>
        <v>300</v>
      </c>
      <c r="E909" s="6">
        <f>D909*8/ACE_Input!S69+ACE_Input!T69</f>
        <v>24.02</v>
      </c>
      <c r="F909" s="6">
        <f t="shared" si="335"/>
        <v>449</v>
      </c>
      <c r="G909" s="6">
        <f t="shared" si="346"/>
        <v>1800.2999999999997</v>
      </c>
      <c r="H909" s="6">
        <f t="shared" si="336"/>
        <v>1800.2999999999997</v>
      </c>
      <c r="I909" s="6">
        <f>MOD(H909-Settings!$B$32,Settings!$B$33)</f>
        <v>360.29999999999973</v>
      </c>
      <c r="J909" s="6">
        <f>IF(I909&lt;Settings!$B$30,IF(Settings!$B$30-I909&gt;=E909,H909,H909+(Settings!$B$30-I909)+Settings!$B$31),H909+(Settings!$B$33-I909))</f>
        <v>1800.2999999999997</v>
      </c>
      <c r="K909" s="6">
        <f t="shared" si="337"/>
        <v>1824.3199999999997</v>
      </c>
      <c r="L909" s="6">
        <f t="shared" si="338"/>
        <v>1824.3199999999997</v>
      </c>
      <c r="M909" s="6">
        <f t="shared" si="347"/>
        <v>1801.0382586647429</v>
      </c>
      <c r="N909" s="6">
        <f t="shared" si="339"/>
        <v>1824.3199999999997</v>
      </c>
      <c r="O909" s="6">
        <f>Arrivals!I909</f>
        <v>3.1769458528854626</v>
      </c>
      <c r="P909" s="6">
        <f t="shared" si="340"/>
        <v>1827.4969458528851</v>
      </c>
      <c r="Q909" s="6">
        <f t="shared" si="341"/>
        <v>1378.4969458528851</v>
      </c>
      <c r="R909" s="6">
        <f t="shared" si="342"/>
        <v>1351.2999999999997</v>
      </c>
      <c r="S909" s="6">
        <f t="shared" si="343"/>
        <v>0</v>
      </c>
      <c r="T909" s="6">
        <f t="shared" si="344"/>
        <v>0</v>
      </c>
      <c r="U909" s="6">
        <f t="shared" si="345"/>
        <v>1351.2999999999997</v>
      </c>
      <c r="V909" s="6" t="str">
        <f>IF(MOD(C909-Settings!$B$32,Settings!$B$33)&lt;Settings!$B$30,"Up","Down")</f>
        <v>Up</v>
      </c>
      <c r="W909" s="6">
        <f>IF(OR(E909&gt;Settings!$B$30,Q909&gt;Settings!$B$37),0,1)</f>
        <v>0</v>
      </c>
      <c r="X909" s="6">
        <f>IF(AND(W909=1,Q909&lt;=Settings!$B$36),1,0)</f>
        <v>0</v>
      </c>
    </row>
    <row r="910" spans="1:24" x14ac:dyDescent="0.2">
      <c r="A910">
        <f>Arrivals!A910</f>
        <v>8</v>
      </c>
      <c r="B910">
        <f>Arrivals!B910</f>
        <v>65</v>
      </c>
      <c r="C910" s="6">
        <f>Arrivals!F910</f>
        <v>454</v>
      </c>
      <c r="D910" s="6">
        <f>Arrivals!K910</f>
        <v>300</v>
      </c>
      <c r="E910" s="6">
        <f>D910*8/ACE_Input!S70+ACE_Input!T70</f>
        <v>24.02</v>
      </c>
      <c r="F910" s="6">
        <f t="shared" ref="F910:F945" si="348">C910</f>
        <v>454</v>
      </c>
      <c r="G910" s="6">
        <f t="shared" si="346"/>
        <v>1824.3199999999997</v>
      </c>
      <c r="H910" s="6">
        <f t="shared" ref="H910:H941" si="349">MAX(F910,G910)</f>
        <v>1824.3199999999997</v>
      </c>
      <c r="I910" s="6">
        <f>MOD(H910-Settings!$B$32,Settings!$B$33)</f>
        <v>384.31999999999971</v>
      </c>
      <c r="J910" s="6">
        <f>IF(I910&lt;Settings!$B$30,IF(Settings!$B$30-I910&gt;=E910,H910,H910+(Settings!$B$30-I910)+Settings!$B$31),H910+(Settings!$B$33-I910))</f>
        <v>1824.3199999999997</v>
      </c>
      <c r="K910" s="6">
        <f t="shared" ref="K910:K941" si="350">J910+E910</f>
        <v>1848.3399999999997</v>
      </c>
      <c r="L910" s="6">
        <f t="shared" ref="L910:L941" si="351">K910</f>
        <v>1848.3399999999997</v>
      </c>
      <c r="M910" s="6">
        <f t="shared" si="347"/>
        <v>1827.4969458528851</v>
      </c>
      <c r="N910" s="6">
        <f t="shared" ref="N910:N941" si="352">MAX(L910,M910)</f>
        <v>1848.3399999999997</v>
      </c>
      <c r="O910" s="6">
        <f>Arrivals!I910</f>
        <v>2.5922129326807797</v>
      </c>
      <c r="P910" s="6">
        <f t="shared" ref="P910:P941" si="353">N910+O910</f>
        <v>1850.9322129326804</v>
      </c>
      <c r="Q910" s="6">
        <f t="shared" ref="Q910:Q941" si="354">P910-C910</f>
        <v>1396.9322129326804</v>
      </c>
      <c r="R910" s="6">
        <f t="shared" ref="R910:R945" si="355">H910-F910</f>
        <v>1370.3199999999997</v>
      </c>
      <c r="S910" s="6">
        <f t="shared" ref="S910:S945" si="356">J910-H910</f>
        <v>0</v>
      </c>
      <c r="T910" s="6">
        <f t="shared" ref="T910:T945" si="357">N910-L910</f>
        <v>0</v>
      </c>
      <c r="U910" s="6">
        <f t="shared" ref="U910:U941" si="358">R910+S910+T910</f>
        <v>1370.3199999999997</v>
      </c>
      <c r="V910" s="6" t="str">
        <f>IF(MOD(C910-Settings!$B$32,Settings!$B$33)&lt;Settings!$B$30,"Up","Down")</f>
        <v>Up</v>
      </c>
      <c r="W910" s="6">
        <f>IF(OR(E910&gt;Settings!$B$30,Q910&gt;Settings!$B$37),0,1)</f>
        <v>0</v>
      </c>
      <c r="X910" s="6">
        <f>IF(AND(W910=1,Q910&lt;=Settings!$B$36),1,0)</f>
        <v>0</v>
      </c>
    </row>
    <row r="911" spans="1:24" x14ac:dyDescent="0.2">
      <c r="A911">
        <f>Arrivals!A911</f>
        <v>8</v>
      </c>
      <c r="B911">
        <f>Arrivals!B911</f>
        <v>66</v>
      </c>
      <c r="C911" s="6">
        <f>Arrivals!F911</f>
        <v>459</v>
      </c>
      <c r="D911" s="6">
        <f>Arrivals!K911</f>
        <v>300</v>
      </c>
      <c r="E911" s="6">
        <f>D911*8/ACE_Input!S71+ACE_Input!T71</f>
        <v>24.02</v>
      </c>
      <c r="F911" s="6">
        <f t="shared" si="348"/>
        <v>459</v>
      </c>
      <c r="G911" s="6">
        <f t="shared" ref="G911:G945" si="359">K910</f>
        <v>1848.3399999999997</v>
      </c>
      <c r="H911" s="6">
        <f t="shared" si="349"/>
        <v>1848.3399999999997</v>
      </c>
      <c r="I911" s="6">
        <f>MOD(H911-Settings!$B$32,Settings!$B$33)</f>
        <v>408.33999999999969</v>
      </c>
      <c r="J911" s="6">
        <f>IF(I911&lt;Settings!$B$30,IF(Settings!$B$30-I911&gt;=E911,H911,H911+(Settings!$B$30-I911)+Settings!$B$31),H911+(Settings!$B$33-I911))</f>
        <v>1848.3399999999997</v>
      </c>
      <c r="K911" s="6">
        <f t="shared" si="350"/>
        <v>1872.3599999999997</v>
      </c>
      <c r="L911" s="6">
        <f t="shared" si="351"/>
        <v>1872.3599999999997</v>
      </c>
      <c r="M911" s="6">
        <f t="shared" ref="M911:M945" si="360">P910</f>
        <v>1850.9322129326804</v>
      </c>
      <c r="N911" s="6">
        <f t="shared" si="352"/>
        <v>1872.3599999999997</v>
      </c>
      <c r="O911" s="6">
        <f>Arrivals!I911</f>
        <v>8.4483608522570766</v>
      </c>
      <c r="P911" s="6">
        <f t="shared" si="353"/>
        <v>1880.8083608522568</v>
      </c>
      <c r="Q911" s="6">
        <f t="shared" si="354"/>
        <v>1421.8083608522568</v>
      </c>
      <c r="R911" s="6">
        <f t="shared" si="355"/>
        <v>1389.3399999999997</v>
      </c>
      <c r="S911" s="6">
        <f t="shared" si="356"/>
        <v>0</v>
      </c>
      <c r="T911" s="6">
        <f t="shared" si="357"/>
        <v>0</v>
      </c>
      <c r="U911" s="6">
        <f t="shared" si="358"/>
        <v>1389.3399999999997</v>
      </c>
      <c r="V911" s="6" t="str">
        <f>IF(MOD(C911-Settings!$B$32,Settings!$B$33)&lt;Settings!$B$30,"Up","Down")</f>
        <v>Up</v>
      </c>
      <c r="W911" s="6">
        <f>IF(OR(E911&gt;Settings!$B$30,Q911&gt;Settings!$B$37),0,1)</f>
        <v>0</v>
      </c>
      <c r="X911" s="6">
        <f>IF(AND(W911=1,Q911&lt;=Settings!$B$36),1,0)</f>
        <v>0</v>
      </c>
    </row>
    <row r="912" spans="1:24" x14ac:dyDescent="0.2">
      <c r="A912">
        <f>Arrivals!A912</f>
        <v>8</v>
      </c>
      <c r="B912">
        <f>Arrivals!B912</f>
        <v>67</v>
      </c>
      <c r="C912" s="6">
        <f>Arrivals!F912</f>
        <v>474</v>
      </c>
      <c r="D912" s="6">
        <f>Arrivals!K912</f>
        <v>300</v>
      </c>
      <c r="E912" s="6">
        <f>D912*8/ACE_Input!S72+ACE_Input!T72</f>
        <v>24.02</v>
      </c>
      <c r="F912" s="6">
        <f t="shared" si="348"/>
        <v>474</v>
      </c>
      <c r="G912" s="6">
        <f t="shared" si="359"/>
        <v>1872.3599999999997</v>
      </c>
      <c r="H912" s="6">
        <f t="shared" si="349"/>
        <v>1872.3599999999997</v>
      </c>
      <c r="I912" s="6">
        <f>MOD(H912-Settings!$B$32,Settings!$B$33)</f>
        <v>432.35999999999967</v>
      </c>
      <c r="J912" s="6">
        <f>IF(I912&lt;Settings!$B$30,IF(Settings!$B$30-I912&gt;=E912,H912,H912+(Settings!$B$30-I912)+Settings!$B$31),H912+(Settings!$B$33-I912))</f>
        <v>1872.3599999999997</v>
      </c>
      <c r="K912" s="6">
        <f t="shared" si="350"/>
        <v>1896.3799999999997</v>
      </c>
      <c r="L912" s="6">
        <f t="shared" si="351"/>
        <v>1896.3799999999997</v>
      </c>
      <c r="M912" s="6">
        <f t="shared" si="360"/>
        <v>1880.8083608522568</v>
      </c>
      <c r="N912" s="6">
        <f t="shared" si="352"/>
        <v>1896.3799999999997</v>
      </c>
      <c r="O912" s="6">
        <f>Arrivals!I912</f>
        <v>3.747661491681245</v>
      </c>
      <c r="P912" s="6">
        <f t="shared" si="353"/>
        <v>1900.127661491681</v>
      </c>
      <c r="Q912" s="6">
        <f t="shared" si="354"/>
        <v>1426.127661491681</v>
      </c>
      <c r="R912" s="6">
        <f t="shared" si="355"/>
        <v>1398.3599999999997</v>
      </c>
      <c r="S912" s="6">
        <f t="shared" si="356"/>
        <v>0</v>
      </c>
      <c r="T912" s="6">
        <f t="shared" si="357"/>
        <v>0</v>
      </c>
      <c r="U912" s="6">
        <f t="shared" si="358"/>
        <v>1398.3599999999997</v>
      </c>
      <c r="V912" s="6" t="str">
        <f>IF(MOD(C912-Settings!$B$32,Settings!$B$33)&lt;Settings!$B$30,"Up","Down")</f>
        <v>Up</v>
      </c>
      <c r="W912" s="6">
        <f>IF(OR(E912&gt;Settings!$B$30,Q912&gt;Settings!$B$37),0,1)</f>
        <v>0</v>
      </c>
      <c r="X912" s="6">
        <f>IF(AND(W912=1,Q912&lt;=Settings!$B$36),1,0)</f>
        <v>0</v>
      </c>
    </row>
    <row r="913" spans="1:24" x14ac:dyDescent="0.2">
      <c r="A913">
        <f>Arrivals!A913</f>
        <v>8</v>
      </c>
      <c r="B913">
        <f>Arrivals!B913</f>
        <v>68</v>
      </c>
      <c r="C913" s="6">
        <f>Arrivals!F913</f>
        <v>479</v>
      </c>
      <c r="D913" s="6">
        <f>Arrivals!K913</f>
        <v>300</v>
      </c>
      <c r="E913" s="6">
        <f>D913*8/ACE_Input!S73+ACE_Input!T73</f>
        <v>24.02</v>
      </c>
      <c r="F913" s="6">
        <f t="shared" si="348"/>
        <v>479</v>
      </c>
      <c r="G913" s="6">
        <f t="shared" si="359"/>
        <v>1896.3799999999997</v>
      </c>
      <c r="H913" s="6">
        <f t="shared" si="349"/>
        <v>1896.3799999999997</v>
      </c>
      <c r="I913" s="6">
        <f>MOD(H913-Settings!$B$32,Settings!$B$33)</f>
        <v>456.37999999999965</v>
      </c>
      <c r="J913" s="6">
        <f>IF(I913&lt;Settings!$B$30,IF(Settings!$B$30-I913&gt;=E913,H913,H913+(Settings!$B$30-I913)+Settings!$B$31),H913+(Settings!$B$33-I913))</f>
        <v>1896.3799999999997</v>
      </c>
      <c r="K913" s="6">
        <f t="shared" si="350"/>
        <v>1920.3999999999996</v>
      </c>
      <c r="L913" s="6">
        <f t="shared" si="351"/>
        <v>1920.3999999999996</v>
      </c>
      <c r="M913" s="6">
        <f t="shared" si="360"/>
        <v>1900.127661491681</v>
      </c>
      <c r="N913" s="6">
        <f t="shared" si="352"/>
        <v>1920.3999999999996</v>
      </c>
      <c r="O913" s="6">
        <f>Arrivals!I913</f>
        <v>2.2855464097572034</v>
      </c>
      <c r="P913" s="6">
        <f t="shared" si="353"/>
        <v>1922.6855464097569</v>
      </c>
      <c r="Q913" s="6">
        <f t="shared" si="354"/>
        <v>1443.6855464097569</v>
      </c>
      <c r="R913" s="6">
        <f t="shared" si="355"/>
        <v>1417.3799999999997</v>
      </c>
      <c r="S913" s="6">
        <f t="shared" si="356"/>
        <v>0</v>
      </c>
      <c r="T913" s="6">
        <f t="shared" si="357"/>
        <v>0</v>
      </c>
      <c r="U913" s="6">
        <f t="shared" si="358"/>
        <v>1417.3799999999997</v>
      </c>
      <c r="V913" s="6" t="str">
        <f>IF(MOD(C913-Settings!$B$32,Settings!$B$33)&lt;Settings!$B$30,"Up","Down")</f>
        <v>Up</v>
      </c>
      <c r="W913" s="6">
        <f>IF(OR(E913&gt;Settings!$B$30,Q913&gt;Settings!$B$37),0,1)</f>
        <v>0</v>
      </c>
      <c r="X913" s="6">
        <f>IF(AND(W913=1,Q913&lt;=Settings!$B$36),1,0)</f>
        <v>0</v>
      </c>
    </row>
    <row r="914" spans="1:24" x14ac:dyDescent="0.2">
      <c r="A914">
        <f>Arrivals!A914</f>
        <v>8</v>
      </c>
      <c r="B914">
        <f>Arrivals!B914</f>
        <v>69</v>
      </c>
      <c r="C914" s="6">
        <f>Arrivals!F914</f>
        <v>494</v>
      </c>
      <c r="D914" s="6">
        <f>Arrivals!K914</f>
        <v>300</v>
      </c>
      <c r="E914" s="6">
        <f>D914*8/ACE_Input!S74+ACE_Input!T74</f>
        <v>24.02</v>
      </c>
      <c r="F914" s="6">
        <f t="shared" si="348"/>
        <v>494</v>
      </c>
      <c r="G914" s="6">
        <f t="shared" si="359"/>
        <v>1920.3999999999996</v>
      </c>
      <c r="H914" s="6">
        <f t="shared" si="349"/>
        <v>1920.3999999999996</v>
      </c>
      <c r="I914" s="6">
        <f>MOD(H914-Settings!$B$32,Settings!$B$33)</f>
        <v>480.39999999999964</v>
      </c>
      <c r="J914" s="6">
        <f>IF(I914&lt;Settings!$B$30,IF(Settings!$B$30-I914&gt;=E914,H914,H914+(Settings!$B$30-I914)+Settings!$B$31),H914+(Settings!$B$33-I914))</f>
        <v>1920.3999999999996</v>
      </c>
      <c r="K914" s="6">
        <f t="shared" si="350"/>
        <v>1944.4199999999996</v>
      </c>
      <c r="L914" s="6">
        <f t="shared" si="351"/>
        <v>1944.4199999999996</v>
      </c>
      <c r="M914" s="6">
        <f t="shared" si="360"/>
        <v>1922.6855464097569</v>
      </c>
      <c r="N914" s="6">
        <f t="shared" si="352"/>
        <v>1944.4199999999996</v>
      </c>
      <c r="O914" s="6">
        <f>Arrivals!I914</f>
        <v>1.9391909107145924</v>
      </c>
      <c r="P914" s="6">
        <f t="shared" si="353"/>
        <v>1946.3591909107142</v>
      </c>
      <c r="Q914" s="6">
        <f t="shared" si="354"/>
        <v>1452.3591909107142</v>
      </c>
      <c r="R914" s="6">
        <f t="shared" si="355"/>
        <v>1426.3999999999996</v>
      </c>
      <c r="S914" s="6">
        <f t="shared" si="356"/>
        <v>0</v>
      </c>
      <c r="T914" s="6">
        <f t="shared" si="357"/>
        <v>0</v>
      </c>
      <c r="U914" s="6">
        <f t="shared" si="358"/>
        <v>1426.3999999999996</v>
      </c>
      <c r="V914" s="6" t="str">
        <f>IF(MOD(C914-Settings!$B$32,Settings!$B$33)&lt;Settings!$B$30,"Up","Down")</f>
        <v>Up</v>
      </c>
      <c r="W914" s="6">
        <f>IF(OR(E914&gt;Settings!$B$30,Q914&gt;Settings!$B$37),0,1)</f>
        <v>0</v>
      </c>
      <c r="X914" s="6">
        <f>IF(AND(W914=1,Q914&lt;=Settings!$B$36),1,0)</f>
        <v>0</v>
      </c>
    </row>
    <row r="915" spans="1:24" x14ac:dyDescent="0.2">
      <c r="A915">
        <f>Arrivals!A915</f>
        <v>8</v>
      </c>
      <c r="B915">
        <f>Arrivals!B915</f>
        <v>70</v>
      </c>
      <c r="C915" s="6">
        <f>Arrivals!F915</f>
        <v>499</v>
      </c>
      <c r="D915" s="6">
        <f>Arrivals!K915</f>
        <v>300</v>
      </c>
      <c r="E915" s="6">
        <f>D915*8/ACE_Input!S75+ACE_Input!T75</f>
        <v>24.02</v>
      </c>
      <c r="F915" s="6">
        <f t="shared" si="348"/>
        <v>499</v>
      </c>
      <c r="G915" s="6">
        <f t="shared" si="359"/>
        <v>1944.4199999999996</v>
      </c>
      <c r="H915" s="6">
        <f t="shared" si="349"/>
        <v>1944.4199999999996</v>
      </c>
      <c r="I915" s="6">
        <f>MOD(H915-Settings!$B$32,Settings!$B$33)</f>
        <v>504.41999999999962</v>
      </c>
      <c r="J915" s="6">
        <f>IF(I915&lt;Settings!$B$30,IF(Settings!$B$30-I915&gt;=E915,H915,H915+(Settings!$B$30-I915)+Settings!$B$31),H915+(Settings!$B$33-I915))</f>
        <v>1944.4199999999996</v>
      </c>
      <c r="K915" s="6">
        <f t="shared" si="350"/>
        <v>1968.4399999999996</v>
      </c>
      <c r="L915" s="6">
        <f t="shared" si="351"/>
        <v>1968.4399999999996</v>
      </c>
      <c r="M915" s="6">
        <f t="shared" si="360"/>
        <v>1946.3591909107142</v>
      </c>
      <c r="N915" s="6">
        <f t="shared" si="352"/>
        <v>1968.4399999999996</v>
      </c>
      <c r="O915" s="6">
        <f>Arrivals!I915</f>
        <v>8.6126516050385789</v>
      </c>
      <c r="P915" s="6">
        <f t="shared" si="353"/>
        <v>1977.0526516050381</v>
      </c>
      <c r="Q915" s="6">
        <f t="shared" si="354"/>
        <v>1478.0526516050381</v>
      </c>
      <c r="R915" s="6">
        <f t="shared" si="355"/>
        <v>1445.4199999999996</v>
      </c>
      <c r="S915" s="6">
        <f t="shared" si="356"/>
        <v>0</v>
      </c>
      <c r="T915" s="6">
        <f t="shared" si="357"/>
        <v>0</v>
      </c>
      <c r="U915" s="6">
        <f t="shared" si="358"/>
        <v>1445.4199999999996</v>
      </c>
      <c r="V915" s="6" t="str">
        <f>IF(MOD(C915-Settings!$B$32,Settings!$B$33)&lt;Settings!$B$30,"Up","Down")</f>
        <v>Up</v>
      </c>
      <c r="W915" s="6">
        <f>IF(OR(E915&gt;Settings!$B$30,Q915&gt;Settings!$B$37),0,1)</f>
        <v>0</v>
      </c>
      <c r="X915" s="6">
        <f>IF(AND(W915=1,Q915&lt;=Settings!$B$36),1,0)</f>
        <v>0</v>
      </c>
    </row>
    <row r="916" spans="1:24" x14ac:dyDescent="0.2">
      <c r="A916">
        <f>Arrivals!A916</f>
        <v>8</v>
      </c>
      <c r="B916">
        <f>Arrivals!B916</f>
        <v>71</v>
      </c>
      <c r="C916" s="6">
        <f>Arrivals!F916</f>
        <v>504</v>
      </c>
      <c r="D916" s="6">
        <f>Arrivals!K916</f>
        <v>300</v>
      </c>
      <c r="E916" s="6">
        <f>D916*8/ACE_Input!S76+ACE_Input!T76</f>
        <v>24.02</v>
      </c>
      <c r="F916" s="6">
        <f t="shared" si="348"/>
        <v>504</v>
      </c>
      <c r="G916" s="6">
        <f t="shared" si="359"/>
        <v>1968.4399999999996</v>
      </c>
      <c r="H916" s="6">
        <f t="shared" si="349"/>
        <v>1968.4399999999996</v>
      </c>
      <c r="I916" s="6">
        <f>MOD(H916-Settings!$B$32,Settings!$B$33)</f>
        <v>528.4399999999996</v>
      </c>
      <c r="J916" s="6">
        <f>IF(I916&lt;Settings!$B$30,IF(Settings!$B$30-I916&gt;=E916,H916,H916+(Settings!$B$30-I916)+Settings!$B$31),H916+(Settings!$B$33-I916))</f>
        <v>1968.4399999999996</v>
      </c>
      <c r="K916" s="6">
        <f t="shared" si="350"/>
        <v>1992.4599999999996</v>
      </c>
      <c r="L916" s="6">
        <f t="shared" si="351"/>
        <v>1992.4599999999996</v>
      </c>
      <c r="M916" s="6">
        <f t="shared" si="360"/>
        <v>1977.0526516050381</v>
      </c>
      <c r="N916" s="6">
        <f t="shared" si="352"/>
        <v>1992.4599999999996</v>
      </c>
      <c r="O916" s="6">
        <f>Arrivals!I916</f>
        <v>2.2706108130039158</v>
      </c>
      <c r="P916" s="6">
        <f t="shared" si="353"/>
        <v>1994.7306108130035</v>
      </c>
      <c r="Q916" s="6">
        <f t="shared" si="354"/>
        <v>1490.7306108130035</v>
      </c>
      <c r="R916" s="6">
        <f t="shared" si="355"/>
        <v>1464.4399999999996</v>
      </c>
      <c r="S916" s="6">
        <f t="shared" si="356"/>
        <v>0</v>
      </c>
      <c r="T916" s="6">
        <f t="shared" si="357"/>
        <v>0</v>
      </c>
      <c r="U916" s="6">
        <f t="shared" si="358"/>
        <v>1464.4399999999996</v>
      </c>
      <c r="V916" s="6" t="str">
        <f>IF(MOD(C916-Settings!$B$32,Settings!$B$33)&lt;Settings!$B$30,"Up","Down")</f>
        <v>Up</v>
      </c>
      <c r="W916" s="6">
        <f>IF(OR(E916&gt;Settings!$B$30,Q916&gt;Settings!$B$37),0,1)</f>
        <v>0</v>
      </c>
      <c r="X916" s="6">
        <f>IF(AND(W916=1,Q916&lt;=Settings!$B$36),1,0)</f>
        <v>0</v>
      </c>
    </row>
    <row r="917" spans="1:24" x14ac:dyDescent="0.2">
      <c r="A917">
        <f>Arrivals!A917</f>
        <v>8</v>
      </c>
      <c r="B917">
        <f>Arrivals!B917</f>
        <v>72</v>
      </c>
      <c r="C917" s="6">
        <f>Arrivals!F917</f>
        <v>509</v>
      </c>
      <c r="D917" s="6">
        <f>Arrivals!K917</f>
        <v>300</v>
      </c>
      <c r="E917" s="6">
        <f>D917*8/ACE_Input!S77+ACE_Input!T77</f>
        <v>24.02</v>
      </c>
      <c r="F917" s="6">
        <f t="shared" si="348"/>
        <v>509</v>
      </c>
      <c r="G917" s="6">
        <f t="shared" si="359"/>
        <v>1992.4599999999996</v>
      </c>
      <c r="H917" s="6">
        <f t="shared" si="349"/>
        <v>1992.4599999999996</v>
      </c>
      <c r="I917" s="6">
        <f>MOD(H917-Settings!$B$32,Settings!$B$33)</f>
        <v>552.45999999999958</v>
      </c>
      <c r="J917" s="6">
        <f>IF(I917&lt;Settings!$B$30,IF(Settings!$B$30-I917&gt;=E917,H917,H917+(Settings!$B$30-I917)+Settings!$B$31),H917+(Settings!$B$33-I917))</f>
        <v>1992.4599999999996</v>
      </c>
      <c r="K917" s="6">
        <f t="shared" si="350"/>
        <v>2016.4799999999996</v>
      </c>
      <c r="L917" s="6">
        <f t="shared" si="351"/>
        <v>2016.4799999999996</v>
      </c>
      <c r="M917" s="6">
        <f t="shared" si="360"/>
        <v>1994.7306108130035</v>
      </c>
      <c r="N917" s="6">
        <f t="shared" si="352"/>
        <v>2016.4799999999996</v>
      </c>
      <c r="O917" s="6">
        <f>Arrivals!I917</f>
        <v>8.3885696458232264</v>
      </c>
      <c r="P917" s="6">
        <f t="shared" si="353"/>
        <v>2024.8685696458228</v>
      </c>
      <c r="Q917" s="6">
        <f t="shared" si="354"/>
        <v>1515.8685696458228</v>
      </c>
      <c r="R917" s="6">
        <f t="shared" si="355"/>
        <v>1483.4599999999996</v>
      </c>
      <c r="S917" s="6">
        <f t="shared" si="356"/>
        <v>0</v>
      </c>
      <c r="T917" s="6">
        <f t="shared" si="357"/>
        <v>0</v>
      </c>
      <c r="U917" s="6">
        <f t="shared" si="358"/>
        <v>1483.4599999999996</v>
      </c>
      <c r="V917" s="6" t="str">
        <f>IF(MOD(C917-Settings!$B$32,Settings!$B$33)&lt;Settings!$B$30,"Up","Down")</f>
        <v>Up</v>
      </c>
      <c r="W917" s="6">
        <f>IF(OR(E917&gt;Settings!$B$30,Q917&gt;Settings!$B$37),0,1)</f>
        <v>0</v>
      </c>
      <c r="X917" s="6">
        <f>IF(AND(W917=1,Q917&lt;=Settings!$B$36),1,0)</f>
        <v>0</v>
      </c>
    </row>
    <row r="918" spans="1:24" x14ac:dyDescent="0.2">
      <c r="A918">
        <f>Arrivals!A918</f>
        <v>8</v>
      </c>
      <c r="B918">
        <f>Arrivals!B918</f>
        <v>73</v>
      </c>
      <c r="C918" s="6">
        <f>Arrivals!F918</f>
        <v>514</v>
      </c>
      <c r="D918" s="6">
        <f>Arrivals!K918</f>
        <v>300</v>
      </c>
      <c r="E918" s="6">
        <f>D918*8/ACE_Input!S78+ACE_Input!T78</f>
        <v>24.02</v>
      </c>
      <c r="F918" s="6">
        <f t="shared" si="348"/>
        <v>514</v>
      </c>
      <c r="G918" s="6">
        <f t="shared" si="359"/>
        <v>2016.4799999999996</v>
      </c>
      <c r="H918" s="6">
        <f t="shared" si="349"/>
        <v>2016.4799999999996</v>
      </c>
      <c r="I918" s="6">
        <f>MOD(H918-Settings!$B$32,Settings!$B$33)</f>
        <v>576.47999999999956</v>
      </c>
      <c r="J918" s="6">
        <f>IF(I918&lt;Settings!$B$30,IF(Settings!$B$30-I918&gt;=E918,H918,H918+(Settings!$B$30-I918)+Settings!$B$31),H918+(Settings!$B$33-I918))</f>
        <v>2160</v>
      </c>
      <c r="K918" s="6">
        <f t="shared" si="350"/>
        <v>2184.02</v>
      </c>
      <c r="L918" s="6">
        <f t="shared" si="351"/>
        <v>2184.02</v>
      </c>
      <c r="M918" s="6">
        <f t="shared" si="360"/>
        <v>2024.8685696458228</v>
      </c>
      <c r="N918" s="6">
        <f t="shared" si="352"/>
        <v>2184.02</v>
      </c>
      <c r="O918" s="6">
        <f>Arrivals!I918</f>
        <v>16.83209049039516</v>
      </c>
      <c r="P918" s="6">
        <f t="shared" si="353"/>
        <v>2200.8520904903953</v>
      </c>
      <c r="Q918" s="6">
        <f t="shared" si="354"/>
        <v>1686.8520904903953</v>
      </c>
      <c r="R918" s="6">
        <f t="shared" si="355"/>
        <v>1502.4799999999996</v>
      </c>
      <c r="S918" s="6">
        <f t="shared" si="356"/>
        <v>143.52000000000044</v>
      </c>
      <c r="T918" s="6">
        <f t="shared" si="357"/>
        <v>0</v>
      </c>
      <c r="U918" s="6">
        <f t="shared" si="358"/>
        <v>1646</v>
      </c>
      <c r="V918" s="6" t="str">
        <f>IF(MOD(C918-Settings!$B$32,Settings!$B$33)&lt;Settings!$B$30,"Up","Down")</f>
        <v>Up</v>
      </c>
      <c r="W918" s="6">
        <f>IF(OR(E918&gt;Settings!$B$30,Q918&gt;Settings!$B$37),0,1)</f>
        <v>0</v>
      </c>
      <c r="X918" s="6">
        <f>IF(AND(W918=1,Q918&lt;=Settings!$B$36),1,0)</f>
        <v>0</v>
      </c>
    </row>
    <row r="919" spans="1:24" x14ac:dyDescent="0.2">
      <c r="A919">
        <f>Arrivals!A919</f>
        <v>8</v>
      </c>
      <c r="B919">
        <f>Arrivals!B919</f>
        <v>74</v>
      </c>
      <c r="C919" s="6">
        <f>Arrivals!F919</f>
        <v>519</v>
      </c>
      <c r="D919" s="6">
        <f>Arrivals!K919</f>
        <v>300</v>
      </c>
      <c r="E919" s="6">
        <f>D919*8/ACE_Input!S79+ACE_Input!T79</f>
        <v>24.02</v>
      </c>
      <c r="F919" s="6">
        <f t="shared" si="348"/>
        <v>519</v>
      </c>
      <c r="G919" s="6">
        <f t="shared" si="359"/>
        <v>2184.02</v>
      </c>
      <c r="H919" s="6">
        <f t="shared" si="349"/>
        <v>2184.02</v>
      </c>
      <c r="I919" s="6">
        <f>MOD(H919-Settings!$B$32,Settings!$B$33)</f>
        <v>24.019999999999982</v>
      </c>
      <c r="J919" s="6">
        <f>IF(I919&lt;Settings!$B$30,IF(Settings!$B$30-I919&gt;=E919,H919,H919+(Settings!$B$30-I919)+Settings!$B$31),H919+(Settings!$B$33-I919))</f>
        <v>2184.02</v>
      </c>
      <c r="K919" s="6">
        <f t="shared" si="350"/>
        <v>2208.04</v>
      </c>
      <c r="L919" s="6">
        <f t="shared" si="351"/>
        <v>2208.04</v>
      </c>
      <c r="M919" s="6">
        <f t="shared" si="360"/>
        <v>2200.8520904903953</v>
      </c>
      <c r="N919" s="6">
        <f t="shared" si="352"/>
        <v>2208.04</v>
      </c>
      <c r="O919" s="6">
        <f>Arrivals!I919</f>
        <v>16.345084531492699</v>
      </c>
      <c r="P919" s="6">
        <f t="shared" si="353"/>
        <v>2224.3850845314928</v>
      </c>
      <c r="Q919" s="6">
        <f t="shared" si="354"/>
        <v>1705.3850845314928</v>
      </c>
      <c r="R919" s="6">
        <f t="shared" si="355"/>
        <v>1665.02</v>
      </c>
      <c r="S919" s="6">
        <f t="shared" si="356"/>
        <v>0</v>
      </c>
      <c r="T919" s="6">
        <f t="shared" si="357"/>
        <v>0</v>
      </c>
      <c r="U919" s="6">
        <f t="shared" si="358"/>
        <v>1665.02</v>
      </c>
      <c r="V919" s="6" t="str">
        <f>IF(MOD(C919-Settings!$B$32,Settings!$B$33)&lt;Settings!$B$30,"Up","Down")</f>
        <v>Up</v>
      </c>
      <c r="W919" s="6">
        <f>IF(OR(E919&gt;Settings!$B$30,Q919&gt;Settings!$B$37),0,1)</f>
        <v>0</v>
      </c>
      <c r="X919" s="6">
        <f>IF(AND(W919=1,Q919&lt;=Settings!$B$36),1,0)</f>
        <v>0</v>
      </c>
    </row>
    <row r="920" spans="1:24" x14ac:dyDescent="0.2">
      <c r="A920">
        <f>Arrivals!A920</f>
        <v>8</v>
      </c>
      <c r="B920">
        <f>Arrivals!B920</f>
        <v>75</v>
      </c>
      <c r="C920" s="6">
        <f>Arrivals!F920</f>
        <v>524</v>
      </c>
      <c r="D920" s="6">
        <f>Arrivals!K920</f>
        <v>300</v>
      </c>
      <c r="E920" s="6">
        <f>D920*8/ACE_Input!S80+ACE_Input!T80</f>
        <v>24.02</v>
      </c>
      <c r="F920" s="6">
        <f t="shared" si="348"/>
        <v>524</v>
      </c>
      <c r="G920" s="6">
        <f t="shared" si="359"/>
        <v>2208.04</v>
      </c>
      <c r="H920" s="6">
        <f t="shared" si="349"/>
        <v>2208.04</v>
      </c>
      <c r="I920" s="6">
        <f>MOD(H920-Settings!$B$32,Settings!$B$33)</f>
        <v>48.039999999999964</v>
      </c>
      <c r="J920" s="6">
        <f>IF(I920&lt;Settings!$B$30,IF(Settings!$B$30-I920&gt;=E920,H920,H920+(Settings!$B$30-I920)+Settings!$B$31),H920+(Settings!$B$33-I920))</f>
        <v>2208.04</v>
      </c>
      <c r="K920" s="6">
        <f t="shared" si="350"/>
        <v>2232.06</v>
      </c>
      <c r="L920" s="6">
        <f t="shared" si="351"/>
        <v>2232.06</v>
      </c>
      <c r="M920" s="6">
        <f t="shared" si="360"/>
        <v>2224.3850845314928</v>
      </c>
      <c r="N920" s="6">
        <f t="shared" si="352"/>
        <v>2232.06</v>
      </c>
      <c r="O920" s="6">
        <f>Arrivals!I920</f>
        <v>3.7939910135011563</v>
      </c>
      <c r="P920" s="6">
        <f t="shared" si="353"/>
        <v>2235.8539910135009</v>
      </c>
      <c r="Q920" s="6">
        <f t="shared" si="354"/>
        <v>1711.8539910135009</v>
      </c>
      <c r="R920" s="6">
        <f t="shared" si="355"/>
        <v>1684.04</v>
      </c>
      <c r="S920" s="6">
        <f t="shared" si="356"/>
        <v>0</v>
      </c>
      <c r="T920" s="6">
        <f t="shared" si="357"/>
        <v>0</v>
      </c>
      <c r="U920" s="6">
        <f t="shared" si="358"/>
        <v>1684.04</v>
      </c>
      <c r="V920" s="6" t="str">
        <f>IF(MOD(C920-Settings!$B$32,Settings!$B$33)&lt;Settings!$B$30,"Up","Down")</f>
        <v>Up</v>
      </c>
      <c r="W920" s="6">
        <f>IF(OR(E920&gt;Settings!$B$30,Q920&gt;Settings!$B$37),0,1)</f>
        <v>0</v>
      </c>
      <c r="X920" s="6">
        <f>IF(AND(W920=1,Q920&lt;=Settings!$B$36),1,0)</f>
        <v>0</v>
      </c>
    </row>
    <row r="921" spans="1:24" x14ac:dyDescent="0.2">
      <c r="A921">
        <f>Arrivals!A921</f>
        <v>8</v>
      </c>
      <c r="B921">
        <f>Arrivals!B921</f>
        <v>76</v>
      </c>
      <c r="C921" s="6">
        <f>Arrivals!F921</f>
        <v>529</v>
      </c>
      <c r="D921" s="6">
        <f>Arrivals!K921</f>
        <v>300</v>
      </c>
      <c r="E921" s="6">
        <f>D921*8/ACE_Input!S81+ACE_Input!T81</f>
        <v>24.02</v>
      </c>
      <c r="F921" s="6">
        <f t="shared" si="348"/>
        <v>529</v>
      </c>
      <c r="G921" s="6">
        <f t="shared" si="359"/>
        <v>2232.06</v>
      </c>
      <c r="H921" s="6">
        <f t="shared" si="349"/>
        <v>2232.06</v>
      </c>
      <c r="I921" s="6">
        <f>MOD(H921-Settings!$B$32,Settings!$B$33)</f>
        <v>72.059999999999945</v>
      </c>
      <c r="J921" s="6">
        <f>IF(I921&lt;Settings!$B$30,IF(Settings!$B$30-I921&gt;=E921,H921,H921+(Settings!$B$30-I921)+Settings!$B$31),H921+(Settings!$B$33-I921))</f>
        <v>2232.06</v>
      </c>
      <c r="K921" s="6">
        <f t="shared" si="350"/>
        <v>2256.08</v>
      </c>
      <c r="L921" s="6">
        <f t="shared" si="351"/>
        <v>2256.08</v>
      </c>
      <c r="M921" s="6">
        <f t="shared" si="360"/>
        <v>2235.8539910135009</v>
      </c>
      <c r="N921" s="6">
        <f t="shared" si="352"/>
        <v>2256.08</v>
      </c>
      <c r="O921" s="6">
        <f>Arrivals!I921</f>
        <v>1.2684062924444315</v>
      </c>
      <c r="P921" s="6">
        <f t="shared" si="353"/>
        <v>2257.3484062924445</v>
      </c>
      <c r="Q921" s="6">
        <f t="shared" si="354"/>
        <v>1728.3484062924445</v>
      </c>
      <c r="R921" s="6">
        <f t="shared" si="355"/>
        <v>1703.06</v>
      </c>
      <c r="S921" s="6">
        <f t="shared" si="356"/>
        <v>0</v>
      </c>
      <c r="T921" s="6">
        <f t="shared" si="357"/>
        <v>0</v>
      </c>
      <c r="U921" s="6">
        <f t="shared" si="358"/>
        <v>1703.06</v>
      </c>
      <c r="V921" s="6" t="str">
        <f>IF(MOD(C921-Settings!$B$32,Settings!$B$33)&lt;Settings!$B$30,"Up","Down")</f>
        <v>Up</v>
      </c>
      <c r="W921" s="6">
        <f>IF(OR(E921&gt;Settings!$B$30,Q921&gt;Settings!$B$37),0,1)</f>
        <v>0</v>
      </c>
      <c r="X921" s="6">
        <f>IF(AND(W921=1,Q921&lt;=Settings!$B$36),1,0)</f>
        <v>0</v>
      </c>
    </row>
    <row r="922" spans="1:24" x14ac:dyDescent="0.2">
      <c r="A922">
        <f>Arrivals!A922</f>
        <v>8</v>
      </c>
      <c r="B922">
        <f>Arrivals!B922</f>
        <v>77</v>
      </c>
      <c r="C922" s="6">
        <f>Arrivals!F922</f>
        <v>534</v>
      </c>
      <c r="D922" s="6">
        <f>Arrivals!K922</f>
        <v>300</v>
      </c>
      <c r="E922" s="6">
        <f>D922*8/ACE_Input!S82+ACE_Input!T82</f>
        <v>24.02</v>
      </c>
      <c r="F922" s="6">
        <f t="shared" si="348"/>
        <v>534</v>
      </c>
      <c r="G922" s="6">
        <f t="shared" si="359"/>
        <v>2256.08</v>
      </c>
      <c r="H922" s="6">
        <f t="shared" si="349"/>
        <v>2256.08</v>
      </c>
      <c r="I922" s="6">
        <f>MOD(H922-Settings!$B$32,Settings!$B$33)</f>
        <v>96.079999999999927</v>
      </c>
      <c r="J922" s="6">
        <f>IF(I922&lt;Settings!$B$30,IF(Settings!$B$30-I922&gt;=E922,H922,H922+(Settings!$B$30-I922)+Settings!$B$31),H922+(Settings!$B$33-I922))</f>
        <v>2256.08</v>
      </c>
      <c r="K922" s="6">
        <f t="shared" si="350"/>
        <v>2280.1</v>
      </c>
      <c r="L922" s="6">
        <f t="shared" si="351"/>
        <v>2280.1</v>
      </c>
      <c r="M922" s="6">
        <f t="shared" si="360"/>
        <v>2257.3484062924445</v>
      </c>
      <c r="N922" s="6">
        <f t="shared" si="352"/>
        <v>2280.1</v>
      </c>
      <c r="O922" s="6">
        <f>Arrivals!I922</f>
        <v>0.83448553182930163</v>
      </c>
      <c r="P922" s="6">
        <f t="shared" si="353"/>
        <v>2280.9344855318291</v>
      </c>
      <c r="Q922" s="6">
        <f t="shared" si="354"/>
        <v>1746.9344855318291</v>
      </c>
      <c r="R922" s="6">
        <f t="shared" si="355"/>
        <v>1722.08</v>
      </c>
      <c r="S922" s="6">
        <f t="shared" si="356"/>
        <v>0</v>
      </c>
      <c r="T922" s="6">
        <f t="shared" si="357"/>
        <v>0</v>
      </c>
      <c r="U922" s="6">
        <f t="shared" si="358"/>
        <v>1722.08</v>
      </c>
      <c r="V922" s="6" t="str">
        <f>IF(MOD(C922-Settings!$B$32,Settings!$B$33)&lt;Settings!$B$30,"Up","Down")</f>
        <v>Up</v>
      </c>
      <c r="W922" s="6">
        <f>IF(OR(E922&gt;Settings!$B$30,Q922&gt;Settings!$B$37),0,1)</f>
        <v>0</v>
      </c>
      <c r="X922" s="6">
        <f>IF(AND(W922=1,Q922&lt;=Settings!$B$36),1,0)</f>
        <v>0</v>
      </c>
    </row>
    <row r="923" spans="1:24" x14ac:dyDescent="0.2">
      <c r="A923">
        <f>Arrivals!A923</f>
        <v>8</v>
      </c>
      <c r="B923">
        <f>Arrivals!B923</f>
        <v>78</v>
      </c>
      <c r="C923" s="6">
        <f>Arrivals!F923</f>
        <v>539</v>
      </c>
      <c r="D923" s="6">
        <f>Arrivals!K923</f>
        <v>300</v>
      </c>
      <c r="E923" s="6">
        <f>D923*8/ACE_Input!S83+ACE_Input!T83</f>
        <v>24.02</v>
      </c>
      <c r="F923" s="6">
        <f t="shared" si="348"/>
        <v>539</v>
      </c>
      <c r="G923" s="6">
        <f t="shared" si="359"/>
        <v>2280.1</v>
      </c>
      <c r="H923" s="6">
        <f t="shared" si="349"/>
        <v>2280.1</v>
      </c>
      <c r="I923" s="6">
        <f>MOD(H923-Settings!$B$32,Settings!$B$33)</f>
        <v>120.09999999999991</v>
      </c>
      <c r="J923" s="6">
        <f>IF(I923&lt;Settings!$B$30,IF(Settings!$B$30-I923&gt;=E923,H923,H923+(Settings!$B$30-I923)+Settings!$B$31),H923+(Settings!$B$33-I923))</f>
        <v>2280.1</v>
      </c>
      <c r="K923" s="6">
        <f t="shared" si="350"/>
        <v>2304.12</v>
      </c>
      <c r="L923" s="6">
        <f t="shared" si="351"/>
        <v>2304.12</v>
      </c>
      <c r="M923" s="6">
        <f t="shared" si="360"/>
        <v>2280.9344855318291</v>
      </c>
      <c r="N923" s="6">
        <f t="shared" si="352"/>
        <v>2304.12</v>
      </c>
      <c r="O923" s="6">
        <f>Arrivals!I923</f>
        <v>5.0358429645708762</v>
      </c>
      <c r="P923" s="6">
        <f t="shared" si="353"/>
        <v>2309.1558429645706</v>
      </c>
      <c r="Q923" s="6">
        <f t="shared" si="354"/>
        <v>1770.1558429645706</v>
      </c>
      <c r="R923" s="6">
        <f t="shared" si="355"/>
        <v>1741.1</v>
      </c>
      <c r="S923" s="6">
        <f t="shared" si="356"/>
        <v>0</v>
      </c>
      <c r="T923" s="6">
        <f t="shared" si="357"/>
        <v>0</v>
      </c>
      <c r="U923" s="6">
        <f t="shared" si="358"/>
        <v>1741.1</v>
      </c>
      <c r="V923" s="6" t="str">
        <f>IF(MOD(C923-Settings!$B$32,Settings!$B$33)&lt;Settings!$B$30,"Up","Down")</f>
        <v>Up</v>
      </c>
      <c r="W923" s="6">
        <f>IF(OR(E923&gt;Settings!$B$30,Q923&gt;Settings!$B$37),0,1)</f>
        <v>0</v>
      </c>
      <c r="X923" s="6">
        <f>IF(AND(W923=1,Q923&lt;=Settings!$B$36),1,0)</f>
        <v>0</v>
      </c>
    </row>
    <row r="924" spans="1:24" x14ac:dyDescent="0.2">
      <c r="A924">
        <f>Arrivals!A924</f>
        <v>8</v>
      </c>
      <c r="B924">
        <f>Arrivals!B924</f>
        <v>79</v>
      </c>
      <c r="C924" s="6">
        <f>Arrivals!F924</f>
        <v>544</v>
      </c>
      <c r="D924" s="6">
        <f>Arrivals!K924</f>
        <v>300</v>
      </c>
      <c r="E924" s="6">
        <f>D924*8/ACE_Input!S84+ACE_Input!T84</f>
        <v>24.02</v>
      </c>
      <c r="F924" s="6">
        <f t="shared" si="348"/>
        <v>544</v>
      </c>
      <c r="G924" s="6">
        <f t="shared" si="359"/>
        <v>2304.12</v>
      </c>
      <c r="H924" s="6">
        <f t="shared" si="349"/>
        <v>2304.12</v>
      </c>
      <c r="I924" s="6">
        <f>MOD(H924-Settings!$B$32,Settings!$B$33)</f>
        <v>144.11999999999989</v>
      </c>
      <c r="J924" s="6">
        <f>IF(I924&lt;Settings!$B$30,IF(Settings!$B$30-I924&gt;=E924,H924,H924+(Settings!$B$30-I924)+Settings!$B$31),H924+(Settings!$B$33-I924))</f>
        <v>2304.12</v>
      </c>
      <c r="K924" s="6">
        <f t="shared" si="350"/>
        <v>2328.14</v>
      </c>
      <c r="L924" s="6">
        <f t="shared" si="351"/>
        <v>2328.14</v>
      </c>
      <c r="M924" s="6">
        <f t="shared" si="360"/>
        <v>2309.1558429645706</v>
      </c>
      <c r="N924" s="6">
        <f t="shared" si="352"/>
        <v>2328.14</v>
      </c>
      <c r="O924" s="6">
        <f>Arrivals!I924</f>
        <v>4.4306083688544033</v>
      </c>
      <c r="P924" s="6">
        <f t="shared" si="353"/>
        <v>2332.5706083688542</v>
      </c>
      <c r="Q924" s="6">
        <f t="shared" si="354"/>
        <v>1788.5706083688542</v>
      </c>
      <c r="R924" s="6">
        <f t="shared" si="355"/>
        <v>1760.12</v>
      </c>
      <c r="S924" s="6">
        <f t="shared" si="356"/>
        <v>0</v>
      </c>
      <c r="T924" s="6">
        <f t="shared" si="357"/>
        <v>0</v>
      </c>
      <c r="U924" s="6">
        <f t="shared" si="358"/>
        <v>1760.12</v>
      </c>
      <c r="V924" s="6" t="str">
        <f>IF(MOD(C924-Settings!$B$32,Settings!$B$33)&lt;Settings!$B$30,"Up","Down")</f>
        <v>Up</v>
      </c>
      <c r="W924" s="6">
        <f>IF(OR(E924&gt;Settings!$B$30,Q924&gt;Settings!$B$37),0,1)</f>
        <v>0</v>
      </c>
      <c r="X924" s="6">
        <f>IF(AND(W924=1,Q924&lt;=Settings!$B$36),1,0)</f>
        <v>0</v>
      </c>
    </row>
    <row r="925" spans="1:24" x14ac:dyDescent="0.2">
      <c r="A925">
        <f>Arrivals!A925</f>
        <v>8</v>
      </c>
      <c r="B925">
        <f>Arrivals!B925</f>
        <v>80</v>
      </c>
      <c r="C925" s="6">
        <f>Arrivals!F925</f>
        <v>549</v>
      </c>
      <c r="D925" s="6">
        <f>Arrivals!K925</f>
        <v>300</v>
      </c>
      <c r="E925" s="6">
        <f>D925*8/ACE_Input!S85+ACE_Input!T85</f>
        <v>24.02</v>
      </c>
      <c r="F925" s="6">
        <f t="shared" si="348"/>
        <v>549</v>
      </c>
      <c r="G925" s="6">
        <f t="shared" si="359"/>
        <v>2328.14</v>
      </c>
      <c r="H925" s="6">
        <f t="shared" si="349"/>
        <v>2328.14</v>
      </c>
      <c r="I925" s="6">
        <f>MOD(H925-Settings!$B$32,Settings!$B$33)</f>
        <v>168.13999999999987</v>
      </c>
      <c r="J925" s="6">
        <f>IF(I925&lt;Settings!$B$30,IF(Settings!$B$30-I925&gt;=E925,H925,H925+(Settings!$B$30-I925)+Settings!$B$31),H925+(Settings!$B$33-I925))</f>
        <v>2328.14</v>
      </c>
      <c r="K925" s="6">
        <f t="shared" si="350"/>
        <v>2352.16</v>
      </c>
      <c r="L925" s="6">
        <f t="shared" si="351"/>
        <v>2352.16</v>
      </c>
      <c r="M925" s="6">
        <f t="shared" si="360"/>
        <v>2332.5706083688542</v>
      </c>
      <c r="N925" s="6">
        <f t="shared" si="352"/>
        <v>2352.16</v>
      </c>
      <c r="O925" s="6">
        <f>Arrivals!I925</f>
        <v>0.34415673364211641</v>
      </c>
      <c r="P925" s="6">
        <f t="shared" si="353"/>
        <v>2352.504156733642</v>
      </c>
      <c r="Q925" s="6">
        <f t="shared" si="354"/>
        <v>1803.504156733642</v>
      </c>
      <c r="R925" s="6">
        <f t="shared" si="355"/>
        <v>1779.1399999999999</v>
      </c>
      <c r="S925" s="6">
        <f t="shared" si="356"/>
        <v>0</v>
      </c>
      <c r="T925" s="6">
        <f t="shared" si="357"/>
        <v>0</v>
      </c>
      <c r="U925" s="6">
        <f t="shared" si="358"/>
        <v>1779.1399999999999</v>
      </c>
      <c r="V925" s="6" t="str">
        <f>IF(MOD(C925-Settings!$B$32,Settings!$B$33)&lt;Settings!$B$30,"Up","Down")</f>
        <v>Up</v>
      </c>
      <c r="W925" s="6">
        <f>IF(OR(E925&gt;Settings!$B$30,Q925&gt;Settings!$B$37),0,1)</f>
        <v>0</v>
      </c>
      <c r="X925" s="6">
        <f>IF(AND(W925=1,Q925&lt;=Settings!$B$36),1,0)</f>
        <v>0</v>
      </c>
    </row>
    <row r="926" spans="1:24" x14ac:dyDescent="0.2">
      <c r="A926">
        <f>Arrivals!A926</f>
        <v>8</v>
      </c>
      <c r="B926">
        <f>Arrivals!B926</f>
        <v>81</v>
      </c>
      <c r="C926" s="6">
        <f>Arrivals!F926</f>
        <v>554</v>
      </c>
      <c r="D926" s="6">
        <f>Arrivals!K926</f>
        <v>300</v>
      </c>
      <c r="E926" s="6">
        <f>D926*8/ACE_Input!S86+ACE_Input!T86</f>
        <v>24.02</v>
      </c>
      <c r="F926" s="6">
        <f t="shared" si="348"/>
        <v>554</v>
      </c>
      <c r="G926" s="6">
        <f t="shared" si="359"/>
        <v>2352.16</v>
      </c>
      <c r="H926" s="6">
        <f t="shared" si="349"/>
        <v>2352.16</v>
      </c>
      <c r="I926" s="6">
        <f>MOD(H926-Settings!$B$32,Settings!$B$33)</f>
        <v>192.15999999999985</v>
      </c>
      <c r="J926" s="6">
        <f>IF(I926&lt;Settings!$B$30,IF(Settings!$B$30-I926&gt;=E926,H926,H926+(Settings!$B$30-I926)+Settings!$B$31),H926+(Settings!$B$33-I926))</f>
        <v>2352.16</v>
      </c>
      <c r="K926" s="6">
        <f t="shared" si="350"/>
        <v>2376.1799999999998</v>
      </c>
      <c r="L926" s="6">
        <f t="shared" si="351"/>
        <v>2376.1799999999998</v>
      </c>
      <c r="M926" s="6">
        <f t="shared" si="360"/>
        <v>2352.504156733642</v>
      </c>
      <c r="N926" s="6">
        <f t="shared" si="352"/>
        <v>2376.1799999999998</v>
      </c>
      <c r="O926" s="6">
        <f>Arrivals!I926</f>
        <v>3.6455196977370457</v>
      </c>
      <c r="P926" s="6">
        <f t="shared" si="353"/>
        <v>2379.825519697737</v>
      </c>
      <c r="Q926" s="6">
        <f t="shared" si="354"/>
        <v>1825.825519697737</v>
      </c>
      <c r="R926" s="6">
        <f t="shared" si="355"/>
        <v>1798.1599999999999</v>
      </c>
      <c r="S926" s="6">
        <f t="shared" si="356"/>
        <v>0</v>
      </c>
      <c r="T926" s="6">
        <f t="shared" si="357"/>
        <v>0</v>
      </c>
      <c r="U926" s="6">
        <f t="shared" si="358"/>
        <v>1798.1599999999999</v>
      </c>
      <c r="V926" s="6" t="str">
        <f>IF(MOD(C926-Settings!$B$32,Settings!$B$33)&lt;Settings!$B$30,"Up","Down")</f>
        <v>Up</v>
      </c>
      <c r="W926" s="6">
        <f>IF(OR(E926&gt;Settings!$B$30,Q926&gt;Settings!$B$37),0,1)</f>
        <v>0</v>
      </c>
      <c r="X926" s="6">
        <f>IF(AND(W926=1,Q926&lt;=Settings!$B$36),1,0)</f>
        <v>0</v>
      </c>
    </row>
    <row r="927" spans="1:24" x14ac:dyDescent="0.2">
      <c r="A927">
        <f>Arrivals!A927</f>
        <v>8</v>
      </c>
      <c r="B927">
        <f>Arrivals!B927</f>
        <v>82</v>
      </c>
      <c r="C927" s="6">
        <f>Arrivals!F927</f>
        <v>559</v>
      </c>
      <c r="D927" s="6">
        <f>Arrivals!K927</f>
        <v>300</v>
      </c>
      <c r="E927" s="6">
        <f>D927*8/ACE_Input!S87+ACE_Input!T87</f>
        <v>24.02</v>
      </c>
      <c r="F927" s="6">
        <f t="shared" si="348"/>
        <v>559</v>
      </c>
      <c r="G927" s="6">
        <f t="shared" si="359"/>
        <v>2376.1799999999998</v>
      </c>
      <c r="H927" s="6">
        <f t="shared" si="349"/>
        <v>2376.1799999999998</v>
      </c>
      <c r="I927" s="6">
        <f>MOD(H927-Settings!$B$32,Settings!$B$33)</f>
        <v>216.17999999999984</v>
      </c>
      <c r="J927" s="6">
        <f>IF(I927&lt;Settings!$B$30,IF(Settings!$B$30-I927&gt;=E927,H927,H927+(Settings!$B$30-I927)+Settings!$B$31),H927+(Settings!$B$33-I927))</f>
        <v>2376.1799999999998</v>
      </c>
      <c r="K927" s="6">
        <f t="shared" si="350"/>
        <v>2400.1999999999998</v>
      </c>
      <c r="L927" s="6">
        <f t="shared" si="351"/>
        <v>2400.1999999999998</v>
      </c>
      <c r="M927" s="6">
        <f t="shared" si="360"/>
        <v>2379.825519697737</v>
      </c>
      <c r="N927" s="6">
        <f t="shared" si="352"/>
        <v>2400.1999999999998</v>
      </c>
      <c r="O927" s="6">
        <f>Arrivals!I927</f>
        <v>0.44116733766994853</v>
      </c>
      <c r="P927" s="6">
        <f t="shared" si="353"/>
        <v>2400.6411673376697</v>
      </c>
      <c r="Q927" s="6">
        <f t="shared" si="354"/>
        <v>1841.6411673376697</v>
      </c>
      <c r="R927" s="6">
        <f t="shared" si="355"/>
        <v>1817.1799999999998</v>
      </c>
      <c r="S927" s="6">
        <f t="shared" si="356"/>
        <v>0</v>
      </c>
      <c r="T927" s="6">
        <f t="shared" si="357"/>
        <v>0</v>
      </c>
      <c r="U927" s="6">
        <f t="shared" si="358"/>
        <v>1817.1799999999998</v>
      </c>
      <c r="V927" s="6" t="str">
        <f>IF(MOD(C927-Settings!$B$32,Settings!$B$33)&lt;Settings!$B$30,"Up","Down")</f>
        <v>Up</v>
      </c>
      <c r="W927" s="6">
        <f>IF(OR(E927&gt;Settings!$B$30,Q927&gt;Settings!$B$37),0,1)</f>
        <v>0</v>
      </c>
      <c r="X927" s="6">
        <f>IF(AND(W927=1,Q927&lt;=Settings!$B$36),1,0)</f>
        <v>0</v>
      </c>
    </row>
    <row r="928" spans="1:24" x14ac:dyDescent="0.2">
      <c r="A928">
        <f>Arrivals!A928</f>
        <v>8</v>
      </c>
      <c r="B928">
        <f>Arrivals!B928</f>
        <v>83</v>
      </c>
      <c r="C928" s="6">
        <f>Arrivals!F928</f>
        <v>564</v>
      </c>
      <c r="D928" s="6">
        <f>Arrivals!K928</f>
        <v>300</v>
      </c>
      <c r="E928" s="6">
        <f>D928*8/ACE_Input!S88+ACE_Input!T88</f>
        <v>24.02</v>
      </c>
      <c r="F928" s="6">
        <f t="shared" si="348"/>
        <v>564</v>
      </c>
      <c r="G928" s="6">
        <f t="shared" si="359"/>
        <v>2400.1999999999998</v>
      </c>
      <c r="H928" s="6">
        <f t="shared" si="349"/>
        <v>2400.1999999999998</v>
      </c>
      <c r="I928" s="6">
        <f>MOD(H928-Settings!$B$32,Settings!$B$33)</f>
        <v>240.19999999999982</v>
      </c>
      <c r="J928" s="6">
        <f>IF(I928&lt;Settings!$B$30,IF(Settings!$B$30-I928&gt;=E928,H928,H928+(Settings!$B$30-I928)+Settings!$B$31),H928+(Settings!$B$33-I928))</f>
        <v>2400.1999999999998</v>
      </c>
      <c r="K928" s="6">
        <f t="shared" si="350"/>
        <v>2424.2199999999998</v>
      </c>
      <c r="L928" s="6">
        <f t="shared" si="351"/>
        <v>2424.2199999999998</v>
      </c>
      <c r="M928" s="6">
        <f t="shared" si="360"/>
        <v>2400.6411673376697</v>
      </c>
      <c r="N928" s="6">
        <f t="shared" si="352"/>
        <v>2424.2199999999998</v>
      </c>
      <c r="O928" s="6">
        <f>Arrivals!I928</f>
        <v>0.46159377026128723</v>
      </c>
      <c r="P928" s="6">
        <f t="shared" si="353"/>
        <v>2424.6815937702609</v>
      </c>
      <c r="Q928" s="6">
        <f t="shared" si="354"/>
        <v>1860.6815937702609</v>
      </c>
      <c r="R928" s="6">
        <f t="shared" si="355"/>
        <v>1836.1999999999998</v>
      </c>
      <c r="S928" s="6">
        <f t="shared" si="356"/>
        <v>0</v>
      </c>
      <c r="T928" s="6">
        <f t="shared" si="357"/>
        <v>0</v>
      </c>
      <c r="U928" s="6">
        <f t="shared" si="358"/>
        <v>1836.1999999999998</v>
      </c>
      <c r="V928" s="6" t="str">
        <f>IF(MOD(C928-Settings!$B$32,Settings!$B$33)&lt;Settings!$B$30,"Up","Down")</f>
        <v>Up</v>
      </c>
      <c r="W928" s="6">
        <f>IF(OR(E928&gt;Settings!$B$30,Q928&gt;Settings!$B$37),0,1)</f>
        <v>0</v>
      </c>
      <c r="X928" s="6">
        <f>IF(AND(W928=1,Q928&lt;=Settings!$B$36),1,0)</f>
        <v>0</v>
      </c>
    </row>
    <row r="929" spans="1:24" x14ac:dyDescent="0.2">
      <c r="A929">
        <f>Arrivals!A929</f>
        <v>8</v>
      </c>
      <c r="B929">
        <f>Arrivals!B929</f>
        <v>84</v>
      </c>
      <c r="C929" s="6">
        <f>Arrivals!F929</f>
        <v>569</v>
      </c>
      <c r="D929" s="6">
        <f>Arrivals!K929</f>
        <v>300</v>
      </c>
      <c r="E929" s="6">
        <f>D929*8/ACE_Input!S89+ACE_Input!T89</f>
        <v>24.02</v>
      </c>
      <c r="F929" s="6">
        <f t="shared" si="348"/>
        <v>569</v>
      </c>
      <c r="G929" s="6">
        <f t="shared" si="359"/>
        <v>2424.2199999999998</v>
      </c>
      <c r="H929" s="6">
        <f t="shared" si="349"/>
        <v>2424.2199999999998</v>
      </c>
      <c r="I929" s="6">
        <f>MOD(H929-Settings!$B$32,Settings!$B$33)</f>
        <v>264.2199999999998</v>
      </c>
      <c r="J929" s="6">
        <f>IF(I929&lt;Settings!$B$30,IF(Settings!$B$30-I929&gt;=E929,H929,H929+(Settings!$B$30-I929)+Settings!$B$31),H929+(Settings!$B$33-I929))</f>
        <v>2424.2199999999998</v>
      </c>
      <c r="K929" s="6">
        <f t="shared" si="350"/>
        <v>2448.2399999999998</v>
      </c>
      <c r="L929" s="6">
        <f t="shared" si="351"/>
        <v>2448.2399999999998</v>
      </c>
      <c r="M929" s="6">
        <f t="shared" si="360"/>
        <v>2424.6815937702609</v>
      </c>
      <c r="N929" s="6">
        <f t="shared" si="352"/>
        <v>2448.2399999999998</v>
      </c>
      <c r="O929" s="6">
        <f>Arrivals!I929</f>
        <v>6.0054638907266504</v>
      </c>
      <c r="P929" s="6">
        <f t="shared" si="353"/>
        <v>2454.2454638907266</v>
      </c>
      <c r="Q929" s="6">
        <f t="shared" si="354"/>
        <v>1885.2454638907266</v>
      </c>
      <c r="R929" s="6">
        <f t="shared" si="355"/>
        <v>1855.2199999999998</v>
      </c>
      <c r="S929" s="6">
        <f t="shared" si="356"/>
        <v>0</v>
      </c>
      <c r="T929" s="6">
        <f t="shared" si="357"/>
        <v>0</v>
      </c>
      <c r="U929" s="6">
        <f t="shared" si="358"/>
        <v>1855.2199999999998</v>
      </c>
      <c r="V929" s="6" t="str">
        <f>IF(MOD(C929-Settings!$B$32,Settings!$B$33)&lt;Settings!$B$30,"Up","Down")</f>
        <v>Up</v>
      </c>
      <c r="W929" s="6">
        <f>IF(OR(E929&gt;Settings!$B$30,Q929&gt;Settings!$B$37),0,1)</f>
        <v>0</v>
      </c>
      <c r="X929" s="6">
        <f>IF(AND(W929=1,Q929&lt;=Settings!$B$36),1,0)</f>
        <v>0</v>
      </c>
    </row>
    <row r="930" spans="1:24" x14ac:dyDescent="0.2">
      <c r="A930">
        <f>Arrivals!A930</f>
        <v>8</v>
      </c>
      <c r="B930">
        <f>Arrivals!B930</f>
        <v>85</v>
      </c>
      <c r="C930" s="6">
        <f>Arrivals!F930</f>
        <v>574</v>
      </c>
      <c r="D930" s="6">
        <f>Arrivals!K930</f>
        <v>300</v>
      </c>
      <c r="E930" s="6">
        <f>D930*8/ACE_Input!S90+ACE_Input!T90</f>
        <v>24.02</v>
      </c>
      <c r="F930" s="6">
        <f t="shared" si="348"/>
        <v>574</v>
      </c>
      <c r="G930" s="6">
        <f t="shared" si="359"/>
        <v>2448.2399999999998</v>
      </c>
      <c r="H930" s="6">
        <f t="shared" si="349"/>
        <v>2448.2399999999998</v>
      </c>
      <c r="I930" s="6">
        <f>MOD(H930-Settings!$B$32,Settings!$B$33)</f>
        <v>288.23999999999978</v>
      </c>
      <c r="J930" s="6">
        <f>IF(I930&lt;Settings!$B$30,IF(Settings!$B$30-I930&gt;=E930,H930,H930+(Settings!$B$30-I930)+Settings!$B$31),H930+(Settings!$B$33-I930))</f>
        <v>2448.2399999999998</v>
      </c>
      <c r="K930" s="6">
        <f t="shared" si="350"/>
        <v>2472.2599999999998</v>
      </c>
      <c r="L930" s="6">
        <f t="shared" si="351"/>
        <v>2472.2599999999998</v>
      </c>
      <c r="M930" s="6">
        <f t="shared" si="360"/>
        <v>2454.2454638907266</v>
      </c>
      <c r="N930" s="6">
        <f t="shared" si="352"/>
        <v>2472.2599999999998</v>
      </c>
      <c r="O930" s="6">
        <f>Arrivals!I930</f>
        <v>14.093711406717913</v>
      </c>
      <c r="P930" s="6">
        <f t="shared" si="353"/>
        <v>2486.3537114067176</v>
      </c>
      <c r="Q930" s="6">
        <f t="shared" si="354"/>
        <v>1912.3537114067176</v>
      </c>
      <c r="R930" s="6">
        <f t="shared" si="355"/>
        <v>1874.2399999999998</v>
      </c>
      <c r="S930" s="6">
        <f t="shared" si="356"/>
        <v>0</v>
      </c>
      <c r="T930" s="6">
        <f t="shared" si="357"/>
        <v>0</v>
      </c>
      <c r="U930" s="6">
        <f t="shared" si="358"/>
        <v>1874.2399999999998</v>
      </c>
      <c r="V930" s="6" t="str">
        <f>IF(MOD(C930-Settings!$B$32,Settings!$B$33)&lt;Settings!$B$30,"Up","Down")</f>
        <v>Up</v>
      </c>
      <c r="W930" s="6">
        <f>IF(OR(E930&gt;Settings!$B$30,Q930&gt;Settings!$B$37),0,1)</f>
        <v>0</v>
      </c>
      <c r="X930" s="6">
        <f>IF(AND(W930=1,Q930&lt;=Settings!$B$36),1,0)</f>
        <v>0</v>
      </c>
    </row>
    <row r="931" spans="1:24" x14ac:dyDescent="0.2">
      <c r="A931">
        <f>Arrivals!A931</f>
        <v>8</v>
      </c>
      <c r="B931">
        <f>Arrivals!B931</f>
        <v>86</v>
      </c>
      <c r="C931" s="6">
        <f>Arrivals!F931</f>
        <v>579</v>
      </c>
      <c r="D931" s="6">
        <f>Arrivals!K931</f>
        <v>300</v>
      </c>
      <c r="E931" s="6">
        <f>D931*8/ACE_Input!S91+ACE_Input!T91</f>
        <v>24.02</v>
      </c>
      <c r="F931" s="6">
        <f t="shared" si="348"/>
        <v>579</v>
      </c>
      <c r="G931" s="6">
        <f t="shared" si="359"/>
        <v>2472.2599999999998</v>
      </c>
      <c r="H931" s="6">
        <f t="shared" si="349"/>
        <v>2472.2599999999998</v>
      </c>
      <c r="I931" s="6">
        <f>MOD(H931-Settings!$B$32,Settings!$B$33)</f>
        <v>312.25999999999976</v>
      </c>
      <c r="J931" s="6">
        <f>IF(I931&lt;Settings!$B$30,IF(Settings!$B$30-I931&gt;=E931,H931,H931+(Settings!$B$30-I931)+Settings!$B$31),H931+(Settings!$B$33-I931))</f>
        <v>2472.2599999999998</v>
      </c>
      <c r="K931" s="6">
        <f t="shared" si="350"/>
        <v>2496.2799999999997</v>
      </c>
      <c r="L931" s="6">
        <f t="shared" si="351"/>
        <v>2496.2799999999997</v>
      </c>
      <c r="M931" s="6">
        <f t="shared" si="360"/>
        <v>2486.3537114067176</v>
      </c>
      <c r="N931" s="6">
        <f t="shared" si="352"/>
        <v>2496.2799999999997</v>
      </c>
      <c r="O931" s="6">
        <f>Arrivals!I931</f>
        <v>1.0177812165111702</v>
      </c>
      <c r="P931" s="6">
        <f t="shared" si="353"/>
        <v>2497.2977812165109</v>
      </c>
      <c r="Q931" s="6">
        <f t="shared" si="354"/>
        <v>1918.2977812165109</v>
      </c>
      <c r="R931" s="6">
        <f t="shared" si="355"/>
        <v>1893.2599999999998</v>
      </c>
      <c r="S931" s="6">
        <f t="shared" si="356"/>
        <v>0</v>
      </c>
      <c r="T931" s="6">
        <f t="shared" si="357"/>
        <v>0</v>
      </c>
      <c r="U931" s="6">
        <f t="shared" si="358"/>
        <v>1893.2599999999998</v>
      </c>
      <c r="V931" s="6" t="str">
        <f>IF(MOD(C931-Settings!$B$32,Settings!$B$33)&lt;Settings!$B$30,"Up","Down")</f>
        <v>Up</v>
      </c>
      <c r="W931" s="6">
        <f>IF(OR(E931&gt;Settings!$B$30,Q931&gt;Settings!$B$37),0,1)</f>
        <v>0</v>
      </c>
      <c r="X931" s="6">
        <f>IF(AND(W931=1,Q931&lt;=Settings!$B$36),1,0)</f>
        <v>0</v>
      </c>
    </row>
    <row r="932" spans="1:24" x14ac:dyDescent="0.2">
      <c r="A932">
        <f>Arrivals!A932</f>
        <v>8</v>
      </c>
      <c r="B932">
        <f>Arrivals!B932</f>
        <v>87</v>
      </c>
      <c r="C932" s="6">
        <f>Arrivals!F932</f>
        <v>584</v>
      </c>
      <c r="D932" s="6">
        <f>Arrivals!K932</f>
        <v>300</v>
      </c>
      <c r="E932" s="6">
        <f>D932*8/ACE_Input!S92+ACE_Input!T92</f>
        <v>24.02</v>
      </c>
      <c r="F932" s="6">
        <f t="shared" si="348"/>
        <v>584</v>
      </c>
      <c r="G932" s="6">
        <f t="shared" si="359"/>
        <v>2496.2799999999997</v>
      </c>
      <c r="H932" s="6">
        <f t="shared" si="349"/>
        <v>2496.2799999999997</v>
      </c>
      <c r="I932" s="6">
        <f>MOD(H932-Settings!$B$32,Settings!$B$33)</f>
        <v>336.27999999999975</v>
      </c>
      <c r="J932" s="6">
        <f>IF(I932&lt;Settings!$B$30,IF(Settings!$B$30-I932&gt;=E932,H932,H932+(Settings!$B$30-I932)+Settings!$B$31),H932+(Settings!$B$33-I932))</f>
        <v>2496.2799999999997</v>
      </c>
      <c r="K932" s="6">
        <f t="shared" si="350"/>
        <v>2520.2999999999997</v>
      </c>
      <c r="L932" s="6">
        <f t="shared" si="351"/>
        <v>2520.2999999999997</v>
      </c>
      <c r="M932" s="6">
        <f t="shared" si="360"/>
        <v>2497.2977812165109</v>
      </c>
      <c r="N932" s="6">
        <f t="shared" si="352"/>
        <v>2520.2999999999997</v>
      </c>
      <c r="O932" s="6">
        <f>Arrivals!I932</f>
        <v>5.5780113958205506</v>
      </c>
      <c r="P932" s="6">
        <f t="shared" si="353"/>
        <v>2525.8780113958201</v>
      </c>
      <c r="Q932" s="6">
        <f t="shared" si="354"/>
        <v>1941.8780113958201</v>
      </c>
      <c r="R932" s="6">
        <f t="shared" si="355"/>
        <v>1912.2799999999997</v>
      </c>
      <c r="S932" s="6">
        <f t="shared" si="356"/>
        <v>0</v>
      </c>
      <c r="T932" s="6">
        <f t="shared" si="357"/>
        <v>0</v>
      </c>
      <c r="U932" s="6">
        <f t="shared" si="358"/>
        <v>1912.2799999999997</v>
      </c>
      <c r="V932" s="6" t="str">
        <f>IF(MOD(C932-Settings!$B$32,Settings!$B$33)&lt;Settings!$B$30,"Up","Down")</f>
        <v>Up</v>
      </c>
      <c r="W932" s="6">
        <f>IF(OR(E932&gt;Settings!$B$30,Q932&gt;Settings!$B$37),0,1)</f>
        <v>0</v>
      </c>
      <c r="X932" s="6">
        <f>IF(AND(W932=1,Q932&lt;=Settings!$B$36),1,0)</f>
        <v>0</v>
      </c>
    </row>
    <row r="933" spans="1:24" x14ac:dyDescent="0.2">
      <c r="A933">
        <f>Arrivals!A933</f>
        <v>8</v>
      </c>
      <c r="B933">
        <f>Arrivals!B933</f>
        <v>88</v>
      </c>
      <c r="C933" s="6">
        <f>Arrivals!F933</f>
        <v>589</v>
      </c>
      <c r="D933" s="6">
        <f>Arrivals!K933</f>
        <v>300</v>
      </c>
      <c r="E933" s="6">
        <f>D933*8/ACE_Input!S93+ACE_Input!T93</f>
        <v>24.02</v>
      </c>
      <c r="F933" s="6">
        <f t="shared" si="348"/>
        <v>589</v>
      </c>
      <c r="G933" s="6">
        <f t="shared" si="359"/>
        <v>2520.2999999999997</v>
      </c>
      <c r="H933" s="6">
        <f t="shared" si="349"/>
        <v>2520.2999999999997</v>
      </c>
      <c r="I933" s="6">
        <f>MOD(H933-Settings!$B$32,Settings!$B$33)</f>
        <v>360.29999999999973</v>
      </c>
      <c r="J933" s="6">
        <f>IF(I933&lt;Settings!$B$30,IF(Settings!$B$30-I933&gt;=E933,H933,H933+(Settings!$B$30-I933)+Settings!$B$31),H933+(Settings!$B$33-I933))</f>
        <v>2520.2999999999997</v>
      </c>
      <c r="K933" s="6">
        <f t="shared" si="350"/>
        <v>2544.3199999999997</v>
      </c>
      <c r="L933" s="6">
        <f t="shared" si="351"/>
        <v>2544.3199999999997</v>
      </c>
      <c r="M933" s="6">
        <f t="shared" si="360"/>
        <v>2525.8780113958201</v>
      </c>
      <c r="N933" s="6">
        <f t="shared" si="352"/>
        <v>2544.3199999999997</v>
      </c>
      <c r="O933" s="6">
        <f>Arrivals!I933</f>
        <v>3.6536281518721565</v>
      </c>
      <c r="P933" s="6">
        <f t="shared" si="353"/>
        <v>2547.9736281518717</v>
      </c>
      <c r="Q933" s="6">
        <f t="shared" si="354"/>
        <v>1958.9736281518717</v>
      </c>
      <c r="R933" s="6">
        <f t="shared" si="355"/>
        <v>1931.2999999999997</v>
      </c>
      <c r="S933" s="6">
        <f t="shared" si="356"/>
        <v>0</v>
      </c>
      <c r="T933" s="6">
        <f t="shared" si="357"/>
        <v>0</v>
      </c>
      <c r="U933" s="6">
        <f t="shared" si="358"/>
        <v>1931.2999999999997</v>
      </c>
      <c r="V933" s="6" t="str">
        <f>IF(MOD(C933-Settings!$B$32,Settings!$B$33)&lt;Settings!$B$30,"Up","Down")</f>
        <v>Up</v>
      </c>
      <c r="W933" s="6">
        <f>IF(OR(E933&gt;Settings!$B$30,Q933&gt;Settings!$B$37),0,1)</f>
        <v>0</v>
      </c>
      <c r="X933" s="6">
        <f>IF(AND(W933=1,Q933&lt;=Settings!$B$36),1,0)</f>
        <v>0</v>
      </c>
    </row>
    <row r="934" spans="1:24" x14ac:dyDescent="0.2">
      <c r="A934">
        <f>Arrivals!A934</f>
        <v>8</v>
      </c>
      <c r="B934">
        <f>Arrivals!B934</f>
        <v>89</v>
      </c>
      <c r="C934" s="6">
        <f>Arrivals!F934</f>
        <v>594</v>
      </c>
      <c r="D934" s="6">
        <f>Arrivals!K934</f>
        <v>300</v>
      </c>
      <c r="E934" s="6">
        <f>D934*8/ACE_Input!S94+ACE_Input!T94</f>
        <v>24.02</v>
      </c>
      <c r="F934" s="6">
        <f t="shared" si="348"/>
        <v>594</v>
      </c>
      <c r="G934" s="6">
        <f t="shared" si="359"/>
        <v>2544.3199999999997</v>
      </c>
      <c r="H934" s="6">
        <f t="shared" si="349"/>
        <v>2544.3199999999997</v>
      </c>
      <c r="I934" s="6">
        <f>MOD(H934-Settings!$B$32,Settings!$B$33)</f>
        <v>384.31999999999971</v>
      </c>
      <c r="J934" s="6">
        <f>IF(I934&lt;Settings!$B$30,IF(Settings!$B$30-I934&gt;=E934,H934,H934+(Settings!$B$30-I934)+Settings!$B$31),H934+(Settings!$B$33-I934))</f>
        <v>2544.3199999999997</v>
      </c>
      <c r="K934" s="6">
        <f t="shared" si="350"/>
        <v>2568.3399999999997</v>
      </c>
      <c r="L934" s="6">
        <f t="shared" si="351"/>
        <v>2568.3399999999997</v>
      </c>
      <c r="M934" s="6">
        <f t="shared" si="360"/>
        <v>2547.9736281518717</v>
      </c>
      <c r="N934" s="6">
        <f t="shared" si="352"/>
        <v>2568.3399999999997</v>
      </c>
      <c r="O934" s="6">
        <f>Arrivals!I934</f>
        <v>6.1582177610224456</v>
      </c>
      <c r="P934" s="6">
        <f t="shared" si="353"/>
        <v>2574.4982177610223</v>
      </c>
      <c r="Q934" s="6">
        <f t="shared" si="354"/>
        <v>1980.4982177610223</v>
      </c>
      <c r="R934" s="6">
        <f t="shared" si="355"/>
        <v>1950.3199999999997</v>
      </c>
      <c r="S934" s="6">
        <f t="shared" si="356"/>
        <v>0</v>
      </c>
      <c r="T934" s="6">
        <f t="shared" si="357"/>
        <v>0</v>
      </c>
      <c r="U934" s="6">
        <f t="shared" si="358"/>
        <v>1950.3199999999997</v>
      </c>
      <c r="V934" s="6" t="str">
        <f>IF(MOD(C934-Settings!$B$32,Settings!$B$33)&lt;Settings!$B$30,"Up","Down")</f>
        <v>Up</v>
      </c>
      <c r="W934" s="6">
        <f>IF(OR(E934&gt;Settings!$B$30,Q934&gt;Settings!$B$37),0,1)</f>
        <v>0</v>
      </c>
      <c r="X934" s="6">
        <f>IF(AND(W934=1,Q934&lt;=Settings!$B$36),1,0)</f>
        <v>0</v>
      </c>
    </row>
    <row r="935" spans="1:24" x14ac:dyDescent="0.2">
      <c r="A935">
        <f>Arrivals!A935</f>
        <v>8</v>
      </c>
      <c r="B935">
        <f>Arrivals!B935</f>
        <v>90</v>
      </c>
      <c r="C935" s="6">
        <f>Arrivals!F935</f>
        <v>599</v>
      </c>
      <c r="D935" s="6">
        <f>Arrivals!K935</f>
        <v>300</v>
      </c>
      <c r="E935" s="6">
        <f>D935*8/ACE_Input!S95+ACE_Input!T95</f>
        <v>24.02</v>
      </c>
      <c r="F935" s="6">
        <f t="shared" si="348"/>
        <v>599</v>
      </c>
      <c r="G935" s="6">
        <f t="shared" si="359"/>
        <v>2568.3399999999997</v>
      </c>
      <c r="H935" s="6">
        <f t="shared" si="349"/>
        <v>2568.3399999999997</v>
      </c>
      <c r="I935" s="6">
        <f>MOD(H935-Settings!$B$32,Settings!$B$33)</f>
        <v>408.33999999999969</v>
      </c>
      <c r="J935" s="6">
        <f>IF(I935&lt;Settings!$B$30,IF(Settings!$B$30-I935&gt;=E935,H935,H935+(Settings!$B$30-I935)+Settings!$B$31),H935+(Settings!$B$33-I935))</f>
        <v>2568.3399999999997</v>
      </c>
      <c r="K935" s="6">
        <f t="shared" si="350"/>
        <v>2592.3599999999997</v>
      </c>
      <c r="L935" s="6">
        <f t="shared" si="351"/>
        <v>2592.3599999999997</v>
      </c>
      <c r="M935" s="6">
        <f t="shared" si="360"/>
        <v>2574.4982177610223</v>
      </c>
      <c r="N935" s="6">
        <f t="shared" si="352"/>
        <v>2592.3599999999997</v>
      </c>
      <c r="O935" s="6">
        <f>Arrivals!I935</f>
        <v>1.3760102308002566</v>
      </c>
      <c r="P935" s="6">
        <f t="shared" si="353"/>
        <v>2593.7360102307998</v>
      </c>
      <c r="Q935" s="6">
        <f t="shared" si="354"/>
        <v>1994.7360102307998</v>
      </c>
      <c r="R935" s="6">
        <f t="shared" si="355"/>
        <v>1969.3399999999997</v>
      </c>
      <c r="S935" s="6">
        <f t="shared" si="356"/>
        <v>0</v>
      </c>
      <c r="T935" s="6">
        <f t="shared" si="357"/>
        <v>0</v>
      </c>
      <c r="U935" s="6">
        <f t="shared" si="358"/>
        <v>1969.3399999999997</v>
      </c>
      <c r="V935" s="6" t="str">
        <f>IF(MOD(C935-Settings!$B$32,Settings!$B$33)&lt;Settings!$B$30,"Up","Down")</f>
        <v>Up</v>
      </c>
      <c r="W935" s="6">
        <f>IF(OR(E935&gt;Settings!$B$30,Q935&gt;Settings!$B$37),0,1)</f>
        <v>0</v>
      </c>
      <c r="X935" s="6">
        <f>IF(AND(W935=1,Q935&lt;=Settings!$B$36),1,0)</f>
        <v>0</v>
      </c>
    </row>
    <row r="936" spans="1:24" x14ac:dyDescent="0.2">
      <c r="A936">
        <f>Arrivals!A936</f>
        <v>8</v>
      </c>
      <c r="B936">
        <f>Arrivals!B936</f>
        <v>91</v>
      </c>
      <c r="C936" s="6">
        <f>Arrivals!F936</f>
        <v>604</v>
      </c>
      <c r="D936" s="6">
        <f>Arrivals!K936</f>
        <v>300</v>
      </c>
      <c r="E936" s="6">
        <f>D936*8/ACE_Input!S96+ACE_Input!T96</f>
        <v>24.02</v>
      </c>
      <c r="F936" s="6">
        <f t="shared" si="348"/>
        <v>604</v>
      </c>
      <c r="G936" s="6">
        <f t="shared" si="359"/>
        <v>2592.3599999999997</v>
      </c>
      <c r="H936" s="6">
        <f t="shared" si="349"/>
        <v>2592.3599999999997</v>
      </c>
      <c r="I936" s="6">
        <f>MOD(H936-Settings!$B$32,Settings!$B$33)</f>
        <v>432.35999999999967</v>
      </c>
      <c r="J936" s="6">
        <f>IF(I936&lt;Settings!$B$30,IF(Settings!$B$30-I936&gt;=E936,H936,H936+(Settings!$B$30-I936)+Settings!$B$31),H936+(Settings!$B$33-I936))</f>
        <v>2592.3599999999997</v>
      </c>
      <c r="K936" s="6">
        <f t="shared" si="350"/>
        <v>2616.3799999999997</v>
      </c>
      <c r="L936" s="6">
        <f t="shared" si="351"/>
        <v>2616.3799999999997</v>
      </c>
      <c r="M936" s="6">
        <f t="shared" si="360"/>
        <v>2593.7360102307998</v>
      </c>
      <c r="N936" s="6">
        <f t="shared" si="352"/>
        <v>2616.3799999999997</v>
      </c>
      <c r="O936" s="6">
        <f>Arrivals!I936</f>
        <v>0.25594093086502295</v>
      </c>
      <c r="P936" s="6">
        <f t="shared" si="353"/>
        <v>2616.6359409308648</v>
      </c>
      <c r="Q936" s="6">
        <f t="shared" si="354"/>
        <v>2012.6359409308648</v>
      </c>
      <c r="R936" s="6">
        <f t="shared" si="355"/>
        <v>1988.3599999999997</v>
      </c>
      <c r="S936" s="6">
        <f t="shared" si="356"/>
        <v>0</v>
      </c>
      <c r="T936" s="6">
        <f t="shared" si="357"/>
        <v>0</v>
      </c>
      <c r="U936" s="6">
        <f t="shared" si="358"/>
        <v>1988.3599999999997</v>
      </c>
      <c r="V936" s="6" t="str">
        <f>IF(MOD(C936-Settings!$B$32,Settings!$B$33)&lt;Settings!$B$30,"Up","Down")</f>
        <v>Down</v>
      </c>
      <c r="W936" s="6">
        <f>IF(OR(E936&gt;Settings!$B$30,Q936&gt;Settings!$B$37),0,1)</f>
        <v>0</v>
      </c>
      <c r="X936" s="6">
        <f>IF(AND(W936=1,Q936&lt;=Settings!$B$36),1,0)</f>
        <v>0</v>
      </c>
    </row>
    <row r="937" spans="1:24" x14ac:dyDescent="0.2">
      <c r="A937">
        <f>Arrivals!A937</f>
        <v>8</v>
      </c>
      <c r="B937">
        <f>Arrivals!B937</f>
        <v>92</v>
      </c>
      <c r="C937" s="6">
        <f>Arrivals!F937</f>
        <v>609</v>
      </c>
      <c r="D937" s="6">
        <f>Arrivals!K937</f>
        <v>300</v>
      </c>
      <c r="E937" s="6">
        <f>D937*8/ACE_Input!S97+ACE_Input!T97</f>
        <v>24.02</v>
      </c>
      <c r="F937" s="6">
        <f t="shared" si="348"/>
        <v>609</v>
      </c>
      <c r="G937" s="6">
        <f t="shared" si="359"/>
        <v>2616.3799999999997</v>
      </c>
      <c r="H937" s="6">
        <f t="shared" si="349"/>
        <v>2616.3799999999997</v>
      </c>
      <c r="I937" s="6">
        <f>MOD(H937-Settings!$B$32,Settings!$B$33)</f>
        <v>456.37999999999965</v>
      </c>
      <c r="J937" s="6">
        <f>IF(I937&lt;Settings!$B$30,IF(Settings!$B$30-I937&gt;=E937,H937,H937+(Settings!$B$30-I937)+Settings!$B$31),H937+(Settings!$B$33-I937))</f>
        <v>2616.3799999999997</v>
      </c>
      <c r="K937" s="6">
        <f t="shared" si="350"/>
        <v>2640.3999999999996</v>
      </c>
      <c r="L937" s="6">
        <f t="shared" si="351"/>
        <v>2640.3999999999996</v>
      </c>
      <c r="M937" s="6">
        <f t="shared" si="360"/>
        <v>2616.6359409308648</v>
      </c>
      <c r="N937" s="6">
        <f t="shared" si="352"/>
        <v>2640.3999999999996</v>
      </c>
      <c r="O937" s="6">
        <f>Arrivals!I937</f>
        <v>5.0515550620204115</v>
      </c>
      <c r="P937" s="6">
        <f t="shared" si="353"/>
        <v>2645.4515550620199</v>
      </c>
      <c r="Q937" s="6">
        <f t="shared" si="354"/>
        <v>2036.4515550620199</v>
      </c>
      <c r="R937" s="6">
        <f t="shared" si="355"/>
        <v>2007.3799999999997</v>
      </c>
      <c r="S937" s="6">
        <f t="shared" si="356"/>
        <v>0</v>
      </c>
      <c r="T937" s="6">
        <f t="shared" si="357"/>
        <v>0</v>
      </c>
      <c r="U937" s="6">
        <f t="shared" si="358"/>
        <v>2007.3799999999997</v>
      </c>
      <c r="V937" s="6" t="str">
        <f>IF(MOD(C937-Settings!$B$32,Settings!$B$33)&lt;Settings!$B$30,"Up","Down")</f>
        <v>Down</v>
      </c>
      <c r="W937" s="6">
        <f>IF(OR(E937&gt;Settings!$B$30,Q937&gt;Settings!$B$37),0,1)</f>
        <v>0</v>
      </c>
      <c r="X937" s="6">
        <f>IF(AND(W937=1,Q937&lt;=Settings!$B$36),1,0)</f>
        <v>0</v>
      </c>
    </row>
    <row r="938" spans="1:24" x14ac:dyDescent="0.2">
      <c r="A938">
        <f>Arrivals!A938</f>
        <v>8</v>
      </c>
      <c r="B938">
        <f>Arrivals!B938</f>
        <v>93</v>
      </c>
      <c r="C938" s="6">
        <f>Arrivals!F938</f>
        <v>614</v>
      </c>
      <c r="D938" s="6">
        <f>Arrivals!K938</f>
        <v>300</v>
      </c>
      <c r="E938" s="6">
        <f>D938*8/ACE_Input!S98+ACE_Input!T98</f>
        <v>24.02</v>
      </c>
      <c r="F938" s="6">
        <f t="shared" si="348"/>
        <v>614</v>
      </c>
      <c r="G938" s="6">
        <f t="shared" si="359"/>
        <v>2640.3999999999996</v>
      </c>
      <c r="H938" s="6">
        <f t="shared" si="349"/>
        <v>2640.3999999999996</v>
      </c>
      <c r="I938" s="6">
        <f>MOD(H938-Settings!$B$32,Settings!$B$33)</f>
        <v>480.39999999999964</v>
      </c>
      <c r="J938" s="6">
        <f>IF(I938&lt;Settings!$B$30,IF(Settings!$B$30-I938&gt;=E938,H938,H938+(Settings!$B$30-I938)+Settings!$B$31),H938+(Settings!$B$33-I938))</f>
        <v>2640.3999999999996</v>
      </c>
      <c r="K938" s="6">
        <f t="shared" si="350"/>
        <v>2664.4199999999996</v>
      </c>
      <c r="L938" s="6">
        <f t="shared" si="351"/>
        <v>2664.4199999999996</v>
      </c>
      <c r="M938" s="6">
        <f t="shared" si="360"/>
        <v>2645.4515550620199</v>
      </c>
      <c r="N938" s="6">
        <f t="shared" si="352"/>
        <v>2664.4199999999996</v>
      </c>
      <c r="O938" s="6">
        <f>Arrivals!I938</f>
        <v>1.9039406027773267</v>
      </c>
      <c r="P938" s="6">
        <f t="shared" si="353"/>
        <v>2666.3239406027769</v>
      </c>
      <c r="Q938" s="6">
        <f t="shared" si="354"/>
        <v>2052.3239406027769</v>
      </c>
      <c r="R938" s="6">
        <f t="shared" si="355"/>
        <v>2026.3999999999996</v>
      </c>
      <c r="S938" s="6">
        <f t="shared" si="356"/>
        <v>0</v>
      </c>
      <c r="T938" s="6">
        <f t="shared" si="357"/>
        <v>0</v>
      </c>
      <c r="U938" s="6">
        <f t="shared" si="358"/>
        <v>2026.3999999999996</v>
      </c>
      <c r="V938" s="6" t="str">
        <f>IF(MOD(C938-Settings!$B$32,Settings!$B$33)&lt;Settings!$B$30,"Up","Down")</f>
        <v>Down</v>
      </c>
      <c r="W938" s="6">
        <f>IF(OR(E938&gt;Settings!$B$30,Q938&gt;Settings!$B$37),0,1)</f>
        <v>0</v>
      </c>
      <c r="X938" s="6">
        <f>IF(AND(W938=1,Q938&lt;=Settings!$B$36),1,0)</f>
        <v>0</v>
      </c>
    </row>
    <row r="939" spans="1:24" x14ac:dyDescent="0.2">
      <c r="A939">
        <f>Arrivals!A939</f>
        <v>8</v>
      </c>
      <c r="B939">
        <f>Arrivals!B939</f>
        <v>94</v>
      </c>
      <c r="C939" s="6">
        <f>Arrivals!F939</f>
        <v>619</v>
      </c>
      <c r="D939" s="6">
        <f>Arrivals!K939</f>
        <v>300</v>
      </c>
      <c r="E939" s="6">
        <f>D939*8/ACE_Input!S99+ACE_Input!T99</f>
        <v>24.02</v>
      </c>
      <c r="F939" s="6">
        <f t="shared" si="348"/>
        <v>619</v>
      </c>
      <c r="G939" s="6">
        <f t="shared" si="359"/>
        <v>2664.4199999999996</v>
      </c>
      <c r="H939" s="6">
        <f t="shared" si="349"/>
        <v>2664.4199999999996</v>
      </c>
      <c r="I939" s="6">
        <f>MOD(H939-Settings!$B$32,Settings!$B$33)</f>
        <v>504.41999999999962</v>
      </c>
      <c r="J939" s="6">
        <f>IF(I939&lt;Settings!$B$30,IF(Settings!$B$30-I939&gt;=E939,H939,H939+(Settings!$B$30-I939)+Settings!$B$31),H939+(Settings!$B$33-I939))</f>
        <v>2664.4199999999996</v>
      </c>
      <c r="K939" s="6">
        <f t="shared" si="350"/>
        <v>2688.4399999999996</v>
      </c>
      <c r="L939" s="6">
        <f t="shared" si="351"/>
        <v>2688.4399999999996</v>
      </c>
      <c r="M939" s="6">
        <f t="shared" si="360"/>
        <v>2666.3239406027769</v>
      </c>
      <c r="N939" s="6">
        <f t="shared" si="352"/>
        <v>2688.4399999999996</v>
      </c>
      <c r="O939" s="6">
        <f>Arrivals!I939</f>
        <v>1.2566658828370449</v>
      </c>
      <c r="P939" s="6">
        <f t="shared" si="353"/>
        <v>2689.6966658828364</v>
      </c>
      <c r="Q939" s="6">
        <f t="shared" si="354"/>
        <v>2070.6966658828364</v>
      </c>
      <c r="R939" s="6">
        <f t="shared" si="355"/>
        <v>2045.4199999999996</v>
      </c>
      <c r="S939" s="6">
        <f t="shared" si="356"/>
        <v>0</v>
      </c>
      <c r="T939" s="6">
        <f t="shared" si="357"/>
        <v>0</v>
      </c>
      <c r="U939" s="6">
        <f t="shared" si="358"/>
        <v>2045.4199999999996</v>
      </c>
      <c r="V939" s="6" t="str">
        <f>IF(MOD(C939-Settings!$B$32,Settings!$B$33)&lt;Settings!$B$30,"Up","Down")</f>
        <v>Down</v>
      </c>
      <c r="W939" s="6">
        <f>IF(OR(E939&gt;Settings!$B$30,Q939&gt;Settings!$B$37),0,1)</f>
        <v>0</v>
      </c>
      <c r="X939" s="6">
        <f>IF(AND(W939=1,Q939&lt;=Settings!$B$36),1,0)</f>
        <v>0</v>
      </c>
    </row>
    <row r="940" spans="1:24" x14ac:dyDescent="0.2">
      <c r="A940">
        <f>Arrivals!A940</f>
        <v>8</v>
      </c>
      <c r="B940">
        <f>Arrivals!B940</f>
        <v>95</v>
      </c>
      <c r="C940" s="6">
        <f>Arrivals!F940</f>
        <v>624</v>
      </c>
      <c r="D940" s="6">
        <f>Arrivals!K940</f>
        <v>300</v>
      </c>
      <c r="E940" s="6">
        <f>D940*8/ACE_Input!S100+ACE_Input!T100</f>
        <v>24.02</v>
      </c>
      <c r="F940" s="6">
        <f t="shared" si="348"/>
        <v>624</v>
      </c>
      <c r="G940" s="6">
        <f t="shared" si="359"/>
        <v>2688.4399999999996</v>
      </c>
      <c r="H940" s="6">
        <f t="shared" si="349"/>
        <v>2688.4399999999996</v>
      </c>
      <c r="I940" s="6">
        <f>MOD(H940-Settings!$B$32,Settings!$B$33)</f>
        <v>528.4399999999996</v>
      </c>
      <c r="J940" s="6">
        <f>IF(I940&lt;Settings!$B$30,IF(Settings!$B$30-I940&gt;=E940,H940,H940+(Settings!$B$30-I940)+Settings!$B$31),H940+(Settings!$B$33-I940))</f>
        <v>2688.4399999999996</v>
      </c>
      <c r="K940" s="6">
        <f t="shared" si="350"/>
        <v>2712.4599999999996</v>
      </c>
      <c r="L940" s="6">
        <f t="shared" si="351"/>
        <v>2712.4599999999996</v>
      </c>
      <c r="M940" s="6">
        <f t="shared" si="360"/>
        <v>2689.6966658828364</v>
      </c>
      <c r="N940" s="6">
        <f t="shared" si="352"/>
        <v>2712.4599999999996</v>
      </c>
      <c r="O940" s="6">
        <f>Arrivals!I940</f>
        <v>0.94503283470219279</v>
      </c>
      <c r="P940" s="6">
        <f t="shared" si="353"/>
        <v>2713.4050328347016</v>
      </c>
      <c r="Q940" s="6">
        <f t="shared" si="354"/>
        <v>2089.4050328347016</v>
      </c>
      <c r="R940" s="6">
        <f t="shared" si="355"/>
        <v>2064.4399999999996</v>
      </c>
      <c r="S940" s="6">
        <f t="shared" si="356"/>
        <v>0</v>
      </c>
      <c r="T940" s="6">
        <f t="shared" si="357"/>
        <v>0</v>
      </c>
      <c r="U940" s="6">
        <f t="shared" si="358"/>
        <v>2064.4399999999996</v>
      </c>
      <c r="V940" s="6" t="str">
        <f>IF(MOD(C940-Settings!$B$32,Settings!$B$33)&lt;Settings!$B$30,"Up","Down")</f>
        <v>Down</v>
      </c>
      <c r="W940" s="6">
        <f>IF(OR(E940&gt;Settings!$B$30,Q940&gt;Settings!$B$37),0,1)</f>
        <v>0</v>
      </c>
      <c r="X940" s="6">
        <f>IF(AND(W940=1,Q940&lt;=Settings!$B$36),1,0)</f>
        <v>0</v>
      </c>
    </row>
    <row r="941" spans="1:24" x14ac:dyDescent="0.2">
      <c r="A941">
        <f>Arrivals!A941</f>
        <v>8</v>
      </c>
      <c r="B941">
        <f>Arrivals!B941</f>
        <v>96</v>
      </c>
      <c r="C941" s="6">
        <f>Arrivals!F941</f>
        <v>629</v>
      </c>
      <c r="D941" s="6">
        <f>Arrivals!K941</f>
        <v>300</v>
      </c>
      <c r="E941" s="6">
        <f>D941*8/ACE_Input!S101+ACE_Input!T101</f>
        <v>24.02</v>
      </c>
      <c r="F941" s="6">
        <f t="shared" si="348"/>
        <v>629</v>
      </c>
      <c r="G941" s="6">
        <f t="shared" si="359"/>
        <v>2712.4599999999996</v>
      </c>
      <c r="H941" s="6">
        <f t="shared" si="349"/>
        <v>2712.4599999999996</v>
      </c>
      <c r="I941" s="6">
        <f>MOD(H941-Settings!$B$32,Settings!$B$33)</f>
        <v>552.45999999999958</v>
      </c>
      <c r="J941" s="6">
        <f>IF(I941&lt;Settings!$B$30,IF(Settings!$B$30-I941&gt;=E941,H941,H941+(Settings!$B$30-I941)+Settings!$B$31),H941+(Settings!$B$33-I941))</f>
        <v>2712.4599999999996</v>
      </c>
      <c r="K941" s="6">
        <f t="shared" si="350"/>
        <v>2736.4799999999996</v>
      </c>
      <c r="L941" s="6">
        <f t="shared" si="351"/>
        <v>2736.4799999999996</v>
      </c>
      <c r="M941" s="6">
        <f t="shared" si="360"/>
        <v>2713.4050328347016</v>
      </c>
      <c r="N941" s="6">
        <f t="shared" si="352"/>
        <v>2736.4799999999996</v>
      </c>
      <c r="O941" s="6">
        <f>Arrivals!I941</f>
        <v>3.5005220078969188</v>
      </c>
      <c r="P941" s="6">
        <f t="shared" si="353"/>
        <v>2739.9805220078965</v>
      </c>
      <c r="Q941" s="6">
        <f t="shared" si="354"/>
        <v>2110.9805220078965</v>
      </c>
      <c r="R941" s="6">
        <f t="shared" si="355"/>
        <v>2083.4599999999996</v>
      </c>
      <c r="S941" s="6">
        <f t="shared" si="356"/>
        <v>0</v>
      </c>
      <c r="T941" s="6">
        <f t="shared" si="357"/>
        <v>0</v>
      </c>
      <c r="U941" s="6">
        <f t="shared" si="358"/>
        <v>2083.4599999999996</v>
      </c>
      <c r="V941" s="6" t="str">
        <f>IF(MOD(C941-Settings!$B$32,Settings!$B$33)&lt;Settings!$B$30,"Up","Down")</f>
        <v>Down</v>
      </c>
      <c r="W941" s="6">
        <f>IF(OR(E941&gt;Settings!$B$30,Q941&gt;Settings!$B$37),0,1)</f>
        <v>0</v>
      </c>
      <c r="X941" s="6">
        <f>IF(AND(W941=1,Q941&lt;=Settings!$B$36),1,0)</f>
        <v>0</v>
      </c>
    </row>
    <row r="942" spans="1:24" x14ac:dyDescent="0.2">
      <c r="A942">
        <f>Arrivals!A942</f>
        <v>8</v>
      </c>
      <c r="B942">
        <f>Arrivals!B942</f>
        <v>97</v>
      </c>
      <c r="C942" s="6">
        <f>Arrivals!F942</f>
        <v>634</v>
      </c>
      <c r="D942" s="6">
        <f>Arrivals!K942</f>
        <v>300</v>
      </c>
      <c r="E942" s="6">
        <f>D942*8/ACE_Input!S102+ACE_Input!T102</f>
        <v>24.02</v>
      </c>
      <c r="F942" s="6">
        <f t="shared" si="348"/>
        <v>634</v>
      </c>
      <c r="G942" s="6">
        <f t="shared" si="359"/>
        <v>2736.4799999999996</v>
      </c>
      <c r="H942" s="6">
        <f t="shared" ref="H942:H945" si="361">MAX(F942,G942)</f>
        <v>2736.4799999999996</v>
      </c>
      <c r="I942" s="6">
        <f>MOD(H942-Settings!$B$32,Settings!$B$33)</f>
        <v>576.47999999999956</v>
      </c>
      <c r="J942" s="6">
        <f>IF(I942&lt;Settings!$B$30,IF(Settings!$B$30-I942&gt;=E942,H942,H942+(Settings!$B$30-I942)+Settings!$B$31),H942+(Settings!$B$33-I942))</f>
        <v>2880</v>
      </c>
      <c r="K942" s="6">
        <f t="shared" ref="K942:K945" si="362">J942+E942</f>
        <v>2904.02</v>
      </c>
      <c r="L942" s="6">
        <f t="shared" ref="L942:L945" si="363">K942</f>
        <v>2904.02</v>
      </c>
      <c r="M942" s="6">
        <f t="shared" si="360"/>
        <v>2739.9805220078965</v>
      </c>
      <c r="N942" s="6">
        <f t="shared" ref="N942:N945" si="364">MAX(L942,M942)</f>
        <v>2904.02</v>
      </c>
      <c r="O942" s="6">
        <f>Arrivals!I942</f>
        <v>5.0112313354855242</v>
      </c>
      <c r="P942" s="6">
        <f t="shared" ref="P942:P945" si="365">N942+O942</f>
        <v>2909.0312313354857</v>
      </c>
      <c r="Q942" s="6">
        <f t="shared" ref="Q942:Q945" si="366">P942-C942</f>
        <v>2275.0312313354857</v>
      </c>
      <c r="R942" s="6">
        <f t="shared" si="355"/>
        <v>2102.4799999999996</v>
      </c>
      <c r="S942" s="6">
        <f t="shared" si="356"/>
        <v>143.52000000000044</v>
      </c>
      <c r="T942" s="6">
        <f t="shared" si="357"/>
        <v>0</v>
      </c>
      <c r="U942" s="6">
        <f t="shared" ref="U942:U945" si="367">R942+S942+T942</f>
        <v>2246</v>
      </c>
      <c r="V942" s="6" t="str">
        <f>IF(MOD(C942-Settings!$B$32,Settings!$B$33)&lt;Settings!$B$30,"Up","Down")</f>
        <v>Down</v>
      </c>
      <c r="W942" s="6">
        <f>IF(OR(E942&gt;Settings!$B$30,Q942&gt;Settings!$B$37),0,1)</f>
        <v>0</v>
      </c>
      <c r="X942" s="6">
        <f>IF(AND(W942=1,Q942&lt;=Settings!$B$36),1,0)</f>
        <v>0</v>
      </c>
    </row>
    <row r="943" spans="1:24" x14ac:dyDescent="0.2">
      <c r="A943">
        <f>Arrivals!A943</f>
        <v>8</v>
      </c>
      <c r="B943">
        <f>Arrivals!B943</f>
        <v>98</v>
      </c>
      <c r="C943" s="6">
        <f>Arrivals!F943</f>
        <v>639</v>
      </c>
      <c r="D943" s="6">
        <f>Arrivals!K943</f>
        <v>300</v>
      </c>
      <c r="E943" s="6">
        <f>D943*8/ACE_Input!S103+ACE_Input!T103</f>
        <v>24.02</v>
      </c>
      <c r="F943" s="6">
        <f t="shared" si="348"/>
        <v>639</v>
      </c>
      <c r="G943" s="6">
        <f t="shared" si="359"/>
        <v>2904.02</v>
      </c>
      <c r="H943" s="6">
        <f t="shared" si="361"/>
        <v>2904.02</v>
      </c>
      <c r="I943" s="6">
        <f>MOD(H943-Settings!$B$32,Settings!$B$33)</f>
        <v>24.019999999999982</v>
      </c>
      <c r="J943" s="6">
        <f>IF(I943&lt;Settings!$B$30,IF(Settings!$B$30-I943&gt;=E943,H943,H943+(Settings!$B$30-I943)+Settings!$B$31),H943+(Settings!$B$33-I943))</f>
        <v>2904.02</v>
      </c>
      <c r="K943" s="6">
        <f t="shared" si="362"/>
        <v>2928.04</v>
      </c>
      <c r="L943" s="6">
        <f t="shared" si="363"/>
        <v>2928.04</v>
      </c>
      <c r="M943" s="6">
        <f t="shared" si="360"/>
        <v>2909.0312313354857</v>
      </c>
      <c r="N943" s="6">
        <f t="shared" si="364"/>
        <v>2928.04</v>
      </c>
      <c r="O943" s="6">
        <f>Arrivals!I943</f>
        <v>0.97052229749411389</v>
      </c>
      <c r="P943" s="6">
        <f t="shared" si="365"/>
        <v>2929.0105222974939</v>
      </c>
      <c r="Q943" s="6">
        <f t="shared" si="366"/>
        <v>2290.0105222974939</v>
      </c>
      <c r="R943" s="6">
        <f t="shared" si="355"/>
        <v>2265.02</v>
      </c>
      <c r="S943" s="6">
        <f t="shared" si="356"/>
        <v>0</v>
      </c>
      <c r="T943" s="6">
        <f t="shared" si="357"/>
        <v>0</v>
      </c>
      <c r="U943" s="6">
        <f t="shared" si="367"/>
        <v>2265.02</v>
      </c>
      <c r="V943" s="6" t="str">
        <f>IF(MOD(C943-Settings!$B$32,Settings!$B$33)&lt;Settings!$B$30,"Up","Down")</f>
        <v>Down</v>
      </c>
      <c r="W943" s="6">
        <f>IF(OR(E943&gt;Settings!$B$30,Q943&gt;Settings!$B$37),0,1)</f>
        <v>0</v>
      </c>
      <c r="X943" s="6">
        <f>IF(AND(W943=1,Q943&lt;=Settings!$B$36),1,0)</f>
        <v>0</v>
      </c>
    </row>
    <row r="944" spans="1:24" x14ac:dyDescent="0.2">
      <c r="A944">
        <f>Arrivals!A944</f>
        <v>8</v>
      </c>
      <c r="B944">
        <f>Arrivals!B944</f>
        <v>99</v>
      </c>
      <c r="C944" s="6">
        <f>Arrivals!F944</f>
        <v>684</v>
      </c>
      <c r="D944" s="6">
        <f>Arrivals!K944</f>
        <v>300</v>
      </c>
      <c r="E944" s="6">
        <f>D944*8/ACE_Input!S104+ACE_Input!T104</f>
        <v>24.02</v>
      </c>
      <c r="F944" s="6">
        <f t="shared" si="348"/>
        <v>684</v>
      </c>
      <c r="G944" s="6">
        <f t="shared" si="359"/>
        <v>2928.04</v>
      </c>
      <c r="H944" s="6">
        <f t="shared" si="361"/>
        <v>2928.04</v>
      </c>
      <c r="I944" s="6">
        <f>MOD(H944-Settings!$B$32,Settings!$B$33)</f>
        <v>48.039999999999964</v>
      </c>
      <c r="J944" s="6">
        <f>IF(I944&lt;Settings!$B$30,IF(Settings!$B$30-I944&gt;=E944,H944,H944+(Settings!$B$30-I944)+Settings!$B$31),H944+(Settings!$B$33-I944))</f>
        <v>2928.04</v>
      </c>
      <c r="K944" s="6">
        <f t="shared" si="362"/>
        <v>2952.06</v>
      </c>
      <c r="L944" s="6">
        <f t="shared" si="363"/>
        <v>2952.06</v>
      </c>
      <c r="M944" s="6">
        <f t="shared" si="360"/>
        <v>2929.0105222974939</v>
      </c>
      <c r="N944" s="6">
        <f t="shared" si="364"/>
        <v>2952.06</v>
      </c>
      <c r="O944" s="6">
        <f>Arrivals!I944</f>
        <v>8.4240108974075909</v>
      </c>
      <c r="P944" s="6">
        <f t="shared" si="365"/>
        <v>2960.4840108974076</v>
      </c>
      <c r="Q944" s="6">
        <f t="shared" si="366"/>
        <v>2276.4840108974076</v>
      </c>
      <c r="R944" s="6">
        <f t="shared" si="355"/>
        <v>2244.04</v>
      </c>
      <c r="S944" s="6">
        <f t="shared" si="356"/>
        <v>0</v>
      </c>
      <c r="T944" s="6">
        <f t="shared" si="357"/>
        <v>0</v>
      </c>
      <c r="U944" s="6">
        <f t="shared" si="367"/>
        <v>2244.04</v>
      </c>
      <c r="V944" s="6" t="str">
        <f>IF(MOD(C944-Settings!$B$32,Settings!$B$33)&lt;Settings!$B$30,"Up","Down")</f>
        <v>Down</v>
      </c>
      <c r="W944" s="6">
        <f>IF(OR(E944&gt;Settings!$B$30,Q944&gt;Settings!$B$37),0,1)</f>
        <v>0</v>
      </c>
      <c r="X944" s="6">
        <f>IF(AND(W944=1,Q944&lt;=Settings!$B$36),1,0)</f>
        <v>0</v>
      </c>
    </row>
    <row r="945" spans="1:24" x14ac:dyDescent="0.2">
      <c r="A945">
        <f>Arrivals!A945</f>
        <v>8</v>
      </c>
      <c r="B945">
        <f>Arrivals!B945</f>
        <v>100</v>
      </c>
      <c r="C945" s="6">
        <f>Arrivals!F945</f>
        <v>689</v>
      </c>
      <c r="D945" s="6">
        <f>Arrivals!K945</f>
        <v>300</v>
      </c>
      <c r="E945" s="6">
        <f>D945*8/ACE_Input!S105+ACE_Input!T105</f>
        <v>24.02</v>
      </c>
      <c r="F945" s="6">
        <f t="shared" si="348"/>
        <v>689</v>
      </c>
      <c r="G945" s="6">
        <f t="shared" si="359"/>
        <v>2952.06</v>
      </c>
      <c r="H945" s="6">
        <f t="shared" si="361"/>
        <v>2952.06</v>
      </c>
      <c r="I945" s="6">
        <f>MOD(H945-Settings!$B$32,Settings!$B$33)</f>
        <v>72.059999999999945</v>
      </c>
      <c r="J945" s="6">
        <f>IF(I945&lt;Settings!$B$30,IF(Settings!$B$30-I945&gt;=E945,H945,H945+(Settings!$B$30-I945)+Settings!$B$31),H945+(Settings!$B$33-I945))</f>
        <v>2952.06</v>
      </c>
      <c r="K945" s="6">
        <f t="shared" si="362"/>
        <v>2976.08</v>
      </c>
      <c r="L945" s="6">
        <f t="shared" si="363"/>
        <v>2976.08</v>
      </c>
      <c r="M945" s="6">
        <f t="shared" si="360"/>
        <v>2960.4840108974076</v>
      </c>
      <c r="N945" s="6">
        <f t="shared" si="364"/>
        <v>2976.08</v>
      </c>
      <c r="O945" s="6">
        <f>Arrivals!I945</f>
        <v>0.85357853804296802</v>
      </c>
      <c r="P945" s="6">
        <f t="shared" si="365"/>
        <v>2976.9335785380431</v>
      </c>
      <c r="Q945" s="6">
        <f t="shared" si="366"/>
        <v>2287.9335785380431</v>
      </c>
      <c r="R945" s="6">
        <f t="shared" si="355"/>
        <v>2263.06</v>
      </c>
      <c r="S945" s="6">
        <f t="shared" si="356"/>
        <v>0</v>
      </c>
      <c r="T945" s="6">
        <f t="shared" si="357"/>
        <v>0</v>
      </c>
      <c r="U945" s="6">
        <f t="shared" si="367"/>
        <v>2263.06</v>
      </c>
      <c r="V945" s="6" t="str">
        <f>IF(MOD(C945-Settings!$B$32,Settings!$B$33)&lt;Settings!$B$30,"Up","Down")</f>
        <v>Down</v>
      </c>
      <c r="W945" s="6">
        <f>IF(OR(E945&gt;Settings!$B$30,Q945&gt;Settings!$B$37),0,1)</f>
        <v>0</v>
      </c>
      <c r="X945" s="6">
        <f>IF(AND(W945=1,Q945&lt;=Settings!$B$36),1,0)</f>
        <v>0</v>
      </c>
    </row>
    <row r="946" spans="1:24" x14ac:dyDescent="0.2">
      <c r="C946" s="6"/>
      <c r="D946" s="6"/>
      <c r="E946" s="6"/>
      <c r="F946" s="6"/>
      <c r="G946" s="6"/>
      <c r="H946" s="6"/>
      <c r="I946" s="6"/>
      <c r="J946" s="6"/>
      <c r="K946" s="6"/>
      <c r="L946" s="6"/>
      <c r="M946" s="6"/>
      <c r="N946" s="6"/>
      <c r="O946" s="6"/>
      <c r="P946" s="6"/>
      <c r="Q946" s="6"/>
      <c r="R946" s="6"/>
      <c r="S946" s="6"/>
      <c r="T946" s="6"/>
      <c r="U946" s="6"/>
      <c r="V946" s="6"/>
      <c r="W946" s="6"/>
      <c r="X946" s="6"/>
    </row>
    <row r="947" spans="1:24" x14ac:dyDescent="0.2">
      <c r="C947" s="6"/>
      <c r="D947" s="6"/>
      <c r="E947" s="6"/>
      <c r="F947" s="6"/>
      <c r="G947" s="6"/>
      <c r="H947" s="6"/>
      <c r="I947" s="6"/>
      <c r="J947" s="6"/>
      <c r="K947" s="6"/>
      <c r="L947" s="6"/>
      <c r="M947" s="6"/>
      <c r="N947" s="6"/>
      <c r="O947" s="6"/>
      <c r="P947" s="6"/>
      <c r="Q947" s="6"/>
      <c r="R947" s="6"/>
      <c r="S947" s="6"/>
      <c r="T947" s="6"/>
      <c r="U947" s="6"/>
      <c r="V947" s="6"/>
      <c r="W947" s="6"/>
      <c r="X947" s="6"/>
    </row>
    <row r="948" spans="1:24" x14ac:dyDescent="0.2">
      <c r="C948" s="6"/>
      <c r="D948" s="6"/>
      <c r="E948" s="6"/>
      <c r="F948" s="6"/>
      <c r="G948" s="6"/>
      <c r="H948" s="6"/>
      <c r="I948" s="6"/>
      <c r="J948" s="6"/>
      <c r="K948" s="6"/>
      <c r="L948" s="6"/>
      <c r="M948" s="6"/>
      <c r="N948" s="6"/>
      <c r="O948" s="6"/>
      <c r="P948" s="6"/>
      <c r="Q948" s="6"/>
      <c r="R948" s="6"/>
      <c r="S948" s="6"/>
      <c r="T948" s="6"/>
      <c r="U948" s="6"/>
      <c r="V948" s="6"/>
      <c r="W948" s="6"/>
      <c r="X948" s="6"/>
    </row>
    <row r="949" spans="1:24" x14ac:dyDescent="0.2">
      <c r="C949" s="6"/>
      <c r="D949" s="6"/>
      <c r="E949" s="6"/>
      <c r="F949" s="6"/>
      <c r="G949" s="6"/>
      <c r="H949" s="6"/>
      <c r="I949" s="6"/>
      <c r="J949" s="6"/>
      <c r="K949" s="6"/>
      <c r="L949" s="6"/>
      <c r="M949" s="6"/>
      <c r="N949" s="6"/>
      <c r="O949" s="6"/>
      <c r="P949" s="6"/>
      <c r="Q949" s="6"/>
      <c r="R949" s="6"/>
      <c r="S949" s="6"/>
      <c r="T949" s="6"/>
      <c r="U949" s="6"/>
      <c r="V949" s="6"/>
      <c r="W949" s="6"/>
      <c r="X949" s="6"/>
    </row>
    <row r="950" spans="1:24" x14ac:dyDescent="0.2">
      <c r="C950" s="6"/>
      <c r="D950" s="6"/>
      <c r="E950" s="6"/>
      <c r="F950" s="6"/>
      <c r="G950" s="6"/>
      <c r="H950" s="6"/>
      <c r="I950" s="6"/>
      <c r="J950" s="6"/>
      <c r="K950" s="6"/>
      <c r="L950" s="6"/>
      <c r="M950" s="6"/>
      <c r="N950" s="6"/>
      <c r="O950" s="6"/>
      <c r="P950" s="6"/>
      <c r="Q950" s="6"/>
      <c r="R950" s="6"/>
      <c r="S950" s="6"/>
      <c r="T950" s="6"/>
      <c r="U950" s="6"/>
      <c r="V950" s="6"/>
      <c r="W950" s="6"/>
      <c r="X950" s="6"/>
    </row>
    <row r="951" spans="1:24" x14ac:dyDescent="0.2">
      <c r="C951" s="6"/>
      <c r="D951" s="6"/>
      <c r="E951" s="6"/>
      <c r="F951" s="6"/>
      <c r="G951" s="6"/>
      <c r="H951" s="6"/>
      <c r="I951" s="6"/>
      <c r="J951" s="6"/>
      <c r="K951" s="6"/>
      <c r="L951" s="6"/>
      <c r="M951" s="6"/>
      <c r="N951" s="6"/>
      <c r="O951" s="6"/>
      <c r="P951" s="6"/>
      <c r="Q951" s="6"/>
      <c r="R951" s="6"/>
      <c r="S951" s="6"/>
      <c r="T951" s="6"/>
      <c r="U951" s="6"/>
      <c r="V951" s="6"/>
      <c r="W951" s="6"/>
      <c r="X951" s="6"/>
    </row>
    <row r="952" spans="1:24" x14ac:dyDescent="0.2">
      <c r="C952" s="6"/>
      <c r="D952" s="6"/>
      <c r="E952" s="6"/>
      <c r="F952" s="6"/>
      <c r="G952" s="6"/>
      <c r="H952" s="6"/>
      <c r="I952" s="6"/>
      <c r="J952" s="6"/>
      <c r="K952" s="6"/>
      <c r="L952" s="6"/>
      <c r="M952" s="6"/>
      <c r="N952" s="6"/>
      <c r="O952" s="6"/>
      <c r="P952" s="6"/>
      <c r="Q952" s="6"/>
      <c r="R952" s="6"/>
      <c r="S952" s="6"/>
      <c r="T952" s="6"/>
      <c r="U952" s="6"/>
      <c r="V952" s="6"/>
      <c r="W952" s="6"/>
      <c r="X952" s="6"/>
    </row>
    <row r="953" spans="1:24" x14ac:dyDescent="0.2">
      <c r="C953" s="6"/>
      <c r="D953" s="6"/>
      <c r="E953" s="6"/>
      <c r="F953" s="6"/>
      <c r="G953" s="6"/>
      <c r="H953" s="6"/>
      <c r="I953" s="6"/>
      <c r="J953" s="6"/>
      <c r="K953" s="6"/>
      <c r="L953" s="6"/>
      <c r="M953" s="6"/>
      <c r="N953" s="6"/>
      <c r="O953" s="6"/>
      <c r="P953" s="6"/>
      <c r="Q953" s="6"/>
      <c r="R953" s="6"/>
      <c r="S953" s="6"/>
      <c r="T953" s="6"/>
      <c r="U953" s="6"/>
      <c r="V953" s="6"/>
      <c r="W953" s="6"/>
      <c r="X953" s="6"/>
    </row>
    <row r="954" spans="1:24" x14ac:dyDescent="0.2">
      <c r="C954" s="6"/>
      <c r="D954" s="6"/>
      <c r="E954" s="6"/>
      <c r="F954" s="6"/>
      <c r="G954" s="6"/>
      <c r="H954" s="6"/>
      <c r="I954" s="6"/>
      <c r="J954" s="6"/>
      <c r="K954" s="6"/>
      <c r="L954" s="6"/>
      <c r="M954" s="6"/>
      <c r="N954" s="6"/>
      <c r="O954" s="6"/>
      <c r="P954" s="6"/>
      <c r="Q954" s="6"/>
      <c r="R954" s="6"/>
      <c r="S954" s="6"/>
      <c r="T954" s="6"/>
      <c r="U954" s="6"/>
      <c r="V954" s="6"/>
      <c r="W954" s="6"/>
      <c r="X954" s="6"/>
    </row>
    <row r="955" spans="1:24" x14ac:dyDescent="0.2">
      <c r="C955" s="6"/>
      <c r="D955" s="6"/>
      <c r="E955" s="6"/>
      <c r="F955" s="6"/>
      <c r="G955" s="6"/>
      <c r="H955" s="6"/>
      <c r="I955" s="6"/>
      <c r="J955" s="6"/>
      <c r="K955" s="6"/>
      <c r="L955" s="6"/>
      <c r="M955" s="6"/>
      <c r="N955" s="6"/>
      <c r="O955" s="6"/>
      <c r="P955" s="6"/>
      <c r="Q955" s="6"/>
      <c r="R955" s="6"/>
      <c r="S955" s="6"/>
      <c r="T955" s="6"/>
      <c r="U955" s="6"/>
      <c r="V955" s="6"/>
      <c r="W955" s="6"/>
      <c r="X955" s="6"/>
    </row>
    <row r="956" spans="1:24" x14ac:dyDescent="0.2">
      <c r="C956" s="6"/>
      <c r="D956" s="6"/>
      <c r="E956" s="6"/>
      <c r="F956" s="6"/>
      <c r="G956" s="6"/>
      <c r="H956" s="6"/>
      <c r="I956" s="6"/>
      <c r="J956" s="6"/>
      <c r="K956" s="6"/>
      <c r="L956" s="6"/>
      <c r="M956" s="6"/>
      <c r="N956" s="6"/>
      <c r="O956" s="6"/>
      <c r="P956" s="6"/>
      <c r="Q956" s="6"/>
      <c r="R956" s="6"/>
      <c r="S956" s="6"/>
      <c r="T956" s="6"/>
      <c r="U956" s="6"/>
      <c r="V956" s="6"/>
      <c r="W956" s="6"/>
      <c r="X956" s="6"/>
    </row>
    <row r="957" spans="1:24" x14ac:dyDescent="0.2">
      <c r="C957" s="6"/>
      <c r="D957" s="6"/>
      <c r="E957" s="6"/>
      <c r="F957" s="6"/>
      <c r="G957" s="6"/>
      <c r="H957" s="6"/>
      <c r="I957" s="6"/>
      <c r="J957" s="6"/>
      <c r="K957" s="6"/>
      <c r="L957" s="6"/>
      <c r="M957" s="6"/>
      <c r="N957" s="6"/>
      <c r="O957" s="6"/>
      <c r="P957" s="6"/>
      <c r="Q957" s="6"/>
      <c r="R957" s="6"/>
      <c r="S957" s="6"/>
      <c r="T957" s="6"/>
      <c r="U957" s="6"/>
      <c r="V957" s="6"/>
      <c r="W957" s="6"/>
      <c r="X957" s="6"/>
    </row>
    <row r="958" spans="1:24" x14ac:dyDescent="0.2">
      <c r="C958" s="6"/>
      <c r="D958" s="6"/>
      <c r="E958" s="6"/>
      <c r="F958" s="6"/>
      <c r="G958" s="6"/>
      <c r="H958" s="6"/>
      <c r="I958" s="6"/>
      <c r="J958" s="6"/>
      <c r="K958" s="6"/>
      <c r="L958" s="6"/>
      <c r="M958" s="6"/>
      <c r="N958" s="6"/>
      <c r="O958" s="6"/>
      <c r="P958" s="6"/>
      <c r="Q958" s="6"/>
      <c r="R958" s="6"/>
      <c r="S958" s="6"/>
      <c r="T958" s="6"/>
      <c r="U958" s="6"/>
      <c r="V958" s="6"/>
      <c r="W958" s="6"/>
      <c r="X958" s="6"/>
    </row>
    <row r="959" spans="1:24" x14ac:dyDescent="0.2">
      <c r="C959" s="6"/>
      <c r="D959" s="6"/>
      <c r="E959" s="6"/>
      <c r="F959" s="6"/>
      <c r="G959" s="6"/>
      <c r="H959" s="6"/>
      <c r="I959" s="6"/>
      <c r="J959" s="6"/>
      <c r="K959" s="6"/>
      <c r="L959" s="6"/>
      <c r="M959" s="6"/>
      <c r="N959" s="6"/>
      <c r="O959" s="6"/>
      <c r="P959" s="6"/>
      <c r="Q959" s="6"/>
      <c r="R959" s="6"/>
      <c r="S959" s="6"/>
      <c r="T959" s="6"/>
      <c r="U959" s="6"/>
      <c r="V959" s="6"/>
      <c r="W959" s="6"/>
      <c r="X959" s="6"/>
    </row>
    <row r="960" spans="1:24" x14ac:dyDescent="0.2">
      <c r="C960" s="6"/>
      <c r="D960" s="6"/>
      <c r="E960" s="6"/>
      <c r="F960" s="6"/>
      <c r="G960" s="6"/>
      <c r="H960" s="6"/>
      <c r="I960" s="6"/>
      <c r="J960" s="6"/>
      <c r="K960" s="6"/>
      <c r="L960" s="6"/>
      <c r="M960" s="6"/>
      <c r="N960" s="6"/>
      <c r="O960" s="6"/>
      <c r="P960" s="6"/>
      <c r="Q960" s="6"/>
      <c r="R960" s="6"/>
      <c r="S960" s="6"/>
      <c r="T960" s="6"/>
      <c r="U960" s="6"/>
      <c r="V960" s="6"/>
      <c r="W960" s="6"/>
      <c r="X960" s="6"/>
    </row>
    <row r="961" spans="1:24" x14ac:dyDescent="0.2">
      <c r="C961" s="6"/>
      <c r="D961" s="6"/>
      <c r="E961" s="6"/>
      <c r="F961" s="6"/>
      <c r="G961" s="6"/>
      <c r="H961" s="6"/>
      <c r="I961" s="6"/>
      <c r="J961" s="6"/>
      <c r="K961" s="6"/>
      <c r="L961" s="6"/>
      <c r="M961" s="6"/>
      <c r="N961" s="6"/>
      <c r="O961" s="6"/>
      <c r="P961" s="6"/>
      <c r="Q961" s="6"/>
      <c r="R961" s="6"/>
      <c r="S961" s="6"/>
      <c r="T961" s="6"/>
      <c r="U961" s="6"/>
      <c r="V961" s="6"/>
      <c r="W961" s="6"/>
      <c r="X961" s="6"/>
    </row>
    <row r="962" spans="1:24" x14ac:dyDescent="0.2">
      <c r="C962" s="6"/>
      <c r="D962" s="6"/>
      <c r="E962" s="6"/>
      <c r="F962" s="6"/>
      <c r="G962" s="6"/>
      <c r="H962" s="6"/>
      <c r="I962" s="6"/>
      <c r="J962" s="6"/>
      <c r="K962" s="6"/>
      <c r="L962" s="6"/>
      <c r="M962" s="6"/>
      <c r="N962" s="6"/>
      <c r="O962" s="6"/>
      <c r="P962" s="6"/>
      <c r="Q962" s="6"/>
      <c r="R962" s="6"/>
      <c r="S962" s="6"/>
      <c r="T962" s="6"/>
      <c r="U962" s="6"/>
      <c r="V962" s="6"/>
      <c r="W962" s="6"/>
      <c r="X962" s="6"/>
    </row>
    <row r="963" spans="1:24" x14ac:dyDescent="0.2">
      <c r="C963" s="6"/>
      <c r="D963" s="6"/>
      <c r="E963" s="6"/>
      <c r="F963" s="6"/>
      <c r="G963" s="6"/>
      <c r="H963" s="6"/>
      <c r="I963" s="6"/>
      <c r="J963" s="6"/>
      <c r="K963" s="6"/>
      <c r="L963" s="6"/>
      <c r="M963" s="6"/>
      <c r="N963" s="6"/>
      <c r="O963" s="6"/>
      <c r="P963" s="6"/>
      <c r="Q963" s="6"/>
      <c r="R963" s="6"/>
      <c r="S963" s="6"/>
      <c r="T963" s="6"/>
      <c r="U963" s="6"/>
      <c r="V963" s="6"/>
      <c r="W963" s="6"/>
      <c r="X963" s="6"/>
    </row>
    <row r="964" spans="1:24" x14ac:dyDescent="0.2">
      <c r="C964" s="6"/>
      <c r="D964" s="6"/>
      <c r="E964" s="6"/>
      <c r="F964" s="6"/>
      <c r="G964" s="6"/>
      <c r="H964" s="6"/>
      <c r="I964" s="6"/>
      <c r="J964" s="6"/>
      <c r="K964" s="6"/>
      <c r="L964" s="6"/>
      <c r="M964" s="6"/>
      <c r="N964" s="6"/>
      <c r="O964" s="6"/>
      <c r="P964" s="6"/>
      <c r="Q964" s="6"/>
      <c r="R964" s="6"/>
      <c r="S964" s="6"/>
      <c r="T964" s="6"/>
      <c r="U964" s="6"/>
      <c r="V964" s="6"/>
      <c r="W964" s="6"/>
      <c r="X964" s="6"/>
    </row>
    <row r="965" spans="1:24" x14ac:dyDescent="0.2">
      <c r="C965" s="6"/>
      <c r="D965" s="6"/>
      <c r="E965" s="6"/>
      <c r="F965" s="6"/>
      <c r="G965" s="6"/>
      <c r="H965" s="6"/>
      <c r="I965" s="6"/>
      <c r="J965" s="6"/>
      <c r="K965" s="6"/>
      <c r="L965" s="6"/>
      <c r="M965" s="6"/>
      <c r="N965" s="6"/>
      <c r="O965" s="6"/>
      <c r="P965" s="6"/>
      <c r="Q965" s="6"/>
      <c r="R965" s="6"/>
      <c r="S965" s="6"/>
      <c r="T965" s="6"/>
      <c r="U965" s="6"/>
      <c r="V965" s="6"/>
      <c r="W965" s="6"/>
      <c r="X965" s="6"/>
    </row>
    <row r="966" spans="1:24" x14ac:dyDescent="0.2">
      <c r="A966">
        <f>Arrivals!A966</f>
        <v>9</v>
      </c>
      <c r="B966">
        <f>Arrivals!B966</f>
        <v>1</v>
      </c>
      <c r="C966" s="6">
        <f>Arrivals!F966</f>
        <v>2</v>
      </c>
      <c r="D966" s="6">
        <f>Arrivals!K966</f>
        <v>300</v>
      </c>
      <c r="E966" s="6">
        <f>D966*8/ACE_Input!S6+ACE_Input!T6</f>
        <v>24.02</v>
      </c>
      <c r="F966" s="6">
        <f t="shared" ref="F966:F997" si="368">C966</f>
        <v>2</v>
      </c>
      <c r="G966" s="6">
        <f>0</f>
        <v>0</v>
      </c>
      <c r="H966" s="6">
        <f t="shared" ref="H966:H997" si="369">MAX(F966,G966)</f>
        <v>2</v>
      </c>
      <c r="I966" s="6">
        <f>MOD(H966-Settings!$B$32,Settings!$B$33)</f>
        <v>2</v>
      </c>
      <c r="J966" s="6">
        <f>IF(I966&lt;Settings!$B$30,IF(Settings!$B$30-I966&gt;=E966,H966,H966+(Settings!$B$30-I966)+Settings!$B$31),H966+(Settings!$B$33-I966))</f>
        <v>2</v>
      </c>
      <c r="K966" s="6">
        <f t="shared" ref="K966:K997" si="370">J966+E966</f>
        <v>26.02</v>
      </c>
      <c r="L966" s="6">
        <f t="shared" ref="L966:L997" si="371">K966</f>
        <v>26.02</v>
      </c>
      <c r="M966" s="6">
        <f>0</f>
        <v>0</v>
      </c>
      <c r="N966" s="6">
        <f t="shared" ref="N966:N997" si="372">MAX(L966,M966)</f>
        <v>26.02</v>
      </c>
      <c r="O966" s="6">
        <f>Arrivals!I966</f>
        <v>2.8081581797893973</v>
      </c>
      <c r="P966" s="6">
        <f t="shared" ref="P966:P997" si="373">N966+O966</f>
        <v>28.828158179789398</v>
      </c>
      <c r="Q966" s="6">
        <f t="shared" ref="Q966:Q997" si="374">P966-C966</f>
        <v>26.828158179789398</v>
      </c>
      <c r="R966" s="6">
        <f t="shared" ref="R966:R997" si="375">H966-F966</f>
        <v>0</v>
      </c>
      <c r="S966" s="6">
        <f t="shared" ref="S966:S997" si="376">J966-H966</f>
        <v>0</v>
      </c>
      <c r="T966" s="6">
        <f t="shared" ref="T966:T997" si="377">N966-L966</f>
        <v>0</v>
      </c>
      <c r="U966" s="6">
        <f t="shared" ref="U966:U997" si="378">R966+S966+T966</f>
        <v>0</v>
      </c>
      <c r="V966" s="6" t="str">
        <f>IF(MOD(C966-Settings!$B$32,Settings!$B$33)&lt;Settings!$B$30,"Up","Down")</f>
        <v>Up</v>
      </c>
      <c r="W966" s="6">
        <f>IF(OR(E966&gt;Settings!$B$30,Q966&gt;Settings!$B$37),0,1)</f>
        <v>1</v>
      </c>
      <c r="X966" s="6">
        <f>IF(AND(W966=1,Q966&lt;=Settings!$B$36),1,0)</f>
        <v>1</v>
      </c>
    </row>
    <row r="967" spans="1:24" x14ac:dyDescent="0.2">
      <c r="A967">
        <f>Arrivals!A967</f>
        <v>9</v>
      </c>
      <c r="B967">
        <f>Arrivals!B967</f>
        <v>2</v>
      </c>
      <c r="C967" s="6">
        <f>Arrivals!F967</f>
        <v>7</v>
      </c>
      <c r="D967" s="6">
        <f>Arrivals!K967</f>
        <v>300</v>
      </c>
      <c r="E967" s="6">
        <f>D967*8/ACE_Input!S7+ACE_Input!T7</f>
        <v>24.02</v>
      </c>
      <c r="F967" s="6">
        <f t="shared" si="368"/>
        <v>7</v>
      </c>
      <c r="G967" s="6">
        <f t="shared" ref="G967:G998" si="379">K966</f>
        <v>26.02</v>
      </c>
      <c r="H967" s="6">
        <f t="shared" si="369"/>
        <v>26.02</v>
      </c>
      <c r="I967" s="6">
        <f>MOD(H967-Settings!$B$32,Settings!$B$33)</f>
        <v>26.02</v>
      </c>
      <c r="J967" s="6">
        <f>IF(I967&lt;Settings!$B$30,IF(Settings!$B$30-I967&gt;=E967,H967,H967+(Settings!$B$30-I967)+Settings!$B$31),H967+(Settings!$B$33-I967))</f>
        <v>26.02</v>
      </c>
      <c r="K967" s="6">
        <f t="shared" si="370"/>
        <v>50.04</v>
      </c>
      <c r="L967" s="6">
        <f t="shared" si="371"/>
        <v>50.04</v>
      </c>
      <c r="M967" s="6">
        <f t="shared" ref="M967:M998" si="380">P966</f>
        <v>28.828158179789398</v>
      </c>
      <c r="N967" s="6">
        <f t="shared" si="372"/>
        <v>50.04</v>
      </c>
      <c r="O967" s="6">
        <f>Arrivals!I967</f>
        <v>9.0425871714017099</v>
      </c>
      <c r="P967" s="6">
        <f t="shared" si="373"/>
        <v>59.082587171401713</v>
      </c>
      <c r="Q967" s="6">
        <f t="shared" si="374"/>
        <v>52.082587171401713</v>
      </c>
      <c r="R967" s="6">
        <f t="shared" si="375"/>
        <v>19.02</v>
      </c>
      <c r="S967" s="6">
        <f t="shared" si="376"/>
        <v>0</v>
      </c>
      <c r="T967" s="6">
        <f t="shared" si="377"/>
        <v>0</v>
      </c>
      <c r="U967" s="6">
        <f t="shared" si="378"/>
        <v>19.02</v>
      </c>
      <c r="V967" s="6" t="str">
        <f>IF(MOD(C967-Settings!$B$32,Settings!$B$33)&lt;Settings!$B$30,"Up","Down")</f>
        <v>Up</v>
      </c>
      <c r="W967" s="6">
        <f>IF(OR(E967&gt;Settings!$B$30,Q967&gt;Settings!$B$37),0,1)</f>
        <v>1</v>
      </c>
      <c r="X967" s="6">
        <f>IF(AND(W967=1,Q967&lt;=Settings!$B$36),1,0)</f>
        <v>1</v>
      </c>
    </row>
    <row r="968" spans="1:24" x14ac:dyDescent="0.2">
      <c r="A968">
        <f>Arrivals!A968</f>
        <v>9</v>
      </c>
      <c r="B968">
        <f>Arrivals!B968</f>
        <v>3</v>
      </c>
      <c r="C968" s="6">
        <f>Arrivals!F968</f>
        <v>32</v>
      </c>
      <c r="D968" s="6">
        <f>Arrivals!K968</f>
        <v>300</v>
      </c>
      <c r="E968" s="6">
        <f>D968*8/ACE_Input!S8+ACE_Input!T8</f>
        <v>24.02</v>
      </c>
      <c r="F968" s="6">
        <f t="shared" si="368"/>
        <v>32</v>
      </c>
      <c r="G968" s="6">
        <f t="shared" si="379"/>
        <v>50.04</v>
      </c>
      <c r="H968" s="6">
        <f t="shared" si="369"/>
        <v>50.04</v>
      </c>
      <c r="I968" s="6">
        <f>MOD(H968-Settings!$B$32,Settings!$B$33)</f>
        <v>50.04</v>
      </c>
      <c r="J968" s="6">
        <f>IF(I968&lt;Settings!$B$30,IF(Settings!$B$30-I968&gt;=E968,H968,H968+(Settings!$B$30-I968)+Settings!$B$31),H968+(Settings!$B$33-I968))</f>
        <v>50.04</v>
      </c>
      <c r="K968" s="6">
        <f t="shared" si="370"/>
        <v>74.06</v>
      </c>
      <c r="L968" s="6">
        <f t="shared" si="371"/>
        <v>74.06</v>
      </c>
      <c r="M968" s="6">
        <f t="shared" si="380"/>
        <v>59.082587171401713</v>
      </c>
      <c r="N968" s="6">
        <f t="shared" si="372"/>
        <v>74.06</v>
      </c>
      <c r="O968" s="6">
        <f>Arrivals!I968</f>
        <v>1.515642996434196</v>
      </c>
      <c r="P968" s="6">
        <f t="shared" si="373"/>
        <v>75.575642996434198</v>
      </c>
      <c r="Q968" s="6">
        <f t="shared" si="374"/>
        <v>43.575642996434198</v>
      </c>
      <c r="R968" s="6">
        <f t="shared" si="375"/>
        <v>18.04</v>
      </c>
      <c r="S968" s="6">
        <f t="shared" si="376"/>
        <v>0</v>
      </c>
      <c r="T968" s="6">
        <f t="shared" si="377"/>
        <v>0</v>
      </c>
      <c r="U968" s="6">
        <f t="shared" si="378"/>
        <v>18.04</v>
      </c>
      <c r="V968" s="6" t="str">
        <f>IF(MOD(C968-Settings!$B$32,Settings!$B$33)&lt;Settings!$B$30,"Up","Down")</f>
        <v>Up</v>
      </c>
      <c r="W968" s="6">
        <f>IF(OR(E968&gt;Settings!$B$30,Q968&gt;Settings!$B$37),0,1)</f>
        <v>1</v>
      </c>
      <c r="X968" s="6">
        <f>IF(AND(W968=1,Q968&lt;=Settings!$B$36),1,0)</f>
        <v>1</v>
      </c>
    </row>
    <row r="969" spans="1:24" x14ac:dyDescent="0.2">
      <c r="A969">
        <f>Arrivals!A969</f>
        <v>9</v>
      </c>
      <c r="B969">
        <f>Arrivals!B969</f>
        <v>4</v>
      </c>
      <c r="C969" s="6">
        <f>Arrivals!F969</f>
        <v>37</v>
      </c>
      <c r="D969" s="6">
        <f>Arrivals!K969</f>
        <v>300</v>
      </c>
      <c r="E969" s="6">
        <f>D969*8/ACE_Input!S9+ACE_Input!T9</f>
        <v>24.02</v>
      </c>
      <c r="F969" s="6">
        <f t="shared" si="368"/>
        <v>37</v>
      </c>
      <c r="G969" s="6">
        <f t="shared" si="379"/>
        <v>74.06</v>
      </c>
      <c r="H969" s="6">
        <f t="shared" si="369"/>
        <v>74.06</v>
      </c>
      <c r="I969" s="6">
        <f>MOD(H969-Settings!$B$32,Settings!$B$33)</f>
        <v>74.06</v>
      </c>
      <c r="J969" s="6">
        <f>IF(I969&lt;Settings!$B$30,IF(Settings!$B$30-I969&gt;=E969,H969,H969+(Settings!$B$30-I969)+Settings!$B$31),H969+(Settings!$B$33-I969))</f>
        <v>74.06</v>
      </c>
      <c r="K969" s="6">
        <f t="shared" si="370"/>
        <v>98.08</v>
      </c>
      <c r="L969" s="6">
        <f t="shared" si="371"/>
        <v>98.08</v>
      </c>
      <c r="M969" s="6">
        <f t="shared" si="380"/>
        <v>75.575642996434198</v>
      </c>
      <c r="N969" s="6">
        <f t="shared" si="372"/>
        <v>98.08</v>
      </c>
      <c r="O969" s="6">
        <f>Arrivals!I969</f>
        <v>6.7495216059128769</v>
      </c>
      <c r="P969" s="6">
        <f t="shared" si="373"/>
        <v>104.82952160591287</v>
      </c>
      <c r="Q969" s="6">
        <f t="shared" si="374"/>
        <v>67.829521605912873</v>
      </c>
      <c r="R969" s="6">
        <f t="shared" si="375"/>
        <v>37.06</v>
      </c>
      <c r="S969" s="6">
        <f t="shared" si="376"/>
        <v>0</v>
      </c>
      <c r="T969" s="6">
        <f t="shared" si="377"/>
        <v>0</v>
      </c>
      <c r="U969" s="6">
        <f t="shared" si="378"/>
        <v>37.06</v>
      </c>
      <c r="V969" s="6" t="str">
        <f>IF(MOD(C969-Settings!$B$32,Settings!$B$33)&lt;Settings!$B$30,"Up","Down")</f>
        <v>Up</v>
      </c>
      <c r="W969" s="6">
        <f>IF(OR(E969&gt;Settings!$B$30,Q969&gt;Settings!$B$37),0,1)</f>
        <v>1</v>
      </c>
      <c r="X969" s="6">
        <f>IF(AND(W969=1,Q969&lt;=Settings!$B$36),1,0)</f>
        <v>1</v>
      </c>
    </row>
    <row r="970" spans="1:24" x14ac:dyDescent="0.2">
      <c r="A970">
        <f>Arrivals!A970</f>
        <v>9</v>
      </c>
      <c r="B970">
        <f>Arrivals!B970</f>
        <v>5</v>
      </c>
      <c r="C970" s="6">
        <f>Arrivals!F970</f>
        <v>42</v>
      </c>
      <c r="D970" s="6">
        <f>Arrivals!K970</f>
        <v>300</v>
      </c>
      <c r="E970" s="6">
        <f>D970*8/ACE_Input!S10+ACE_Input!T10</f>
        <v>24.02</v>
      </c>
      <c r="F970" s="6">
        <f t="shared" si="368"/>
        <v>42</v>
      </c>
      <c r="G970" s="6">
        <f t="shared" si="379"/>
        <v>98.08</v>
      </c>
      <c r="H970" s="6">
        <f t="shared" si="369"/>
        <v>98.08</v>
      </c>
      <c r="I970" s="6">
        <f>MOD(H970-Settings!$B$32,Settings!$B$33)</f>
        <v>98.08</v>
      </c>
      <c r="J970" s="6">
        <f>IF(I970&lt;Settings!$B$30,IF(Settings!$B$30-I970&gt;=E970,H970,H970+(Settings!$B$30-I970)+Settings!$B$31),H970+(Settings!$B$33-I970))</f>
        <v>98.08</v>
      </c>
      <c r="K970" s="6">
        <f t="shared" si="370"/>
        <v>122.1</v>
      </c>
      <c r="L970" s="6">
        <f t="shared" si="371"/>
        <v>122.1</v>
      </c>
      <c r="M970" s="6">
        <f t="shared" si="380"/>
        <v>104.82952160591287</v>
      </c>
      <c r="N970" s="6">
        <f t="shared" si="372"/>
        <v>122.1</v>
      </c>
      <c r="O970" s="6">
        <f>Arrivals!I970</f>
        <v>4.1511205308649295</v>
      </c>
      <c r="P970" s="6">
        <f t="shared" si="373"/>
        <v>126.25112053086492</v>
      </c>
      <c r="Q970" s="6">
        <f t="shared" si="374"/>
        <v>84.251120530864924</v>
      </c>
      <c r="R970" s="6">
        <f t="shared" si="375"/>
        <v>56.08</v>
      </c>
      <c r="S970" s="6">
        <f t="shared" si="376"/>
        <v>0</v>
      </c>
      <c r="T970" s="6">
        <f t="shared" si="377"/>
        <v>0</v>
      </c>
      <c r="U970" s="6">
        <f t="shared" si="378"/>
        <v>56.08</v>
      </c>
      <c r="V970" s="6" t="str">
        <f>IF(MOD(C970-Settings!$B$32,Settings!$B$33)&lt;Settings!$B$30,"Up","Down")</f>
        <v>Up</v>
      </c>
      <c r="W970" s="6">
        <f>IF(OR(E970&gt;Settings!$B$30,Q970&gt;Settings!$B$37),0,1)</f>
        <v>1</v>
      </c>
      <c r="X970" s="6">
        <f>IF(AND(W970=1,Q970&lt;=Settings!$B$36),1,0)</f>
        <v>1</v>
      </c>
    </row>
    <row r="971" spans="1:24" x14ac:dyDescent="0.2">
      <c r="A971">
        <f>Arrivals!A971</f>
        <v>9</v>
      </c>
      <c r="B971">
        <f>Arrivals!B971</f>
        <v>6</v>
      </c>
      <c r="C971" s="6">
        <f>Arrivals!F971</f>
        <v>47</v>
      </c>
      <c r="D971" s="6">
        <f>Arrivals!K971</f>
        <v>300</v>
      </c>
      <c r="E971" s="6">
        <f>D971*8/ACE_Input!S11+ACE_Input!T11</f>
        <v>24.02</v>
      </c>
      <c r="F971" s="6">
        <f t="shared" si="368"/>
        <v>47</v>
      </c>
      <c r="G971" s="6">
        <f t="shared" si="379"/>
        <v>122.1</v>
      </c>
      <c r="H971" s="6">
        <f t="shared" si="369"/>
        <v>122.1</v>
      </c>
      <c r="I971" s="6">
        <f>MOD(H971-Settings!$B$32,Settings!$B$33)</f>
        <v>122.1</v>
      </c>
      <c r="J971" s="6">
        <f>IF(I971&lt;Settings!$B$30,IF(Settings!$B$30-I971&gt;=E971,H971,H971+(Settings!$B$30-I971)+Settings!$B$31),H971+(Settings!$B$33-I971))</f>
        <v>122.1</v>
      </c>
      <c r="K971" s="6">
        <f t="shared" si="370"/>
        <v>146.12</v>
      </c>
      <c r="L971" s="6">
        <f t="shared" si="371"/>
        <v>146.12</v>
      </c>
      <c r="M971" s="6">
        <f t="shared" si="380"/>
        <v>126.25112053086492</v>
      </c>
      <c r="N971" s="6">
        <f t="shared" si="372"/>
        <v>146.12</v>
      </c>
      <c r="O971" s="6">
        <f>Arrivals!I971</f>
        <v>1.3439195377356439</v>
      </c>
      <c r="P971" s="6">
        <f t="shared" si="373"/>
        <v>147.46391953773565</v>
      </c>
      <c r="Q971" s="6">
        <f t="shared" si="374"/>
        <v>100.46391953773565</v>
      </c>
      <c r="R971" s="6">
        <f t="shared" si="375"/>
        <v>75.099999999999994</v>
      </c>
      <c r="S971" s="6">
        <f t="shared" si="376"/>
        <v>0</v>
      </c>
      <c r="T971" s="6">
        <f t="shared" si="377"/>
        <v>0</v>
      </c>
      <c r="U971" s="6">
        <f t="shared" si="378"/>
        <v>75.099999999999994</v>
      </c>
      <c r="V971" s="6" t="str">
        <f>IF(MOD(C971-Settings!$B$32,Settings!$B$33)&lt;Settings!$B$30,"Up","Down")</f>
        <v>Up</v>
      </c>
      <c r="W971" s="6">
        <f>IF(OR(E971&gt;Settings!$B$30,Q971&gt;Settings!$B$37),0,1)</f>
        <v>1</v>
      </c>
      <c r="X971" s="6">
        <f>IF(AND(W971=1,Q971&lt;=Settings!$B$36),1,0)</f>
        <v>1</v>
      </c>
    </row>
    <row r="972" spans="1:24" x14ac:dyDescent="0.2">
      <c r="A972">
        <f>Arrivals!A972</f>
        <v>9</v>
      </c>
      <c r="B972">
        <f>Arrivals!B972</f>
        <v>7</v>
      </c>
      <c r="C972" s="6">
        <f>Arrivals!F972</f>
        <v>52</v>
      </c>
      <c r="D972" s="6">
        <f>Arrivals!K972</f>
        <v>300</v>
      </c>
      <c r="E972" s="6">
        <f>D972*8/ACE_Input!S12+ACE_Input!T12</f>
        <v>24.02</v>
      </c>
      <c r="F972" s="6">
        <f t="shared" si="368"/>
        <v>52</v>
      </c>
      <c r="G972" s="6">
        <f t="shared" si="379"/>
        <v>146.12</v>
      </c>
      <c r="H972" s="6">
        <f t="shared" si="369"/>
        <v>146.12</v>
      </c>
      <c r="I972" s="6">
        <f>MOD(H972-Settings!$B$32,Settings!$B$33)</f>
        <v>146.12</v>
      </c>
      <c r="J972" s="6">
        <f>IF(I972&lt;Settings!$B$30,IF(Settings!$B$30-I972&gt;=E972,H972,H972+(Settings!$B$30-I972)+Settings!$B$31),H972+(Settings!$B$33-I972))</f>
        <v>146.12</v>
      </c>
      <c r="K972" s="6">
        <f t="shared" si="370"/>
        <v>170.14000000000001</v>
      </c>
      <c r="L972" s="6">
        <f t="shared" si="371"/>
        <v>170.14000000000001</v>
      </c>
      <c r="M972" s="6">
        <f t="shared" si="380"/>
        <v>147.46391953773565</v>
      </c>
      <c r="N972" s="6">
        <f t="shared" si="372"/>
        <v>170.14000000000001</v>
      </c>
      <c r="O972" s="6">
        <f>Arrivals!I972</f>
        <v>0.36783261959503072</v>
      </c>
      <c r="P972" s="6">
        <f t="shared" si="373"/>
        <v>170.50783261959504</v>
      </c>
      <c r="Q972" s="6">
        <f t="shared" si="374"/>
        <v>118.50783261959504</v>
      </c>
      <c r="R972" s="6">
        <f t="shared" si="375"/>
        <v>94.12</v>
      </c>
      <c r="S972" s="6">
        <f t="shared" si="376"/>
        <v>0</v>
      </c>
      <c r="T972" s="6">
        <f t="shared" si="377"/>
        <v>0</v>
      </c>
      <c r="U972" s="6">
        <f t="shared" si="378"/>
        <v>94.12</v>
      </c>
      <c r="V972" s="6" t="str">
        <f>IF(MOD(C972-Settings!$B$32,Settings!$B$33)&lt;Settings!$B$30,"Up","Down")</f>
        <v>Up</v>
      </c>
      <c r="W972" s="6">
        <f>IF(OR(E972&gt;Settings!$B$30,Q972&gt;Settings!$B$37),0,1)</f>
        <v>1</v>
      </c>
      <c r="X972" s="6">
        <f>IF(AND(W972=1,Q972&lt;=Settings!$B$36),1,0)</f>
        <v>1</v>
      </c>
    </row>
    <row r="973" spans="1:24" x14ac:dyDescent="0.2">
      <c r="A973">
        <f>Arrivals!A973</f>
        <v>9</v>
      </c>
      <c r="B973">
        <f>Arrivals!B973</f>
        <v>8</v>
      </c>
      <c r="C973" s="6">
        <f>Arrivals!F973</f>
        <v>57</v>
      </c>
      <c r="D973" s="6">
        <f>Arrivals!K973</f>
        <v>300</v>
      </c>
      <c r="E973" s="6">
        <f>D973*8/ACE_Input!S13+ACE_Input!T13</f>
        <v>24.02</v>
      </c>
      <c r="F973" s="6">
        <f t="shared" si="368"/>
        <v>57</v>
      </c>
      <c r="G973" s="6">
        <f t="shared" si="379"/>
        <v>170.14000000000001</v>
      </c>
      <c r="H973" s="6">
        <f t="shared" si="369"/>
        <v>170.14000000000001</v>
      </c>
      <c r="I973" s="6">
        <f>MOD(H973-Settings!$B$32,Settings!$B$33)</f>
        <v>170.14000000000001</v>
      </c>
      <c r="J973" s="6">
        <f>IF(I973&lt;Settings!$B$30,IF(Settings!$B$30-I973&gt;=E973,H973,H973+(Settings!$B$30-I973)+Settings!$B$31),H973+(Settings!$B$33-I973))</f>
        <v>170.14000000000001</v>
      </c>
      <c r="K973" s="6">
        <f t="shared" si="370"/>
        <v>194.16000000000003</v>
      </c>
      <c r="L973" s="6">
        <f t="shared" si="371"/>
        <v>194.16000000000003</v>
      </c>
      <c r="M973" s="6">
        <f t="shared" si="380"/>
        <v>170.50783261959504</v>
      </c>
      <c r="N973" s="6">
        <f t="shared" si="372"/>
        <v>194.16000000000003</v>
      </c>
      <c r="O973" s="6">
        <f>Arrivals!I973</f>
        <v>3.7384622545849817</v>
      </c>
      <c r="P973" s="6">
        <f t="shared" si="373"/>
        <v>197.89846225458501</v>
      </c>
      <c r="Q973" s="6">
        <f t="shared" si="374"/>
        <v>140.89846225458501</v>
      </c>
      <c r="R973" s="6">
        <f t="shared" si="375"/>
        <v>113.14000000000001</v>
      </c>
      <c r="S973" s="6">
        <f t="shared" si="376"/>
        <v>0</v>
      </c>
      <c r="T973" s="6">
        <f t="shared" si="377"/>
        <v>0</v>
      </c>
      <c r="U973" s="6">
        <f t="shared" si="378"/>
        <v>113.14000000000001</v>
      </c>
      <c r="V973" s="6" t="str">
        <f>IF(MOD(C973-Settings!$B$32,Settings!$B$33)&lt;Settings!$B$30,"Up","Down")</f>
        <v>Up</v>
      </c>
      <c r="W973" s="6">
        <f>IF(OR(E973&gt;Settings!$B$30,Q973&gt;Settings!$B$37),0,1)</f>
        <v>1</v>
      </c>
      <c r="X973" s="6">
        <f>IF(AND(W973=1,Q973&lt;=Settings!$B$36),1,0)</f>
        <v>0</v>
      </c>
    </row>
    <row r="974" spans="1:24" x14ac:dyDescent="0.2">
      <c r="A974">
        <f>Arrivals!A974</f>
        <v>9</v>
      </c>
      <c r="B974">
        <f>Arrivals!B974</f>
        <v>9</v>
      </c>
      <c r="C974" s="6">
        <f>Arrivals!F974</f>
        <v>172</v>
      </c>
      <c r="D974" s="6">
        <f>Arrivals!K974</f>
        <v>300</v>
      </c>
      <c r="E974" s="6">
        <f>D974*8/ACE_Input!S14+ACE_Input!T14</f>
        <v>24.02</v>
      </c>
      <c r="F974" s="6">
        <f t="shared" si="368"/>
        <v>172</v>
      </c>
      <c r="G974" s="6">
        <f t="shared" si="379"/>
        <v>194.16000000000003</v>
      </c>
      <c r="H974" s="6">
        <f t="shared" si="369"/>
        <v>194.16000000000003</v>
      </c>
      <c r="I974" s="6">
        <f>MOD(H974-Settings!$B$32,Settings!$B$33)</f>
        <v>194.16000000000003</v>
      </c>
      <c r="J974" s="6">
        <f>IF(I974&lt;Settings!$B$30,IF(Settings!$B$30-I974&gt;=E974,H974,H974+(Settings!$B$30-I974)+Settings!$B$31),H974+(Settings!$B$33-I974))</f>
        <v>194.16000000000003</v>
      </c>
      <c r="K974" s="6">
        <f t="shared" si="370"/>
        <v>218.18000000000004</v>
      </c>
      <c r="L974" s="6">
        <f t="shared" si="371"/>
        <v>218.18000000000004</v>
      </c>
      <c r="M974" s="6">
        <f t="shared" si="380"/>
        <v>197.89846225458501</v>
      </c>
      <c r="N974" s="6">
        <f t="shared" si="372"/>
        <v>218.18000000000004</v>
      </c>
      <c r="O974" s="6">
        <f>Arrivals!I974</f>
        <v>1.2713887697437849</v>
      </c>
      <c r="P974" s="6">
        <f t="shared" si="373"/>
        <v>219.45138876974383</v>
      </c>
      <c r="Q974" s="6">
        <f t="shared" si="374"/>
        <v>47.451388769743829</v>
      </c>
      <c r="R974" s="6">
        <f t="shared" si="375"/>
        <v>22.160000000000025</v>
      </c>
      <c r="S974" s="6">
        <f t="shared" si="376"/>
        <v>0</v>
      </c>
      <c r="T974" s="6">
        <f t="shared" si="377"/>
        <v>0</v>
      </c>
      <c r="U974" s="6">
        <f t="shared" si="378"/>
        <v>22.160000000000025</v>
      </c>
      <c r="V974" s="6" t="str">
        <f>IF(MOD(C974-Settings!$B$32,Settings!$B$33)&lt;Settings!$B$30,"Up","Down")</f>
        <v>Up</v>
      </c>
      <c r="W974" s="6">
        <f>IF(OR(E974&gt;Settings!$B$30,Q974&gt;Settings!$B$37),0,1)</f>
        <v>1</v>
      </c>
      <c r="X974" s="6">
        <f>IF(AND(W974=1,Q974&lt;=Settings!$B$36),1,0)</f>
        <v>1</v>
      </c>
    </row>
    <row r="975" spans="1:24" x14ac:dyDescent="0.2">
      <c r="A975">
        <f>Arrivals!A975</f>
        <v>9</v>
      </c>
      <c r="B975">
        <f>Arrivals!B975</f>
        <v>10</v>
      </c>
      <c r="C975" s="6">
        <f>Arrivals!F975</f>
        <v>177</v>
      </c>
      <c r="D975" s="6">
        <f>Arrivals!K975</f>
        <v>300</v>
      </c>
      <c r="E975" s="6">
        <f>D975*8/ACE_Input!S15+ACE_Input!T15</f>
        <v>24.02</v>
      </c>
      <c r="F975" s="6">
        <f t="shared" si="368"/>
        <v>177</v>
      </c>
      <c r="G975" s="6">
        <f t="shared" si="379"/>
        <v>218.18000000000004</v>
      </c>
      <c r="H975" s="6">
        <f t="shared" si="369"/>
        <v>218.18000000000004</v>
      </c>
      <c r="I975" s="6">
        <f>MOD(H975-Settings!$B$32,Settings!$B$33)</f>
        <v>218.18000000000004</v>
      </c>
      <c r="J975" s="6">
        <f>IF(I975&lt;Settings!$B$30,IF(Settings!$B$30-I975&gt;=E975,H975,H975+(Settings!$B$30-I975)+Settings!$B$31),H975+(Settings!$B$33-I975))</f>
        <v>218.18000000000004</v>
      </c>
      <c r="K975" s="6">
        <f t="shared" si="370"/>
        <v>242.20000000000005</v>
      </c>
      <c r="L975" s="6">
        <f t="shared" si="371"/>
        <v>242.20000000000005</v>
      </c>
      <c r="M975" s="6">
        <f t="shared" si="380"/>
        <v>219.45138876974383</v>
      </c>
      <c r="N975" s="6">
        <f t="shared" si="372"/>
        <v>242.20000000000005</v>
      </c>
      <c r="O975" s="6">
        <f>Arrivals!I975</f>
        <v>1.4908464197058411</v>
      </c>
      <c r="P975" s="6">
        <f t="shared" si="373"/>
        <v>243.69084641970588</v>
      </c>
      <c r="Q975" s="6">
        <f t="shared" si="374"/>
        <v>66.690846419705878</v>
      </c>
      <c r="R975" s="6">
        <f t="shared" si="375"/>
        <v>41.180000000000035</v>
      </c>
      <c r="S975" s="6">
        <f t="shared" si="376"/>
        <v>0</v>
      </c>
      <c r="T975" s="6">
        <f t="shared" si="377"/>
        <v>0</v>
      </c>
      <c r="U975" s="6">
        <f t="shared" si="378"/>
        <v>41.180000000000035</v>
      </c>
      <c r="V975" s="6" t="str">
        <f>IF(MOD(C975-Settings!$B$32,Settings!$B$33)&lt;Settings!$B$30,"Up","Down")</f>
        <v>Up</v>
      </c>
      <c r="W975" s="6">
        <f>IF(OR(E975&gt;Settings!$B$30,Q975&gt;Settings!$B$37),0,1)</f>
        <v>1</v>
      </c>
      <c r="X975" s="6">
        <f>IF(AND(W975=1,Q975&lt;=Settings!$B$36),1,0)</f>
        <v>1</v>
      </c>
    </row>
    <row r="976" spans="1:24" x14ac:dyDescent="0.2">
      <c r="A976">
        <f>Arrivals!A976</f>
        <v>9</v>
      </c>
      <c r="B976">
        <f>Arrivals!B976</f>
        <v>11</v>
      </c>
      <c r="C976" s="6">
        <f>Arrivals!F976</f>
        <v>182</v>
      </c>
      <c r="D976" s="6">
        <f>Arrivals!K976</f>
        <v>300</v>
      </c>
      <c r="E976" s="6">
        <f>D976*8/ACE_Input!S16+ACE_Input!T16</f>
        <v>24.02</v>
      </c>
      <c r="F976" s="6">
        <f t="shared" si="368"/>
        <v>182</v>
      </c>
      <c r="G976" s="6">
        <f t="shared" si="379"/>
        <v>242.20000000000005</v>
      </c>
      <c r="H976" s="6">
        <f t="shared" si="369"/>
        <v>242.20000000000005</v>
      </c>
      <c r="I976" s="6">
        <f>MOD(H976-Settings!$B$32,Settings!$B$33)</f>
        <v>242.20000000000005</v>
      </c>
      <c r="J976" s="6">
        <f>IF(I976&lt;Settings!$B$30,IF(Settings!$B$30-I976&gt;=E976,H976,H976+(Settings!$B$30-I976)+Settings!$B$31),H976+(Settings!$B$33-I976))</f>
        <v>242.20000000000005</v>
      </c>
      <c r="K976" s="6">
        <f t="shared" si="370"/>
        <v>266.22000000000003</v>
      </c>
      <c r="L976" s="6">
        <f t="shared" si="371"/>
        <v>266.22000000000003</v>
      </c>
      <c r="M976" s="6">
        <f t="shared" si="380"/>
        <v>243.69084641970588</v>
      </c>
      <c r="N976" s="6">
        <f t="shared" si="372"/>
        <v>266.22000000000003</v>
      </c>
      <c r="O976" s="6">
        <f>Arrivals!I976</f>
        <v>1.231273901252784</v>
      </c>
      <c r="P976" s="6">
        <f t="shared" si="373"/>
        <v>267.45127390125282</v>
      </c>
      <c r="Q976" s="6">
        <f t="shared" si="374"/>
        <v>85.451273901252819</v>
      </c>
      <c r="R976" s="6">
        <f t="shared" si="375"/>
        <v>60.200000000000045</v>
      </c>
      <c r="S976" s="6">
        <f t="shared" si="376"/>
        <v>0</v>
      </c>
      <c r="T976" s="6">
        <f t="shared" si="377"/>
        <v>0</v>
      </c>
      <c r="U976" s="6">
        <f t="shared" si="378"/>
        <v>60.200000000000045</v>
      </c>
      <c r="V976" s="6" t="str">
        <f>IF(MOD(C976-Settings!$B$32,Settings!$B$33)&lt;Settings!$B$30,"Up","Down")</f>
        <v>Up</v>
      </c>
      <c r="W976" s="6">
        <f>IF(OR(E976&gt;Settings!$B$30,Q976&gt;Settings!$B$37),0,1)</f>
        <v>1</v>
      </c>
      <c r="X976" s="6">
        <f>IF(AND(W976=1,Q976&lt;=Settings!$B$36),1,0)</f>
        <v>1</v>
      </c>
    </row>
    <row r="977" spans="1:24" x14ac:dyDescent="0.2">
      <c r="A977">
        <f>Arrivals!A977</f>
        <v>9</v>
      </c>
      <c r="B977">
        <f>Arrivals!B977</f>
        <v>12</v>
      </c>
      <c r="C977" s="6">
        <f>Arrivals!F977</f>
        <v>187</v>
      </c>
      <c r="D977" s="6">
        <f>Arrivals!K977</f>
        <v>300</v>
      </c>
      <c r="E977" s="6">
        <f>D977*8/ACE_Input!S17+ACE_Input!T17</f>
        <v>24.02</v>
      </c>
      <c r="F977" s="6">
        <f t="shared" si="368"/>
        <v>187</v>
      </c>
      <c r="G977" s="6">
        <f t="shared" si="379"/>
        <v>266.22000000000003</v>
      </c>
      <c r="H977" s="6">
        <f t="shared" si="369"/>
        <v>266.22000000000003</v>
      </c>
      <c r="I977" s="6">
        <f>MOD(H977-Settings!$B$32,Settings!$B$33)</f>
        <v>266.22000000000003</v>
      </c>
      <c r="J977" s="6">
        <f>IF(I977&lt;Settings!$B$30,IF(Settings!$B$30-I977&gt;=E977,H977,H977+(Settings!$B$30-I977)+Settings!$B$31),H977+(Settings!$B$33-I977))</f>
        <v>266.22000000000003</v>
      </c>
      <c r="K977" s="6">
        <f t="shared" si="370"/>
        <v>290.24</v>
      </c>
      <c r="L977" s="6">
        <f t="shared" si="371"/>
        <v>290.24</v>
      </c>
      <c r="M977" s="6">
        <f t="shared" si="380"/>
        <v>267.45127390125282</v>
      </c>
      <c r="N977" s="6">
        <f t="shared" si="372"/>
        <v>290.24</v>
      </c>
      <c r="O977" s="6">
        <f>Arrivals!I977</f>
        <v>0.14625879972887745</v>
      </c>
      <c r="P977" s="6">
        <f t="shared" si="373"/>
        <v>290.38625879972886</v>
      </c>
      <c r="Q977" s="6">
        <f t="shared" si="374"/>
        <v>103.38625879972886</v>
      </c>
      <c r="R977" s="6">
        <f t="shared" si="375"/>
        <v>79.220000000000027</v>
      </c>
      <c r="S977" s="6">
        <f t="shared" si="376"/>
        <v>0</v>
      </c>
      <c r="T977" s="6">
        <f t="shared" si="377"/>
        <v>0</v>
      </c>
      <c r="U977" s="6">
        <f t="shared" si="378"/>
        <v>79.220000000000027</v>
      </c>
      <c r="V977" s="6" t="str">
        <f>IF(MOD(C977-Settings!$B$32,Settings!$B$33)&lt;Settings!$B$30,"Up","Down")</f>
        <v>Up</v>
      </c>
      <c r="W977" s="6">
        <f>IF(OR(E977&gt;Settings!$B$30,Q977&gt;Settings!$B$37),0,1)</f>
        <v>1</v>
      </c>
      <c r="X977" s="6">
        <f>IF(AND(W977=1,Q977&lt;=Settings!$B$36),1,0)</f>
        <v>1</v>
      </c>
    </row>
    <row r="978" spans="1:24" x14ac:dyDescent="0.2">
      <c r="A978">
        <f>Arrivals!A978</f>
        <v>9</v>
      </c>
      <c r="B978">
        <f>Arrivals!B978</f>
        <v>13</v>
      </c>
      <c r="C978" s="6">
        <f>Arrivals!F978</f>
        <v>192</v>
      </c>
      <c r="D978" s="6">
        <f>Arrivals!K978</f>
        <v>300</v>
      </c>
      <c r="E978" s="6">
        <f>D978*8/ACE_Input!S18+ACE_Input!T18</f>
        <v>24.02</v>
      </c>
      <c r="F978" s="6">
        <f t="shared" si="368"/>
        <v>192</v>
      </c>
      <c r="G978" s="6">
        <f t="shared" si="379"/>
        <v>290.24</v>
      </c>
      <c r="H978" s="6">
        <f t="shared" si="369"/>
        <v>290.24</v>
      </c>
      <c r="I978" s="6">
        <f>MOD(H978-Settings!$B$32,Settings!$B$33)</f>
        <v>290.24</v>
      </c>
      <c r="J978" s="6">
        <f>IF(I978&lt;Settings!$B$30,IF(Settings!$B$30-I978&gt;=E978,H978,H978+(Settings!$B$30-I978)+Settings!$B$31),H978+(Settings!$B$33-I978))</f>
        <v>290.24</v>
      </c>
      <c r="K978" s="6">
        <f t="shared" si="370"/>
        <v>314.26</v>
      </c>
      <c r="L978" s="6">
        <f t="shared" si="371"/>
        <v>314.26</v>
      </c>
      <c r="M978" s="6">
        <f t="shared" si="380"/>
        <v>290.38625879972886</v>
      </c>
      <c r="N978" s="6">
        <f t="shared" si="372"/>
        <v>314.26</v>
      </c>
      <c r="O978" s="6">
        <f>Arrivals!I978</f>
        <v>2.3430503550044888</v>
      </c>
      <c r="P978" s="6">
        <f t="shared" si="373"/>
        <v>316.60305035500448</v>
      </c>
      <c r="Q978" s="6">
        <f t="shared" si="374"/>
        <v>124.60305035500448</v>
      </c>
      <c r="R978" s="6">
        <f t="shared" si="375"/>
        <v>98.240000000000009</v>
      </c>
      <c r="S978" s="6">
        <f t="shared" si="376"/>
        <v>0</v>
      </c>
      <c r="T978" s="6">
        <f t="shared" si="377"/>
        <v>0</v>
      </c>
      <c r="U978" s="6">
        <f t="shared" si="378"/>
        <v>98.240000000000009</v>
      </c>
      <c r="V978" s="6" t="str">
        <f>IF(MOD(C978-Settings!$B$32,Settings!$B$33)&lt;Settings!$B$30,"Up","Down")</f>
        <v>Up</v>
      </c>
      <c r="W978" s="6">
        <f>IF(OR(E978&gt;Settings!$B$30,Q978&gt;Settings!$B$37),0,1)</f>
        <v>1</v>
      </c>
      <c r="X978" s="6">
        <f>IF(AND(W978=1,Q978&lt;=Settings!$B$36),1,0)</f>
        <v>0</v>
      </c>
    </row>
    <row r="979" spans="1:24" x14ac:dyDescent="0.2">
      <c r="A979">
        <f>Arrivals!A979</f>
        <v>9</v>
      </c>
      <c r="B979">
        <f>Arrivals!B979</f>
        <v>14</v>
      </c>
      <c r="C979" s="6">
        <f>Arrivals!F979</f>
        <v>197</v>
      </c>
      <c r="D979" s="6">
        <f>Arrivals!K979</f>
        <v>300</v>
      </c>
      <c r="E979" s="6">
        <f>D979*8/ACE_Input!S19+ACE_Input!T19</f>
        <v>24.02</v>
      </c>
      <c r="F979" s="6">
        <f t="shared" si="368"/>
        <v>197</v>
      </c>
      <c r="G979" s="6">
        <f t="shared" si="379"/>
        <v>314.26</v>
      </c>
      <c r="H979" s="6">
        <f t="shared" si="369"/>
        <v>314.26</v>
      </c>
      <c r="I979" s="6">
        <f>MOD(H979-Settings!$B$32,Settings!$B$33)</f>
        <v>314.26</v>
      </c>
      <c r="J979" s="6">
        <f>IF(I979&lt;Settings!$B$30,IF(Settings!$B$30-I979&gt;=E979,H979,H979+(Settings!$B$30-I979)+Settings!$B$31),H979+(Settings!$B$33-I979))</f>
        <v>314.26</v>
      </c>
      <c r="K979" s="6">
        <f t="shared" si="370"/>
        <v>338.28</v>
      </c>
      <c r="L979" s="6">
        <f t="shared" si="371"/>
        <v>338.28</v>
      </c>
      <c r="M979" s="6">
        <f t="shared" si="380"/>
        <v>316.60305035500448</v>
      </c>
      <c r="N979" s="6">
        <f t="shared" si="372"/>
        <v>338.28</v>
      </c>
      <c r="O979" s="6">
        <f>Arrivals!I979</f>
        <v>7.8470405333187649</v>
      </c>
      <c r="P979" s="6">
        <f t="shared" si="373"/>
        <v>346.12704053331873</v>
      </c>
      <c r="Q979" s="6">
        <f t="shared" si="374"/>
        <v>149.12704053331873</v>
      </c>
      <c r="R979" s="6">
        <f t="shared" si="375"/>
        <v>117.25999999999999</v>
      </c>
      <c r="S979" s="6">
        <f t="shared" si="376"/>
        <v>0</v>
      </c>
      <c r="T979" s="6">
        <f t="shared" si="377"/>
        <v>0</v>
      </c>
      <c r="U979" s="6">
        <f t="shared" si="378"/>
        <v>117.25999999999999</v>
      </c>
      <c r="V979" s="6" t="str">
        <f>IF(MOD(C979-Settings!$B$32,Settings!$B$33)&lt;Settings!$B$30,"Up","Down")</f>
        <v>Up</v>
      </c>
      <c r="W979" s="6">
        <f>IF(OR(E979&gt;Settings!$B$30,Q979&gt;Settings!$B$37),0,1)</f>
        <v>1</v>
      </c>
      <c r="X979" s="6">
        <f>IF(AND(W979=1,Q979&lt;=Settings!$B$36),1,0)</f>
        <v>0</v>
      </c>
    </row>
    <row r="980" spans="1:24" x14ac:dyDescent="0.2">
      <c r="A980">
        <f>Arrivals!A980</f>
        <v>9</v>
      </c>
      <c r="B980">
        <f>Arrivals!B980</f>
        <v>15</v>
      </c>
      <c r="C980" s="6">
        <f>Arrivals!F980</f>
        <v>202</v>
      </c>
      <c r="D980" s="6">
        <f>Arrivals!K980</f>
        <v>300</v>
      </c>
      <c r="E980" s="6">
        <f>D980*8/ACE_Input!S20+ACE_Input!T20</f>
        <v>24.02</v>
      </c>
      <c r="F980" s="6">
        <f t="shared" si="368"/>
        <v>202</v>
      </c>
      <c r="G980" s="6">
        <f t="shared" si="379"/>
        <v>338.28</v>
      </c>
      <c r="H980" s="6">
        <f t="shared" si="369"/>
        <v>338.28</v>
      </c>
      <c r="I980" s="6">
        <f>MOD(H980-Settings!$B$32,Settings!$B$33)</f>
        <v>338.28</v>
      </c>
      <c r="J980" s="6">
        <f>IF(I980&lt;Settings!$B$30,IF(Settings!$B$30-I980&gt;=E980,H980,H980+(Settings!$B$30-I980)+Settings!$B$31),H980+(Settings!$B$33-I980))</f>
        <v>338.28</v>
      </c>
      <c r="K980" s="6">
        <f t="shared" si="370"/>
        <v>362.29999999999995</v>
      </c>
      <c r="L980" s="6">
        <f t="shared" si="371"/>
        <v>362.29999999999995</v>
      </c>
      <c r="M980" s="6">
        <f t="shared" si="380"/>
        <v>346.12704053331873</v>
      </c>
      <c r="N980" s="6">
        <f t="shared" si="372"/>
        <v>362.29999999999995</v>
      </c>
      <c r="O980" s="6">
        <f>Arrivals!I980</f>
        <v>5.639191192396857</v>
      </c>
      <c r="P980" s="6">
        <f t="shared" si="373"/>
        <v>367.93919119239683</v>
      </c>
      <c r="Q980" s="6">
        <f t="shared" si="374"/>
        <v>165.93919119239683</v>
      </c>
      <c r="R980" s="6">
        <f t="shared" si="375"/>
        <v>136.27999999999997</v>
      </c>
      <c r="S980" s="6">
        <f t="shared" si="376"/>
        <v>0</v>
      </c>
      <c r="T980" s="6">
        <f t="shared" si="377"/>
        <v>0</v>
      </c>
      <c r="U980" s="6">
        <f t="shared" si="378"/>
        <v>136.27999999999997</v>
      </c>
      <c r="V980" s="6" t="str">
        <f>IF(MOD(C980-Settings!$B$32,Settings!$B$33)&lt;Settings!$B$30,"Up","Down")</f>
        <v>Up</v>
      </c>
      <c r="W980" s="6">
        <f>IF(OR(E980&gt;Settings!$B$30,Q980&gt;Settings!$B$37),0,1)</f>
        <v>1</v>
      </c>
      <c r="X980" s="6">
        <f>IF(AND(W980=1,Q980&lt;=Settings!$B$36),1,0)</f>
        <v>0</v>
      </c>
    </row>
    <row r="981" spans="1:24" x14ac:dyDescent="0.2">
      <c r="A981">
        <f>Arrivals!A981</f>
        <v>9</v>
      </c>
      <c r="B981">
        <f>Arrivals!B981</f>
        <v>16</v>
      </c>
      <c r="C981" s="6">
        <f>Arrivals!F981</f>
        <v>207</v>
      </c>
      <c r="D981" s="6">
        <f>Arrivals!K981</f>
        <v>300</v>
      </c>
      <c r="E981" s="6">
        <f>D981*8/ACE_Input!S21+ACE_Input!T21</f>
        <v>24.02</v>
      </c>
      <c r="F981" s="6">
        <f t="shared" si="368"/>
        <v>207</v>
      </c>
      <c r="G981" s="6">
        <f t="shared" si="379"/>
        <v>362.29999999999995</v>
      </c>
      <c r="H981" s="6">
        <f t="shared" si="369"/>
        <v>362.29999999999995</v>
      </c>
      <c r="I981" s="6">
        <f>MOD(H981-Settings!$B$32,Settings!$B$33)</f>
        <v>362.29999999999995</v>
      </c>
      <c r="J981" s="6">
        <f>IF(I981&lt;Settings!$B$30,IF(Settings!$B$30-I981&gt;=E981,H981,H981+(Settings!$B$30-I981)+Settings!$B$31),H981+(Settings!$B$33-I981))</f>
        <v>362.29999999999995</v>
      </c>
      <c r="K981" s="6">
        <f t="shared" si="370"/>
        <v>386.31999999999994</v>
      </c>
      <c r="L981" s="6">
        <f t="shared" si="371"/>
        <v>386.31999999999994</v>
      </c>
      <c r="M981" s="6">
        <f t="shared" si="380"/>
        <v>367.93919119239683</v>
      </c>
      <c r="N981" s="6">
        <f t="shared" si="372"/>
        <v>386.31999999999994</v>
      </c>
      <c r="O981" s="6">
        <f>Arrivals!I981</f>
        <v>7.6981791667665318</v>
      </c>
      <c r="P981" s="6">
        <f t="shared" si="373"/>
        <v>394.01817916676646</v>
      </c>
      <c r="Q981" s="6">
        <f t="shared" si="374"/>
        <v>187.01817916676646</v>
      </c>
      <c r="R981" s="6">
        <f t="shared" si="375"/>
        <v>155.29999999999995</v>
      </c>
      <c r="S981" s="6">
        <f t="shared" si="376"/>
        <v>0</v>
      </c>
      <c r="T981" s="6">
        <f t="shared" si="377"/>
        <v>0</v>
      </c>
      <c r="U981" s="6">
        <f t="shared" si="378"/>
        <v>155.29999999999995</v>
      </c>
      <c r="V981" s="6" t="str">
        <f>IF(MOD(C981-Settings!$B$32,Settings!$B$33)&lt;Settings!$B$30,"Up","Down")</f>
        <v>Up</v>
      </c>
      <c r="W981" s="6">
        <f>IF(OR(E981&gt;Settings!$B$30,Q981&gt;Settings!$B$37),0,1)</f>
        <v>1</v>
      </c>
      <c r="X981" s="6">
        <f>IF(AND(W981=1,Q981&lt;=Settings!$B$36),1,0)</f>
        <v>0</v>
      </c>
    </row>
    <row r="982" spans="1:24" x14ac:dyDescent="0.2">
      <c r="A982">
        <f>Arrivals!A982</f>
        <v>9</v>
      </c>
      <c r="B982">
        <f>Arrivals!B982</f>
        <v>17</v>
      </c>
      <c r="C982" s="6">
        <f>Arrivals!F982</f>
        <v>212</v>
      </c>
      <c r="D982" s="6">
        <f>Arrivals!K982</f>
        <v>300</v>
      </c>
      <c r="E982" s="6">
        <f>D982*8/ACE_Input!S22+ACE_Input!T22</f>
        <v>24.02</v>
      </c>
      <c r="F982" s="6">
        <f t="shared" si="368"/>
        <v>212</v>
      </c>
      <c r="G982" s="6">
        <f t="shared" si="379"/>
        <v>386.31999999999994</v>
      </c>
      <c r="H982" s="6">
        <f t="shared" si="369"/>
        <v>386.31999999999994</v>
      </c>
      <c r="I982" s="6">
        <f>MOD(H982-Settings!$B$32,Settings!$B$33)</f>
        <v>386.31999999999994</v>
      </c>
      <c r="J982" s="6">
        <f>IF(I982&lt;Settings!$B$30,IF(Settings!$B$30-I982&gt;=E982,H982,H982+(Settings!$B$30-I982)+Settings!$B$31),H982+(Settings!$B$33-I982))</f>
        <v>386.31999999999994</v>
      </c>
      <c r="K982" s="6">
        <f t="shared" si="370"/>
        <v>410.33999999999992</v>
      </c>
      <c r="L982" s="6">
        <f t="shared" si="371"/>
        <v>410.33999999999992</v>
      </c>
      <c r="M982" s="6">
        <f t="shared" si="380"/>
        <v>394.01817916676646</v>
      </c>
      <c r="N982" s="6">
        <f t="shared" si="372"/>
        <v>410.33999999999992</v>
      </c>
      <c r="O982" s="6">
        <f>Arrivals!I982</f>
        <v>0.64937387340808139</v>
      </c>
      <c r="P982" s="6">
        <f t="shared" si="373"/>
        <v>410.989373873408</v>
      </c>
      <c r="Q982" s="6">
        <f t="shared" si="374"/>
        <v>198.989373873408</v>
      </c>
      <c r="R982" s="6">
        <f t="shared" si="375"/>
        <v>174.31999999999994</v>
      </c>
      <c r="S982" s="6">
        <f t="shared" si="376"/>
        <v>0</v>
      </c>
      <c r="T982" s="6">
        <f t="shared" si="377"/>
        <v>0</v>
      </c>
      <c r="U982" s="6">
        <f t="shared" si="378"/>
        <v>174.31999999999994</v>
      </c>
      <c r="V982" s="6" t="str">
        <f>IF(MOD(C982-Settings!$B$32,Settings!$B$33)&lt;Settings!$B$30,"Up","Down")</f>
        <v>Up</v>
      </c>
      <c r="W982" s="6">
        <f>IF(OR(E982&gt;Settings!$B$30,Q982&gt;Settings!$B$37),0,1)</f>
        <v>1</v>
      </c>
      <c r="X982" s="6">
        <f>IF(AND(W982=1,Q982&lt;=Settings!$B$36),1,0)</f>
        <v>0</v>
      </c>
    </row>
    <row r="983" spans="1:24" x14ac:dyDescent="0.2">
      <c r="A983">
        <f>Arrivals!A983</f>
        <v>9</v>
      </c>
      <c r="B983">
        <f>Arrivals!B983</f>
        <v>18</v>
      </c>
      <c r="C983" s="6">
        <f>Arrivals!F983</f>
        <v>217</v>
      </c>
      <c r="D983" s="6">
        <f>Arrivals!K983</f>
        <v>300</v>
      </c>
      <c r="E983" s="6">
        <f>D983*8/ACE_Input!S23+ACE_Input!T23</f>
        <v>24.02</v>
      </c>
      <c r="F983" s="6">
        <f t="shared" si="368"/>
        <v>217</v>
      </c>
      <c r="G983" s="6">
        <f t="shared" si="379"/>
        <v>410.33999999999992</v>
      </c>
      <c r="H983" s="6">
        <f t="shared" si="369"/>
        <v>410.33999999999992</v>
      </c>
      <c r="I983" s="6">
        <f>MOD(H983-Settings!$B$32,Settings!$B$33)</f>
        <v>410.33999999999992</v>
      </c>
      <c r="J983" s="6">
        <f>IF(I983&lt;Settings!$B$30,IF(Settings!$B$30-I983&gt;=E983,H983,H983+(Settings!$B$30-I983)+Settings!$B$31),H983+(Settings!$B$33-I983))</f>
        <v>410.33999999999992</v>
      </c>
      <c r="K983" s="6">
        <f t="shared" si="370"/>
        <v>434.3599999999999</v>
      </c>
      <c r="L983" s="6">
        <f t="shared" si="371"/>
        <v>434.3599999999999</v>
      </c>
      <c r="M983" s="6">
        <f t="shared" si="380"/>
        <v>410.989373873408</v>
      </c>
      <c r="N983" s="6">
        <f t="shared" si="372"/>
        <v>434.3599999999999</v>
      </c>
      <c r="O983" s="6">
        <f>Arrivals!I983</f>
        <v>3.1336087677581963</v>
      </c>
      <c r="P983" s="6">
        <f t="shared" si="373"/>
        <v>437.49360876775808</v>
      </c>
      <c r="Q983" s="6">
        <f t="shared" si="374"/>
        <v>220.49360876775808</v>
      </c>
      <c r="R983" s="6">
        <f t="shared" si="375"/>
        <v>193.33999999999992</v>
      </c>
      <c r="S983" s="6">
        <f t="shared" si="376"/>
        <v>0</v>
      </c>
      <c r="T983" s="6">
        <f t="shared" si="377"/>
        <v>0</v>
      </c>
      <c r="U983" s="6">
        <f t="shared" si="378"/>
        <v>193.33999999999992</v>
      </c>
      <c r="V983" s="6" t="str">
        <f>IF(MOD(C983-Settings!$B$32,Settings!$B$33)&lt;Settings!$B$30,"Up","Down")</f>
        <v>Up</v>
      </c>
      <c r="W983" s="6">
        <f>IF(OR(E983&gt;Settings!$B$30,Q983&gt;Settings!$B$37),0,1)</f>
        <v>1</v>
      </c>
      <c r="X983" s="6">
        <f>IF(AND(W983=1,Q983&lt;=Settings!$B$36),1,0)</f>
        <v>0</v>
      </c>
    </row>
    <row r="984" spans="1:24" x14ac:dyDescent="0.2">
      <c r="A984">
        <f>Arrivals!A984</f>
        <v>9</v>
      </c>
      <c r="B984">
        <f>Arrivals!B984</f>
        <v>19</v>
      </c>
      <c r="C984" s="6">
        <f>Arrivals!F984</f>
        <v>222</v>
      </c>
      <c r="D984" s="6">
        <f>Arrivals!K984</f>
        <v>300</v>
      </c>
      <c r="E984" s="6">
        <f>D984*8/ACE_Input!S24+ACE_Input!T24</f>
        <v>24.02</v>
      </c>
      <c r="F984" s="6">
        <f t="shared" si="368"/>
        <v>222</v>
      </c>
      <c r="G984" s="6">
        <f t="shared" si="379"/>
        <v>434.3599999999999</v>
      </c>
      <c r="H984" s="6">
        <f t="shared" si="369"/>
        <v>434.3599999999999</v>
      </c>
      <c r="I984" s="6">
        <f>MOD(H984-Settings!$B$32,Settings!$B$33)</f>
        <v>434.3599999999999</v>
      </c>
      <c r="J984" s="6">
        <f>IF(I984&lt;Settings!$B$30,IF(Settings!$B$30-I984&gt;=E984,H984,H984+(Settings!$B$30-I984)+Settings!$B$31),H984+(Settings!$B$33-I984))</f>
        <v>434.3599999999999</v>
      </c>
      <c r="K984" s="6">
        <f t="shared" si="370"/>
        <v>458.37999999999988</v>
      </c>
      <c r="L984" s="6">
        <f t="shared" si="371"/>
        <v>458.37999999999988</v>
      </c>
      <c r="M984" s="6">
        <f t="shared" si="380"/>
        <v>437.49360876775808</v>
      </c>
      <c r="N984" s="6">
        <f t="shared" si="372"/>
        <v>458.37999999999988</v>
      </c>
      <c r="O984" s="6">
        <f>Arrivals!I984</f>
        <v>5.3512139086374297</v>
      </c>
      <c r="P984" s="6">
        <f t="shared" si="373"/>
        <v>463.7312139086373</v>
      </c>
      <c r="Q984" s="6">
        <f t="shared" si="374"/>
        <v>241.7312139086373</v>
      </c>
      <c r="R984" s="6">
        <f t="shared" si="375"/>
        <v>212.3599999999999</v>
      </c>
      <c r="S984" s="6">
        <f t="shared" si="376"/>
        <v>0</v>
      </c>
      <c r="T984" s="6">
        <f t="shared" si="377"/>
        <v>0</v>
      </c>
      <c r="U984" s="6">
        <f t="shared" si="378"/>
        <v>212.3599999999999</v>
      </c>
      <c r="V984" s="6" t="str">
        <f>IF(MOD(C984-Settings!$B$32,Settings!$B$33)&lt;Settings!$B$30,"Up","Down")</f>
        <v>Up</v>
      </c>
      <c r="W984" s="6">
        <f>IF(OR(E984&gt;Settings!$B$30,Q984&gt;Settings!$B$37),0,1)</f>
        <v>1</v>
      </c>
      <c r="X984" s="6">
        <f>IF(AND(W984=1,Q984&lt;=Settings!$B$36),1,0)</f>
        <v>0</v>
      </c>
    </row>
    <row r="985" spans="1:24" x14ac:dyDescent="0.2">
      <c r="A985">
        <f>Arrivals!A985</f>
        <v>9</v>
      </c>
      <c r="B985">
        <f>Arrivals!B985</f>
        <v>20</v>
      </c>
      <c r="C985" s="6">
        <f>Arrivals!F985</f>
        <v>227</v>
      </c>
      <c r="D985" s="6">
        <f>Arrivals!K985</f>
        <v>300</v>
      </c>
      <c r="E985" s="6">
        <f>D985*8/ACE_Input!S25+ACE_Input!T25</f>
        <v>24.02</v>
      </c>
      <c r="F985" s="6">
        <f t="shared" si="368"/>
        <v>227</v>
      </c>
      <c r="G985" s="6">
        <f t="shared" si="379"/>
        <v>458.37999999999988</v>
      </c>
      <c r="H985" s="6">
        <f t="shared" si="369"/>
        <v>458.37999999999988</v>
      </c>
      <c r="I985" s="6">
        <f>MOD(H985-Settings!$B$32,Settings!$B$33)</f>
        <v>458.37999999999988</v>
      </c>
      <c r="J985" s="6">
        <f>IF(I985&lt;Settings!$B$30,IF(Settings!$B$30-I985&gt;=E985,H985,H985+(Settings!$B$30-I985)+Settings!$B$31),H985+(Settings!$B$33-I985))</f>
        <v>458.37999999999988</v>
      </c>
      <c r="K985" s="6">
        <f t="shared" si="370"/>
        <v>482.39999999999986</v>
      </c>
      <c r="L985" s="6">
        <f t="shared" si="371"/>
        <v>482.39999999999986</v>
      </c>
      <c r="M985" s="6">
        <f t="shared" si="380"/>
        <v>463.7312139086373</v>
      </c>
      <c r="N985" s="6">
        <f t="shared" si="372"/>
        <v>482.39999999999986</v>
      </c>
      <c r="O985" s="6">
        <f>Arrivals!I985</f>
        <v>2.6363597715977294</v>
      </c>
      <c r="P985" s="6">
        <f t="shared" si="373"/>
        <v>485.03635977159757</v>
      </c>
      <c r="Q985" s="6">
        <f t="shared" si="374"/>
        <v>258.03635977159757</v>
      </c>
      <c r="R985" s="6">
        <f t="shared" si="375"/>
        <v>231.37999999999988</v>
      </c>
      <c r="S985" s="6">
        <f t="shared" si="376"/>
        <v>0</v>
      </c>
      <c r="T985" s="6">
        <f t="shared" si="377"/>
        <v>0</v>
      </c>
      <c r="U985" s="6">
        <f t="shared" si="378"/>
        <v>231.37999999999988</v>
      </c>
      <c r="V985" s="6" t="str">
        <f>IF(MOD(C985-Settings!$B$32,Settings!$B$33)&lt;Settings!$B$30,"Up","Down")</f>
        <v>Up</v>
      </c>
      <c r="W985" s="6">
        <f>IF(OR(E985&gt;Settings!$B$30,Q985&gt;Settings!$B$37),0,1)</f>
        <v>1</v>
      </c>
      <c r="X985" s="6">
        <f>IF(AND(W985=1,Q985&lt;=Settings!$B$36),1,0)</f>
        <v>0</v>
      </c>
    </row>
    <row r="986" spans="1:24" x14ac:dyDescent="0.2">
      <c r="A986">
        <f>Arrivals!A986</f>
        <v>9</v>
      </c>
      <c r="B986">
        <f>Arrivals!B986</f>
        <v>21</v>
      </c>
      <c r="C986" s="6">
        <f>Arrivals!F986</f>
        <v>232</v>
      </c>
      <c r="D986" s="6">
        <f>Arrivals!K986</f>
        <v>300</v>
      </c>
      <c r="E986" s="6">
        <f>D986*8/ACE_Input!S26+ACE_Input!T26</f>
        <v>24.02</v>
      </c>
      <c r="F986" s="6">
        <f t="shared" si="368"/>
        <v>232</v>
      </c>
      <c r="G986" s="6">
        <f t="shared" si="379"/>
        <v>482.39999999999986</v>
      </c>
      <c r="H986" s="6">
        <f t="shared" si="369"/>
        <v>482.39999999999986</v>
      </c>
      <c r="I986" s="6">
        <f>MOD(H986-Settings!$B$32,Settings!$B$33)</f>
        <v>482.39999999999986</v>
      </c>
      <c r="J986" s="6">
        <f>IF(I986&lt;Settings!$B$30,IF(Settings!$B$30-I986&gt;=E986,H986,H986+(Settings!$B$30-I986)+Settings!$B$31),H986+(Settings!$B$33-I986))</f>
        <v>482.39999999999986</v>
      </c>
      <c r="K986" s="6">
        <f t="shared" si="370"/>
        <v>506.41999999999985</v>
      </c>
      <c r="L986" s="6">
        <f t="shared" si="371"/>
        <v>506.41999999999985</v>
      </c>
      <c r="M986" s="6">
        <f t="shared" si="380"/>
        <v>485.03635977159757</v>
      </c>
      <c r="N986" s="6">
        <f t="shared" si="372"/>
        <v>506.41999999999985</v>
      </c>
      <c r="O986" s="6">
        <f>Arrivals!I986</f>
        <v>1.8520253560665292</v>
      </c>
      <c r="P986" s="6">
        <f t="shared" si="373"/>
        <v>508.27202535606637</v>
      </c>
      <c r="Q986" s="6">
        <f t="shared" si="374"/>
        <v>276.27202535606637</v>
      </c>
      <c r="R986" s="6">
        <f t="shared" si="375"/>
        <v>250.39999999999986</v>
      </c>
      <c r="S986" s="6">
        <f t="shared" si="376"/>
        <v>0</v>
      </c>
      <c r="T986" s="6">
        <f t="shared" si="377"/>
        <v>0</v>
      </c>
      <c r="U986" s="6">
        <f t="shared" si="378"/>
        <v>250.39999999999986</v>
      </c>
      <c r="V986" s="6" t="str">
        <f>IF(MOD(C986-Settings!$B$32,Settings!$B$33)&lt;Settings!$B$30,"Up","Down")</f>
        <v>Up</v>
      </c>
      <c r="W986" s="6">
        <f>IF(OR(E986&gt;Settings!$B$30,Q986&gt;Settings!$B$37),0,1)</f>
        <v>1</v>
      </c>
      <c r="X986" s="6">
        <f>IF(AND(W986=1,Q986&lt;=Settings!$B$36),1,0)</f>
        <v>0</v>
      </c>
    </row>
    <row r="987" spans="1:24" x14ac:dyDescent="0.2">
      <c r="A987">
        <f>Arrivals!A987</f>
        <v>9</v>
      </c>
      <c r="B987">
        <f>Arrivals!B987</f>
        <v>22</v>
      </c>
      <c r="C987" s="6">
        <f>Arrivals!F987</f>
        <v>237</v>
      </c>
      <c r="D987" s="6">
        <f>Arrivals!K987</f>
        <v>300</v>
      </c>
      <c r="E987" s="6">
        <f>D987*8/ACE_Input!S27+ACE_Input!T27</f>
        <v>24.02</v>
      </c>
      <c r="F987" s="6">
        <f t="shared" si="368"/>
        <v>237</v>
      </c>
      <c r="G987" s="6">
        <f t="shared" si="379"/>
        <v>506.41999999999985</v>
      </c>
      <c r="H987" s="6">
        <f t="shared" si="369"/>
        <v>506.41999999999985</v>
      </c>
      <c r="I987" s="6">
        <f>MOD(H987-Settings!$B$32,Settings!$B$33)</f>
        <v>506.41999999999985</v>
      </c>
      <c r="J987" s="6">
        <f>IF(I987&lt;Settings!$B$30,IF(Settings!$B$30-I987&gt;=E987,H987,H987+(Settings!$B$30-I987)+Settings!$B$31),H987+(Settings!$B$33-I987))</f>
        <v>506.41999999999985</v>
      </c>
      <c r="K987" s="6">
        <f t="shared" si="370"/>
        <v>530.43999999999983</v>
      </c>
      <c r="L987" s="6">
        <f t="shared" si="371"/>
        <v>530.43999999999983</v>
      </c>
      <c r="M987" s="6">
        <f t="shared" si="380"/>
        <v>508.27202535606637</v>
      </c>
      <c r="N987" s="6">
        <f t="shared" si="372"/>
        <v>530.43999999999983</v>
      </c>
      <c r="O987" s="6">
        <f>Arrivals!I987</f>
        <v>8.0123114870170138</v>
      </c>
      <c r="P987" s="6">
        <f t="shared" si="373"/>
        <v>538.4523114870168</v>
      </c>
      <c r="Q987" s="6">
        <f t="shared" si="374"/>
        <v>301.4523114870168</v>
      </c>
      <c r="R987" s="6">
        <f t="shared" si="375"/>
        <v>269.41999999999985</v>
      </c>
      <c r="S987" s="6">
        <f t="shared" si="376"/>
        <v>0</v>
      </c>
      <c r="T987" s="6">
        <f t="shared" si="377"/>
        <v>0</v>
      </c>
      <c r="U987" s="6">
        <f t="shared" si="378"/>
        <v>269.41999999999985</v>
      </c>
      <c r="V987" s="6" t="str">
        <f>IF(MOD(C987-Settings!$B$32,Settings!$B$33)&lt;Settings!$B$30,"Up","Down")</f>
        <v>Up</v>
      </c>
      <c r="W987" s="6">
        <f>IF(OR(E987&gt;Settings!$B$30,Q987&gt;Settings!$B$37),0,1)</f>
        <v>1</v>
      </c>
      <c r="X987" s="6">
        <f>IF(AND(W987=1,Q987&lt;=Settings!$B$36),1,0)</f>
        <v>0</v>
      </c>
    </row>
    <row r="988" spans="1:24" x14ac:dyDescent="0.2">
      <c r="A988">
        <f>Arrivals!A988</f>
        <v>9</v>
      </c>
      <c r="B988">
        <f>Arrivals!B988</f>
        <v>23</v>
      </c>
      <c r="C988" s="6">
        <f>Arrivals!F988</f>
        <v>242</v>
      </c>
      <c r="D988" s="6">
        <f>Arrivals!K988</f>
        <v>300</v>
      </c>
      <c r="E988" s="6">
        <f>D988*8/ACE_Input!S28+ACE_Input!T28</f>
        <v>24.02</v>
      </c>
      <c r="F988" s="6">
        <f t="shared" si="368"/>
        <v>242</v>
      </c>
      <c r="G988" s="6">
        <f t="shared" si="379"/>
        <v>530.43999999999983</v>
      </c>
      <c r="H988" s="6">
        <f t="shared" si="369"/>
        <v>530.43999999999983</v>
      </c>
      <c r="I988" s="6">
        <f>MOD(H988-Settings!$B$32,Settings!$B$33)</f>
        <v>530.43999999999983</v>
      </c>
      <c r="J988" s="6">
        <f>IF(I988&lt;Settings!$B$30,IF(Settings!$B$30-I988&gt;=E988,H988,H988+(Settings!$B$30-I988)+Settings!$B$31),H988+(Settings!$B$33-I988))</f>
        <v>530.43999999999983</v>
      </c>
      <c r="K988" s="6">
        <f t="shared" si="370"/>
        <v>554.45999999999981</v>
      </c>
      <c r="L988" s="6">
        <f t="shared" si="371"/>
        <v>554.45999999999981</v>
      </c>
      <c r="M988" s="6">
        <f t="shared" si="380"/>
        <v>538.4523114870168</v>
      </c>
      <c r="N988" s="6">
        <f t="shared" si="372"/>
        <v>554.45999999999981</v>
      </c>
      <c r="O988" s="6">
        <f>Arrivals!I988</f>
        <v>2.110515122396599</v>
      </c>
      <c r="P988" s="6">
        <f t="shared" si="373"/>
        <v>556.57051512239639</v>
      </c>
      <c r="Q988" s="6">
        <f t="shared" si="374"/>
        <v>314.57051512239639</v>
      </c>
      <c r="R988" s="6">
        <f t="shared" si="375"/>
        <v>288.43999999999983</v>
      </c>
      <c r="S988" s="6">
        <f t="shared" si="376"/>
        <v>0</v>
      </c>
      <c r="T988" s="6">
        <f t="shared" si="377"/>
        <v>0</v>
      </c>
      <c r="U988" s="6">
        <f t="shared" si="378"/>
        <v>288.43999999999983</v>
      </c>
      <c r="V988" s="6" t="str">
        <f>IF(MOD(C988-Settings!$B$32,Settings!$B$33)&lt;Settings!$B$30,"Up","Down")</f>
        <v>Up</v>
      </c>
      <c r="W988" s="6">
        <f>IF(OR(E988&gt;Settings!$B$30,Q988&gt;Settings!$B$37),0,1)</f>
        <v>1</v>
      </c>
      <c r="X988" s="6">
        <f>IF(AND(W988=1,Q988&lt;=Settings!$B$36),1,0)</f>
        <v>0</v>
      </c>
    </row>
    <row r="989" spans="1:24" x14ac:dyDescent="0.2">
      <c r="A989">
        <f>Arrivals!A989</f>
        <v>9</v>
      </c>
      <c r="B989">
        <f>Arrivals!B989</f>
        <v>24</v>
      </c>
      <c r="C989" s="6">
        <f>Arrivals!F989</f>
        <v>247</v>
      </c>
      <c r="D989" s="6">
        <f>Arrivals!K989</f>
        <v>300</v>
      </c>
      <c r="E989" s="6">
        <f>D989*8/ACE_Input!S29+ACE_Input!T29</f>
        <v>24.02</v>
      </c>
      <c r="F989" s="6">
        <f t="shared" si="368"/>
        <v>247</v>
      </c>
      <c r="G989" s="6">
        <f t="shared" si="379"/>
        <v>554.45999999999981</v>
      </c>
      <c r="H989" s="6">
        <f t="shared" si="369"/>
        <v>554.45999999999981</v>
      </c>
      <c r="I989" s="6">
        <f>MOD(H989-Settings!$B$32,Settings!$B$33)</f>
        <v>554.45999999999981</v>
      </c>
      <c r="J989" s="6">
        <f>IF(I989&lt;Settings!$B$30,IF(Settings!$B$30-I989&gt;=E989,H989,H989+(Settings!$B$30-I989)+Settings!$B$31),H989+(Settings!$B$33-I989))</f>
        <v>554.45999999999981</v>
      </c>
      <c r="K989" s="6">
        <f t="shared" si="370"/>
        <v>578.47999999999979</v>
      </c>
      <c r="L989" s="6">
        <f t="shared" si="371"/>
        <v>578.47999999999979</v>
      </c>
      <c r="M989" s="6">
        <f t="shared" si="380"/>
        <v>556.57051512239639</v>
      </c>
      <c r="N989" s="6">
        <f t="shared" si="372"/>
        <v>578.47999999999979</v>
      </c>
      <c r="O989" s="6">
        <f>Arrivals!I989</f>
        <v>7.1047416570746247</v>
      </c>
      <c r="P989" s="6">
        <f t="shared" si="373"/>
        <v>585.58474165707446</v>
      </c>
      <c r="Q989" s="6">
        <f t="shared" si="374"/>
        <v>338.58474165707446</v>
      </c>
      <c r="R989" s="6">
        <f t="shared" si="375"/>
        <v>307.45999999999981</v>
      </c>
      <c r="S989" s="6">
        <f t="shared" si="376"/>
        <v>0</v>
      </c>
      <c r="T989" s="6">
        <f t="shared" si="377"/>
        <v>0</v>
      </c>
      <c r="U989" s="6">
        <f t="shared" si="378"/>
        <v>307.45999999999981</v>
      </c>
      <c r="V989" s="6" t="str">
        <f>IF(MOD(C989-Settings!$B$32,Settings!$B$33)&lt;Settings!$B$30,"Up","Down")</f>
        <v>Up</v>
      </c>
      <c r="W989" s="6">
        <f>IF(OR(E989&gt;Settings!$B$30,Q989&gt;Settings!$B$37),0,1)</f>
        <v>1</v>
      </c>
      <c r="X989" s="6">
        <f>IF(AND(W989=1,Q989&lt;=Settings!$B$36),1,0)</f>
        <v>0</v>
      </c>
    </row>
    <row r="990" spans="1:24" x14ac:dyDescent="0.2">
      <c r="A990">
        <f>Arrivals!A990</f>
        <v>9</v>
      </c>
      <c r="B990">
        <f>Arrivals!B990</f>
        <v>25</v>
      </c>
      <c r="C990" s="6">
        <f>Arrivals!F990</f>
        <v>252</v>
      </c>
      <c r="D990" s="6">
        <f>Arrivals!K990</f>
        <v>300</v>
      </c>
      <c r="E990" s="6">
        <f>D990*8/ACE_Input!S30+ACE_Input!T30</f>
        <v>24.02</v>
      </c>
      <c r="F990" s="6">
        <f t="shared" si="368"/>
        <v>252</v>
      </c>
      <c r="G990" s="6">
        <f t="shared" si="379"/>
        <v>578.47999999999979</v>
      </c>
      <c r="H990" s="6">
        <f t="shared" si="369"/>
        <v>578.47999999999979</v>
      </c>
      <c r="I990" s="6">
        <f>MOD(H990-Settings!$B$32,Settings!$B$33)</f>
        <v>578.47999999999979</v>
      </c>
      <c r="J990" s="6">
        <f>IF(I990&lt;Settings!$B$30,IF(Settings!$B$30-I990&gt;=E990,H990,H990+(Settings!$B$30-I990)+Settings!$B$31),H990+(Settings!$B$33-I990))</f>
        <v>720</v>
      </c>
      <c r="K990" s="6">
        <f t="shared" si="370"/>
        <v>744.02</v>
      </c>
      <c r="L990" s="6">
        <f t="shared" si="371"/>
        <v>744.02</v>
      </c>
      <c r="M990" s="6">
        <f t="shared" si="380"/>
        <v>585.58474165707446</v>
      </c>
      <c r="N990" s="6">
        <f t="shared" si="372"/>
        <v>744.02</v>
      </c>
      <c r="O990" s="6">
        <f>Arrivals!I990</f>
        <v>8.0494083073694274</v>
      </c>
      <c r="P990" s="6">
        <f t="shared" si="373"/>
        <v>752.06940830736937</v>
      </c>
      <c r="Q990" s="6">
        <f t="shared" si="374"/>
        <v>500.06940830736937</v>
      </c>
      <c r="R990" s="6">
        <f t="shared" si="375"/>
        <v>326.47999999999979</v>
      </c>
      <c r="S990" s="6">
        <f t="shared" si="376"/>
        <v>141.52000000000021</v>
      </c>
      <c r="T990" s="6">
        <f t="shared" si="377"/>
        <v>0</v>
      </c>
      <c r="U990" s="6">
        <f t="shared" si="378"/>
        <v>468</v>
      </c>
      <c r="V990" s="6" t="str">
        <f>IF(MOD(C990-Settings!$B$32,Settings!$B$33)&lt;Settings!$B$30,"Up","Down")</f>
        <v>Up</v>
      </c>
      <c r="W990" s="6">
        <f>IF(OR(E990&gt;Settings!$B$30,Q990&gt;Settings!$B$37),0,1)</f>
        <v>1</v>
      </c>
      <c r="X990" s="6">
        <f>IF(AND(W990=1,Q990&lt;=Settings!$B$36),1,0)</f>
        <v>0</v>
      </c>
    </row>
    <row r="991" spans="1:24" x14ac:dyDescent="0.2">
      <c r="A991">
        <f>Arrivals!A991</f>
        <v>9</v>
      </c>
      <c r="B991">
        <f>Arrivals!B991</f>
        <v>26</v>
      </c>
      <c r="C991" s="6">
        <f>Arrivals!F991</f>
        <v>257</v>
      </c>
      <c r="D991" s="6">
        <f>Arrivals!K991</f>
        <v>300</v>
      </c>
      <c r="E991" s="6">
        <f>D991*8/ACE_Input!S31+ACE_Input!T31</f>
        <v>24.02</v>
      </c>
      <c r="F991" s="6">
        <f t="shared" si="368"/>
        <v>257</v>
      </c>
      <c r="G991" s="6">
        <f t="shared" si="379"/>
        <v>744.02</v>
      </c>
      <c r="H991" s="6">
        <f t="shared" si="369"/>
        <v>744.02</v>
      </c>
      <c r="I991" s="6">
        <f>MOD(H991-Settings!$B$32,Settings!$B$33)</f>
        <v>24.019999999999982</v>
      </c>
      <c r="J991" s="6">
        <f>IF(I991&lt;Settings!$B$30,IF(Settings!$B$30-I991&gt;=E991,H991,H991+(Settings!$B$30-I991)+Settings!$B$31),H991+(Settings!$B$33-I991))</f>
        <v>744.02</v>
      </c>
      <c r="K991" s="6">
        <f t="shared" si="370"/>
        <v>768.04</v>
      </c>
      <c r="L991" s="6">
        <f t="shared" si="371"/>
        <v>768.04</v>
      </c>
      <c r="M991" s="6">
        <f t="shared" si="380"/>
        <v>752.06940830736937</v>
      </c>
      <c r="N991" s="6">
        <f t="shared" si="372"/>
        <v>768.04</v>
      </c>
      <c r="O991" s="6">
        <f>Arrivals!I991</f>
        <v>1.6795208296735622</v>
      </c>
      <c r="P991" s="6">
        <f t="shared" si="373"/>
        <v>769.71952082967357</v>
      </c>
      <c r="Q991" s="6">
        <f t="shared" si="374"/>
        <v>512.71952082967357</v>
      </c>
      <c r="R991" s="6">
        <f t="shared" si="375"/>
        <v>487.02</v>
      </c>
      <c r="S991" s="6">
        <f t="shared" si="376"/>
        <v>0</v>
      </c>
      <c r="T991" s="6">
        <f t="shared" si="377"/>
        <v>0</v>
      </c>
      <c r="U991" s="6">
        <f t="shared" si="378"/>
        <v>487.02</v>
      </c>
      <c r="V991" s="6" t="str">
        <f>IF(MOD(C991-Settings!$B$32,Settings!$B$33)&lt;Settings!$B$30,"Up","Down")</f>
        <v>Up</v>
      </c>
      <c r="W991" s="6">
        <f>IF(OR(E991&gt;Settings!$B$30,Q991&gt;Settings!$B$37),0,1)</f>
        <v>1</v>
      </c>
      <c r="X991" s="6">
        <f>IF(AND(W991=1,Q991&lt;=Settings!$B$36),1,0)</f>
        <v>0</v>
      </c>
    </row>
    <row r="992" spans="1:24" x14ac:dyDescent="0.2">
      <c r="A992">
        <f>Arrivals!A992</f>
        <v>9</v>
      </c>
      <c r="B992">
        <f>Arrivals!B992</f>
        <v>27</v>
      </c>
      <c r="C992" s="6">
        <f>Arrivals!F992</f>
        <v>262</v>
      </c>
      <c r="D992" s="6">
        <f>Arrivals!K992</f>
        <v>300</v>
      </c>
      <c r="E992" s="6">
        <f>D992*8/ACE_Input!S32+ACE_Input!T32</f>
        <v>24.02</v>
      </c>
      <c r="F992" s="6">
        <f t="shared" si="368"/>
        <v>262</v>
      </c>
      <c r="G992" s="6">
        <f t="shared" si="379"/>
        <v>768.04</v>
      </c>
      <c r="H992" s="6">
        <f t="shared" si="369"/>
        <v>768.04</v>
      </c>
      <c r="I992" s="6">
        <f>MOD(H992-Settings!$B$32,Settings!$B$33)</f>
        <v>48.039999999999964</v>
      </c>
      <c r="J992" s="6">
        <f>IF(I992&lt;Settings!$B$30,IF(Settings!$B$30-I992&gt;=E992,H992,H992+(Settings!$B$30-I992)+Settings!$B$31),H992+(Settings!$B$33-I992))</f>
        <v>768.04</v>
      </c>
      <c r="K992" s="6">
        <f t="shared" si="370"/>
        <v>792.06</v>
      </c>
      <c r="L992" s="6">
        <f t="shared" si="371"/>
        <v>792.06</v>
      </c>
      <c r="M992" s="6">
        <f t="shared" si="380"/>
        <v>769.71952082967357</v>
      </c>
      <c r="N992" s="6">
        <f t="shared" si="372"/>
        <v>792.06</v>
      </c>
      <c r="O992" s="6">
        <f>Arrivals!I992</f>
        <v>4.6996285410739214</v>
      </c>
      <c r="P992" s="6">
        <f t="shared" si="373"/>
        <v>796.75962854107388</v>
      </c>
      <c r="Q992" s="6">
        <f t="shared" si="374"/>
        <v>534.75962854107388</v>
      </c>
      <c r="R992" s="6">
        <f t="shared" si="375"/>
        <v>506.03999999999996</v>
      </c>
      <c r="S992" s="6">
        <f t="shared" si="376"/>
        <v>0</v>
      </c>
      <c r="T992" s="6">
        <f t="shared" si="377"/>
        <v>0</v>
      </c>
      <c r="U992" s="6">
        <f t="shared" si="378"/>
        <v>506.03999999999996</v>
      </c>
      <c r="V992" s="6" t="str">
        <f>IF(MOD(C992-Settings!$B$32,Settings!$B$33)&lt;Settings!$B$30,"Up","Down")</f>
        <v>Up</v>
      </c>
      <c r="W992" s="6">
        <f>IF(OR(E992&gt;Settings!$B$30,Q992&gt;Settings!$B$37),0,1)</f>
        <v>1</v>
      </c>
      <c r="X992" s="6">
        <f>IF(AND(W992=1,Q992&lt;=Settings!$B$36),1,0)</f>
        <v>0</v>
      </c>
    </row>
    <row r="993" spans="1:24" x14ac:dyDescent="0.2">
      <c r="A993">
        <f>Arrivals!A993</f>
        <v>9</v>
      </c>
      <c r="B993">
        <f>Arrivals!B993</f>
        <v>28</v>
      </c>
      <c r="C993" s="6">
        <f>Arrivals!F993</f>
        <v>268</v>
      </c>
      <c r="D993" s="6">
        <f>Arrivals!K993</f>
        <v>300</v>
      </c>
      <c r="E993" s="6">
        <f>D993*8/ACE_Input!S33+ACE_Input!T33</f>
        <v>24.02</v>
      </c>
      <c r="F993" s="6">
        <f t="shared" si="368"/>
        <v>268</v>
      </c>
      <c r="G993" s="6">
        <f t="shared" si="379"/>
        <v>792.06</v>
      </c>
      <c r="H993" s="6">
        <f t="shared" si="369"/>
        <v>792.06</v>
      </c>
      <c r="I993" s="6">
        <f>MOD(H993-Settings!$B$32,Settings!$B$33)</f>
        <v>72.059999999999945</v>
      </c>
      <c r="J993" s="6">
        <f>IF(I993&lt;Settings!$B$30,IF(Settings!$B$30-I993&gt;=E993,H993,H993+(Settings!$B$30-I993)+Settings!$B$31),H993+(Settings!$B$33-I993))</f>
        <v>792.06</v>
      </c>
      <c r="K993" s="6">
        <f t="shared" si="370"/>
        <v>816.07999999999993</v>
      </c>
      <c r="L993" s="6">
        <f t="shared" si="371"/>
        <v>816.07999999999993</v>
      </c>
      <c r="M993" s="6">
        <f t="shared" si="380"/>
        <v>796.75962854107388</v>
      </c>
      <c r="N993" s="6">
        <f t="shared" si="372"/>
        <v>816.07999999999993</v>
      </c>
      <c r="O993" s="6">
        <f>Arrivals!I993</f>
        <v>0.87953684605778926</v>
      </c>
      <c r="P993" s="6">
        <f t="shared" si="373"/>
        <v>816.95953684605774</v>
      </c>
      <c r="Q993" s="6">
        <f t="shared" si="374"/>
        <v>548.95953684605774</v>
      </c>
      <c r="R993" s="6">
        <f t="shared" si="375"/>
        <v>524.05999999999995</v>
      </c>
      <c r="S993" s="6">
        <f t="shared" si="376"/>
        <v>0</v>
      </c>
      <c r="T993" s="6">
        <f t="shared" si="377"/>
        <v>0</v>
      </c>
      <c r="U993" s="6">
        <f t="shared" si="378"/>
        <v>524.05999999999995</v>
      </c>
      <c r="V993" s="6" t="str">
        <f>IF(MOD(C993-Settings!$B$32,Settings!$B$33)&lt;Settings!$B$30,"Up","Down")</f>
        <v>Up</v>
      </c>
      <c r="W993" s="6">
        <f>IF(OR(E993&gt;Settings!$B$30,Q993&gt;Settings!$B$37),0,1)</f>
        <v>1</v>
      </c>
      <c r="X993" s="6">
        <f>IF(AND(W993=1,Q993&lt;=Settings!$B$36),1,0)</f>
        <v>0</v>
      </c>
    </row>
    <row r="994" spans="1:24" x14ac:dyDescent="0.2">
      <c r="A994">
        <f>Arrivals!A994</f>
        <v>9</v>
      </c>
      <c r="B994">
        <f>Arrivals!B994</f>
        <v>29</v>
      </c>
      <c r="C994" s="6">
        <f>Arrivals!F994</f>
        <v>273</v>
      </c>
      <c r="D994" s="6">
        <f>Arrivals!K994</f>
        <v>300</v>
      </c>
      <c r="E994" s="6">
        <f>D994*8/ACE_Input!S34+ACE_Input!T34</f>
        <v>24.02</v>
      </c>
      <c r="F994" s="6">
        <f t="shared" si="368"/>
        <v>273</v>
      </c>
      <c r="G994" s="6">
        <f t="shared" si="379"/>
        <v>816.07999999999993</v>
      </c>
      <c r="H994" s="6">
        <f t="shared" si="369"/>
        <v>816.07999999999993</v>
      </c>
      <c r="I994" s="6">
        <f>MOD(H994-Settings!$B$32,Settings!$B$33)</f>
        <v>96.079999999999927</v>
      </c>
      <c r="J994" s="6">
        <f>IF(I994&lt;Settings!$B$30,IF(Settings!$B$30-I994&gt;=E994,H994,H994+(Settings!$B$30-I994)+Settings!$B$31),H994+(Settings!$B$33-I994))</f>
        <v>816.07999999999993</v>
      </c>
      <c r="K994" s="6">
        <f t="shared" si="370"/>
        <v>840.09999999999991</v>
      </c>
      <c r="L994" s="6">
        <f t="shared" si="371"/>
        <v>840.09999999999991</v>
      </c>
      <c r="M994" s="6">
        <f t="shared" si="380"/>
        <v>816.95953684605774</v>
      </c>
      <c r="N994" s="6">
        <f t="shared" si="372"/>
        <v>840.09999999999991</v>
      </c>
      <c r="O994" s="6">
        <f>Arrivals!I994</f>
        <v>2.8105671602475883</v>
      </c>
      <c r="P994" s="6">
        <f t="shared" si="373"/>
        <v>842.91056716024752</v>
      </c>
      <c r="Q994" s="6">
        <f t="shared" si="374"/>
        <v>569.91056716024752</v>
      </c>
      <c r="R994" s="6">
        <f t="shared" si="375"/>
        <v>543.07999999999993</v>
      </c>
      <c r="S994" s="6">
        <f t="shared" si="376"/>
        <v>0</v>
      </c>
      <c r="T994" s="6">
        <f t="shared" si="377"/>
        <v>0</v>
      </c>
      <c r="U994" s="6">
        <f t="shared" si="378"/>
        <v>543.07999999999993</v>
      </c>
      <c r="V994" s="6" t="str">
        <f>IF(MOD(C994-Settings!$B$32,Settings!$B$33)&lt;Settings!$B$30,"Up","Down")</f>
        <v>Up</v>
      </c>
      <c r="W994" s="6">
        <f>IF(OR(E994&gt;Settings!$B$30,Q994&gt;Settings!$B$37),0,1)</f>
        <v>1</v>
      </c>
      <c r="X994" s="6">
        <f>IF(AND(W994=1,Q994&lt;=Settings!$B$36),1,0)</f>
        <v>0</v>
      </c>
    </row>
    <row r="995" spans="1:24" x14ac:dyDescent="0.2">
      <c r="A995">
        <f>Arrivals!A995</f>
        <v>9</v>
      </c>
      <c r="B995">
        <f>Arrivals!B995</f>
        <v>30</v>
      </c>
      <c r="C995" s="6">
        <f>Arrivals!F995</f>
        <v>278</v>
      </c>
      <c r="D995" s="6">
        <f>Arrivals!K995</f>
        <v>300</v>
      </c>
      <c r="E995" s="6">
        <f>D995*8/ACE_Input!S35+ACE_Input!T35</f>
        <v>24.02</v>
      </c>
      <c r="F995" s="6">
        <f t="shared" si="368"/>
        <v>278</v>
      </c>
      <c r="G995" s="6">
        <f t="shared" si="379"/>
        <v>840.09999999999991</v>
      </c>
      <c r="H995" s="6">
        <f t="shared" si="369"/>
        <v>840.09999999999991</v>
      </c>
      <c r="I995" s="6">
        <f>MOD(H995-Settings!$B$32,Settings!$B$33)</f>
        <v>120.09999999999991</v>
      </c>
      <c r="J995" s="6">
        <f>IF(I995&lt;Settings!$B$30,IF(Settings!$B$30-I995&gt;=E995,H995,H995+(Settings!$B$30-I995)+Settings!$B$31),H995+(Settings!$B$33-I995))</f>
        <v>840.09999999999991</v>
      </c>
      <c r="K995" s="6">
        <f t="shared" si="370"/>
        <v>864.11999999999989</v>
      </c>
      <c r="L995" s="6">
        <f t="shared" si="371"/>
        <v>864.11999999999989</v>
      </c>
      <c r="M995" s="6">
        <f t="shared" si="380"/>
        <v>842.91056716024752</v>
      </c>
      <c r="N995" s="6">
        <f t="shared" si="372"/>
        <v>864.11999999999989</v>
      </c>
      <c r="O995" s="6">
        <f>Arrivals!I995</f>
        <v>9.6482238725229514</v>
      </c>
      <c r="P995" s="6">
        <f t="shared" si="373"/>
        <v>873.76822387252287</v>
      </c>
      <c r="Q995" s="6">
        <f t="shared" si="374"/>
        <v>595.76822387252287</v>
      </c>
      <c r="R995" s="6">
        <f t="shared" si="375"/>
        <v>562.09999999999991</v>
      </c>
      <c r="S995" s="6">
        <f t="shared" si="376"/>
        <v>0</v>
      </c>
      <c r="T995" s="6">
        <f t="shared" si="377"/>
        <v>0</v>
      </c>
      <c r="U995" s="6">
        <f t="shared" si="378"/>
        <v>562.09999999999991</v>
      </c>
      <c r="V995" s="6" t="str">
        <f>IF(MOD(C995-Settings!$B$32,Settings!$B$33)&lt;Settings!$B$30,"Up","Down")</f>
        <v>Up</v>
      </c>
      <c r="W995" s="6">
        <f>IF(OR(E995&gt;Settings!$B$30,Q995&gt;Settings!$B$37),0,1)</f>
        <v>1</v>
      </c>
      <c r="X995" s="6">
        <f>IF(AND(W995=1,Q995&lt;=Settings!$B$36),1,0)</f>
        <v>0</v>
      </c>
    </row>
    <row r="996" spans="1:24" x14ac:dyDescent="0.2">
      <c r="A996">
        <f>Arrivals!A996</f>
        <v>9</v>
      </c>
      <c r="B996">
        <f>Arrivals!B996</f>
        <v>31</v>
      </c>
      <c r="C996" s="6">
        <f>Arrivals!F996</f>
        <v>283</v>
      </c>
      <c r="D996" s="6">
        <f>Arrivals!K996</f>
        <v>300</v>
      </c>
      <c r="E996" s="6">
        <f>D996*8/ACE_Input!S36+ACE_Input!T36</f>
        <v>24.02</v>
      </c>
      <c r="F996" s="6">
        <f t="shared" si="368"/>
        <v>283</v>
      </c>
      <c r="G996" s="6">
        <f t="shared" si="379"/>
        <v>864.11999999999989</v>
      </c>
      <c r="H996" s="6">
        <f t="shared" si="369"/>
        <v>864.11999999999989</v>
      </c>
      <c r="I996" s="6">
        <f>MOD(H996-Settings!$B$32,Settings!$B$33)</f>
        <v>144.11999999999989</v>
      </c>
      <c r="J996" s="6">
        <f>IF(I996&lt;Settings!$B$30,IF(Settings!$B$30-I996&gt;=E996,H996,H996+(Settings!$B$30-I996)+Settings!$B$31),H996+(Settings!$B$33-I996))</f>
        <v>864.11999999999989</v>
      </c>
      <c r="K996" s="6">
        <f t="shared" si="370"/>
        <v>888.13999999999987</v>
      </c>
      <c r="L996" s="6">
        <f t="shared" si="371"/>
        <v>888.13999999999987</v>
      </c>
      <c r="M996" s="6">
        <f t="shared" si="380"/>
        <v>873.76822387252287</v>
      </c>
      <c r="N996" s="6">
        <f t="shared" si="372"/>
        <v>888.13999999999987</v>
      </c>
      <c r="O996" s="6">
        <f>Arrivals!I996</f>
        <v>3.4197719743036656</v>
      </c>
      <c r="P996" s="6">
        <f t="shared" si="373"/>
        <v>891.55977197430354</v>
      </c>
      <c r="Q996" s="6">
        <f t="shared" si="374"/>
        <v>608.55977197430354</v>
      </c>
      <c r="R996" s="6">
        <f t="shared" si="375"/>
        <v>581.11999999999989</v>
      </c>
      <c r="S996" s="6">
        <f t="shared" si="376"/>
        <v>0</v>
      </c>
      <c r="T996" s="6">
        <f t="shared" si="377"/>
        <v>0</v>
      </c>
      <c r="U996" s="6">
        <f t="shared" si="378"/>
        <v>581.11999999999989</v>
      </c>
      <c r="V996" s="6" t="str">
        <f>IF(MOD(C996-Settings!$B$32,Settings!$B$33)&lt;Settings!$B$30,"Up","Down")</f>
        <v>Up</v>
      </c>
      <c r="W996" s="6">
        <f>IF(OR(E996&gt;Settings!$B$30,Q996&gt;Settings!$B$37),0,1)</f>
        <v>1</v>
      </c>
      <c r="X996" s="6">
        <f>IF(AND(W996=1,Q996&lt;=Settings!$B$36),1,0)</f>
        <v>0</v>
      </c>
    </row>
    <row r="997" spans="1:24" x14ac:dyDescent="0.2">
      <c r="A997">
        <f>Arrivals!A997</f>
        <v>9</v>
      </c>
      <c r="B997">
        <f>Arrivals!B997</f>
        <v>32</v>
      </c>
      <c r="C997" s="6">
        <f>Arrivals!F997</f>
        <v>288</v>
      </c>
      <c r="D997" s="6">
        <f>Arrivals!K997</f>
        <v>300</v>
      </c>
      <c r="E997" s="6">
        <f>D997*8/ACE_Input!S37+ACE_Input!T37</f>
        <v>24.02</v>
      </c>
      <c r="F997" s="6">
        <f t="shared" si="368"/>
        <v>288</v>
      </c>
      <c r="G997" s="6">
        <f t="shared" si="379"/>
        <v>888.13999999999987</v>
      </c>
      <c r="H997" s="6">
        <f t="shared" si="369"/>
        <v>888.13999999999987</v>
      </c>
      <c r="I997" s="6">
        <f>MOD(H997-Settings!$B$32,Settings!$B$33)</f>
        <v>168.13999999999987</v>
      </c>
      <c r="J997" s="6">
        <f>IF(I997&lt;Settings!$B$30,IF(Settings!$B$30-I997&gt;=E997,H997,H997+(Settings!$B$30-I997)+Settings!$B$31),H997+(Settings!$B$33-I997))</f>
        <v>888.13999999999987</v>
      </c>
      <c r="K997" s="6">
        <f t="shared" si="370"/>
        <v>912.15999999999985</v>
      </c>
      <c r="L997" s="6">
        <f t="shared" si="371"/>
        <v>912.15999999999985</v>
      </c>
      <c r="M997" s="6">
        <f t="shared" si="380"/>
        <v>891.55977197430354</v>
      </c>
      <c r="N997" s="6">
        <f t="shared" si="372"/>
        <v>912.15999999999985</v>
      </c>
      <c r="O997" s="6">
        <f>Arrivals!I997</f>
        <v>7.8057155382981271</v>
      </c>
      <c r="P997" s="6">
        <f t="shared" si="373"/>
        <v>919.96571553829801</v>
      </c>
      <c r="Q997" s="6">
        <f t="shared" si="374"/>
        <v>631.96571553829801</v>
      </c>
      <c r="R997" s="6">
        <f t="shared" si="375"/>
        <v>600.13999999999987</v>
      </c>
      <c r="S997" s="6">
        <f t="shared" si="376"/>
        <v>0</v>
      </c>
      <c r="T997" s="6">
        <f t="shared" si="377"/>
        <v>0</v>
      </c>
      <c r="U997" s="6">
        <f t="shared" si="378"/>
        <v>600.13999999999987</v>
      </c>
      <c r="V997" s="6" t="str">
        <f>IF(MOD(C997-Settings!$B$32,Settings!$B$33)&lt;Settings!$B$30,"Up","Down")</f>
        <v>Up</v>
      </c>
      <c r="W997" s="6">
        <f>IF(OR(E997&gt;Settings!$B$30,Q997&gt;Settings!$B$37),0,1)</f>
        <v>1</v>
      </c>
      <c r="X997" s="6">
        <f>IF(AND(W997=1,Q997&lt;=Settings!$B$36),1,0)</f>
        <v>0</v>
      </c>
    </row>
    <row r="998" spans="1:24" x14ac:dyDescent="0.2">
      <c r="A998">
        <f>Arrivals!A998</f>
        <v>9</v>
      </c>
      <c r="B998">
        <f>Arrivals!B998</f>
        <v>33</v>
      </c>
      <c r="C998" s="6">
        <f>Arrivals!F998</f>
        <v>293</v>
      </c>
      <c r="D998" s="6">
        <f>Arrivals!K998</f>
        <v>300</v>
      </c>
      <c r="E998" s="6">
        <f>D998*8/ACE_Input!S38+ACE_Input!T38</f>
        <v>24.02</v>
      </c>
      <c r="F998" s="6">
        <f t="shared" ref="F998:F1029" si="381">C998</f>
        <v>293</v>
      </c>
      <c r="G998" s="6">
        <f t="shared" si="379"/>
        <v>912.15999999999985</v>
      </c>
      <c r="H998" s="6">
        <f t="shared" ref="H998:H1029" si="382">MAX(F998,G998)</f>
        <v>912.15999999999985</v>
      </c>
      <c r="I998" s="6">
        <f>MOD(H998-Settings!$B$32,Settings!$B$33)</f>
        <v>192.15999999999985</v>
      </c>
      <c r="J998" s="6">
        <f>IF(I998&lt;Settings!$B$30,IF(Settings!$B$30-I998&gt;=E998,H998,H998+(Settings!$B$30-I998)+Settings!$B$31),H998+(Settings!$B$33-I998))</f>
        <v>912.15999999999985</v>
      </c>
      <c r="K998" s="6">
        <f t="shared" ref="K998:K1029" si="383">J998+E998</f>
        <v>936.17999999999984</v>
      </c>
      <c r="L998" s="6">
        <f t="shared" ref="L998:L1029" si="384">K998</f>
        <v>936.17999999999984</v>
      </c>
      <c r="M998" s="6">
        <f t="shared" si="380"/>
        <v>919.96571553829801</v>
      </c>
      <c r="N998" s="6">
        <f t="shared" ref="N998:N1029" si="385">MAX(L998,M998)</f>
        <v>936.17999999999984</v>
      </c>
      <c r="O998" s="6">
        <f>Arrivals!I998</f>
        <v>0.96313385038905008</v>
      </c>
      <c r="P998" s="6">
        <f t="shared" ref="P998:P1029" si="386">N998+O998</f>
        <v>937.14313385038884</v>
      </c>
      <c r="Q998" s="6">
        <f t="shared" ref="Q998:Q1029" si="387">P998-C998</f>
        <v>644.14313385038884</v>
      </c>
      <c r="R998" s="6">
        <f t="shared" ref="R998:R1029" si="388">H998-F998</f>
        <v>619.15999999999985</v>
      </c>
      <c r="S998" s="6">
        <f t="shared" ref="S998:S1029" si="389">J998-H998</f>
        <v>0</v>
      </c>
      <c r="T998" s="6">
        <f t="shared" ref="T998:T1029" si="390">N998-L998</f>
        <v>0</v>
      </c>
      <c r="U998" s="6">
        <f t="shared" ref="U998:U1029" si="391">R998+S998+T998</f>
        <v>619.15999999999985</v>
      </c>
      <c r="V998" s="6" t="str">
        <f>IF(MOD(C998-Settings!$B$32,Settings!$B$33)&lt;Settings!$B$30,"Up","Down")</f>
        <v>Up</v>
      </c>
      <c r="W998" s="6">
        <f>IF(OR(E998&gt;Settings!$B$30,Q998&gt;Settings!$B$37),0,1)</f>
        <v>1</v>
      </c>
      <c r="X998" s="6">
        <f>IF(AND(W998=1,Q998&lt;=Settings!$B$36),1,0)</f>
        <v>0</v>
      </c>
    </row>
    <row r="999" spans="1:24" x14ac:dyDescent="0.2">
      <c r="A999">
        <f>Arrivals!A999</f>
        <v>9</v>
      </c>
      <c r="B999">
        <f>Arrivals!B999</f>
        <v>34</v>
      </c>
      <c r="C999" s="6">
        <f>Arrivals!F999</f>
        <v>298</v>
      </c>
      <c r="D999" s="6">
        <f>Arrivals!K999</f>
        <v>300</v>
      </c>
      <c r="E999" s="6">
        <f>D999*8/ACE_Input!S39+ACE_Input!T39</f>
        <v>24.02</v>
      </c>
      <c r="F999" s="6">
        <f t="shared" si="381"/>
        <v>298</v>
      </c>
      <c r="G999" s="6">
        <f t="shared" ref="G999:G1030" si="392">K998</f>
        <v>936.17999999999984</v>
      </c>
      <c r="H999" s="6">
        <f t="shared" si="382"/>
        <v>936.17999999999984</v>
      </c>
      <c r="I999" s="6">
        <f>MOD(H999-Settings!$B$32,Settings!$B$33)</f>
        <v>216.17999999999984</v>
      </c>
      <c r="J999" s="6">
        <f>IF(I999&lt;Settings!$B$30,IF(Settings!$B$30-I999&gt;=E999,H999,H999+(Settings!$B$30-I999)+Settings!$B$31),H999+(Settings!$B$33-I999))</f>
        <v>936.17999999999984</v>
      </c>
      <c r="K999" s="6">
        <f t="shared" si="383"/>
        <v>960.19999999999982</v>
      </c>
      <c r="L999" s="6">
        <f t="shared" si="384"/>
        <v>960.19999999999982</v>
      </c>
      <c r="M999" s="6">
        <f t="shared" ref="M999:M1030" si="393">P998</f>
        <v>937.14313385038884</v>
      </c>
      <c r="N999" s="6">
        <f t="shared" si="385"/>
        <v>960.19999999999982</v>
      </c>
      <c r="O999" s="6">
        <f>Arrivals!I999</f>
        <v>2.7688106468182379</v>
      </c>
      <c r="P999" s="6">
        <f t="shared" si="386"/>
        <v>962.96881064681804</v>
      </c>
      <c r="Q999" s="6">
        <f t="shared" si="387"/>
        <v>664.96881064681804</v>
      </c>
      <c r="R999" s="6">
        <f t="shared" si="388"/>
        <v>638.17999999999984</v>
      </c>
      <c r="S999" s="6">
        <f t="shared" si="389"/>
        <v>0</v>
      </c>
      <c r="T999" s="6">
        <f t="shared" si="390"/>
        <v>0</v>
      </c>
      <c r="U999" s="6">
        <f t="shared" si="391"/>
        <v>638.17999999999984</v>
      </c>
      <c r="V999" s="6" t="str">
        <f>IF(MOD(C999-Settings!$B$32,Settings!$B$33)&lt;Settings!$B$30,"Up","Down")</f>
        <v>Up</v>
      </c>
      <c r="W999" s="6">
        <f>IF(OR(E999&gt;Settings!$B$30,Q999&gt;Settings!$B$37),0,1)</f>
        <v>1</v>
      </c>
      <c r="X999" s="6">
        <f>IF(AND(W999=1,Q999&lt;=Settings!$B$36),1,0)</f>
        <v>0</v>
      </c>
    </row>
    <row r="1000" spans="1:24" x14ac:dyDescent="0.2">
      <c r="A1000">
        <f>Arrivals!A1000</f>
        <v>9</v>
      </c>
      <c r="B1000">
        <f>Arrivals!B1000</f>
        <v>35</v>
      </c>
      <c r="C1000" s="6">
        <f>Arrivals!F1000</f>
        <v>303</v>
      </c>
      <c r="D1000" s="6">
        <f>Arrivals!K1000</f>
        <v>300</v>
      </c>
      <c r="E1000" s="6">
        <f>D1000*8/ACE_Input!S40+ACE_Input!T40</f>
        <v>24.02</v>
      </c>
      <c r="F1000" s="6">
        <f t="shared" si="381"/>
        <v>303</v>
      </c>
      <c r="G1000" s="6">
        <f t="shared" si="392"/>
        <v>960.19999999999982</v>
      </c>
      <c r="H1000" s="6">
        <f t="shared" si="382"/>
        <v>960.19999999999982</v>
      </c>
      <c r="I1000" s="6">
        <f>MOD(H1000-Settings!$B$32,Settings!$B$33)</f>
        <v>240.19999999999982</v>
      </c>
      <c r="J1000" s="6">
        <f>IF(I1000&lt;Settings!$B$30,IF(Settings!$B$30-I1000&gt;=E1000,H1000,H1000+(Settings!$B$30-I1000)+Settings!$B$31),H1000+(Settings!$B$33-I1000))</f>
        <v>960.19999999999982</v>
      </c>
      <c r="K1000" s="6">
        <f t="shared" si="383"/>
        <v>984.2199999999998</v>
      </c>
      <c r="L1000" s="6">
        <f t="shared" si="384"/>
        <v>984.2199999999998</v>
      </c>
      <c r="M1000" s="6">
        <f t="shared" si="393"/>
        <v>962.96881064681804</v>
      </c>
      <c r="N1000" s="6">
        <f t="shared" si="385"/>
        <v>984.2199999999998</v>
      </c>
      <c r="O1000" s="6">
        <f>Arrivals!I1000</f>
        <v>3.2747161782639007</v>
      </c>
      <c r="P1000" s="6">
        <f t="shared" si="386"/>
        <v>987.49471617826373</v>
      </c>
      <c r="Q1000" s="6">
        <f t="shared" si="387"/>
        <v>684.49471617826373</v>
      </c>
      <c r="R1000" s="6">
        <f t="shared" si="388"/>
        <v>657.19999999999982</v>
      </c>
      <c r="S1000" s="6">
        <f t="shared" si="389"/>
        <v>0</v>
      </c>
      <c r="T1000" s="6">
        <f t="shared" si="390"/>
        <v>0</v>
      </c>
      <c r="U1000" s="6">
        <f t="shared" si="391"/>
        <v>657.19999999999982</v>
      </c>
      <c r="V1000" s="6" t="str">
        <f>IF(MOD(C1000-Settings!$B$32,Settings!$B$33)&lt;Settings!$B$30,"Up","Down")</f>
        <v>Up</v>
      </c>
      <c r="W1000" s="6">
        <f>IF(OR(E1000&gt;Settings!$B$30,Q1000&gt;Settings!$B$37),0,1)</f>
        <v>1</v>
      </c>
      <c r="X1000" s="6">
        <f>IF(AND(W1000=1,Q1000&lt;=Settings!$B$36),1,0)</f>
        <v>0</v>
      </c>
    </row>
    <row r="1001" spans="1:24" x14ac:dyDescent="0.2">
      <c r="A1001">
        <f>Arrivals!A1001</f>
        <v>9</v>
      </c>
      <c r="B1001">
        <f>Arrivals!B1001</f>
        <v>36</v>
      </c>
      <c r="C1001" s="6">
        <f>Arrivals!F1001</f>
        <v>308</v>
      </c>
      <c r="D1001" s="6">
        <f>Arrivals!K1001</f>
        <v>300</v>
      </c>
      <c r="E1001" s="6">
        <f>D1001*8/ACE_Input!S41+ACE_Input!T41</f>
        <v>24.02</v>
      </c>
      <c r="F1001" s="6">
        <f t="shared" si="381"/>
        <v>308</v>
      </c>
      <c r="G1001" s="6">
        <f t="shared" si="392"/>
        <v>984.2199999999998</v>
      </c>
      <c r="H1001" s="6">
        <f t="shared" si="382"/>
        <v>984.2199999999998</v>
      </c>
      <c r="I1001" s="6">
        <f>MOD(H1001-Settings!$B$32,Settings!$B$33)</f>
        <v>264.2199999999998</v>
      </c>
      <c r="J1001" s="6">
        <f>IF(I1001&lt;Settings!$B$30,IF(Settings!$B$30-I1001&gt;=E1001,H1001,H1001+(Settings!$B$30-I1001)+Settings!$B$31),H1001+(Settings!$B$33-I1001))</f>
        <v>984.2199999999998</v>
      </c>
      <c r="K1001" s="6">
        <f t="shared" si="383"/>
        <v>1008.2399999999998</v>
      </c>
      <c r="L1001" s="6">
        <f t="shared" si="384"/>
        <v>1008.2399999999998</v>
      </c>
      <c r="M1001" s="6">
        <f t="shared" si="393"/>
        <v>987.49471617826373</v>
      </c>
      <c r="N1001" s="6">
        <f t="shared" si="385"/>
        <v>1008.2399999999998</v>
      </c>
      <c r="O1001" s="6">
        <f>Arrivals!I1001</f>
        <v>8.5000062580352846</v>
      </c>
      <c r="P1001" s="6">
        <f t="shared" si="386"/>
        <v>1016.740006258035</v>
      </c>
      <c r="Q1001" s="6">
        <f t="shared" si="387"/>
        <v>708.74000625803501</v>
      </c>
      <c r="R1001" s="6">
        <f t="shared" si="388"/>
        <v>676.2199999999998</v>
      </c>
      <c r="S1001" s="6">
        <f t="shared" si="389"/>
        <v>0</v>
      </c>
      <c r="T1001" s="6">
        <f t="shared" si="390"/>
        <v>0</v>
      </c>
      <c r="U1001" s="6">
        <f t="shared" si="391"/>
        <v>676.2199999999998</v>
      </c>
      <c r="V1001" s="6" t="str">
        <f>IF(MOD(C1001-Settings!$B$32,Settings!$B$33)&lt;Settings!$B$30,"Up","Down")</f>
        <v>Up</v>
      </c>
      <c r="W1001" s="6">
        <f>IF(OR(E1001&gt;Settings!$B$30,Q1001&gt;Settings!$B$37),0,1)</f>
        <v>1</v>
      </c>
      <c r="X1001" s="6">
        <f>IF(AND(W1001=1,Q1001&lt;=Settings!$B$36),1,0)</f>
        <v>0</v>
      </c>
    </row>
    <row r="1002" spans="1:24" x14ac:dyDescent="0.2">
      <c r="A1002">
        <f>Arrivals!A1002</f>
        <v>9</v>
      </c>
      <c r="B1002">
        <f>Arrivals!B1002</f>
        <v>37</v>
      </c>
      <c r="C1002" s="6">
        <f>Arrivals!F1002</f>
        <v>313</v>
      </c>
      <c r="D1002" s="6">
        <f>Arrivals!K1002</f>
        <v>300</v>
      </c>
      <c r="E1002" s="6">
        <f>D1002*8/ACE_Input!S42+ACE_Input!T42</f>
        <v>24.02</v>
      </c>
      <c r="F1002" s="6">
        <f t="shared" si="381"/>
        <v>313</v>
      </c>
      <c r="G1002" s="6">
        <f t="shared" si="392"/>
        <v>1008.2399999999998</v>
      </c>
      <c r="H1002" s="6">
        <f t="shared" si="382"/>
        <v>1008.2399999999998</v>
      </c>
      <c r="I1002" s="6">
        <f>MOD(H1002-Settings!$B$32,Settings!$B$33)</f>
        <v>288.23999999999978</v>
      </c>
      <c r="J1002" s="6">
        <f>IF(I1002&lt;Settings!$B$30,IF(Settings!$B$30-I1002&gt;=E1002,H1002,H1002+(Settings!$B$30-I1002)+Settings!$B$31),H1002+(Settings!$B$33-I1002))</f>
        <v>1008.2399999999998</v>
      </c>
      <c r="K1002" s="6">
        <f t="shared" si="383"/>
        <v>1032.2599999999998</v>
      </c>
      <c r="L1002" s="6">
        <f t="shared" si="384"/>
        <v>1032.2599999999998</v>
      </c>
      <c r="M1002" s="6">
        <f t="shared" si="393"/>
        <v>1016.740006258035</v>
      </c>
      <c r="N1002" s="6">
        <f t="shared" si="385"/>
        <v>1032.2599999999998</v>
      </c>
      <c r="O1002" s="6">
        <f>Arrivals!I1002</f>
        <v>4.7267948016231855</v>
      </c>
      <c r="P1002" s="6">
        <f t="shared" si="386"/>
        <v>1036.9867948016229</v>
      </c>
      <c r="Q1002" s="6">
        <f t="shared" si="387"/>
        <v>723.98679480162286</v>
      </c>
      <c r="R1002" s="6">
        <f t="shared" si="388"/>
        <v>695.23999999999978</v>
      </c>
      <c r="S1002" s="6">
        <f t="shared" si="389"/>
        <v>0</v>
      </c>
      <c r="T1002" s="6">
        <f t="shared" si="390"/>
        <v>0</v>
      </c>
      <c r="U1002" s="6">
        <f t="shared" si="391"/>
        <v>695.23999999999978</v>
      </c>
      <c r="V1002" s="6" t="str">
        <f>IF(MOD(C1002-Settings!$B$32,Settings!$B$33)&lt;Settings!$B$30,"Up","Down")</f>
        <v>Up</v>
      </c>
      <c r="W1002" s="6">
        <f>IF(OR(E1002&gt;Settings!$B$30,Q1002&gt;Settings!$B$37),0,1)</f>
        <v>1</v>
      </c>
      <c r="X1002" s="6">
        <f>IF(AND(W1002=1,Q1002&lt;=Settings!$B$36),1,0)</f>
        <v>0</v>
      </c>
    </row>
    <row r="1003" spans="1:24" x14ac:dyDescent="0.2">
      <c r="A1003">
        <f>Arrivals!A1003</f>
        <v>9</v>
      </c>
      <c r="B1003">
        <f>Arrivals!B1003</f>
        <v>38</v>
      </c>
      <c r="C1003" s="6">
        <f>Arrivals!F1003</f>
        <v>318</v>
      </c>
      <c r="D1003" s="6">
        <f>Arrivals!K1003</f>
        <v>300</v>
      </c>
      <c r="E1003" s="6">
        <f>D1003*8/ACE_Input!S43+ACE_Input!T43</f>
        <v>24.02</v>
      </c>
      <c r="F1003" s="6">
        <f t="shared" si="381"/>
        <v>318</v>
      </c>
      <c r="G1003" s="6">
        <f t="shared" si="392"/>
        <v>1032.2599999999998</v>
      </c>
      <c r="H1003" s="6">
        <f t="shared" si="382"/>
        <v>1032.2599999999998</v>
      </c>
      <c r="I1003" s="6">
        <f>MOD(H1003-Settings!$B$32,Settings!$B$33)</f>
        <v>312.25999999999976</v>
      </c>
      <c r="J1003" s="6">
        <f>IF(I1003&lt;Settings!$B$30,IF(Settings!$B$30-I1003&gt;=E1003,H1003,H1003+(Settings!$B$30-I1003)+Settings!$B$31),H1003+(Settings!$B$33-I1003))</f>
        <v>1032.2599999999998</v>
      </c>
      <c r="K1003" s="6">
        <f t="shared" si="383"/>
        <v>1056.2799999999997</v>
      </c>
      <c r="L1003" s="6">
        <f t="shared" si="384"/>
        <v>1056.2799999999997</v>
      </c>
      <c r="M1003" s="6">
        <f t="shared" si="393"/>
        <v>1036.9867948016229</v>
      </c>
      <c r="N1003" s="6">
        <f t="shared" si="385"/>
        <v>1056.2799999999997</v>
      </c>
      <c r="O1003" s="6">
        <f>Arrivals!I1003</f>
        <v>1.6115880543458685</v>
      </c>
      <c r="P1003" s="6">
        <f t="shared" si="386"/>
        <v>1057.8915880543457</v>
      </c>
      <c r="Q1003" s="6">
        <f t="shared" si="387"/>
        <v>739.89158805434568</v>
      </c>
      <c r="R1003" s="6">
        <f t="shared" si="388"/>
        <v>714.25999999999976</v>
      </c>
      <c r="S1003" s="6">
        <f t="shared" si="389"/>
        <v>0</v>
      </c>
      <c r="T1003" s="6">
        <f t="shared" si="390"/>
        <v>0</v>
      </c>
      <c r="U1003" s="6">
        <f t="shared" si="391"/>
        <v>714.25999999999976</v>
      </c>
      <c r="V1003" s="6" t="str">
        <f>IF(MOD(C1003-Settings!$B$32,Settings!$B$33)&lt;Settings!$B$30,"Up","Down")</f>
        <v>Up</v>
      </c>
      <c r="W1003" s="6">
        <f>IF(OR(E1003&gt;Settings!$B$30,Q1003&gt;Settings!$B$37),0,1)</f>
        <v>1</v>
      </c>
      <c r="X1003" s="6">
        <f>IF(AND(W1003=1,Q1003&lt;=Settings!$B$36),1,0)</f>
        <v>0</v>
      </c>
    </row>
    <row r="1004" spans="1:24" x14ac:dyDescent="0.2">
      <c r="A1004">
        <f>Arrivals!A1004</f>
        <v>9</v>
      </c>
      <c r="B1004">
        <f>Arrivals!B1004</f>
        <v>39</v>
      </c>
      <c r="C1004" s="6">
        <f>Arrivals!F1004</f>
        <v>323</v>
      </c>
      <c r="D1004" s="6">
        <f>Arrivals!K1004</f>
        <v>300</v>
      </c>
      <c r="E1004" s="6">
        <f>D1004*8/ACE_Input!S44+ACE_Input!T44</f>
        <v>24.02</v>
      </c>
      <c r="F1004" s="6">
        <f t="shared" si="381"/>
        <v>323</v>
      </c>
      <c r="G1004" s="6">
        <f t="shared" si="392"/>
        <v>1056.2799999999997</v>
      </c>
      <c r="H1004" s="6">
        <f t="shared" si="382"/>
        <v>1056.2799999999997</v>
      </c>
      <c r="I1004" s="6">
        <f>MOD(H1004-Settings!$B$32,Settings!$B$33)</f>
        <v>336.27999999999975</v>
      </c>
      <c r="J1004" s="6">
        <f>IF(I1004&lt;Settings!$B$30,IF(Settings!$B$30-I1004&gt;=E1004,H1004,H1004+(Settings!$B$30-I1004)+Settings!$B$31),H1004+(Settings!$B$33-I1004))</f>
        <v>1056.2799999999997</v>
      </c>
      <c r="K1004" s="6">
        <f t="shared" si="383"/>
        <v>1080.2999999999997</v>
      </c>
      <c r="L1004" s="6">
        <f t="shared" si="384"/>
        <v>1080.2999999999997</v>
      </c>
      <c r="M1004" s="6">
        <f t="shared" si="393"/>
        <v>1057.8915880543457</v>
      </c>
      <c r="N1004" s="6">
        <f t="shared" si="385"/>
        <v>1080.2999999999997</v>
      </c>
      <c r="O1004" s="6">
        <f>Arrivals!I1004</f>
        <v>2.9501571499054124</v>
      </c>
      <c r="P1004" s="6">
        <f t="shared" si="386"/>
        <v>1083.2501571499051</v>
      </c>
      <c r="Q1004" s="6">
        <f t="shared" si="387"/>
        <v>760.25015714990514</v>
      </c>
      <c r="R1004" s="6">
        <f t="shared" si="388"/>
        <v>733.27999999999975</v>
      </c>
      <c r="S1004" s="6">
        <f t="shared" si="389"/>
        <v>0</v>
      </c>
      <c r="T1004" s="6">
        <f t="shared" si="390"/>
        <v>0</v>
      </c>
      <c r="U1004" s="6">
        <f t="shared" si="391"/>
        <v>733.27999999999975</v>
      </c>
      <c r="V1004" s="6" t="str">
        <f>IF(MOD(C1004-Settings!$B$32,Settings!$B$33)&lt;Settings!$B$30,"Up","Down")</f>
        <v>Up</v>
      </c>
      <c r="W1004" s="6">
        <f>IF(OR(E1004&gt;Settings!$B$30,Q1004&gt;Settings!$B$37),0,1)</f>
        <v>1</v>
      </c>
      <c r="X1004" s="6">
        <f>IF(AND(W1004=1,Q1004&lt;=Settings!$B$36),1,0)</f>
        <v>0</v>
      </c>
    </row>
    <row r="1005" spans="1:24" x14ac:dyDescent="0.2">
      <c r="A1005">
        <f>Arrivals!A1005</f>
        <v>9</v>
      </c>
      <c r="B1005">
        <f>Arrivals!B1005</f>
        <v>40</v>
      </c>
      <c r="C1005" s="6">
        <f>Arrivals!F1005</f>
        <v>328</v>
      </c>
      <c r="D1005" s="6">
        <f>Arrivals!K1005</f>
        <v>300</v>
      </c>
      <c r="E1005" s="6">
        <f>D1005*8/ACE_Input!S45+ACE_Input!T45</f>
        <v>24.02</v>
      </c>
      <c r="F1005" s="6">
        <f t="shared" si="381"/>
        <v>328</v>
      </c>
      <c r="G1005" s="6">
        <f t="shared" si="392"/>
        <v>1080.2999999999997</v>
      </c>
      <c r="H1005" s="6">
        <f t="shared" si="382"/>
        <v>1080.2999999999997</v>
      </c>
      <c r="I1005" s="6">
        <f>MOD(H1005-Settings!$B$32,Settings!$B$33)</f>
        <v>360.29999999999973</v>
      </c>
      <c r="J1005" s="6">
        <f>IF(I1005&lt;Settings!$B$30,IF(Settings!$B$30-I1005&gt;=E1005,H1005,H1005+(Settings!$B$30-I1005)+Settings!$B$31),H1005+(Settings!$B$33-I1005))</f>
        <v>1080.2999999999997</v>
      </c>
      <c r="K1005" s="6">
        <f t="shared" si="383"/>
        <v>1104.3199999999997</v>
      </c>
      <c r="L1005" s="6">
        <f t="shared" si="384"/>
        <v>1104.3199999999997</v>
      </c>
      <c r="M1005" s="6">
        <f t="shared" si="393"/>
        <v>1083.2501571499051</v>
      </c>
      <c r="N1005" s="6">
        <f t="shared" si="385"/>
        <v>1104.3199999999997</v>
      </c>
      <c r="O1005" s="6">
        <f>Arrivals!I1005</f>
        <v>1.9773884571407325</v>
      </c>
      <c r="P1005" s="6">
        <f t="shared" si="386"/>
        <v>1106.2973884571404</v>
      </c>
      <c r="Q1005" s="6">
        <f t="shared" si="387"/>
        <v>778.29738845714041</v>
      </c>
      <c r="R1005" s="6">
        <f t="shared" si="388"/>
        <v>752.29999999999973</v>
      </c>
      <c r="S1005" s="6">
        <f t="shared" si="389"/>
        <v>0</v>
      </c>
      <c r="T1005" s="6">
        <f t="shared" si="390"/>
        <v>0</v>
      </c>
      <c r="U1005" s="6">
        <f t="shared" si="391"/>
        <v>752.29999999999973</v>
      </c>
      <c r="V1005" s="6" t="str">
        <f>IF(MOD(C1005-Settings!$B$32,Settings!$B$33)&lt;Settings!$B$30,"Up","Down")</f>
        <v>Up</v>
      </c>
      <c r="W1005" s="6">
        <f>IF(OR(E1005&gt;Settings!$B$30,Q1005&gt;Settings!$B$37),0,1)</f>
        <v>1</v>
      </c>
      <c r="X1005" s="6">
        <f>IF(AND(W1005=1,Q1005&lt;=Settings!$B$36),1,0)</f>
        <v>0</v>
      </c>
    </row>
    <row r="1006" spans="1:24" x14ac:dyDescent="0.2">
      <c r="A1006">
        <f>Arrivals!A1006</f>
        <v>9</v>
      </c>
      <c r="B1006">
        <f>Arrivals!B1006</f>
        <v>41</v>
      </c>
      <c r="C1006" s="6">
        <f>Arrivals!F1006</f>
        <v>333</v>
      </c>
      <c r="D1006" s="6">
        <f>Arrivals!K1006</f>
        <v>300</v>
      </c>
      <c r="E1006" s="6">
        <f>D1006*8/ACE_Input!S46+ACE_Input!T46</f>
        <v>24.02</v>
      </c>
      <c r="F1006" s="6">
        <f t="shared" si="381"/>
        <v>333</v>
      </c>
      <c r="G1006" s="6">
        <f t="shared" si="392"/>
        <v>1104.3199999999997</v>
      </c>
      <c r="H1006" s="6">
        <f t="shared" si="382"/>
        <v>1104.3199999999997</v>
      </c>
      <c r="I1006" s="6">
        <f>MOD(H1006-Settings!$B$32,Settings!$B$33)</f>
        <v>384.31999999999971</v>
      </c>
      <c r="J1006" s="6">
        <f>IF(I1006&lt;Settings!$B$30,IF(Settings!$B$30-I1006&gt;=E1006,H1006,H1006+(Settings!$B$30-I1006)+Settings!$B$31),H1006+(Settings!$B$33-I1006))</f>
        <v>1104.3199999999997</v>
      </c>
      <c r="K1006" s="6">
        <f t="shared" si="383"/>
        <v>1128.3399999999997</v>
      </c>
      <c r="L1006" s="6">
        <f t="shared" si="384"/>
        <v>1128.3399999999997</v>
      </c>
      <c r="M1006" s="6">
        <f t="shared" si="393"/>
        <v>1106.2973884571404</v>
      </c>
      <c r="N1006" s="6">
        <f t="shared" si="385"/>
        <v>1128.3399999999997</v>
      </c>
      <c r="O1006" s="6">
        <f>Arrivals!I1006</f>
        <v>1.1545962712259688</v>
      </c>
      <c r="P1006" s="6">
        <f t="shared" si="386"/>
        <v>1129.4945962712256</v>
      </c>
      <c r="Q1006" s="6">
        <f t="shared" si="387"/>
        <v>796.49459627122565</v>
      </c>
      <c r="R1006" s="6">
        <f t="shared" si="388"/>
        <v>771.31999999999971</v>
      </c>
      <c r="S1006" s="6">
        <f t="shared" si="389"/>
        <v>0</v>
      </c>
      <c r="T1006" s="6">
        <f t="shared" si="390"/>
        <v>0</v>
      </c>
      <c r="U1006" s="6">
        <f t="shared" si="391"/>
        <v>771.31999999999971</v>
      </c>
      <c r="V1006" s="6" t="str">
        <f>IF(MOD(C1006-Settings!$B$32,Settings!$B$33)&lt;Settings!$B$30,"Up","Down")</f>
        <v>Up</v>
      </c>
      <c r="W1006" s="6">
        <f>IF(OR(E1006&gt;Settings!$B$30,Q1006&gt;Settings!$B$37),0,1)</f>
        <v>1</v>
      </c>
      <c r="X1006" s="6">
        <f>IF(AND(W1006=1,Q1006&lt;=Settings!$B$36),1,0)</f>
        <v>0</v>
      </c>
    </row>
    <row r="1007" spans="1:24" x14ac:dyDescent="0.2">
      <c r="A1007">
        <f>Arrivals!A1007</f>
        <v>9</v>
      </c>
      <c r="B1007">
        <f>Arrivals!B1007</f>
        <v>42</v>
      </c>
      <c r="C1007" s="6">
        <f>Arrivals!F1007</f>
        <v>338</v>
      </c>
      <c r="D1007" s="6">
        <f>Arrivals!K1007</f>
        <v>300</v>
      </c>
      <c r="E1007" s="6">
        <f>D1007*8/ACE_Input!S47+ACE_Input!T47</f>
        <v>24.02</v>
      </c>
      <c r="F1007" s="6">
        <f t="shared" si="381"/>
        <v>338</v>
      </c>
      <c r="G1007" s="6">
        <f t="shared" si="392"/>
        <v>1128.3399999999997</v>
      </c>
      <c r="H1007" s="6">
        <f t="shared" si="382"/>
        <v>1128.3399999999997</v>
      </c>
      <c r="I1007" s="6">
        <f>MOD(H1007-Settings!$B$32,Settings!$B$33)</f>
        <v>408.33999999999969</v>
      </c>
      <c r="J1007" s="6">
        <f>IF(I1007&lt;Settings!$B$30,IF(Settings!$B$30-I1007&gt;=E1007,H1007,H1007+(Settings!$B$30-I1007)+Settings!$B$31),H1007+(Settings!$B$33-I1007))</f>
        <v>1128.3399999999997</v>
      </c>
      <c r="K1007" s="6">
        <f t="shared" si="383"/>
        <v>1152.3599999999997</v>
      </c>
      <c r="L1007" s="6">
        <f t="shared" si="384"/>
        <v>1152.3599999999997</v>
      </c>
      <c r="M1007" s="6">
        <f t="shared" si="393"/>
        <v>1129.4945962712256</v>
      </c>
      <c r="N1007" s="6">
        <f t="shared" si="385"/>
        <v>1152.3599999999997</v>
      </c>
      <c r="O1007" s="6">
        <f>Arrivals!I1007</f>
        <v>10.831798953315985</v>
      </c>
      <c r="P1007" s="6">
        <f t="shared" si="386"/>
        <v>1163.1917989533156</v>
      </c>
      <c r="Q1007" s="6">
        <f t="shared" si="387"/>
        <v>825.19179895331558</v>
      </c>
      <c r="R1007" s="6">
        <f t="shared" si="388"/>
        <v>790.33999999999969</v>
      </c>
      <c r="S1007" s="6">
        <f t="shared" si="389"/>
        <v>0</v>
      </c>
      <c r="T1007" s="6">
        <f t="shared" si="390"/>
        <v>0</v>
      </c>
      <c r="U1007" s="6">
        <f t="shared" si="391"/>
        <v>790.33999999999969</v>
      </c>
      <c r="V1007" s="6" t="str">
        <f>IF(MOD(C1007-Settings!$B$32,Settings!$B$33)&lt;Settings!$B$30,"Up","Down")</f>
        <v>Up</v>
      </c>
      <c r="W1007" s="6">
        <f>IF(OR(E1007&gt;Settings!$B$30,Q1007&gt;Settings!$B$37),0,1)</f>
        <v>1</v>
      </c>
      <c r="X1007" s="6">
        <f>IF(AND(W1007=1,Q1007&lt;=Settings!$B$36),1,0)</f>
        <v>0</v>
      </c>
    </row>
    <row r="1008" spans="1:24" x14ac:dyDescent="0.2">
      <c r="A1008">
        <f>Arrivals!A1008</f>
        <v>9</v>
      </c>
      <c r="B1008">
        <f>Arrivals!B1008</f>
        <v>43</v>
      </c>
      <c r="C1008" s="6">
        <f>Arrivals!F1008</f>
        <v>343</v>
      </c>
      <c r="D1008" s="6">
        <f>Arrivals!K1008</f>
        <v>300</v>
      </c>
      <c r="E1008" s="6">
        <f>D1008*8/ACE_Input!S48+ACE_Input!T48</f>
        <v>24.02</v>
      </c>
      <c r="F1008" s="6">
        <f t="shared" si="381"/>
        <v>343</v>
      </c>
      <c r="G1008" s="6">
        <f t="shared" si="392"/>
        <v>1152.3599999999997</v>
      </c>
      <c r="H1008" s="6">
        <f t="shared" si="382"/>
        <v>1152.3599999999997</v>
      </c>
      <c r="I1008" s="6">
        <f>MOD(H1008-Settings!$B$32,Settings!$B$33)</f>
        <v>432.35999999999967</v>
      </c>
      <c r="J1008" s="6">
        <f>IF(I1008&lt;Settings!$B$30,IF(Settings!$B$30-I1008&gt;=E1008,H1008,H1008+(Settings!$B$30-I1008)+Settings!$B$31),H1008+(Settings!$B$33-I1008))</f>
        <v>1152.3599999999997</v>
      </c>
      <c r="K1008" s="6">
        <f t="shared" si="383"/>
        <v>1176.3799999999997</v>
      </c>
      <c r="L1008" s="6">
        <f t="shared" si="384"/>
        <v>1176.3799999999997</v>
      </c>
      <c r="M1008" s="6">
        <f t="shared" si="393"/>
        <v>1163.1917989533156</v>
      </c>
      <c r="N1008" s="6">
        <f t="shared" si="385"/>
        <v>1176.3799999999997</v>
      </c>
      <c r="O1008" s="6">
        <f>Arrivals!I1008</f>
        <v>2.1841707145289173</v>
      </c>
      <c r="P1008" s="6">
        <f t="shared" si="386"/>
        <v>1178.5641707145285</v>
      </c>
      <c r="Q1008" s="6">
        <f t="shared" si="387"/>
        <v>835.56417071452847</v>
      </c>
      <c r="R1008" s="6">
        <f t="shared" si="388"/>
        <v>809.35999999999967</v>
      </c>
      <c r="S1008" s="6">
        <f t="shared" si="389"/>
        <v>0</v>
      </c>
      <c r="T1008" s="6">
        <f t="shared" si="390"/>
        <v>0</v>
      </c>
      <c r="U1008" s="6">
        <f t="shared" si="391"/>
        <v>809.35999999999967</v>
      </c>
      <c r="V1008" s="6" t="str">
        <f>IF(MOD(C1008-Settings!$B$32,Settings!$B$33)&lt;Settings!$B$30,"Up","Down")</f>
        <v>Up</v>
      </c>
      <c r="W1008" s="6">
        <f>IF(OR(E1008&gt;Settings!$B$30,Q1008&gt;Settings!$B$37),0,1)</f>
        <v>1</v>
      </c>
      <c r="X1008" s="6">
        <f>IF(AND(W1008=1,Q1008&lt;=Settings!$B$36),1,0)</f>
        <v>0</v>
      </c>
    </row>
    <row r="1009" spans="1:24" x14ac:dyDescent="0.2">
      <c r="A1009">
        <f>Arrivals!A1009</f>
        <v>9</v>
      </c>
      <c r="B1009">
        <f>Arrivals!B1009</f>
        <v>44</v>
      </c>
      <c r="C1009" s="6">
        <f>Arrivals!F1009</f>
        <v>348</v>
      </c>
      <c r="D1009" s="6">
        <f>Arrivals!K1009</f>
        <v>300</v>
      </c>
      <c r="E1009" s="6">
        <f>D1009*8/ACE_Input!S49+ACE_Input!T49</f>
        <v>24.02</v>
      </c>
      <c r="F1009" s="6">
        <f t="shared" si="381"/>
        <v>348</v>
      </c>
      <c r="G1009" s="6">
        <f t="shared" si="392"/>
        <v>1176.3799999999997</v>
      </c>
      <c r="H1009" s="6">
        <f t="shared" si="382"/>
        <v>1176.3799999999997</v>
      </c>
      <c r="I1009" s="6">
        <f>MOD(H1009-Settings!$B$32,Settings!$B$33)</f>
        <v>456.37999999999965</v>
      </c>
      <c r="J1009" s="6">
        <f>IF(I1009&lt;Settings!$B$30,IF(Settings!$B$30-I1009&gt;=E1009,H1009,H1009+(Settings!$B$30-I1009)+Settings!$B$31),H1009+(Settings!$B$33-I1009))</f>
        <v>1176.3799999999997</v>
      </c>
      <c r="K1009" s="6">
        <f t="shared" si="383"/>
        <v>1200.3999999999996</v>
      </c>
      <c r="L1009" s="6">
        <f t="shared" si="384"/>
        <v>1200.3999999999996</v>
      </c>
      <c r="M1009" s="6">
        <f t="shared" si="393"/>
        <v>1178.5641707145285</v>
      </c>
      <c r="N1009" s="6">
        <f t="shared" si="385"/>
        <v>1200.3999999999996</v>
      </c>
      <c r="O1009" s="6">
        <f>Arrivals!I1009</f>
        <v>5.6288134861585615</v>
      </c>
      <c r="P1009" s="6">
        <f t="shared" si="386"/>
        <v>1206.0288134861582</v>
      </c>
      <c r="Q1009" s="6">
        <f t="shared" si="387"/>
        <v>858.02881348615824</v>
      </c>
      <c r="R1009" s="6">
        <f t="shared" si="388"/>
        <v>828.37999999999965</v>
      </c>
      <c r="S1009" s="6">
        <f t="shared" si="389"/>
        <v>0</v>
      </c>
      <c r="T1009" s="6">
        <f t="shared" si="390"/>
        <v>0</v>
      </c>
      <c r="U1009" s="6">
        <f t="shared" si="391"/>
        <v>828.37999999999965</v>
      </c>
      <c r="V1009" s="6" t="str">
        <f>IF(MOD(C1009-Settings!$B$32,Settings!$B$33)&lt;Settings!$B$30,"Up","Down")</f>
        <v>Up</v>
      </c>
      <c r="W1009" s="6">
        <f>IF(OR(E1009&gt;Settings!$B$30,Q1009&gt;Settings!$B$37),0,1)</f>
        <v>1</v>
      </c>
      <c r="X1009" s="6">
        <f>IF(AND(W1009=1,Q1009&lt;=Settings!$B$36),1,0)</f>
        <v>0</v>
      </c>
    </row>
    <row r="1010" spans="1:24" x14ac:dyDescent="0.2">
      <c r="A1010">
        <f>Arrivals!A1010</f>
        <v>9</v>
      </c>
      <c r="B1010">
        <f>Arrivals!B1010</f>
        <v>45</v>
      </c>
      <c r="C1010" s="6">
        <f>Arrivals!F1010</f>
        <v>354</v>
      </c>
      <c r="D1010" s="6">
        <f>Arrivals!K1010</f>
        <v>300</v>
      </c>
      <c r="E1010" s="6">
        <f>D1010*8/ACE_Input!S50+ACE_Input!T50</f>
        <v>24.02</v>
      </c>
      <c r="F1010" s="6">
        <f t="shared" si="381"/>
        <v>354</v>
      </c>
      <c r="G1010" s="6">
        <f t="shared" si="392"/>
        <v>1200.3999999999996</v>
      </c>
      <c r="H1010" s="6">
        <f t="shared" si="382"/>
        <v>1200.3999999999996</v>
      </c>
      <c r="I1010" s="6">
        <f>MOD(H1010-Settings!$B$32,Settings!$B$33)</f>
        <v>480.39999999999964</v>
      </c>
      <c r="J1010" s="6">
        <f>IF(I1010&lt;Settings!$B$30,IF(Settings!$B$30-I1010&gt;=E1010,H1010,H1010+(Settings!$B$30-I1010)+Settings!$B$31),H1010+(Settings!$B$33-I1010))</f>
        <v>1200.3999999999996</v>
      </c>
      <c r="K1010" s="6">
        <f t="shared" si="383"/>
        <v>1224.4199999999996</v>
      </c>
      <c r="L1010" s="6">
        <f t="shared" si="384"/>
        <v>1224.4199999999996</v>
      </c>
      <c r="M1010" s="6">
        <f t="shared" si="393"/>
        <v>1206.0288134861582</v>
      </c>
      <c r="N1010" s="6">
        <f t="shared" si="385"/>
        <v>1224.4199999999996</v>
      </c>
      <c r="O1010" s="6">
        <f>Arrivals!I1010</f>
        <v>0.85439712410988133</v>
      </c>
      <c r="P1010" s="6">
        <f t="shared" si="386"/>
        <v>1225.2743971241096</v>
      </c>
      <c r="Q1010" s="6">
        <f t="shared" si="387"/>
        <v>871.27439712410956</v>
      </c>
      <c r="R1010" s="6">
        <f t="shared" si="388"/>
        <v>846.39999999999964</v>
      </c>
      <c r="S1010" s="6">
        <f t="shared" si="389"/>
        <v>0</v>
      </c>
      <c r="T1010" s="6">
        <f t="shared" si="390"/>
        <v>0</v>
      </c>
      <c r="U1010" s="6">
        <f t="shared" si="391"/>
        <v>846.39999999999964</v>
      </c>
      <c r="V1010" s="6" t="str">
        <f>IF(MOD(C1010-Settings!$B$32,Settings!$B$33)&lt;Settings!$B$30,"Up","Down")</f>
        <v>Up</v>
      </c>
      <c r="W1010" s="6">
        <f>IF(OR(E1010&gt;Settings!$B$30,Q1010&gt;Settings!$B$37),0,1)</f>
        <v>1</v>
      </c>
      <c r="X1010" s="6">
        <f>IF(AND(W1010=1,Q1010&lt;=Settings!$B$36),1,0)</f>
        <v>0</v>
      </c>
    </row>
    <row r="1011" spans="1:24" x14ac:dyDescent="0.2">
      <c r="A1011">
        <f>Arrivals!A1011</f>
        <v>9</v>
      </c>
      <c r="B1011">
        <f>Arrivals!B1011</f>
        <v>46</v>
      </c>
      <c r="C1011" s="6">
        <f>Arrivals!F1011</f>
        <v>359</v>
      </c>
      <c r="D1011" s="6">
        <f>Arrivals!K1011</f>
        <v>300</v>
      </c>
      <c r="E1011" s="6">
        <f>D1011*8/ACE_Input!S51+ACE_Input!T51</f>
        <v>24.02</v>
      </c>
      <c r="F1011" s="6">
        <f t="shared" si="381"/>
        <v>359</v>
      </c>
      <c r="G1011" s="6">
        <f t="shared" si="392"/>
        <v>1224.4199999999996</v>
      </c>
      <c r="H1011" s="6">
        <f t="shared" si="382"/>
        <v>1224.4199999999996</v>
      </c>
      <c r="I1011" s="6">
        <f>MOD(H1011-Settings!$B$32,Settings!$B$33)</f>
        <v>504.41999999999962</v>
      </c>
      <c r="J1011" s="6">
        <f>IF(I1011&lt;Settings!$B$30,IF(Settings!$B$30-I1011&gt;=E1011,H1011,H1011+(Settings!$B$30-I1011)+Settings!$B$31),H1011+(Settings!$B$33-I1011))</f>
        <v>1224.4199999999996</v>
      </c>
      <c r="K1011" s="6">
        <f t="shared" si="383"/>
        <v>1248.4399999999996</v>
      </c>
      <c r="L1011" s="6">
        <f t="shared" si="384"/>
        <v>1248.4399999999996</v>
      </c>
      <c r="M1011" s="6">
        <f t="shared" si="393"/>
        <v>1225.2743971241096</v>
      </c>
      <c r="N1011" s="6">
        <f t="shared" si="385"/>
        <v>1248.4399999999996</v>
      </c>
      <c r="O1011" s="6">
        <f>Arrivals!I1011</f>
        <v>2.4441002046320182</v>
      </c>
      <c r="P1011" s="6">
        <f t="shared" si="386"/>
        <v>1250.8841002046315</v>
      </c>
      <c r="Q1011" s="6">
        <f t="shared" si="387"/>
        <v>891.88410020463152</v>
      </c>
      <c r="R1011" s="6">
        <f t="shared" si="388"/>
        <v>865.41999999999962</v>
      </c>
      <c r="S1011" s="6">
        <f t="shared" si="389"/>
        <v>0</v>
      </c>
      <c r="T1011" s="6">
        <f t="shared" si="390"/>
        <v>0</v>
      </c>
      <c r="U1011" s="6">
        <f t="shared" si="391"/>
        <v>865.41999999999962</v>
      </c>
      <c r="V1011" s="6" t="str">
        <f>IF(MOD(C1011-Settings!$B$32,Settings!$B$33)&lt;Settings!$B$30,"Up","Down")</f>
        <v>Up</v>
      </c>
      <c r="W1011" s="6">
        <f>IF(OR(E1011&gt;Settings!$B$30,Q1011&gt;Settings!$B$37),0,1)</f>
        <v>1</v>
      </c>
      <c r="X1011" s="6">
        <f>IF(AND(W1011=1,Q1011&lt;=Settings!$B$36),1,0)</f>
        <v>0</v>
      </c>
    </row>
    <row r="1012" spans="1:24" x14ac:dyDescent="0.2">
      <c r="A1012">
        <f>Arrivals!A1012</f>
        <v>9</v>
      </c>
      <c r="B1012">
        <f>Arrivals!B1012</f>
        <v>47</v>
      </c>
      <c r="C1012" s="6">
        <f>Arrivals!F1012</f>
        <v>364</v>
      </c>
      <c r="D1012" s="6">
        <f>Arrivals!K1012</f>
        <v>300</v>
      </c>
      <c r="E1012" s="6">
        <f>D1012*8/ACE_Input!S52+ACE_Input!T52</f>
        <v>24.02</v>
      </c>
      <c r="F1012" s="6">
        <f t="shared" si="381"/>
        <v>364</v>
      </c>
      <c r="G1012" s="6">
        <f t="shared" si="392"/>
        <v>1248.4399999999996</v>
      </c>
      <c r="H1012" s="6">
        <f t="shared" si="382"/>
        <v>1248.4399999999996</v>
      </c>
      <c r="I1012" s="6">
        <f>MOD(H1012-Settings!$B$32,Settings!$B$33)</f>
        <v>528.4399999999996</v>
      </c>
      <c r="J1012" s="6">
        <f>IF(I1012&lt;Settings!$B$30,IF(Settings!$B$30-I1012&gt;=E1012,H1012,H1012+(Settings!$B$30-I1012)+Settings!$B$31),H1012+(Settings!$B$33-I1012))</f>
        <v>1248.4399999999996</v>
      </c>
      <c r="K1012" s="6">
        <f t="shared" si="383"/>
        <v>1272.4599999999996</v>
      </c>
      <c r="L1012" s="6">
        <f t="shared" si="384"/>
        <v>1272.4599999999996</v>
      </c>
      <c r="M1012" s="6">
        <f t="shared" si="393"/>
        <v>1250.8841002046315</v>
      </c>
      <c r="N1012" s="6">
        <f t="shared" si="385"/>
        <v>1272.4599999999996</v>
      </c>
      <c r="O1012" s="6">
        <f>Arrivals!I1012</f>
        <v>1.1937055860482992</v>
      </c>
      <c r="P1012" s="6">
        <f t="shared" si="386"/>
        <v>1273.6537055860479</v>
      </c>
      <c r="Q1012" s="6">
        <f t="shared" si="387"/>
        <v>909.65370558604786</v>
      </c>
      <c r="R1012" s="6">
        <f t="shared" si="388"/>
        <v>884.4399999999996</v>
      </c>
      <c r="S1012" s="6">
        <f t="shared" si="389"/>
        <v>0</v>
      </c>
      <c r="T1012" s="6">
        <f t="shared" si="390"/>
        <v>0</v>
      </c>
      <c r="U1012" s="6">
        <f t="shared" si="391"/>
        <v>884.4399999999996</v>
      </c>
      <c r="V1012" s="6" t="str">
        <f>IF(MOD(C1012-Settings!$B$32,Settings!$B$33)&lt;Settings!$B$30,"Up","Down")</f>
        <v>Up</v>
      </c>
      <c r="W1012" s="6">
        <f>IF(OR(E1012&gt;Settings!$B$30,Q1012&gt;Settings!$B$37),0,1)</f>
        <v>0</v>
      </c>
      <c r="X1012" s="6">
        <f>IF(AND(W1012=1,Q1012&lt;=Settings!$B$36),1,0)</f>
        <v>0</v>
      </c>
    </row>
    <row r="1013" spans="1:24" x14ac:dyDescent="0.2">
      <c r="A1013">
        <f>Arrivals!A1013</f>
        <v>9</v>
      </c>
      <c r="B1013">
        <f>Arrivals!B1013</f>
        <v>48</v>
      </c>
      <c r="C1013" s="6">
        <f>Arrivals!F1013</f>
        <v>369</v>
      </c>
      <c r="D1013" s="6">
        <f>Arrivals!K1013</f>
        <v>300</v>
      </c>
      <c r="E1013" s="6">
        <f>D1013*8/ACE_Input!S53+ACE_Input!T53</f>
        <v>24.02</v>
      </c>
      <c r="F1013" s="6">
        <f t="shared" si="381"/>
        <v>369</v>
      </c>
      <c r="G1013" s="6">
        <f t="shared" si="392"/>
        <v>1272.4599999999996</v>
      </c>
      <c r="H1013" s="6">
        <f t="shared" si="382"/>
        <v>1272.4599999999996</v>
      </c>
      <c r="I1013" s="6">
        <f>MOD(H1013-Settings!$B$32,Settings!$B$33)</f>
        <v>552.45999999999958</v>
      </c>
      <c r="J1013" s="6">
        <f>IF(I1013&lt;Settings!$B$30,IF(Settings!$B$30-I1013&gt;=E1013,H1013,H1013+(Settings!$B$30-I1013)+Settings!$B$31),H1013+(Settings!$B$33-I1013))</f>
        <v>1272.4599999999996</v>
      </c>
      <c r="K1013" s="6">
        <f t="shared" si="383"/>
        <v>1296.4799999999996</v>
      </c>
      <c r="L1013" s="6">
        <f t="shared" si="384"/>
        <v>1296.4799999999996</v>
      </c>
      <c r="M1013" s="6">
        <f t="shared" si="393"/>
        <v>1273.6537055860479</v>
      </c>
      <c r="N1013" s="6">
        <f t="shared" si="385"/>
        <v>1296.4799999999996</v>
      </c>
      <c r="O1013" s="6">
        <f>Arrivals!I1013</f>
        <v>2.4640888857687866</v>
      </c>
      <c r="P1013" s="6">
        <f t="shared" si="386"/>
        <v>1298.9440888857685</v>
      </c>
      <c r="Q1013" s="6">
        <f t="shared" si="387"/>
        <v>929.94408888576845</v>
      </c>
      <c r="R1013" s="6">
        <f t="shared" si="388"/>
        <v>903.45999999999958</v>
      </c>
      <c r="S1013" s="6">
        <f t="shared" si="389"/>
        <v>0</v>
      </c>
      <c r="T1013" s="6">
        <f t="shared" si="390"/>
        <v>0</v>
      </c>
      <c r="U1013" s="6">
        <f t="shared" si="391"/>
        <v>903.45999999999958</v>
      </c>
      <c r="V1013" s="6" t="str">
        <f>IF(MOD(C1013-Settings!$B$32,Settings!$B$33)&lt;Settings!$B$30,"Up","Down")</f>
        <v>Up</v>
      </c>
      <c r="W1013" s="6">
        <f>IF(OR(E1013&gt;Settings!$B$30,Q1013&gt;Settings!$B$37),0,1)</f>
        <v>0</v>
      </c>
      <c r="X1013" s="6">
        <f>IF(AND(W1013=1,Q1013&lt;=Settings!$B$36),1,0)</f>
        <v>0</v>
      </c>
    </row>
    <row r="1014" spans="1:24" x14ac:dyDescent="0.2">
      <c r="A1014">
        <f>Arrivals!A1014</f>
        <v>9</v>
      </c>
      <c r="B1014">
        <f>Arrivals!B1014</f>
        <v>49</v>
      </c>
      <c r="C1014" s="6">
        <f>Arrivals!F1014</f>
        <v>374</v>
      </c>
      <c r="D1014" s="6">
        <f>Arrivals!K1014</f>
        <v>300</v>
      </c>
      <c r="E1014" s="6">
        <f>D1014*8/ACE_Input!S54+ACE_Input!T54</f>
        <v>24.02</v>
      </c>
      <c r="F1014" s="6">
        <f t="shared" si="381"/>
        <v>374</v>
      </c>
      <c r="G1014" s="6">
        <f t="shared" si="392"/>
        <v>1296.4799999999996</v>
      </c>
      <c r="H1014" s="6">
        <f t="shared" si="382"/>
        <v>1296.4799999999996</v>
      </c>
      <c r="I1014" s="6">
        <f>MOD(H1014-Settings!$B$32,Settings!$B$33)</f>
        <v>576.47999999999956</v>
      </c>
      <c r="J1014" s="6">
        <f>IF(I1014&lt;Settings!$B$30,IF(Settings!$B$30-I1014&gt;=E1014,H1014,H1014+(Settings!$B$30-I1014)+Settings!$B$31),H1014+(Settings!$B$33-I1014))</f>
        <v>1440</v>
      </c>
      <c r="K1014" s="6">
        <f t="shared" si="383"/>
        <v>1464.02</v>
      </c>
      <c r="L1014" s="6">
        <f t="shared" si="384"/>
        <v>1464.02</v>
      </c>
      <c r="M1014" s="6">
        <f t="shared" si="393"/>
        <v>1298.9440888857685</v>
      </c>
      <c r="N1014" s="6">
        <f t="shared" si="385"/>
        <v>1464.02</v>
      </c>
      <c r="O1014" s="6">
        <f>Arrivals!I1014</f>
        <v>5.2699776072610582</v>
      </c>
      <c r="P1014" s="6">
        <f t="shared" si="386"/>
        <v>1469.2899776072611</v>
      </c>
      <c r="Q1014" s="6">
        <f t="shared" si="387"/>
        <v>1095.2899776072611</v>
      </c>
      <c r="R1014" s="6">
        <f t="shared" si="388"/>
        <v>922.47999999999956</v>
      </c>
      <c r="S1014" s="6">
        <f t="shared" si="389"/>
        <v>143.52000000000044</v>
      </c>
      <c r="T1014" s="6">
        <f t="shared" si="390"/>
        <v>0</v>
      </c>
      <c r="U1014" s="6">
        <f t="shared" si="391"/>
        <v>1066</v>
      </c>
      <c r="V1014" s="6" t="str">
        <f>IF(MOD(C1014-Settings!$B$32,Settings!$B$33)&lt;Settings!$B$30,"Up","Down")</f>
        <v>Up</v>
      </c>
      <c r="W1014" s="6">
        <f>IF(OR(E1014&gt;Settings!$B$30,Q1014&gt;Settings!$B$37),0,1)</f>
        <v>0</v>
      </c>
      <c r="X1014" s="6">
        <f>IF(AND(W1014=1,Q1014&lt;=Settings!$B$36),1,0)</f>
        <v>0</v>
      </c>
    </row>
    <row r="1015" spans="1:24" x14ac:dyDescent="0.2">
      <c r="A1015">
        <f>Arrivals!A1015</f>
        <v>9</v>
      </c>
      <c r="B1015">
        <f>Arrivals!B1015</f>
        <v>50</v>
      </c>
      <c r="C1015" s="6">
        <f>Arrivals!F1015</f>
        <v>379</v>
      </c>
      <c r="D1015" s="6">
        <f>Arrivals!K1015</f>
        <v>300</v>
      </c>
      <c r="E1015" s="6">
        <f>D1015*8/ACE_Input!S55+ACE_Input!T55</f>
        <v>24.02</v>
      </c>
      <c r="F1015" s="6">
        <f t="shared" si="381"/>
        <v>379</v>
      </c>
      <c r="G1015" s="6">
        <f t="shared" si="392"/>
        <v>1464.02</v>
      </c>
      <c r="H1015" s="6">
        <f t="shared" si="382"/>
        <v>1464.02</v>
      </c>
      <c r="I1015" s="6">
        <f>MOD(H1015-Settings!$B$32,Settings!$B$33)</f>
        <v>24.019999999999982</v>
      </c>
      <c r="J1015" s="6">
        <f>IF(I1015&lt;Settings!$B$30,IF(Settings!$B$30-I1015&gt;=E1015,H1015,H1015+(Settings!$B$30-I1015)+Settings!$B$31),H1015+(Settings!$B$33-I1015))</f>
        <v>1464.02</v>
      </c>
      <c r="K1015" s="6">
        <f t="shared" si="383"/>
        <v>1488.04</v>
      </c>
      <c r="L1015" s="6">
        <f t="shared" si="384"/>
        <v>1488.04</v>
      </c>
      <c r="M1015" s="6">
        <f t="shared" si="393"/>
        <v>1469.2899776072611</v>
      </c>
      <c r="N1015" s="6">
        <f t="shared" si="385"/>
        <v>1488.04</v>
      </c>
      <c r="O1015" s="6">
        <f>Arrivals!I1015</f>
        <v>20.072312073583316</v>
      </c>
      <c r="P1015" s="6">
        <f t="shared" si="386"/>
        <v>1508.1123120735833</v>
      </c>
      <c r="Q1015" s="6">
        <f t="shared" si="387"/>
        <v>1129.1123120735833</v>
      </c>
      <c r="R1015" s="6">
        <f t="shared" si="388"/>
        <v>1085.02</v>
      </c>
      <c r="S1015" s="6">
        <f t="shared" si="389"/>
        <v>0</v>
      </c>
      <c r="T1015" s="6">
        <f t="shared" si="390"/>
        <v>0</v>
      </c>
      <c r="U1015" s="6">
        <f t="shared" si="391"/>
        <v>1085.02</v>
      </c>
      <c r="V1015" s="6" t="str">
        <f>IF(MOD(C1015-Settings!$B$32,Settings!$B$33)&lt;Settings!$B$30,"Up","Down")</f>
        <v>Up</v>
      </c>
      <c r="W1015" s="6">
        <f>IF(OR(E1015&gt;Settings!$B$30,Q1015&gt;Settings!$B$37),0,1)</f>
        <v>0</v>
      </c>
      <c r="X1015" s="6">
        <f>IF(AND(W1015=1,Q1015&lt;=Settings!$B$36),1,0)</f>
        <v>0</v>
      </c>
    </row>
    <row r="1016" spans="1:24" x14ac:dyDescent="0.2">
      <c r="A1016">
        <f>Arrivals!A1016</f>
        <v>9</v>
      </c>
      <c r="B1016">
        <f>Arrivals!B1016</f>
        <v>51</v>
      </c>
      <c r="C1016" s="6">
        <f>Arrivals!F1016</f>
        <v>384</v>
      </c>
      <c r="D1016" s="6">
        <f>Arrivals!K1016</f>
        <v>300</v>
      </c>
      <c r="E1016" s="6">
        <f>D1016*8/ACE_Input!S56+ACE_Input!T56</f>
        <v>24.02</v>
      </c>
      <c r="F1016" s="6">
        <f t="shared" si="381"/>
        <v>384</v>
      </c>
      <c r="G1016" s="6">
        <f t="shared" si="392"/>
        <v>1488.04</v>
      </c>
      <c r="H1016" s="6">
        <f t="shared" si="382"/>
        <v>1488.04</v>
      </c>
      <c r="I1016" s="6">
        <f>MOD(H1016-Settings!$B$32,Settings!$B$33)</f>
        <v>48.039999999999964</v>
      </c>
      <c r="J1016" s="6">
        <f>IF(I1016&lt;Settings!$B$30,IF(Settings!$B$30-I1016&gt;=E1016,H1016,H1016+(Settings!$B$30-I1016)+Settings!$B$31),H1016+(Settings!$B$33-I1016))</f>
        <v>1488.04</v>
      </c>
      <c r="K1016" s="6">
        <f t="shared" si="383"/>
        <v>1512.06</v>
      </c>
      <c r="L1016" s="6">
        <f t="shared" si="384"/>
        <v>1512.06</v>
      </c>
      <c r="M1016" s="6">
        <f t="shared" si="393"/>
        <v>1508.1123120735833</v>
      </c>
      <c r="N1016" s="6">
        <f t="shared" si="385"/>
        <v>1512.06</v>
      </c>
      <c r="O1016" s="6">
        <f>Arrivals!I1016</f>
        <v>6.1330587674395298</v>
      </c>
      <c r="P1016" s="6">
        <f t="shared" si="386"/>
        <v>1518.1930587674394</v>
      </c>
      <c r="Q1016" s="6">
        <f t="shared" si="387"/>
        <v>1134.1930587674394</v>
      </c>
      <c r="R1016" s="6">
        <f t="shared" si="388"/>
        <v>1104.04</v>
      </c>
      <c r="S1016" s="6">
        <f t="shared" si="389"/>
        <v>0</v>
      </c>
      <c r="T1016" s="6">
        <f t="shared" si="390"/>
        <v>0</v>
      </c>
      <c r="U1016" s="6">
        <f t="shared" si="391"/>
        <v>1104.04</v>
      </c>
      <c r="V1016" s="6" t="str">
        <f>IF(MOD(C1016-Settings!$B$32,Settings!$B$33)&lt;Settings!$B$30,"Up","Down")</f>
        <v>Up</v>
      </c>
      <c r="W1016" s="6">
        <f>IF(OR(E1016&gt;Settings!$B$30,Q1016&gt;Settings!$B$37),0,1)</f>
        <v>0</v>
      </c>
      <c r="X1016" s="6">
        <f>IF(AND(W1016=1,Q1016&lt;=Settings!$B$36),1,0)</f>
        <v>0</v>
      </c>
    </row>
    <row r="1017" spans="1:24" x14ac:dyDescent="0.2">
      <c r="A1017">
        <f>Arrivals!A1017</f>
        <v>9</v>
      </c>
      <c r="B1017">
        <f>Arrivals!B1017</f>
        <v>52</v>
      </c>
      <c r="C1017" s="6">
        <f>Arrivals!F1017</f>
        <v>389</v>
      </c>
      <c r="D1017" s="6">
        <f>Arrivals!K1017</f>
        <v>300</v>
      </c>
      <c r="E1017" s="6">
        <f>D1017*8/ACE_Input!S57+ACE_Input!T57</f>
        <v>24.02</v>
      </c>
      <c r="F1017" s="6">
        <f t="shared" si="381"/>
        <v>389</v>
      </c>
      <c r="G1017" s="6">
        <f t="shared" si="392"/>
        <v>1512.06</v>
      </c>
      <c r="H1017" s="6">
        <f t="shared" si="382"/>
        <v>1512.06</v>
      </c>
      <c r="I1017" s="6">
        <f>MOD(H1017-Settings!$B$32,Settings!$B$33)</f>
        <v>72.059999999999945</v>
      </c>
      <c r="J1017" s="6">
        <f>IF(I1017&lt;Settings!$B$30,IF(Settings!$B$30-I1017&gt;=E1017,H1017,H1017+(Settings!$B$30-I1017)+Settings!$B$31),H1017+(Settings!$B$33-I1017))</f>
        <v>1512.06</v>
      </c>
      <c r="K1017" s="6">
        <f t="shared" si="383"/>
        <v>1536.08</v>
      </c>
      <c r="L1017" s="6">
        <f t="shared" si="384"/>
        <v>1536.08</v>
      </c>
      <c r="M1017" s="6">
        <f t="shared" si="393"/>
        <v>1518.1930587674394</v>
      </c>
      <c r="N1017" s="6">
        <f t="shared" si="385"/>
        <v>1536.08</v>
      </c>
      <c r="O1017" s="6">
        <f>Arrivals!I1017</f>
        <v>3.1666415578136866</v>
      </c>
      <c r="P1017" s="6">
        <f t="shared" si="386"/>
        <v>1539.2466415578135</v>
      </c>
      <c r="Q1017" s="6">
        <f t="shared" si="387"/>
        <v>1150.2466415578135</v>
      </c>
      <c r="R1017" s="6">
        <f t="shared" si="388"/>
        <v>1123.06</v>
      </c>
      <c r="S1017" s="6">
        <f t="shared" si="389"/>
        <v>0</v>
      </c>
      <c r="T1017" s="6">
        <f t="shared" si="390"/>
        <v>0</v>
      </c>
      <c r="U1017" s="6">
        <f t="shared" si="391"/>
        <v>1123.06</v>
      </c>
      <c r="V1017" s="6" t="str">
        <f>IF(MOD(C1017-Settings!$B$32,Settings!$B$33)&lt;Settings!$B$30,"Up","Down")</f>
        <v>Up</v>
      </c>
      <c r="W1017" s="6">
        <f>IF(OR(E1017&gt;Settings!$B$30,Q1017&gt;Settings!$B$37),0,1)</f>
        <v>0</v>
      </c>
      <c r="X1017" s="6">
        <f>IF(AND(W1017=1,Q1017&lt;=Settings!$B$36),1,0)</f>
        <v>0</v>
      </c>
    </row>
    <row r="1018" spans="1:24" x14ac:dyDescent="0.2">
      <c r="A1018">
        <f>Arrivals!A1018</f>
        <v>9</v>
      </c>
      <c r="B1018">
        <f>Arrivals!B1018</f>
        <v>53</v>
      </c>
      <c r="C1018" s="6">
        <f>Arrivals!F1018</f>
        <v>394</v>
      </c>
      <c r="D1018" s="6">
        <f>Arrivals!K1018</f>
        <v>300</v>
      </c>
      <c r="E1018" s="6">
        <f>D1018*8/ACE_Input!S58+ACE_Input!T58</f>
        <v>24.02</v>
      </c>
      <c r="F1018" s="6">
        <f t="shared" si="381"/>
        <v>394</v>
      </c>
      <c r="G1018" s="6">
        <f t="shared" si="392"/>
        <v>1536.08</v>
      </c>
      <c r="H1018" s="6">
        <f t="shared" si="382"/>
        <v>1536.08</v>
      </c>
      <c r="I1018" s="6">
        <f>MOD(H1018-Settings!$B$32,Settings!$B$33)</f>
        <v>96.079999999999927</v>
      </c>
      <c r="J1018" s="6">
        <f>IF(I1018&lt;Settings!$B$30,IF(Settings!$B$30-I1018&gt;=E1018,H1018,H1018+(Settings!$B$30-I1018)+Settings!$B$31),H1018+(Settings!$B$33-I1018))</f>
        <v>1536.08</v>
      </c>
      <c r="K1018" s="6">
        <f t="shared" si="383"/>
        <v>1560.1</v>
      </c>
      <c r="L1018" s="6">
        <f t="shared" si="384"/>
        <v>1560.1</v>
      </c>
      <c r="M1018" s="6">
        <f t="shared" si="393"/>
        <v>1539.2466415578135</v>
      </c>
      <c r="N1018" s="6">
        <f t="shared" si="385"/>
        <v>1560.1</v>
      </c>
      <c r="O1018" s="6">
        <f>Arrivals!I1018</f>
        <v>8.6542509839808073</v>
      </c>
      <c r="P1018" s="6">
        <f t="shared" si="386"/>
        <v>1568.7542509839807</v>
      </c>
      <c r="Q1018" s="6">
        <f t="shared" si="387"/>
        <v>1174.7542509839807</v>
      </c>
      <c r="R1018" s="6">
        <f t="shared" si="388"/>
        <v>1142.08</v>
      </c>
      <c r="S1018" s="6">
        <f t="shared" si="389"/>
        <v>0</v>
      </c>
      <c r="T1018" s="6">
        <f t="shared" si="390"/>
        <v>0</v>
      </c>
      <c r="U1018" s="6">
        <f t="shared" si="391"/>
        <v>1142.08</v>
      </c>
      <c r="V1018" s="6" t="str">
        <f>IF(MOD(C1018-Settings!$B$32,Settings!$B$33)&lt;Settings!$B$30,"Up","Down")</f>
        <v>Up</v>
      </c>
      <c r="W1018" s="6">
        <f>IF(OR(E1018&gt;Settings!$B$30,Q1018&gt;Settings!$B$37),0,1)</f>
        <v>0</v>
      </c>
      <c r="X1018" s="6">
        <f>IF(AND(W1018=1,Q1018&lt;=Settings!$B$36),1,0)</f>
        <v>0</v>
      </c>
    </row>
    <row r="1019" spans="1:24" x14ac:dyDescent="0.2">
      <c r="A1019">
        <f>Arrivals!A1019</f>
        <v>9</v>
      </c>
      <c r="B1019">
        <f>Arrivals!B1019</f>
        <v>54</v>
      </c>
      <c r="C1019" s="6">
        <f>Arrivals!F1019</f>
        <v>399</v>
      </c>
      <c r="D1019" s="6">
        <f>Arrivals!K1019</f>
        <v>300</v>
      </c>
      <c r="E1019" s="6">
        <f>D1019*8/ACE_Input!S59+ACE_Input!T59</f>
        <v>24.02</v>
      </c>
      <c r="F1019" s="6">
        <f t="shared" si="381"/>
        <v>399</v>
      </c>
      <c r="G1019" s="6">
        <f t="shared" si="392"/>
        <v>1560.1</v>
      </c>
      <c r="H1019" s="6">
        <f t="shared" si="382"/>
        <v>1560.1</v>
      </c>
      <c r="I1019" s="6">
        <f>MOD(H1019-Settings!$B$32,Settings!$B$33)</f>
        <v>120.09999999999991</v>
      </c>
      <c r="J1019" s="6">
        <f>IF(I1019&lt;Settings!$B$30,IF(Settings!$B$30-I1019&gt;=E1019,H1019,H1019+(Settings!$B$30-I1019)+Settings!$B$31),H1019+(Settings!$B$33-I1019))</f>
        <v>1560.1</v>
      </c>
      <c r="K1019" s="6">
        <f t="shared" si="383"/>
        <v>1584.12</v>
      </c>
      <c r="L1019" s="6">
        <f t="shared" si="384"/>
        <v>1584.12</v>
      </c>
      <c r="M1019" s="6">
        <f t="shared" si="393"/>
        <v>1568.7542509839807</v>
      </c>
      <c r="N1019" s="6">
        <f t="shared" si="385"/>
        <v>1584.12</v>
      </c>
      <c r="O1019" s="6">
        <f>Arrivals!I1019</f>
        <v>3.9122937954368679</v>
      </c>
      <c r="P1019" s="6">
        <f t="shared" si="386"/>
        <v>1588.0322937954368</v>
      </c>
      <c r="Q1019" s="6">
        <f t="shared" si="387"/>
        <v>1189.0322937954368</v>
      </c>
      <c r="R1019" s="6">
        <f t="shared" si="388"/>
        <v>1161.0999999999999</v>
      </c>
      <c r="S1019" s="6">
        <f t="shared" si="389"/>
        <v>0</v>
      </c>
      <c r="T1019" s="6">
        <f t="shared" si="390"/>
        <v>0</v>
      </c>
      <c r="U1019" s="6">
        <f t="shared" si="391"/>
        <v>1161.0999999999999</v>
      </c>
      <c r="V1019" s="6" t="str">
        <f>IF(MOD(C1019-Settings!$B$32,Settings!$B$33)&lt;Settings!$B$30,"Up","Down")</f>
        <v>Up</v>
      </c>
      <c r="W1019" s="6">
        <f>IF(OR(E1019&gt;Settings!$B$30,Q1019&gt;Settings!$B$37),0,1)</f>
        <v>0</v>
      </c>
      <c r="X1019" s="6">
        <f>IF(AND(W1019=1,Q1019&lt;=Settings!$B$36),1,0)</f>
        <v>0</v>
      </c>
    </row>
    <row r="1020" spans="1:24" x14ac:dyDescent="0.2">
      <c r="A1020">
        <f>Arrivals!A1020</f>
        <v>9</v>
      </c>
      <c r="B1020">
        <f>Arrivals!B1020</f>
        <v>55</v>
      </c>
      <c r="C1020" s="6">
        <f>Arrivals!F1020</f>
        <v>404</v>
      </c>
      <c r="D1020" s="6">
        <f>Arrivals!K1020</f>
        <v>300</v>
      </c>
      <c r="E1020" s="6">
        <f>D1020*8/ACE_Input!S60+ACE_Input!T60</f>
        <v>24.02</v>
      </c>
      <c r="F1020" s="6">
        <f t="shared" si="381"/>
        <v>404</v>
      </c>
      <c r="G1020" s="6">
        <f t="shared" si="392"/>
        <v>1584.12</v>
      </c>
      <c r="H1020" s="6">
        <f t="shared" si="382"/>
        <v>1584.12</v>
      </c>
      <c r="I1020" s="6">
        <f>MOD(H1020-Settings!$B$32,Settings!$B$33)</f>
        <v>144.11999999999989</v>
      </c>
      <c r="J1020" s="6">
        <f>IF(I1020&lt;Settings!$B$30,IF(Settings!$B$30-I1020&gt;=E1020,H1020,H1020+(Settings!$B$30-I1020)+Settings!$B$31),H1020+(Settings!$B$33-I1020))</f>
        <v>1584.12</v>
      </c>
      <c r="K1020" s="6">
        <f t="shared" si="383"/>
        <v>1608.1399999999999</v>
      </c>
      <c r="L1020" s="6">
        <f t="shared" si="384"/>
        <v>1608.1399999999999</v>
      </c>
      <c r="M1020" s="6">
        <f t="shared" si="393"/>
        <v>1588.0322937954368</v>
      </c>
      <c r="N1020" s="6">
        <f t="shared" si="385"/>
        <v>1608.1399999999999</v>
      </c>
      <c r="O1020" s="6">
        <f>Arrivals!I1020</f>
        <v>16.124430833541144</v>
      </c>
      <c r="P1020" s="6">
        <f t="shared" si="386"/>
        <v>1624.2644308335409</v>
      </c>
      <c r="Q1020" s="6">
        <f t="shared" si="387"/>
        <v>1220.2644308335409</v>
      </c>
      <c r="R1020" s="6">
        <f t="shared" si="388"/>
        <v>1180.1199999999999</v>
      </c>
      <c r="S1020" s="6">
        <f t="shared" si="389"/>
        <v>0</v>
      </c>
      <c r="T1020" s="6">
        <f t="shared" si="390"/>
        <v>0</v>
      </c>
      <c r="U1020" s="6">
        <f t="shared" si="391"/>
        <v>1180.1199999999999</v>
      </c>
      <c r="V1020" s="6" t="str">
        <f>IF(MOD(C1020-Settings!$B$32,Settings!$B$33)&lt;Settings!$B$30,"Up","Down")</f>
        <v>Up</v>
      </c>
      <c r="W1020" s="6">
        <f>IF(OR(E1020&gt;Settings!$B$30,Q1020&gt;Settings!$B$37),0,1)</f>
        <v>0</v>
      </c>
      <c r="X1020" s="6">
        <f>IF(AND(W1020=1,Q1020&lt;=Settings!$B$36),1,0)</f>
        <v>0</v>
      </c>
    </row>
    <row r="1021" spans="1:24" x14ac:dyDescent="0.2">
      <c r="A1021">
        <f>Arrivals!A1021</f>
        <v>9</v>
      </c>
      <c r="B1021">
        <f>Arrivals!B1021</f>
        <v>56</v>
      </c>
      <c r="C1021" s="6">
        <f>Arrivals!F1021</f>
        <v>409</v>
      </c>
      <c r="D1021" s="6">
        <f>Arrivals!K1021</f>
        <v>300</v>
      </c>
      <c r="E1021" s="6">
        <f>D1021*8/ACE_Input!S61+ACE_Input!T61</f>
        <v>24.02</v>
      </c>
      <c r="F1021" s="6">
        <f t="shared" si="381"/>
        <v>409</v>
      </c>
      <c r="G1021" s="6">
        <f t="shared" si="392"/>
        <v>1608.1399999999999</v>
      </c>
      <c r="H1021" s="6">
        <f t="shared" si="382"/>
        <v>1608.1399999999999</v>
      </c>
      <c r="I1021" s="6">
        <f>MOD(H1021-Settings!$B$32,Settings!$B$33)</f>
        <v>168.13999999999987</v>
      </c>
      <c r="J1021" s="6">
        <f>IF(I1021&lt;Settings!$B$30,IF(Settings!$B$30-I1021&gt;=E1021,H1021,H1021+(Settings!$B$30-I1021)+Settings!$B$31),H1021+(Settings!$B$33-I1021))</f>
        <v>1608.1399999999999</v>
      </c>
      <c r="K1021" s="6">
        <f t="shared" si="383"/>
        <v>1632.1599999999999</v>
      </c>
      <c r="L1021" s="6">
        <f t="shared" si="384"/>
        <v>1632.1599999999999</v>
      </c>
      <c r="M1021" s="6">
        <f t="shared" si="393"/>
        <v>1624.2644308335409</v>
      </c>
      <c r="N1021" s="6">
        <f t="shared" si="385"/>
        <v>1632.1599999999999</v>
      </c>
      <c r="O1021" s="6">
        <f>Arrivals!I1021</f>
        <v>3.6408618076725507</v>
      </c>
      <c r="P1021" s="6">
        <f t="shared" si="386"/>
        <v>1635.8008618076724</v>
      </c>
      <c r="Q1021" s="6">
        <f t="shared" si="387"/>
        <v>1226.8008618076724</v>
      </c>
      <c r="R1021" s="6">
        <f t="shared" si="388"/>
        <v>1199.1399999999999</v>
      </c>
      <c r="S1021" s="6">
        <f t="shared" si="389"/>
        <v>0</v>
      </c>
      <c r="T1021" s="6">
        <f t="shared" si="390"/>
        <v>0</v>
      </c>
      <c r="U1021" s="6">
        <f t="shared" si="391"/>
        <v>1199.1399999999999</v>
      </c>
      <c r="V1021" s="6" t="str">
        <f>IF(MOD(C1021-Settings!$B$32,Settings!$B$33)&lt;Settings!$B$30,"Up","Down")</f>
        <v>Up</v>
      </c>
      <c r="W1021" s="6">
        <f>IF(OR(E1021&gt;Settings!$B$30,Q1021&gt;Settings!$B$37),0,1)</f>
        <v>0</v>
      </c>
      <c r="X1021" s="6">
        <f>IF(AND(W1021=1,Q1021&lt;=Settings!$B$36),1,0)</f>
        <v>0</v>
      </c>
    </row>
    <row r="1022" spans="1:24" x14ac:dyDescent="0.2">
      <c r="A1022">
        <f>Arrivals!A1022</f>
        <v>9</v>
      </c>
      <c r="B1022">
        <f>Arrivals!B1022</f>
        <v>57</v>
      </c>
      <c r="C1022" s="6">
        <f>Arrivals!F1022</f>
        <v>414</v>
      </c>
      <c r="D1022" s="6">
        <f>Arrivals!K1022</f>
        <v>300</v>
      </c>
      <c r="E1022" s="6">
        <f>D1022*8/ACE_Input!S62+ACE_Input!T62</f>
        <v>24.02</v>
      </c>
      <c r="F1022" s="6">
        <f t="shared" si="381"/>
        <v>414</v>
      </c>
      <c r="G1022" s="6">
        <f t="shared" si="392"/>
        <v>1632.1599999999999</v>
      </c>
      <c r="H1022" s="6">
        <f t="shared" si="382"/>
        <v>1632.1599999999999</v>
      </c>
      <c r="I1022" s="6">
        <f>MOD(H1022-Settings!$B$32,Settings!$B$33)</f>
        <v>192.15999999999985</v>
      </c>
      <c r="J1022" s="6">
        <f>IF(I1022&lt;Settings!$B$30,IF(Settings!$B$30-I1022&gt;=E1022,H1022,H1022+(Settings!$B$30-I1022)+Settings!$B$31),H1022+(Settings!$B$33-I1022))</f>
        <v>1632.1599999999999</v>
      </c>
      <c r="K1022" s="6">
        <f t="shared" si="383"/>
        <v>1656.1799999999998</v>
      </c>
      <c r="L1022" s="6">
        <f t="shared" si="384"/>
        <v>1656.1799999999998</v>
      </c>
      <c r="M1022" s="6">
        <f t="shared" si="393"/>
        <v>1635.8008618076724</v>
      </c>
      <c r="N1022" s="6">
        <f t="shared" si="385"/>
        <v>1656.1799999999998</v>
      </c>
      <c r="O1022" s="6">
        <f>Arrivals!I1022</f>
        <v>1.0599803575835116</v>
      </c>
      <c r="P1022" s="6">
        <f t="shared" si="386"/>
        <v>1657.2399803575834</v>
      </c>
      <c r="Q1022" s="6">
        <f t="shared" si="387"/>
        <v>1243.2399803575834</v>
      </c>
      <c r="R1022" s="6">
        <f t="shared" si="388"/>
        <v>1218.1599999999999</v>
      </c>
      <c r="S1022" s="6">
        <f t="shared" si="389"/>
        <v>0</v>
      </c>
      <c r="T1022" s="6">
        <f t="shared" si="390"/>
        <v>0</v>
      </c>
      <c r="U1022" s="6">
        <f t="shared" si="391"/>
        <v>1218.1599999999999</v>
      </c>
      <c r="V1022" s="6" t="str">
        <f>IF(MOD(C1022-Settings!$B$32,Settings!$B$33)&lt;Settings!$B$30,"Up","Down")</f>
        <v>Up</v>
      </c>
      <c r="W1022" s="6">
        <f>IF(OR(E1022&gt;Settings!$B$30,Q1022&gt;Settings!$B$37),0,1)</f>
        <v>0</v>
      </c>
      <c r="X1022" s="6">
        <f>IF(AND(W1022=1,Q1022&lt;=Settings!$B$36),1,0)</f>
        <v>0</v>
      </c>
    </row>
    <row r="1023" spans="1:24" x14ac:dyDescent="0.2">
      <c r="A1023">
        <f>Arrivals!A1023</f>
        <v>9</v>
      </c>
      <c r="B1023">
        <f>Arrivals!B1023</f>
        <v>58</v>
      </c>
      <c r="C1023" s="6">
        <f>Arrivals!F1023</f>
        <v>419</v>
      </c>
      <c r="D1023" s="6">
        <f>Arrivals!K1023</f>
        <v>300</v>
      </c>
      <c r="E1023" s="6">
        <f>D1023*8/ACE_Input!S63+ACE_Input!T63</f>
        <v>24.02</v>
      </c>
      <c r="F1023" s="6">
        <f t="shared" si="381"/>
        <v>419</v>
      </c>
      <c r="G1023" s="6">
        <f t="shared" si="392"/>
        <v>1656.1799999999998</v>
      </c>
      <c r="H1023" s="6">
        <f t="shared" si="382"/>
        <v>1656.1799999999998</v>
      </c>
      <c r="I1023" s="6">
        <f>MOD(H1023-Settings!$B$32,Settings!$B$33)</f>
        <v>216.17999999999984</v>
      </c>
      <c r="J1023" s="6">
        <f>IF(I1023&lt;Settings!$B$30,IF(Settings!$B$30-I1023&gt;=E1023,H1023,H1023+(Settings!$B$30-I1023)+Settings!$B$31),H1023+(Settings!$B$33-I1023))</f>
        <v>1656.1799999999998</v>
      </c>
      <c r="K1023" s="6">
        <f t="shared" si="383"/>
        <v>1680.1999999999998</v>
      </c>
      <c r="L1023" s="6">
        <f t="shared" si="384"/>
        <v>1680.1999999999998</v>
      </c>
      <c r="M1023" s="6">
        <f t="shared" si="393"/>
        <v>1657.2399803575834</v>
      </c>
      <c r="N1023" s="6">
        <f t="shared" si="385"/>
        <v>1680.1999999999998</v>
      </c>
      <c r="O1023" s="6">
        <f>Arrivals!I1023</f>
        <v>2.8231400686321471</v>
      </c>
      <c r="P1023" s="6">
        <f t="shared" si="386"/>
        <v>1683.0231400686321</v>
      </c>
      <c r="Q1023" s="6">
        <f t="shared" si="387"/>
        <v>1264.0231400686321</v>
      </c>
      <c r="R1023" s="6">
        <f t="shared" si="388"/>
        <v>1237.1799999999998</v>
      </c>
      <c r="S1023" s="6">
        <f t="shared" si="389"/>
        <v>0</v>
      </c>
      <c r="T1023" s="6">
        <f t="shared" si="390"/>
        <v>0</v>
      </c>
      <c r="U1023" s="6">
        <f t="shared" si="391"/>
        <v>1237.1799999999998</v>
      </c>
      <c r="V1023" s="6" t="str">
        <f>IF(MOD(C1023-Settings!$B$32,Settings!$B$33)&lt;Settings!$B$30,"Up","Down")</f>
        <v>Up</v>
      </c>
      <c r="W1023" s="6">
        <f>IF(OR(E1023&gt;Settings!$B$30,Q1023&gt;Settings!$B$37),0,1)</f>
        <v>0</v>
      </c>
      <c r="X1023" s="6">
        <f>IF(AND(W1023=1,Q1023&lt;=Settings!$B$36),1,0)</f>
        <v>0</v>
      </c>
    </row>
    <row r="1024" spans="1:24" x14ac:dyDescent="0.2">
      <c r="A1024">
        <f>Arrivals!A1024</f>
        <v>9</v>
      </c>
      <c r="B1024">
        <f>Arrivals!B1024</f>
        <v>59</v>
      </c>
      <c r="C1024" s="6">
        <f>Arrivals!F1024</f>
        <v>424</v>
      </c>
      <c r="D1024" s="6">
        <f>Arrivals!K1024</f>
        <v>300</v>
      </c>
      <c r="E1024" s="6">
        <f>D1024*8/ACE_Input!S64+ACE_Input!T64</f>
        <v>24.02</v>
      </c>
      <c r="F1024" s="6">
        <f t="shared" si="381"/>
        <v>424</v>
      </c>
      <c r="G1024" s="6">
        <f t="shared" si="392"/>
        <v>1680.1999999999998</v>
      </c>
      <c r="H1024" s="6">
        <f t="shared" si="382"/>
        <v>1680.1999999999998</v>
      </c>
      <c r="I1024" s="6">
        <f>MOD(H1024-Settings!$B$32,Settings!$B$33)</f>
        <v>240.19999999999982</v>
      </c>
      <c r="J1024" s="6">
        <f>IF(I1024&lt;Settings!$B$30,IF(Settings!$B$30-I1024&gt;=E1024,H1024,H1024+(Settings!$B$30-I1024)+Settings!$B$31),H1024+(Settings!$B$33-I1024))</f>
        <v>1680.1999999999998</v>
      </c>
      <c r="K1024" s="6">
        <f t="shared" si="383"/>
        <v>1704.2199999999998</v>
      </c>
      <c r="L1024" s="6">
        <f t="shared" si="384"/>
        <v>1704.2199999999998</v>
      </c>
      <c r="M1024" s="6">
        <f t="shared" si="393"/>
        <v>1683.0231400686321</v>
      </c>
      <c r="N1024" s="6">
        <f t="shared" si="385"/>
        <v>1704.2199999999998</v>
      </c>
      <c r="O1024" s="6">
        <f>Arrivals!I1024</f>
        <v>0.13752037021710287</v>
      </c>
      <c r="P1024" s="6">
        <f t="shared" si="386"/>
        <v>1704.3575203702169</v>
      </c>
      <c r="Q1024" s="6">
        <f t="shared" si="387"/>
        <v>1280.3575203702169</v>
      </c>
      <c r="R1024" s="6">
        <f t="shared" si="388"/>
        <v>1256.1999999999998</v>
      </c>
      <c r="S1024" s="6">
        <f t="shared" si="389"/>
        <v>0</v>
      </c>
      <c r="T1024" s="6">
        <f t="shared" si="390"/>
        <v>0</v>
      </c>
      <c r="U1024" s="6">
        <f t="shared" si="391"/>
        <v>1256.1999999999998</v>
      </c>
      <c r="V1024" s="6" t="str">
        <f>IF(MOD(C1024-Settings!$B$32,Settings!$B$33)&lt;Settings!$B$30,"Up","Down")</f>
        <v>Up</v>
      </c>
      <c r="W1024" s="6">
        <f>IF(OR(E1024&gt;Settings!$B$30,Q1024&gt;Settings!$B$37),0,1)</f>
        <v>0</v>
      </c>
      <c r="X1024" s="6">
        <f>IF(AND(W1024=1,Q1024&lt;=Settings!$B$36),1,0)</f>
        <v>0</v>
      </c>
    </row>
    <row r="1025" spans="1:24" x14ac:dyDescent="0.2">
      <c r="A1025">
        <f>Arrivals!A1025</f>
        <v>9</v>
      </c>
      <c r="B1025">
        <f>Arrivals!B1025</f>
        <v>60</v>
      </c>
      <c r="C1025" s="6">
        <f>Arrivals!F1025</f>
        <v>429</v>
      </c>
      <c r="D1025" s="6">
        <f>Arrivals!K1025</f>
        <v>300</v>
      </c>
      <c r="E1025" s="6">
        <f>D1025*8/ACE_Input!S65+ACE_Input!T65</f>
        <v>24.02</v>
      </c>
      <c r="F1025" s="6">
        <f t="shared" si="381"/>
        <v>429</v>
      </c>
      <c r="G1025" s="6">
        <f t="shared" si="392"/>
        <v>1704.2199999999998</v>
      </c>
      <c r="H1025" s="6">
        <f t="shared" si="382"/>
        <v>1704.2199999999998</v>
      </c>
      <c r="I1025" s="6">
        <f>MOD(H1025-Settings!$B$32,Settings!$B$33)</f>
        <v>264.2199999999998</v>
      </c>
      <c r="J1025" s="6">
        <f>IF(I1025&lt;Settings!$B$30,IF(Settings!$B$30-I1025&gt;=E1025,H1025,H1025+(Settings!$B$30-I1025)+Settings!$B$31),H1025+(Settings!$B$33-I1025))</f>
        <v>1704.2199999999998</v>
      </c>
      <c r="K1025" s="6">
        <f t="shared" si="383"/>
        <v>1728.2399999999998</v>
      </c>
      <c r="L1025" s="6">
        <f t="shared" si="384"/>
        <v>1728.2399999999998</v>
      </c>
      <c r="M1025" s="6">
        <f t="shared" si="393"/>
        <v>1704.3575203702169</v>
      </c>
      <c r="N1025" s="6">
        <f t="shared" si="385"/>
        <v>1728.2399999999998</v>
      </c>
      <c r="O1025" s="6">
        <f>Arrivals!I1025</f>
        <v>2.4939019363899428E-2</v>
      </c>
      <c r="P1025" s="6">
        <f t="shared" si="386"/>
        <v>1728.2649390193637</v>
      </c>
      <c r="Q1025" s="6">
        <f t="shared" si="387"/>
        <v>1299.2649390193637</v>
      </c>
      <c r="R1025" s="6">
        <f t="shared" si="388"/>
        <v>1275.2199999999998</v>
      </c>
      <c r="S1025" s="6">
        <f t="shared" si="389"/>
        <v>0</v>
      </c>
      <c r="T1025" s="6">
        <f t="shared" si="390"/>
        <v>0</v>
      </c>
      <c r="U1025" s="6">
        <f t="shared" si="391"/>
        <v>1275.2199999999998</v>
      </c>
      <c r="V1025" s="6" t="str">
        <f>IF(MOD(C1025-Settings!$B$32,Settings!$B$33)&lt;Settings!$B$30,"Up","Down")</f>
        <v>Up</v>
      </c>
      <c r="W1025" s="6">
        <f>IF(OR(E1025&gt;Settings!$B$30,Q1025&gt;Settings!$B$37),0,1)</f>
        <v>0</v>
      </c>
      <c r="X1025" s="6">
        <f>IF(AND(W1025=1,Q1025&lt;=Settings!$B$36),1,0)</f>
        <v>0</v>
      </c>
    </row>
    <row r="1026" spans="1:24" x14ac:dyDescent="0.2">
      <c r="A1026">
        <f>Arrivals!A1026</f>
        <v>9</v>
      </c>
      <c r="B1026">
        <f>Arrivals!B1026</f>
        <v>61</v>
      </c>
      <c r="C1026" s="6">
        <f>Arrivals!F1026</f>
        <v>434</v>
      </c>
      <c r="D1026" s="6">
        <f>Arrivals!K1026</f>
        <v>300</v>
      </c>
      <c r="E1026" s="6">
        <f>D1026*8/ACE_Input!S66+ACE_Input!T66</f>
        <v>24.02</v>
      </c>
      <c r="F1026" s="6">
        <f t="shared" si="381"/>
        <v>434</v>
      </c>
      <c r="G1026" s="6">
        <f t="shared" si="392"/>
        <v>1728.2399999999998</v>
      </c>
      <c r="H1026" s="6">
        <f t="shared" si="382"/>
        <v>1728.2399999999998</v>
      </c>
      <c r="I1026" s="6">
        <f>MOD(H1026-Settings!$B$32,Settings!$B$33)</f>
        <v>288.23999999999978</v>
      </c>
      <c r="J1026" s="6">
        <f>IF(I1026&lt;Settings!$B$30,IF(Settings!$B$30-I1026&gt;=E1026,H1026,H1026+(Settings!$B$30-I1026)+Settings!$B$31),H1026+(Settings!$B$33-I1026))</f>
        <v>1728.2399999999998</v>
      </c>
      <c r="K1026" s="6">
        <f t="shared" si="383"/>
        <v>1752.2599999999998</v>
      </c>
      <c r="L1026" s="6">
        <f t="shared" si="384"/>
        <v>1752.2599999999998</v>
      </c>
      <c r="M1026" s="6">
        <f t="shared" si="393"/>
        <v>1728.2649390193637</v>
      </c>
      <c r="N1026" s="6">
        <f t="shared" si="385"/>
        <v>1752.2599999999998</v>
      </c>
      <c r="O1026" s="6">
        <f>Arrivals!I1026</f>
        <v>2.4761695890392192</v>
      </c>
      <c r="P1026" s="6">
        <f t="shared" si="386"/>
        <v>1754.736169589039</v>
      </c>
      <c r="Q1026" s="6">
        <f t="shared" si="387"/>
        <v>1320.736169589039</v>
      </c>
      <c r="R1026" s="6">
        <f t="shared" si="388"/>
        <v>1294.2399999999998</v>
      </c>
      <c r="S1026" s="6">
        <f t="shared" si="389"/>
        <v>0</v>
      </c>
      <c r="T1026" s="6">
        <f t="shared" si="390"/>
        <v>0</v>
      </c>
      <c r="U1026" s="6">
        <f t="shared" si="391"/>
        <v>1294.2399999999998</v>
      </c>
      <c r="V1026" s="6" t="str">
        <f>IF(MOD(C1026-Settings!$B$32,Settings!$B$33)&lt;Settings!$B$30,"Up","Down")</f>
        <v>Up</v>
      </c>
      <c r="W1026" s="6">
        <f>IF(OR(E1026&gt;Settings!$B$30,Q1026&gt;Settings!$B$37),0,1)</f>
        <v>0</v>
      </c>
      <c r="X1026" s="6">
        <f>IF(AND(W1026=1,Q1026&lt;=Settings!$B$36),1,0)</f>
        <v>0</v>
      </c>
    </row>
    <row r="1027" spans="1:24" x14ac:dyDescent="0.2">
      <c r="A1027">
        <f>Arrivals!A1027</f>
        <v>9</v>
      </c>
      <c r="B1027">
        <f>Arrivals!B1027</f>
        <v>62</v>
      </c>
      <c r="C1027" s="6">
        <f>Arrivals!F1027</f>
        <v>439</v>
      </c>
      <c r="D1027" s="6">
        <f>Arrivals!K1027</f>
        <v>300</v>
      </c>
      <c r="E1027" s="6">
        <f>D1027*8/ACE_Input!S67+ACE_Input!T67</f>
        <v>24.02</v>
      </c>
      <c r="F1027" s="6">
        <f t="shared" si="381"/>
        <v>439</v>
      </c>
      <c r="G1027" s="6">
        <f t="shared" si="392"/>
        <v>1752.2599999999998</v>
      </c>
      <c r="H1027" s="6">
        <f t="shared" si="382"/>
        <v>1752.2599999999998</v>
      </c>
      <c r="I1027" s="6">
        <f>MOD(H1027-Settings!$B$32,Settings!$B$33)</f>
        <v>312.25999999999976</v>
      </c>
      <c r="J1027" s="6">
        <f>IF(I1027&lt;Settings!$B$30,IF(Settings!$B$30-I1027&gt;=E1027,H1027,H1027+(Settings!$B$30-I1027)+Settings!$B$31),H1027+(Settings!$B$33-I1027))</f>
        <v>1752.2599999999998</v>
      </c>
      <c r="K1027" s="6">
        <f t="shared" si="383"/>
        <v>1776.2799999999997</v>
      </c>
      <c r="L1027" s="6">
        <f t="shared" si="384"/>
        <v>1776.2799999999997</v>
      </c>
      <c r="M1027" s="6">
        <f t="shared" si="393"/>
        <v>1754.736169589039</v>
      </c>
      <c r="N1027" s="6">
        <f t="shared" si="385"/>
        <v>1776.2799999999997</v>
      </c>
      <c r="O1027" s="6">
        <f>Arrivals!I1027</f>
        <v>0.4472223424001191</v>
      </c>
      <c r="P1027" s="6">
        <f t="shared" si="386"/>
        <v>1776.7272223424</v>
      </c>
      <c r="Q1027" s="6">
        <f t="shared" si="387"/>
        <v>1337.7272223424</v>
      </c>
      <c r="R1027" s="6">
        <f t="shared" si="388"/>
        <v>1313.2599999999998</v>
      </c>
      <c r="S1027" s="6">
        <f t="shared" si="389"/>
        <v>0</v>
      </c>
      <c r="T1027" s="6">
        <f t="shared" si="390"/>
        <v>0</v>
      </c>
      <c r="U1027" s="6">
        <f t="shared" si="391"/>
        <v>1313.2599999999998</v>
      </c>
      <c r="V1027" s="6" t="str">
        <f>IF(MOD(C1027-Settings!$B$32,Settings!$B$33)&lt;Settings!$B$30,"Up","Down")</f>
        <v>Up</v>
      </c>
      <c r="W1027" s="6">
        <f>IF(OR(E1027&gt;Settings!$B$30,Q1027&gt;Settings!$B$37),0,1)</f>
        <v>0</v>
      </c>
      <c r="X1027" s="6">
        <f>IF(AND(W1027=1,Q1027&lt;=Settings!$B$36),1,0)</f>
        <v>0</v>
      </c>
    </row>
    <row r="1028" spans="1:24" x14ac:dyDescent="0.2">
      <c r="A1028">
        <f>Arrivals!A1028</f>
        <v>9</v>
      </c>
      <c r="B1028">
        <f>Arrivals!B1028</f>
        <v>63</v>
      </c>
      <c r="C1028" s="6">
        <f>Arrivals!F1028</f>
        <v>444</v>
      </c>
      <c r="D1028" s="6">
        <f>Arrivals!K1028</f>
        <v>300</v>
      </c>
      <c r="E1028" s="6">
        <f>D1028*8/ACE_Input!S68+ACE_Input!T68</f>
        <v>24.02</v>
      </c>
      <c r="F1028" s="6">
        <f t="shared" si="381"/>
        <v>444</v>
      </c>
      <c r="G1028" s="6">
        <f t="shared" si="392"/>
        <v>1776.2799999999997</v>
      </c>
      <c r="H1028" s="6">
        <f t="shared" si="382"/>
        <v>1776.2799999999997</v>
      </c>
      <c r="I1028" s="6">
        <f>MOD(H1028-Settings!$B$32,Settings!$B$33)</f>
        <v>336.27999999999975</v>
      </c>
      <c r="J1028" s="6">
        <f>IF(I1028&lt;Settings!$B$30,IF(Settings!$B$30-I1028&gt;=E1028,H1028,H1028+(Settings!$B$30-I1028)+Settings!$B$31),H1028+(Settings!$B$33-I1028))</f>
        <v>1776.2799999999997</v>
      </c>
      <c r="K1028" s="6">
        <f t="shared" si="383"/>
        <v>1800.2999999999997</v>
      </c>
      <c r="L1028" s="6">
        <f t="shared" si="384"/>
        <v>1800.2999999999997</v>
      </c>
      <c r="M1028" s="6">
        <f t="shared" si="393"/>
        <v>1776.7272223424</v>
      </c>
      <c r="N1028" s="6">
        <f t="shared" si="385"/>
        <v>1800.2999999999997</v>
      </c>
      <c r="O1028" s="6">
        <f>Arrivals!I1028</f>
        <v>8.3683304005686114</v>
      </c>
      <c r="P1028" s="6">
        <f t="shared" si="386"/>
        <v>1808.6683304005683</v>
      </c>
      <c r="Q1028" s="6">
        <f t="shared" si="387"/>
        <v>1364.6683304005683</v>
      </c>
      <c r="R1028" s="6">
        <f t="shared" si="388"/>
        <v>1332.2799999999997</v>
      </c>
      <c r="S1028" s="6">
        <f t="shared" si="389"/>
        <v>0</v>
      </c>
      <c r="T1028" s="6">
        <f t="shared" si="390"/>
        <v>0</v>
      </c>
      <c r="U1028" s="6">
        <f t="shared" si="391"/>
        <v>1332.2799999999997</v>
      </c>
      <c r="V1028" s="6" t="str">
        <f>IF(MOD(C1028-Settings!$B$32,Settings!$B$33)&lt;Settings!$B$30,"Up","Down")</f>
        <v>Up</v>
      </c>
      <c r="W1028" s="6">
        <f>IF(OR(E1028&gt;Settings!$B$30,Q1028&gt;Settings!$B$37),0,1)</f>
        <v>0</v>
      </c>
      <c r="X1028" s="6">
        <f>IF(AND(W1028=1,Q1028&lt;=Settings!$B$36),1,0)</f>
        <v>0</v>
      </c>
    </row>
    <row r="1029" spans="1:24" x14ac:dyDescent="0.2">
      <c r="A1029">
        <f>Arrivals!A1029</f>
        <v>9</v>
      </c>
      <c r="B1029">
        <f>Arrivals!B1029</f>
        <v>64</v>
      </c>
      <c r="C1029" s="6">
        <f>Arrivals!F1029</f>
        <v>449</v>
      </c>
      <c r="D1029" s="6">
        <f>Arrivals!K1029</f>
        <v>300</v>
      </c>
      <c r="E1029" s="6">
        <f>D1029*8/ACE_Input!S69+ACE_Input!T69</f>
        <v>24.02</v>
      </c>
      <c r="F1029" s="6">
        <f t="shared" si="381"/>
        <v>449</v>
      </c>
      <c r="G1029" s="6">
        <f t="shared" si="392"/>
        <v>1800.2999999999997</v>
      </c>
      <c r="H1029" s="6">
        <f t="shared" si="382"/>
        <v>1800.2999999999997</v>
      </c>
      <c r="I1029" s="6">
        <f>MOD(H1029-Settings!$B$32,Settings!$B$33)</f>
        <v>360.29999999999973</v>
      </c>
      <c r="J1029" s="6">
        <f>IF(I1029&lt;Settings!$B$30,IF(Settings!$B$30-I1029&gt;=E1029,H1029,H1029+(Settings!$B$30-I1029)+Settings!$B$31),H1029+(Settings!$B$33-I1029))</f>
        <v>1800.2999999999997</v>
      </c>
      <c r="K1029" s="6">
        <f t="shared" si="383"/>
        <v>1824.3199999999997</v>
      </c>
      <c r="L1029" s="6">
        <f t="shared" si="384"/>
        <v>1824.3199999999997</v>
      </c>
      <c r="M1029" s="6">
        <f t="shared" si="393"/>
        <v>1808.6683304005683</v>
      </c>
      <c r="N1029" s="6">
        <f t="shared" si="385"/>
        <v>1824.3199999999997</v>
      </c>
      <c r="O1029" s="6">
        <f>Arrivals!I1029</f>
        <v>2.8955199071720603</v>
      </c>
      <c r="P1029" s="6">
        <f t="shared" si="386"/>
        <v>1827.2155199071717</v>
      </c>
      <c r="Q1029" s="6">
        <f t="shared" si="387"/>
        <v>1378.2155199071717</v>
      </c>
      <c r="R1029" s="6">
        <f t="shared" si="388"/>
        <v>1351.2999999999997</v>
      </c>
      <c r="S1029" s="6">
        <f t="shared" si="389"/>
        <v>0</v>
      </c>
      <c r="T1029" s="6">
        <f t="shared" si="390"/>
        <v>0</v>
      </c>
      <c r="U1029" s="6">
        <f t="shared" si="391"/>
        <v>1351.2999999999997</v>
      </c>
      <c r="V1029" s="6" t="str">
        <f>IF(MOD(C1029-Settings!$B$32,Settings!$B$33)&lt;Settings!$B$30,"Up","Down")</f>
        <v>Up</v>
      </c>
      <c r="W1029" s="6">
        <f>IF(OR(E1029&gt;Settings!$B$30,Q1029&gt;Settings!$B$37),0,1)</f>
        <v>0</v>
      </c>
      <c r="X1029" s="6">
        <f>IF(AND(W1029=1,Q1029&lt;=Settings!$B$36),1,0)</f>
        <v>0</v>
      </c>
    </row>
    <row r="1030" spans="1:24" x14ac:dyDescent="0.2">
      <c r="A1030">
        <f>Arrivals!A1030</f>
        <v>9</v>
      </c>
      <c r="B1030">
        <f>Arrivals!B1030</f>
        <v>65</v>
      </c>
      <c r="C1030" s="6">
        <f>Arrivals!F1030</f>
        <v>454</v>
      </c>
      <c r="D1030" s="6">
        <f>Arrivals!K1030</f>
        <v>300</v>
      </c>
      <c r="E1030" s="6">
        <f>D1030*8/ACE_Input!S70+ACE_Input!T70</f>
        <v>24.02</v>
      </c>
      <c r="F1030" s="6">
        <f t="shared" ref="F1030:F1065" si="394">C1030</f>
        <v>454</v>
      </c>
      <c r="G1030" s="6">
        <f t="shared" si="392"/>
        <v>1824.3199999999997</v>
      </c>
      <c r="H1030" s="6">
        <f t="shared" ref="H1030:H1061" si="395">MAX(F1030,G1030)</f>
        <v>1824.3199999999997</v>
      </c>
      <c r="I1030" s="6">
        <f>MOD(H1030-Settings!$B$32,Settings!$B$33)</f>
        <v>384.31999999999971</v>
      </c>
      <c r="J1030" s="6">
        <f>IF(I1030&lt;Settings!$B$30,IF(Settings!$B$30-I1030&gt;=E1030,H1030,H1030+(Settings!$B$30-I1030)+Settings!$B$31),H1030+(Settings!$B$33-I1030))</f>
        <v>1824.3199999999997</v>
      </c>
      <c r="K1030" s="6">
        <f t="shared" ref="K1030:K1061" si="396">J1030+E1030</f>
        <v>1848.3399999999997</v>
      </c>
      <c r="L1030" s="6">
        <f t="shared" ref="L1030:L1061" si="397">K1030</f>
        <v>1848.3399999999997</v>
      </c>
      <c r="M1030" s="6">
        <f t="shared" si="393"/>
        <v>1827.2155199071717</v>
      </c>
      <c r="N1030" s="6">
        <f t="shared" ref="N1030:N1061" si="398">MAX(L1030,M1030)</f>
        <v>1848.3399999999997</v>
      </c>
      <c r="O1030" s="6">
        <f>Arrivals!I1030</f>
        <v>7.2029969624919366</v>
      </c>
      <c r="P1030" s="6">
        <f t="shared" ref="P1030:P1061" si="399">N1030+O1030</f>
        <v>1855.5429969624915</v>
      </c>
      <c r="Q1030" s="6">
        <f t="shared" ref="Q1030:Q1061" si="400">P1030-C1030</f>
        <v>1401.5429969624915</v>
      </c>
      <c r="R1030" s="6">
        <f t="shared" ref="R1030:R1065" si="401">H1030-F1030</f>
        <v>1370.3199999999997</v>
      </c>
      <c r="S1030" s="6">
        <f t="shared" ref="S1030:S1065" si="402">J1030-H1030</f>
        <v>0</v>
      </c>
      <c r="T1030" s="6">
        <f t="shared" ref="T1030:T1065" si="403">N1030-L1030</f>
        <v>0</v>
      </c>
      <c r="U1030" s="6">
        <f t="shared" ref="U1030:U1061" si="404">R1030+S1030+T1030</f>
        <v>1370.3199999999997</v>
      </c>
      <c r="V1030" s="6" t="str">
        <f>IF(MOD(C1030-Settings!$B$32,Settings!$B$33)&lt;Settings!$B$30,"Up","Down")</f>
        <v>Up</v>
      </c>
      <c r="W1030" s="6">
        <f>IF(OR(E1030&gt;Settings!$B$30,Q1030&gt;Settings!$B$37),0,1)</f>
        <v>0</v>
      </c>
      <c r="X1030" s="6">
        <f>IF(AND(W1030=1,Q1030&lt;=Settings!$B$36),1,0)</f>
        <v>0</v>
      </c>
    </row>
    <row r="1031" spans="1:24" x14ac:dyDescent="0.2">
      <c r="A1031">
        <f>Arrivals!A1031</f>
        <v>9</v>
      </c>
      <c r="B1031">
        <f>Arrivals!B1031</f>
        <v>66</v>
      </c>
      <c r="C1031" s="6">
        <f>Arrivals!F1031</f>
        <v>459</v>
      </c>
      <c r="D1031" s="6">
        <f>Arrivals!K1031</f>
        <v>300</v>
      </c>
      <c r="E1031" s="6">
        <f>D1031*8/ACE_Input!S71+ACE_Input!T71</f>
        <v>24.02</v>
      </c>
      <c r="F1031" s="6">
        <f t="shared" si="394"/>
        <v>459</v>
      </c>
      <c r="G1031" s="6">
        <f t="shared" ref="G1031:G1065" si="405">K1030</f>
        <v>1848.3399999999997</v>
      </c>
      <c r="H1031" s="6">
        <f t="shared" si="395"/>
        <v>1848.3399999999997</v>
      </c>
      <c r="I1031" s="6">
        <f>MOD(H1031-Settings!$B$32,Settings!$B$33)</f>
        <v>408.33999999999969</v>
      </c>
      <c r="J1031" s="6">
        <f>IF(I1031&lt;Settings!$B$30,IF(Settings!$B$30-I1031&gt;=E1031,H1031,H1031+(Settings!$B$30-I1031)+Settings!$B$31),H1031+(Settings!$B$33-I1031))</f>
        <v>1848.3399999999997</v>
      </c>
      <c r="K1031" s="6">
        <f t="shared" si="396"/>
        <v>1872.3599999999997</v>
      </c>
      <c r="L1031" s="6">
        <f t="shared" si="397"/>
        <v>1872.3599999999997</v>
      </c>
      <c r="M1031" s="6">
        <f t="shared" ref="M1031:M1065" si="406">P1030</f>
        <v>1855.5429969624915</v>
      </c>
      <c r="N1031" s="6">
        <f t="shared" si="398"/>
        <v>1872.3599999999997</v>
      </c>
      <c r="O1031" s="6">
        <f>Arrivals!I1031</f>
        <v>9.3046514766355521</v>
      </c>
      <c r="P1031" s="6">
        <f t="shared" si="399"/>
        <v>1881.6646514766353</v>
      </c>
      <c r="Q1031" s="6">
        <f t="shared" si="400"/>
        <v>1422.6646514766353</v>
      </c>
      <c r="R1031" s="6">
        <f t="shared" si="401"/>
        <v>1389.3399999999997</v>
      </c>
      <c r="S1031" s="6">
        <f t="shared" si="402"/>
        <v>0</v>
      </c>
      <c r="T1031" s="6">
        <f t="shared" si="403"/>
        <v>0</v>
      </c>
      <c r="U1031" s="6">
        <f t="shared" si="404"/>
        <v>1389.3399999999997</v>
      </c>
      <c r="V1031" s="6" t="str">
        <f>IF(MOD(C1031-Settings!$B$32,Settings!$B$33)&lt;Settings!$B$30,"Up","Down")</f>
        <v>Up</v>
      </c>
      <c r="W1031" s="6">
        <f>IF(OR(E1031&gt;Settings!$B$30,Q1031&gt;Settings!$B$37),0,1)</f>
        <v>0</v>
      </c>
      <c r="X1031" s="6">
        <f>IF(AND(W1031=1,Q1031&lt;=Settings!$B$36),1,0)</f>
        <v>0</v>
      </c>
    </row>
    <row r="1032" spans="1:24" x14ac:dyDescent="0.2">
      <c r="A1032">
        <f>Arrivals!A1032</f>
        <v>9</v>
      </c>
      <c r="B1032">
        <f>Arrivals!B1032</f>
        <v>67</v>
      </c>
      <c r="C1032" s="6">
        <f>Arrivals!F1032</f>
        <v>474</v>
      </c>
      <c r="D1032" s="6">
        <f>Arrivals!K1032</f>
        <v>300</v>
      </c>
      <c r="E1032" s="6">
        <f>D1032*8/ACE_Input!S72+ACE_Input!T72</f>
        <v>24.02</v>
      </c>
      <c r="F1032" s="6">
        <f t="shared" si="394"/>
        <v>474</v>
      </c>
      <c r="G1032" s="6">
        <f t="shared" si="405"/>
        <v>1872.3599999999997</v>
      </c>
      <c r="H1032" s="6">
        <f t="shared" si="395"/>
        <v>1872.3599999999997</v>
      </c>
      <c r="I1032" s="6">
        <f>MOD(H1032-Settings!$B$32,Settings!$B$33)</f>
        <v>432.35999999999967</v>
      </c>
      <c r="J1032" s="6">
        <f>IF(I1032&lt;Settings!$B$30,IF(Settings!$B$30-I1032&gt;=E1032,H1032,H1032+(Settings!$B$30-I1032)+Settings!$B$31),H1032+(Settings!$B$33-I1032))</f>
        <v>1872.3599999999997</v>
      </c>
      <c r="K1032" s="6">
        <f t="shared" si="396"/>
        <v>1896.3799999999997</v>
      </c>
      <c r="L1032" s="6">
        <f t="shared" si="397"/>
        <v>1896.3799999999997</v>
      </c>
      <c r="M1032" s="6">
        <f t="shared" si="406"/>
        <v>1881.6646514766353</v>
      </c>
      <c r="N1032" s="6">
        <f t="shared" si="398"/>
        <v>1896.3799999999997</v>
      </c>
      <c r="O1032" s="6">
        <f>Arrivals!I1032</f>
        <v>2.4919340927591036</v>
      </c>
      <c r="P1032" s="6">
        <f t="shared" si="399"/>
        <v>1898.8719340927587</v>
      </c>
      <c r="Q1032" s="6">
        <f t="shared" si="400"/>
        <v>1424.8719340927587</v>
      </c>
      <c r="R1032" s="6">
        <f t="shared" si="401"/>
        <v>1398.3599999999997</v>
      </c>
      <c r="S1032" s="6">
        <f t="shared" si="402"/>
        <v>0</v>
      </c>
      <c r="T1032" s="6">
        <f t="shared" si="403"/>
        <v>0</v>
      </c>
      <c r="U1032" s="6">
        <f t="shared" si="404"/>
        <v>1398.3599999999997</v>
      </c>
      <c r="V1032" s="6" t="str">
        <f>IF(MOD(C1032-Settings!$B$32,Settings!$B$33)&lt;Settings!$B$30,"Up","Down")</f>
        <v>Up</v>
      </c>
      <c r="W1032" s="6">
        <f>IF(OR(E1032&gt;Settings!$B$30,Q1032&gt;Settings!$B$37),0,1)</f>
        <v>0</v>
      </c>
      <c r="X1032" s="6">
        <f>IF(AND(W1032=1,Q1032&lt;=Settings!$B$36),1,0)</f>
        <v>0</v>
      </c>
    </row>
    <row r="1033" spans="1:24" x14ac:dyDescent="0.2">
      <c r="A1033">
        <f>Arrivals!A1033</f>
        <v>9</v>
      </c>
      <c r="B1033">
        <f>Arrivals!B1033</f>
        <v>68</v>
      </c>
      <c r="C1033" s="6">
        <f>Arrivals!F1033</f>
        <v>479</v>
      </c>
      <c r="D1033" s="6">
        <f>Arrivals!K1033</f>
        <v>300</v>
      </c>
      <c r="E1033" s="6">
        <f>D1033*8/ACE_Input!S73+ACE_Input!T73</f>
        <v>24.02</v>
      </c>
      <c r="F1033" s="6">
        <f t="shared" si="394"/>
        <v>479</v>
      </c>
      <c r="G1033" s="6">
        <f t="shared" si="405"/>
        <v>1896.3799999999997</v>
      </c>
      <c r="H1033" s="6">
        <f t="shared" si="395"/>
        <v>1896.3799999999997</v>
      </c>
      <c r="I1033" s="6">
        <f>MOD(H1033-Settings!$B$32,Settings!$B$33)</f>
        <v>456.37999999999965</v>
      </c>
      <c r="J1033" s="6">
        <f>IF(I1033&lt;Settings!$B$30,IF(Settings!$B$30-I1033&gt;=E1033,H1033,H1033+(Settings!$B$30-I1033)+Settings!$B$31),H1033+(Settings!$B$33-I1033))</f>
        <v>1896.3799999999997</v>
      </c>
      <c r="K1033" s="6">
        <f t="shared" si="396"/>
        <v>1920.3999999999996</v>
      </c>
      <c r="L1033" s="6">
        <f t="shared" si="397"/>
        <v>1920.3999999999996</v>
      </c>
      <c r="M1033" s="6">
        <f t="shared" si="406"/>
        <v>1898.8719340927587</v>
      </c>
      <c r="N1033" s="6">
        <f t="shared" si="398"/>
        <v>1920.3999999999996</v>
      </c>
      <c r="O1033" s="6">
        <f>Arrivals!I1033</f>
        <v>4.8475266111106912</v>
      </c>
      <c r="P1033" s="6">
        <f t="shared" si="399"/>
        <v>1925.2475266111103</v>
      </c>
      <c r="Q1033" s="6">
        <f t="shared" si="400"/>
        <v>1446.2475266111103</v>
      </c>
      <c r="R1033" s="6">
        <f t="shared" si="401"/>
        <v>1417.3799999999997</v>
      </c>
      <c r="S1033" s="6">
        <f t="shared" si="402"/>
        <v>0</v>
      </c>
      <c r="T1033" s="6">
        <f t="shared" si="403"/>
        <v>0</v>
      </c>
      <c r="U1033" s="6">
        <f t="shared" si="404"/>
        <v>1417.3799999999997</v>
      </c>
      <c r="V1033" s="6" t="str">
        <f>IF(MOD(C1033-Settings!$B$32,Settings!$B$33)&lt;Settings!$B$30,"Up","Down")</f>
        <v>Up</v>
      </c>
      <c r="W1033" s="6">
        <f>IF(OR(E1033&gt;Settings!$B$30,Q1033&gt;Settings!$B$37),0,1)</f>
        <v>0</v>
      </c>
      <c r="X1033" s="6">
        <f>IF(AND(W1033=1,Q1033&lt;=Settings!$B$36),1,0)</f>
        <v>0</v>
      </c>
    </row>
    <row r="1034" spans="1:24" x14ac:dyDescent="0.2">
      <c r="A1034">
        <f>Arrivals!A1034</f>
        <v>9</v>
      </c>
      <c r="B1034">
        <f>Arrivals!B1034</f>
        <v>69</v>
      </c>
      <c r="C1034" s="6">
        <f>Arrivals!F1034</f>
        <v>494</v>
      </c>
      <c r="D1034" s="6">
        <f>Arrivals!K1034</f>
        <v>300</v>
      </c>
      <c r="E1034" s="6">
        <f>D1034*8/ACE_Input!S74+ACE_Input!T74</f>
        <v>24.02</v>
      </c>
      <c r="F1034" s="6">
        <f t="shared" si="394"/>
        <v>494</v>
      </c>
      <c r="G1034" s="6">
        <f t="shared" si="405"/>
        <v>1920.3999999999996</v>
      </c>
      <c r="H1034" s="6">
        <f t="shared" si="395"/>
        <v>1920.3999999999996</v>
      </c>
      <c r="I1034" s="6">
        <f>MOD(H1034-Settings!$B$32,Settings!$B$33)</f>
        <v>480.39999999999964</v>
      </c>
      <c r="J1034" s="6">
        <f>IF(I1034&lt;Settings!$B$30,IF(Settings!$B$30-I1034&gt;=E1034,H1034,H1034+(Settings!$B$30-I1034)+Settings!$B$31),H1034+(Settings!$B$33-I1034))</f>
        <v>1920.3999999999996</v>
      </c>
      <c r="K1034" s="6">
        <f t="shared" si="396"/>
        <v>1944.4199999999996</v>
      </c>
      <c r="L1034" s="6">
        <f t="shared" si="397"/>
        <v>1944.4199999999996</v>
      </c>
      <c r="M1034" s="6">
        <f t="shared" si="406"/>
        <v>1925.2475266111103</v>
      </c>
      <c r="N1034" s="6">
        <f t="shared" si="398"/>
        <v>1944.4199999999996</v>
      </c>
      <c r="O1034" s="6">
        <f>Arrivals!I1034</f>
        <v>3.8695813582301217</v>
      </c>
      <c r="P1034" s="6">
        <f t="shared" si="399"/>
        <v>1948.2895813582297</v>
      </c>
      <c r="Q1034" s="6">
        <f t="shared" si="400"/>
        <v>1454.2895813582297</v>
      </c>
      <c r="R1034" s="6">
        <f t="shared" si="401"/>
        <v>1426.3999999999996</v>
      </c>
      <c r="S1034" s="6">
        <f t="shared" si="402"/>
        <v>0</v>
      </c>
      <c r="T1034" s="6">
        <f t="shared" si="403"/>
        <v>0</v>
      </c>
      <c r="U1034" s="6">
        <f t="shared" si="404"/>
        <v>1426.3999999999996</v>
      </c>
      <c r="V1034" s="6" t="str">
        <f>IF(MOD(C1034-Settings!$B$32,Settings!$B$33)&lt;Settings!$B$30,"Up","Down")</f>
        <v>Up</v>
      </c>
      <c r="W1034" s="6">
        <f>IF(OR(E1034&gt;Settings!$B$30,Q1034&gt;Settings!$B$37),0,1)</f>
        <v>0</v>
      </c>
      <c r="X1034" s="6">
        <f>IF(AND(W1034=1,Q1034&lt;=Settings!$B$36),1,0)</f>
        <v>0</v>
      </c>
    </row>
    <row r="1035" spans="1:24" x14ac:dyDescent="0.2">
      <c r="A1035">
        <f>Arrivals!A1035</f>
        <v>9</v>
      </c>
      <c r="B1035">
        <f>Arrivals!B1035</f>
        <v>70</v>
      </c>
      <c r="C1035" s="6">
        <f>Arrivals!F1035</f>
        <v>499</v>
      </c>
      <c r="D1035" s="6">
        <f>Arrivals!K1035</f>
        <v>300</v>
      </c>
      <c r="E1035" s="6">
        <f>D1035*8/ACE_Input!S75+ACE_Input!T75</f>
        <v>24.02</v>
      </c>
      <c r="F1035" s="6">
        <f t="shared" si="394"/>
        <v>499</v>
      </c>
      <c r="G1035" s="6">
        <f t="shared" si="405"/>
        <v>1944.4199999999996</v>
      </c>
      <c r="H1035" s="6">
        <f t="shared" si="395"/>
        <v>1944.4199999999996</v>
      </c>
      <c r="I1035" s="6">
        <f>MOD(H1035-Settings!$B$32,Settings!$B$33)</f>
        <v>504.41999999999962</v>
      </c>
      <c r="J1035" s="6">
        <f>IF(I1035&lt;Settings!$B$30,IF(Settings!$B$30-I1035&gt;=E1035,H1035,H1035+(Settings!$B$30-I1035)+Settings!$B$31),H1035+(Settings!$B$33-I1035))</f>
        <v>1944.4199999999996</v>
      </c>
      <c r="K1035" s="6">
        <f t="shared" si="396"/>
        <v>1968.4399999999996</v>
      </c>
      <c r="L1035" s="6">
        <f t="shared" si="397"/>
        <v>1968.4399999999996</v>
      </c>
      <c r="M1035" s="6">
        <f t="shared" si="406"/>
        <v>1948.2895813582297</v>
      </c>
      <c r="N1035" s="6">
        <f t="shared" si="398"/>
        <v>1968.4399999999996</v>
      </c>
      <c r="O1035" s="6">
        <f>Arrivals!I1035</f>
        <v>0.57921752464117893</v>
      </c>
      <c r="P1035" s="6">
        <f t="shared" si="399"/>
        <v>1969.0192175246407</v>
      </c>
      <c r="Q1035" s="6">
        <f t="shared" si="400"/>
        <v>1470.0192175246407</v>
      </c>
      <c r="R1035" s="6">
        <f t="shared" si="401"/>
        <v>1445.4199999999996</v>
      </c>
      <c r="S1035" s="6">
        <f t="shared" si="402"/>
        <v>0</v>
      </c>
      <c r="T1035" s="6">
        <f t="shared" si="403"/>
        <v>0</v>
      </c>
      <c r="U1035" s="6">
        <f t="shared" si="404"/>
        <v>1445.4199999999996</v>
      </c>
      <c r="V1035" s="6" t="str">
        <f>IF(MOD(C1035-Settings!$B$32,Settings!$B$33)&lt;Settings!$B$30,"Up","Down")</f>
        <v>Up</v>
      </c>
      <c r="W1035" s="6">
        <f>IF(OR(E1035&gt;Settings!$B$30,Q1035&gt;Settings!$B$37),0,1)</f>
        <v>0</v>
      </c>
      <c r="X1035" s="6">
        <f>IF(AND(W1035=1,Q1035&lt;=Settings!$B$36),1,0)</f>
        <v>0</v>
      </c>
    </row>
    <row r="1036" spans="1:24" x14ac:dyDescent="0.2">
      <c r="A1036">
        <f>Arrivals!A1036</f>
        <v>9</v>
      </c>
      <c r="B1036">
        <f>Arrivals!B1036</f>
        <v>71</v>
      </c>
      <c r="C1036" s="6">
        <f>Arrivals!F1036</f>
        <v>504</v>
      </c>
      <c r="D1036" s="6">
        <f>Arrivals!K1036</f>
        <v>300</v>
      </c>
      <c r="E1036" s="6">
        <f>D1036*8/ACE_Input!S76+ACE_Input!T76</f>
        <v>24.02</v>
      </c>
      <c r="F1036" s="6">
        <f t="shared" si="394"/>
        <v>504</v>
      </c>
      <c r="G1036" s="6">
        <f t="shared" si="405"/>
        <v>1968.4399999999996</v>
      </c>
      <c r="H1036" s="6">
        <f t="shared" si="395"/>
        <v>1968.4399999999996</v>
      </c>
      <c r="I1036" s="6">
        <f>MOD(H1036-Settings!$B$32,Settings!$B$33)</f>
        <v>528.4399999999996</v>
      </c>
      <c r="J1036" s="6">
        <f>IF(I1036&lt;Settings!$B$30,IF(Settings!$B$30-I1036&gt;=E1036,H1036,H1036+(Settings!$B$30-I1036)+Settings!$B$31),H1036+(Settings!$B$33-I1036))</f>
        <v>1968.4399999999996</v>
      </c>
      <c r="K1036" s="6">
        <f t="shared" si="396"/>
        <v>1992.4599999999996</v>
      </c>
      <c r="L1036" s="6">
        <f t="shared" si="397"/>
        <v>1992.4599999999996</v>
      </c>
      <c r="M1036" s="6">
        <f t="shared" si="406"/>
        <v>1969.0192175246407</v>
      </c>
      <c r="N1036" s="6">
        <f t="shared" si="398"/>
        <v>1992.4599999999996</v>
      </c>
      <c r="O1036" s="6">
        <f>Arrivals!I1036</f>
        <v>5.1792497129843182</v>
      </c>
      <c r="P1036" s="6">
        <f t="shared" si="399"/>
        <v>1997.6392497129839</v>
      </c>
      <c r="Q1036" s="6">
        <f t="shared" si="400"/>
        <v>1493.6392497129839</v>
      </c>
      <c r="R1036" s="6">
        <f t="shared" si="401"/>
        <v>1464.4399999999996</v>
      </c>
      <c r="S1036" s="6">
        <f t="shared" si="402"/>
        <v>0</v>
      </c>
      <c r="T1036" s="6">
        <f t="shared" si="403"/>
        <v>0</v>
      </c>
      <c r="U1036" s="6">
        <f t="shared" si="404"/>
        <v>1464.4399999999996</v>
      </c>
      <c r="V1036" s="6" t="str">
        <f>IF(MOD(C1036-Settings!$B$32,Settings!$B$33)&lt;Settings!$B$30,"Up","Down")</f>
        <v>Up</v>
      </c>
      <c r="W1036" s="6">
        <f>IF(OR(E1036&gt;Settings!$B$30,Q1036&gt;Settings!$B$37),0,1)</f>
        <v>0</v>
      </c>
      <c r="X1036" s="6">
        <f>IF(AND(W1036=1,Q1036&lt;=Settings!$B$36),1,0)</f>
        <v>0</v>
      </c>
    </row>
    <row r="1037" spans="1:24" x14ac:dyDescent="0.2">
      <c r="A1037">
        <f>Arrivals!A1037</f>
        <v>9</v>
      </c>
      <c r="B1037">
        <f>Arrivals!B1037</f>
        <v>72</v>
      </c>
      <c r="C1037" s="6">
        <f>Arrivals!F1037</f>
        <v>509</v>
      </c>
      <c r="D1037" s="6">
        <f>Arrivals!K1037</f>
        <v>300</v>
      </c>
      <c r="E1037" s="6">
        <f>D1037*8/ACE_Input!S77+ACE_Input!T77</f>
        <v>24.02</v>
      </c>
      <c r="F1037" s="6">
        <f t="shared" si="394"/>
        <v>509</v>
      </c>
      <c r="G1037" s="6">
        <f t="shared" si="405"/>
        <v>1992.4599999999996</v>
      </c>
      <c r="H1037" s="6">
        <f t="shared" si="395"/>
        <v>1992.4599999999996</v>
      </c>
      <c r="I1037" s="6">
        <f>MOD(H1037-Settings!$B$32,Settings!$B$33)</f>
        <v>552.45999999999958</v>
      </c>
      <c r="J1037" s="6">
        <f>IF(I1037&lt;Settings!$B$30,IF(Settings!$B$30-I1037&gt;=E1037,H1037,H1037+(Settings!$B$30-I1037)+Settings!$B$31),H1037+(Settings!$B$33-I1037))</f>
        <v>1992.4599999999996</v>
      </c>
      <c r="K1037" s="6">
        <f t="shared" si="396"/>
        <v>2016.4799999999996</v>
      </c>
      <c r="L1037" s="6">
        <f t="shared" si="397"/>
        <v>2016.4799999999996</v>
      </c>
      <c r="M1037" s="6">
        <f t="shared" si="406"/>
        <v>1997.6392497129839</v>
      </c>
      <c r="N1037" s="6">
        <f t="shared" si="398"/>
        <v>2016.4799999999996</v>
      </c>
      <c r="O1037" s="6">
        <f>Arrivals!I1037</f>
        <v>5.3127829194934471</v>
      </c>
      <c r="P1037" s="6">
        <f t="shared" si="399"/>
        <v>2021.792782919493</v>
      </c>
      <c r="Q1037" s="6">
        <f t="shared" si="400"/>
        <v>1512.792782919493</v>
      </c>
      <c r="R1037" s="6">
        <f t="shared" si="401"/>
        <v>1483.4599999999996</v>
      </c>
      <c r="S1037" s="6">
        <f t="shared" si="402"/>
        <v>0</v>
      </c>
      <c r="T1037" s="6">
        <f t="shared" si="403"/>
        <v>0</v>
      </c>
      <c r="U1037" s="6">
        <f t="shared" si="404"/>
        <v>1483.4599999999996</v>
      </c>
      <c r="V1037" s="6" t="str">
        <f>IF(MOD(C1037-Settings!$B$32,Settings!$B$33)&lt;Settings!$B$30,"Up","Down")</f>
        <v>Up</v>
      </c>
      <c r="W1037" s="6">
        <f>IF(OR(E1037&gt;Settings!$B$30,Q1037&gt;Settings!$B$37),0,1)</f>
        <v>0</v>
      </c>
      <c r="X1037" s="6">
        <f>IF(AND(W1037=1,Q1037&lt;=Settings!$B$36),1,0)</f>
        <v>0</v>
      </c>
    </row>
    <row r="1038" spans="1:24" x14ac:dyDescent="0.2">
      <c r="A1038">
        <f>Arrivals!A1038</f>
        <v>9</v>
      </c>
      <c r="B1038">
        <f>Arrivals!B1038</f>
        <v>73</v>
      </c>
      <c r="C1038" s="6">
        <f>Arrivals!F1038</f>
        <v>514</v>
      </c>
      <c r="D1038" s="6">
        <f>Arrivals!K1038</f>
        <v>300</v>
      </c>
      <c r="E1038" s="6">
        <f>D1038*8/ACE_Input!S78+ACE_Input!T78</f>
        <v>24.02</v>
      </c>
      <c r="F1038" s="6">
        <f t="shared" si="394"/>
        <v>514</v>
      </c>
      <c r="G1038" s="6">
        <f t="shared" si="405"/>
        <v>2016.4799999999996</v>
      </c>
      <c r="H1038" s="6">
        <f t="shared" si="395"/>
        <v>2016.4799999999996</v>
      </c>
      <c r="I1038" s="6">
        <f>MOD(H1038-Settings!$B$32,Settings!$B$33)</f>
        <v>576.47999999999956</v>
      </c>
      <c r="J1038" s="6">
        <f>IF(I1038&lt;Settings!$B$30,IF(Settings!$B$30-I1038&gt;=E1038,H1038,H1038+(Settings!$B$30-I1038)+Settings!$B$31),H1038+(Settings!$B$33-I1038))</f>
        <v>2160</v>
      </c>
      <c r="K1038" s="6">
        <f t="shared" si="396"/>
        <v>2184.02</v>
      </c>
      <c r="L1038" s="6">
        <f t="shared" si="397"/>
        <v>2184.02</v>
      </c>
      <c r="M1038" s="6">
        <f t="shared" si="406"/>
        <v>2021.792782919493</v>
      </c>
      <c r="N1038" s="6">
        <f t="shared" si="398"/>
        <v>2184.02</v>
      </c>
      <c r="O1038" s="6">
        <f>Arrivals!I1038</f>
        <v>9.3455586382450662</v>
      </c>
      <c r="P1038" s="6">
        <f t="shared" si="399"/>
        <v>2193.3655586382451</v>
      </c>
      <c r="Q1038" s="6">
        <f t="shared" si="400"/>
        <v>1679.3655586382451</v>
      </c>
      <c r="R1038" s="6">
        <f t="shared" si="401"/>
        <v>1502.4799999999996</v>
      </c>
      <c r="S1038" s="6">
        <f t="shared" si="402"/>
        <v>143.52000000000044</v>
      </c>
      <c r="T1038" s="6">
        <f t="shared" si="403"/>
        <v>0</v>
      </c>
      <c r="U1038" s="6">
        <f t="shared" si="404"/>
        <v>1646</v>
      </c>
      <c r="V1038" s="6" t="str">
        <f>IF(MOD(C1038-Settings!$B$32,Settings!$B$33)&lt;Settings!$B$30,"Up","Down")</f>
        <v>Up</v>
      </c>
      <c r="W1038" s="6">
        <f>IF(OR(E1038&gt;Settings!$B$30,Q1038&gt;Settings!$B$37),0,1)</f>
        <v>0</v>
      </c>
      <c r="X1038" s="6">
        <f>IF(AND(W1038=1,Q1038&lt;=Settings!$B$36),1,0)</f>
        <v>0</v>
      </c>
    </row>
    <row r="1039" spans="1:24" x14ac:dyDescent="0.2">
      <c r="A1039">
        <f>Arrivals!A1039</f>
        <v>9</v>
      </c>
      <c r="B1039">
        <f>Arrivals!B1039</f>
        <v>74</v>
      </c>
      <c r="C1039" s="6">
        <f>Arrivals!F1039</f>
        <v>519</v>
      </c>
      <c r="D1039" s="6">
        <f>Arrivals!K1039</f>
        <v>300</v>
      </c>
      <c r="E1039" s="6">
        <f>D1039*8/ACE_Input!S79+ACE_Input!T79</f>
        <v>24.02</v>
      </c>
      <c r="F1039" s="6">
        <f t="shared" si="394"/>
        <v>519</v>
      </c>
      <c r="G1039" s="6">
        <f t="shared" si="405"/>
        <v>2184.02</v>
      </c>
      <c r="H1039" s="6">
        <f t="shared" si="395"/>
        <v>2184.02</v>
      </c>
      <c r="I1039" s="6">
        <f>MOD(H1039-Settings!$B$32,Settings!$B$33)</f>
        <v>24.019999999999982</v>
      </c>
      <c r="J1039" s="6">
        <f>IF(I1039&lt;Settings!$B$30,IF(Settings!$B$30-I1039&gt;=E1039,H1039,H1039+(Settings!$B$30-I1039)+Settings!$B$31),H1039+(Settings!$B$33-I1039))</f>
        <v>2184.02</v>
      </c>
      <c r="K1039" s="6">
        <f t="shared" si="396"/>
        <v>2208.04</v>
      </c>
      <c r="L1039" s="6">
        <f t="shared" si="397"/>
        <v>2208.04</v>
      </c>
      <c r="M1039" s="6">
        <f t="shared" si="406"/>
        <v>2193.3655586382451</v>
      </c>
      <c r="N1039" s="6">
        <f t="shared" si="398"/>
        <v>2208.04</v>
      </c>
      <c r="O1039" s="6">
        <f>Arrivals!I1039</f>
        <v>0.72491860973108635</v>
      </c>
      <c r="P1039" s="6">
        <f t="shared" si="399"/>
        <v>2208.764918609731</v>
      </c>
      <c r="Q1039" s="6">
        <f t="shared" si="400"/>
        <v>1689.764918609731</v>
      </c>
      <c r="R1039" s="6">
        <f t="shared" si="401"/>
        <v>1665.02</v>
      </c>
      <c r="S1039" s="6">
        <f t="shared" si="402"/>
        <v>0</v>
      </c>
      <c r="T1039" s="6">
        <f t="shared" si="403"/>
        <v>0</v>
      </c>
      <c r="U1039" s="6">
        <f t="shared" si="404"/>
        <v>1665.02</v>
      </c>
      <c r="V1039" s="6" t="str">
        <f>IF(MOD(C1039-Settings!$B$32,Settings!$B$33)&lt;Settings!$B$30,"Up","Down")</f>
        <v>Up</v>
      </c>
      <c r="W1039" s="6">
        <f>IF(OR(E1039&gt;Settings!$B$30,Q1039&gt;Settings!$B$37),0,1)</f>
        <v>0</v>
      </c>
      <c r="X1039" s="6">
        <f>IF(AND(W1039=1,Q1039&lt;=Settings!$B$36),1,0)</f>
        <v>0</v>
      </c>
    </row>
    <row r="1040" spans="1:24" x14ac:dyDescent="0.2">
      <c r="A1040">
        <f>Arrivals!A1040</f>
        <v>9</v>
      </c>
      <c r="B1040">
        <f>Arrivals!B1040</f>
        <v>75</v>
      </c>
      <c r="C1040" s="6">
        <f>Arrivals!F1040</f>
        <v>524</v>
      </c>
      <c r="D1040" s="6">
        <f>Arrivals!K1040</f>
        <v>300</v>
      </c>
      <c r="E1040" s="6">
        <f>D1040*8/ACE_Input!S80+ACE_Input!T80</f>
        <v>24.02</v>
      </c>
      <c r="F1040" s="6">
        <f t="shared" si="394"/>
        <v>524</v>
      </c>
      <c r="G1040" s="6">
        <f t="shared" si="405"/>
        <v>2208.04</v>
      </c>
      <c r="H1040" s="6">
        <f t="shared" si="395"/>
        <v>2208.04</v>
      </c>
      <c r="I1040" s="6">
        <f>MOD(H1040-Settings!$B$32,Settings!$B$33)</f>
        <v>48.039999999999964</v>
      </c>
      <c r="J1040" s="6">
        <f>IF(I1040&lt;Settings!$B$30,IF(Settings!$B$30-I1040&gt;=E1040,H1040,H1040+(Settings!$B$30-I1040)+Settings!$B$31),H1040+(Settings!$B$33-I1040))</f>
        <v>2208.04</v>
      </c>
      <c r="K1040" s="6">
        <f t="shared" si="396"/>
        <v>2232.06</v>
      </c>
      <c r="L1040" s="6">
        <f t="shared" si="397"/>
        <v>2232.06</v>
      </c>
      <c r="M1040" s="6">
        <f t="shared" si="406"/>
        <v>2208.764918609731</v>
      </c>
      <c r="N1040" s="6">
        <f t="shared" si="398"/>
        <v>2232.06</v>
      </c>
      <c r="O1040" s="6">
        <f>Arrivals!I1040</f>
        <v>8.0183416707417674</v>
      </c>
      <c r="P1040" s="6">
        <f t="shared" si="399"/>
        <v>2240.0783416707418</v>
      </c>
      <c r="Q1040" s="6">
        <f t="shared" si="400"/>
        <v>1716.0783416707418</v>
      </c>
      <c r="R1040" s="6">
        <f t="shared" si="401"/>
        <v>1684.04</v>
      </c>
      <c r="S1040" s="6">
        <f t="shared" si="402"/>
        <v>0</v>
      </c>
      <c r="T1040" s="6">
        <f t="shared" si="403"/>
        <v>0</v>
      </c>
      <c r="U1040" s="6">
        <f t="shared" si="404"/>
        <v>1684.04</v>
      </c>
      <c r="V1040" s="6" t="str">
        <f>IF(MOD(C1040-Settings!$B$32,Settings!$B$33)&lt;Settings!$B$30,"Up","Down")</f>
        <v>Up</v>
      </c>
      <c r="W1040" s="6">
        <f>IF(OR(E1040&gt;Settings!$B$30,Q1040&gt;Settings!$B$37),0,1)</f>
        <v>0</v>
      </c>
      <c r="X1040" s="6">
        <f>IF(AND(W1040=1,Q1040&lt;=Settings!$B$36),1,0)</f>
        <v>0</v>
      </c>
    </row>
    <row r="1041" spans="1:24" x14ac:dyDescent="0.2">
      <c r="A1041">
        <f>Arrivals!A1041</f>
        <v>9</v>
      </c>
      <c r="B1041">
        <f>Arrivals!B1041</f>
        <v>76</v>
      </c>
      <c r="C1041" s="6">
        <f>Arrivals!F1041</f>
        <v>529</v>
      </c>
      <c r="D1041" s="6">
        <f>Arrivals!K1041</f>
        <v>300</v>
      </c>
      <c r="E1041" s="6">
        <f>D1041*8/ACE_Input!S81+ACE_Input!T81</f>
        <v>24.02</v>
      </c>
      <c r="F1041" s="6">
        <f t="shared" si="394"/>
        <v>529</v>
      </c>
      <c r="G1041" s="6">
        <f t="shared" si="405"/>
        <v>2232.06</v>
      </c>
      <c r="H1041" s="6">
        <f t="shared" si="395"/>
        <v>2232.06</v>
      </c>
      <c r="I1041" s="6">
        <f>MOD(H1041-Settings!$B$32,Settings!$B$33)</f>
        <v>72.059999999999945</v>
      </c>
      <c r="J1041" s="6">
        <f>IF(I1041&lt;Settings!$B$30,IF(Settings!$B$30-I1041&gt;=E1041,H1041,H1041+(Settings!$B$30-I1041)+Settings!$B$31),H1041+(Settings!$B$33-I1041))</f>
        <v>2232.06</v>
      </c>
      <c r="K1041" s="6">
        <f t="shared" si="396"/>
        <v>2256.08</v>
      </c>
      <c r="L1041" s="6">
        <f t="shared" si="397"/>
        <v>2256.08</v>
      </c>
      <c r="M1041" s="6">
        <f t="shared" si="406"/>
        <v>2240.0783416707418</v>
      </c>
      <c r="N1041" s="6">
        <f t="shared" si="398"/>
        <v>2256.08</v>
      </c>
      <c r="O1041" s="6">
        <f>Arrivals!I1041</f>
        <v>6.9929214819741841</v>
      </c>
      <c r="P1041" s="6">
        <f t="shared" si="399"/>
        <v>2263.0729214819739</v>
      </c>
      <c r="Q1041" s="6">
        <f t="shared" si="400"/>
        <v>1734.0729214819739</v>
      </c>
      <c r="R1041" s="6">
        <f t="shared" si="401"/>
        <v>1703.06</v>
      </c>
      <c r="S1041" s="6">
        <f t="shared" si="402"/>
        <v>0</v>
      </c>
      <c r="T1041" s="6">
        <f t="shared" si="403"/>
        <v>0</v>
      </c>
      <c r="U1041" s="6">
        <f t="shared" si="404"/>
        <v>1703.06</v>
      </c>
      <c r="V1041" s="6" t="str">
        <f>IF(MOD(C1041-Settings!$B$32,Settings!$B$33)&lt;Settings!$B$30,"Up","Down")</f>
        <v>Up</v>
      </c>
      <c r="W1041" s="6">
        <f>IF(OR(E1041&gt;Settings!$B$30,Q1041&gt;Settings!$B$37),0,1)</f>
        <v>0</v>
      </c>
      <c r="X1041" s="6">
        <f>IF(AND(W1041=1,Q1041&lt;=Settings!$B$36),1,0)</f>
        <v>0</v>
      </c>
    </row>
    <row r="1042" spans="1:24" x14ac:dyDescent="0.2">
      <c r="A1042">
        <f>Arrivals!A1042</f>
        <v>9</v>
      </c>
      <c r="B1042">
        <f>Arrivals!B1042</f>
        <v>77</v>
      </c>
      <c r="C1042" s="6">
        <f>Arrivals!F1042</f>
        <v>534</v>
      </c>
      <c r="D1042" s="6">
        <f>Arrivals!K1042</f>
        <v>300</v>
      </c>
      <c r="E1042" s="6">
        <f>D1042*8/ACE_Input!S82+ACE_Input!T82</f>
        <v>24.02</v>
      </c>
      <c r="F1042" s="6">
        <f t="shared" si="394"/>
        <v>534</v>
      </c>
      <c r="G1042" s="6">
        <f t="shared" si="405"/>
        <v>2256.08</v>
      </c>
      <c r="H1042" s="6">
        <f t="shared" si="395"/>
        <v>2256.08</v>
      </c>
      <c r="I1042" s="6">
        <f>MOD(H1042-Settings!$B$32,Settings!$B$33)</f>
        <v>96.079999999999927</v>
      </c>
      <c r="J1042" s="6">
        <f>IF(I1042&lt;Settings!$B$30,IF(Settings!$B$30-I1042&gt;=E1042,H1042,H1042+(Settings!$B$30-I1042)+Settings!$B$31),H1042+(Settings!$B$33-I1042))</f>
        <v>2256.08</v>
      </c>
      <c r="K1042" s="6">
        <f t="shared" si="396"/>
        <v>2280.1</v>
      </c>
      <c r="L1042" s="6">
        <f t="shared" si="397"/>
        <v>2280.1</v>
      </c>
      <c r="M1042" s="6">
        <f t="shared" si="406"/>
        <v>2263.0729214819739</v>
      </c>
      <c r="N1042" s="6">
        <f t="shared" si="398"/>
        <v>2280.1</v>
      </c>
      <c r="O1042" s="6">
        <f>Arrivals!I1042</f>
        <v>0.93451163412718663</v>
      </c>
      <c r="P1042" s="6">
        <f t="shared" si="399"/>
        <v>2281.0345116341273</v>
      </c>
      <c r="Q1042" s="6">
        <f t="shared" si="400"/>
        <v>1747.0345116341273</v>
      </c>
      <c r="R1042" s="6">
        <f t="shared" si="401"/>
        <v>1722.08</v>
      </c>
      <c r="S1042" s="6">
        <f t="shared" si="402"/>
        <v>0</v>
      </c>
      <c r="T1042" s="6">
        <f t="shared" si="403"/>
        <v>0</v>
      </c>
      <c r="U1042" s="6">
        <f t="shared" si="404"/>
        <v>1722.08</v>
      </c>
      <c r="V1042" s="6" t="str">
        <f>IF(MOD(C1042-Settings!$B$32,Settings!$B$33)&lt;Settings!$B$30,"Up","Down")</f>
        <v>Up</v>
      </c>
      <c r="W1042" s="6">
        <f>IF(OR(E1042&gt;Settings!$B$30,Q1042&gt;Settings!$B$37),0,1)</f>
        <v>0</v>
      </c>
      <c r="X1042" s="6">
        <f>IF(AND(W1042=1,Q1042&lt;=Settings!$B$36),1,0)</f>
        <v>0</v>
      </c>
    </row>
    <row r="1043" spans="1:24" x14ac:dyDescent="0.2">
      <c r="A1043">
        <f>Arrivals!A1043</f>
        <v>9</v>
      </c>
      <c r="B1043">
        <f>Arrivals!B1043</f>
        <v>78</v>
      </c>
      <c r="C1043" s="6">
        <f>Arrivals!F1043</f>
        <v>539</v>
      </c>
      <c r="D1043" s="6">
        <f>Arrivals!K1043</f>
        <v>300</v>
      </c>
      <c r="E1043" s="6">
        <f>D1043*8/ACE_Input!S83+ACE_Input!T83</f>
        <v>24.02</v>
      </c>
      <c r="F1043" s="6">
        <f t="shared" si="394"/>
        <v>539</v>
      </c>
      <c r="G1043" s="6">
        <f t="shared" si="405"/>
        <v>2280.1</v>
      </c>
      <c r="H1043" s="6">
        <f t="shared" si="395"/>
        <v>2280.1</v>
      </c>
      <c r="I1043" s="6">
        <f>MOD(H1043-Settings!$B$32,Settings!$B$33)</f>
        <v>120.09999999999991</v>
      </c>
      <c r="J1043" s="6">
        <f>IF(I1043&lt;Settings!$B$30,IF(Settings!$B$30-I1043&gt;=E1043,H1043,H1043+(Settings!$B$30-I1043)+Settings!$B$31),H1043+(Settings!$B$33-I1043))</f>
        <v>2280.1</v>
      </c>
      <c r="K1043" s="6">
        <f t="shared" si="396"/>
        <v>2304.12</v>
      </c>
      <c r="L1043" s="6">
        <f t="shared" si="397"/>
        <v>2304.12</v>
      </c>
      <c r="M1043" s="6">
        <f t="shared" si="406"/>
        <v>2281.0345116341273</v>
      </c>
      <c r="N1043" s="6">
        <f t="shared" si="398"/>
        <v>2304.12</v>
      </c>
      <c r="O1043" s="6">
        <f>Arrivals!I1043</f>
        <v>3.9994211414623777</v>
      </c>
      <c r="P1043" s="6">
        <f t="shared" si="399"/>
        <v>2308.1194211414622</v>
      </c>
      <c r="Q1043" s="6">
        <f t="shared" si="400"/>
        <v>1769.1194211414622</v>
      </c>
      <c r="R1043" s="6">
        <f t="shared" si="401"/>
        <v>1741.1</v>
      </c>
      <c r="S1043" s="6">
        <f t="shared" si="402"/>
        <v>0</v>
      </c>
      <c r="T1043" s="6">
        <f t="shared" si="403"/>
        <v>0</v>
      </c>
      <c r="U1043" s="6">
        <f t="shared" si="404"/>
        <v>1741.1</v>
      </c>
      <c r="V1043" s="6" t="str">
        <f>IF(MOD(C1043-Settings!$B$32,Settings!$B$33)&lt;Settings!$B$30,"Up","Down")</f>
        <v>Up</v>
      </c>
      <c r="W1043" s="6">
        <f>IF(OR(E1043&gt;Settings!$B$30,Q1043&gt;Settings!$B$37),0,1)</f>
        <v>0</v>
      </c>
      <c r="X1043" s="6">
        <f>IF(AND(W1043=1,Q1043&lt;=Settings!$B$36),1,0)</f>
        <v>0</v>
      </c>
    </row>
    <row r="1044" spans="1:24" x14ac:dyDescent="0.2">
      <c r="A1044">
        <f>Arrivals!A1044</f>
        <v>9</v>
      </c>
      <c r="B1044">
        <f>Arrivals!B1044</f>
        <v>79</v>
      </c>
      <c r="C1044" s="6">
        <f>Arrivals!F1044</f>
        <v>544</v>
      </c>
      <c r="D1044" s="6">
        <f>Arrivals!K1044</f>
        <v>300</v>
      </c>
      <c r="E1044" s="6">
        <f>D1044*8/ACE_Input!S84+ACE_Input!T84</f>
        <v>24.02</v>
      </c>
      <c r="F1044" s="6">
        <f t="shared" si="394"/>
        <v>544</v>
      </c>
      <c r="G1044" s="6">
        <f t="shared" si="405"/>
        <v>2304.12</v>
      </c>
      <c r="H1044" s="6">
        <f t="shared" si="395"/>
        <v>2304.12</v>
      </c>
      <c r="I1044" s="6">
        <f>MOD(H1044-Settings!$B$32,Settings!$B$33)</f>
        <v>144.11999999999989</v>
      </c>
      <c r="J1044" s="6">
        <f>IF(I1044&lt;Settings!$B$30,IF(Settings!$B$30-I1044&gt;=E1044,H1044,H1044+(Settings!$B$30-I1044)+Settings!$B$31),H1044+(Settings!$B$33-I1044))</f>
        <v>2304.12</v>
      </c>
      <c r="K1044" s="6">
        <f t="shared" si="396"/>
        <v>2328.14</v>
      </c>
      <c r="L1044" s="6">
        <f t="shared" si="397"/>
        <v>2328.14</v>
      </c>
      <c r="M1044" s="6">
        <f t="shared" si="406"/>
        <v>2308.1194211414622</v>
      </c>
      <c r="N1044" s="6">
        <f t="shared" si="398"/>
        <v>2328.14</v>
      </c>
      <c r="O1044" s="6">
        <f>Arrivals!I1044</f>
        <v>0.67558829772690465</v>
      </c>
      <c r="P1044" s="6">
        <f t="shared" si="399"/>
        <v>2328.8155882977267</v>
      </c>
      <c r="Q1044" s="6">
        <f t="shared" si="400"/>
        <v>1784.8155882977267</v>
      </c>
      <c r="R1044" s="6">
        <f t="shared" si="401"/>
        <v>1760.12</v>
      </c>
      <c r="S1044" s="6">
        <f t="shared" si="402"/>
        <v>0</v>
      </c>
      <c r="T1044" s="6">
        <f t="shared" si="403"/>
        <v>0</v>
      </c>
      <c r="U1044" s="6">
        <f t="shared" si="404"/>
        <v>1760.12</v>
      </c>
      <c r="V1044" s="6" t="str">
        <f>IF(MOD(C1044-Settings!$B$32,Settings!$B$33)&lt;Settings!$B$30,"Up","Down")</f>
        <v>Up</v>
      </c>
      <c r="W1044" s="6">
        <f>IF(OR(E1044&gt;Settings!$B$30,Q1044&gt;Settings!$B$37),0,1)</f>
        <v>0</v>
      </c>
      <c r="X1044" s="6">
        <f>IF(AND(W1044=1,Q1044&lt;=Settings!$B$36),1,0)</f>
        <v>0</v>
      </c>
    </row>
    <row r="1045" spans="1:24" x14ac:dyDescent="0.2">
      <c r="A1045">
        <f>Arrivals!A1045</f>
        <v>9</v>
      </c>
      <c r="B1045">
        <f>Arrivals!B1045</f>
        <v>80</v>
      </c>
      <c r="C1045" s="6">
        <f>Arrivals!F1045</f>
        <v>549</v>
      </c>
      <c r="D1045" s="6">
        <f>Arrivals!K1045</f>
        <v>300</v>
      </c>
      <c r="E1045" s="6">
        <f>D1045*8/ACE_Input!S85+ACE_Input!T85</f>
        <v>24.02</v>
      </c>
      <c r="F1045" s="6">
        <f t="shared" si="394"/>
        <v>549</v>
      </c>
      <c r="G1045" s="6">
        <f t="shared" si="405"/>
        <v>2328.14</v>
      </c>
      <c r="H1045" s="6">
        <f t="shared" si="395"/>
        <v>2328.14</v>
      </c>
      <c r="I1045" s="6">
        <f>MOD(H1045-Settings!$B$32,Settings!$B$33)</f>
        <v>168.13999999999987</v>
      </c>
      <c r="J1045" s="6">
        <f>IF(I1045&lt;Settings!$B$30,IF(Settings!$B$30-I1045&gt;=E1045,H1045,H1045+(Settings!$B$30-I1045)+Settings!$B$31),H1045+(Settings!$B$33-I1045))</f>
        <v>2328.14</v>
      </c>
      <c r="K1045" s="6">
        <f t="shared" si="396"/>
        <v>2352.16</v>
      </c>
      <c r="L1045" s="6">
        <f t="shared" si="397"/>
        <v>2352.16</v>
      </c>
      <c r="M1045" s="6">
        <f t="shared" si="406"/>
        <v>2328.8155882977267</v>
      </c>
      <c r="N1045" s="6">
        <f t="shared" si="398"/>
        <v>2352.16</v>
      </c>
      <c r="O1045" s="6">
        <f>Arrivals!I1045</f>
        <v>8.4114947530310697</v>
      </c>
      <c r="P1045" s="6">
        <f t="shared" si="399"/>
        <v>2360.5714947530309</v>
      </c>
      <c r="Q1045" s="6">
        <f t="shared" si="400"/>
        <v>1811.5714947530309</v>
      </c>
      <c r="R1045" s="6">
        <f t="shared" si="401"/>
        <v>1779.1399999999999</v>
      </c>
      <c r="S1045" s="6">
        <f t="shared" si="402"/>
        <v>0</v>
      </c>
      <c r="T1045" s="6">
        <f t="shared" si="403"/>
        <v>0</v>
      </c>
      <c r="U1045" s="6">
        <f t="shared" si="404"/>
        <v>1779.1399999999999</v>
      </c>
      <c r="V1045" s="6" t="str">
        <f>IF(MOD(C1045-Settings!$B$32,Settings!$B$33)&lt;Settings!$B$30,"Up","Down")</f>
        <v>Up</v>
      </c>
      <c r="W1045" s="6">
        <f>IF(OR(E1045&gt;Settings!$B$30,Q1045&gt;Settings!$B$37),0,1)</f>
        <v>0</v>
      </c>
      <c r="X1045" s="6">
        <f>IF(AND(W1045=1,Q1045&lt;=Settings!$B$36),1,0)</f>
        <v>0</v>
      </c>
    </row>
    <row r="1046" spans="1:24" x14ac:dyDescent="0.2">
      <c r="A1046">
        <f>Arrivals!A1046</f>
        <v>9</v>
      </c>
      <c r="B1046">
        <f>Arrivals!B1046</f>
        <v>81</v>
      </c>
      <c r="C1046" s="6">
        <f>Arrivals!F1046</f>
        <v>554</v>
      </c>
      <c r="D1046" s="6">
        <f>Arrivals!K1046</f>
        <v>300</v>
      </c>
      <c r="E1046" s="6">
        <f>D1046*8/ACE_Input!S86+ACE_Input!T86</f>
        <v>24.02</v>
      </c>
      <c r="F1046" s="6">
        <f t="shared" si="394"/>
        <v>554</v>
      </c>
      <c r="G1046" s="6">
        <f t="shared" si="405"/>
        <v>2352.16</v>
      </c>
      <c r="H1046" s="6">
        <f t="shared" si="395"/>
        <v>2352.16</v>
      </c>
      <c r="I1046" s="6">
        <f>MOD(H1046-Settings!$B$32,Settings!$B$33)</f>
        <v>192.15999999999985</v>
      </c>
      <c r="J1046" s="6">
        <f>IF(I1046&lt;Settings!$B$30,IF(Settings!$B$30-I1046&gt;=E1046,H1046,H1046+(Settings!$B$30-I1046)+Settings!$B$31),H1046+(Settings!$B$33-I1046))</f>
        <v>2352.16</v>
      </c>
      <c r="K1046" s="6">
        <f t="shared" si="396"/>
        <v>2376.1799999999998</v>
      </c>
      <c r="L1046" s="6">
        <f t="shared" si="397"/>
        <v>2376.1799999999998</v>
      </c>
      <c r="M1046" s="6">
        <f t="shared" si="406"/>
        <v>2360.5714947530309</v>
      </c>
      <c r="N1046" s="6">
        <f t="shared" si="398"/>
        <v>2376.1799999999998</v>
      </c>
      <c r="O1046" s="6">
        <f>Arrivals!I1046</f>
        <v>6.0698165180005033</v>
      </c>
      <c r="P1046" s="6">
        <f t="shared" si="399"/>
        <v>2382.2498165180004</v>
      </c>
      <c r="Q1046" s="6">
        <f t="shared" si="400"/>
        <v>1828.2498165180004</v>
      </c>
      <c r="R1046" s="6">
        <f t="shared" si="401"/>
        <v>1798.1599999999999</v>
      </c>
      <c r="S1046" s="6">
        <f t="shared" si="402"/>
        <v>0</v>
      </c>
      <c r="T1046" s="6">
        <f t="shared" si="403"/>
        <v>0</v>
      </c>
      <c r="U1046" s="6">
        <f t="shared" si="404"/>
        <v>1798.1599999999999</v>
      </c>
      <c r="V1046" s="6" t="str">
        <f>IF(MOD(C1046-Settings!$B$32,Settings!$B$33)&lt;Settings!$B$30,"Up","Down")</f>
        <v>Up</v>
      </c>
      <c r="W1046" s="6">
        <f>IF(OR(E1046&gt;Settings!$B$30,Q1046&gt;Settings!$B$37),0,1)</f>
        <v>0</v>
      </c>
      <c r="X1046" s="6">
        <f>IF(AND(W1046=1,Q1046&lt;=Settings!$B$36),1,0)</f>
        <v>0</v>
      </c>
    </row>
    <row r="1047" spans="1:24" x14ac:dyDescent="0.2">
      <c r="A1047">
        <f>Arrivals!A1047</f>
        <v>9</v>
      </c>
      <c r="B1047">
        <f>Arrivals!B1047</f>
        <v>82</v>
      </c>
      <c r="C1047" s="6">
        <f>Arrivals!F1047</f>
        <v>559</v>
      </c>
      <c r="D1047" s="6">
        <f>Arrivals!K1047</f>
        <v>300</v>
      </c>
      <c r="E1047" s="6">
        <f>D1047*8/ACE_Input!S87+ACE_Input!T87</f>
        <v>24.02</v>
      </c>
      <c r="F1047" s="6">
        <f t="shared" si="394"/>
        <v>559</v>
      </c>
      <c r="G1047" s="6">
        <f t="shared" si="405"/>
        <v>2376.1799999999998</v>
      </c>
      <c r="H1047" s="6">
        <f t="shared" si="395"/>
        <v>2376.1799999999998</v>
      </c>
      <c r="I1047" s="6">
        <f>MOD(H1047-Settings!$B$32,Settings!$B$33)</f>
        <v>216.17999999999984</v>
      </c>
      <c r="J1047" s="6">
        <f>IF(I1047&lt;Settings!$B$30,IF(Settings!$B$30-I1047&gt;=E1047,H1047,H1047+(Settings!$B$30-I1047)+Settings!$B$31),H1047+(Settings!$B$33-I1047))</f>
        <v>2376.1799999999998</v>
      </c>
      <c r="K1047" s="6">
        <f t="shared" si="396"/>
        <v>2400.1999999999998</v>
      </c>
      <c r="L1047" s="6">
        <f t="shared" si="397"/>
        <v>2400.1999999999998</v>
      </c>
      <c r="M1047" s="6">
        <f t="shared" si="406"/>
        <v>2382.2498165180004</v>
      </c>
      <c r="N1047" s="6">
        <f t="shared" si="398"/>
        <v>2400.1999999999998</v>
      </c>
      <c r="O1047" s="6">
        <f>Arrivals!I1047</f>
        <v>5.3737313238428586</v>
      </c>
      <c r="P1047" s="6">
        <f t="shared" si="399"/>
        <v>2405.5737313238428</v>
      </c>
      <c r="Q1047" s="6">
        <f t="shared" si="400"/>
        <v>1846.5737313238428</v>
      </c>
      <c r="R1047" s="6">
        <f t="shared" si="401"/>
        <v>1817.1799999999998</v>
      </c>
      <c r="S1047" s="6">
        <f t="shared" si="402"/>
        <v>0</v>
      </c>
      <c r="T1047" s="6">
        <f t="shared" si="403"/>
        <v>0</v>
      </c>
      <c r="U1047" s="6">
        <f t="shared" si="404"/>
        <v>1817.1799999999998</v>
      </c>
      <c r="V1047" s="6" t="str">
        <f>IF(MOD(C1047-Settings!$B$32,Settings!$B$33)&lt;Settings!$B$30,"Up","Down")</f>
        <v>Up</v>
      </c>
      <c r="W1047" s="6">
        <f>IF(OR(E1047&gt;Settings!$B$30,Q1047&gt;Settings!$B$37),0,1)</f>
        <v>0</v>
      </c>
      <c r="X1047" s="6">
        <f>IF(AND(W1047=1,Q1047&lt;=Settings!$B$36),1,0)</f>
        <v>0</v>
      </c>
    </row>
    <row r="1048" spans="1:24" x14ac:dyDescent="0.2">
      <c r="A1048">
        <f>Arrivals!A1048</f>
        <v>9</v>
      </c>
      <c r="B1048">
        <f>Arrivals!B1048</f>
        <v>83</v>
      </c>
      <c r="C1048" s="6">
        <f>Arrivals!F1048</f>
        <v>564</v>
      </c>
      <c r="D1048" s="6">
        <f>Arrivals!K1048</f>
        <v>300</v>
      </c>
      <c r="E1048" s="6">
        <f>D1048*8/ACE_Input!S88+ACE_Input!T88</f>
        <v>24.02</v>
      </c>
      <c r="F1048" s="6">
        <f t="shared" si="394"/>
        <v>564</v>
      </c>
      <c r="G1048" s="6">
        <f t="shared" si="405"/>
        <v>2400.1999999999998</v>
      </c>
      <c r="H1048" s="6">
        <f t="shared" si="395"/>
        <v>2400.1999999999998</v>
      </c>
      <c r="I1048" s="6">
        <f>MOD(H1048-Settings!$B$32,Settings!$B$33)</f>
        <v>240.19999999999982</v>
      </c>
      <c r="J1048" s="6">
        <f>IF(I1048&lt;Settings!$B$30,IF(Settings!$B$30-I1048&gt;=E1048,H1048,H1048+(Settings!$B$30-I1048)+Settings!$B$31),H1048+(Settings!$B$33-I1048))</f>
        <v>2400.1999999999998</v>
      </c>
      <c r="K1048" s="6">
        <f t="shared" si="396"/>
        <v>2424.2199999999998</v>
      </c>
      <c r="L1048" s="6">
        <f t="shared" si="397"/>
        <v>2424.2199999999998</v>
      </c>
      <c r="M1048" s="6">
        <f t="shared" si="406"/>
        <v>2405.5737313238428</v>
      </c>
      <c r="N1048" s="6">
        <f t="shared" si="398"/>
        <v>2424.2199999999998</v>
      </c>
      <c r="O1048" s="6">
        <f>Arrivals!I1048</f>
        <v>1.1045303422597699</v>
      </c>
      <c r="P1048" s="6">
        <f t="shared" si="399"/>
        <v>2425.3245303422595</v>
      </c>
      <c r="Q1048" s="6">
        <f t="shared" si="400"/>
        <v>1861.3245303422595</v>
      </c>
      <c r="R1048" s="6">
        <f t="shared" si="401"/>
        <v>1836.1999999999998</v>
      </c>
      <c r="S1048" s="6">
        <f t="shared" si="402"/>
        <v>0</v>
      </c>
      <c r="T1048" s="6">
        <f t="shared" si="403"/>
        <v>0</v>
      </c>
      <c r="U1048" s="6">
        <f t="shared" si="404"/>
        <v>1836.1999999999998</v>
      </c>
      <c r="V1048" s="6" t="str">
        <f>IF(MOD(C1048-Settings!$B$32,Settings!$B$33)&lt;Settings!$B$30,"Up","Down")</f>
        <v>Up</v>
      </c>
      <c r="W1048" s="6">
        <f>IF(OR(E1048&gt;Settings!$B$30,Q1048&gt;Settings!$B$37),0,1)</f>
        <v>0</v>
      </c>
      <c r="X1048" s="6">
        <f>IF(AND(W1048=1,Q1048&lt;=Settings!$B$36),1,0)</f>
        <v>0</v>
      </c>
    </row>
    <row r="1049" spans="1:24" x14ac:dyDescent="0.2">
      <c r="A1049">
        <f>Arrivals!A1049</f>
        <v>9</v>
      </c>
      <c r="B1049">
        <f>Arrivals!B1049</f>
        <v>84</v>
      </c>
      <c r="C1049" s="6">
        <f>Arrivals!F1049</f>
        <v>569</v>
      </c>
      <c r="D1049" s="6">
        <f>Arrivals!K1049</f>
        <v>300</v>
      </c>
      <c r="E1049" s="6">
        <f>D1049*8/ACE_Input!S89+ACE_Input!T89</f>
        <v>24.02</v>
      </c>
      <c r="F1049" s="6">
        <f t="shared" si="394"/>
        <v>569</v>
      </c>
      <c r="G1049" s="6">
        <f t="shared" si="405"/>
        <v>2424.2199999999998</v>
      </c>
      <c r="H1049" s="6">
        <f t="shared" si="395"/>
        <v>2424.2199999999998</v>
      </c>
      <c r="I1049" s="6">
        <f>MOD(H1049-Settings!$B$32,Settings!$B$33)</f>
        <v>264.2199999999998</v>
      </c>
      <c r="J1049" s="6">
        <f>IF(I1049&lt;Settings!$B$30,IF(Settings!$B$30-I1049&gt;=E1049,H1049,H1049+(Settings!$B$30-I1049)+Settings!$B$31),H1049+(Settings!$B$33-I1049))</f>
        <v>2424.2199999999998</v>
      </c>
      <c r="K1049" s="6">
        <f t="shared" si="396"/>
        <v>2448.2399999999998</v>
      </c>
      <c r="L1049" s="6">
        <f t="shared" si="397"/>
        <v>2448.2399999999998</v>
      </c>
      <c r="M1049" s="6">
        <f t="shared" si="406"/>
        <v>2425.3245303422595</v>
      </c>
      <c r="N1049" s="6">
        <f t="shared" si="398"/>
        <v>2448.2399999999998</v>
      </c>
      <c r="O1049" s="6">
        <f>Arrivals!I1049</f>
        <v>1.5536841261883925</v>
      </c>
      <c r="P1049" s="6">
        <f t="shared" si="399"/>
        <v>2449.7936841261881</v>
      </c>
      <c r="Q1049" s="6">
        <f t="shared" si="400"/>
        <v>1880.7936841261881</v>
      </c>
      <c r="R1049" s="6">
        <f t="shared" si="401"/>
        <v>1855.2199999999998</v>
      </c>
      <c r="S1049" s="6">
        <f t="shared" si="402"/>
        <v>0</v>
      </c>
      <c r="T1049" s="6">
        <f t="shared" si="403"/>
        <v>0</v>
      </c>
      <c r="U1049" s="6">
        <f t="shared" si="404"/>
        <v>1855.2199999999998</v>
      </c>
      <c r="V1049" s="6" t="str">
        <f>IF(MOD(C1049-Settings!$B$32,Settings!$B$33)&lt;Settings!$B$30,"Up","Down")</f>
        <v>Up</v>
      </c>
      <c r="W1049" s="6">
        <f>IF(OR(E1049&gt;Settings!$B$30,Q1049&gt;Settings!$B$37),0,1)</f>
        <v>0</v>
      </c>
      <c r="X1049" s="6">
        <f>IF(AND(W1049=1,Q1049&lt;=Settings!$B$36),1,0)</f>
        <v>0</v>
      </c>
    </row>
    <row r="1050" spans="1:24" x14ac:dyDescent="0.2">
      <c r="A1050">
        <f>Arrivals!A1050</f>
        <v>9</v>
      </c>
      <c r="B1050">
        <f>Arrivals!B1050</f>
        <v>85</v>
      </c>
      <c r="C1050" s="6">
        <f>Arrivals!F1050</f>
        <v>574</v>
      </c>
      <c r="D1050" s="6">
        <f>Arrivals!K1050</f>
        <v>300</v>
      </c>
      <c r="E1050" s="6">
        <f>D1050*8/ACE_Input!S90+ACE_Input!T90</f>
        <v>24.02</v>
      </c>
      <c r="F1050" s="6">
        <f t="shared" si="394"/>
        <v>574</v>
      </c>
      <c r="G1050" s="6">
        <f t="shared" si="405"/>
        <v>2448.2399999999998</v>
      </c>
      <c r="H1050" s="6">
        <f t="shared" si="395"/>
        <v>2448.2399999999998</v>
      </c>
      <c r="I1050" s="6">
        <f>MOD(H1050-Settings!$B$32,Settings!$B$33)</f>
        <v>288.23999999999978</v>
      </c>
      <c r="J1050" s="6">
        <f>IF(I1050&lt;Settings!$B$30,IF(Settings!$B$30-I1050&gt;=E1050,H1050,H1050+(Settings!$B$30-I1050)+Settings!$B$31),H1050+(Settings!$B$33-I1050))</f>
        <v>2448.2399999999998</v>
      </c>
      <c r="K1050" s="6">
        <f t="shared" si="396"/>
        <v>2472.2599999999998</v>
      </c>
      <c r="L1050" s="6">
        <f t="shared" si="397"/>
        <v>2472.2599999999998</v>
      </c>
      <c r="M1050" s="6">
        <f t="shared" si="406"/>
        <v>2449.7936841261881</v>
      </c>
      <c r="N1050" s="6">
        <f t="shared" si="398"/>
        <v>2472.2599999999998</v>
      </c>
      <c r="O1050" s="6">
        <f>Arrivals!I1050</f>
        <v>5.1402990388699292</v>
      </c>
      <c r="P1050" s="6">
        <f t="shared" si="399"/>
        <v>2477.4002990388699</v>
      </c>
      <c r="Q1050" s="6">
        <f t="shared" si="400"/>
        <v>1903.4002990388699</v>
      </c>
      <c r="R1050" s="6">
        <f t="shared" si="401"/>
        <v>1874.2399999999998</v>
      </c>
      <c r="S1050" s="6">
        <f t="shared" si="402"/>
        <v>0</v>
      </c>
      <c r="T1050" s="6">
        <f t="shared" si="403"/>
        <v>0</v>
      </c>
      <c r="U1050" s="6">
        <f t="shared" si="404"/>
        <v>1874.2399999999998</v>
      </c>
      <c r="V1050" s="6" t="str">
        <f>IF(MOD(C1050-Settings!$B$32,Settings!$B$33)&lt;Settings!$B$30,"Up","Down")</f>
        <v>Up</v>
      </c>
      <c r="W1050" s="6">
        <f>IF(OR(E1050&gt;Settings!$B$30,Q1050&gt;Settings!$B$37),0,1)</f>
        <v>0</v>
      </c>
      <c r="X1050" s="6">
        <f>IF(AND(W1050=1,Q1050&lt;=Settings!$B$36),1,0)</f>
        <v>0</v>
      </c>
    </row>
    <row r="1051" spans="1:24" x14ac:dyDescent="0.2">
      <c r="A1051">
        <f>Arrivals!A1051</f>
        <v>9</v>
      </c>
      <c r="B1051">
        <f>Arrivals!B1051</f>
        <v>86</v>
      </c>
      <c r="C1051" s="6">
        <f>Arrivals!F1051</f>
        <v>579</v>
      </c>
      <c r="D1051" s="6">
        <f>Arrivals!K1051</f>
        <v>300</v>
      </c>
      <c r="E1051" s="6">
        <f>D1051*8/ACE_Input!S91+ACE_Input!T91</f>
        <v>24.02</v>
      </c>
      <c r="F1051" s="6">
        <f t="shared" si="394"/>
        <v>579</v>
      </c>
      <c r="G1051" s="6">
        <f t="shared" si="405"/>
        <v>2472.2599999999998</v>
      </c>
      <c r="H1051" s="6">
        <f t="shared" si="395"/>
        <v>2472.2599999999998</v>
      </c>
      <c r="I1051" s="6">
        <f>MOD(H1051-Settings!$B$32,Settings!$B$33)</f>
        <v>312.25999999999976</v>
      </c>
      <c r="J1051" s="6">
        <f>IF(I1051&lt;Settings!$B$30,IF(Settings!$B$30-I1051&gt;=E1051,H1051,H1051+(Settings!$B$30-I1051)+Settings!$B$31),H1051+(Settings!$B$33-I1051))</f>
        <v>2472.2599999999998</v>
      </c>
      <c r="K1051" s="6">
        <f t="shared" si="396"/>
        <v>2496.2799999999997</v>
      </c>
      <c r="L1051" s="6">
        <f t="shared" si="397"/>
        <v>2496.2799999999997</v>
      </c>
      <c r="M1051" s="6">
        <f t="shared" si="406"/>
        <v>2477.4002990388699</v>
      </c>
      <c r="N1051" s="6">
        <f t="shared" si="398"/>
        <v>2496.2799999999997</v>
      </c>
      <c r="O1051" s="6">
        <f>Arrivals!I1051</f>
        <v>4.573212625693019</v>
      </c>
      <c r="P1051" s="6">
        <f t="shared" si="399"/>
        <v>2500.8532126256928</v>
      </c>
      <c r="Q1051" s="6">
        <f t="shared" si="400"/>
        <v>1921.8532126256928</v>
      </c>
      <c r="R1051" s="6">
        <f t="shared" si="401"/>
        <v>1893.2599999999998</v>
      </c>
      <c r="S1051" s="6">
        <f t="shared" si="402"/>
        <v>0</v>
      </c>
      <c r="T1051" s="6">
        <f t="shared" si="403"/>
        <v>0</v>
      </c>
      <c r="U1051" s="6">
        <f t="shared" si="404"/>
        <v>1893.2599999999998</v>
      </c>
      <c r="V1051" s="6" t="str">
        <f>IF(MOD(C1051-Settings!$B$32,Settings!$B$33)&lt;Settings!$B$30,"Up","Down")</f>
        <v>Up</v>
      </c>
      <c r="W1051" s="6">
        <f>IF(OR(E1051&gt;Settings!$B$30,Q1051&gt;Settings!$B$37),0,1)</f>
        <v>0</v>
      </c>
      <c r="X1051" s="6">
        <f>IF(AND(W1051=1,Q1051&lt;=Settings!$B$36),1,0)</f>
        <v>0</v>
      </c>
    </row>
    <row r="1052" spans="1:24" x14ac:dyDescent="0.2">
      <c r="A1052">
        <f>Arrivals!A1052</f>
        <v>9</v>
      </c>
      <c r="B1052">
        <f>Arrivals!B1052</f>
        <v>87</v>
      </c>
      <c r="C1052" s="6">
        <f>Arrivals!F1052</f>
        <v>584</v>
      </c>
      <c r="D1052" s="6">
        <f>Arrivals!K1052</f>
        <v>300</v>
      </c>
      <c r="E1052" s="6">
        <f>D1052*8/ACE_Input!S92+ACE_Input!T92</f>
        <v>24.02</v>
      </c>
      <c r="F1052" s="6">
        <f t="shared" si="394"/>
        <v>584</v>
      </c>
      <c r="G1052" s="6">
        <f t="shared" si="405"/>
        <v>2496.2799999999997</v>
      </c>
      <c r="H1052" s="6">
        <f t="shared" si="395"/>
        <v>2496.2799999999997</v>
      </c>
      <c r="I1052" s="6">
        <f>MOD(H1052-Settings!$B$32,Settings!$B$33)</f>
        <v>336.27999999999975</v>
      </c>
      <c r="J1052" s="6">
        <f>IF(I1052&lt;Settings!$B$30,IF(Settings!$B$30-I1052&gt;=E1052,H1052,H1052+(Settings!$B$30-I1052)+Settings!$B$31),H1052+(Settings!$B$33-I1052))</f>
        <v>2496.2799999999997</v>
      </c>
      <c r="K1052" s="6">
        <f t="shared" si="396"/>
        <v>2520.2999999999997</v>
      </c>
      <c r="L1052" s="6">
        <f t="shared" si="397"/>
        <v>2520.2999999999997</v>
      </c>
      <c r="M1052" s="6">
        <f t="shared" si="406"/>
        <v>2500.8532126256928</v>
      </c>
      <c r="N1052" s="6">
        <f t="shared" si="398"/>
        <v>2520.2999999999997</v>
      </c>
      <c r="O1052" s="6">
        <f>Arrivals!I1052</f>
        <v>2.9991191359538787</v>
      </c>
      <c r="P1052" s="6">
        <f t="shared" si="399"/>
        <v>2523.2991191359538</v>
      </c>
      <c r="Q1052" s="6">
        <f t="shared" si="400"/>
        <v>1939.2991191359538</v>
      </c>
      <c r="R1052" s="6">
        <f t="shared" si="401"/>
        <v>1912.2799999999997</v>
      </c>
      <c r="S1052" s="6">
        <f t="shared" si="402"/>
        <v>0</v>
      </c>
      <c r="T1052" s="6">
        <f t="shared" si="403"/>
        <v>0</v>
      </c>
      <c r="U1052" s="6">
        <f t="shared" si="404"/>
        <v>1912.2799999999997</v>
      </c>
      <c r="V1052" s="6" t="str">
        <f>IF(MOD(C1052-Settings!$B$32,Settings!$B$33)&lt;Settings!$B$30,"Up","Down")</f>
        <v>Up</v>
      </c>
      <c r="W1052" s="6">
        <f>IF(OR(E1052&gt;Settings!$B$30,Q1052&gt;Settings!$B$37),0,1)</f>
        <v>0</v>
      </c>
      <c r="X1052" s="6">
        <f>IF(AND(W1052=1,Q1052&lt;=Settings!$B$36),1,0)</f>
        <v>0</v>
      </c>
    </row>
    <row r="1053" spans="1:24" x14ac:dyDescent="0.2">
      <c r="A1053">
        <f>Arrivals!A1053</f>
        <v>9</v>
      </c>
      <c r="B1053">
        <f>Arrivals!B1053</f>
        <v>88</v>
      </c>
      <c r="C1053" s="6">
        <f>Arrivals!F1053</f>
        <v>589</v>
      </c>
      <c r="D1053" s="6">
        <f>Arrivals!K1053</f>
        <v>300</v>
      </c>
      <c r="E1053" s="6">
        <f>D1053*8/ACE_Input!S93+ACE_Input!T93</f>
        <v>24.02</v>
      </c>
      <c r="F1053" s="6">
        <f t="shared" si="394"/>
        <v>589</v>
      </c>
      <c r="G1053" s="6">
        <f t="shared" si="405"/>
        <v>2520.2999999999997</v>
      </c>
      <c r="H1053" s="6">
        <f t="shared" si="395"/>
        <v>2520.2999999999997</v>
      </c>
      <c r="I1053" s="6">
        <f>MOD(H1053-Settings!$B$32,Settings!$B$33)</f>
        <v>360.29999999999973</v>
      </c>
      <c r="J1053" s="6">
        <f>IF(I1053&lt;Settings!$B$30,IF(Settings!$B$30-I1053&gt;=E1053,H1053,H1053+(Settings!$B$30-I1053)+Settings!$B$31),H1053+(Settings!$B$33-I1053))</f>
        <v>2520.2999999999997</v>
      </c>
      <c r="K1053" s="6">
        <f t="shared" si="396"/>
        <v>2544.3199999999997</v>
      </c>
      <c r="L1053" s="6">
        <f t="shared" si="397"/>
        <v>2544.3199999999997</v>
      </c>
      <c r="M1053" s="6">
        <f t="shared" si="406"/>
        <v>2523.2991191359538</v>
      </c>
      <c r="N1053" s="6">
        <f t="shared" si="398"/>
        <v>2544.3199999999997</v>
      </c>
      <c r="O1053" s="6">
        <f>Arrivals!I1053</f>
        <v>0.82734108796966011</v>
      </c>
      <c r="P1053" s="6">
        <f t="shared" si="399"/>
        <v>2545.1473410879694</v>
      </c>
      <c r="Q1053" s="6">
        <f t="shared" si="400"/>
        <v>1956.1473410879694</v>
      </c>
      <c r="R1053" s="6">
        <f t="shared" si="401"/>
        <v>1931.2999999999997</v>
      </c>
      <c r="S1053" s="6">
        <f t="shared" si="402"/>
        <v>0</v>
      </c>
      <c r="T1053" s="6">
        <f t="shared" si="403"/>
        <v>0</v>
      </c>
      <c r="U1053" s="6">
        <f t="shared" si="404"/>
        <v>1931.2999999999997</v>
      </c>
      <c r="V1053" s="6" t="str">
        <f>IF(MOD(C1053-Settings!$B$32,Settings!$B$33)&lt;Settings!$B$30,"Up","Down")</f>
        <v>Up</v>
      </c>
      <c r="W1053" s="6">
        <f>IF(OR(E1053&gt;Settings!$B$30,Q1053&gt;Settings!$B$37),0,1)</f>
        <v>0</v>
      </c>
      <c r="X1053" s="6">
        <f>IF(AND(W1053=1,Q1053&lt;=Settings!$B$36),1,0)</f>
        <v>0</v>
      </c>
    </row>
    <row r="1054" spans="1:24" x14ac:dyDescent="0.2">
      <c r="A1054">
        <f>Arrivals!A1054</f>
        <v>9</v>
      </c>
      <c r="B1054">
        <f>Arrivals!B1054</f>
        <v>89</v>
      </c>
      <c r="C1054" s="6">
        <f>Arrivals!F1054</f>
        <v>594</v>
      </c>
      <c r="D1054" s="6">
        <f>Arrivals!K1054</f>
        <v>300</v>
      </c>
      <c r="E1054" s="6">
        <f>D1054*8/ACE_Input!S94+ACE_Input!T94</f>
        <v>24.02</v>
      </c>
      <c r="F1054" s="6">
        <f t="shared" si="394"/>
        <v>594</v>
      </c>
      <c r="G1054" s="6">
        <f t="shared" si="405"/>
        <v>2544.3199999999997</v>
      </c>
      <c r="H1054" s="6">
        <f t="shared" si="395"/>
        <v>2544.3199999999997</v>
      </c>
      <c r="I1054" s="6">
        <f>MOD(H1054-Settings!$B$32,Settings!$B$33)</f>
        <v>384.31999999999971</v>
      </c>
      <c r="J1054" s="6">
        <f>IF(I1054&lt;Settings!$B$30,IF(Settings!$B$30-I1054&gt;=E1054,H1054,H1054+(Settings!$B$30-I1054)+Settings!$B$31),H1054+(Settings!$B$33-I1054))</f>
        <v>2544.3199999999997</v>
      </c>
      <c r="K1054" s="6">
        <f t="shared" si="396"/>
        <v>2568.3399999999997</v>
      </c>
      <c r="L1054" s="6">
        <f t="shared" si="397"/>
        <v>2568.3399999999997</v>
      </c>
      <c r="M1054" s="6">
        <f t="shared" si="406"/>
        <v>2545.1473410879694</v>
      </c>
      <c r="N1054" s="6">
        <f t="shared" si="398"/>
        <v>2568.3399999999997</v>
      </c>
      <c r="O1054" s="6">
        <f>Arrivals!I1054</f>
        <v>1.5878714446863886</v>
      </c>
      <c r="P1054" s="6">
        <f t="shared" si="399"/>
        <v>2569.9278714446859</v>
      </c>
      <c r="Q1054" s="6">
        <f t="shared" si="400"/>
        <v>1975.9278714446859</v>
      </c>
      <c r="R1054" s="6">
        <f t="shared" si="401"/>
        <v>1950.3199999999997</v>
      </c>
      <c r="S1054" s="6">
        <f t="shared" si="402"/>
        <v>0</v>
      </c>
      <c r="T1054" s="6">
        <f t="shared" si="403"/>
        <v>0</v>
      </c>
      <c r="U1054" s="6">
        <f t="shared" si="404"/>
        <v>1950.3199999999997</v>
      </c>
      <c r="V1054" s="6" t="str">
        <f>IF(MOD(C1054-Settings!$B$32,Settings!$B$33)&lt;Settings!$B$30,"Up","Down")</f>
        <v>Up</v>
      </c>
      <c r="W1054" s="6">
        <f>IF(OR(E1054&gt;Settings!$B$30,Q1054&gt;Settings!$B$37),0,1)</f>
        <v>0</v>
      </c>
      <c r="X1054" s="6">
        <f>IF(AND(W1054=1,Q1054&lt;=Settings!$B$36),1,0)</f>
        <v>0</v>
      </c>
    </row>
    <row r="1055" spans="1:24" x14ac:dyDescent="0.2">
      <c r="A1055">
        <f>Arrivals!A1055</f>
        <v>9</v>
      </c>
      <c r="B1055">
        <f>Arrivals!B1055</f>
        <v>90</v>
      </c>
      <c r="C1055" s="6">
        <f>Arrivals!F1055</f>
        <v>599</v>
      </c>
      <c r="D1055" s="6">
        <f>Arrivals!K1055</f>
        <v>300</v>
      </c>
      <c r="E1055" s="6">
        <f>D1055*8/ACE_Input!S95+ACE_Input!T95</f>
        <v>24.02</v>
      </c>
      <c r="F1055" s="6">
        <f t="shared" si="394"/>
        <v>599</v>
      </c>
      <c r="G1055" s="6">
        <f t="shared" si="405"/>
        <v>2568.3399999999997</v>
      </c>
      <c r="H1055" s="6">
        <f t="shared" si="395"/>
        <v>2568.3399999999997</v>
      </c>
      <c r="I1055" s="6">
        <f>MOD(H1055-Settings!$B$32,Settings!$B$33)</f>
        <v>408.33999999999969</v>
      </c>
      <c r="J1055" s="6">
        <f>IF(I1055&lt;Settings!$B$30,IF(Settings!$B$30-I1055&gt;=E1055,H1055,H1055+(Settings!$B$30-I1055)+Settings!$B$31),H1055+(Settings!$B$33-I1055))</f>
        <v>2568.3399999999997</v>
      </c>
      <c r="K1055" s="6">
        <f t="shared" si="396"/>
        <v>2592.3599999999997</v>
      </c>
      <c r="L1055" s="6">
        <f t="shared" si="397"/>
        <v>2592.3599999999997</v>
      </c>
      <c r="M1055" s="6">
        <f t="shared" si="406"/>
        <v>2569.9278714446859</v>
      </c>
      <c r="N1055" s="6">
        <f t="shared" si="398"/>
        <v>2592.3599999999997</v>
      </c>
      <c r="O1055" s="6">
        <f>Arrivals!I1055</f>
        <v>5.0755991173390642</v>
      </c>
      <c r="P1055" s="6">
        <f t="shared" si="399"/>
        <v>2597.4355991173388</v>
      </c>
      <c r="Q1055" s="6">
        <f t="shared" si="400"/>
        <v>1998.4355991173388</v>
      </c>
      <c r="R1055" s="6">
        <f t="shared" si="401"/>
        <v>1969.3399999999997</v>
      </c>
      <c r="S1055" s="6">
        <f t="shared" si="402"/>
        <v>0</v>
      </c>
      <c r="T1055" s="6">
        <f t="shared" si="403"/>
        <v>0</v>
      </c>
      <c r="U1055" s="6">
        <f t="shared" si="404"/>
        <v>1969.3399999999997</v>
      </c>
      <c r="V1055" s="6" t="str">
        <f>IF(MOD(C1055-Settings!$B$32,Settings!$B$33)&lt;Settings!$B$30,"Up","Down")</f>
        <v>Up</v>
      </c>
      <c r="W1055" s="6">
        <f>IF(OR(E1055&gt;Settings!$B$30,Q1055&gt;Settings!$B$37),0,1)</f>
        <v>0</v>
      </c>
      <c r="X1055" s="6">
        <f>IF(AND(W1055=1,Q1055&lt;=Settings!$B$36),1,0)</f>
        <v>0</v>
      </c>
    </row>
    <row r="1056" spans="1:24" x14ac:dyDescent="0.2">
      <c r="A1056">
        <f>Arrivals!A1056</f>
        <v>9</v>
      </c>
      <c r="B1056">
        <f>Arrivals!B1056</f>
        <v>91</v>
      </c>
      <c r="C1056" s="6">
        <f>Arrivals!F1056</f>
        <v>604</v>
      </c>
      <c r="D1056" s="6">
        <f>Arrivals!K1056</f>
        <v>300</v>
      </c>
      <c r="E1056" s="6">
        <f>D1056*8/ACE_Input!S96+ACE_Input!T96</f>
        <v>24.02</v>
      </c>
      <c r="F1056" s="6">
        <f t="shared" si="394"/>
        <v>604</v>
      </c>
      <c r="G1056" s="6">
        <f t="shared" si="405"/>
        <v>2592.3599999999997</v>
      </c>
      <c r="H1056" s="6">
        <f t="shared" si="395"/>
        <v>2592.3599999999997</v>
      </c>
      <c r="I1056" s="6">
        <f>MOD(H1056-Settings!$B$32,Settings!$B$33)</f>
        <v>432.35999999999967</v>
      </c>
      <c r="J1056" s="6">
        <f>IF(I1056&lt;Settings!$B$30,IF(Settings!$B$30-I1056&gt;=E1056,H1056,H1056+(Settings!$B$30-I1056)+Settings!$B$31),H1056+(Settings!$B$33-I1056))</f>
        <v>2592.3599999999997</v>
      </c>
      <c r="K1056" s="6">
        <f t="shared" si="396"/>
        <v>2616.3799999999997</v>
      </c>
      <c r="L1056" s="6">
        <f t="shared" si="397"/>
        <v>2616.3799999999997</v>
      </c>
      <c r="M1056" s="6">
        <f t="shared" si="406"/>
        <v>2597.4355991173388</v>
      </c>
      <c r="N1056" s="6">
        <f t="shared" si="398"/>
        <v>2616.3799999999997</v>
      </c>
      <c r="O1056" s="6">
        <f>Arrivals!I1056</f>
        <v>8.0727149732210428</v>
      </c>
      <c r="P1056" s="6">
        <f t="shared" si="399"/>
        <v>2624.4527149732207</v>
      </c>
      <c r="Q1056" s="6">
        <f t="shared" si="400"/>
        <v>2020.4527149732207</v>
      </c>
      <c r="R1056" s="6">
        <f t="shared" si="401"/>
        <v>1988.3599999999997</v>
      </c>
      <c r="S1056" s="6">
        <f t="shared" si="402"/>
        <v>0</v>
      </c>
      <c r="T1056" s="6">
        <f t="shared" si="403"/>
        <v>0</v>
      </c>
      <c r="U1056" s="6">
        <f t="shared" si="404"/>
        <v>1988.3599999999997</v>
      </c>
      <c r="V1056" s="6" t="str">
        <f>IF(MOD(C1056-Settings!$B$32,Settings!$B$33)&lt;Settings!$B$30,"Up","Down")</f>
        <v>Down</v>
      </c>
      <c r="W1056" s="6">
        <f>IF(OR(E1056&gt;Settings!$B$30,Q1056&gt;Settings!$B$37),0,1)</f>
        <v>0</v>
      </c>
      <c r="X1056" s="6">
        <f>IF(AND(W1056=1,Q1056&lt;=Settings!$B$36),1,0)</f>
        <v>0</v>
      </c>
    </row>
    <row r="1057" spans="1:24" x14ac:dyDescent="0.2">
      <c r="A1057">
        <f>Arrivals!A1057</f>
        <v>9</v>
      </c>
      <c r="B1057">
        <f>Arrivals!B1057</f>
        <v>92</v>
      </c>
      <c r="C1057" s="6">
        <f>Arrivals!F1057</f>
        <v>609</v>
      </c>
      <c r="D1057" s="6">
        <f>Arrivals!K1057</f>
        <v>300</v>
      </c>
      <c r="E1057" s="6">
        <f>D1057*8/ACE_Input!S97+ACE_Input!T97</f>
        <v>24.02</v>
      </c>
      <c r="F1057" s="6">
        <f t="shared" si="394"/>
        <v>609</v>
      </c>
      <c r="G1057" s="6">
        <f t="shared" si="405"/>
        <v>2616.3799999999997</v>
      </c>
      <c r="H1057" s="6">
        <f t="shared" si="395"/>
        <v>2616.3799999999997</v>
      </c>
      <c r="I1057" s="6">
        <f>MOD(H1057-Settings!$B$32,Settings!$B$33)</f>
        <v>456.37999999999965</v>
      </c>
      <c r="J1057" s="6">
        <f>IF(I1057&lt;Settings!$B$30,IF(Settings!$B$30-I1057&gt;=E1057,H1057,H1057+(Settings!$B$30-I1057)+Settings!$B$31),H1057+(Settings!$B$33-I1057))</f>
        <v>2616.3799999999997</v>
      </c>
      <c r="K1057" s="6">
        <f t="shared" si="396"/>
        <v>2640.3999999999996</v>
      </c>
      <c r="L1057" s="6">
        <f t="shared" si="397"/>
        <v>2640.3999999999996</v>
      </c>
      <c r="M1057" s="6">
        <f t="shared" si="406"/>
        <v>2624.4527149732207</v>
      </c>
      <c r="N1057" s="6">
        <f t="shared" si="398"/>
        <v>2640.3999999999996</v>
      </c>
      <c r="O1057" s="6">
        <f>Arrivals!I1057</f>
        <v>2.0123102309417895</v>
      </c>
      <c r="P1057" s="6">
        <f t="shared" si="399"/>
        <v>2642.4123102309413</v>
      </c>
      <c r="Q1057" s="6">
        <f t="shared" si="400"/>
        <v>2033.4123102309413</v>
      </c>
      <c r="R1057" s="6">
        <f t="shared" si="401"/>
        <v>2007.3799999999997</v>
      </c>
      <c r="S1057" s="6">
        <f t="shared" si="402"/>
        <v>0</v>
      </c>
      <c r="T1057" s="6">
        <f t="shared" si="403"/>
        <v>0</v>
      </c>
      <c r="U1057" s="6">
        <f t="shared" si="404"/>
        <v>2007.3799999999997</v>
      </c>
      <c r="V1057" s="6" t="str">
        <f>IF(MOD(C1057-Settings!$B$32,Settings!$B$33)&lt;Settings!$B$30,"Up","Down")</f>
        <v>Down</v>
      </c>
      <c r="W1057" s="6">
        <f>IF(OR(E1057&gt;Settings!$B$30,Q1057&gt;Settings!$B$37),0,1)</f>
        <v>0</v>
      </c>
      <c r="X1057" s="6">
        <f>IF(AND(W1057=1,Q1057&lt;=Settings!$B$36),1,0)</f>
        <v>0</v>
      </c>
    </row>
    <row r="1058" spans="1:24" x14ac:dyDescent="0.2">
      <c r="A1058">
        <f>Arrivals!A1058</f>
        <v>9</v>
      </c>
      <c r="B1058">
        <f>Arrivals!B1058</f>
        <v>93</v>
      </c>
      <c r="C1058" s="6">
        <f>Arrivals!F1058</f>
        <v>614</v>
      </c>
      <c r="D1058" s="6">
        <f>Arrivals!K1058</f>
        <v>300</v>
      </c>
      <c r="E1058" s="6">
        <f>D1058*8/ACE_Input!S98+ACE_Input!T98</f>
        <v>24.02</v>
      </c>
      <c r="F1058" s="6">
        <f t="shared" si="394"/>
        <v>614</v>
      </c>
      <c r="G1058" s="6">
        <f t="shared" si="405"/>
        <v>2640.3999999999996</v>
      </c>
      <c r="H1058" s="6">
        <f t="shared" si="395"/>
        <v>2640.3999999999996</v>
      </c>
      <c r="I1058" s="6">
        <f>MOD(H1058-Settings!$B$32,Settings!$B$33)</f>
        <v>480.39999999999964</v>
      </c>
      <c r="J1058" s="6">
        <f>IF(I1058&lt;Settings!$B$30,IF(Settings!$B$30-I1058&gt;=E1058,H1058,H1058+(Settings!$B$30-I1058)+Settings!$B$31),H1058+(Settings!$B$33-I1058))</f>
        <v>2640.3999999999996</v>
      </c>
      <c r="K1058" s="6">
        <f t="shared" si="396"/>
        <v>2664.4199999999996</v>
      </c>
      <c r="L1058" s="6">
        <f t="shared" si="397"/>
        <v>2664.4199999999996</v>
      </c>
      <c r="M1058" s="6">
        <f t="shared" si="406"/>
        <v>2642.4123102309413</v>
      </c>
      <c r="N1058" s="6">
        <f t="shared" si="398"/>
        <v>2664.4199999999996</v>
      </c>
      <c r="O1058" s="6">
        <f>Arrivals!I1058</f>
        <v>1.8069530998682195</v>
      </c>
      <c r="P1058" s="6">
        <f t="shared" si="399"/>
        <v>2666.2269530998678</v>
      </c>
      <c r="Q1058" s="6">
        <f t="shared" si="400"/>
        <v>2052.2269530998678</v>
      </c>
      <c r="R1058" s="6">
        <f t="shared" si="401"/>
        <v>2026.3999999999996</v>
      </c>
      <c r="S1058" s="6">
        <f t="shared" si="402"/>
        <v>0</v>
      </c>
      <c r="T1058" s="6">
        <f t="shared" si="403"/>
        <v>0</v>
      </c>
      <c r="U1058" s="6">
        <f t="shared" si="404"/>
        <v>2026.3999999999996</v>
      </c>
      <c r="V1058" s="6" t="str">
        <f>IF(MOD(C1058-Settings!$B$32,Settings!$B$33)&lt;Settings!$B$30,"Up","Down")</f>
        <v>Down</v>
      </c>
      <c r="W1058" s="6">
        <f>IF(OR(E1058&gt;Settings!$B$30,Q1058&gt;Settings!$B$37),0,1)</f>
        <v>0</v>
      </c>
      <c r="X1058" s="6">
        <f>IF(AND(W1058=1,Q1058&lt;=Settings!$B$36),1,0)</f>
        <v>0</v>
      </c>
    </row>
    <row r="1059" spans="1:24" x14ac:dyDescent="0.2">
      <c r="A1059">
        <f>Arrivals!A1059</f>
        <v>9</v>
      </c>
      <c r="B1059">
        <f>Arrivals!B1059</f>
        <v>94</v>
      </c>
      <c r="C1059" s="6">
        <f>Arrivals!F1059</f>
        <v>619</v>
      </c>
      <c r="D1059" s="6">
        <f>Arrivals!K1059</f>
        <v>300</v>
      </c>
      <c r="E1059" s="6">
        <f>D1059*8/ACE_Input!S99+ACE_Input!T99</f>
        <v>24.02</v>
      </c>
      <c r="F1059" s="6">
        <f t="shared" si="394"/>
        <v>619</v>
      </c>
      <c r="G1059" s="6">
        <f t="shared" si="405"/>
        <v>2664.4199999999996</v>
      </c>
      <c r="H1059" s="6">
        <f t="shared" si="395"/>
        <v>2664.4199999999996</v>
      </c>
      <c r="I1059" s="6">
        <f>MOD(H1059-Settings!$B$32,Settings!$B$33)</f>
        <v>504.41999999999962</v>
      </c>
      <c r="J1059" s="6">
        <f>IF(I1059&lt;Settings!$B$30,IF(Settings!$B$30-I1059&gt;=E1059,H1059,H1059+(Settings!$B$30-I1059)+Settings!$B$31),H1059+(Settings!$B$33-I1059))</f>
        <v>2664.4199999999996</v>
      </c>
      <c r="K1059" s="6">
        <f t="shared" si="396"/>
        <v>2688.4399999999996</v>
      </c>
      <c r="L1059" s="6">
        <f t="shared" si="397"/>
        <v>2688.4399999999996</v>
      </c>
      <c r="M1059" s="6">
        <f t="shared" si="406"/>
        <v>2666.2269530998678</v>
      </c>
      <c r="N1059" s="6">
        <f t="shared" si="398"/>
        <v>2688.4399999999996</v>
      </c>
      <c r="O1059" s="6">
        <f>Arrivals!I1059</f>
        <v>21.987394859546164</v>
      </c>
      <c r="P1059" s="6">
        <f t="shared" si="399"/>
        <v>2710.427394859546</v>
      </c>
      <c r="Q1059" s="6">
        <f t="shared" si="400"/>
        <v>2091.427394859546</v>
      </c>
      <c r="R1059" s="6">
        <f t="shared" si="401"/>
        <v>2045.4199999999996</v>
      </c>
      <c r="S1059" s="6">
        <f t="shared" si="402"/>
        <v>0</v>
      </c>
      <c r="T1059" s="6">
        <f t="shared" si="403"/>
        <v>0</v>
      </c>
      <c r="U1059" s="6">
        <f t="shared" si="404"/>
        <v>2045.4199999999996</v>
      </c>
      <c r="V1059" s="6" t="str">
        <f>IF(MOD(C1059-Settings!$B$32,Settings!$B$33)&lt;Settings!$B$30,"Up","Down")</f>
        <v>Down</v>
      </c>
      <c r="W1059" s="6">
        <f>IF(OR(E1059&gt;Settings!$B$30,Q1059&gt;Settings!$B$37),0,1)</f>
        <v>0</v>
      </c>
      <c r="X1059" s="6">
        <f>IF(AND(W1059=1,Q1059&lt;=Settings!$B$36),1,0)</f>
        <v>0</v>
      </c>
    </row>
    <row r="1060" spans="1:24" x14ac:dyDescent="0.2">
      <c r="A1060">
        <f>Arrivals!A1060</f>
        <v>9</v>
      </c>
      <c r="B1060">
        <f>Arrivals!B1060</f>
        <v>95</v>
      </c>
      <c r="C1060" s="6">
        <f>Arrivals!F1060</f>
        <v>624</v>
      </c>
      <c r="D1060" s="6">
        <f>Arrivals!K1060</f>
        <v>300</v>
      </c>
      <c r="E1060" s="6">
        <f>D1060*8/ACE_Input!S100+ACE_Input!T100</f>
        <v>24.02</v>
      </c>
      <c r="F1060" s="6">
        <f t="shared" si="394"/>
        <v>624</v>
      </c>
      <c r="G1060" s="6">
        <f t="shared" si="405"/>
        <v>2688.4399999999996</v>
      </c>
      <c r="H1060" s="6">
        <f t="shared" si="395"/>
        <v>2688.4399999999996</v>
      </c>
      <c r="I1060" s="6">
        <f>MOD(H1060-Settings!$B$32,Settings!$B$33)</f>
        <v>528.4399999999996</v>
      </c>
      <c r="J1060" s="6">
        <f>IF(I1060&lt;Settings!$B$30,IF(Settings!$B$30-I1060&gt;=E1060,H1060,H1060+(Settings!$B$30-I1060)+Settings!$B$31),H1060+(Settings!$B$33-I1060))</f>
        <v>2688.4399999999996</v>
      </c>
      <c r="K1060" s="6">
        <f t="shared" si="396"/>
        <v>2712.4599999999996</v>
      </c>
      <c r="L1060" s="6">
        <f t="shared" si="397"/>
        <v>2712.4599999999996</v>
      </c>
      <c r="M1060" s="6">
        <f t="shared" si="406"/>
        <v>2710.427394859546</v>
      </c>
      <c r="N1060" s="6">
        <f t="shared" si="398"/>
        <v>2712.4599999999996</v>
      </c>
      <c r="O1060" s="6">
        <f>Arrivals!I1060</f>
        <v>0.40742531332638815</v>
      </c>
      <c r="P1060" s="6">
        <f t="shared" si="399"/>
        <v>2712.8674253133258</v>
      </c>
      <c r="Q1060" s="6">
        <f t="shared" si="400"/>
        <v>2088.8674253133258</v>
      </c>
      <c r="R1060" s="6">
        <f t="shared" si="401"/>
        <v>2064.4399999999996</v>
      </c>
      <c r="S1060" s="6">
        <f t="shared" si="402"/>
        <v>0</v>
      </c>
      <c r="T1060" s="6">
        <f t="shared" si="403"/>
        <v>0</v>
      </c>
      <c r="U1060" s="6">
        <f t="shared" si="404"/>
        <v>2064.4399999999996</v>
      </c>
      <c r="V1060" s="6" t="str">
        <f>IF(MOD(C1060-Settings!$B$32,Settings!$B$33)&lt;Settings!$B$30,"Up","Down")</f>
        <v>Down</v>
      </c>
      <c r="W1060" s="6">
        <f>IF(OR(E1060&gt;Settings!$B$30,Q1060&gt;Settings!$B$37),0,1)</f>
        <v>0</v>
      </c>
      <c r="X1060" s="6">
        <f>IF(AND(W1060=1,Q1060&lt;=Settings!$B$36),1,0)</f>
        <v>0</v>
      </c>
    </row>
    <row r="1061" spans="1:24" x14ac:dyDescent="0.2">
      <c r="A1061">
        <f>Arrivals!A1061</f>
        <v>9</v>
      </c>
      <c r="B1061">
        <f>Arrivals!B1061</f>
        <v>96</v>
      </c>
      <c r="C1061" s="6">
        <f>Arrivals!F1061</f>
        <v>629</v>
      </c>
      <c r="D1061" s="6">
        <f>Arrivals!K1061</f>
        <v>300</v>
      </c>
      <c r="E1061" s="6">
        <f>D1061*8/ACE_Input!S101+ACE_Input!T101</f>
        <v>24.02</v>
      </c>
      <c r="F1061" s="6">
        <f t="shared" si="394"/>
        <v>629</v>
      </c>
      <c r="G1061" s="6">
        <f t="shared" si="405"/>
        <v>2712.4599999999996</v>
      </c>
      <c r="H1061" s="6">
        <f t="shared" si="395"/>
        <v>2712.4599999999996</v>
      </c>
      <c r="I1061" s="6">
        <f>MOD(H1061-Settings!$B$32,Settings!$B$33)</f>
        <v>552.45999999999958</v>
      </c>
      <c r="J1061" s="6">
        <f>IF(I1061&lt;Settings!$B$30,IF(Settings!$B$30-I1061&gt;=E1061,H1061,H1061+(Settings!$B$30-I1061)+Settings!$B$31),H1061+(Settings!$B$33-I1061))</f>
        <v>2712.4599999999996</v>
      </c>
      <c r="K1061" s="6">
        <f t="shared" si="396"/>
        <v>2736.4799999999996</v>
      </c>
      <c r="L1061" s="6">
        <f t="shared" si="397"/>
        <v>2736.4799999999996</v>
      </c>
      <c r="M1061" s="6">
        <f t="shared" si="406"/>
        <v>2712.8674253133258</v>
      </c>
      <c r="N1061" s="6">
        <f t="shared" si="398"/>
        <v>2736.4799999999996</v>
      </c>
      <c r="O1061" s="6">
        <f>Arrivals!I1061</f>
        <v>3.6815190019357082</v>
      </c>
      <c r="P1061" s="6">
        <f t="shared" si="399"/>
        <v>2740.1615190019352</v>
      </c>
      <c r="Q1061" s="6">
        <f t="shared" si="400"/>
        <v>2111.1615190019352</v>
      </c>
      <c r="R1061" s="6">
        <f t="shared" si="401"/>
        <v>2083.4599999999996</v>
      </c>
      <c r="S1061" s="6">
        <f t="shared" si="402"/>
        <v>0</v>
      </c>
      <c r="T1061" s="6">
        <f t="shared" si="403"/>
        <v>0</v>
      </c>
      <c r="U1061" s="6">
        <f t="shared" si="404"/>
        <v>2083.4599999999996</v>
      </c>
      <c r="V1061" s="6" t="str">
        <f>IF(MOD(C1061-Settings!$B$32,Settings!$B$33)&lt;Settings!$B$30,"Up","Down")</f>
        <v>Down</v>
      </c>
      <c r="W1061" s="6">
        <f>IF(OR(E1061&gt;Settings!$B$30,Q1061&gt;Settings!$B$37),0,1)</f>
        <v>0</v>
      </c>
      <c r="X1061" s="6">
        <f>IF(AND(W1061=1,Q1061&lt;=Settings!$B$36),1,0)</f>
        <v>0</v>
      </c>
    </row>
    <row r="1062" spans="1:24" x14ac:dyDescent="0.2">
      <c r="A1062">
        <f>Arrivals!A1062</f>
        <v>9</v>
      </c>
      <c r="B1062">
        <f>Arrivals!B1062</f>
        <v>97</v>
      </c>
      <c r="C1062" s="6">
        <f>Arrivals!F1062</f>
        <v>634</v>
      </c>
      <c r="D1062" s="6">
        <f>Arrivals!K1062</f>
        <v>300</v>
      </c>
      <c r="E1062" s="6">
        <f>D1062*8/ACE_Input!S102+ACE_Input!T102</f>
        <v>24.02</v>
      </c>
      <c r="F1062" s="6">
        <f t="shared" si="394"/>
        <v>634</v>
      </c>
      <c r="G1062" s="6">
        <f t="shared" si="405"/>
        <v>2736.4799999999996</v>
      </c>
      <c r="H1062" s="6">
        <f t="shared" ref="H1062:H1065" si="407">MAX(F1062,G1062)</f>
        <v>2736.4799999999996</v>
      </c>
      <c r="I1062" s="6">
        <f>MOD(H1062-Settings!$B$32,Settings!$B$33)</f>
        <v>576.47999999999956</v>
      </c>
      <c r="J1062" s="6">
        <f>IF(I1062&lt;Settings!$B$30,IF(Settings!$B$30-I1062&gt;=E1062,H1062,H1062+(Settings!$B$30-I1062)+Settings!$B$31),H1062+(Settings!$B$33-I1062))</f>
        <v>2880</v>
      </c>
      <c r="K1062" s="6">
        <f t="shared" ref="K1062:K1065" si="408">J1062+E1062</f>
        <v>2904.02</v>
      </c>
      <c r="L1062" s="6">
        <f t="shared" ref="L1062:L1065" si="409">K1062</f>
        <v>2904.02</v>
      </c>
      <c r="M1062" s="6">
        <f t="shared" si="406"/>
        <v>2740.1615190019352</v>
      </c>
      <c r="N1062" s="6">
        <f t="shared" ref="N1062:N1065" si="410">MAX(L1062,M1062)</f>
        <v>2904.02</v>
      </c>
      <c r="O1062" s="6">
        <f>Arrivals!I1062</f>
        <v>4.0153324430308119</v>
      </c>
      <c r="P1062" s="6">
        <f t="shared" ref="P1062:P1065" si="411">N1062+O1062</f>
        <v>2908.0353324430307</v>
      </c>
      <c r="Q1062" s="6">
        <f t="shared" ref="Q1062:Q1065" si="412">P1062-C1062</f>
        <v>2274.0353324430307</v>
      </c>
      <c r="R1062" s="6">
        <f t="shared" si="401"/>
        <v>2102.4799999999996</v>
      </c>
      <c r="S1062" s="6">
        <f t="shared" si="402"/>
        <v>143.52000000000044</v>
      </c>
      <c r="T1062" s="6">
        <f t="shared" si="403"/>
        <v>0</v>
      </c>
      <c r="U1062" s="6">
        <f t="shared" ref="U1062:U1065" si="413">R1062+S1062+T1062</f>
        <v>2246</v>
      </c>
      <c r="V1062" s="6" t="str">
        <f>IF(MOD(C1062-Settings!$B$32,Settings!$B$33)&lt;Settings!$B$30,"Up","Down")</f>
        <v>Down</v>
      </c>
      <c r="W1062" s="6">
        <f>IF(OR(E1062&gt;Settings!$B$30,Q1062&gt;Settings!$B$37),0,1)</f>
        <v>0</v>
      </c>
      <c r="X1062" s="6">
        <f>IF(AND(W1062=1,Q1062&lt;=Settings!$B$36),1,0)</f>
        <v>0</v>
      </c>
    </row>
    <row r="1063" spans="1:24" x14ac:dyDescent="0.2">
      <c r="A1063">
        <f>Arrivals!A1063</f>
        <v>9</v>
      </c>
      <c r="B1063">
        <f>Arrivals!B1063</f>
        <v>98</v>
      </c>
      <c r="C1063" s="6">
        <f>Arrivals!F1063</f>
        <v>639</v>
      </c>
      <c r="D1063" s="6">
        <f>Arrivals!K1063</f>
        <v>300</v>
      </c>
      <c r="E1063" s="6">
        <f>D1063*8/ACE_Input!S103+ACE_Input!T103</f>
        <v>24.02</v>
      </c>
      <c r="F1063" s="6">
        <f t="shared" si="394"/>
        <v>639</v>
      </c>
      <c r="G1063" s="6">
        <f t="shared" si="405"/>
        <v>2904.02</v>
      </c>
      <c r="H1063" s="6">
        <f t="shared" si="407"/>
        <v>2904.02</v>
      </c>
      <c r="I1063" s="6">
        <f>MOD(H1063-Settings!$B$32,Settings!$B$33)</f>
        <v>24.019999999999982</v>
      </c>
      <c r="J1063" s="6">
        <f>IF(I1063&lt;Settings!$B$30,IF(Settings!$B$30-I1063&gt;=E1063,H1063,H1063+(Settings!$B$30-I1063)+Settings!$B$31),H1063+(Settings!$B$33-I1063))</f>
        <v>2904.02</v>
      </c>
      <c r="K1063" s="6">
        <f t="shared" si="408"/>
        <v>2928.04</v>
      </c>
      <c r="L1063" s="6">
        <f t="shared" si="409"/>
        <v>2928.04</v>
      </c>
      <c r="M1063" s="6">
        <f t="shared" si="406"/>
        <v>2908.0353324430307</v>
      </c>
      <c r="N1063" s="6">
        <f t="shared" si="410"/>
        <v>2928.04</v>
      </c>
      <c r="O1063" s="6">
        <f>Arrivals!I1063</f>
        <v>4.8803985900512936</v>
      </c>
      <c r="P1063" s="6">
        <f t="shared" si="411"/>
        <v>2932.9203985900513</v>
      </c>
      <c r="Q1063" s="6">
        <f t="shared" si="412"/>
        <v>2293.9203985900513</v>
      </c>
      <c r="R1063" s="6">
        <f t="shared" si="401"/>
        <v>2265.02</v>
      </c>
      <c r="S1063" s="6">
        <f t="shared" si="402"/>
        <v>0</v>
      </c>
      <c r="T1063" s="6">
        <f t="shared" si="403"/>
        <v>0</v>
      </c>
      <c r="U1063" s="6">
        <f t="shared" si="413"/>
        <v>2265.02</v>
      </c>
      <c r="V1063" s="6" t="str">
        <f>IF(MOD(C1063-Settings!$B$32,Settings!$B$33)&lt;Settings!$B$30,"Up","Down")</f>
        <v>Down</v>
      </c>
      <c r="W1063" s="6">
        <f>IF(OR(E1063&gt;Settings!$B$30,Q1063&gt;Settings!$B$37),0,1)</f>
        <v>0</v>
      </c>
      <c r="X1063" s="6">
        <f>IF(AND(W1063=1,Q1063&lt;=Settings!$B$36),1,0)</f>
        <v>0</v>
      </c>
    </row>
    <row r="1064" spans="1:24" x14ac:dyDescent="0.2">
      <c r="A1064">
        <f>Arrivals!A1064</f>
        <v>9</v>
      </c>
      <c r="B1064">
        <f>Arrivals!B1064</f>
        <v>99</v>
      </c>
      <c r="C1064" s="6">
        <f>Arrivals!F1064</f>
        <v>684</v>
      </c>
      <c r="D1064" s="6">
        <f>Arrivals!K1064</f>
        <v>300</v>
      </c>
      <c r="E1064" s="6">
        <f>D1064*8/ACE_Input!S104+ACE_Input!T104</f>
        <v>24.02</v>
      </c>
      <c r="F1064" s="6">
        <f t="shared" si="394"/>
        <v>684</v>
      </c>
      <c r="G1064" s="6">
        <f t="shared" si="405"/>
        <v>2928.04</v>
      </c>
      <c r="H1064" s="6">
        <f t="shared" si="407"/>
        <v>2928.04</v>
      </c>
      <c r="I1064" s="6">
        <f>MOD(H1064-Settings!$B$32,Settings!$B$33)</f>
        <v>48.039999999999964</v>
      </c>
      <c r="J1064" s="6">
        <f>IF(I1064&lt;Settings!$B$30,IF(Settings!$B$30-I1064&gt;=E1064,H1064,H1064+(Settings!$B$30-I1064)+Settings!$B$31),H1064+(Settings!$B$33-I1064))</f>
        <v>2928.04</v>
      </c>
      <c r="K1064" s="6">
        <f t="shared" si="408"/>
        <v>2952.06</v>
      </c>
      <c r="L1064" s="6">
        <f t="shared" si="409"/>
        <v>2952.06</v>
      </c>
      <c r="M1064" s="6">
        <f t="shared" si="406"/>
        <v>2932.9203985900513</v>
      </c>
      <c r="N1064" s="6">
        <f t="shared" si="410"/>
        <v>2952.06</v>
      </c>
      <c r="O1064" s="6">
        <f>Arrivals!I1064</f>
        <v>3.2930617096987489</v>
      </c>
      <c r="P1064" s="6">
        <f t="shared" si="411"/>
        <v>2955.3530617096985</v>
      </c>
      <c r="Q1064" s="6">
        <f t="shared" si="412"/>
        <v>2271.3530617096985</v>
      </c>
      <c r="R1064" s="6">
        <f t="shared" si="401"/>
        <v>2244.04</v>
      </c>
      <c r="S1064" s="6">
        <f t="shared" si="402"/>
        <v>0</v>
      </c>
      <c r="T1064" s="6">
        <f t="shared" si="403"/>
        <v>0</v>
      </c>
      <c r="U1064" s="6">
        <f t="shared" si="413"/>
        <v>2244.04</v>
      </c>
      <c r="V1064" s="6" t="str">
        <f>IF(MOD(C1064-Settings!$B$32,Settings!$B$33)&lt;Settings!$B$30,"Up","Down")</f>
        <v>Down</v>
      </c>
      <c r="W1064" s="6">
        <f>IF(OR(E1064&gt;Settings!$B$30,Q1064&gt;Settings!$B$37),0,1)</f>
        <v>0</v>
      </c>
      <c r="X1064" s="6">
        <f>IF(AND(W1064=1,Q1064&lt;=Settings!$B$36),1,0)</f>
        <v>0</v>
      </c>
    </row>
    <row r="1065" spans="1:24" x14ac:dyDescent="0.2">
      <c r="A1065">
        <f>Arrivals!A1065</f>
        <v>9</v>
      </c>
      <c r="B1065">
        <f>Arrivals!B1065</f>
        <v>100</v>
      </c>
      <c r="C1065" s="6">
        <f>Arrivals!F1065</f>
        <v>689</v>
      </c>
      <c r="D1065" s="6">
        <f>Arrivals!K1065</f>
        <v>300</v>
      </c>
      <c r="E1065" s="6">
        <f>D1065*8/ACE_Input!S105+ACE_Input!T105</f>
        <v>24.02</v>
      </c>
      <c r="F1065" s="6">
        <f t="shared" si="394"/>
        <v>689</v>
      </c>
      <c r="G1065" s="6">
        <f t="shared" si="405"/>
        <v>2952.06</v>
      </c>
      <c r="H1065" s="6">
        <f t="shared" si="407"/>
        <v>2952.06</v>
      </c>
      <c r="I1065" s="6">
        <f>MOD(H1065-Settings!$B$32,Settings!$B$33)</f>
        <v>72.059999999999945</v>
      </c>
      <c r="J1065" s="6">
        <f>IF(I1065&lt;Settings!$B$30,IF(Settings!$B$30-I1065&gt;=E1065,H1065,H1065+(Settings!$B$30-I1065)+Settings!$B$31),H1065+(Settings!$B$33-I1065))</f>
        <v>2952.06</v>
      </c>
      <c r="K1065" s="6">
        <f t="shared" si="408"/>
        <v>2976.08</v>
      </c>
      <c r="L1065" s="6">
        <f t="shared" si="409"/>
        <v>2976.08</v>
      </c>
      <c r="M1065" s="6">
        <f t="shared" si="406"/>
        <v>2955.3530617096985</v>
      </c>
      <c r="N1065" s="6">
        <f t="shared" si="410"/>
        <v>2976.08</v>
      </c>
      <c r="O1065" s="6">
        <f>Arrivals!I1065</f>
        <v>6.3889930515174225</v>
      </c>
      <c r="P1065" s="6">
        <f t="shared" si="411"/>
        <v>2982.4689930515174</v>
      </c>
      <c r="Q1065" s="6">
        <f t="shared" si="412"/>
        <v>2293.4689930515174</v>
      </c>
      <c r="R1065" s="6">
        <f t="shared" si="401"/>
        <v>2263.06</v>
      </c>
      <c r="S1065" s="6">
        <f t="shared" si="402"/>
        <v>0</v>
      </c>
      <c r="T1065" s="6">
        <f t="shared" si="403"/>
        <v>0</v>
      </c>
      <c r="U1065" s="6">
        <f t="shared" si="413"/>
        <v>2263.06</v>
      </c>
      <c r="V1065" s="6" t="str">
        <f>IF(MOD(C1065-Settings!$B$32,Settings!$B$33)&lt;Settings!$B$30,"Up","Down")</f>
        <v>Down</v>
      </c>
      <c r="W1065" s="6">
        <f>IF(OR(E1065&gt;Settings!$B$30,Q1065&gt;Settings!$B$37),0,1)</f>
        <v>0</v>
      </c>
      <c r="X1065" s="6">
        <f>IF(AND(W1065=1,Q1065&lt;=Settings!$B$36),1,0)</f>
        <v>0</v>
      </c>
    </row>
    <row r="1066" spans="1:24" x14ac:dyDescent="0.2">
      <c r="C1066" s="6"/>
      <c r="D1066" s="6"/>
      <c r="E1066" s="6"/>
      <c r="F1066" s="6"/>
      <c r="G1066" s="6"/>
      <c r="H1066" s="6"/>
      <c r="I1066" s="6"/>
      <c r="J1066" s="6"/>
      <c r="K1066" s="6"/>
      <c r="L1066" s="6"/>
      <c r="M1066" s="6"/>
      <c r="N1066" s="6"/>
      <c r="O1066" s="6"/>
      <c r="P1066" s="6"/>
      <c r="Q1066" s="6"/>
      <c r="R1066" s="6"/>
      <c r="S1066" s="6"/>
      <c r="T1066" s="6"/>
      <c r="U1066" s="6"/>
      <c r="V1066" s="6"/>
      <c r="W1066" s="6"/>
      <c r="X1066" s="6"/>
    </row>
    <row r="1067" spans="1:24" x14ac:dyDescent="0.2">
      <c r="C1067" s="6"/>
      <c r="D1067" s="6"/>
      <c r="E1067" s="6"/>
      <c r="F1067" s="6"/>
      <c r="G1067" s="6"/>
      <c r="H1067" s="6"/>
      <c r="I1067" s="6"/>
      <c r="J1067" s="6"/>
      <c r="K1067" s="6"/>
      <c r="L1067" s="6"/>
      <c r="M1067" s="6"/>
      <c r="N1067" s="6"/>
      <c r="O1067" s="6"/>
      <c r="P1067" s="6"/>
      <c r="Q1067" s="6"/>
      <c r="R1067" s="6"/>
      <c r="S1067" s="6"/>
      <c r="T1067" s="6"/>
      <c r="U1067" s="6"/>
      <c r="V1067" s="6"/>
      <c r="W1067" s="6"/>
      <c r="X1067" s="6"/>
    </row>
    <row r="1068" spans="1:24" x14ac:dyDescent="0.2">
      <c r="C1068" s="6"/>
      <c r="D1068" s="6"/>
      <c r="E1068" s="6"/>
      <c r="F1068" s="6"/>
      <c r="G1068" s="6"/>
      <c r="H1068" s="6"/>
      <c r="I1068" s="6"/>
      <c r="J1068" s="6"/>
      <c r="K1068" s="6"/>
      <c r="L1068" s="6"/>
      <c r="M1068" s="6"/>
      <c r="N1068" s="6"/>
      <c r="O1068" s="6"/>
      <c r="P1068" s="6"/>
      <c r="Q1068" s="6"/>
      <c r="R1068" s="6"/>
      <c r="S1068" s="6"/>
      <c r="T1068" s="6"/>
      <c r="U1068" s="6"/>
      <c r="V1068" s="6"/>
      <c r="W1068" s="6"/>
      <c r="X1068" s="6"/>
    </row>
    <row r="1069" spans="1:24" x14ac:dyDescent="0.2">
      <c r="C1069" s="6"/>
      <c r="D1069" s="6"/>
      <c r="E1069" s="6"/>
      <c r="F1069" s="6"/>
      <c r="G1069" s="6"/>
      <c r="H1069" s="6"/>
      <c r="I1069" s="6"/>
      <c r="J1069" s="6"/>
      <c r="K1069" s="6"/>
      <c r="L1069" s="6"/>
      <c r="M1069" s="6"/>
      <c r="N1069" s="6"/>
      <c r="O1069" s="6"/>
      <c r="P1069" s="6"/>
      <c r="Q1069" s="6"/>
      <c r="R1069" s="6"/>
      <c r="S1069" s="6"/>
      <c r="T1069" s="6"/>
      <c r="U1069" s="6"/>
      <c r="V1069" s="6"/>
      <c r="W1069" s="6"/>
      <c r="X1069" s="6"/>
    </row>
    <row r="1070" spans="1:24" x14ac:dyDescent="0.2">
      <c r="C1070" s="6"/>
      <c r="D1070" s="6"/>
      <c r="E1070" s="6"/>
      <c r="F1070" s="6"/>
      <c r="G1070" s="6"/>
      <c r="H1070" s="6"/>
      <c r="I1070" s="6"/>
      <c r="J1070" s="6"/>
      <c r="K1070" s="6"/>
      <c r="L1070" s="6"/>
      <c r="M1070" s="6"/>
      <c r="N1070" s="6"/>
      <c r="O1070" s="6"/>
      <c r="P1070" s="6"/>
      <c r="Q1070" s="6"/>
      <c r="R1070" s="6"/>
      <c r="S1070" s="6"/>
      <c r="T1070" s="6"/>
      <c r="U1070" s="6"/>
      <c r="V1070" s="6"/>
      <c r="W1070" s="6"/>
      <c r="X1070" s="6"/>
    </row>
    <row r="1071" spans="1:24" x14ac:dyDescent="0.2">
      <c r="C1071" s="6"/>
      <c r="D1071" s="6"/>
      <c r="E1071" s="6"/>
      <c r="F1071" s="6"/>
      <c r="G1071" s="6"/>
      <c r="H1071" s="6"/>
      <c r="I1071" s="6"/>
      <c r="J1071" s="6"/>
      <c r="K1071" s="6"/>
      <c r="L1071" s="6"/>
      <c r="M1071" s="6"/>
      <c r="N1071" s="6"/>
      <c r="O1071" s="6"/>
      <c r="P1071" s="6"/>
      <c r="Q1071" s="6"/>
      <c r="R1071" s="6"/>
      <c r="S1071" s="6"/>
      <c r="T1071" s="6"/>
      <c r="U1071" s="6"/>
      <c r="V1071" s="6"/>
      <c r="W1071" s="6"/>
      <c r="X1071" s="6"/>
    </row>
    <row r="1072" spans="1:24" x14ac:dyDescent="0.2">
      <c r="C1072" s="6"/>
      <c r="D1072" s="6"/>
      <c r="E1072" s="6"/>
      <c r="F1072" s="6"/>
      <c r="G1072" s="6"/>
      <c r="H1072" s="6"/>
      <c r="I1072" s="6"/>
      <c r="J1072" s="6"/>
      <c r="K1072" s="6"/>
      <c r="L1072" s="6"/>
      <c r="M1072" s="6"/>
      <c r="N1072" s="6"/>
      <c r="O1072" s="6"/>
      <c r="P1072" s="6"/>
      <c r="Q1072" s="6"/>
      <c r="R1072" s="6"/>
      <c r="S1072" s="6"/>
      <c r="T1072" s="6"/>
      <c r="U1072" s="6"/>
      <c r="V1072" s="6"/>
      <c r="W1072" s="6"/>
      <c r="X1072" s="6"/>
    </row>
    <row r="1073" spans="1:24" x14ac:dyDescent="0.2">
      <c r="C1073" s="6"/>
      <c r="D1073" s="6"/>
      <c r="E1073" s="6"/>
      <c r="F1073" s="6"/>
      <c r="G1073" s="6"/>
      <c r="H1073" s="6"/>
      <c r="I1073" s="6"/>
      <c r="J1073" s="6"/>
      <c r="K1073" s="6"/>
      <c r="L1073" s="6"/>
      <c r="M1073" s="6"/>
      <c r="N1073" s="6"/>
      <c r="O1073" s="6"/>
      <c r="P1073" s="6"/>
      <c r="Q1073" s="6"/>
      <c r="R1073" s="6"/>
      <c r="S1073" s="6"/>
      <c r="T1073" s="6"/>
      <c r="U1073" s="6"/>
      <c r="V1073" s="6"/>
      <c r="W1073" s="6"/>
      <c r="X1073" s="6"/>
    </row>
    <row r="1074" spans="1:24" x14ac:dyDescent="0.2">
      <c r="C1074" s="6"/>
      <c r="D1074" s="6"/>
      <c r="E1074" s="6"/>
      <c r="F1074" s="6"/>
      <c r="G1074" s="6"/>
      <c r="H1074" s="6"/>
      <c r="I1074" s="6"/>
      <c r="J1074" s="6"/>
      <c r="K1074" s="6"/>
      <c r="L1074" s="6"/>
      <c r="M1074" s="6"/>
      <c r="N1074" s="6"/>
      <c r="O1074" s="6"/>
      <c r="P1074" s="6"/>
      <c r="Q1074" s="6"/>
      <c r="R1074" s="6"/>
      <c r="S1074" s="6"/>
      <c r="T1074" s="6"/>
      <c r="U1074" s="6"/>
      <c r="V1074" s="6"/>
      <c r="W1074" s="6"/>
      <c r="X1074" s="6"/>
    </row>
    <row r="1075" spans="1:24" x14ac:dyDescent="0.2">
      <c r="C1075" s="6"/>
      <c r="D1075" s="6"/>
      <c r="E1075" s="6"/>
      <c r="F1075" s="6"/>
      <c r="G1075" s="6"/>
      <c r="H1075" s="6"/>
      <c r="I1075" s="6"/>
      <c r="J1075" s="6"/>
      <c r="K1075" s="6"/>
      <c r="L1075" s="6"/>
      <c r="M1075" s="6"/>
      <c r="N1075" s="6"/>
      <c r="O1075" s="6"/>
      <c r="P1075" s="6"/>
      <c r="Q1075" s="6"/>
      <c r="R1075" s="6"/>
      <c r="S1075" s="6"/>
      <c r="T1075" s="6"/>
      <c r="U1075" s="6"/>
      <c r="V1075" s="6"/>
      <c r="W1075" s="6"/>
      <c r="X1075" s="6"/>
    </row>
    <row r="1076" spans="1:24" x14ac:dyDescent="0.2">
      <c r="C1076" s="6"/>
      <c r="D1076" s="6"/>
      <c r="E1076" s="6"/>
      <c r="F1076" s="6"/>
      <c r="G1076" s="6"/>
      <c r="H1076" s="6"/>
      <c r="I1076" s="6"/>
      <c r="J1076" s="6"/>
      <c r="K1076" s="6"/>
      <c r="L1076" s="6"/>
      <c r="M1076" s="6"/>
      <c r="N1076" s="6"/>
      <c r="O1076" s="6"/>
      <c r="P1076" s="6"/>
      <c r="Q1076" s="6"/>
      <c r="R1076" s="6"/>
      <c r="S1076" s="6"/>
      <c r="T1076" s="6"/>
      <c r="U1076" s="6"/>
      <c r="V1076" s="6"/>
      <c r="W1076" s="6"/>
      <c r="X1076" s="6"/>
    </row>
    <row r="1077" spans="1:24" x14ac:dyDescent="0.2">
      <c r="C1077" s="6"/>
      <c r="D1077" s="6"/>
      <c r="E1077" s="6"/>
      <c r="F1077" s="6"/>
      <c r="G1077" s="6"/>
      <c r="H1077" s="6"/>
      <c r="I1077" s="6"/>
      <c r="J1077" s="6"/>
      <c r="K1077" s="6"/>
      <c r="L1077" s="6"/>
      <c r="M1077" s="6"/>
      <c r="N1077" s="6"/>
      <c r="O1077" s="6"/>
      <c r="P1077" s="6"/>
      <c r="Q1077" s="6"/>
      <c r="R1077" s="6"/>
      <c r="S1077" s="6"/>
      <c r="T1077" s="6"/>
      <c r="U1077" s="6"/>
      <c r="V1077" s="6"/>
      <c r="W1077" s="6"/>
      <c r="X1077" s="6"/>
    </row>
    <row r="1078" spans="1:24" x14ac:dyDescent="0.2">
      <c r="C1078" s="6"/>
      <c r="D1078" s="6"/>
      <c r="E1078" s="6"/>
      <c r="F1078" s="6"/>
      <c r="G1078" s="6"/>
      <c r="H1078" s="6"/>
      <c r="I1078" s="6"/>
      <c r="J1078" s="6"/>
      <c r="K1078" s="6"/>
      <c r="L1078" s="6"/>
      <c r="M1078" s="6"/>
      <c r="N1078" s="6"/>
      <c r="O1078" s="6"/>
      <c r="P1078" s="6"/>
      <c r="Q1078" s="6"/>
      <c r="R1078" s="6"/>
      <c r="S1078" s="6"/>
      <c r="T1078" s="6"/>
      <c r="U1078" s="6"/>
      <c r="V1078" s="6"/>
      <c r="W1078" s="6"/>
      <c r="X1078" s="6"/>
    </row>
    <row r="1079" spans="1:24" x14ac:dyDescent="0.2">
      <c r="C1079" s="6"/>
      <c r="D1079" s="6"/>
      <c r="E1079" s="6"/>
      <c r="F1079" s="6"/>
      <c r="G1079" s="6"/>
      <c r="H1079" s="6"/>
      <c r="I1079" s="6"/>
      <c r="J1079" s="6"/>
      <c r="K1079" s="6"/>
      <c r="L1079" s="6"/>
      <c r="M1079" s="6"/>
      <c r="N1079" s="6"/>
      <c r="O1079" s="6"/>
      <c r="P1079" s="6"/>
      <c r="Q1079" s="6"/>
      <c r="R1079" s="6"/>
      <c r="S1079" s="6"/>
      <c r="T1079" s="6"/>
      <c r="U1079" s="6"/>
      <c r="V1079" s="6"/>
      <c r="W1079" s="6"/>
      <c r="X1079" s="6"/>
    </row>
    <row r="1080" spans="1:24" x14ac:dyDescent="0.2">
      <c r="C1080" s="6"/>
      <c r="D1080" s="6"/>
      <c r="E1080" s="6"/>
      <c r="F1080" s="6"/>
      <c r="G1080" s="6"/>
      <c r="H1080" s="6"/>
      <c r="I1080" s="6"/>
      <c r="J1080" s="6"/>
      <c r="K1080" s="6"/>
      <c r="L1080" s="6"/>
      <c r="M1080" s="6"/>
      <c r="N1080" s="6"/>
      <c r="O1080" s="6"/>
      <c r="P1080" s="6"/>
      <c r="Q1080" s="6"/>
      <c r="R1080" s="6"/>
      <c r="S1080" s="6"/>
      <c r="T1080" s="6"/>
      <c r="U1080" s="6"/>
      <c r="V1080" s="6"/>
      <c r="W1080" s="6"/>
      <c r="X1080" s="6"/>
    </row>
    <row r="1081" spans="1:24" x14ac:dyDescent="0.2">
      <c r="C1081" s="6"/>
      <c r="D1081" s="6"/>
      <c r="E1081" s="6"/>
      <c r="F1081" s="6"/>
      <c r="G1081" s="6"/>
      <c r="H1081" s="6"/>
      <c r="I1081" s="6"/>
      <c r="J1081" s="6"/>
      <c r="K1081" s="6"/>
      <c r="L1081" s="6"/>
      <c r="M1081" s="6"/>
      <c r="N1081" s="6"/>
      <c r="O1081" s="6"/>
      <c r="P1081" s="6"/>
      <c r="Q1081" s="6"/>
      <c r="R1081" s="6"/>
      <c r="S1081" s="6"/>
      <c r="T1081" s="6"/>
      <c r="U1081" s="6"/>
      <c r="V1081" s="6"/>
      <c r="W1081" s="6"/>
      <c r="X1081" s="6"/>
    </row>
    <row r="1082" spans="1:24" x14ac:dyDescent="0.2">
      <c r="C1082" s="6"/>
      <c r="D1082" s="6"/>
      <c r="E1082" s="6"/>
      <c r="F1082" s="6"/>
      <c r="G1082" s="6"/>
      <c r="H1082" s="6"/>
      <c r="I1082" s="6"/>
      <c r="J1082" s="6"/>
      <c r="K1082" s="6"/>
      <c r="L1082" s="6"/>
      <c r="M1082" s="6"/>
      <c r="N1082" s="6"/>
      <c r="O1082" s="6"/>
      <c r="P1082" s="6"/>
      <c r="Q1082" s="6"/>
      <c r="R1082" s="6"/>
      <c r="S1082" s="6"/>
      <c r="T1082" s="6"/>
      <c r="U1082" s="6"/>
      <c r="V1082" s="6"/>
      <c r="W1082" s="6"/>
      <c r="X1082" s="6"/>
    </row>
    <row r="1083" spans="1:24" x14ac:dyDescent="0.2">
      <c r="C1083" s="6"/>
      <c r="D1083" s="6"/>
      <c r="E1083" s="6"/>
      <c r="F1083" s="6"/>
      <c r="G1083" s="6"/>
      <c r="H1083" s="6"/>
      <c r="I1083" s="6"/>
      <c r="J1083" s="6"/>
      <c r="K1083" s="6"/>
      <c r="L1083" s="6"/>
      <c r="M1083" s="6"/>
      <c r="N1083" s="6"/>
      <c r="O1083" s="6"/>
      <c r="P1083" s="6"/>
      <c r="Q1083" s="6"/>
      <c r="R1083" s="6"/>
      <c r="S1083" s="6"/>
      <c r="T1083" s="6"/>
      <c r="U1083" s="6"/>
      <c r="V1083" s="6"/>
      <c r="W1083" s="6"/>
      <c r="X1083" s="6"/>
    </row>
    <row r="1084" spans="1:24" x14ac:dyDescent="0.2">
      <c r="C1084" s="6"/>
      <c r="D1084" s="6"/>
      <c r="E1084" s="6"/>
      <c r="F1084" s="6"/>
      <c r="G1084" s="6"/>
      <c r="H1084" s="6"/>
      <c r="I1084" s="6"/>
      <c r="J1084" s="6"/>
      <c r="K1084" s="6"/>
      <c r="L1084" s="6"/>
      <c r="M1084" s="6"/>
      <c r="N1084" s="6"/>
      <c r="O1084" s="6"/>
      <c r="P1084" s="6"/>
      <c r="Q1084" s="6"/>
      <c r="R1084" s="6"/>
      <c r="S1084" s="6"/>
      <c r="T1084" s="6"/>
      <c r="U1084" s="6"/>
      <c r="V1084" s="6"/>
      <c r="W1084" s="6"/>
      <c r="X1084" s="6"/>
    </row>
    <row r="1085" spans="1:24" x14ac:dyDescent="0.2">
      <c r="C1085" s="6"/>
      <c r="D1085" s="6"/>
      <c r="E1085" s="6"/>
      <c r="F1085" s="6"/>
      <c r="G1085" s="6"/>
      <c r="H1085" s="6"/>
      <c r="I1085" s="6"/>
      <c r="J1085" s="6"/>
      <c r="K1085" s="6"/>
      <c r="L1085" s="6"/>
      <c r="M1085" s="6"/>
      <c r="N1085" s="6"/>
      <c r="O1085" s="6"/>
      <c r="P1085" s="6"/>
      <c r="Q1085" s="6"/>
      <c r="R1085" s="6"/>
      <c r="S1085" s="6"/>
      <c r="T1085" s="6"/>
      <c r="U1085" s="6"/>
      <c r="V1085" s="6"/>
      <c r="W1085" s="6"/>
      <c r="X1085" s="6"/>
    </row>
    <row r="1086" spans="1:24" x14ac:dyDescent="0.2">
      <c r="A1086">
        <f>Arrivals!A1086</f>
        <v>10</v>
      </c>
      <c r="B1086">
        <f>Arrivals!B1086</f>
        <v>1</v>
      </c>
      <c r="C1086" s="6">
        <f>Arrivals!F1086</f>
        <v>2</v>
      </c>
      <c r="D1086" s="6">
        <f>Arrivals!K1086</f>
        <v>300</v>
      </c>
      <c r="E1086" s="6">
        <f>D1086*8/ACE_Input!S6+ACE_Input!T6</f>
        <v>24.02</v>
      </c>
      <c r="F1086" s="6">
        <f t="shared" ref="F1086:F1117" si="414">C1086</f>
        <v>2</v>
      </c>
      <c r="G1086" s="6">
        <f>0</f>
        <v>0</v>
      </c>
      <c r="H1086" s="6">
        <f t="shared" ref="H1086:H1117" si="415">MAX(F1086,G1086)</f>
        <v>2</v>
      </c>
      <c r="I1086" s="6">
        <f>MOD(H1086-Settings!$B$32,Settings!$B$33)</f>
        <v>2</v>
      </c>
      <c r="J1086" s="6">
        <f>IF(I1086&lt;Settings!$B$30,IF(Settings!$B$30-I1086&gt;=E1086,H1086,H1086+(Settings!$B$30-I1086)+Settings!$B$31),H1086+(Settings!$B$33-I1086))</f>
        <v>2</v>
      </c>
      <c r="K1086" s="6">
        <f t="shared" ref="K1086:K1117" si="416">J1086+E1086</f>
        <v>26.02</v>
      </c>
      <c r="L1086" s="6">
        <f t="shared" ref="L1086:L1117" si="417">K1086</f>
        <v>26.02</v>
      </c>
      <c r="M1086" s="6">
        <f>0</f>
        <v>0</v>
      </c>
      <c r="N1086" s="6">
        <f t="shared" ref="N1086:N1117" si="418">MAX(L1086,M1086)</f>
        <v>26.02</v>
      </c>
      <c r="O1086" s="6">
        <f>Arrivals!I1086</f>
        <v>2.7454816024816187</v>
      </c>
      <c r="P1086" s="6">
        <f t="shared" ref="P1086:P1117" si="419">N1086+O1086</f>
        <v>28.765481602481618</v>
      </c>
      <c r="Q1086" s="6">
        <f t="shared" ref="Q1086:Q1117" si="420">P1086-C1086</f>
        <v>26.765481602481618</v>
      </c>
      <c r="R1086" s="6">
        <f t="shared" ref="R1086:R1117" si="421">H1086-F1086</f>
        <v>0</v>
      </c>
      <c r="S1086" s="6">
        <f t="shared" ref="S1086:S1117" si="422">J1086-H1086</f>
        <v>0</v>
      </c>
      <c r="T1086" s="6">
        <f t="shared" ref="T1086:T1117" si="423">N1086-L1086</f>
        <v>0</v>
      </c>
      <c r="U1086" s="6">
        <f t="shared" ref="U1086:U1117" si="424">R1086+S1086+T1086</f>
        <v>0</v>
      </c>
      <c r="V1086" s="6" t="str">
        <f>IF(MOD(C1086-Settings!$B$32,Settings!$B$33)&lt;Settings!$B$30,"Up","Down")</f>
        <v>Up</v>
      </c>
      <c r="W1086" s="6">
        <f>IF(OR(E1086&gt;Settings!$B$30,Q1086&gt;Settings!$B$37),0,1)</f>
        <v>1</v>
      </c>
      <c r="X1086" s="6">
        <f>IF(AND(W1086=1,Q1086&lt;=Settings!$B$36),1,0)</f>
        <v>1</v>
      </c>
    </row>
    <row r="1087" spans="1:24" x14ac:dyDescent="0.2">
      <c r="A1087">
        <f>Arrivals!A1087</f>
        <v>10</v>
      </c>
      <c r="B1087">
        <f>Arrivals!B1087</f>
        <v>2</v>
      </c>
      <c r="C1087" s="6">
        <f>Arrivals!F1087</f>
        <v>7</v>
      </c>
      <c r="D1087" s="6">
        <f>Arrivals!K1087</f>
        <v>300</v>
      </c>
      <c r="E1087" s="6">
        <f>D1087*8/ACE_Input!S7+ACE_Input!T7</f>
        <v>24.02</v>
      </c>
      <c r="F1087" s="6">
        <f t="shared" si="414"/>
        <v>7</v>
      </c>
      <c r="G1087" s="6">
        <f t="shared" ref="G1087:G1118" si="425">K1086</f>
        <v>26.02</v>
      </c>
      <c r="H1087" s="6">
        <f t="shared" si="415"/>
        <v>26.02</v>
      </c>
      <c r="I1087" s="6">
        <f>MOD(H1087-Settings!$B$32,Settings!$B$33)</f>
        <v>26.02</v>
      </c>
      <c r="J1087" s="6">
        <f>IF(I1087&lt;Settings!$B$30,IF(Settings!$B$30-I1087&gt;=E1087,H1087,H1087+(Settings!$B$30-I1087)+Settings!$B$31),H1087+(Settings!$B$33-I1087))</f>
        <v>26.02</v>
      </c>
      <c r="K1087" s="6">
        <f t="shared" si="416"/>
        <v>50.04</v>
      </c>
      <c r="L1087" s="6">
        <f t="shared" si="417"/>
        <v>50.04</v>
      </c>
      <c r="M1087" s="6">
        <f t="shared" ref="M1087:M1118" si="426">P1086</f>
        <v>28.765481602481618</v>
      </c>
      <c r="N1087" s="6">
        <f t="shared" si="418"/>
        <v>50.04</v>
      </c>
      <c r="O1087" s="6">
        <f>Arrivals!I1087</f>
        <v>1.7722245824596172</v>
      </c>
      <c r="P1087" s="6">
        <f t="shared" si="419"/>
        <v>51.812224582459613</v>
      </c>
      <c r="Q1087" s="6">
        <f t="shared" si="420"/>
        <v>44.812224582459613</v>
      </c>
      <c r="R1087" s="6">
        <f t="shared" si="421"/>
        <v>19.02</v>
      </c>
      <c r="S1087" s="6">
        <f t="shared" si="422"/>
        <v>0</v>
      </c>
      <c r="T1087" s="6">
        <f t="shared" si="423"/>
        <v>0</v>
      </c>
      <c r="U1087" s="6">
        <f t="shared" si="424"/>
        <v>19.02</v>
      </c>
      <c r="V1087" s="6" t="str">
        <f>IF(MOD(C1087-Settings!$B$32,Settings!$B$33)&lt;Settings!$B$30,"Up","Down")</f>
        <v>Up</v>
      </c>
      <c r="W1087" s="6">
        <f>IF(OR(E1087&gt;Settings!$B$30,Q1087&gt;Settings!$B$37),0,1)</f>
        <v>1</v>
      </c>
      <c r="X1087" s="6">
        <f>IF(AND(W1087=1,Q1087&lt;=Settings!$B$36),1,0)</f>
        <v>1</v>
      </c>
    </row>
    <row r="1088" spans="1:24" x14ac:dyDescent="0.2">
      <c r="A1088">
        <f>Arrivals!A1088</f>
        <v>10</v>
      </c>
      <c r="B1088">
        <f>Arrivals!B1088</f>
        <v>3</v>
      </c>
      <c r="C1088" s="6">
        <f>Arrivals!F1088</f>
        <v>32</v>
      </c>
      <c r="D1088" s="6">
        <f>Arrivals!K1088</f>
        <v>300</v>
      </c>
      <c r="E1088" s="6">
        <f>D1088*8/ACE_Input!S8+ACE_Input!T8</f>
        <v>24.02</v>
      </c>
      <c r="F1088" s="6">
        <f t="shared" si="414"/>
        <v>32</v>
      </c>
      <c r="G1088" s="6">
        <f t="shared" si="425"/>
        <v>50.04</v>
      </c>
      <c r="H1088" s="6">
        <f t="shared" si="415"/>
        <v>50.04</v>
      </c>
      <c r="I1088" s="6">
        <f>MOD(H1088-Settings!$B$32,Settings!$B$33)</f>
        <v>50.04</v>
      </c>
      <c r="J1088" s="6">
        <f>IF(I1088&lt;Settings!$B$30,IF(Settings!$B$30-I1088&gt;=E1088,H1088,H1088+(Settings!$B$30-I1088)+Settings!$B$31),H1088+(Settings!$B$33-I1088))</f>
        <v>50.04</v>
      </c>
      <c r="K1088" s="6">
        <f t="shared" si="416"/>
        <v>74.06</v>
      </c>
      <c r="L1088" s="6">
        <f t="shared" si="417"/>
        <v>74.06</v>
      </c>
      <c r="M1088" s="6">
        <f t="shared" si="426"/>
        <v>51.812224582459613</v>
      </c>
      <c r="N1088" s="6">
        <f t="shared" si="418"/>
        <v>74.06</v>
      </c>
      <c r="O1088" s="6">
        <f>Arrivals!I1088</f>
        <v>4.9524781410195393</v>
      </c>
      <c r="P1088" s="6">
        <f t="shared" si="419"/>
        <v>79.012478141019542</v>
      </c>
      <c r="Q1088" s="6">
        <f t="shared" si="420"/>
        <v>47.012478141019542</v>
      </c>
      <c r="R1088" s="6">
        <f t="shared" si="421"/>
        <v>18.04</v>
      </c>
      <c r="S1088" s="6">
        <f t="shared" si="422"/>
        <v>0</v>
      </c>
      <c r="T1088" s="6">
        <f t="shared" si="423"/>
        <v>0</v>
      </c>
      <c r="U1088" s="6">
        <f t="shared" si="424"/>
        <v>18.04</v>
      </c>
      <c r="V1088" s="6" t="str">
        <f>IF(MOD(C1088-Settings!$B$32,Settings!$B$33)&lt;Settings!$B$30,"Up","Down")</f>
        <v>Up</v>
      </c>
      <c r="W1088" s="6">
        <f>IF(OR(E1088&gt;Settings!$B$30,Q1088&gt;Settings!$B$37),0,1)</f>
        <v>1</v>
      </c>
      <c r="X1088" s="6">
        <f>IF(AND(W1088=1,Q1088&lt;=Settings!$B$36),1,0)</f>
        <v>1</v>
      </c>
    </row>
    <row r="1089" spans="1:24" x14ac:dyDescent="0.2">
      <c r="A1089">
        <f>Arrivals!A1089</f>
        <v>10</v>
      </c>
      <c r="B1089">
        <f>Arrivals!B1089</f>
        <v>4</v>
      </c>
      <c r="C1089" s="6">
        <f>Arrivals!F1089</f>
        <v>37</v>
      </c>
      <c r="D1089" s="6">
        <f>Arrivals!K1089</f>
        <v>300</v>
      </c>
      <c r="E1089" s="6">
        <f>D1089*8/ACE_Input!S9+ACE_Input!T9</f>
        <v>24.02</v>
      </c>
      <c r="F1089" s="6">
        <f t="shared" si="414"/>
        <v>37</v>
      </c>
      <c r="G1089" s="6">
        <f t="shared" si="425"/>
        <v>74.06</v>
      </c>
      <c r="H1089" s="6">
        <f t="shared" si="415"/>
        <v>74.06</v>
      </c>
      <c r="I1089" s="6">
        <f>MOD(H1089-Settings!$B$32,Settings!$B$33)</f>
        <v>74.06</v>
      </c>
      <c r="J1089" s="6">
        <f>IF(I1089&lt;Settings!$B$30,IF(Settings!$B$30-I1089&gt;=E1089,H1089,H1089+(Settings!$B$30-I1089)+Settings!$B$31),H1089+(Settings!$B$33-I1089))</f>
        <v>74.06</v>
      </c>
      <c r="K1089" s="6">
        <f t="shared" si="416"/>
        <v>98.08</v>
      </c>
      <c r="L1089" s="6">
        <f t="shared" si="417"/>
        <v>98.08</v>
      </c>
      <c r="M1089" s="6">
        <f t="shared" si="426"/>
        <v>79.012478141019542</v>
      </c>
      <c r="N1089" s="6">
        <f t="shared" si="418"/>
        <v>98.08</v>
      </c>
      <c r="O1089" s="6">
        <f>Arrivals!I1089</f>
        <v>0.72064541558125761</v>
      </c>
      <c r="P1089" s="6">
        <f t="shared" si="419"/>
        <v>98.800645415581258</v>
      </c>
      <c r="Q1089" s="6">
        <f t="shared" si="420"/>
        <v>61.800645415581258</v>
      </c>
      <c r="R1089" s="6">
        <f t="shared" si="421"/>
        <v>37.06</v>
      </c>
      <c r="S1089" s="6">
        <f t="shared" si="422"/>
        <v>0</v>
      </c>
      <c r="T1089" s="6">
        <f t="shared" si="423"/>
        <v>0</v>
      </c>
      <c r="U1089" s="6">
        <f t="shared" si="424"/>
        <v>37.06</v>
      </c>
      <c r="V1089" s="6" t="str">
        <f>IF(MOD(C1089-Settings!$B$32,Settings!$B$33)&lt;Settings!$B$30,"Up","Down")</f>
        <v>Up</v>
      </c>
      <c r="W1089" s="6">
        <f>IF(OR(E1089&gt;Settings!$B$30,Q1089&gt;Settings!$B$37),0,1)</f>
        <v>1</v>
      </c>
      <c r="X1089" s="6">
        <f>IF(AND(W1089=1,Q1089&lt;=Settings!$B$36),1,0)</f>
        <v>1</v>
      </c>
    </row>
    <row r="1090" spans="1:24" x14ac:dyDescent="0.2">
      <c r="A1090">
        <f>Arrivals!A1090</f>
        <v>10</v>
      </c>
      <c r="B1090">
        <f>Arrivals!B1090</f>
        <v>5</v>
      </c>
      <c r="C1090" s="6">
        <f>Arrivals!F1090</f>
        <v>42</v>
      </c>
      <c r="D1090" s="6">
        <f>Arrivals!K1090</f>
        <v>300</v>
      </c>
      <c r="E1090" s="6">
        <f>D1090*8/ACE_Input!S10+ACE_Input!T10</f>
        <v>24.02</v>
      </c>
      <c r="F1090" s="6">
        <f t="shared" si="414"/>
        <v>42</v>
      </c>
      <c r="G1090" s="6">
        <f t="shared" si="425"/>
        <v>98.08</v>
      </c>
      <c r="H1090" s="6">
        <f t="shared" si="415"/>
        <v>98.08</v>
      </c>
      <c r="I1090" s="6">
        <f>MOD(H1090-Settings!$B$32,Settings!$B$33)</f>
        <v>98.08</v>
      </c>
      <c r="J1090" s="6">
        <f>IF(I1090&lt;Settings!$B$30,IF(Settings!$B$30-I1090&gt;=E1090,H1090,H1090+(Settings!$B$30-I1090)+Settings!$B$31),H1090+(Settings!$B$33-I1090))</f>
        <v>98.08</v>
      </c>
      <c r="K1090" s="6">
        <f t="shared" si="416"/>
        <v>122.1</v>
      </c>
      <c r="L1090" s="6">
        <f t="shared" si="417"/>
        <v>122.1</v>
      </c>
      <c r="M1090" s="6">
        <f t="shared" si="426"/>
        <v>98.800645415581258</v>
      </c>
      <c r="N1090" s="6">
        <f t="shared" si="418"/>
        <v>122.1</v>
      </c>
      <c r="O1090" s="6">
        <f>Arrivals!I1090</f>
        <v>8.4321019719949692</v>
      </c>
      <c r="P1090" s="6">
        <f t="shared" si="419"/>
        <v>130.53210197199496</v>
      </c>
      <c r="Q1090" s="6">
        <f t="shared" si="420"/>
        <v>88.532101971994962</v>
      </c>
      <c r="R1090" s="6">
        <f t="shared" si="421"/>
        <v>56.08</v>
      </c>
      <c r="S1090" s="6">
        <f t="shared" si="422"/>
        <v>0</v>
      </c>
      <c r="T1090" s="6">
        <f t="shared" si="423"/>
        <v>0</v>
      </c>
      <c r="U1090" s="6">
        <f t="shared" si="424"/>
        <v>56.08</v>
      </c>
      <c r="V1090" s="6" t="str">
        <f>IF(MOD(C1090-Settings!$B$32,Settings!$B$33)&lt;Settings!$B$30,"Up","Down")</f>
        <v>Up</v>
      </c>
      <c r="W1090" s="6">
        <f>IF(OR(E1090&gt;Settings!$B$30,Q1090&gt;Settings!$B$37),0,1)</f>
        <v>1</v>
      </c>
      <c r="X1090" s="6">
        <f>IF(AND(W1090=1,Q1090&lt;=Settings!$B$36),1,0)</f>
        <v>1</v>
      </c>
    </row>
    <row r="1091" spans="1:24" x14ac:dyDescent="0.2">
      <c r="A1091">
        <f>Arrivals!A1091</f>
        <v>10</v>
      </c>
      <c r="B1091">
        <f>Arrivals!B1091</f>
        <v>6</v>
      </c>
      <c r="C1091" s="6">
        <f>Arrivals!F1091</f>
        <v>47</v>
      </c>
      <c r="D1091" s="6">
        <f>Arrivals!K1091</f>
        <v>300</v>
      </c>
      <c r="E1091" s="6">
        <f>D1091*8/ACE_Input!S11+ACE_Input!T11</f>
        <v>24.02</v>
      </c>
      <c r="F1091" s="6">
        <f t="shared" si="414"/>
        <v>47</v>
      </c>
      <c r="G1091" s="6">
        <f t="shared" si="425"/>
        <v>122.1</v>
      </c>
      <c r="H1091" s="6">
        <f t="shared" si="415"/>
        <v>122.1</v>
      </c>
      <c r="I1091" s="6">
        <f>MOD(H1091-Settings!$B$32,Settings!$B$33)</f>
        <v>122.1</v>
      </c>
      <c r="J1091" s="6">
        <f>IF(I1091&lt;Settings!$B$30,IF(Settings!$B$30-I1091&gt;=E1091,H1091,H1091+(Settings!$B$30-I1091)+Settings!$B$31),H1091+(Settings!$B$33-I1091))</f>
        <v>122.1</v>
      </c>
      <c r="K1091" s="6">
        <f t="shared" si="416"/>
        <v>146.12</v>
      </c>
      <c r="L1091" s="6">
        <f t="shared" si="417"/>
        <v>146.12</v>
      </c>
      <c r="M1091" s="6">
        <f t="shared" si="426"/>
        <v>130.53210197199496</v>
      </c>
      <c r="N1091" s="6">
        <f t="shared" si="418"/>
        <v>146.12</v>
      </c>
      <c r="O1091" s="6">
        <f>Arrivals!I1091</f>
        <v>1.5791464523019758</v>
      </c>
      <c r="P1091" s="6">
        <f t="shared" si="419"/>
        <v>147.69914645230199</v>
      </c>
      <c r="Q1091" s="6">
        <f t="shared" si="420"/>
        <v>100.69914645230199</v>
      </c>
      <c r="R1091" s="6">
        <f t="shared" si="421"/>
        <v>75.099999999999994</v>
      </c>
      <c r="S1091" s="6">
        <f t="shared" si="422"/>
        <v>0</v>
      </c>
      <c r="T1091" s="6">
        <f t="shared" si="423"/>
        <v>0</v>
      </c>
      <c r="U1091" s="6">
        <f t="shared" si="424"/>
        <v>75.099999999999994</v>
      </c>
      <c r="V1091" s="6" t="str">
        <f>IF(MOD(C1091-Settings!$B$32,Settings!$B$33)&lt;Settings!$B$30,"Up","Down")</f>
        <v>Up</v>
      </c>
      <c r="W1091" s="6">
        <f>IF(OR(E1091&gt;Settings!$B$30,Q1091&gt;Settings!$B$37),0,1)</f>
        <v>1</v>
      </c>
      <c r="X1091" s="6">
        <f>IF(AND(W1091=1,Q1091&lt;=Settings!$B$36),1,0)</f>
        <v>1</v>
      </c>
    </row>
    <row r="1092" spans="1:24" x14ac:dyDescent="0.2">
      <c r="A1092">
        <f>Arrivals!A1092</f>
        <v>10</v>
      </c>
      <c r="B1092">
        <f>Arrivals!B1092</f>
        <v>7</v>
      </c>
      <c r="C1092" s="6">
        <f>Arrivals!F1092</f>
        <v>52</v>
      </c>
      <c r="D1092" s="6">
        <f>Arrivals!K1092</f>
        <v>300</v>
      </c>
      <c r="E1092" s="6">
        <f>D1092*8/ACE_Input!S12+ACE_Input!T12</f>
        <v>24.02</v>
      </c>
      <c r="F1092" s="6">
        <f t="shared" si="414"/>
        <v>52</v>
      </c>
      <c r="G1092" s="6">
        <f t="shared" si="425"/>
        <v>146.12</v>
      </c>
      <c r="H1092" s="6">
        <f t="shared" si="415"/>
        <v>146.12</v>
      </c>
      <c r="I1092" s="6">
        <f>MOD(H1092-Settings!$B$32,Settings!$B$33)</f>
        <v>146.12</v>
      </c>
      <c r="J1092" s="6">
        <f>IF(I1092&lt;Settings!$B$30,IF(Settings!$B$30-I1092&gt;=E1092,H1092,H1092+(Settings!$B$30-I1092)+Settings!$B$31),H1092+(Settings!$B$33-I1092))</f>
        <v>146.12</v>
      </c>
      <c r="K1092" s="6">
        <f t="shared" si="416"/>
        <v>170.14000000000001</v>
      </c>
      <c r="L1092" s="6">
        <f t="shared" si="417"/>
        <v>170.14000000000001</v>
      </c>
      <c r="M1092" s="6">
        <f t="shared" si="426"/>
        <v>147.69914645230199</v>
      </c>
      <c r="N1092" s="6">
        <f t="shared" si="418"/>
        <v>170.14000000000001</v>
      </c>
      <c r="O1092" s="6">
        <f>Arrivals!I1092</f>
        <v>0.17681276748136582</v>
      </c>
      <c r="P1092" s="6">
        <f t="shared" si="419"/>
        <v>170.31681276748139</v>
      </c>
      <c r="Q1092" s="6">
        <f t="shared" si="420"/>
        <v>118.31681276748139</v>
      </c>
      <c r="R1092" s="6">
        <f t="shared" si="421"/>
        <v>94.12</v>
      </c>
      <c r="S1092" s="6">
        <f t="shared" si="422"/>
        <v>0</v>
      </c>
      <c r="T1092" s="6">
        <f t="shared" si="423"/>
        <v>0</v>
      </c>
      <c r="U1092" s="6">
        <f t="shared" si="424"/>
        <v>94.12</v>
      </c>
      <c r="V1092" s="6" t="str">
        <f>IF(MOD(C1092-Settings!$B$32,Settings!$B$33)&lt;Settings!$B$30,"Up","Down")</f>
        <v>Up</v>
      </c>
      <c r="W1092" s="6">
        <f>IF(OR(E1092&gt;Settings!$B$30,Q1092&gt;Settings!$B$37),0,1)</f>
        <v>1</v>
      </c>
      <c r="X1092" s="6">
        <f>IF(AND(W1092=1,Q1092&lt;=Settings!$B$36),1,0)</f>
        <v>1</v>
      </c>
    </row>
    <row r="1093" spans="1:24" x14ac:dyDescent="0.2">
      <c r="A1093">
        <f>Arrivals!A1093</f>
        <v>10</v>
      </c>
      <c r="B1093">
        <f>Arrivals!B1093</f>
        <v>8</v>
      </c>
      <c r="C1093" s="6">
        <f>Arrivals!F1093</f>
        <v>57</v>
      </c>
      <c r="D1093" s="6">
        <f>Arrivals!K1093</f>
        <v>300</v>
      </c>
      <c r="E1093" s="6">
        <f>D1093*8/ACE_Input!S13+ACE_Input!T13</f>
        <v>24.02</v>
      </c>
      <c r="F1093" s="6">
        <f t="shared" si="414"/>
        <v>57</v>
      </c>
      <c r="G1093" s="6">
        <f t="shared" si="425"/>
        <v>170.14000000000001</v>
      </c>
      <c r="H1093" s="6">
        <f t="shared" si="415"/>
        <v>170.14000000000001</v>
      </c>
      <c r="I1093" s="6">
        <f>MOD(H1093-Settings!$B$32,Settings!$B$33)</f>
        <v>170.14000000000001</v>
      </c>
      <c r="J1093" s="6">
        <f>IF(I1093&lt;Settings!$B$30,IF(Settings!$B$30-I1093&gt;=E1093,H1093,H1093+(Settings!$B$30-I1093)+Settings!$B$31),H1093+(Settings!$B$33-I1093))</f>
        <v>170.14000000000001</v>
      </c>
      <c r="K1093" s="6">
        <f t="shared" si="416"/>
        <v>194.16000000000003</v>
      </c>
      <c r="L1093" s="6">
        <f t="shared" si="417"/>
        <v>194.16000000000003</v>
      </c>
      <c r="M1093" s="6">
        <f t="shared" si="426"/>
        <v>170.31681276748139</v>
      </c>
      <c r="N1093" s="6">
        <f t="shared" si="418"/>
        <v>194.16000000000003</v>
      </c>
      <c r="O1093" s="6">
        <f>Arrivals!I1093</f>
        <v>5.4276617232346842</v>
      </c>
      <c r="P1093" s="6">
        <f t="shared" si="419"/>
        <v>199.5876617232347</v>
      </c>
      <c r="Q1093" s="6">
        <f t="shared" si="420"/>
        <v>142.5876617232347</v>
      </c>
      <c r="R1093" s="6">
        <f t="shared" si="421"/>
        <v>113.14000000000001</v>
      </c>
      <c r="S1093" s="6">
        <f t="shared" si="422"/>
        <v>0</v>
      </c>
      <c r="T1093" s="6">
        <f t="shared" si="423"/>
        <v>0</v>
      </c>
      <c r="U1093" s="6">
        <f t="shared" si="424"/>
        <v>113.14000000000001</v>
      </c>
      <c r="V1093" s="6" t="str">
        <f>IF(MOD(C1093-Settings!$B$32,Settings!$B$33)&lt;Settings!$B$30,"Up","Down")</f>
        <v>Up</v>
      </c>
      <c r="W1093" s="6">
        <f>IF(OR(E1093&gt;Settings!$B$30,Q1093&gt;Settings!$B$37),0,1)</f>
        <v>1</v>
      </c>
      <c r="X1093" s="6">
        <f>IF(AND(W1093=1,Q1093&lt;=Settings!$B$36),1,0)</f>
        <v>0</v>
      </c>
    </row>
    <row r="1094" spans="1:24" x14ac:dyDescent="0.2">
      <c r="A1094">
        <f>Arrivals!A1094</f>
        <v>10</v>
      </c>
      <c r="B1094">
        <f>Arrivals!B1094</f>
        <v>9</v>
      </c>
      <c r="C1094" s="6">
        <f>Arrivals!F1094</f>
        <v>172</v>
      </c>
      <c r="D1094" s="6">
        <f>Arrivals!K1094</f>
        <v>300</v>
      </c>
      <c r="E1094" s="6">
        <f>D1094*8/ACE_Input!S14+ACE_Input!T14</f>
        <v>24.02</v>
      </c>
      <c r="F1094" s="6">
        <f t="shared" si="414"/>
        <v>172</v>
      </c>
      <c r="G1094" s="6">
        <f t="shared" si="425"/>
        <v>194.16000000000003</v>
      </c>
      <c r="H1094" s="6">
        <f t="shared" si="415"/>
        <v>194.16000000000003</v>
      </c>
      <c r="I1094" s="6">
        <f>MOD(H1094-Settings!$B$32,Settings!$B$33)</f>
        <v>194.16000000000003</v>
      </c>
      <c r="J1094" s="6">
        <f>IF(I1094&lt;Settings!$B$30,IF(Settings!$B$30-I1094&gt;=E1094,H1094,H1094+(Settings!$B$30-I1094)+Settings!$B$31),H1094+(Settings!$B$33-I1094))</f>
        <v>194.16000000000003</v>
      </c>
      <c r="K1094" s="6">
        <f t="shared" si="416"/>
        <v>218.18000000000004</v>
      </c>
      <c r="L1094" s="6">
        <f t="shared" si="417"/>
        <v>218.18000000000004</v>
      </c>
      <c r="M1094" s="6">
        <f t="shared" si="426"/>
        <v>199.5876617232347</v>
      </c>
      <c r="N1094" s="6">
        <f t="shared" si="418"/>
        <v>218.18000000000004</v>
      </c>
      <c r="O1094" s="6">
        <f>Arrivals!I1094</f>
        <v>14.8988860213581</v>
      </c>
      <c r="P1094" s="6">
        <f t="shared" si="419"/>
        <v>233.07888602135813</v>
      </c>
      <c r="Q1094" s="6">
        <f t="shared" si="420"/>
        <v>61.07888602135813</v>
      </c>
      <c r="R1094" s="6">
        <f t="shared" si="421"/>
        <v>22.160000000000025</v>
      </c>
      <c r="S1094" s="6">
        <f t="shared" si="422"/>
        <v>0</v>
      </c>
      <c r="T1094" s="6">
        <f t="shared" si="423"/>
        <v>0</v>
      </c>
      <c r="U1094" s="6">
        <f t="shared" si="424"/>
        <v>22.160000000000025</v>
      </c>
      <c r="V1094" s="6" t="str">
        <f>IF(MOD(C1094-Settings!$B$32,Settings!$B$33)&lt;Settings!$B$30,"Up","Down")</f>
        <v>Up</v>
      </c>
      <c r="W1094" s="6">
        <f>IF(OR(E1094&gt;Settings!$B$30,Q1094&gt;Settings!$B$37),0,1)</f>
        <v>1</v>
      </c>
      <c r="X1094" s="6">
        <f>IF(AND(W1094=1,Q1094&lt;=Settings!$B$36),1,0)</f>
        <v>1</v>
      </c>
    </row>
    <row r="1095" spans="1:24" x14ac:dyDescent="0.2">
      <c r="A1095">
        <f>Arrivals!A1095</f>
        <v>10</v>
      </c>
      <c r="B1095">
        <f>Arrivals!B1095</f>
        <v>10</v>
      </c>
      <c r="C1095" s="6">
        <f>Arrivals!F1095</f>
        <v>177</v>
      </c>
      <c r="D1095" s="6">
        <f>Arrivals!K1095</f>
        <v>300</v>
      </c>
      <c r="E1095" s="6">
        <f>D1095*8/ACE_Input!S15+ACE_Input!T15</f>
        <v>24.02</v>
      </c>
      <c r="F1095" s="6">
        <f t="shared" si="414"/>
        <v>177</v>
      </c>
      <c r="G1095" s="6">
        <f t="shared" si="425"/>
        <v>218.18000000000004</v>
      </c>
      <c r="H1095" s="6">
        <f t="shared" si="415"/>
        <v>218.18000000000004</v>
      </c>
      <c r="I1095" s="6">
        <f>MOD(H1095-Settings!$B$32,Settings!$B$33)</f>
        <v>218.18000000000004</v>
      </c>
      <c r="J1095" s="6">
        <f>IF(I1095&lt;Settings!$B$30,IF(Settings!$B$30-I1095&gt;=E1095,H1095,H1095+(Settings!$B$30-I1095)+Settings!$B$31),H1095+(Settings!$B$33-I1095))</f>
        <v>218.18000000000004</v>
      </c>
      <c r="K1095" s="6">
        <f t="shared" si="416"/>
        <v>242.20000000000005</v>
      </c>
      <c r="L1095" s="6">
        <f t="shared" si="417"/>
        <v>242.20000000000005</v>
      </c>
      <c r="M1095" s="6">
        <f t="shared" si="426"/>
        <v>233.07888602135813</v>
      </c>
      <c r="N1095" s="6">
        <f t="shared" si="418"/>
        <v>242.20000000000005</v>
      </c>
      <c r="O1095" s="6">
        <f>Arrivals!I1095</f>
        <v>3.851854551347651</v>
      </c>
      <c r="P1095" s="6">
        <f t="shared" si="419"/>
        <v>246.0518545513477</v>
      </c>
      <c r="Q1095" s="6">
        <f t="shared" si="420"/>
        <v>69.051854551347702</v>
      </c>
      <c r="R1095" s="6">
        <f t="shared" si="421"/>
        <v>41.180000000000035</v>
      </c>
      <c r="S1095" s="6">
        <f t="shared" si="422"/>
        <v>0</v>
      </c>
      <c r="T1095" s="6">
        <f t="shared" si="423"/>
        <v>0</v>
      </c>
      <c r="U1095" s="6">
        <f t="shared" si="424"/>
        <v>41.180000000000035</v>
      </c>
      <c r="V1095" s="6" t="str">
        <f>IF(MOD(C1095-Settings!$B$32,Settings!$B$33)&lt;Settings!$B$30,"Up","Down")</f>
        <v>Up</v>
      </c>
      <c r="W1095" s="6">
        <f>IF(OR(E1095&gt;Settings!$B$30,Q1095&gt;Settings!$B$37),0,1)</f>
        <v>1</v>
      </c>
      <c r="X1095" s="6">
        <f>IF(AND(W1095=1,Q1095&lt;=Settings!$B$36),1,0)</f>
        <v>1</v>
      </c>
    </row>
    <row r="1096" spans="1:24" x14ac:dyDescent="0.2">
      <c r="A1096">
        <f>Arrivals!A1096</f>
        <v>10</v>
      </c>
      <c r="B1096">
        <f>Arrivals!B1096</f>
        <v>11</v>
      </c>
      <c r="C1096" s="6">
        <f>Arrivals!F1096</f>
        <v>182</v>
      </c>
      <c r="D1096" s="6">
        <f>Arrivals!K1096</f>
        <v>300</v>
      </c>
      <c r="E1096" s="6">
        <f>D1096*8/ACE_Input!S16+ACE_Input!T16</f>
        <v>24.02</v>
      </c>
      <c r="F1096" s="6">
        <f t="shared" si="414"/>
        <v>182</v>
      </c>
      <c r="G1096" s="6">
        <f t="shared" si="425"/>
        <v>242.20000000000005</v>
      </c>
      <c r="H1096" s="6">
        <f t="shared" si="415"/>
        <v>242.20000000000005</v>
      </c>
      <c r="I1096" s="6">
        <f>MOD(H1096-Settings!$B$32,Settings!$B$33)</f>
        <v>242.20000000000005</v>
      </c>
      <c r="J1096" s="6">
        <f>IF(I1096&lt;Settings!$B$30,IF(Settings!$B$30-I1096&gt;=E1096,H1096,H1096+(Settings!$B$30-I1096)+Settings!$B$31),H1096+(Settings!$B$33-I1096))</f>
        <v>242.20000000000005</v>
      </c>
      <c r="K1096" s="6">
        <f t="shared" si="416"/>
        <v>266.22000000000003</v>
      </c>
      <c r="L1096" s="6">
        <f t="shared" si="417"/>
        <v>266.22000000000003</v>
      </c>
      <c r="M1096" s="6">
        <f t="shared" si="426"/>
        <v>246.0518545513477</v>
      </c>
      <c r="N1096" s="6">
        <f t="shared" si="418"/>
        <v>266.22000000000003</v>
      </c>
      <c r="O1096" s="6">
        <f>Arrivals!I1096</f>
        <v>5.7566507345312274</v>
      </c>
      <c r="P1096" s="6">
        <f t="shared" si="419"/>
        <v>271.97665073453123</v>
      </c>
      <c r="Q1096" s="6">
        <f t="shared" si="420"/>
        <v>89.976650734531233</v>
      </c>
      <c r="R1096" s="6">
        <f t="shared" si="421"/>
        <v>60.200000000000045</v>
      </c>
      <c r="S1096" s="6">
        <f t="shared" si="422"/>
        <v>0</v>
      </c>
      <c r="T1096" s="6">
        <f t="shared" si="423"/>
        <v>0</v>
      </c>
      <c r="U1096" s="6">
        <f t="shared" si="424"/>
        <v>60.200000000000045</v>
      </c>
      <c r="V1096" s="6" t="str">
        <f>IF(MOD(C1096-Settings!$B$32,Settings!$B$33)&lt;Settings!$B$30,"Up","Down")</f>
        <v>Up</v>
      </c>
      <c r="W1096" s="6">
        <f>IF(OR(E1096&gt;Settings!$B$30,Q1096&gt;Settings!$B$37),0,1)</f>
        <v>1</v>
      </c>
      <c r="X1096" s="6">
        <f>IF(AND(W1096=1,Q1096&lt;=Settings!$B$36),1,0)</f>
        <v>1</v>
      </c>
    </row>
    <row r="1097" spans="1:24" x14ac:dyDescent="0.2">
      <c r="A1097">
        <f>Arrivals!A1097</f>
        <v>10</v>
      </c>
      <c r="B1097">
        <f>Arrivals!B1097</f>
        <v>12</v>
      </c>
      <c r="C1097" s="6">
        <f>Arrivals!F1097</f>
        <v>187</v>
      </c>
      <c r="D1097" s="6">
        <f>Arrivals!K1097</f>
        <v>300</v>
      </c>
      <c r="E1097" s="6">
        <f>D1097*8/ACE_Input!S17+ACE_Input!T17</f>
        <v>24.02</v>
      </c>
      <c r="F1097" s="6">
        <f t="shared" si="414"/>
        <v>187</v>
      </c>
      <c r="G1097" s="6">
        <f t="shared" si="425"/>
        <v>266.22000000000003</v>
      </c>
      <c r="H1097" s="6">
        <f t="shared" si="415"/>
        <v>266.22000000000003</v>
      </c>
      <c r="I1097" s="6">
        <f>MOD(H1097-Settings!$B$32,Settings!$B$33)</f>
        <v>266.22000000000003</v>
      </c>
      <c r="J1097" s="6">
        <f>IF(I1097&lt;Settings!$B$30,IF(Settings!$B$30-I1097&gt;=E1097,H1097,H1097+(Settings!$B$30-I1097)+Settings!$B$31),H1097+(Settings!$B$33-I1097))</f>
        <v>266.22000000000003</v>
      </c>
      <c r="K1097" s="6">
        <f t="shared" si="416"/>
        <v>290.24</v>
      </c>
      <c r="L1097" s="6">
        <f t="shared" si="417"/>
        <v>290.24</v>
      </c>
      <c r="M1097" s="6">
        <f t="shared" si="426"/>
        <v>271.97665073453123</v>
      </c>
      <c r="N1097" s="6">
        <f t="shared" si="418"/>
        <v>290.24</v>
      </c>
      <c r="O1097" s="6">
        <f>Arrivals!I1097</f>
        <v>3.8654151027368431</v>
      </c>
      <c r="P1097" s="6">
        <f t="shared" si="419"/>
        <v>294.10541510273686</v>
      </c>
      <c r="Q1097" s="6">
        <f t="shared" si="420"/>
        <v>107.10541510273686</v>
      </c>
      <c r="R1097" s="6">
        <f t="shared" si="421"/>
        <v>79.220000000000027</v>
      </c>
      <c r="S1097" s="6">
        <f t="shared" si="422"/>
        <v>0</v>
      </c>
      <c r="T1097" s="6">
        <f t="shared" si="423"/>
        <v>0</v>
      </c>
      <c r="U1097" s="6">
        <f t="shared" si="424"/>
        <v>79.220000000000027</v>
      </c>
      <c r="V1097" s="6" t="str">
        <f>IF(MOD(C1097-Settings!$B$32,Settings!$B$33)&lt;Settings!$B$30,"Up","Down")</f>
        <v>Up</v>
      </c>
      <c r="W1097" s="6">
        <f>IF(OR(E1097&gt;Settings!$B$30,Q1097&gt;Settings!$B$37),0,1)</f>
        <v>1</v>
      </c>
      <c r="X1097" s="6">
        <f>IF(AND(W1097=1,Q1097&lt;=Settings!$B$36),1,0)</f>
        <v>1</v>
      </c>
    </row>
    <row r="1098" spans="1:24" x14ac:dyDescent="0.2">
      <c r="A1098">
        <f>Arrivals!A1098</f>
        <v>10</v>
      </c>
      <c r="B1098">
        <f>Arrivals!B1098</f>
        <v>13</v>
      </c>
      <c r="C1098" s="6">
        <f>Arrivals!F1098</f>
        <v>192</v>
      </c>
      <c r="D1098" s="6">
        <f>Arrivals!K1098</f>
        <v>300</v>
      </c>
      <c r="E1098" s="6">
        <f>D1098*8/ACE_Input!S18+ACE_Input!T18</f>
        <v>24.02</v>
      </c>
      <c r="F1098" s="6">
        <f t="shared" si="414"/>
        <v>192</v>
      </c>
      <c r="G1098" s="6">
        <f t="shared" si="425"/>
        <v>290.24</v>
      </c>
      <c r="H1098" s="6">
        <f t="shared" si="415"/>
        <v>290.24</v>
      </c>
      <c r="I1098" s="6">
        <f>MOD(H1098-Settings!$B$32,Settings!$B$33)</f>
        <v>290.24</v>
      </c>
      <c r="J1098" s="6">
        <f>IF(I1098&lt;Settings!$B$30,IF(Settings!$B$30-I1098&gt;=E1098,H1098,H1098+(Settings!$B$30-I1098)+Settings!$B$31),H1098+(Settings!$B$33-I1098))</f>
        <v>290.24</v>
      </c>
      <c r="K1098" s="6">
        <f t="shared" si="416"/>
        <v>314.26</v>
      </c>
      <c r="L1098" s="6">
        <f t="shared" si="417"/>
        <v>314.26</v>
      </c>
      <c r="M1098" s="6">
        <f t="shared" si="426"/>
        <v>294.10541510273686</v>
      </c>
      <c r="N1098" s="6">
        <f t="shared" si="418"/>
        <v>314.26</v>
      </c>
      <c r="O1098" s="6">
        <f>Arrivals!I1098</f>
        <v>2.6001416245532605</v>
      </c>
      <c r="P1098" s="6">
        <f t="shared" si="419"/>
        <v>316.86014162455325</v>
      </c>
      <c r="Q1098" s="6">
        <f t="shared" si="420"/>
        <v>124.86014162455325</v>
      </c>
      <c r="R1098" s="6">
        <f t="shared" si="421"/>
        <v>98.240000000000009</v>
      </c>
      <c r="S1098" s="6">
        <f t="shared" si="422"/>
        <v>0</v>
      </c>
      <c r="T1098" s="6">
        <f t="shared" si="423"/>
        <v>0</v>
      </c>
      <c r="U1098" s="6">
        <f t="shared" si="424"/>
        <v>98.240000000000009</v>
      </c>
      <c r="V1098" s="6" t="str">
        <f>IF(MOD(C1098-Settings!$B$32,Settings!$B$33)&lt;Settings!$B$30,"Up","Down")</f>
        <v>Up</v>
      </c>
      <c r="W1098" s="6">
        <f>IF(OR(E1098&gt;Settings!$B$30,Q1098&gt;Settings!$B$37),0,1)</f>
        <v>1</v>
      </c>
      <c r="X1098" s="6">
        <f>IF(AND(W1098=1,Q1098&lt;=Settings!$B$36),1,0)</f>
        <v>0</v>
      </c>
    </row>
    <row r="1099" spans="1:24" x14ac:dyDescent="0.2">
      <c r="A1099">
        <f>Arrivals!A1099</f>
        <v>10</v>
      </c>
      <c r="B1099">
        <f>Arrivals!B1099</f>
        <v>14</v>
      </c>
      <c r="C1099" s="6">
        <f>Arrivals!F1099</f>
        <v>197</v>
      </c>
      <c r="D1099" s="6">
        <f>Arrivals!K1099</f>
        <v>300</v>
      </c>
      <c r="E1099" s="6">
        <f>D1099*8/ACE_Input!S19+ACE_Input!T19</f>
        <v>24.02</v>
      </c>
      <c r="F1099" s="6">
        <f t="shared" si="414"/>
        <v>197</v>
      </c>
      <c r="G1099" s="6">
        <f t="shared" si="425"/>
        <v>314.26</v>
      </c>
      <c r="H1099" s="6">
        <f t="shared" si="415"/>
        <v>314.26</v>
      </c>
      <c r="I1099" s="6">
        <f>MOD(H1099-Settings!$B$32,Settings!$B$33)</f>
        <v>314.26</v>
      </c>
      <c r="J1099" s="6">
        <f>IF(I1099&lt;Settings!$B$30,IF(Settings!$B$30-I1099&gt;=E1099,H1099,H1099+(Settings!$B$30-I1099)+Settings!$B$31),H1099+(Settings!$B$33-I1099))</f>
        <v>314.26</v>
      </c>
      <c r="K1099" s="6">
        <f t="shared" si="416"/>
        <v>338.28</v>
      </c>
      <c r="L1099" s="6">
        <f t="shared" si="417"/>
        <v>338.28</v>
      </c>
      <c r="M1099" s="6">
        <f t="shared" si="426"/>
        <v>316.86014162455325</v>
      </c>
      <c r="N1099" s="6">
        <f t="shared" si="418"/>
        <v>338.28</v>
      </c>
      <c r="O1099" s="6">
        <f>Arrivals!I1099</f>
        <v>1.3546596287221211</v>
      </c>
      <c r="P1099" s="6">
        <f t="shared" si="419"/>
        <v>339.63465962872209</v>
      </c>
      <c r="Q1099" s="6">
        <f t="shared" si="420"/>
        <v>142.63465962872209</v>
      </c>
      <c r="R1099" s="6">
        <f t="shared" si="421"/>
        <v>117.25999999999999</v>
      </c>
      <c r="S1099" s="6">
        <f t="shared" si="422"/>
        <v>0</v>
      </c>
      <c r="T1099" s="6">
        <f t="shared" si="423"/>
        <v>0</v>
      </c>
      <c r="U1099" s="6">
        <f t="shared" si="424"/>
        <v>117.25999999999999</v>
      </c>
      <c r="V1099" s="6" t="str">
        <f>IF(MOD(C1099-Settings!$B$32,Settings!$B$33)&lt;Settings!$B$30,"Up","Down")</f>
        <v>Up</v>
      </c>
      <c r="W1099" s="6">
        <f>IF(OR(E1099&gt;Settings!$B$30,Q1099&gt;Settings!$B$37),0,1)</f>
        <v>1</v>
      </c>
      <c r="X1099" s="6">
        <f>IF(AND(W1099=1,Q1099&lt;=Settings!$B$36),1,0)</f>
        <v>0</v>
      </c>
    </row>
    <row r="1100" spans="1:24" x14ac:dyDescent="0.2">
      <c r="A1100">
        <f>Arrivals!A1100</f>
        <v>10</v>
      </c>
      <c r="B1100">
        <f>Arrivals!B1100</f>
        <v>15</v>
      </c>
      <c r="C1100" s="6">
        <f>Arrivals!F1100</f>
        <v>202</v>
      </c>
      <c r="D1100" s="6">
        <f>Arrivals!K1100</f>
        <v>300</v>
      </c>
      <c r="E1100" s="6">
        <f>D1100*8/ACE_Input!S20+ACE_Input!T20</f>
        <v>24.02</v>
      </c>
      <c r="F1100" s="6">
        <f t="shared" si="414"/>
        <v>202</v>
      </c>
      <c r="G1100" s="6">
        <f t="shared" si="425"/>
        <v>338.28</v>
      </c>
      <c r="H1100" s="6">
        <f t="shared" si="415"/>
        <v>338.28</v>
      </c>
      <c r="I1100" s="6">
        <f>MOD(H1100-Settings!$B$32,Settings!$B$33)</f>
        <v>338.28</v>
      </c>
      <c r="J1100" s="6">
        <f>IF(I1100&lt;Settings!$B$30,IF(Settings!$B$30-I1100&gt;=E1100,H1100,H1100+(Settings!$B$30-I1100)+Settings!$B$31),H1100+(Settings!$B$33-I1100))</f>
        <v>338.28</v>
      </c>
      <c r="K1100" s="6">
        <f t="shared" si="416"/>
        <v>362.29999999999995</v>
      </c>
      <c r="L1100" s="6">
        <f t="shared" si="417"/>
        <v>362.29999999999995</v>
      </c>
      <c r="M1100" s="6">
        <f t="shared" si="426"/>
        <v>339.63465962872209</v>
      </c>
      <c r="N1100" s="6">
        <f t="shared" si="418"/>
        <v>362.29999999999995</v>
      </c>
      <c r="O1100" s="6">
        <f>Arrivals!I1100</f>
        <v>1.3935364952632816</v>
      </c>
      <c r="P1100" s="6">
        <f t="shared" si="419"/>
        <v>363.69353649526323</v>
      </c>
      <c r="Q1100" s="6">
        <f t="shared" si="420"/>
        <v>161.69353649526323</v>
      </c>
      <c r="R1100" s="6">
        <f t="shared" si="421"/>
        <v>136.27999999999997</v>
      </c>
      <c r="S1100" s="6">
        <f t="shared" si="422"/>
        <v>0</v>
      </c>
      <c r="T1100" s="6">
        <f t="shared" si="423"/>
        <v>0</v>
      </c>
      <c r="U1100" s="6">
        <f t="shared" si="424"/>
        <v>136.27999999999997</v>
      </c>
      <c r="V1100" s="6" t="str">
        <f>IF(MOD(C1100-Settings!$B$32,Settings!$B$33)&lt;Settings!$B$30,"Up","Down")</f>
        <v>Up</v>
      </c>
      <c r="W1100" s="6">
        <f>IF(OR(E1100&gt;Settings!$B$30,Q1100&gt;Settings!$B$37),0,1)</f>
        <v>1</v>
      </c>
      <c r="X1100" s="6">
        <f>IF(AND(W1100=1,Q1100&lt;=Settings!$B$36),1,0)</f>
        <v>0</v>
      </c>
    </row>
    <row r="1101" spans="1:24" x14ac:dyDescent="0.2">
      <c r="A1101">
        <f>Arrivals!A1101</f>
        <v>10</v>
      </c>
      <c r="B1101">
        <f>Arrivals!B1101</f>
        <v>16</v>
      </c>
      <c r="C1101" s="6">
        <f>Arrivals!F1101</f>
        <v>207</v>
      </c>
      <c r="D1101" s="6">
        <f>Arrivals!K1101</f>
        <v>300</v>
      </c>
      <c r="E1101" s="6">
        <f>D1101*8/ACE_Input!S21+ACE_Input!T21</f>
        <v>24.02</v>
      </c>
      <c r="F1101" s="6">
        <f t="shared" si="414"/>
        <v>207</v>
      </c>
      <c r="G1101" s="6">
        <f t="shared" si="425"/>
        <v>362.29999999999995</v>
      </c>
      <c r="H1101" s="6">
        <f t="shared" si="415"/>
        <v>362.29999999999995</v>
      </c>
      <c r="I1101" s="6">
        <f>MOD(H1101-Settings!$B$32,Settings!$B$33)</f>
        <v>362.29999999999995</v>
      </c>
      <c r="J1101" s="6">
        <f>IF(I1101&lt;Settings!$B$30,IF(Settings!$B$30-I1101&gt;=E1101,H1101,H1101+(Settings!$B$30-I1101)+Settings!$B$31),H1101+(Settings!$B$33-I1101))</f>
        <v>362.29999999999995</v>
      </c>
      <c r="K1101" s="6">
        <f t="shared" si="416"/>
        <v>386.31999999999994</v>
      </c>
      <c r="L1101" s="6">
        <f t="shared" si="417"/>
        <v>386.31999999999994</v>
      </c>
      <c r="M1101" s="6">
        <f t="shared" si="426"/>
        <v>363.69353649526323</v>
      </c>
      <c r="N1101" s="6">
        <f t="shared" si="418"/>
        <v>386.31999999999994</v>
      </c>
      <c r="O1101" s="6">
        <f>Arrivals!I1101</f>
        <v>0.66830301490518074</v>
      </c>
      <c r="P1101" s="6">
        <f t="shared" si="419"/>
        <v>386.98830301490511</v>
      </c>
      <c r="Q1101" s="6">
        <f t="shared" si="420"/>
        <v>179.98830301490511</v>
      </c>
      <c r="R1101" s="6">
        <f t="shared" si="421"/>
        <v>155.29999999999995</v>
      </c>
      <c r="S1101" s="6">
        <f t="shared" si="422"/>
        <v>0</v>
      </c>
      <c r="T1101" s="6">
        <f t="shared" si="423"/>
        <v>0</v>
      </c>
      <c r="U1101" s="6">
        <f t="shared" si="424"/>
        <v>155.29999999999995</v>
      </c>
      <c r="V1101" s="6" t="str">
        <f>IF(MOD(C1101-Settings!$B$32,Settings!$B$33)&lt;Settings!$B$30,"Up","Down")</f>
        <v>Up</v>
      </c>
      <c r="W1101" s="6">
        <f>IF(OR(E1101&gt;Settings!$B$30,Q1101&gt;Settings!$B$37),0,1)</f>
        <v>1</v>
      </c>
      <c r="X1101" s="6">
        <f>IF(AND(W1101=1,Q1101&lt;=Settings!$B$36),1,0)</f>
        <v>0</v>
      </c>
    </row>
    <row r="1102" spans="1:24" x14ac:dyDescent="0.2">
      <c r="A1102">
        <f>Arrivals!A1102</f>
        <v>10</v>
      </c>
      <c r="B1102">
        <f>Arrivals!B1102</f>
        <v>17</v>
      </c>
      <c r="C1102" s="6">
        <f>Arrivals!F1102</f>
        <v>212</v>
      </c>
      <c r="D1102" s="6">
        <f>Arrivals!K1102</f>
        <v>300</v>
      </c>
      <c r="E1102" s="6">
        <f>D1102*8/ACE_Input!S22+ACE_Input!T22</f>
        <v>24.02</v>
      </c>
      <c r="F1102" s="6">
        <f t="shared" si="414"/>
        <v>212</v>
      </c>
      <c r="G1102" s="6">
        <f t="shared" si="425"/>
        <v>386.31999999999994</v>
      </c>
      <c r="H1102" s="6">
        <f t="shared" si="415"/>
        <v>386.31999999999994</v>
      </c>
      <c r="I1102" s="6">
        <f>MOD(H1102-Settings!$B$32,Settings!$B$33)</f>
        <v>386.31999999999994</v>
      </c>
      <c r="J1102" s="6">
        <f>IF(I1102&lt;Settings!$B$30,IF(Settings!$B$30-I1102&gt;=E1102,H1102,H1102+(Settings!$B$30-I1102)+Settings!$B$31),H1102+(Settings!$B$33-I1102))</f>
        <v>386.31999999999994</v>
      </c>
      <c r="K1102" s="6">
        <f t="shared" si="416"/>
        <v>410.33999999999992</v>
      </c>
      <c r="L1102" s="6">
        <f t="shared" si="417"/>
        <v>410.33999999999992</v>
      </c>
      <c r="M1102" s="6">
        <f t="shared" si="426"/>
        <v>386.98830301490511</v>
      </c>
      <c r="N1102" s="6">
        <f t="shared" si="418"/>
        <v>410.33999999999992</v>
      </c>
      <c r="O1102" s="6">
        <f>Arrivals!I1102</f>
        <v>1.8675066747859256E-3</v>
      </c>
      <c r="P1102" s="6">
        <f t="shared" si="419"/>
        <v>410.3418675066747</v>
      </c>
      <c r="Q1102" s="6">
        <f t="shared" si="420"/>
        <v>198.3418675066747</v>
      </c>
      <c r="R1102" s="6">
        <f t="shared" si="421"/>
        <v>174.31999999999994</v>
      </c>
      <c r="S1102" s="6">
        <f t="shared" si="422"/>
        <v>0</v>
      </c>
      <c r="T1102" s="6">
        <f t="shared" si="423"/>
        <v>0</v>
      </c>
      <c r="U1102" s="6">
        <f t="shared" si="424"/>
        <v>174.31999999999994</v>
      </c>
      <c r="V1102" s="6" t="str">
        <f>IF(MOD(C1102-Settings!$B$32,Settings!$B$33)&lt;Settings!$B$30,"Up","Down")</f>
        <v>Up</v>
      </c>
      <c r="W1102" s="6">
        <f>IF(OR(E1102&gt;Settings!$B$30,Q1102&gt;Settings!$B$37),0,1)</f>
        <v>1</v>
      </c>
      <c r="X1102" s="6">
        <f>IF(AND(W1102=1,Q1102&lt;=Settings!$B$36),1,0)</f>
        <v>0</v>
      </c>
    </row>
    <row r="1103" spans="1:24" x14ac:dyDescent="0.2">
      <c r="A1103">
        <f>Arrivals!A1103</f>
        <v>10</v>
      </c>
      <c r="B1103">
        <f>Arrivals!B1103</f>
        <v>18</v>
      </c>
      <c r="C1103" s="6">
        <f>Arrivals!F1103</f>
        <v>217</v>
      </c>
      <c r="D1103" s="6">
        <f>Arrivals!K1103</f>
        <v>300</v>
      </c>
      <c r="E1103" s="6">
        <f>D1103*8/ACE_Input!S23+ACE_Input!T23</f>
        <v>24.02</v>
      </c>
      <c r="F1103" s="6">
        <f t="shared" si="414"/>
        <v>217</v>
      </c>
      <c r="G1103" s="6">
        <f t="shared" si="425"/>
        <v>410.33999999999992</v>
      </c>
      <c r="H1103" s="6">
        <f t="shared" si="415"/>
        <v>410.33999999999992</v>
      </c>
      <c r="I1103" s="6">
        <f>MOD(H1103-Settings!$B$32,Settings!$B$33)</f>
        <v>410.33999999999992</v>
      </c>
      <c r="J1103" s="6">
        <f>IF(I1103&lt;Settings!$B$30,IF(Settings!$B$30-I1103&gt;=E1103,H1103,H1103+(Settings!$B$30-I1103)+Settings!$B$31),H1103+(Settings!$B$33-I1103))</f>
        <v>410.33999999999992</v>
      </c>
      <c r="K1103" s="6">
        <f t="shared" si="416"/>
        <v>434.3599999999999</v>
      </c>
      <c r="L1103" s="6">
        <f t="shared" si="417"/>
        <v>434.3599999999999</v>
      </c>
      <c r="M1103" s="6">
        <f t="shared" si="426"/>
        <v>410.3418675066747</v>
      </c>
      <c r="N1103" s="6">
        <f t="shared" si="418"/>
        <v>434.3599999999999</v>
      </c>
      <c r="O1103" s="6">
        <f>Arrivals!I1103</f>
        <v>7.456410114112991</v>
      </c>
      <c r="P1103" s="6">
        <f t="shared" si="419"/>
        <v>441.8164101141129</v>
      </c>
      <c r="Q1103" s="6">
        <f t="shared" si="420"/>
        <v>224.8164101141129</v>
      </c>
      <c r="R1103" s="6">
        <f t="shared" si="421"/>
        <v>193.33999999999992</v>
      </c>
      <c r="S1103" s="6">
        <f t="shared" si="422"/>
        <v>0</v>
      </c>
      <c r="T1103" s="6">
        <f t="shared" si="423"/>
        <v>0</v>
      </c>
      <c r="U1103" s="6">
        <f t="shared" si="424"/>
        <v>193.33999999999992</v>
      </c>
      <c r="V1103" s="6" t="str">
        <f>IF(MOD(C1103-Settings!$B$32,Settings!$B$33)&lt;Settings!$B$30,"Up","Down")</f>
        <v>Up</v>
      </c>
      <c r="W1103" s="6">
        <f>IF(OR(E1103&gt;Settings!$B$30,Q1103&gt;Settings!$B$37),0,1)</f>
        <v>1</v>
      </c>
      <c r="X1103" s="6">
        <f>IF(AND(W1103=1,Q1103&lt;=Settings!$B$36),1,0)</f>
        <v>0</v>
      </c>
    </row>
    <row r="1104" spans="1:24" x14ac:dyDescent="0.2">
      <c r="A1104">
        <f>Arrivals!A1104</f>
        <v>10</v>
      </c>
      <c r="B1104">
        <f>Arrivals!B1104</f>
        <v>19</v>
      </c>
      <c r="C1104" s="6">
        <f>Arrivals!F1104</f>
        <v>222</v>
      </c>
      <c r="D1104" s="6">
        <f>Arrivals!K1104</f>
        <v>300</v>
      </c>
      <c r="E1104" s="6">
        <f>D1104*8/ACE_Input!S24+ACE_Input!T24</f>
        <v>24.02</v>
      </c>
      <c r="F1104" s="6">
        <f t="shared" si="414"/>
        <v>222</v>
      </c>
      <c r="G1104" s="6">
        <f t="shared" si="425"/>
        <v>434.3599999999999</v>
      </c>
      <c r="H1104" s="6">
        <f t="shared" si="415"/>
        <v>434.3599999999999</v>
      </c>
      <c r="I1104" s="6">
        <f>MOD(H1104-Settings!$B$32,Settings!$B$33)</f>
        <v>434.3599999999999</v>
      </c>
      <c r="J1104" s="6">
        <f>IF(I1104&lt;Settings!$B$30,IF(Settings!$B$30-I1104&gt;=E1104,H1104,H1104+(Settings!$B$30-I1104)+Settings!$B$31),H1104+(Settings!$B$33-I1104))</f>
        <v>434.3599999999999</v>
      </c>
      <c r="K1104" s="6">
        <f t="shared" si="416"/>
        <v>458.37999999999988</v>
      </c>
      <c r="L1104" s="6">
        <f t="shared" si="417"/>
        <v>458.37999999999988</v>
      </c>
      <c r="M1104" s="6">
        <f t="shared" si="426"/>
        <v>441.8164101141129</v>
      </c>
      <c r="N1104" s="6">
        <f t="shared" si="418"/>
        <v>458.37999999999988</v>
      </c>
      <c r="O1104" s="6">
        <f>Arrivals!I1104</f>
        <v>1.554005995139389</v>
      </c>
      <c r="P1104" s="6">
        <f t="shared" si="419"/>
        <v>459.93400599513927</v>
      </c>
      <c r="Q1104" s="6">
        <f t="shared" si="420"/>
        <v>237.93400599513927</v>
      </c>
      <c r="R1104" s="6">
        <f t="shared" si="421"/>
        <v>212.3599999999999</v>
      </c>
      <c r="S1104" s="6">
        <f t="shared" si="422"/>
        <v>0</v>
      </c>
      <c r="T1104" s="6">
        <f t="shared" si="423"/>
        <v>0</v>
      </c>
      <c r="U1104" s="6">
        <f t="shared" si="424"/>
        <v>212.3599999999999</v>
      </c>
      <c r="V1104" s="6" t="str">
        <f>IF(MOD(C1104-Settings!$B$32,Settings!$B$33)&lt;Settings!$B$30,"Up","Down")</f>
        <v>Up</v>
      </c>
      <c r="W1104" s="6">
        <f>IF(OR(E1104&gt;Settings!$B$30,Q1104&gt;Settings!$B$37),0,1)</f>
        <v>1</v>
      </c>
      <c r="X1104" s="6">
        <f>IF(AND(W1104=1,Q1104&lt;=Settings!$B$36),1,0)</f>
        <v>0</v>
      </c>
    </row>
    <row r="1105" spans="1:24" x14ac:dyDescent="0.2">
      <c r="A1105">
        <f>Arrivals!A1105</f>
        <v>10</v>
      </c>
      <c r="B1105">
        <f>Arrivals!B1105</f>
        <v>20</v>
      </c>
      <c r="C1105" s="6">
        <f>Arrivals!F1105</f>
        <v>227</v>
      </c>
      <c r="D1105" s="6">
        <f>Arrivals!K1105</f>
        <v>300</v>
      </c>
      <c r="E1105" s="6">
        <f>D1105*8/ACE_Input!S25+ACE_Input!T25</f>
        <v>24.02</v>
      </c>
      <c r="F1105" s="6">
        <f t="shared" si="414"/>
        <v>227</v>
      </c>
      <c r="G1105" s="6">
        <f t="shared" si="425"/>
        <v>458.37999999999988</v>
      </c>
      <c r="H1105" s="6">
        <f t="shared" si="415"/>
        <v>458.37999999999988</v>
      </c>
      <c r="I1105" s="6">
        <f>MOD(H1105-Settings!$B$32,Settings!$B$33)</f>
        <v>458.37999999999988</v>
      </c>
      <c r="J1105" s="6">
        <f>IF(I1105&lt;Settings!$B$30,IF(Settings!$B$30-I1105&gt;=E1105,H1105,H1105+(Settings!$B$30-I1105)+Settings!$B$31),H1105+(Settings!$B$33-I1105))</f>
        <v>458.37999999999988</v>
      </c>
      <c r="K1105" s="6">
        <f t="shared" si="416"/>
        <v>482.39999999999986</v>
      </c>
      <c r="L1105" s="6">
        <f t="shared" si="417"/>
        <v>482.39999999999986</v>
      </c>
      <c r="M1105" s="6">
        <f t="shared" si="426"/>
        <v>459.93400599513927</v>
      </c>
      <c r="N1105" s="6">
        <f t="shared" si="418"/>
        <v>482.39999999999986</v>
      </c>
      <c r="O1105" s="6">
        <f>Arrivals!I1105</f>
        <v>4.0915031949124234</v>
      </c>
      <c r="P1105" s="6">
        <f t="shared" si="419"/>
        <v>486.4915031949123</v>
      </c>
      <c r="Q1105" s="6">
        <f t="shared" si="420"/>
        <v>259.4915031949123</v>
      </c>
      <c r="R1105" s="6">
        <f t="shared" si="421"/>
        <v>231.37999999999988</v>
      </c>
      <c r="S1105" s="6">
        <f t="shared" si="422"/>
        <v>0</v>
      </c>
      <c r="T1105" s="6">
        <f t="shared" si="423"/>
        <v>0</v>
      </c>
      <c r="U1105" s="6">
        <f t="shared" si="424"/>
        <v>231.37999999999988</v>
      </c>
      <c r="V1105" s="6" t="str">
        <f>IF(MOD(C1105-Settings!$B$32,Settings!$B$33)&lt;Settings!$B$30,"Up","Down")</f>
        <v>Up</v>
      </c>
      <c r="W1105" s="6">
        <f>IF(OR(E1105&gt;Settings!$B$30,Q1105&gt;Settings!$B$37),0,1)</f>
        <v>1</v>
      </c>
      <c r="X1105" s="6">
        <f>IF(AND(W1105=1,Q1105&lt;=Settings!$B$36),1,0)</f>
        <v>0</v>
      </c>
    </row>
    <row r="1106" spans="1:24" x14ac:dyDescent="0.2">
      <c r="A1106">
        <f>Arrivals!A1106</f>
        <v>10</v>
      </c>
      <c r="B1106">
        <f>Arrivals!B1106</f>
        <v>21</v>
      </c>
      <c r="C1106" s="6">
        <f>Arrivals!F1106</f>
        <v>232</v>
      </c>
      <c r="D1106" s="6">
        <f>Arrivals!K1106</f>
        <v>300</v>
      </c>
      <c r="E1106" s="6">
        <f>D1106*8/ACE_Input!S26+ACE_Input!T26</f>
        <v>24.02</v>
      </c>
      <c r="F1106" s="6">
        <f t="shared" si="414"/>
        <v>232</v>
      </c>
      <c r="G1106" s="6">
        <f t="shared" si="425"/>
        <v>482.39999999999986</v>
      </c>
      <c r="H1106" s="6">
        <f t="shared" si="415"/>
        <v>482.39999999999986</v>
      </c>
      <c r="I1106" s="6">
        <f>MOD(H1106-Settings!$B$32,Settings!$B$33)</f>
        <v>482.39999999999986</v>
      </c>
      <c r="J1106" s="6">
        <f>IF(I1106&lt;Settings!$B$30,IF(Settings!$B$30-I1106&gt;=E1106,H1106,H1106+(Settings!$B$30-I1106)+Settings!$B$31),H1106+(Settings!$B$33-I1106))</f>
        <v>482.39999999999986</v>
      </c>
      <c r="K1106" s="6">
        <f t="shared" si="416"/>
        <v>506.41999999999985</v>
      </c>
      <c r="L1106" s="6">
        <f t="shared" si="417"/>
        <v>506.41999999999985</v>
      </c>
      <c r="M1106" s="6">
        <f t="shared" si="426"/>
        <v>486.4915031949123</v>
      </c>
      <c r="N1106" s="6">
        <f t="shared" si="418"/>
        <v>506.41999999999985</v>
      </c>
      <c r="O1106" s="6">
        <f>Arrivals!I1106</f>
        <v>8.6386829129168472</v>
      </c>
      <c r="P1106" s="6">
        <f t="shared" si="419"/>
        <v>515.05868291291665</v>
      </c>
      <c r="Q1106" s="6">
        <f t="shared" si="420"/>
        <v>283.05868291291665</v>
      </c>
      <c r="R1106" s="6">
        <f t="shared" si="421"/>
        <v>250.39999999999986</v>
      </c>
      <c r="S1106" s="6">
        <f t="shared" si="422"/>
        <v>0</v>
      </c>
      <c r="T1106" s="6">
        <f t="shared" si="423"/>
        <v>0</v>
      </c>
      <c r="U1106" s="6">
        <f t="shared" si="424"/>
        <v>250.39999999999986</v>
      </c>
      <c r="V1106" s="6" t="str">
        <f>IF(MOD(C1106-Settings!$B$32,Settings!$B$33)&lt;Settings!$B$30,"Up","Down")</f>
        <v>Up</v>
      </c>
      <c r="W1106" s="6">
        <f>IF(OR(E1106&gt;Settings!$B$30,Q1106&gt;Settings!$B$37),0,1)</f>
        <v>1</v>
      </c>
      <c r="X1106" s="6">
        <f>IF(AND(W1106=1,Q1106&lt;=Settings!$B$36),1,0)</f>
        <v>0</v>
      </c>
    </row>
    <row r="1107" spans="1:24" x14ac:dyDescent="0.2">
      <c r="A1107">
        <f>Arrivals!A1107</f>
        <v>10</v>
      </c>
      <c r="B1107">
        <f>Arrivals!B1107</f>
        <v>22</v>
      </c>
      <c r="C1107" s="6">
        <f>Arrivals!F1107</f>
        <v>237</v>
      </c>
      <c r="D1107" s="6">
        <f>Arrivals!K1107</f>
        <v>300</v>
      </c>
      <c r="E1107" s="6">
        <f>D1107*8/ACE_Input!S27+ACE_Input!T27</f>
        <v>24.02</v>
      </c>
      <c r="F1107" s="6">
        <f t="shared" si="414"/>
        <v>237</v>
      </c>
      <c r="G1107" s="6">
        <f t="shared" si="425"/>
        <v>506.41999999999985</v>
      </c>
      <c r="H1107" s="6">
        <f t="shared" si="415"/>
        <v>506.41999999999985</v>
      </c>
      <c r="I1107" s="6">
        <f>MOD(H1107-Settings!$B$32,Settings!$B$33)</f>
        <v>506.41999999999985</v>
      </c>
      <c r="J1107" s="6">
        <f>IF(I1107&lt;Settings!$B$30,IF(Settings!$B$30-I1107&gt;=E1107,H1107,H1107+(Settings!$B$30-I1107)+Settings!$B$31),H1107+(Settings!$B$33-I1107))</f>
        <v>506.41999999999985</v>
      </c>
      <c r="K1107" s="6">
        <f t="shared" si="416"/>
        <v>530.43999999999983</v>
      </c>
      <c r="L1107" s="6">
        <f t="shared" si="417"/>
        <v>530.43999999999983</v>
      </c>
      <c r="M1107" s="6">
        <f t="shared" si="426"/>
        <v>515.05868291291665</v>
      </c>
      <c r="N1107" s="6">
        <f t="shared" si="418"/>
        <v>530.43999999999983</v>
      </c>
      <c r="O1107" s="6">
        <f>Arrivals!I1107</f>
        <v>0.38766622369590947</v>
      </c>
      <c r="P1107" s="6">
        <f t="shared" si="419"/>
        <v>530.8276662236957</v>
      </c>
      <c r="Q1107" s="6">
        <f t="shared" si="420"/>
        <v>293.8276662236957</v>
      </c>
      <c r="R1107" s="6">
        <f t="shared" si="421"/>
        <v>269.41999999999985</v>
      </c>
      <c r="S1107" s="6">
        <f t="shared" si="422"/>
        <v>0</v>
      </c>
      <c r="T1107" s="6">
        <f t="shared" si="423"/>
        <v>0</v>
      </c>
      <c r="U1107" s="6">
        <f t="shared" si="424"/>
        <v>269.41999999999985</v>
      </c>
      <c r="V1107" s="6" t="str">
        <f>IF(MOD(C1107-Settings!$B$32,Settings!$B$33)&lt;Settings!$B$30,"Up","Down")</f>
        <v>Up</v>
      </c>
      <c r="W1107" s="6">
        <f>IF(OR(E1107&gt;Settings!$B$30,Q1107&gt;Settings!$B$37),0,1)</f>
        <v>1</v>
      </c>
      <c r="X1107" s="6">
        <f>IF(AND(W1107=1,Q1107&lt;=Settings!$B$36),1,0)</f>
        <v>0</v>
      </c>
    </row>
    <row r="1108" spans="1:24" x14ac:dyDescent="0.2">
      <c r="A1108">
        <f>Arrivals!A1108</f>
        <v>10</v>
      </c>
      <c r="B1108">
        <f>Arrivals!B1108</f>
        <v>23</v>
      </c>
      <c r="C1108" s="6">
        <f>Arrivals!F1108</f>
        <v>242</v>
      </c>
      <c r="D1108" s="6">
        <f>Arrivals!K1108</f>
        <v>300</v>
      </c>
      <c r="E1108" s="6">
        <f>D1108*8/ACE_Input!S28+ACE_Input!T28</f>
        <v>24.02</v>
      </c>
      <c r="F1108" s="6">
        <f t="shared" si="414"/>
        <v>242</v>
      </c>
      <c r="G1108" s="6">
        <f t="shared" si="425"/>
        <v>530.43999999999983</v>
      </c>
      <c r="H1108" s="6">
        <f t="shared" si="415"/>
        <v>530.43999999999983</v>
      </c>
      <c r="I1108" s="6">
        <f>MOD(H1108-Settings!$B$32,Settings!$B$33)</f>
        <v>530.43999999999983</v>
      </c>
      <c r="J1108" s="6">
        <f>IF(I1108&lt;Settings!$B$30,IF(Settings!$B$30-I1108&gt;=E1108,H1108,H1108+(Settings!$B$30-I1108)+Settings!$B$31),H1108+(Settings!$B$33-I1108))</f>
        <v>530.43999999999983</v>
      </c>
      <c r="K1108" s="6">
        <f t="shared" si="416"/>
        <v>554.45999999999981</v>
      </c>
      <c r="L1108" s="6">
        <f t="shared" si="417"/>
        <v>554.45999999999981</v>
      </c>
      <c r="M1108" s="6">
        <f t="shared" si="426"/>
        <v>530.8276662236957</v>
      </c>
      <c r="N1108" s="6">
        <f t="shared" si="418"/>
        <v>554.45999999999981</v>
      </c>
      <c r="O1108" s="6">
        <f>Arrivals!I1108</f>
        <v>2.2720877242915622</v>
      </c>
      <c r="P1108" s="6">
        <f t="shared" si="419"/>
        <v>556.73208772429132</v>
      </c>
      <c r="Q1108" s="6">
        <f t="shared" si="420"/>
        <v>314.73208772429132</v>
      </c>
      <c r="R1108" s="6">
        <f t="shared" si="421"/>
        <v>288.43999999999983</v>
      </c>
      <c r="S1108" s="6">
        <f t="shared" si="422"/>
        <v>0</v>
      </c>
      <c r="T1108" s="6">
        <f t="shared" si="423"/>
        <v>0</v>
      </c>
      <c r="U1108" s="6">
        <f t="shared" si="424"/>
        <v>288.43999999999983</v>
      </c>
      <c r="V1108" s="6" t="str">
        <f>IF(MOD(C1108-Settings!$B$32,Settings!$B$33)&lt;Settings!$B$30,"Up","Down")</f>
        <v>Up</v>
      </c>
      <c r="W1108" s="6">
        <f>IF(OR(E1108&gt;Settings!$B$30,Q1108&gt;Settings!$B$37),0,1)</f>
        <v>1</v>
      </c>
      <c r="X1108" s="6">
        <f>IF(AND(W1108=1,Q1108&lt;=Settings!$B$36),1,0)</f>
        <v>0</v>
      </c>
    </row>
    <row r="1109" spans="1:24" x14ac:dyDescent="0.2">
      <c r="A1109">
        <f>Arrivals!A1109</f>
        <v>10</v>
      </c>
      <c r="B1109">
        <f>Arrivals!B1109</f>
        <v>24</v>
      </c>
      <c r="C1109" s="6">
        <f>Arrivals!F1109</f>
        <v>247</v>
      </c>
      <c r="D1109" s="6">
        <f>Arrivals!K1109</f>
        <v>300</v>
      </c>
      <c r="E1109" s="6">
        <f>D1109*8/ACE_Input!S29+ACE_Input!T29</f>
        <v>24.02</v>
      </c>
      <c r="F1109" s="6">
        <f t="shared" si="414"/>
        <v>247</v>
      </c>
      <c r="G1109" s="6">
        <f t="shared" si="425"/>
        <v>554.45999999999981</v>
      </c>
      <c r="H1109" s="6">
        <f t="shared" si="415"/>
        <v>554.45999999999981</v>
      </c>
      <c r="I1109" s="6">
        <f>MOD(H1109-Settings!$B$32,Settings!$B$33)</f>
        <v>554.45999999999981</v>
      </c>
      <c r="J1109" s="6">
        <f>IF(I1109&lt;Settings!$B$30,IF(Settings!$B$30-I1109&gt;=E1109,H1109,H1109+(Settings!$B$30-I1109)+Settings!$B$31),H1109+(Settings!$B$33-I1109))</f>
        <v>554.45999999999981</v>
      </c>
      <c r="K1109" s="6">
        <f t="shared" si="416"/>
        <v>578.47999999999979</v>
      </c>
      <c r="L1109" s="6">
        <f t="shared" si="417"/>
        <v>578.47999999999979</v>
      </c>
      <c r="M1109" s="6">
        <f t="shared" si="426"/>
        <v>556.73208772429132</v>
      </c>
      <c r="N1109" s="6">
        <f t="shared" si="418"/>
        <v>578.47999999999979</v>
      </c>
      <c r="O1109" s="6">
        <f>Arrivals!I1109</f>
        <v>2.0049708260591288</v>
      </c>
      <c r="P1109" s="6">
        <f t="shared" si="419"/>
        <v>580.48497082605888</v>
      </c>
      <c r="Q1109" s="6">
        <f t="shared" si="420"/>
        <v>333.48497082605888</v>
      </c>
      <c r="R1109" s="6">
        <f t="shared" si="421"/>
        <v>307.45999999999981</v>
      </c>
      <c r="S1109" s="6">
        <f t="shared" si="422"/>
        <v>0</v>
      </c>
      <c r="T1109" s="6">
        <f t="shared" si="423"/>
        <v>0</v>
      </c>
      <c r="U1109" s="6">
        <f t="shared" si="424"/>
        <v>307.45999999999981</v>
      </c>
      <c r="V1109" s="6" t="str">
        <f>IF(MOD(C1109-Settings!$B$32,Settings!$B$33)&lt;Settings!$B$30,"Up","Down")</f>
        <v>Up</v>
      </c>
      <c r="W1109" s="6">
        <f>IF(OR(E1109&gt;Settings!$B$30,Q1109&gt;Settings!$B$37),0,1)</f>
        <v>1</v>
      </c>
      <c r="X1109" s="6">
        <f>IF(AND(W1109=1,Q1109&lt;=Settings!$B$36),1,0)</f>
        <v>0</v>
      </c>
    </row>
    <row r="1110" spans="1:24" x14ac:dyDescent="0.2">
      <c r="A1110">
        <f>Arrivals!A1110</f>
        <v>10</v>
      </c>
      <c r="B1110">
        <f>Arrivals!B1110</f>
        <v>25</v>
      </c>
      <c r="C1110" s="6">
        <f>Arrivals!F1110</f>
        <v>252</v>
      </c>
      <c r="D1110" s="6">
        <f>Arrivals!K1110</f>
        <v>300</v>
      </c>
      <c r="E1110" s="6">
        <f>D1110*8/ACE_Input!S30+ACE_Input!T30</f>
        <v>24.02</v>
      </c>
      <c r="F1110" s="6">
        <f t="shared" si="414"/>
        <v>252</v>
      </c>
      <c r="G1110" s="6">
        <f t="shared" si="425"/>
        <v>578.47999999999979</v>
      </c>
      <c r="H1110" s="6">
        <f t="shared" si="415"/>
        <v>578.47999999999979</v>
      </c>
      <c r="I1110" s="6">
        <f>MOD(H1110-Settings!$B$32,Settings!$B$33)</f>
        <v>578.47999999999979</v>
      </c>
      <c r="J1110" s="6">
        <f>IF(I1110&lt;Settings!$B$30,IF(Settings!$B$30-I1110&gt;=E1110,H1110,H1110+(Settings!$B$30-I1110)+Settings!$B$31),H1110+(Settings!$B$33-I1110))</f>
        <v>720</v>
      </c>
      <c r="K1110" s="6">
        <f t="shared" si="416"/>
        <v>744.02</v>
      </c>
      <c r="L1110" s="6">
        <f t="shared" si="417"/>
        <v>744.02</v>
      </c>
      <c r="M1110" s="6">
        <f t="shared" si="426"/>
        <v>580.48497082605888</v>
      </c>
      <c r="N1110" s="6">
        <f t="shared" si="418"/>
        <v>744.02</v>
      </c>
      <c r="O1110" s="6">
        <f>Arrivals!I1110</f>
        <v>4.8083729283427248</v>
      </c>
      <c r="P1110" s="6">
        <f t="shared" si="419"/>
        <v>748.82837292834267</v>
      </c>
      <c r="Q1110" s="6">
        <f t="shared" si="420"/>
        <v>496.82837292834267</v>
      </c>
      <c r="R1110" s="6">
        <f t="shared" si="421"/>
        <v>326.47999999999979</v>
      </c>
      <c r="S1110" s="6">
        <f t="shared" si="422"/>
        <v>141.52000000000021</v>
      </c>
      <c r="T1110" s="6">
        <f t="shared" si="423"/>
        <v>0</v>
      </c>
      <c r="U1110" s="6">
        <f t="shared" si="424"/>
        <v>468</v>
      </c>
      <c r="V1110" s="6" t="str">
        <f>IF(MOD(C1110-Settings!$B$32,Settings!$B$33)&lt;Settings!$B$30,"Up","Down")</f>
        <v>Up</v>
      </c>
      <c r="W1110" s="6">
        <f>IF(OR(E1110&gt;Settings!$B$30,Q1110&gt;Settings!$B$37),0,1)</f>
        <v>1</v>
      </c>
      <c r="X1110" s="6">
        <f>IF(AND(W1110=1,Q1110&lt;=Settings!$B$36),1,0)</f>
        <v>0</v>
      </c>
    </row>
    <row r="1111" spans="1:24" x14ac:dyDescent="0.2">
      <c r="A1111">
        <f>Arrivals!A1111</f>
        <v>10</v>
      </c>
      <c r="B1111">
        <f>Arrivals!B1111</f>
        <v>26</v>
      </c>
      <c r="C1111" s="6">
        <f>Arrivals!F1111</f>
        <v>257</v>
      </c>
      <c r="D1111" s="6">
        <f>Arrivals!K1111</f>
        <v>300</v>
      </c>
      <c r="E1111" s="6">
        <f>D1111*8/ACE_Input!S31+ACE_Input!T31</f>
        <v>24.02</v>
      </c>
      <c r="F1111" s="6">
        <f t="shared" si="414"/>
        <v>257</v>
      </c>
      <c r="G1111" s="6">
        <f t="shared" si="425"/>
        <v>744.02</v>
      </c>
      <c r="H1111" s="6">
        <f t="shared" si="415"/>
        <v>744.02</v>
      </c>
      <c r="I1111" s="6">
        <f>MOD(H1111-Settings!$B$32,Settings!$B$33)</f>
        <v>24.019999999999982</v>
      </c>
      <c r="J1111" s="6">
        <f>IF(I1111&lt;Settings!$B$30,IF(Settings!$B$30-I1111&gt;=E1111,H1111,H1111+(Settings!$B$30-I1111)+Settings!$B$31),H1111+(Settings!$B$33-I1111))</f>
        <v>744.02</v>
      </c>
      <c r="K1111" s="6">
        <f t="shared" si="416"/>
        <v>768.04</v>
      </c>
      <c r="L1111" s="6">
        <f t="shared" si="417"/>
        <v>768.04</v>
      </c>
      <c r="M1111" s="6">
        <f t="shared" si="426"/>
        <v>748.82837292834267</v>
      </c>
      <c r="N1111" s="6">
        <f t="shared" si="418"/>
        <v>768.04</v>
      </c>
      <c r="O1111" s="6">
        <f>Arrivals!I1111</f>
        <v>2.1384033089846866</v>
      </c>
      <c r="P1111" s="6">
        <f t="shared" si="419"/>
        <v>770.17840330898468</v>
      </c>
      <c r="Q1111" s="6">
        <f t="shared" si="420"/>
        <v>513.17840330898468</v>
      </c>
      <c r="R1111" s="6">
        <f t="shared" si="421"/>
        <v>487.02</v>
      </c>
      <c r="S1111" s="6">
        <f t="shared" si="422"/>
        <v>0</v>
      </c>
      <c r="T1111" s="6">
        <f t="shared" si="423"/>
        <v>0</v>
      </c>
      <c r="U1111" s="6">
        <f t="shared" si="424"/>
        <v>487.02</v>
      </c>
      <c r="V1111" s="6" t="str">
        <f>IF(MOD(C1111-Settings!$B$32,Settings!$B$33)&lt;Settings!$B$30,"Up","Down")</f>
        <v>Up</v>
      </c>
      <c r="W1111" s="6">
        <f>IF(OR(E1111&gt;Settings!$B$30,Q1111&gt;Settings!$B$37),0,1)</f>
        <v>1</v>
      </c>
      <c r="X1111" s="6">
        <f>IF(AND(W1111=1,Q1111&lt;=Settings!$B$36),1,0)</f>
        <v>0</v>
      </c>
    </row>
    <row r="1112" spans="1:24" x14ac:dyDescent="0.2">
      <c r="A1112">
        <f>Arrivals!A1112</f>
        <v>10</v>
      </c>
      <c r="B1112">
        <f>Arrivals!B1112</f>
        <v>27</v>
      </c>
      <c r="C1112" s="6">
        <f>Arrivals!F1112</f>
        <v>262</v>
      </c>
      <c r="D1112" s="6">
        <f>Arrivals!K1112</f>
        <v>300</v>
      </c>
      <c r="E1112" s="6">
        <f>D1112*8/ACE_Input!S32+ACE_Input!T32</f>
        <v>24.02</v>
      </c>
      <c r="F1112" s="6">
        <f t="shared" si="414"/>
        <v>262</v>
      </c>
      <c r="G1112" s="6">
        <f t="shared" si="425"/>
        <v>768.04</v>
      </c>
      <c r="H1112" s="6">
        <f t="shared" si="415"/>
        <v>768.04</v>
      </c>
      <c r="I1112" s="6">
        <f>MOD(H1112-Settings!$B$32,Settings!$B$33)</f>
        <v>48.039999999999964</v>
      </c>
      <c r="J1112" s="6">
        <f>IF(I1112&lt;Settings!$B$30,IF(Settings!$B$30-I1112&gt;=E1112,H1112,H1112+(Settings!$B$30-I1112)+Settings!$B$31),H1112+(Settings!$B$33-I1112))</f>
        <v>768.04</v>
      </c>
      <c r="K1112" s="6">
        <f t="shared" si="416"/>
        <v>792.06</v>
      </c>
      <c r="L1112" s="6">
        <f t="shared" si="417"/>
        <v>792.06</v>
      </c>
      <c r="M1112" s="6">
        <f t="shared" si="426"/>
        <v>770.17840330898468</v>
      </c>
      <c r="N1112" s="6">
        <f t="shared" si="418"/>
        <v>792.06</v>
      </c>
      <c r="O1112" s="6">
        <f>Arrivals!I1112</f>
        <v>5.1823292447313589</v>
      </c>
      <c r="P1112" s="6">
        <f t="shared" si="419"/>
        <v>797.24232924473131</v>
      </c>
      <c r="Q1112" s="6">
        <f t="shared" si="420"/>
        <v>535.24232924473131</v>
      </c>
      <c r="R1112" s="6">
        <f t="shared" si="421"/>
        <v>506.03999999999996</v>
      </c>
      <c r="S1112" s="6">
        <f t="shared" si="422"/>
        <v>0</v>
      </c>
      <c r="T1112" s="6">
        <f t="shared" si="423"/>
        <v>0</v>
      </c>
      <c r="U1112" s="6">
        <f t="shared" si="424"/>
        <v>506.03999999999996</v>
      </c>
      <c r="V1112" s="6" t="str">
        <f>IF(MOD(C1112-Settings!$B$32,Settings!$B$33)&lt;Settings!$B$30,"Up","Down")</f>
        <v>Up</v>
      </c>
      <c r="W1112" s="6">
        <f>IF(OR(E1112&gt;Settings!$B$30,Q1112&gt;Settings!$B$37),0,1)</f>
        <v>1</v>
      </c>
      <c r="X1112" s="6">
        <f>IF(AND(W1112=1,Q1112&lt;=Settings!$B$36),1,0)</f>
        <v>0</v>
      </c>
    </row>
    <row r="1113" spans="1:24" x14ac:dyDescent="0.2">
      <c r="A1113">
        <f>Arrivals!A1113</f>
        <v>10</v>
      </c>
      <c r="B1113">
        <f>Arrivals!B1113</f>
        <v>28</v>
      </c>
      <c r="C1113" s="6">
        <f>Arrivals!F1113</f>
        <v>268</v>
      </c>
      <c r="D1113" s="6">
        <f>Arrivals!K1113</f>
        <v>300</v>
      </c>
      <c r="E1113" s="6">
        <f>D1113*8/ACE_Input!S33+ACE_Input!T33</f>
        <v>24.02</v>
      </c>
      <c r="F1113" s="6">
        <f t="shared" si="414"/>
        <v>268</v>
      </c>
      <c r="G1113" s="6">
        <f t="shared" si="425"/>
        <v>792.06</v>
      </c>
      <c r="H1113" s="6">
        <f t="shared" si="415"/>
        <v>792.06</v>
      </c>
      <c r="I1113" s="6">
        <f>MOD(H1113-Settings!$B$32,Settings!$B$33)</f>
        <v>72.059999999999945</v>
      </c>
      <c r="J1113" s="6">
        <f>IF(I1113&lt;Settings!$B$30,IF(Settings!$B$30-I1113&gt;=E1113,H1113,H1113+(Settings!$B$30-I1113)+Settings!$B$31),H1113+(Settings!$B$33-I1113))</f>
        <v>792.06</v>
      </c>
      <c r="K1113" s="6">
        <f t="shared" si="416"/>
        <v>816.07999999999993</v>
      </c>
      <c r="L1113" s="6">
        <f t="shared" si="417"/>
        <v>816.07999999999993</v>
      </c>
      <c r="M1113" s="6">
        <f t="shared" si="426"/>
        <v>797.24232924473131</v>
      </c>
      <c r="N1113" s="6">
        <f t="shared" si="418"/>
        <v>816.07999999999993</v>
      </c>
      <c r="O1113" s="6">
        <f>Arrivals!I1113</f>
        <v>1.3052812311467634</v>
      </c>
      <c r="P1113" s="6">
        <f t="shared" si="419"/>
        <v>817.38528123114668</v>
      </c>
      <c r="Q1113" s="6">
        <f t="shared" si="420"/>
        <v>549.38528123114668</v>
      </c>
      <c r="R1113" s="6">
        <f t="shared" si="421"/>
        <v>524.05999999999995</v>
      </c>
      <c r="S1113" s="6">
        <f t="shared" si="422"/>
        <v>0</v>
      </c>
      <c r="T1113" s="6">
        <f t="shared" si="423"/>
        <v>0</v>
      </c>
      <c r="U1113" s="6">
        <f t="shared" si="424"/>
        <v>524.05999999999995</v>
      </c>
      <c r="V1113" s="6" t="str">
        <f>IF(MOD(C1113-Settings!$B$32,Settings!$B$33)&lt;Settings!$B$30,"Up","Down")</f>
        <v>Up</v>
      </c>
      <c r="W1113" s="6">
        <f>IF(OR(E1113&gt;Settings!$B$30,Q1113&gt;Settings!$B$37),0,1)</f>
        <v>1</v>
      </c>
      <c r="X1113" s="6">
        <f>IF(AND(W1113=1,Q1113&lt;=Settings!$B$36),1,0)</f>
        <v>0</v>
      </c>
    </row>
    <row r="1114" spans="1:24" x14ac:dyDescent="0.2">
      <c r="A1114">
        <f>Arrivals!A1114</f>
        <v>10</v>
      </c>
      <c r="B1114">
        <f>Arrivals!B1114</f>
        <v>29</v>
      </c>
      <c r="C1114" s="6">
        <f>Arrivals!F1114</f>
        <v>273</v>
      </c>
      <c r="D1114" s="6">
        <f>Arrivals!K1114</f>
        <v>300</v>
      </c>
      <c r="E1114" s="6">
        <f>D1114*8/ACE_Input!S34+ACE_Input!T34</f>
        <v>24.02</v>
      </c>
      <c r="F1114" s="6">
        <f t="shared" si="414"/>
        <v>273</v>
      </c>
      <c r="G1114" s="6">
        <f t="shared" si="425"/>
        <v>816.07999999999993</v>
      </c>
      <c r="H1114" s="6">
        <f t="shared" si="415"/>
        <v>816.07999999999993</v>
      </c>
      <c r="I1114" s="6">
        <f>MOD(H1114-Settings!$B$32,Settings!$B$33)</f>
        <v>96.079999999999927</v>
      </c>
      <c r="J1114" s="6">
        <f>IF(I1114&lt;Settings!$B$30,IF(Settings!$B$30-I1114&gt;=E1114,H1114,H1114+(Settings!$B$30-I1114)+Settings!$B$31),H1114+(Settings!$B$33-I1114))</f>
        <v>816.07999999999993</v>
      </c>
      <c r="K1114" s="6">
        <f t="shared" si="416"/>
        <v>840.09999999999991</v>
      </c>
      <c r="L1114" s="6">
        <f t="shared" si="417"/>
        <v>840.09999999999991</v>
      </c>
      <c r="M1114" s="6">
        <f t="shared" si="426"/>
        <v>817.38528123114668</v>
      </c>
      <c r="N1114" s="6">
        <f t="shared" si="418"/>
        <v>840.09999999999991</v>
      </c>
      <c r="O1114" s="6">
        <f>Arrivals!I1114</f>
        <v>2.815764812121575</v>
      </c>
      <c r="P1114" s="6">
        <f t="shared" si="419"/>
        <v>842.91576481212144</v>
      </c>
      <c r="Q1114" s="6">
        <f t="shared" si="420"/>
        <v>569.91576481212144</v>
      </c>
      <c r="R1114" s="6">
        <f t="shared" si="421"/>
        <v>543.07999999999993</v>
      </c>
      <c r="S1114" s="6">
        <f t="shared" si="422"/>
        <v>0</v>
      </c>
      <c r="T1114" s="6">
        <f t="shared" si="423"/>
        <v>0</v>
      </c>
      <c r="U1114" s="6">
        <f t="shared" si="424"/>
        <v>543.07999999999993</v>
      </c>
      <c r="V1114" s="6" t="str">
        <f>IF(MOD(C1114-Settings!$B$32,Settings!$B$33)&lt;Settings!$B$30,"Up","Down")</f>
        <v>Up</v>
      </c>
      <c r="W1114" s="6">
        <f>IF(OR(E1114&gt;Settings!$B$30,Q1114&gt;Settings!$B$37),0,1)</f>
        <v>1</v>
      </c>
      <c r="X1114" s="6">
        <f>IF(AND(W1114=1,Q1114&lt;=Settings!$B$36),1,0)</f>
        <v>0</v>
      </c>
    </row>
    <row r="1115" spans="1:24" x14ac:dyDescent="0.2">
      <c r="A1115">
        <f>Arrivals!A1115</f>
        <v>10</v>
      </c>
      <c r="B1115">
        <f>Arrivals!B1115</f>
        <v>30</v>
      </c>
      <c r="C1115" s="6">
        <f>Arrivals!F1115</f>
        <v>278</v>
      </c>
      <c r="D1115" s="6">
        <f>Arrivals!K1115</f>
        <v>300</v>
      </c>
      <c r="E1115" s="6">
        <f>D1115*8/ACE_Input!S35+ACE_Input!T35</f>
        <v>24.02</v>
      </c>
      <c r="F1115" s="6">
        <f t="shared" si="414"/>
        <v>278</v>
      </c>
      <c r="G1115" s="6">
        <f t="shared" si="425"/>
        <v>840.09999999999991</v>
      </c>
      <c r="H1115" s="6">
        <f t="shared" si="415"/>
        <v>840.09999999999991</v>
      </c>
      <c r="I1115" s="6">
        <f>MOD(H1115-Settings!$B$32,Settings!$B$33)</f>
        <v>120.09999999999991</v>
      </c>
      <c r="J1115" s="6">
        <f>IF(I1115&lt;Settings!$B$30,IF(Settings!$B$30-I1115&gt;=E1115,H1115,H1115+(Settings!$B$30-I1115)+Settings!$B$31),H1115+(Settings!$B$33-I1115))</f>
        <v>840.09999999999991</v>
      </c>
      <c r="K1115" s="6">
        <f t="shared" si="416"/>
        <v>864.11999999999989</v>
      </c>
      <c r="L1115" s="6">
        <f t="shared" si="417"/>
        <v>864.11999999999989</v>
      </c>
      <c r="M1115" s="6">
        <f t="shared" si="426"/>
        <v>842.91576481212144</v>
      </c>
      <c r="N1115" s="6">
        <f t="shared" si="418"/>
        <v>864.11999999999989</v>
      </c>
      <c r="O1115" s="6">
        <f>Arrivals!I1115</f>
        <v>5.088645832993361</v>
      </c>
      <c r="P1115" s="6">
        <f t="shared" si="419"/>
        <v>869.20864583299328</v>
      </c>
      <c r="Q1115" s="6">
        <f t="shared" si="420"/>
        <v>591.20864583299328</v>
      </c>
      <c r="R1115" s="6">
        <f t="shared" si="421"/>
        <v>562.09999999999991</v>
      </c>
      <c r="S1115" s="6">
        <f t="shared" si="422"/>
        <v>0</v>
      </c>
      <c r="T1115" s="6">
        <f t="shared" si="423"/>
        <v>0</v>
      </c>
      <c r="U1115" s="6">
        <f t="shared" si="424"/>
        <v>562.09999999999991</v>
      </c>
      <c r="V1115" s="6" t="str">
        <f>IF(MOD(C1115-Settings!$B$32,Settings!$B$33)&lt;Settings!$B$30,"Up","Down")</f>
        <v>Up</v>
      </c>
      <c r="W1115" s="6">
        <f>IF(OR(E1115&gt;Settings!$B$30,Q1115&gt;Settings!$B$37),0,1)</f>
        <v>1</v>
      </c>
      <c r="X1115" s="6">
        <f>IF(AND(W1115=1,Q1115&lt;=Settings!$B$36),1,0)</f>
        <v>0</v>
      </c>
    </row>
    <row r="1116" spans="1:24" x14ac:dyDescent="0.2">
      <c r="A1116">
        <f>Arrivals!A1116</f>
        <v>10</v>
      </c>
      <c r="B1116">
        <f>Arrivals!B1116</f>
        <v>31</v>
      </c>
      <c r="C1116" s="6">
        <f>Arrivals!F1116</f>
        <v>283</v>
      </c>
      <c r="D1116" s="6">
        <f>Arrivals!K1116</f>
        <v>300</v>
      </c>
      <c r="E1116" s="6">
        <f>D1116*8/ACE_Input!S36+ACE_Input!T36</f>
        <v>24.02</v>
      </c>
      <c r="F1116" s="6">
        <f t="shared" si="414"/>
        <v>283</v>
      </c>
      <c r="G1116" s="6">
        <f t="shared" si="425"/>
        <v>864.11999999999989</v>
      </c>
      <c r="H1116" s="6">
        <f t="shared" si="415"/>
        <v>864.11999999999989</v>
      </c>
      <c r="I1116" s="6">
        <f>MOD(H1116-Settings!$B$32,Settings!$B$33)</f>
        <v>144.11999999999989</v>
      </c>
      <c r="J1116" s="6">
        <f>IF(I1116&lt;Settings!$B$30,IF(Settings!$B$30-I1116&gt;=E1116,H1116,H1116+(Settings!$B$30-I1116)+Settings!$B$31),H1116+(Settings!$B$33-I1116))</f>
        <v>864.11999999999989</v>
      </c>
      <c r="K1116" s="6">
        <f t="shared" si="416"/>
        <v>888.13999999999987</v>
      </c>
      <c r="L1116" s="6">
        <f t="shared" si="417"/>
        <v>888.13999999999987</v>
      </c>
      <c r="M1116" s="6">
        <f t="shared" si="426"/>
        <v>869.20864583299328</v>
      </c>
      <c r="N1116" s="6">
        <f t="shared" si="418"/>
        <v>888.13999999999987</v>
      </c>
      <c r="O1116" s="6">
        <f>Arrivals!I1116</f>
        <v>1.1713792375972689</v>
      </c>
      <c r="P1116" s="6">
        <f t="shared" si="419"/>
        <v>889.31137923759718</v>
      </c>
      <c r="Q1116" s="6">
        <f t="shared" si="420"/>
        <v>606.31137923759718</v>
      </c>
      <c r="R1116" s="6">
        <f t="shared" si="421"/>
        <v>581.11999999999989</v>
      </c>
      <c r="S1116" s="6">
        <f t="shared" si="422"/>
        <v>0</v>
      </c>
      <c r="T1116" s="6">
        <f t="shared" si="423"/>
        <v>0</v>
      </c>
      <c r="U1116" s="6">
        <f t="shared" si="424"/>
        <v>581.11999999999989</v>
      </c>
      <c r="V1116" s="6" t="str">
        <f>IF(MOD(C1116-Settings!$B$32,Settings!$B$33)&lt;Settings!$B$30,"Up","Down")</f>
        <v>Up</v>
      </c>
      <c r="W1116" s="6">
        <f>IF(OR(E1116&gt;Settings!$B$30,Q1116&gt;Settings!$B$37),0,1)</f>
        <v>1</v>
      </c>
      <c r="X1116" s="6">
        <f>IF(AND(W1116=1,Q1116&lt;=Settings!$B$36),1,0)</f>
        <v>0</v>
      </c>
    </row>
    <row r="1117" spans="1:24" x14ac:dyDescent="0.2">
      <c r="A1117">
        <f>Arrivals!A1117</f>
        <v>10</v>
      </c>
      <c r="B1117">
        <f>Arrivals!B1117</f>
        <v>32</v>
      </c>
      <c r="C1117" s="6">
        <f>Arrivals!F1117</f>
        <v>288</v>
      </c>
      <c r="D1117" s="6">
        <f>Arrivals!K1117</f>
        <v>300</v>
      </c>
      <c r="E1117" s="6">
        <f>D1117*8/ACE_Input!S37+ACE_Input!T37</f>
        <v>24.02</v>
      </c>
      <c r="F1117" s="6">
        <f t="shared" si="414"/>
        <v>288</v>
      </c>
      <c r="G1117" s="6">
        <f t="shared" si="425"/>
        <v>888.13999999999987</v>
      </c>
      <c r="H1117" s="6">
        <f t="shared" si="415"/>
        <v>888.13999999999987</v>
      </c>
      <c r="I1117" s="6">
        <f>MOD(H1117-Settings!$B$32,Settings!$B$33)</f>
        <v>168.13999999999987</v>
      </c>
      <c r="J1117" s="6">
        <f>IF(I1117&lt;Settings!$B$30,IF(Settings!$B$30-I1117&gt;=E1117,H1117,H1117+(Settings!$B$30-I1117)+Settings!$B$31),H1117+(Settings!$B$33-I1117))</f>
        <v>888.13999999999987</v>
      </c>
      <c r="K1117" s="6">
        <f t="shared" si="416"/>
        <v>912.15999999999985</v>
      </c>
      <c r="L1117" s="6">
        <f t="shared" si="417"/>
        <v>912.15999999999985</v>
      </c>
      <c r="M1117" s="6">
        <f t="shared" si="426"/>
        <v>889.31137923759718</v>
      </c>
      <c r="N1117" s="6">
        <f t="shared" si="418"/>
        <v>912.15999999999985</v>
      </c>
      <c r="O1117" s="6">
        <f>Arrivals!I1117</f>
        <v>4.3139375747487945</v>
      </c>
      <c r="P1117" s="6">
        <f t="shared" si="419"/>
        <v>916.47393757474867</v>
      </c>
      <c r="Q1117" s="6">
        <f t="shared" si="420"/>
        <v>628.47393757474867</v>
      </c>
      <c r="R1117" s="6">
        <f t="shared" si="421"/>
        <v>600.13999999999987</v>
      </c>
      <c r="S1117" s="6">
        <f t="shared" si="422"/>
        <v>0</v>
      </c>
      <c r="T1117" s="6">
        <f t="shared" si="423"/>
        <v>0</v>
      </c>
      <c r="U1117" s="6">
        <f t="shared" si="424"/>
        <v>600.13999999999987</v>
      </c>
      <c r="V1117" s="6" t="str">
        <f>IF(MOD(C1117-Settings!$B$32,Settings!$B$33)&lt;Settings!$B$30,"Up","Down")</f>
        <v>Up</v>
      </c>
      <c r="W1117" s="6">
        <f>IF(OR(E1117&gt;Settings!$B$30,Q1117&gt;Settings!$B$37),0,1)</f>
        <v>1</v>
      </c>
      <c r="X1117" s="6">
        <f>IF(AND(W1117=1,Q1117&lt;=Settings!$B$36),1,0)</f>
        <v>0</v>
      </c>
    </row>
    <row r="1118" spans="1:24" x14ac:dyDescent="0.2">
      <c r="A1118">
        <f>Arrivals!A1118</f>
        <v>10</v>
      </c>
      <c r="B1118">
        <f>Arrivals!B1118</f>
        <v>33</v>
      </c>
      <c r="C1118" s="6">
        <f>Arrivals!F1118</f>
        <v>293</v>
      </c>
      <c r="D1118" s="6">
        <f>Arrivals!K1118</f>
        <v>300</v>
      </c>
      <c r="E1118" s="6">
        <f>D1118*8/ACE_Input!S38+ACE_Input!T38</f>
        <v>24.02</v>
      </c>
      <c r="F1118" s="6">
        <f t="shared" ref="F1118:F1149" si="427">C1118</f>
        <v>293</v>
      </c>
      <c r="G1118" s="6">
        <f t="shared" si="425"/>
        <v>912.15999999999985</v>
      </c>
      <c r="H1118" s="6">
        <f t="shared" ref="H1118:H1149" si="428">MAX(F1118,G1118)</f>
        <v>912.15999999999985</v>
      </c>
      <c r="I1118" s="6">
        <f>MOD(H1118-Settings!$B$32,Settings!$B$33)</f>
        <v>192.15999999999985</v>
      </c>
      <c r="J1118" s="6">
        <f>IF(I1118&lt;Settings!$B$30,IF(Settings!$B$30-I1118&gt;=E1118,H1118,H1118+(Settings!$B$30-I1118)+Settings!$B$31),H1118+(Settings!$B$33-I1118))</f>
        <v>912.15999999999985</v>
      </c>
      <c r="K1118" s="6">
        <f t="shared" ref="K1118:K1149" si="429">J1118+E1118</f>
        <v>936.17999999999984</v>
      </c>
      <c r="L1118" s="6">
        <f t="shared" ref="L1118:L1149" si="430">K1118</f>
        <v>936.17999999999984</v>
      </c>
      <c r="M1118" s="6">
        <f t="shared" si="426"/>
        <v>916.47393757474867</v>
      </c>
      <c r="N1118" s="6">
        <f t="shared" ref="N1118:N1149" si="431">MAX(L1118,M1118)</f>
        <v>936.17999999999984</v>
      </c>
      <c r="O1118" s="6">
        <f>Arrivals!I1118</f>
        <v>5.7250753094519755</v>
      </c>
      <c r="P1118" s="6">
        <f t="shared" ref="P1118:P1149" si="432">N1118+O1118</f>
        <v>941.90507530945183</v>
      </c>
      <c r="Q1118" s="6">
        <f t="shared" ref="Q1118:Q1149" si="433">P1118-C1118</f>
        <v>648.90507530945183</v>
      </c>
      <c r="R1118" s="6">
        <f t="shared" ref="R1118:R1149" si="434">H1118-F1118</f>
        <v>619.15999999999985</v>
      </c>
      <c r="S1118" s="6">
        <f t="shared" ref="S1118:S1149" si="435">J1118-H1118</f>
        <v>0</v>
      </c>
      <c r="T1118" s="6">
        <f t="shared" ref="T1118:T1149" si="436">N1118-L1118</f>
        <v>0</v>
      </c>
      <c r="U1118" s="6">
        <f t="shared" ref="U1118:U1149" si="437">R1118+S1118+T1118</f>
        <v>619.15999999999985</v>
      </c>
      <c r="V1118" s="6" t="str">
        <f>IF(MOD(C1118-Settings!$B$32,Settings!$B$33)&lt;Settings!$B$30,"Up","Down")</f>
        <v>Up</v>
      </c>
      <c r="W1118" s="6">
        <f>IF(OR(E1118&gt;Settings!$B$30,Q1118&gt;Settings!$B$37),0,1)</f>
        <v>1</v>
      </c>
      <c r="X1118" s="6">
        <f>IF(AND(W1118=1,Q1118&lt;=Settings!$B$36),1,0)</f>
        <v>0</v>
      </c>
    </row>
    <row r="1119" spans="1:24" x14ac:dyDescent="0.2">
      <c r="A1119">
        <f>Arrivals!A1119</f>
        <v>10</v>
      </c>
      <c r="B1119">
        <f>Arrivals!B1119</f>
        <v>34</v>
      </c>
      <c r="C1119" s="6">
        <f>Arrivals!F1119</f>
        <v>298</v>
      </c>
      <c r="D1119" s="6">
        <f>Arrivals!K1119</f>
        <v>300</v>
      </c>
      <c r="E1119" s="6">
        <f>D1119*8/ACE_Input!S39+ACE_Input!T39</f>
        <v>24.02</v>
      </c>
      <c r="F1119" s="6">
        <f t="shared" si="427"/>
        <v>298</v>
      </c>
      <c r="G1119" s="6">
        <f t="shared" ref="G1119:G1150" si="438">K1118</f>
        <v>936.17999999999984</v>
      </c>
      <c r="H1119" s="6">
        <f t="shared" si="428"/>
        <v>936.17999999999984</v>
      </c>
      <c r="I1119" s="6">
        <f>MOD(H1119-Settings!$B$32,Settings!$B$33)</f>
        <v>216.17999999999984</v>
      </c>
      <c r="J1119" s="6">
        <f>IF(I1119&lt;Settings!$B$30,IF(Settings!$B$30-I1119&gt;=E1119,H1119,H1119+(Settings!$B$30-I1119)+Settings!$B$31),H1119+(Settings!$B$33-I1119))</f>
        <v>936.17999999999984</v>
      </c>
      <c r="K1119" s="6">
        <f t="shared" si="429"/>
        <v>960.19999999999982</v>
      </c>
      <c r="L1119" s="6">
        <f t="shared" si="430"/>
        <v>960.19999999999982</v>
      </c>
      <c r="M1119" s="6">
        <f t="shared" ref="M1119:M1150" si="439">P1118</f>
        <v>941.90507530945183</v>
      </c>
      <c r="N1119" s="6">
        <f t="shared" si="431"/>
        <v>960.19999999999982</v>
      </c>
      <c r="O1119" s="6">
        <f>Arrivals!I1119</f>
        <v>0.1425659537446981</v>
      </c>
      <c r="P1119" s="6">
        <f t="shared" si="432"/>
        <v>960.3425659537445</v>
      </c>
      <c r="Q1119" s="6">
        <f t="shared" si="433"/>
        <v>662.3425659537445</v>
      </c>
      <c r="R1119" s="6">
        <f t="shared" si="434"/>
        <v>638.17999999999984</v>
      </c>
      <c r="S1119" s="6">
        <f t="shared" si="435"/>
        <v>0</v>
      </c>
      <c r="T1119" s="6">
        <f t="shared" si="436"/>
        <v>0</v>
      </c>
      <c r="U1119" s="6">
        <f t="shared" si="437"/>
        <v>638.17999999999984</v>
      </c>
      <c r="V1119" s="6" t="str">
        <f>IF(MOD(C1119-Settings!$B$32,Settings!$B$33)&lt;Settings!$B$30,"Up","Down")</f>
        <v>Up</v>
      </c>
      <c r="W1119" s="6">
        <f>IF(OR(E1119&gt;Settings!$B$30,Q1119&gt;Settings!$B$37),0,1)</f>
        <v>1</v>
      </c>
      <c r="X1119" s="6">
        <f>IF(AND(W1119=1,Q1119&lt;=Settings!$B$36),1,0)</f>
        <v>0</v>
      </c>
    </row>
    <row r="1120" spans="1:24" x14ac:dyDescent="0.2">
      <c r="A1120">
        <f>Arrivals!A1120</f>
        <v>10</v>
      </c>
      <c r="B1120">
        <f>Arrivals!B1120</f>
        <v>35</v>
      </c>
      <c r="C1120" s="6">
        <f>Arrivals!F1120</f>
        <v>303</v>
      </c>
      <c r="D1120" s="6">
        <f>Arrivals!K1120</f>
        <v>300</v>
      </c>
      <c r="E1120" s="6">
        <f>D1120*8/ACE_Input!S40+ACE_Input!T40</f>
        <v>24.02</v>
      </c>
      <c r="F1120" s="6">
        <f t="shared" si="427"/>
        <v>303</v>
      </c>
      <c r="G1120" s="6">
        <f t="shared" si="438"/>
        <v>960.19999999999982</v>
      </c>
      <c r="H1120" s="6">
        <f t="shared" si="428"/>
        <v>960.19999999999982</v>
      </c>
      <c r="I1120" s="6">
        <f>MOD(H1120-Settings!$B$32,Settings!$B$33)</f>
        <v>240.19999999999982</v>
      </c>
      <c r="J1120" s="6">
        <f>IF(I1120&lt;Settings!$B$30,IF(Settings!$B$30-I1120&gt;=E1120,H1120,H1120+(Settings!$B$30-I1120)+Settings!$B$31),H1120+(Settings!$B$33-I1120))</f>
        <v>960.19999999999982</v>
      </c>
      <c r="K1120" s="6">
        <f t="shared" si="429"/>
        <v>984.2199999999998</v>
      </c>
      <c r="L1120" s="6">
        <f t="shared" si="430"/>
        <v>984.2199999999998</v>
      </c>
      <c r="M1120" s="6">
        <f t="shared" si="439"/>
        <v>960.3425659537445</v>
      </c>
      <c r="N1120" s="6">
        <f t="shared" si="431"/>
        <v>984.2199999999998</v>
      </c>
      <c r="O1120" s="6">
        <f>Arrivals!I1120</f>
        <v>2.5934722767671681</v>
      </c>
      <c r="P1120" s="6">
        <f t="shared" si="432"/>
        <v>986.81347227676702</v>
      </c>
      <c r="Q1120" s="6">
        <f t="shared" si="433"/>
        <v>683.81347227676702</v>
      </c>
      <c r="R1120" s="6">
        <f t="shared" si="434"/>
        <v>657.19999999999982</v>
      </c>
      <c r="S1120" s="6">
        <f t="shared" si="435"/>
        <v>0</v>
      </c>
      <c r="T1120" s="6">
        <f t="shared" si="436"/>
        <v>0</v>
      </c>
      <c r="U1120" s="6">
        <f t="shared" si="437"/>
        <v>657.19999999999982</v>
      </c>
      <c r="V1120" s="6" t="str">
        <f>IF(MOD(C1120-Settings!$B$32,Settings!$B$33)&lt;Settings!$B$30,"Up","Down")</f>
        <v>Up</v>
      </c>
      <c r="W1120" s="6">
        <f>IF(OR(E1120&gt;Settings!$B$30,Q1120&gt;Settings!$B$37),0,1)</f>
        <v>1</v>
      </c>
      <c r="X1120" s="6">
        <f>IF(AND(W1120=1,Q1120&lt;=Settings!$B$36),1,0)</f>
        <v>0</v>
      </c>
    </row>
    <row r="1121" spans="1:24" x14ac:dyDescent="0.2">
      <c r="A1121">
        <f>Arrivals!A1121</f>
        <v>10</v>
      </c>
      <c r="B1121">
        <f>Arrivals!B1121</f>
        <v>36</v>
      </c>
      <c r="C1121" s="6">
        <f>Arrivals!F1121</f>
        <v>308</v>
      </c>
      <c r="D1121" s="6">
        <f>Arrivals!K1121</f>
        <v>300</v>
      </c>
      <c r="E1121" s="6">
        <f>D1121*8/ACE_Input!S41+ACE_Input!T41</f>
        <v>24.02</v>
      </c>
      <c r="F1121" s="6">
        <f t="shared" si="427"/>
        <v>308</v>
      </c>
      <c r="G1121" s="6">
        <f t="shared" si="438"/>
        <v>984.2199999999998</v>
      </c>
      <c r="H1121" s="6">
        <f t="shared" si="428"/>
        <v>984.2199999999998</v>
      </c>
      <c r="I1121" s="6">
        <f>MOD(H1121-Settings!$B$32,Settings!$B$33)</f>
        <v>264.2199999999998</v>
      </c>
      <c r="J1121" s="6">
        <f>IF(I1121&lt;Settings!$B$30,IF(Settings!$B$30-I1121&gt;=E1121,H1121,H1121+(Settings!$B$30-I1121)+Settings!$B$31),H1121+(Settings!$B$33-I1121))</f>
        <v>984.2199999999998</v>
      </c>
      <c r="K1121" s="6">
        <f t="shared" si="429"/>
        <v>1008.2399999999998</v>
      </c>
      <c r="L1121" s="6">
        <f t="shared" si="430"/>
        <v>1008.2399999999998</v>
      </c>
      <c r="M1121" s="6">
        <f t="shared" si="439"/>
        <v>986.81347227676702</v>
      </c>
      <c r="N1121" s="6">
        <f t="shared" si="431"/>
        <v>1008.2399999999998</v>
      </c>
      <c r="O1121" s="6">
        <f>Arrivals!I1121</f>
        <v>4.1576894290264814</v>
      </c>
      <c r="P1121" s="6">
        <f t="shared" si="432"/>
        <v>1012.3976894290263</v>
      </c>
      <c r="Q1121" s="6">
        <f t="shared" si="433"/>
        <v>704.39768942902629</v>
      </c>
      <c r="R1121" s="6">
        <f t="shared" si="434"/>
        <v>676.2199999999998</v>
      </c>
      <c r="S1121" s="6">
        <f t="shared" si="435"/>
        <v>0</v>
      </c>
      <c r="T1121" s="6">
        <f t="shared" si="436"/>
        <v>0</v>
      </c>
      <c r="U1121" s="6">
        <f t="shared" si="437"/>
        <v>676.2199999999998</v>
      </c>
      <c r="V1121" s="6" t="str">
        <f>IF(MOD(C1121-Settings!$B$32,Settings!$B$33)&lt;Settings!$B$30,"Up","Down")</f>
        <v>Up</v>
      </c>
      <c r="W1121" s="6">
        <f>IF(OR(E1121&gt;Settings!$B$30,Q1121&gt;Settings!$B$37),0,1)</f>
        <v>1</v>
      </c>
      <c r="X1121" s="6">
        <f>IF(AND(W1121=1,Q1121&lt;=Settings!$B$36),1,0)</f>
        <v>0</v>
      </c>
    </row>
    <row r="1122" spans="1:24" x14ac:dyDescent="0.2">
      <c r="A1122">
        <f>Arrivals!A1122</f>
        <v>10</v>
      </c>
      <c r="B1122">
        <f>Arrivals!B1122</f>
        <v>37</v>
      </c>
      <c r="C1122" s="6">
        <f>Arrivals!F1122</f>
        <v>313</v>
      </c>
      <c r="D1122" s="6">
        <f>Arrivals!K1122</f>
        <v>300</v>
      </c>
      <c r="E1122" s="6">
        <f>D1122*8/ACE_Input!S42+ACE_Input!T42</f>
        <v>24.02</v>
      </c>
      <c r="F1122" s="6">
        <f t="shared" si="427"/>
        <v>313</v>
      </c>
      <c r="G1122" s="6">
        <f t="shared" si="438"/>
        <v>1008.2399999999998</v>
      </c>
      <c r="H1122" s="6">
        <f t="shared" si="428"/>
        <v>1008.2399999999998</v>
      </c>
      <c r="I1122" s="6">
        <f>MOD(H1122-Settings!$B$32,Settings!$B$33)</f>
        <v>288.23999999999978</v>
      </c>
      <c r="J1122" s="6">
        <f>IF(I1122&lt;Settings!$B$30,IF(Settings!$B$30-I1122&gt;=E1122,H1122,H1122+(Settings!$B$30-I1122)+Settings!$B$31),H1122+(Settings!$B$33-I1122))</f>
        <v>1008.2399999999998</v>
      </c>
      <c r="K1122" s="6">
        <f t="shared" si="429"/>
        <v>1032.2599999999998</v>
      </c>
      <c r="L1122" s="6">
        <f t="shared" si="430"/>
        <v>1032.2599999999998</v>
      </c>
      <c r="M1122" s="6">
        <f t="shared" si="439"/>
        <v>1012.3976894290263</v>
      </c>
      <c r="N1122" s="6">
        <f t="shared" si="431"/>
        <v>1032.2599999999998</v>
      </c>
      <c r="O1122" s="6">
        <f>Arrivals!I1122</f>
        <v>0.22490558030542074</v>
      </c>
      <c r="P1122" s="6">
        <f t="shared" si="432"/>
        <v>1032.4849055803052</v>
      </c>
      <c r="Q1122" s="6">
        <f t="shared" si="433"/>
        <v>719.48490558030517</v>
      </c>
      <c r="R1122" s="6">
        <f t="shared" si="434"/>
        <v>695.23999999999978</v>
      </c>
      <c r="S1122" s="6">
        <f t="shared" si="435"/>
        <v>0</v>
      </c>
      <c r="T1122" s="6">
        <f t="shared" si="436"/>
        <v>0</v>
      </c>
      <c r="U1122" s="6">
        <f t="shared" si="437"/>
        <v>695.23999999999978</v>
      </c>
      <c r="V1122" s="6" t="str">
        <f>IF(MOD(C1122-Settings!$B$32,Settings!$B$33)&lt;Settings!$B$30,"Up","Down")</f>
        <v>Up</v>
      </c>
      <c r="W1122" s="6">
        <f>IF(OR(E1122&gt;Settings!$B$30,Q1122&gt;Settings!$B$37),0,1)</f>
        <v>1</v>
      </c>
      <c r="X1122" s="6">
        <f>IF(AND(W1122=1,Q1122&lt;=Settings!$B$36),1,0)</f>
        <v>0</v>
      </c>
    </row>
    <row r="1123" spans="1:24" x14ac:dyDescent="0.2">
      <c r="A1123">
        <f>Arrivals!A1123</f>
        <v>10</v>
      </c>
      <c r="B1123">
        <f>Arrivals!B1123</f>
        <v>38</v>
      </c>
      <c r="C1123" s="6">
        <f>Arrivals!F1123</f>
        <v>318</v>
      </c>
      <c r="D1123" s="6">
        <f>Arrivals!K1123</f>
        <v>300</v>
      </c>
      <c r="E1123" s="6">
        <f>D1123*8/ACE_Input!S43+ACE_Input!T43</f>
        <v>24.02</v>
      </c>
      <c r="F1123" s="6">
        <f t="shared" si="427"/>
        <v>318</v>
      </c>
      <c r="G1123" s="6">
        <f t="shared" si="438"/>
        <v>1032.2599999999998</v>
      </c>
      <c r="H1123" s="6">
        <f t="shared" si="428"/>
        <v>1032.2599999999998</v>
      </c>
      <c r="I1123" s="6">
        <f>MOD(H1123-Settings!$B$32,Settings!$B$33)</f>
        <v>312.25999999999976</v>
      </c>
      <c r="J1123" s="6">
        <f>IF(I1123&lt;Settings!$B$30,IF(Settings!$B$30-I1123&gt;=E1123,H1123,H1123+(Settings!$B$30-I1123)+Settings!$B$31),H1123+(Settings!$B$33-I1123))</f>
        <v>1032.2599999999998</v>
      </c>
      <c r="K1123" s="6">
        <f t="shared" si="429"/>
        <v>1056.2799999999997</v>
      </c>
      <c r="L1123" s="6">
        <f t="shared" si="430"/>
        <v>1056.2799999999997</v>
      </c>
      <c r="M1123" s="6">
        <f t="shared" si="439"/>
        <v>1032.4849055803052</v>
      </c>
      <c r="N1123" s="6">
        <f t="shared" si="431"/>
        <v>1056.2799999999997</v>
      </c>
      <c r="O1123" s="6">
        <f>Arrivals!I1123</f>
        <v>10.159975575759931</v>
      </c>
      <c r="P1123" s="6">
        <f t="shared" si="432"/>
        <v>1066.4399755757597</v>
      </c>
      <c r="Q1123" s="6">
        <f t="shared" si="433"/>
        <v>748.43997557575972</v>
      </c>
      <c r="R1123" s="6">
        <f t="shared" si="434"/>
        <v>714.25999999999976</v>
      </c>
      <c r="S1123" s="6">
        <f t="shared" si="435"/>
        <v>0</v>
      </c>
      <c r="T1123" s="6">
        <f t="shared" si="436"/>
        <v>0</v>
      </c>
      <c r="U1123" s="6">
        <f t="shared" si="437"/>
        <v>714.25999999999976</v>
      </c>
      <c r="V1123" s="6" t="str">
        <f>IF(MOD(C1123-Settings!$B$32,Settings!$B$33)&lt;Settings!$B$30,"Up","Down")</f>
        <v>Up</v>
      </c>
      <c r="W1123" s="6">
        <f>IF(OR(E1123&gt;Settings!$B$30,Q1123&gt;Settings!$B$37),0,1)</f>
        <v>1</v>
      </c>
      <c r="X1123" s="6">
        <f>IF(AND(W1123=1,Q1123&lt;=Settings!$B$36),1,0)</f>
        <v>0</v>
      </c>
    </row>
    <row r="1124" spans="1:24" x14ac:dyDescent="0.2">
      <c r="A1124">
        <f>Arrivals!A1124</f>
        <v>10</v>
      </c>
      <c r="B1124">
        <f>Arrivals!B1124</f>
        <v>39</v>
      </c>
      <c r="C1124" s="6">
        <f>Arrivals!F1124</f>
        <v>323</v>
      </c>
      <c r="D1124" s="6">
        <f>Arrivals!K1124</f>
        <v>300</v>
      </c>
      <c r="E1124" s="6">
        <f>D1124*8/ACE_Input!S44+ACE_Input!T44</f>
        <v>24.02</v>
      </c>
      <c r="F1124" s="6">
        <f t="shared" si="427"/>
        <v>323</v>
      </c>
      <c r="G1124" s="6">
        <f t="shared" si="438"/>
        <v>1056.2799999999997</v>
      </c>
      <c r="H1124" s="6">
        <f t="shared" si="428"/>
        <v>1056.2799999999997</v>
      </c>
      <c r="I1124" s="6">
        <f>MOD(H1124-Settings!$B$32,Settings!$B$33)</f>
        <v>336.27999999999975</v>
      </c>
      <c r="J1124" s="6">
        <f>IF(I1124&lt;Settings!$B$30,IF(Settings!$B$30-I1124&gt;=E1124,H1124,H1124+(Settings!$B$30-I1124)+Settings!$B$31),H1124+(Settings!$B$33-I1124))</f>
        <v>1056.2799999999997</v>
      </c>
      <c r="K1124" s="6">
        <f t="shared" si="429"/>
        <v>1080.2999999999997</v>
      </c>
      <c r="L1124" s="6">
        <f t="shared" si="430"/>
        <v>1080.2999999999997</v>
      </c>
      <c r="M1124" s="6">
        <f t="shared" si="439"/>
        <v>1066.4399755757597</v>
      </c>
      <c r="N1124" s="6">
        <f t="shared" si="431"/>
        <v>1080.2999999999997</v>
      </c>
      <c r="O1124" s="6">
        <f>Arrivals!I1124</f>
        <v>2.6491147284614325</v>
      </c>
      <c r="P1124" s="6">
        <f t="shared" si="432"/>
        <v>1082.9491147284612</v>
      </c>
      <c r="Q1124" s="6">
        <f t="shared" si="433"/>
        <v>759.94911472846115</v>
      </c>
      <c r="R1124" s="6">
        <f t="shared" si="434"/>
        <v>733.27999999999975</v>
      </c>
      <c r="S1124" s="6">
        <f t="shared" si="435"/>
        <v>0</v>
      </c>
      <c r="T1124" s="6">
        <f t="shared" si="436"/>
        <v>0</v>
      </c>
      <c r="U1124" s="6">
        <f t="shared" si="437"/>
        <v>733.27999999999975</v>
      </c>
      <c r="V1124" s="6" t="str">
        <f>IF(MOD(C1124-Settings!$B$32,Settings!$B$33)&lt;Settings!$B$30,"Up","Down")</f>
        <v>Up</v>
      </c>
      <c r="W1124" s="6">
        <f>IF(OR(E1124&gt;Settings!$B$30,Q1124&gt;Settings!$B$37),0,1)</f>
        <v>1</v>
      </c>
      <c r="X1124" s="6">
        <f>IF(AND(W1124=1,Q1124&lt;=Settings!$B$36),1,0)</f>
        <v>0</v>
      </c>
    </row>
    <row r="1125" spans="1:24" x14ac:dyDescent="0.2">
      <c r="A1125">
        <f>Arrivals!A1125</f>
        <v>10</v>
      </c>
      <c r="B1125">
        <f>Arrivals!B1125</f>
        <v>40</v>
      </c>
      <c r="C1125" s="6">
        <f>Arrivals!F1125</f>
        <v>328</v>
      </c>
      <c r="D1125" s="6">
        <f>Arrivals!K1125</f>
        <v>300</v>
      </c>
      <c r="E1125" s="6">
        <f>D1125*8/ACE_Input!S45+ACE_Input!T45</f>
        <v>24.02</v>
      </c>
      <c r="F1125" s="6">
        <f t="shared" si="427"/>
        <v>328</v>
      </c>
      <c r="G1125" s="6">
        <f t="shared" si="438"/>
        <v>1080.2999999999997</v>
      </c>
      <c r="H1125" s="6">
        <f t="shared" si="428"/>
        <v>1080.2999999999997</v>
      </c>
      <c r="I1125" s="6">
        <f>MOD(H1125-Settings!$B$32,Settings!$B$33)</f>
        <v>360.29999999999973</v>
      </c>
      <c r="J1125" s="6">
        <f>IF(I1125&lt;Settings!$B$30,IF(Settings!$B$30-I1125&gt;=E1125,H1125,H1125+(Settings!$B$30-I1125)+Settings!$B$31),H1125+(Settings!$B$33-I1125))</f>
        <v>1080.2999999999997</v>
      </c>
      <c r="K1125" s="6">
        <f t="shared" si="429"/>
        <v>1104.3199999999997</v>
      </c>
      <c r="L1125" s="6">
        <f t="shared" si="430"/>
        <v>1104.3199999999997</v>
      </c>
      <c r="M1125" s="6">
        <f t="shared" si="439"/>
        <v>1082.9491147284612</v>
      </c>
      <c r="N1125" s="6">
        <f t="shared" si="431"/>
        <v>1104.3199999999997</v>
      </c>
      <c r="O1125" s="6">
        <f>Arrivals!I1125</f>
        <v>0.21090467972311608</v>
      </c>
      <c r="P1125" s="6">
        <f t="shared" si="432"/>
        <v>1104.5309046797229</v>
      </c>
      <c r="Q1125" s="6">
        <f t="shared" si="433"/>
        <v>776.53090467972288</v>
      </c>
      <c r="R1125" s="6">
        <f t="shared" si="434"/>
        <v>752.29999999999973</v>
      </c>
      <c r="S1125" s="6">
        <f t="shared" si="435"/>
        <v>0</v>
      </c>
      <c r="T1125" s="6">
        <f t="shared" si="436"/>
        <v>0</v>
      </c>
      <c r="U1125" s="6">
        <f t="shared" si="437"/>
        <v>752.29999999999973</v>
      </c>
      <c r="V1125" s="6" t="str">
        <f>IF(MOD(C1125-Settings!$B$32,Settings!$B$33)&lt;Settings!$B$30,"Up","Down")</f>
        <v>Up</v>
      </c>
      <c r="W1125" s="6">
        <f>IF(OR(E1125&gt;Settings!$B$30,Q1125&gt;Settings!$B$37),0,1)</f>
        <v>1</v>
      </c>
      <c r="X1125" s="6">
        <f>IF(AND(W1125=1,Q1125&lt;=Settings!$B$36),1,0)</f>
        <v>0</v>
      </c>
    </row>
    <row r="1126" spans="1:24" x14ac:dyDescent="0.2">
      <c r="A1126">
        <f>Arrivals!A1126</f>
        <v>10</v>
      </c>
      <c r="B1126">
        <f>Arrivals!B1126</f>
        <v>41</v>
      </c>
      <c r="C1126" s="6">
        <f>Arrivals!F1126</f>
        <v>333</v>
      </c>
      <c r="D1126" s="6">
        <f>Arrivals!K1126</f>
        <v>300</v>
      </c>
      <c r="E1126" s="6">
        <f>D1126*8/ACE_Input!S46+ACE_Input!T46</f>
        <v>24.02</v>
      </c>
      <c r="F1126" s="6">
        <f t="shared" si="427"/>
        <v>333</v>
      </c>
      <c r="G1126" s="6">
        <f t="shared" si="438"/>
        <v>1104.3199999999997</v>
      </c>
      <c r="H1126" s="6">
        <f t="shared" si="428"/>
        <v>1104.3199999999997</v>
      </c>
      <c r="I1126" s="6">
        <f>MOD(H1126-Settings!$B$32,Settings!$B$33)</f>
        <v>384.31999999999971</v>
      </c>
      <c r="J1126" s="6">
        <f>IF(I1126&lt;Settings!$B$30,IF(Settings!$B$30-I1126&gt;=E1126,H1126,H1126+(Settings!$B$30-I1126)+Settings!$B$31),H1126+(Settings!$B$33-I1126))</f>
        <v>1104.3199999999997</v>
      </c>
      <c r="K1126" s="6">
        <f t="shared" si="429"/>
        <v>1128.3399999999997</v>
      </c>
      <c r="L1126" s="6">
        <f t="shared" si="430"/>
        <v>1128.3399999999997</v>
      </c>
      <c r="M1126" s="6">
        <f t="shared" si="439"/>
        <v>1104.5309046797229</v>
      </c>
      <c r="N1126" s="6">
        <f t="shared" si="431"/>
        <v>1128.3399999999997</v>
      </c>
      <c r="O1126" s="6">
        <f>Arrivals!I1126</f>
        <v>0.95221308107302227</v>
      </c>
      <c r="P1126" s="6">
        <f t="shared" si="432"/>
        <v>1129.2922130810728</v>
      </c>
      <c r="Q1126" s="6">
        <f t="shared" si="433"/>
        <v>796.29221308107276</v>
      </c>
      <c r="R1126" s="6">
        <f t="shared" si="434"/>
        <v>771.31999999999971</v>
      </c>
      <c r="S1126" s="6">
        <f t="shared" si="435"/>
        <v>0</v>
      </c>
      <c r="T1126" s="6">
        <f t="shared" si="436"/>
        <v>0</v>
      </c>
      <c r="U1126" s="6">
        <f t="shared" si="437"/>
        <v>771.31999999999971</v>
      </c>
      <c r="V1126" s="6" t="str">
        <f>IF(MOD(C1126-Settings!$B$32,Settings!$B$33)&lt;Settings!$B$30,"Up","Down")</f>
        <v>Up</v>
      </c>
      <c r="W1126" s="6">
        <f>IF(OR(E1126&gt;Settings!$B$30,Q1126&gt;Settings!$B$37),0,1)</f>
        <v>1</v>
      </c>
      <c r="X1126" s="6">
        <f>IF(AND(W1126=1,Q1126&lt;=Settings!$B$36),1,0)</f>
        <v>0</v>
      </c>
    </row>
    <row r="1127" spans="1:24" x14ac:dyDescent="0.2">
      <c r="A1127">
        <f>Arrivals!A1127</f>
        <v>10</v>
      </c>
      <c r="B1127">
        <f>Arrivals!B1127</f>
        <v>42</v>
      </c>
      <c r="C1127" s="6">
        <f>Arrivals!F1127</f>
        <v>338</v>
      </c>
      <c r="D1127" s="6">
        <f>Arrivals!K1127</f>
        <v>300</v>
      </c>
      <c r="E1127" s="6">
        <f>D1127*8/ACE_Input!S47+ACE_Input!T47</f>
        <v>24.02</v>
      </c>
      <c r="F1127" s="6">
        <f t="shared" si="427"/>
        <v>338</v>
      </c>
      <c r="G1127" s="6">
        <f t="shared" si="438"/>
        <v>1128.3399999999997</v>
      </c>
      <c r="H1127" s="6">
        <f t="shared" si="428"/>
        <v>1128.3399999999997</v>
      </c>
      <c r="I1127" s="6">
        <f>MOD(H1127-Settings!$B$32,Settings!$B$33)</f>
        <v>408.33999999999969</v>
      </c>
      <c r="J1127" s="6">
        <f>IF(I1127&lt;Settings!$B$30,IF(Settings!$B$30-I1127&gt;=E1127,H1127,H1127+(Settings!$B$30-I1127)+Settings!$B$31),H1127+(Settings!$B$33-I1127))</f>
        <v>1128.3399999999997</v>
      </c>
      <c r="K1127" s="6">
        <f t="shared" si="429"/>
        <v>1152.3599999999997</v>
      </c>
      <c r="L1127" s="6">
        <f t="shared" si="430"/>
        <v>1152.3599999999997</v>
      </c>
      <c r="M1127" s="6">
        <f t="shared" si="439"/>
        <v>1129.2922130810728</v>
      </c>
      <c r="N1127" s="6">
        <f t="shared" si="431"/>
        <v>1152.3599999999997</v>
      </c>
      <c r="O1127" s="6">
        <f>Arrivals!I1127</f>
        <v>1.9318070798154792</v>
      </c>
      <c r="P1127" s="6">
        <f t="shared" si="432"/>
        <v>1154.291807079815</v>
      </c>
      <c r="Q1127" s="6">
        <f t="shared" si="433"/>
        <v>816.29180707981504</v>
      </c>
      <c r="R1127" s="6">
        <f t="shared" si="434"/>
        <v>790.33999999999969</v>
      </c>
      <c r="S1127" s="6">
        <f t="shared" si="435"/>
        <v>0</v>
      </c>
      <c r="T1127" s="6">
        <f t="shared" si="436"/>
        <v>0</v>
      </c>
      <c r="U1127" s="6">
        <f t="shared" si="437"/>
        <v>790.33999999999969</v>
      </c>
      <c r="V1127" s="6" t="str">
        <f>IF(MOD(C1127-Settings!$B$32,Settings!$B$33)&lt;Settings!$B$30,"Up","Down")</f>
        <v>Up</v>
      </c>
      <c r="W1127" s="6">
        <f>IF(OR(E1127&gt;Settings!$B$30,Q1127&gt;Settings!$B$37),0,1)</f>
        <v>1</v>
      </c>
      <c r="X1127" s="6">
        <f>IF(AND(W1127=1,Q1127&lt;=Settings!$B$36),1,0)</f>
        <v>0</v>
      </c>
    </row>
    <row r="1128" spans="1:24" x14ac:dyDescent="0.2">
      <c r="A1128">
        <f>Arrivals!A1128</f>
        <v>10</v>
      </c>
      <c r="B1128">
        <f>Arrivals!B1128</f>
        <v>43</v>
      </c>
      <c r="C1128" s="6">
        <f>Arrivals!F1128</f>
        <v>343</v>
      </c>
      <c r="D1128" s="6">
        <f>Arrivals!K1128</f>
        <v>300</v>
      </c>
      <c r="E1128" s="6">
        <f>D1128*8/ACE_Input!S48+ACE_Input!T48</f>
        <v>24.02</v>
      </c>
      <c r="F1128" s="6">
        <f t="shared" si="427"/>
        <v>343</v>
      </c>
      <c r="G1128" s="6">
        <f t="shared" si="438"/>
        <v>1152.3599999999997</v>
      </c>
      <c r="H1128" s="6">
        <f t="shared" si="428"/>
        <v>1152.3599999999997</v>
      </c>
      <c r="I1128" s="6">
        <f>MOD(H1128-Settings!$B$32,Settings!$B$33)</f>
        <v>432.35999999999967</v>
      </c>
      <c r="J1128" s="6">
        <f>IF(I1128&lt;Settings!$B$30,IF(Settings!$B$30-I1128&gt;=E1128,H1128,H1128+(Settings!$B$30-I1128)+Settings!$B$31),H1128+(Settings!$B$33-I1128))</f>
        <v>1152.3599999999997</v>
      </c>
      <c r="K1128" s="6">
        <f t="shared" si="429"/>
        <v>1176.3799999999997</v>
      </c>
      <c r="L1128" s="6">
        <f t="shared" si="430"/>
        <v>1176.3799999999997</v>
      </c>
      <c r="M1128" s="6">
        <f t="shared" si="439"/>
        <v>1154.291807079815</v>
      </c>
      <c r="N1128" s="6">
        <f t="shared" si="431"/>
        <v>1176.3799999999997</v>
      </c>
      <c r="O1128" s="6">
        <f>Arrivals!I1128</f>
        <v>5.7144985474762269</v>
      </c>
      <c r="P1128" s="6">
        <f t="shared" si="432"/>
        <v>1182.094498547476</v>
      </c>
      <c r="Q1128" s="6">
        <f t="shared" si="433"/>
        <v>839.09449854747595</v>
      </c>
      <c r="R1128" s="6">
        <f t="shared" si="434"/>
        <v>809.35999999999967</v>
      </c>
      <c r="S1128" s="6">
        <f t="shared" si="435"/>
        <v>0</v>
      </c>
      <c r="T1128" s="6">
        <f t="shared" si="436"/>
        <v>0</v>
      </c>
      <c r="U1128" s="6">
        <f t="shared" si="437"/>
        <v>809.35999999999967</v>
      </c>
      <c r="V1128" s="6" t="str">
        <f>IF(MOD(C1128-Settings!$B$32,Settings!$B$33)&lt;Settings!$B$30,"Up","Down")</f>
        <v>Up</v>
      </c>
      <c r="W1128" s="6">
        <f>IF(OR(E1128&gt;Settings!$B$30,Q1128&gt;Settings!$B$37),0,1)</f>
        <v>1</v>
      </c>
      <c r="X1128" s="6">
        <f>IF(AND(W1128=1,Q1128&lt;=Settings!$B$36),1,0)</f>
        <v>0</v>
      </c>
    </row>
    <row r="1129" spans="1:24" x14ac:dyDescent="0.2">
      <c r="A1129">
        <f>Arrivals!A1129</f>
        <v>10</v>
      </c>
      <c r="B1129">
        <f>Arrivals!B1129</f>
        <v>44</v>
      </c>
      <c r="C1129" s="6">
        <f>Arrivals!F1129</f>
        <v>348</v>
      </c>
      <c r="D1129" s="6">
        <f>Arrivals!K1129</f>
        <v>300</v>
      </c>
      <c r="E1129" s="6">
        <f>D1129*8/ACE_Input!S49+ACE_Input!T49</f>
        <v>24.02</v>
      </c>
      <c r="F1129" s="6">
        <f t="shared" si="427"/>
        <v>348</v>
      </c>
      <c r="G1129" s="6">
        <f t="shared" si="438"/>
        <v>1176.3799999999997</v>
      </c>
      <c r="H1129" s="6">
        <f t="shared" si="428"/>
        <v>1176.3799999999997</v>
      </c>
      <c r="I1129" s="6">
        <f>MOD(H1129-Settings!$B$32,Settings!$B$33)</f>
        <v>456.37999999999965</v>
      </c>
      <c r="J1129" s="6">
        <f>IF(I1129&lt;Settings!$B$30,IF(Settings!$B$30-I1129&gt;=E1129,H1129,H1129+(Settings!$B$30-I1129)+Settings!$B$31),H1129+(Settings!$B$33-I1129))</f>
        <v>1176.3799999999997</v>
      </c>
      <c r="K1129" s="6">
        <f t="shared" si="429"/>
        <v>1200.3999999999996</v>
      </c>
      <c r="L1129" s="6">
        <f t="shared" si="430"/>
        <v>1200.3999999999996</v>
      </c>
      <c r="M1129" s="6">
        <f t="shared" si="439"/>
        <v>1182.094498547476</v>
      </c>
      <c r="N1129" s="6">
        <f t="shared" si="431"/>
        <v>1200.3999999999996</v>
      </c>
      <c r="O1129" s="6">
        <f>Arrivals!I1129</f>
        <v>2.0388915895889186</v>
      </c>
      <c r="P1129" s="6">
        <f t="shared" si="432"/>
        <v>1202.4388915895886</v>
      </c>
      <c r="Q1129" s="6">
        <f t="shared" si="433"/>
        <v>854.43889158958859</v>
      </c>
      <c r="R1129" s="6">
        <f t="shared" si="434"/>
        <v>828.37999999999965</v>
      </c>
      <c r="S1129" s="6">
        <f t="shared" si="435"/>
        <v>0</v>
      </c>
      <c r="T1129" s="6">
        <f t="shared" si="436"/>
        <v>0</v>
      </c>
      <c r="U1129" s="6">
        <f t="shared" si="437"/>
        <v>828.37999999999965</v>
      </c>
      <c r="V1129" s="6" t="str">
        <f>IF(MOD(C1129-Settings!$B$32,Settings!$B$33)&lt;Settings!$B$30,"Up","Down")</f>
        <v>Up</v>
      </c>
      <c r="W1129" s="6">
        <f>IF(OR(E1129&gt;Settings!$B$30,Q1129&gt;Settings!$B$37),0,1)</f>
        <v>1</v>
      </c>
      <c r="X1129" s="6">
        <f>IF(AND(W1129=1,Q1129&lt;=Settings!$B$36),1,0)</f>
        <v>0</v>
      </c>
    </row>
    <row r="1130" spans="1:24" x14ac:dyDescent="0.2">
      <c r="A1130">
        <f>Arrivals!A1130</f>
        <v>10</v>
      </c>
      <c r="B1130">
        <f>Arrivals!B1130</f>
        <v>45</v>
      </c>
      <c r="C1130" s="6">
        <f>Arrivals!F1130</f>
        <v>354</v>
      </c>
      <c r="D1130" s="6">
        <f>Arrivals!K1130</f>
        <v>300</v>
      </c>
      <c r="E1130" s="6">
        <f>D1130*8/ACE_Input!S50+ACE_Input!T50</f>
        <v>24.02</v>
      </c>
      <c r="F1130" s="6">
        <f t="shared" si="427"/>
        <v>354</v>
      </c>
      <c r="G1130" s="6">
        <f t="shared" si="438"/>
        <v>1200.3999999999996</v>
      </c>
      <c r="H1130" s="6">
        <f t="shared" si="428"/>
        <v>1200.3999999999996</v>
      </c>
      <c r="I1130" s="6">
        <f>MOD(H1130-Settings!$B$32,Settings!$B$33)</f>
        <v>480.39999999999964</v>
      </c>
      <c r="J1130" s="6">
        <f>IF(I1130&lt;Settings!$B$30,IF(Settings!$B$30-I1130&gt;=E1130,H1130,H1130+(Settings!$B$30-I1130)+Settings!$B$31),H1130+(Settings!$B$33-I1130))</f>
        <v>1200.3999999999996</v>
      </c>
      <c r="K1130" s="6">
        <f t="shared" si="429"/>
        <v>1224.4199999999996</v>
      </c>
      <c r="L1130" s="6">
        <f t="shared" si="430"/>
        <v>1224.4199999999996</v>
      </c>
      <c r="M1130" s="6">
        <f t="shared" si="439"/>
        <v>1202.4388915895886</v>
      </c>
      <c r="N1130" s="6">
        <f t="shared" si="431"/>
        <v>1224.4199999999996</v>
      </c>
      <c r="O1130" s="6">
        <f>Arrivals!I1130</f>
        <v>4.4804054566761984</v>
      </c>
      <c r="P1130" s="6">
        <f t="shared" si="432"/>
        <v>1228.9004054566758</v>
      </c>
      <c r="Q1130" s="6">
        <f t="shared" si="433"/>
        <v>874.9004054566758</v>
      </c>
      <c r="R1130" s="6">
        <f t="shared" si="434"/>
        <v>846.39999999999964</v>
      </c>
      <c r="S1130" s="6">
        <f t="shared" si="435"/>
        <v>0</v>
      </c>
      <c r="T1130" s="6">
        <f t="shared" si="436"/>
        <v>0</v>
      </c>
      <c r="U1130" s="6">
        <f t="shared" si="437"/>
        <v>846.39999999999964</v>
      </c>
      <c r="V1130" s="6" t="str">
        <f>IF(MOD(C1130-Settings!$B$32,Settings!$B$33)&lt;Settings!$B$30,"Up","Down")</f>
        <v>Up</v>
      </c>
      <c r="W1130" s="6">
        <f>IF(OR(E1130&gt;Settings!$B$30,Q1130&gt;Settings!$B$37),0,1)</f>
        <v>1</v>
      </c>
      <c r="X1130" s="6">
        <f>IF(AND(W1130=1,Q1130&lt;=Settings!$B$36),1,0)</f>
        <v>0</v>
      </c>
    </row>
    <row r="1131" spans="1:24" x14ac:dyDescent="0.2">
      <c r="A1131">
        <f>Arrivals!A1131</f>
        <v>10</v>
      </c>
      <c r="B1131">
        <f>Arrivals!B1131</f>
        <v>46</v>
      </c>
      <c r="C1131" s="6">
        <f>Arrivals!F1131</f>
        <v>359</v>
      </c>
      <c r="D1131" s="6">
        <f>Arrivals!K1131</f>
        <v>300</v>
      </c>
      <c r="E1131" s="6">
        <f>D1131*8/ACE_Input!S51+ACE_Input!T51</f>
        <v>24.02</v>
      </c>
      <c r="F1131" s="6">
        <f t="shared" si="427"/>
        <v>359</v>
      </c>
      <c r="G1131" s="6">
        <f t="shared" si="438"/>
        <v>1224.4199999999996</v>
      </c>
      <c r="H1131" s="6">
        <f t="shared" si="428"/>
        <v>1224.4199999999996</v>
      </c>
      <c r="I1131" s="6">
        <f>MOD(H1131-Settings!$B$32,Settings!$B$33)</f>
        <v>504.41999999999962</v>
      </c>
      <c r="J1131" s="6">
        <f>IF(I1131&lt;Settings!$B$30,IF(Settings!$B$30-I1131&gt;=E1131,H1131,H1131+(Settings!$B$30-I1131)+Settings!$B$31),H1131+(Settings!$B$33-I1131))</f>
        <v>1224.4199999999996</v>
      </c>
      <c r="K1131" s="6">
        <f t="shared" si="429"/>
        <v>1248.4399999999996</v>
      </c>
      <c r="L1131" s="6">
        <f t="shared" si="430"/>
        <v>1248.4399999999996</v>
      </c>
      <c r="M1131" s="6">
        <f t="shared" si="439"/>
        <v>1228.9004054566758</v>
      </c>
      <c r="N1131" s="6">
        <f t="shared" si="431"/>
        <v>1248.4399999999996</v>
      </c>
      <c r="O1131" s="6">
        <f>Arrivals!I1131</f>
        <v>5.9017765454331865</v>
      </c>
      <c r="P1131" s="6">
        <f t="shared" si="432"/>
        <v>1254.3417765454328</v>
      </c>
      <c r="Q1131" s="6">
        <f t="shared" si="433"/>
        <v>895.34177654543282</v>
      </c>
      <c r="R1131" s="6">
        <f t="shared" si="434"/>
        <v>865.41999999999962</v>
      </c>
      <c r="S1131" s="6">
        <f t="shared" si="435"/>
        <v>0</v>
      </c>
      <c r="T1131" s="6">
        <f t="shared" si="436"/>
        <v>0</v>
      </c>
      <c r="U1131" s="6">
        <f t="shared" si="437"/>
        <v>865.41999999999962</v>
      </c>
      <c r="V1131" s="6" t="str">
        <f>IF(MOD(C1131-Settings!$B$32,Settings!$B$33)&lt;Settings!$B$30,"Up","Down")</f>
        <v>Up</v>
      </c>
      <c r="W1131" s="6">
        <f>IF(OR(E1131&gt;Settings!$B$30,Q1131&gt;Settings!$B$37),0,1)</f>
        <v>1</v>
      </c>
      <c r="X1131" s="6">
        <f>IF(AND(W1131=1,Q1131&lt;=Settings!$B$36),1,0)</f>
        <v>0</v>
      </c>
    </row>
    <row r="1132" spans="1:24" x14ac:dyDescent="0.2">
      <c r="A1132">
        <f>Arrivals!A1132</f>
        <v>10</v>
      </c>
      <c r="B1132">
        <f>Arrivals!B1132</f>
        <v>47</v>
      </c>
      <c r="C1132" s="6">
        <f>Arrivals!F1132</f>
        <v>364</v>
      </c>
      <c r="D1132" s="6">
        <f>Arrivals!K1132</f>
        <v>300</v>
      </c>
      <c r="E1132" s="6">
        <f>D1132*8/ACE_Input!S52+ACE_Input!T52</f>
        <v>24.02</v>
      </c>
      <c r="F1132" s="6">
        <f t="shared" si="427"/>
        <v>364</v>
      </c>
      <c r="G1132" s="6">
        <f t="shared" si="438"/>
        <v>1248.4399999999996</v>
      </c>
      <c r="H1132" s="6">
        <f t="shared" si="428"/>
        <v>1248.4399999999996</v>
      </c>
      <c r="I1132" s="6">
        <f>MOD(H1132-Settings!$B$32,Settings!$B$33)</f>
        <v>528.4399999999996</v>
      </c>
      <c r="J1132" s="6">
        <f>IF(I1132&lt;Settings!$B$30,IF(Settings!$B$30-I1132&gt;=E1132,H1132,H1132+(Settings!$B$30-I1132)+Settings!$B$31),H1132+(Settings!$B$33-I1132))</f>
        <v>1248.4399999999996</v>
      </c>
      <c r="K1132" s="6">
        <f t="shared" si="429"/>
        <v>1272.4599999999996</v>
      </c>
      <c r="L1132" s="6">
        <f t="shared" si="430"/>
        <v>1272.4599999999996</v>
      </c>
      <c r="M1132" s="6">
        <f t="shared" si="439"/>
        <v>1254.3417765454328</v>
      </c>
      <c r="N1132" s="6">
        <f t="shared" si="431"/>
        <v>1272.4599999999996</v>
      </c>
      <c r="O1132" s="6">
        <f>Arrivals!I1132</f>
        <v>3.9051928673191183</v>
      </c>
      <c r="P1132" s="6">
        <f t="shared" si="432"/>
        <v>1276.3651928673187</v>
      </c>
      <c r="Q1132" s="6">
        <f t="shared" si="433"/>
        <v>912.36519286731868</v>
      </c>
      <c r="R1132" s="6">
        <f t="shared" si="434"/>
        <v>884.4399999999996</v>
      </c>
      <c r="S1132" s="6">
        <f t="shared" si="435"/>
        <v>0</v>
      </c>
      <c r="T1132" s="6">
        <f t="shared" si="436"/>
        <v>0</v>
      </c>
      <c r="U1132" s="6">
        <f t="shared" si="437"/>
        <v>884.4399999999996</v>
      </c>
      <c r="V1132" s="6" t="str">
        <f>IF(MOD(C1132-Settings!$B$32,Settings!$B$33)&lt;Settings!$B$30,"Up","Down")</f>
        <v>Up</v>
      </c>
      <c r="W1132" s="6">
        <f>IF(OR(E1132&gt;Settings!$B$30,Q1132&gt;Settings!$B$37),0,1)</f>
        <v>0</v>
      </c>
      <c r="X1132" s="6">
        <f>IF(AND(W1132=1,Q1132&lt;=Settings!$B$36),1,0)</f>
        <v>0</v>
      </c>
    </row>
    <row r="1133" spans="1:24" x14ac:dyDescent="0.2">
      <c r="A1133">
        <f>Arrivals!A1133</f>
        <v>10</v>
      </c>
      <c r="B1133">
        <f>Arrivals!B1133</f>
        <v>48</v>
      </c>
      <c r="C1133" s="6">
        <f>Arrivals!F1133</f>
        <v>369</v>
      </c>
      <c r="D1133" s="6">
        <f>Arrivals!K1133</f>
        <v>300</v>
      </c>
      <c r="E1133" s="6">
        <f>D1133*8/ACE_Input!S53+ACE_Input!T53</f>
        <v>24.02</v>
      </c>
      <c r="F1133" s="6">
        <f t="shared" si="427"/>
        <v>369</v>
      </c>
      <c r="G1133" s="6">
        <f t="shared" si="438"/>
        <v>1272.4599999999996</v>
      </c>
      <c r="H1133" s="6">
        <f t="shared" si="428"/>
        <v>1272.4599999999996</v>
      </c>
      <c r="I1133" s="6">
        <f>MOD(H1133-Settings!$B$32,Settings!$B$33)</f>
        <v>552.45999999999958</v>
      </c>
      <c r="J1133" s="6">
        <f>IF(I1133&lt;Settings!$B$30,IF(Settings!$B$30-I1133&gt;=E1133,H1133,H1133+(Settings!$B$30-I1133)+Settings!$B$31),H1133+(Settings!$B$33-I1133))</f>
        <v>1272.4599999999996</v>
      </c>
      <c r="K1133" s="6">
        <f t="shared" si="429"/>
        <v>1296.4799999999996</v>
      </c>
      <c r="L1133" s="6">
        <f t="shared" si="430"/>
        <v>1296.4799999999996</v>
      </c>
      <c r="M1133" s="6">
        <f t="shared" si="439"/>
        <v>1276.3651928673187</v>
      </c>
      <c r="N1133" s="6">
        <f t="shared" si="431"/>
        <v>1296.4799999999996</v>
      </c>
      <c r="O1133" s="6">
        <f>Arrivals!I1133</f>
        <v>5.5899535505717406</v>
      </c>
      <c r="P1133" s="6">
        <f t="shared" si="432"/>
        <v>1302.0699535505712</v>
      </c>
      <c r="Q1133" s="6">
        <f t="shared" si="433"/>
        <v>933.0699535505712</v>
      </c>
      <c r="R1133" s="6">
        <f t="shared" si="434"/>
        <v>903.45999999999958</v>
      </c>
      <c r="S1133" s="6">
        <f t="shared" si="435"/>
        <v>0</v>
      </c>
      <c r="T1133" s="6">
        <f t="shared" si="436"/>
        <v>0</v>
      </c>
      <c r="U1133" s="6">
        <f t="shared" si="437"/>
        <v>903.45999999999958</v>
      </c>
      <c r="V1133" s="6" t="str">
        <f>IF(MOD(C1133-Settings!$B$32,Settings!$B$33)&lt;Settings!$B$30,"Up","Down")</f>
        <v>Up</v>
      </c>
      <c r="W1133" s="6">
        <f>IF(OR(E1133&gt;Settings!$B$30,Q1133&gt;Settings!$B$37),0,1)</f>
        <v>0</v>
      </c>
      <c r="X1133" s="6">
        <f>IF(AND(W1133=1,Q1133&lt;=Settings!$B$36),1,0)</f>
        <v>0</v>
      </c>
    </row>
    <row r="1134" spans="1:24" x14ac:dyDescent="0.2">
      <c r="A1134">
        <f>Arrivals!A1134</f>
        <v>10</v>
      </c>
      <c r="B1134">
        <f>Arrivals!B1134</f>
        <v>49</v>
      </c>
      <c r="C1134" s="6">
        <f>Arrivals!F1134</f>
        <v>374</v>
      </c>
      <c r="D1134" s="6">
        <f>Arrivals!K1134</f>
        <v>300</v>
      </c>
      <c r="E1134" s="6">
        <f>D1134*8/ACE_Input!S54+ACE_Input!T54</f>
        <v>24.02</v>
      </c>
      <c r="F1134" s="6">
        <f t="shared" si="427"/>
        <v>374</v>
      </c>
      <c r="G1134" s="6">
        <f t="shared" si="438"/>
        <v>1296.4799999999996</v>
      </c>
      <c r="H1134" s="6">
        <f t="shared" si="428"/>
        <v>1296.4799999999996</v>
      </c>
      <c r="I1134" s="6">
        <f>MOD(H1134-Settings!$B$32,Settings!$B$33)</f>
        <v>576.47999999999956</v>
      </c>
      <c r="J1134" s="6">
        <f>IF(I1134&lt;Settings!$B$30,IF(Settings!$B$30-I1134&gt;=E1134,H1134,H1134+(Settings!$B$30-I1134)+Settings!$B$31),H1134+(Settings!$B$33-I1134))</f>
        <v>1440</v>
      </c>
      <c r="K1134" s="6">
        <f t="shared" si="429"/>
        <v>1464.02</v>
      </c>
      <c r="L1134" s="6">
        <f t="shared" si="430"/>
        <v>1464.02</v>
      </c>
      <c r="M1134" s="6">
        <f t="shared" si="439"/>
        <v>1302.0699535505712</v>
      </c>
      <c r="N1134" s="6">
        <f t="shared" si="431"/>
        <v>1464.02</v>
      </c>
      <c r="O1134" s="6">
        <f>Arrivals!I1134</f>
        <v>8.991408161933695E-2</v>
      </c>
      <c r="P1134" s="6">
        <f t="shared" si="432"/>
        <v>1464.1099140816193</v>
      </c>
      <c r="Q1134" s="6">
        <f t="shared" si="433"/>
        <v>1090.1099140816193</v>
      </c>
      <c r="R1134" s="6">
        <f t="shared" si="434"/>
        <v>922.47999999999956</v>
      </c>
      <c r="S1134" s="6">
        <f t="shared" si="435"/>
        <v>143.52000000000044</v>
      </c>
      <c r="T1134" s="6">
        <f t="shared" si="436"/>
        <v>0</v>
      </c>
      <c r="U1134" s="6">
        <f t="shared" si="437"/>
        <v>1066</v>
      </c>
      <c r="V1134" s="6" t="str">
        <f>IF(MOD(C1134-Settings!$B$32,Settings!$B$33)&lt;Settings!$B$30,"Up","Down")</f>
        <v>Up</v>
      </c>
      <c r="W1134" s="6">
        <f>IF(OR(E1134&gt;Settings!$B$30,Q1134&gt;Settings!$B$37),0,1)</f>
        <v>0</v>
      </c>
      <c r="X1134" s="6">
        <f>IF(AND(W1134=1,Q1134&lt;=Settings!$B$36),1,0)</f>
        <v>0</v>
      </c>
    </row>
    <row r="1135" spans="1:24" x14ac:dyDescent="0.2">
      <c r="A1135">
        <f>Arrivals!A1135</f>
        <v>10</v>
      </c>
      <c r="B1135">
        <f>Arrivals!B1135</f>
        <v>50</v>
      </c>
      <c r="C1135" s="6">
        <f>Arrivals!F1135</f>
        <v>379</v>
      </c>
      <c r="D1135" s="6">
        <f>Arrivals!K1135</f>
        <v>300</v>
      </c>
      <c r="E1135" s="6">
        <f>D1135*8/ACE_Input!S55+ACE_Input!T55</f>
        <v>24.02</v>
      </c>
      <c r="F1135" s="6">
        <f t="shared" si="427"/>
        <v>379</v>
      </c>
      <c r="G1135" s="6">
        <f t="shared" si="438"/>
        <v>1464.02</v>
      </c>
      <c r="H1135" s="6">
        <f t="shared" si="428"/>
        <v>1464.02</v>
      </c>
      <c r="I1135" s="6">
        <f>MOD(H1135-Settings!$B$32,Settings!$B$33)</f>
        <v>24.019999999999982</v>
      </c>
      <c r="J1135" s="6">
        <f>IF(I1135&lt;Settings!$B$30,IF(Settings!$B$30-I1135&gt;=E1135,H1135,H1135+(Settings!$B$30-I1135)+Settings!$B$31),H1135+(Settings!$B$33-I1135))</f>
        <v>1464.02</v>
      </c>
      <c r="K1135" s="6">
        <f t="shared" si="429"/>
        <v>1488.04</v>
      </c>
      <c r="L1135" s="6">
        <f t="shared" si="430"/>
        <v>1488.04</v>
      </c>
      <c r="M1135" s="6">
        <f t="shared" si="439"/>
        <v>1464.1099140816193</v>
      </c>
      <c r="N1135" s="6">
        <f t="shared" si="431"/>
        <v>1488.04</v>
      </c>
      <c r="O1135" s="6">
        <f>Arrivals!I1135</f>
        <v>3.4888764082353214</v>
      </c>
      <c r="P1135" s="6">
        <f t="shared" si="432"/>
        <v>1491.5288764082352</v>
      </c>
      <c r="Q1135" s="6">
        <f t="shared" si="433"/>
        <v>1112.5288764082352</v>
      </c>
      <c r="R1135" s="6">
        <f t="shared" si="434"/>
        <v>1085.02</v>
      </c>
      <c r="S1135" s="6">
        <f t="shared" si="435"/>
        <v>0</v>
      </c>
      <c r="T1135" s="6">
        <f t="shared" si="436"/>
        <v>0</v>
      </c>
      <c r="U1135" s="6">
        <f t="shared" si="437"/>
        <v>1085.02</v>
      </c>
      <c r="V1135" s="6" t="str">
        <f>IF(MOD(C1135-Settings!$B$32,Settings!$B$33)&lt;Settings!$B$30,"Up","Down")</f>
        <v>Up</v>
      </c>
      <c r="W1135" s="6">
        <f>IF(OR(E1135&gt;Settings!$B$30,Q1135&gt;Settings!$B$37),0,1)</f>
        <v>0</v>
      </c>
      <c r="X1135" s="6">
        <f>IF(AND(W1135=1,Q1135&lt;=Settings!$B$36),1,0)</f>
        <v>0</v>
      </c>
    </row>
    <row r="1136" spans="1:24" x14ac:dyDescent="0.2">
      <c r="A1136">
        <f>Arrivals!A1136</f>
        <v>10</v>
      </c>
      <c r="B1136">
        <f>Arrivals!B1136</f>
        <v>51</v>
      </c>
      <c r="C1136" s="6">
        <f>Arrivals!F1136</f>
        <v>384</v>
      </c>
      <c r="D1136" s="6">
        <f>Arrivals!K1136</f>
        <v>300</v>
      </c>
      <c r="E1136" s="6">
        <f>D1136*8/ACE_Input!S56+ACE_Input!T56</f>
        <v>24.02</v>
      </c>
      <c r="F1136" s="6">
        <f t="shared" si="427"/>
        <v>384</v>
      </c>
      <c r="G1136" s="6">
        <f t="shared" si="438"/>
        <v>1488.04</v>
      </c>
      <c r="H1136" s="6">
        <f t="shared" si="428"/>
        <v>1488.04</v>
      </c>
      <c r="I1136" s="6">
        <f>MOD(H1136-Settings!$B$32,Settings!$B$33)</f>
        <v>48.039999999999964</v>
      </c>
      <c r="J1136" s="6">
        <f>IF(I1136&lt;Settings!$B$30,IF(Settings!$B$30-I1136&gt;=E1136,H1136,H1136+(Settings!$B$30-I1136)+Settings!$B$31),H1136+(Settings!$B$33-I1136))</f>
        <v>1488.04</v>
      </c>
      <c r="K1136" s="6">
        <f t="shared" si="429"/>
        <v>1512.06</v>
      </c>
      <c r="L1136" s="6">
        <f t="shared" si="430"/>
        <v>1512.06</v>
      </c>
      <c r="M1136" s="6">
        <f t="shared" si="439"/>
        <v>1491.5288764082352</v>
      </c>
      <c r="N1136" s="6">
        <f t="shared" si="431"/>
        <v>1512.06</v>
      </c>
      <c r="O1136" s="6">
        <f>Arrivals!I1136</f>
        <v>1.3665386218693867</v>
      </c>
      <c r="P1136" s="6">
        <f t="shared" si="432"/>
        <v>1513.4265386218694</v>
      </c>
      <c r="Q1136" s="6">
        <f t="shared" si="433"/>
        <v>1129.4265386218694</v>
      </c>
      <c r="R1136" s="6">
        <f t="shared" si="434"/>
        <v>1104.04</v>
      </c>
      <c r="S1136" s="6">
        <f t="shared" si="435"/>
        <v>0</v>
      </c>
      <c r="T1136" s="6">
        <f t="shared" si="436"/>
        <v>0</v>
      </c>
      <c r="U1136" s="6">
        <f t="shared" si="437"/>
        <v>1104.04</v>
      </c>
      <c r="V1136" s="6" t="str">
        <f>IF(MOD(C1136-Settings!$B$32,Settings!$B$33)&lt;Settings!$B$30,"Up","Down")</f>
        <v>Up</v>
      </c>
      <c r="W1136" s="6">
        <f>IF(OR(E1136&gt;Settings!$B$30,Q1136&gt;Settings!$B$37),0,1)</f>
        <v>0</v>
      </c>
      <c r="X1136" s="6">
        <f>IF(AND(W1136=1,Q1136&lt;=Settings!$B$36),1,0)</f>
        <v>0</v>
      </c>
    </row>
    <row r="1137" spans="1:24" x14ac:dyDescent="0.2">
      <c r="A1137">
        <f>Arrivals!A1137</f>
        <v>10</v>
      </c>
      <c r="B1137">
        <f>Arrivals!B1137</f>
        <v>52</v>
      </c>
      <c r="C1137" s="6">
        <f>Arrivals!F1137</f>
        <v>389</v>
      </c>
      <c r="D1137" s="6">
        <f>Arrivals!K1137</f>
        <v>300</v>
      </c>
      <c r="E1137" s="6">
        <f>D1137*8/ACE_Input!S57+ACE_Input!T57</f>
        <v>24.02</v>
      </c>
      <c r="F1137" s="6">
        <f t="shared" si="427"/>
        <v>389</v>
      </c>
      <c r="G1137" s="6">
        <f t="shared" si="438"/>
        <v>1512.06</v>
      </c>
      <c r="H1137" s="6">
        <f t="shared" si="428"/>
        <v>1512.06</v>
      </c>
      <c r="I1137" s="6">
        <f>MOD(H1137-Settings!$B$32,Settings!$B$33)</f>
        <v>72.059999999999945</v>
      </c>
      <c r="J1137" s="6">
        <f>IF(I1137&lt;Settings!$B$30,IF(Settings!$B$30-I1137&gt;=E1137,H1137,H1137+(Settings!$B$30-I1137)+Settings!$B$31),H1137+(Settings!$B$33-I1137))</f>
        <v>1512.06</v>
      </c>
      <c r="K1137" s="6">
        <f t="shared" si="429"/>
        <v>1536.08</v>
      </c>
      <c r="L1137" s="6">
        <f t="shared" si="430"/>
        <v>1536.08</v>
      </c>
      <c r="M1137" s="6">
        <f t="shared" si="439"/>
        <v>1513.4265386218694</v>
      </c>
      <c r="N1137" s="6">
        <f t="shared" si="431"/>
        <v>1536.08</v>
      </c>
      <c r="O1137" s="6">
        <f>Arrivals!I1137</f>
        <v>6.7526938003265737</v>
      </c>
      <c r="P1137" s="6">
        <f t="shared" si="432"/>
        <v>1542.8326938003265</v>
      </c>
      <c r="Q1137" s="6">
        <f t="shared" si="433"/>
        <v>1153.8326938003265</v>
      </c>
      <c r="R1137" s="6">
        <f t="shared" si="434"/>
        <v>1123.06</v>
      </c>
      <c r="S1137" s="6">
        <f t="shared" si="435"/>
        <v>0</v>
      </c>
      <c r="T1137" s="6">
        <f t="shared" si="436"/>
        <v>0</v>
      </c>
      <c r="U1137" s="6">
        <f t="shared" si="437"/>
        <v>1123.06</v>
      </c>
      <c r="V1137" s="6" t="str">
        <f>IF(MOD(C1137-Settings!$B$32,Settings!$B$33)&lt;Settings!$B$30,"Up","Down")</f>
        <v>Up</v>
      </c>
      <c r="W1137" s="6">
        <f>IF(OR(E1137&gt;Settings!$B$30,Q1137&gt;Settings!$B$37),0,1)</f>
        <v>0</v>
      </c>
      <c r="X1137" s="6">
        <f>IF(AND(W1137=1,Q1137&lt;=Settings!$B$36),1,0)</f>
        <v>0</v>
      </c>
    </row>
    <row r="1138" spans="1:24" x14ac:dyDescent="0.2">
      <c r="A1138">
        <f>Arrivals!A1138</f>
        <v>10</v>
      </c>
      <c r="B1138">
        <f>Arrivals!B1138</f>
        <v>53</v>
      </c>
      <c r="C1138" s="6">
        <f>Arrivals!F1138</f>
        <v>394</v>
      </c>
      <c r="D1138" s="6">
        <f>Arrivals!K1138</f>
        <v>300</v>
      </c>
      <c r="E1138" s="6">
        <f>D1138*8/ACE_Input!S58+ACE_Input!T58</f>
        <v>24.02</v>
      </c>
      <c r="F1138" s="6">
        <f t="shared" si="427"/>
        <v>394</v>
      </c>
      <c r="G1138" s="6">
        <f t="shared" si="438"/>
        <v>1536.08</v>
      </c>
      <c r="H1138" s="6">
        <f t="shared" si="428"/>
        <v>1536.08</v>
      </c>
      <c r="I1138" s="6">
        <f>MOD(H1138-Settings!$B$32,Settings!$B$33)</f>
        <v>96.079999999999927</v>
      </c>
      <c r="J1138" s="6">
        <f>IF(I1138&lt;Settings!$B$30,IF(Settings!$B$30-I1138&gt;=E1138,H1138,H1138+(Settings!$B$30-I1138)+Settings!$B$31),H1138+(Settings!$B$33-I1138))</f>
        <v>1536.08</v>
      </c>
      <c r="K1138" s="6">
        <f t="shared" si="429"/>
        <v>1560.1</v>
      </c>
      <c r="L1138" s="6">
        <f t="shared" si="430"/>
        <v>1560.1</v>
      </c>
      <c r="M1138" s="6">
        <f t="shared" si="439"/>
        <v>1542.8326938003265</v>
      </c>
      <c r="N1138" s="6">
        <f t="shared" si="431"/>
        <v>1560.1</v>
      </c>
      <c r="O1138" s="6">
        <f>Arrivals!I1138</f>
        <v>0.46906372182825756</v>
      </c>
      <c r="P1138" s="6">
        <f t="shared" si="432"/>
        <v>1560.5690637218281</v>
      </c>
      <c r="Q1138" s="6">
        <f t="shared" si="433"/>
        <v>1166.5690637218281</v>
      </c>
      <c r="R1138" s="6">
        <f t="shared" si="434"/>
        <v>1142.08</v>
      </c>
      <c r="S1138" s="6">
        <f t="shared" si="435"/>
        <v>0</v>
      </c>
      <c r="T1138" s="6">
        <f t="shared" si="436"/>
        <v>0</v>
      </c>
      <c r="U1138" s="6">
        <f t="shared" si="437"/>
        <v>1142.08</v>
      </c>
      <c r="V1138" s="6" t="str">
        <f>IF(MOD(C1138-Settings!$B$32,Settings!$B$33)&lt;Settings!$B$30,"Up","Down")</f>
        <v>Up</v>
      </c>
      <c r="W1138" s="6">
        <f>IF(OR(E1138&gt;Settings!$B$30,Q1138&gt;Settings!$B$37),0,1)</f>
        <v>0</v>
      </c>
      <c r="X1138" s="6">
        <f>IF(AND(W1138=1,Q1138&lt;=Settings!$B$36),1,0)</f>
        <v>0</v>
      </c>
    </row>
    <row r="1139" spans="1:24" x14ac:dyDescent="0.2">
      <c r="A1139">
        <f>Arrivals!A1139</f>
        <v>10</v>
      </c>
      <c r="B1139">
        <f>Arrivals!B1139</f>
        <v>54</v>
      </c>
      <c r="C1139" s="6">
        <f>Arrivals!F1139</f>
        <v>399</v>
      </c>
      <c r="D1139" s="6">
        <f>Arrivals!K1139</f>
        <v>300</v>
      </c>
      <c r="E1139" s="6">
        <f>D1139*8/ACE_Input!S59+ACE_Input!T59</f>
        <v>24.02</v>
      </c>
      <c r="F1139" s="6">
        <f t="shared" si="427"/>
        <v>399</v>
      </c>
      <c r="G1139" s="6">
        <f t="shared" si="438"/>
        <v>1560.1</v>
      </c>
      <c r="H1139" s="6">
        <f t="shared" si="428"/>
        <v>1560.1</v>
      </c>
      <c r="I1139" s="6">
        <f>MOD(H1139-Settings!$B$32,Settings!$B$33)</f>
        <v>120.09999999999991</v>
      </c>
      <c r="J1139" s="6">
        <f>IF(I1139&lt;Settings!$B$30,IF(Settings!$B$30-I1139&gt;=E1139,H1139,H1139+(Settings!$B$30-I1139)+Settings!$B$31),H1139+(Settings!$B$33-I1139))</f>
        <v>1560.1</v>
      </c>
      <c r="K1139" s="6">
        <f t="shared" si="429"/>
        <v>1584.12</v>
      </c>
      <c r="L1139" s="6">
        <f t="shared" si="430"/>
        <v>1584.12</v>
      </c>
      <c r="M1139" s="6">
        <f t="shared" si="439"/>
        <v>1560.5690637218281</v>
      </c>
      <c r="N1139" s="6">
        <f t="shared" si="431"/>
        <v>1584.12</v>
      </c>
      <c r="O1139" s="6">
        <f>Arrivals!I1139</f>
        <v>5.0509985050746939</v>
      </c>
      <c r="P1139" s="6">
        <f t="shared" si="432"/>
        <v>1589.1709985050745</v>
      </c>
      <c r="Q1139" s="6">
        <f t="shared" si="433"/>
        <v>1190.1709985050745</v>
      </c>
      <c r="R1139" s="6">
        <f t="shared" si="434"/>
        <v>1161.0999999999999</v>
      </c>
      <c r="S1139" s="6">
        <f t="shared" si="435"/>
        <v>0</v>
      </c>
      <c r="T1139" s="6">
        <f t="shared" si="436"/>
        <v>0</v>
      </c>
      <c r="U1139" s="6">
        <f t="shared" si="437"/>
        <v>1161.0999999999999</v>
      </c>
      <c r="V1139" s="6" t="str">
        <f>IF(MOD(C1139-Settings!$B$32,Settings!$B$33)&lt;Settings!$B$30,"Up","Down")</f>
        <v>Up</v>
      </c>
      <c r="W1139" s="6">
        <f>IF(OR(E1139&gt;Settings!$B$30,Q1139&gt;Settings!$B$37),0,1)</f>
        <v>0</v>
      </c>
      <c r="X1139" s="6">
        <f>IF(AND(W1139=1,Q1139&lt;=Settings!$B$36),1,0)</f>
        <v>0</v>
      </c>
    </row>
    <row r="1140" spans="1:24" x14ac:dyDescent="0.2">
      <c r="A1140">
        <f>Arrivals!A1140</f>
        <v>10</v>
      </c>
      <c r="B1140">
        <f>Arrivals!B1140</f>
        <v>55</v>
      </c>
      <c r="C1140" s="6">
        <f>Arrivals!F1140</f>
        <v>404</v>
      </c>
      <c r="D1140" s="6">
        <f>Arrivals!K1140</f>
        <v>300</v>
      </c>
      <c r="E1140" s="6">
        <f>D1140*8/ACE_Input!S60+ACE_Input!T60</f>
        <v>24.02</v>
      </c>
      <c r="F1140" s="6">
        <f t="shared" si="427"/>
        <v>404</v>
      </c>
      <c r="G1140" s="6">
        <f t="shared" si="438"/>
        <v>1584.12</v>
      </c>
      <c r="H1140" s="6">
        <f t="shared" si="428"/>
        <v>1584.12</v>
      </c>
      <c r="I1140" s="6">
        <f>MOD(H1140-Settings!$B$32,Settings!$B$33)</f>
        <v>144.11999999999989</v>
      </c>
      <c r="J1140" s="6">
        <f>IF(I1140&lt;Settings!$B$30,IF(Settings!$B$30-I1140&gt;=E1140,H1140,H1140+(Settings!$B$30-I1140)+Settings!$B$31),H1140+(Settings!$B$33-I1140))</f>
        <v>1584.12</v>
      </c>
      <c r="K1140" s="6">
        <f t="shared" si="429"/>
        <v>1608.1399999999999</v>
      </c>
      <c r="L1140" s="6">
        <f t="shared" si="430"/>
        <v>1608.1399999999999</v>
      </c>
      <c r="M1140" s="6">
        <f t="shared" si="439"/>
        <v>1589.1709985050745</v>
      </c>
      <c r="N1140" s="6">
        <f t="shared" si="431"/>
        <v>1608.1399999999999</v>
      </c>
      <c r="O1140" s="6">
        <f>Arrivals!I1140</f>
        <v>5.0529956000128688</v>
      </c>
      <c r="P1140" s="6">
        <f t="shared" si="432"/>
        <v>1613.1929956000126</v>
      </c>
      <c r="Q1140" s="6">
        <f t="shared" si="433"/>
        <v>1209.1929956000126</v>
      </c>
      <c r="R1140" s="6">
        <f t="shared" si="434"/>
        <v>1180.1199999999999</v>
      </c>
      <c r="S1140" s="6">
        <f t="shared" si="435"/>
        <v>0</v>
      </c>
      <c r="T1140" s="6">
        <f t="shared" si="436"/>
        <v>0</v>
      </c>
      <c r="U1140" s="6">
        <f t="shared" si="437"/>
        <v>1180.1199999999999</v>
      </c>
      <c r="V1140" s="6" t="str">
        <f>IF(MOD(C1140-Settings!$B$32,Settings!$B$33)&lt;Settings!$B$30,"Up","Down")</f>
        <v>Up</v>
      </c>
      <c r="W1140" s="6">
        <f>IF(OR(E1140&gt;Settings!$B$30,Q1140&gt;Settings!$B$37),0,1)</f>
        <v>0</v>
      </c>
      <c r="X1140" s="6">
        <f>IF(AND(W1140=1,Q1140&lt;=Settings!$B$36),1,0)</f>
        <v>0</v>
      </c>
    </row>
    <row r="1141" spans="1:24" x14ac:dyDescent="0.2">
      <c r="A1141">
        <f>Arrivals!A1141</f>
        <v>10</v>
      </c>
      <c r="B1141">
        <f>Arrivals!B1141</f>
        <v>56</v>
      </c>
      <c r="C1141" s="6">
        <f>Arrivals!F1141</f>
        <v>409</v>
      </c>
      <c r="D1141" s="6">
        <f>Arrivals!K1141</f>
        <v>300</v>
      </c>
      <c r="E1141" s="6">
        <f>D1141*8/ACE_Input!S61+ACE_Input!T61</f>
        <v>24.02</v>
      </c>
      <c r="F1141" s="6">
        <f t="shared" si="427"/>
        <v>409</v>
      </c>
      <c r="G1141" s="6">
        <f t="shared" si="438"/>
        <v>1608.1399999999999</v>
      </c>
      <c r="H1141" s="6">
        <f t="shared" si="428"/>
        <v>1608.1399999999999</v>
      </c>
      <c r="I1141" s="6">
        <f>MOD(H1141-Settings!$B$32,Settings!$B$33)</f>
        <v>168.13999999999987</v>
      </c>
      <c r="J1141" s="6">
        <f>IF(I1141&lt;Settings!$B$30,IF(Settings!$B$30-I1141&gt;=E1141,H1141,H1141+(Settings!$B$30-I1141)+Settings!$B$31),H1141+(Settings!$B$33-I1141))</f>
        <v>1608.1399999999999</v>
      </c>
      <c r="K1141" s="6">
        <f t="shared" si="429"/>
        <v>1632.1599999999999</v>
      </c>
      <c r="L1141" s="6">
        <f t="shared" si="430"/>
        <v>1632.1599999999999</v>
      </c>
      <c r="M1141" s="6">
        <f t="shared" si="439"/>
        <v>1613.1929956000126</v>
      </c>
      <c r="N1141" s="6">
        <f t="shared" si="431"/>
        <v>1632.1599999999999</v>
      </c>
      <c r="O1141" s="6">
        <f>Arrivals!I1141</f>
        <v>0.37883457638951823</v>
      </c>
      <c r="P1141" s="6">
        <f t="shared" si="432"/>
        <v>1632.5388345763893</v>
      </c>
      <c r="Q1141" s="6">
        <f t="shared" si="433"/>
        <v>1223.5388345763893</v>
      </c>
      <c r="R1141" s="6">
        <f t="shared" si="434"/>
        <v>1199.1399999999999</v>
      </c>
      <c r="S1141" s="6">
        <f t="shared" si="435"/>
        <v>0</v>
      </c>
      <c r="T1141" s="6">
        <f t="shared" si="436"/>
        <v>0</v>
      </c>
      <c r="U1141" s="6">
        <f t="shared" si="437"/>
        <v>1199.1399999999999</v>
      </c>
      <c r="V1141" s="6" t="str">
        <f>IF(MOD(C1141-Settings!$B$32,Settings!$B$33)&lt;Settings!$B$30,"Up","Down")</f>
        <v>Up</v>
      </c>
      <c r="W1141" s="6">
        <f>IF(OR(E1141&gt;Settings!$B$30,Q1141&gt;Settings!$B$37),0,1)</f>
        <v>0</v>
      </c>
      <c r="X1141" s="6">
        <f>IF(AND(W1141=1,Q1141&lt;=Settings!$B$36),1,0)</f>
        <v>0</v>
      </c>
    </row>
    <row r="1142" spans="1:24" x14ac:dyDescent="0.2">
      <c r="A1142">
        <f>Arrivals!A1142</f>
        <v>10</v>
      </c>
      <c r="B1142">
        <f>Arrivals!B1142</f>
        <v>57</v>
      </c>
      <c r="C1142" s="6">
        <f>Arrivals!F1142</f>
        <v>414</v>
      </c>
      <c r="D1142" s="6">
        <f>Arrivals!K1142</f>
        <v>300</v>
      </c>
      <c r="E1142" s="6">
        <f>D1142*8/ACE_Input!S62+ACE_Input!T62</f>
        <v>24.02</v>
      </c>
      <c r="F1142" s="6">
        <f t="shared" si="427"/>
        <v>414</v>
      </c>
      <c r="G1142" s="6">
        <f t="shared" si="438"/>
        <v>1632.1599999999999</v>
      </c>
      <c r="H1142" s="6">
        <f t="shared" si="428"/>
        <v>1632.1599999999999</v>
      </c>
      <c r="I1142" s="6">
        <f>MOD(H1142-Settings!$B$32,Settings!$B$33)</f>
        <v>192.15999999999985</v>
      </c>
      <c r="J1142" s="6">
        <f>IF(I1142&lt;Settings!$B$30,IF(Settings!$B$30-I1142&gt;=E1142,H1142,H1142+(Settings!$B$30-I1142)+Settings!$B$31),H1142+(Settings!$B$33-I1142))</f>
        <v>1632.1599999999999</v>
      </c>
      <c r="K1142" s="6">
        <f t="shared" si="429"/>
        <v>1656.1799999999998</v>
      </c>
      <c r="L1142" s="6">
        <f t="shared" si="430"/>
        <v>1656.1799999999998</v>
      </c>
      <c r="M1142" s="6">
        <f t="shared" si="439"/>
        <v>1632.5388345763893</v>
      </c>
      <c r="N1142" s="6">
        <f t="shared" si="431"/>
        <v>1656.1799999999998</v>
      </c>
      <c r="O1142" s="6">
        <f>Arrivals!I1142</f>
        <v>5.0267845578851311</v>
      </c>
      <c r="P1142" s="6">
        <f t="shared" si="432"/>
        <v>1661.2067845578849</v>
      </c>
      <c r="Q1142" s="6">
        <f t="shared" si="433"/>
        <v>1247.2067845578849</v>
      </c>
      <c r="R1142" s="6">
        <f t="shared" si="434"/>
        <v>1218.1599999999999</v>
      </c>
      <c r="S1142" s="6">
        <f t="shared" si="435"/>
        <v>0</v>
      </c>
      <c r="T1142" s="6">
        <f t="shared" si="436"/>
        <v>0</v>
      </c>
      <c r="U1142" s="6">
        <f t="shared" si="437"/>
        <v>1218.1599999999999</v>
      </c>
      <c r="V1142" s="6" t="str">
        <f>IF(MOD(C1142-Settings!$B$32,Settings!$B$33)&lt;Settings!$B$30,"Up","Down")</f>
        <v>Up</v>
      </c>
      <c r="W1142" s="6">
        <f>IF(OR(E1142&gt;Settings!$B$30,Q1142&gt;Settings!$B$37),0,1)</f>
        <v>0</v>
      </c>
      <c r="X1142" s="6">
        <f>IF(AND(W1142=1,Q1142&lt;=Settings!$B$36),1,0)</f>
        <v>0</v>
      </c>
    </row>
    <row r="1143" spans="1:24" x14ac:dyDescent="0.2">
      <c r="A1143">
        <f>Arrivals!A1143</f>
        <v>10</v>
      </c>
      <c r="B1143">
        <f>Arrivals!B1143</f>
        <v>58</v>
      </c>
      <c r="C1143" s="6">
        <f>Arrivals!F1143</f>
        <v>419</v>
      </c>
      <c r="D1143" s="6">
        <f>Arrivals!K1143</f>
        <v>300</v>
      </c>
      <c r="E1143" s="6">
        <f>D1143*8/ACE_Input!S63+ACE_Input!T63</f>
        <v>24.02</v>
      </c>
      <c r="F1143" s="6">
        <f t="shared" si="427"/>
        <v>419</v>
      </c>
      <c r="G1143" s="6">
        <f t="shared" si="438"/>
        <v>1656.1799999999998</v>
      </c>
      <c r="H1143" s="6">
        <f t="shared" si="428"/>
        <v>1656.1799999999998</v>
      </c>
      <c r="I1143" s="6">
        <f>MOD(H1143-Settings!$B$32,Settings!$B$33)</f>
        <v>216.17999999999984</v>
      </c>
      <c r="J1143" s="6">
        <f>IF(I1143&lt;Settings!$B$30,IF(Settings!$B$30-I1143&gt;=E1143,H1143,H1143+(Settings!$B$30-I1143)+Settings!$B$31),H1143+(Settings!$B$33-I1143))</f>
        <v>1656.1799999999998</v>
      </c>
      <c r="K1143" s="6">
        <f t="shared" si="429"/>
        <v>1680.1999999999998</v>
      </c>
      <c r="L1143" s="6">
        <f t="shared" si="430"/>
        <v>1680.1999999999998</v>
      </c>
      <c r="M1143" s="6">
        <f t="shared" si="439"/>
        <v>1661.2067845578849</v>
      </c>
      <c r="N1143" s="6">
        <f t="shared" si="431"/>
        <v>1680.1999999999998</v>
      </c>
      <c r="O1143" s="6">
        <f>Arrivals!I1143</f>
        <v>7.5882827157405144</v>
      </c>
      <c r="P1143" s="6">
        <f t="shared" si="432"/>
        <v>1687.7882827157403</v>
      </c>
      <c r="Q1143" s="6">
        <f t="shared" si="433"/>
        <v>1268.7882827157403</v>
      </c>
      <c r="R1143" s="6">
        <f t="shared" si="434"/>
        <v>1237.1799999999998</v>
      </c>
      <c r="S1143" s="6">
        <f t="shared" si="435"/>
        <v>0</v>
      </c>
      <c r="T1143" s="6">
        <f t="shared" si="436"/>
        <v>0</v>
      </c>
      <c r="U1143" s="6">
        <f t="shared" si="437"/>
        <v>1237.1799999999998</v>
      </c>
      <c r="V1143" s="6" t="str">
        <f>IF(MOD(C1143-Settings!$B$32,Settings!$B$33)&lt;Settings!$B$30,"Up","Down")</f>
        <v>Up</v>
      </c>
      <c r="W1143" s="6">
        <f>IF(OR(E1143&gt;Settings!$B$30,Q1143&gt;Settings!$B$37),0,1)</f>
        <v>0</v>
      </c>
      <c r="X1143" s="6">
        <f>IF(AND(W1143=1,Q1143&lt;=Settings!$B$36),1,0)</f>
        <v>0</v>
      </c>
    </row>
    <row r="1144" spans="1:24" x14ac:dyDescent="0.2">
      <c r="A1144">
        <f>Arrivals!A1144</f>
        <v>10</v>
      </c>
      <c r="B1144">
        <f>Arrivals!B1144</f>
        <v>59</v>
      </c>
      <c r="C1144" s="6">
        <f>Arrivals!F1144</f>
        <v>424</v>
      </c>
      <c r="D1144" s="6">
        <f>Arrivals!K1144</f>
        <v>300</v>
      </c>
      <c r="E1144" s="6">
        <f>D1144*8/ACE_Input!S64+ACE_Input!T64</f>
        <v>24.02</v>
      </c>
      <c r="F1144" s="6">
        <f t="shared" si="427"/>
        <v>424</v>
      </c>
      <c r="G1144" s="6">
        <f t="shared" si="438"/>
        <v>1680.1999999999998</v>
      </c>
      <c r="H1144" s="6">
        <f t="shared" si="428"/>
        <v>1680.1999999999998</v>
      </c>
      <c r="I1144" s="6">
        <f>MOD(H1144-Settings!$B$32,Settings!$B$33)</f>
        <v>240.19999999999982</v>
      </c>
      <c r="J1144" s="6">
        <f>IF(I1144&lt;Settings!$B$30,IF(Settings!$B$30-I1144&gt;=E1144,H1144,H1144+(Settings!$B$30-I1144)+Settings!$B$31),H1144+(Settings!$B$33-I1144))</f>
        <v>1680.1999999999998</v>
      </c>
      <c r="K1144" s="6">
        <f t="shared" si="429"/>
        <v>1704.2199999999998</v>
      </c>
      <c r="L1144" s="6">
        <f t="shared" si="430"/>
        <v>1704.2199999999998</v>
      </c>
      <c r="M1144" s="6">
        <f t="shared" si="439"/>
        <v>1687.7882827157403</v>
      </c>
      <c r="N1144" s="6">
        <f t="shared" si="431"/>
        <v>1704.2199999999998</v>
      </c>
      <c r="O1144" s="6">
        <f>Arrivals!I1144</f>
        <v>6.987775478367606</v>
      </c>
      <c r="P1144" s="6">
        <f t="shared" si="432"/>
        <v>1711.2077754783675</v>
      </c>
      <c r="Q1144" s="6">
        <f t="shared" si="433"/>
        <v>1287.2077754783675</v>
      </c>
      <c r="R1144" s="6">
        <f t="shared" si="434"/>
        <v>1256.1999999999998</v>
      </c>
      <c r="S1144" s="6">
        <f t="shared" si="435"/>
        <v>0</v>
      </c>
      <c r="T1144" s="6">
        <f t="shared" si="436"/>
        <v>0</v>
      </c>
      <c r="U1144" s="6">
        <f t="shared" si="437"/>
        <v>1256.1999999999998</v>
      </c>
      <c r="V1144" s="6" t="str">
        <f>IF(MOD(C1144-Settings!$B$32,Settings!$B$33)&lt;Settings!$B$30,"Up","Down")</f>
        <v>Up</v>
      </c>
      <c r="W1144" s="6">
        <f>IF(OR(E1144&gt;Settings!$B$30,Q1144&gt;Settings!$B$37),0,1)</f>
        <v>0</v>
      </c>
      <c r="X1144" s="6">
        <f>IF(AND(W1144=1,Q1144&lt;=Settings!$B$36),1,0)</f>
        <v>0</v>
      </c>
    </row>
    <row r="1145" spans="1:24" x14ac:dyDescent="0.2">
      <c r="A1145">
        <f>Arrivals!A1145</f>
        <v>10</v>
      </c>
      <c r="B1145">
        <f>Arrivals!B1145</f>
        <v>60</v>
      </c>
      <c r="C1145" s="6">
        <f>Arrivals!F1145</f>
        <v>429</v>
      </c>
      <c r="D1145" s="6">
        <f>Arrivals!K1145</f>
        <v>300</v>
      </c>
      <c r="E1145" s="6">
        <f>D1145*8/ACE_Input!S65+ACE_Input!T65</f>
        <v>24.02</v>
      </c>
      <c r="F1145" s="6">
        <f t="shared" si="427"/>
        <v>429</v>
      </c>
      <c r="G1145" s="6">
        <f t="shared" si="438"/>
        <v>1704.2199999999998</v>
      </c>
      <c r="H1145" s="6">
        <f t="shared" si="428"/>
        <v>1704.2199999999998</v>
      </c>
      <c r="I1145" s="6">
        <f>MOD(H1145-Settings!$B$32,Settings!$B$33)</f>
        <v>264.2199999999998</v>
      </c>
      <c r="J1145" s="6">
        <f>IF(I1145&lt;Settings!$B$30,IF(Settings!$B$30-I1145&gt;=E1145,H1145,H1145+(Settings!$B$30-I1145)+Settings!$B$31),H1145+(Settings!$B$33-I1145))</f>
        <v>1704.2199999999998</v>
      </c>
      <c r="K1145" s="6">
        <f t="shared" si="429"/>
        <v>1728.2399999999998</v>
      </c>
      <c r="L1145" s="6">
        <f t="shared" si="430"/>
        <v>1728.2399999999998</v>
      </c>
      <c r="M1145" s="6">
        <f t="shared" si="439"/>
        <v>1711.2077754783675</v>
      </c>
      <c r="N1145" s="6">
        <f t="shared" si="431"/>
        <v>1728.2399999999998</v>
      </c>
      <c r="O1145" s="6">
        <f>Arrivals!I1145</f>
        <v>2.3327811285841809</v>
      </c>
      <c r="P1145" s="6">
        <f t="shared" si="432"/>
        <v>1730.572781128584</v>
      </c>
      <c r="Q1145" s="6">
        <f t="shared" si="433"/>
        <v>1301.572781128584</v>
      </c>
      <c r="R1145" s="6">
        <f t="shared" si="434"/>
        <v>1275.2199999999998</v>
      </c>
      <c r="S1145" s="6">
        <f t="shared" si="435"/>
        <v>0</v>
      </c>
      <c r="T1145" s="6">
        <f t="shared" si="436"/>
        <v>0</v>
      </c>
      <c r="U1145" s="6">
        <f t="shared" si="437"/>
        <v>1275.2199999999998</v>
      </c>
      <c r="V1145" s="6" t="str">
        <f>IF(MOD(C1145-Settings!$B$32,Settings!$B$33)&lt;Settings!$B$30,"Up","Down")</f>
        <v>Up</v>
      </c>
      <c r="W1145" s="6">
        <f>IF(OR(E1145&gt;Settings!$B$30,Q1145&gt;Settings!$B$37),0,1)</f>
        <v>0</v>
      </c>
      <c r="X1145" s="6">
        <f>IF(AND(W1145=1,Q1145&lt;=Settings!$B$36),1,0)</f>
        <v>0</v>
      </c>
    </row>
    <row r="1146" spans="1:24" x14ac:dyDescent="0.2">
      <c r="A1146">
        <f>Arrivals!A1146</f>
        <v>10</v>
      </c>
      <c r="B1146">
        <f>Arrivals!B1146</f>
        <v>61</v>
      </c>
      <c r="C1146" s="6">
        <f>Arrivals!F1146</f>
        <v>434</v>
      </c>
      <c r="D1146" s="6">
        <f>Arrivals!K1146</f>
        <v>300</v>
      </c>
      <c r="E1146" s="6">
        <f>D1146*8/ACE_Input!S66+ACE_Input!T66</f>
        <v>24.02</v>
      </c>
      <c r="F1146" s="6">
        <f t="shared" si="427"/>
        <v>434</v>
      </c>
      <c r="G1146" s="6">
        <f t="shared" si="438"/>
        <v>1728.2399999999998</v>
      </c>
      <c r="H1146" s="6">
        <f t="shared" si="428"/>
        <v>1728.2399999999998</v>
      </c>
      <c r="I1146" s="6">
        <f>MOD(H1146-Settings!$B$32,Settings!$B$33)</f>
        <v>288.23999999999978</v>
      </c>
      <c r="J1146" s="6">
        <f>IF(I1146&lt;Settings!$B$30,IF(Settings!$B$30-I1146&gt;=E1146,H1146,H1146+(Settings!$B$30-I1146)+Settings!$B$31),H1146+(Settings!$B$33-I1146))</f>
        <v>1728.2399999999998</v>
      </c>
      <c r="K1146" s="6">
        <f t="shared" si="429"/>
        <v>1752.2599999999998</v>
      </c>
      <c r="L1146" s="6">
        <f t="shared" si="430"/>
        <v>1752.2599999999998</v>
      </c>
      <c r="M1146" s="6">
        <f t="shared" si="439"/>
        <v>1730.572781128584</v>
      </c>
      <c r="N1146" s="6">
        <f t="shared" si="431"/>
        <v>1752.2599999999998</v>
      </c>
      <c r="O1146" s="6">
        <f>Arrivals!I1146</f>
        <v>6.6103805759340482</v>
      </c>
      <c r="P1146" s="6">
        <f t="shared" si="432"/>
        <v>1758.8703805759337</v>
      </c>
      <c r="Q1146" s="6">
        <f t="shared" si="433"/>
        <v>1324.8703805759337</v>
      </c>
      <c r="R1146" s="6">
        <f t="shared" si="434"/>
        <v>1294.2399999999998</v>
      </c>
      <c r="S1146" s="6">
        <f t="shared" si="435"/>
        <v>0</v>
      </c>
      <c r="T1146" s="6">
        <f t="shared" si="436"/>
        <v>0</v>
      </c>
      <c r="U1146" s="6">
        <f t="shared" si="437"/>
        <v>1294.2399999999998</v>
      </c>
      <c r="V1146" s="6" t="str">
        <f>IF(MOD(C1146-Settings!$B$32,Settings!$B$33)&lt;Settings!$B$30,"Up","Down")</f>
        <v>Up</v>
      </c>
      <c r="W1146" s="6">
        <f>IF(OR(E1146&gt;Settings!$B$30,Q1146&gt;Settings!$B$37),0,1)</f>
        <v>0</v>
      </c>
      <c r="X1146" s="6">
        <f>IF(AND(W1146=1,Q1146&lt;=Settings!$B$36),1,0)</f>
        <v>0</v>
      </c>
    </row>
    <row r="1147" spans="1:24" x14ac:dyDescent="0.2">
      <c r="A1147">
        <f>Arrivals!A1147</f>
        <v>10</v>
      </c>
      <c r="B1147">
        <f>Arrivals!B1147</f>
        <v>62</v>
      </c>
      <c r="C1147" s="6">
        <f>Arrivals!F1147</f>
        <v>439</v>
      </c>
      <c r="D1147" s="6">
        <f>Arrivals!K1147</f>
        <v>300</v>
      </c>
      <c r="E1147" s="6">
        <f>D1147*8/ACE_Input!S67+ACE_Input!T67</f>
        <v>24.02</v>
      </c>
      <c r="F1147" s="6">
        <f t="shared" si="427"/>
        <v>439</v>
      </c>
      <c r="G1147" s="6">
        <f t="shared" si="438"/>
        <v>1752.2599999999998</v>
      </c>
      <c r="H1147" s="6">
        <f t="shared" si="428"/>
        <v>1752.2599999999998</v>
      </c>
      <c r="I1147" s="6">
        <f>MOD(H1147-Settings!$B$32,Settings!$B$33)</f>
        <v>312.25999999999976</v>
      </c>
      <c r="J1147" s="6">
        <f>IF(I1147&lt;Settings!$B$30,IF(Settings!$B$30-I1147&gt;=E1147,H1147,H1147+(Settings!$B$30-I1147)+Settings!$B$31),H1147+(Settings!$B$33-I1147))</f>
        <v>1752.2599999999998</v>
      </c>
      <c r="K1147" s="6">
        <f t="shared" si="429"/>
        <v>1776.2799999999997</v>
      </c>
      <c r="L1147" s="6">
        <f t="shared" si="430"/>
        <v>1776.2799999999997</v>
      </c>
      <c r="M1147" s="6">
        <f t="shared" si="439"/>
        <v>1758.8703805759337</v>
      </c>
      <c r="N1147" s="6">
        <f t="shared" si="431"/>
        <v>1776.2799999999997</v>
      </c>
      <c r="O1147" s="6">
        <f>Arrivals!I1147</f>
        <v>3.4975940389383373</v>
      </c>
      <c r="P1147" s="6">
        <f t="shared" si="432"/>
        <v>1779.7775940389381</v>
      </c>
      <c r="Q1147" s="6">
        <f t="shared" si="433"/>
        <v>1340.7775940389381</v>
      </c>
      <c r="R1147" s="6">
        <f t="shared" si="434"/>
        <v>1313.2599999999998</v>
      </c>
      <c r="S1147" s="6">
        <f t="shared" si="435"/>
        <v>0</v>
      </c>
      <c r="T1147" s="6">
        <f t="shared" si="436"/>
        <v>0</v>
      </c>
      <c r="U1147" s="6">
        <f t="shared" si="437"/>
        <v>1313.2599999999998</v>
      </c>
      <c r="V1147" s="6" t="str">
        <f>IF(MOD(C1147-Settings!$B$32,Settings!$B$33)&lt;Settings!$B$30,"Up","Down")</f>
        <v>Up</v>
      </c>
      <c r="W1147" s="6">
        <f>IF(OR(E1147&gt;Settings!$B$30,Q1147&gt;Settings!$B$37),0,1)</f>
        <v>0</v>
      </c>
      <c r="X1147" s="6">
        <f>IF(AND(W1147=1,Q1147&lt;=Settings!$B$36),1,0)</f>
        <v>0</v>
      </c>
    </row>
    <row r="1148" spans="1:24" x14ac:dyDescent="0.2">
      <c r="A1148">
        <f>Arrivals!A1148</f>
        <v>10</v>
      </c>
      <c r="B1148">
        <f>Arrivals!B1148</f>
        <v>63</v>
      </c>
      <c r="C1148" s="6">
        <f>Arrivals!F1148</f>
        <v>444</v>
      </c>
      <c r="D1148" s="6">
        <f>Arrivals!K1148</f>
        <v>300</v>
      </c>
      <c r="E1148" s="6">
        <f>D1148*8/ACE_Input!S68+ACE_Input!T68</f>
        <v>24.02</v>
      </c>
      <c r="F1148" s="6">
        <f t="shared" si="427"/>
        <v>444</v>
      </c>
      <c r="G1148" s="6">
        <f t="shared" si="438"/>
        <v>1776.2799999999997</v>
      </c>
      <c r="H1148" s="6">
        <f t="shared" si="428"/>
        <v>1776.2799999999997</v>
      </c>
      <c r="I1148" s="6">
        <f>MOD(H1148-Settings!$B$32,Settings!$B$33)</f>
        <v>336.27999999999975</v>
      </c>
      <c r="J1148" s="6">
        <f>IF(I1148&lt;Settings!$B$30,IF(Settings!$B$30-I1148&gt;=E1148,H1148,H1148+(Settings!$B$30-I1148)+Settings!$B$31),H1148+(Settings!$B$33-I1148))</f>
        <v>1776.2799999999997</v>
      </c>
      <c r="K1148" s="6">
        <f t="shared" si="429"/>
        <v>1800.2999999999997</v>
      </c>
      <c r="L1148" s="6">
        <f t="shared" si="430"/>
        <v>1800.2999999999997</v>
      </c>
      <c r="M1148" s="6">
        <f t="shared" si="439"/>
        <v>1779.7775940389381</v>
      </c>
      <c r="N1148" s="6">
        <f t="shared" si="431"/>
        <v>1800.2999999999997</v>
      </c>
      <c r="O1148" s="6">
        <f>Arrivals!I1148</f>
        <v>3.5141164883447082</v>
      </c>
      <c r="P1148" s="6">
        <f t="shared" si="432"/>
        <v>1803.8141164883443</v>
      </c>
      <c r="Q1148" s="6">
        <f t="shared" si="433"/>
        <v>1359.8141164883443</v>
      </c>
      <c r="R1148" s="6">
        <f t="shared" si="434"/>
        <v>1332.2799999999997</v>
      </c>
      <c r="S1148" s="6">
        <f t="shared" si="435"/>
        <v>0</v>
      </c>
      <c r="T1148" s="6">
        <f t="shared" si="436"/>
        <v>0</v>
      </c>
      <c r="U1148" s="6">
        <f t="shared" si="437"/>
        <v>1332.2799999999997</v>
      </c>
      <c r="V1148" s="6" t="str">
        <f>IF(MOD(C1148-Settings!$B$32,Settings!$B$33)&lt;Settings!$B$30,"Up","Down")</f>
        <v>Up</v>
      </c>
      <c r="W1148" s="6">
        <f>IF(OR(E1148&gt;Settings!$B$30,Q1148&gt;Settings!$B$37),0,1)</f>
        <v>0</v>
      </c>
      <c r="X1148" s="6">
        <f>IF(AND(W1148=1,Q1148&lt;=Settings!$B$36),1,0)</f>
        <v>0</v>
      </c>
    </row>
    <row r="1149" spans="1:24" x14ac:dyDescent="0.2">
      <c r="A1149">
        <f>Arrivals!A1149</f>
        <v>10</v>
      </c>
      <c r="B1149">
        <f>Arrivals!B1149</f>
        <v>64</v>
      </c>
      <c r="C1149" s="6">
        <f>Arrivals!F1149</f>
        <v>449</v>
      </c>
      <c r="D1149" s="6">
        <f>Arrivals!K1149</f>
        <v>300</v>
      </c>
      <c r="E1149" s="6">
        <f>D1149*8/ACE_Input!S69+ACE_Input!T69</f>
        <v>24.02</v>
      </c>
      <c r="F1149" s="6">
        <f t="shared" si="427"/>
        <v>449</v>
      </c>
      <c r="G1149" s="6">
        <f t="shared" si="438"/>
        <v>1800.2999999999997</v>
      </c>
      <c r="H1149" s="6">
        <f t="shared" si="428"/>
        <v>1800.2999999999997</v>
      </c>
      <c r="I1149" s="6">
        <f>MOD(H1149-Settings!$B$32,Settings!$B$33)</f>
        <v>360.29999999999973</v>
      </c>
      <c r="J1149" s="6">
        <f>IF(I1149&lt;Settings!$B$30,IF(Settings!$B$30-I1149&gt;=E1149,H1149,H1149+(Settings!$B$30-I1149)+Settings!$B$31),H1149+(Settings!$B$33-I1149))</f>
        <v>1800.2999999999997</v>
      </c>
      <c r="K1149" s="6">
        <f t="shared" si="429"/>
        <v>1824.3199999999997</v>
      </c>
      <c r="L1149" s="6">
        <f t="shared" si="430"/>
        <v>1824.3199999999997</v>
      </c>
      <c r="M1149" s="6">
        <f t="shared" si="439"/>
        <v>1803.8141164883443</v>
      </c>
      <c r="N1149" s="6">
        <f t="shared" si="431"/>
        <v>1824.3199999999997</v>
      </c>
      <c r="O1149" s="6">
        <f>Arrivals!I1149</f>
        <v>2.6325992640168341</v>
      </c>
      <c r="P1149" s="6">
        <f t="shared" si="432"/>
        <v>1826.9525992640165</v>
      </c>
      <c r="Q1149" s="6">
        <f t="shared" si="433"/>
        <v>1377.9525992640165</v>
      </c>
      <c r="R1149" s="6">
        <f t="shared" si="434"/>
        <v>1351.2999999999997</v>
      </c>
      <c r="S1149" s="6">
        <f t="shared" si="435"/>
        <v>0</v>
      </c>
      <c r="T1149" s="6">
        <f t="shared" si="436"/>
        <v>0</v>
      </c>
      <c r="U1149" s="6">
        <f t="shared" si="437"/>
        <v>1351.2999999999997</v>
      </c>
      <c r="V1149" s="6" t="str">
        <f>IF(MOD(C1149-Settings!$B$32,Settings!$B$33)&lt;Settings!$B$30,"Up","Down")</f>
        <v>Up</v>
      </c>
      <c r="W1149" s="6">
        <f>IF(OR(E1149&gt;Settings!$B$30,Q1149&gt;Settings!$B$37),0,1)</f>
        <v>0</v>
      </c>
      <c r="X1149" s="6">
        <f>IF(AND(W1149=1,Q1149&lt;=Settings!$B$36),1,0)</f>
        <v>0</v>
      </c>
    </row>
    <row r="1150" spans="1:24" x14ac:dyDescent="0.2">
      <c r="A1150">
        <f>Arrivals!A1150</f>
        <v>10</v>
      </c>
      <c r="B1150">
        <f>Arrivals!B1150</f>
        <v>65</v>
      </c>
      <c r="C1150" s="6">
        <f>Arrivals!F1150</f>
        <v>454</v>
      </c>
      <c r="D1150" s="6">
        <f>Arrivals!K1150</f>
        <v>300</v>
      </c>
      <c r="E1150" s="6">
        <f>D1150*8/ACE_Input!S70+ACE_Input!T70</f>
        <v>24.02</v>
      </c>
      <c r="F1150" s="6">
        <f t="shared" ref="F1150:F1185" si="440">C1150</f>
        <v>454</v>
      </c>
      <c r="G1150" s="6">
        <f t="shared" si="438"/>
        <v>1824.3199999999997</v>
      </c>
      <c r="H1150" s="6">
        <f t="shared" ref="H1150:H1181" si="441">MAX(F1150,G1150)</f>
        <v>1824.3199999999997</v>
      </c>
      <c r="I1150" s="6">
        <f>MOD(H1150-Settings!$B$32,Settings!$B$33)</f>
        <v>384.31999999999971</v>
      </c>
      <c r="J1150" s="6">
        <f>IF(I1150&lt;Settings!$B$30,IF(Settings!$B$30-I1150&gt;=E1150,H1150,H1150+(Settings!$B$30-I1150)+Settings!$B$31),H1150+(Settings!$B$33-I1150))</f>
        <v>1824.3199999999997</v>
      </c>
      <c r="K1150" s="6">
        <f t="shared" ref="K1150:K1181" si="442">J1150+E1150</f>
        <v>1848.3399999999997</v>
      </c>
      <c r="L1150" s="6">
        <f t="shared" ref="L1150:L1181" si="443">K1150</f>
        <v>1848.3399999999997</v>
      </c>
      <c r="M1150" s="6">
        <f t="shared" si="439"/>
        <v>1826.9525992640165</v>
      </c>
      <c r="N1150" s="6">
        <f t="shared" ref="N1150:N1181" si="444">MAX(L1150,M1150)</f>
        <v>1848.3399999999997</v>
      </c>
      <c r="O1150" s="6">
        <f>Arrivals!I1150</f>
        <v>0.85630362840761554</v>
      </c>
      <c r="P1150" s="6">
        <f t="shared" ref="P1150:P1181" si="445">N1150+O1150</f>
        <v>1849.1963036284073</v>
      </c>
      <c r="Q1150" s="6">
        <f t="shared" ref="Q1150:Q1181" si="446">P1150-C1150</f>
        <v>1395.1963036284073</v>
      </c>
      <c r="R1150" s="6">
        <f t="shared" ref="R1150:R1185" si="447">H1150-F1150</f>
        <v>1370.3199999999997</v>
      </c>
      <c r="S1150" s="6">
        <f t="shared" ref="S1150:S1185" si="448">J1150-H1150</f>
        <v>0</v>
      </c>
      <c r="T1150" s="6">
        <f t="shared" ref="T1150:T1185" si="449">N1150-L1150</f>
        <v>0</v>
      </c>
      <c r="U1150" s="6">
        <f t="shared" ref="U1150:U1181" si="450">R1150+S1150+T1150</f>
        <v>1370.3199999999997</v>
      </c>
      <c r="V1150" s="6" t="str">
        <f>IF(MOD(C1150-Settings!$B$32,Settings!$B$33)&lt;Settings!$B$30,"Up","Down")</f>
        <v>Up</v>
      </c>
      <c r="W1150" s="6">
        <f>IF(OR(E1150&gt;Settings!$B$30,Q1150&gt;Settings!$B$37),0,1)</f>
        <v>0</v>
      </c>
      <c r="X1150" s="6">
        <f>IF(AND(W1150=1,Q1150&lt;=Settings!$B$36),1,0)</f>
        <v>0</v>
      </c>
    </row>
    <row r="1151" spans="1:24" x14ac:dyDescent="0.2">
      <c r="A1151">
        <f>Arrivals!A1151</f>
        <v>10</v>
      </c>
      <c r="B1151">
        <f>Arrivals!B1151</f>
        <v>66</v>
      </c>
      <c r="C1151" s="6">
        <f>Arrivals!F1151</f>
        <v>459</v>
      </c>
      <c r="D1151" s="6">
        <f>Arrivals!K1151</f>
        <v>300</v>
      </c>
      <c r="E1151" s="6">
        <f>D1151*8/ACE_Input!S71+ACE_Input!T71</f>
        <v>24.02</v>
      </c>
      <c r="F1151" s="6">
        <f t="shared" si="440"/>
        <v>459</v>
      </c>
      <c r="G1151" s="6">
        <f t="shared" ref="G1151:G1185" si="451">K1150</f>
        <v>1848.3399999999997</v>
      </c>
      <c r="H1151" s="6">
        <f t="shared" si="441"/>
        <v>1848.3399999999997</v>
      </c>
      <c r="I1151" s="6">
        <f>MOD(H1151-Settings!$B$32,Settings!$B$33)</f>
        <v>408.33999999999969</v>
      </c>
      <c r="J1151" s="6">
        <f>IF(I1151&lt;Settings!$B$30,IF(Settings!$B$30-I1151&gt;=E1151,H1151,H1151+(Settings!$B$30-I1151)+Settings!$B$31),H1151+(Settings!$B$33-I1151))</f>
        <v>1848.3399999999997</v>
      </c>
      <c r="K1151" s="6">
        <f t="shared" si="442"/>
        <v>1872.3599999999997</v>
      </c>
      <c r="L1151" s="6">
        <f t="shared" si="443"/>
        <v>1872.3599999999997</v>
      </c>
      <c r="M1151" s="6">
        <f t="shared" ref="M1151:M1185" si="452">P1150</f>
        <v>1849.1963036284073</v>
      </c>
      <c r="N1151" s="6">
        <f t="shared" si="444"/>
        <v>1872.3599999999997</v>
      </c>
      <c r="O1151" s="6">
        <f>Arrivals!I1151</f>
        <v>10.395629073256048</v>
      </c>
      <c r="P1151" s="6">
        <f t="shared" si="445"/>
        <v>1882.7556290732557</v>
      </c>
      <c r="Q1151" s="6">
        <f t="shared" si="446"/>
        <v>1423.7556290732557</v>
      </c>
      <c r="R1151" s="6">
        <f t="shared" si="447"/>
        <v>1389.3399999999997</v>
      </c>
      <c r="S1151" s="6">
        <f t="shared" si="448"/>
        <v>0</v>
      </c>
      <c r="T1151" s="6">
        <f t="shared" si="449"/>
        <v>0</v>
      </c>
      <c r="U1151" s="6">
        <f t="shared" si="450"/>
        <v>1389.3399999999997</v>
      </c>
      <c r="V1151" s="6" t="str">
        <f>IF(MOD(C1151-Settings!$B$32,Settings!$B$33)&lt;Settings!$B$30,"Up","Down")</f>
        <v>Up</v>
      </c>
      <c r="W1151" s="6">
        <f>IF(OR(E1151&gt;Settings!$B$30,Q1151&gt;Settings!$B$37),0,1)</f>
        <v>0</v>
      </c>
      <c r="X1151" s="6">
        <f>IF(AND(W1151=1,Q1151&lt;=Settings!$B$36),1,0)</f>
        <v>0</v>
      </c>
    </row>
    <row r="1152" spans="1:24" x14ac:dyDescent="0.2">
      <c r="A1152">
        <f>Arrivals!A1152</f>
        <v>10</v>
      </c>
      <c r="B1152">
        <f>Arrivals!B1152</f>
        <v>67</v>
      </c>
      <c r="C1152" s="6">
        <f>Arrivals!F1152</f>
        <v>474</v>
      </c>
      <c r="D1152" s="6">
        <f>Arrivals!K1152</f>
        <v>300</v>
      </c>
      <c r="E1152" s="6">
        <f>D1152*8/ACE_Input!S72+ACE_Input!T72</f>
        <v>24.02</v>
      </c>
      <c r="F1152" s="6">
        <f t="shared" si="440"/>
        <v>474</v>
      </c>
      <c r="G1152" s="6">
        <f t="shared" si="451"/>
        <v>1872.3599999999997</v>
      </c>
      <c r="H1152" s="6">
        <f t="shared" si="441"/>
        <v>1872.3599999999997</v>
      </c>
      <c r="I1152" s="6">
        <f>MOD(H1152-Settings!$B$32,Settings!$B$33)</f>
        <v>432.35999999999967</v>
      </c>
      <c r="J1152" s="6">
        <f>IF(I1152&lt;Settings!$B$30,IF(Settings!$B$30-I1152&gt;=E1152,H1152,H1152+(Settings!$B$30-I1152)+Settings!$B$31),H1152+(Settings!$B$33-I1152))</f>
        <v>1872.3599999999997</v>
      </c>
      <c r="K1152" s="6">
        <f t="shared" si="442"/>
        <v>1896.3799999999997</v>
      </c>
      <c r="L1152" s="6">
        <f t="shared" si="443"/>
        <v>1896.3799999999997</v>
      </c>
      <c r="M1152" s="6">
        <f t="shared" si="452"/>
        <v>1882.7556290732557</v>
      </c>
      <c r="N1152" s="6">
        <f t="shared" si="444"/>
        <v>1896.3799999999997</v>
      </c>
      <c r="O1152" s="6">
        <f>Arrivals!I1152</f>
        <v>1.5376584352695986</v>
      </c>
      <c r="P1152" s="6">
        <f t="shared" si="445"/>
        <v>1897.9176584352692</v>
      </c>
      <c r="Q1152" s="6">
        <f t="shared" si="446"/>
        <v>1423.9176584352692</v>
      </c>
      <c r="R1152" s="6">
        <f t="shared" si="447"/>
        <v>1398.3599999999997</v>
      </c>
      <c r="S1152" s="6">
        <f t="shared" si="448"/>
        <v>0</v>
      </c>
      <c r="T1152" s="6">
        <f t="shared" si="449"/>
        <v>0</v>
      </c>
      <c r="U1152" s="6">
        <f t="shared" si="450"/>
        <v>1398.3599999999997</v>
      </c>
      <c r="V1152" s="6" t="str">
        <f>IF(MOD(C1152-Settings!$B$32,Settings!$B$33)&lt;Settings!$B$30,"Up","Down")</f>
        <v>Up</v>
      </c>
      <c r="W1152" s="6">
        <f>IF(OR(E1152&gt;Settings!$B$30,Q1152&gt;Settings!$B$37),0,1)</f>
        <v>0</v>
      </c>
      <c r="X1152" s="6">
        <f>IF(AND(W1152=1,Q1152&lt;=Settings!$B$36),1,0)</f>
        <v>0</v>
      </c>
    </row>
    <row r="1153" spans="1:24" x14ac:dyDescent="0.2">
      <c r="A1153">
        <f>Arrivals!A1153</f>
        <v>10</v>
      </c>
      <c r="B1153">
        <f>Arrivals!B1153</f>
        <v>68</v>
      </c>
      <c r="C1153" s="6">
        <f>Arrivals!F1153</f>
        <v>479</v>
      </c>
      <c r="D1153" s="6">
        <f>Arrivals!K1153</f>
        <v>300</v>
      </c>
      <c r="E1153" s="6">
        <f>D1153*8/ACE_Input!S73+ACE_Input!T73</f>
        <v>24.02</v>
      </c>
      <c r="F1153" s="6">
        <f t="shared" si="440"/>
        <v>479</v>
      </c>
      <c r="G1153" s="6">
        <f t="shared" si="451"/>
        <v>1896.3799999999997</v>
      </c>
      <c r="H1153" s="6">
        <f t="shared" si="441"/>
        <v>1896.3799999999997</v>
      </c>
      <c r="I1153" s="6">
        <f>MOD(H1153-Settings!$B$32,Settings!$B$33)</f>
        <v>456.37999999999965</v>
      </c>
      <c r="J1153" s="6">
        <f>IF(I1153&lt;Settings!$B$30,IF(Settings!$B$30-I1153&gt;=E1153,H1153,H1153+(Settings!$B$30-I1153)+Settings!$B$31),H1153+(Settings!$B$33-I1153))</f>
        <v>1896.3799999999997</v>
      </c>
      <c r="K1153" s="6">
        <f t="shared" si="442"/>
        <v>1920.3999999999996</v>
      </c>
      <c r="L1153" s="6">
        <f t="shared" si="443"/>
        <v>1920.3999999999996</v>
      </c>
      <c r="M1153" s="6">
        <f t="shared" si="452"/>
        <v>1897.9176584352692</v>
      </c>
      <c r="N1153" s="6">
        <f t="shared" si="444"/>
        <v>1920.3999999999996</v>
      </c>
      <c r="O1153" s="6">
        <f>Arrivals!I1153</f>
        <v>13.955974443538587</v>
      </c>
      <c r="P1153" s="6">
        <f t="shared" si="445"/>
        <v>1934.3559744435381</v>
      </c>
      <c r="Q1153" s="6">
        <f t="shared" si="446"/>
        <v>1455.3559744435381</v>
      </c>
      <c r="R1153" s="6">
        <f t="shared" si="447"/>
        <v>1417.3799999999997</v>
      </c>
      <c r="S1153" s="6">
        <f t="shared" si="448"/>
        <v>0</v>
      </c>
      <c r="T1153" s="6">
        <f t="shared" si="449"/>
        <v>0</v>
      </c>
      <c r="U1153" s="6">
        <f t="shared" si="450"/>
        <v>1417.3799999999997</v>
      </c>
      <c r="V1153" s="6" t="str">
        <f>IF(MOD(C1153-Settings!$B$32,Settings!$B$33)&lt;Settings!$B$30,"Up","Down")</f>
        <v>Up</v>
      </c>
      <c r="W1153" s="6">
        <f>IF(OR(E1153&gt;Settings!$B$30,Q1153&gt;Settings!$B$37),0,1)</f>
        <v>0</v>
      </c>
      <c r="X1153" s="6">
        <f>IF(AND(W1153=1,Q1153&lt;=Settings!$B$36),1,0)</f>
        <v>0</v>
      </c>
    </row>
    <row r="1154" spans="1:24" x14ac:dyDescent="0.2">
      <c r="A1154">
        <f>Arrivals!A1154</f>
        <v>10</v>
      </c>
      <c r="B1154">
        <f>Arrivals!B1154</f>
        <v>69</v>
      </c>
      <c r="C1154" s="6">
        <f>Arrivals!F1154</f>
        <v>494</v>
      </c>
      <c r="D1154" s="6">
        <f>Arrivals!K1154</f>
        <v>300</v>
      </c>
      <c r="E1154" s="6">
        <f>D1154*8/ACE_Input!S74+ACE_Input!T74</f>
        <v>24.02</v>
      </c>
      <c r="F1154" s="6">
        <f t="shared" si="440"/>
        <v>494</v>
      </c>
      <c r="G1154" s="6">
        <f t="shared" si="451"/>
        <v>1920.3999999999996</v>
      </c>
      <c r="H1154" s="6">
        <f t="shared" si="441"/>
        <v>1920.3999999999996</v>
      </c>
      <c r="I1154" s="6">
        <f>MOD(H1154-Settings!$B$32,Settings!$B$33)</f>
        <v>480.39999999999964</v>
      </c>
      <c r="J1154" s="6">
        <f>IF(I1154&lt;Settings!$B$30,IF(Settings!$B$30-I1154&gt;=E1154,H1154,H1154+(Settings!$B$30-I1154)+Settings!$B$31),H1154+(Settings!$B$33-I1154))</f>
        <v>1920.3999999999996</v>
      </c>
      <c r="K1154" s="6">
        <f t="shared" si="442"/>
        <v>1944.4199999999996</v>
      </c>
      <c r="L1154" s="6">
        <f t="shared" si="443"/>
        <v>1944.4199999999996</v>
      </c>
      <c r="M1154" s="6">
        <f t="shared" si="452"/>
        <v>1934.3559744435381</v>
      </c>
      <c r="N1154" s="6">
        <f t="shared" si="444"/>
        <v>1944.4199999999996</v>
      </c>
      <c r="O1154" s="6">
        <f>Arrivals!I1154</f>
        <v>7.7428426724427455</v>
      </c>
      <c r="P1154" s="6">
        <f t="shared" si="445"/>
        <v>1952.1628426724424</v>
      </c>
      <c r="Q1154" s="6">
        <f t="shared" si="446"/>
        <v>1458.1628426724424</v>
      </c>
      <c r="R1154" s="6">
        <f t="shared" si="447"/>
        <v>1426.3999999999996</v>
      </c>
      <c r="S1154" s="6">
        <f t="shared" si="448"/>
        <v>0</v>
      </c>
      <c r="T1154" s="6">
        <f t="shared" si="449"/>
        <v>0</v>
      </c>
      <c r="U1154" s="6">
        <f t="shared" si="450"/>
        <v>1426.3999999999996</v>
      </c>
      <c r="V1154" s="6" t="str">
        <f>IF(MOD(C1154-Settings!$B$32,Settings!$B$33)&lt;Settings!$B$30,"Up","Down")</f>
        <v>Up</v>
      </c>
      <c r="W1154" s="6">
        <f>IF(OR(E1154&gt;Settings!$B$30,Q1154&gt;Settings!$B$37),0,1)</f>
        <v>0</v>
      </c>
      <c r="X1154" s="6">
        <f>IF(AND(W1154=1,Q1154&lt;=Settings!$B$36),1,0)</f>
        <v>0</v>
      </c>
    </row>
    <row r="1155" spans="1:24" x14ac:dyDescent="0.2">
      <c r="A1155">
        <f>Arrivals!A1155</f>
        <v>10</v>
      </c>
      <c r="B1155">
        <f>Arrivals!B1155</f>
        <v>70</v>
      </c>
      <c r="C1155" s="6">
        <f>Arrivals!F1155</f>
        <v>499</v>
      </c>
      <c r="D1155" s="6">
        <f>Arrivals!K1155</f>
        <v>300</v>
      </c>
      <c r="E1155" s="6">
        <f>D1155*8/ACE_Input!S75+ACE_Input!T75</f>
        <v>24.02</v>
      </c>
      <c r="F1155" s="6">
        <f t="shared" si="440"/>
        <v>499</v>
      </c>
      <c r="G1155" s="6">
        <f t="shared" si="451"/>
        <v>1944.4199999999996</v>
      </c>
      <c r="H1155" s="6">
        <f t="shared" si="441"/>
        <v>1944.4199999999996</v>
      </c>
      <c r="I1155" s="6">
        <f>MOD(H1155-Settings!$B$32,Settings!$B$33)</f>
        <v>504.41999999999962</v>
      </c>
      <c r="J1155" s="6">
        <f>IF(I1155&lt;Settings!$B$30,IF(Settings!$B$30-I1155&gt;=E1155,H1155,H1155+(Settings!$B$30-I1155)+Settings!$B$31),H1155+(Settings!$B$33-I1155))</f>
        <v>1944.4199999999996</v>
      </c>
      <c r="K1155" s="6">
        <f t="shared" si="442"/>
        <v>1968.4399999999996</v>
      </c>
      <c r="L1155" s="6">
        <f t="shared" si="443"/>
        <v>1968.4399999999996</v>
      </c>
      <c r="M1155" s="6">
        <f t="shared" si="452"/>
        <v>1952.1628426724424</v>
      </c>
      <c r="N1155" s="6">
        <f t="shared" si="444"/>
        <v>1968.4399999999996</v>
      </c>
      <c r="O1155" s="6">
        <f>Arrivals!I1155</f>
        <v>1.9493040821854164</v>
      </c>
      <c r="P1155" s="6">
        <f t="shared" si="445"/>
        <v>1970.3893040821849</v>
      </c>
      <c r="Q1155" s="6">
        <f t="shared" si="446"/>
        <v>1471.3893040821849</v>
      </c>
      <c r="R1155" s="6">
        <f t="shared" si="447"/>
        <v>1445.4199999999996</v>
      </c>
      <c r="S1155" s="6">
        <f t="shared" si="448"/>
        <v>0</v>
      </c>
      <c r="T1155" s="6">
        <f t="shared" si="449"/>
        <v>0</v>
      </c>
      <c r="U1155" s="6">
        <f t="shared" si="450"/>
        <v>1445.4199999999996</v>
      </c>
      <c r="V1155" s="6" t="str">
        <f>IF(MOD(C1155-Settings!$B$32,Settings!$B$33)&lt;Settings!$B$30,"Up","Down")</f>
        <v>Up</v>
      </c>
      <c r="W1155" s="6">
        <f>IF(OR(E1155&gt;Settings!$B$30,Q1155&gt;Settings!$B$37),0,1)</f>
        <v>0</v>
      </c>
      <c r="X1155" s="6">
        <f>IF(AND(W1155=1,Q1155&lt;=Settings!$B$36),1,0)</f>
        <v>0</v>
      </c>
    </row>
    <row r="1156" spans="1:24" x14ac:dyDescent="0.2">
      <c r="A1156">
        <f>Arrivals!A1156</f>
        <v>10</v>
      </c>
      <c r="B1156">
        <f>Arrivals!B1156</f>
        <v>71</v>
      </c>
      <c r="C1156" s="6">
        <f>Arrivals!F1156</f>
        <v>504</v>
      </c>
      <c r="D1156" s="6">
        <f>Arrivals!K1156</f>
        <v>300</v>
      </c>
      <c r="E1156" s="6">
        <f>D1156*8/ACE_Input!S76+ACE_Input!T76</f>
        <v>24.02</v>
      </c>
      <c r="F1156" s="6">
        <f t="shared" si="440"/>
        <v>504</v>
      </c>
      <c r="G1156" s="6">
        <f t="shared" si="451"/>
        <v>1968.4399999999996</v>
      </c>
      <c r="H1156" s="6">
        <f t="shared" si="441"/>
        <v>1968.4399999999996</v>
      </c>
      <c r="I1156" s="6">
        <f>MOD(H1156-Settings!$B$32,Settings!$B$33)</f>
        <v>528.4399999999996</v>
      </c>
      <c r="J1156" s="6">
        <f>IF(I1156&lt;Settings!$B$30,IF(Settings!$B$30-I1156&gt;=E1156,H1156,H1156+(Settings!$B$30-I1156)+Settings!$B$31),H1156+(Settings!$B$33-I1156))</f>
        <v>1968.4399999999996</v>
      </c>
      <c r="K1156" s="6">
        <f t="shared" si="442"/>
        <v>1992.4599999999996</v>
      </c>
      <c r="L1156" s="6">
        <f t="shared" si="443"/>
        <v>1992.4599999999996</v>
      </c>
      <c r="M1156" s="6">
        <f t="shared" si="452"/>
        <v>1970.3893040821849</v>
      </c>
      <c r="N1156" s="6">
        <f t="shared" si="444"/>
        <v>1992.4599999999996</v>
      </c>
      <c r="O1156" s="6">
        <f>Arrivals!I1156</f>
        <v>7.6551728603745595E-2</v>
      </c>
      <c r="P1156" s="6">
        <f t="shared" si="445"/>
        <v>1992.5365517286034</v>
      </c>
      <c r="Q1156" s="6">
        <f t="shared" si="446"/>
        <v>1488.5365517286034</v>
      </c>
      <c r="R1156" s="6">
        <f t="shared" si="447"/>
        <v>1464.4399999999996</v>
      </c>
      <c r="S1156" s="6">
        <f t="shared" si="448"/>
        <v>0</v>
      </c>
      <c r="T1156" s="6">
        <f t="shared" si="449"/>
        <v>0</v>
      </c>
      <c r="U1156" s="6">
        <f t="shared" si="450"/>
        <v>1464.4399999999996</v>
      </c>
      <c r="V1156" s="6" t="str">
        <f>IF(MOD(C1156-Settings!$B$32,Settings!$B$33)&lt;Settings!$B$30,"Up","Down")</f>
        <v>Up</v>
      </c>
      <c r="W1156" s="6">
        <f>IF(OR(E1156&gt;Settings!$B$30,Q1156&gt;Settings!$B$37),0,1)</f>
        <v>0</v>
      </c>
      <c r="X1156" s="6">
        <f>IF(AND(W1156=1,Q1156&lt;=Settings!$B$36),1,0)</f>
        <v>0</v>
      </c>
    </row>
    <row r="1157" spans="1:24" x14ac:dyDescent="0.2">
      <c r="A1157">
        <f>Arrivals!A1157</f>
        <v>10</v>
      </c>
      <c r="B1157">
        <f>Arrivals!B1157</f>
        <v>72</v>
      </c>
      <c r="C1157" s="6">
        <f>Arrivals!F1157</f>
        <v>509</v>
      </c>
      <c r="D1157" s="6">
        <f>Arrivals!K1157</f>
        <v>300</v>
      </c>
      <c r="E1157" s="6">
        <f>D1157*8/ACE_Input!S77+ACE_Input!T77</f>
        <v>24.02</v>
      </c>
      <c r="F1157" s="6">
        <f t="shared" si="440"/>
        <v>509</v>
      </c>
      <c r="G1157" s="6">
        <f t="shared" si="451"/>
        <v>1992.4599999999996</v>
      </c>
      <c r="H1157" s="6">
        <f t="shared" si="441"/>
        <v>1992.4599999999996</v>
      </c>
      <c r="I1157" s="6">
        <f>MOD(H1157-Settings!$B$32,Settings!$B$33)</f>
        <v>552.45999999999958</v>
      </c>
      <c r="J1157" s="6">
        <f>IF(I1157&lt;Settings!$B$30,IF(Settings!$B$30-I1157&gt;=E1157,H1157,H1157+(Settings!$B$30-I1157)+Settings!$B$31),H1157+(Settings!$B$33-I1157))</f>
        <v>1992.4599999999996</v>
      </c>
      <c r="K1157" s="6">
        <f t="shared" si="442"/>
        <v>2016.4799999999996</v>
      </c>
      <c r="L1157" s="6">
        <f t="shared" si="443"/>
        <v>2016.4799999999996</v>
      </c>
      <c r="M1157" s="6">
        <f t="shared" si="452"/>
        <v>1992.5365517286034</v>
      </c>
      <c r="N1157" s="6">
        <f t="shared" si="444"/>
        <v>2016.4799999999996</v>
      </c>
      <c r="O1157" s="6">
        <f>Arrivals!I1157</f>
        <v>3.5947571787031172</v>
      </c>
      <c r="P1157" s="6">
        <f t="shared" si="445"/>
        <v>2020.0747571787026</v>
      </c>
      <c r="Q1157" s="6">
        <f t="shared" si="446"/>
        <v>1511.0747571787026</v>
      </c>
      <c r="R1157" s="6">
        <f t="shared" si="447"/>
        <v>1483.4599999999996</v>
      </c>
      <c r="S1157" s="6">
        <f t="shared" si="448"/>
        <v>0</v>
      </c>
      <c r="T1157" s="6">
        <f t="shared" si="449"/>
        <v>0</v>
      </c>
      <c r="U1157" s="6">
        <f t="shared" si="450"/>
        <v>1483.4599999999996</v>
      </c>
      <c r="V1157" s="6" t="str">
        <f>IF(MOD(C1157-Settings!$B$32,Settings!$B$33)&lt;Settings!$B$30,"Up","Down")</f>
        <v>Up</v>
      </c>
      <c r="W1157" s="6">
        <f>IF(OR(E1157&gt;Settings!$B$30,Q1157&gt;Settings!$B$37),0,1)</f>
        <v>0</v>
      </c>
      <c r="X1157" s="6">
        <f>IF(AND(W1157=1,Q1157&lt;=Settings!$B$36),1,0)</f>
        <v>0</v>
      </c>
    </row>
    <row r="1158" spans="1:24" x14ac:dyDescent="0.2">
      <c r="A1158">
        <f>Arrivals!A1158</f>
        <v>10</v>
      </c>
      <c r="B1158">
        <f>Arrivals!B1158</f>
        <v>73</v>
      </c>
      <c r="C1158" s="6">
        <f>Arrivals!F1158</f>
        <v>514</v>
      </c>
      <c r="D1158" s="6">
        <f>Arrivals!K1158</f>
        <v>300</v>
      </c>
      <c r="E1158" s="6">
        <f>D1158*8/ACE_Input!S78+ACE_Input!T78</f>
        <v>24.02</v>
      </c>
      <c r="F1158" s="6">
        <f t="shared" si="440"/>
        <v>514</v>
      </c>
      <c r="G1158" s="6">
        <f t="shared" si="451"/>
        <v>2016.4799999999996</v>
      </c>
      <c r="H1158" s="6">
        <f t="shared" si="441"/>
        <v>2016.4799999999996</v>
      </c>
      <c r="I1158" s="6">
        <f>MOD(H1158-Settings!$B$32,Settings!$B$33)</f>
        <v>576.47999999999956</v>
      </c>
      <c r="J1158" s="6">
        <f>IF(I1158&lt;Settings!$B$30,IF(Settings!$B$30-I1158&gt;=E1158,H1158,H1158+(Settings!$B$30-I1158)+Settings!$B$31),H1158+(Settings!$B$33-I1158))</f>
        <v>2160</v>
      </c>
      <c r="K1158" s="6">
        <f t="shared" si="442"/>
        <v>2184.02</v>
      </c>
      <c r="L1158" s="6">
        <f t="shared" si="443"/>
        <v>2184.02</v>
      </c>
      <c r="M1158" s="6">
        <f t="shared" si="452"/>
        <v>2020.0747571787026</v>
      </c>
      <c r="N1158" s="6">
        <f t="shared" si="444"/>
        <v>2184.02</v>
      </c>
      <c r="O1158" s="6">
        <f>Arrivals!I1158</f>
        <v>6.8931971564910341</v>
      </c>
      <c r="P1158" s="6">
        <f t="shared" si="445"/>
        <v>2190.9131971564912</v>
      </c>
      <c r="Q1158" s="6">
        <f t="shared" si="446"/>
        <v>1676.9131971564912</v>
      </c>
      <c r="R1158" s="6">
        <f t="shared" si="447"/>
        <v>1502.4799999999996</v>
      </c>
      <c r="S1158" s="6">
        <f t="shared" si="448"/>
        <v>143.52000000000044</v>
      </c>
      <c r="T1158" s="6">
        <f t="shared" si="449"/>
        <v>0</v>
      </c>
      <c r="U1158" s="6">
        <f t="shared" si="450"/>
        <v>1646</v>
      </c>
      <c r="V1158" s="6" t="str">
        <f>IF(MOD(C1158-Settings!$B$32,Settings!$B$33)&lt;Settings!$B$30,"Up","Down")</f>
        <v>Up</v>
      </c>
      <c r="W1158" s="6">
        <f>IF(OR(E1158&gt;Settings!$B$30,Q1158&gt;Settings!$B$37),0,1)</f>
        <v>0</v>
      </c>
      <c r="X1158" s="6">
        <f>IF(AND(W1158=1,Q1158&lt;=Settings!$B$36),1,0)</f>
        <v>0</v>
      </c>
    </row>
    <row r="1159" spans="1:24" x14ac:dyDescent="0.2">
      <c r="A1159">
        <f>Arrivals!A1159</f>
        <v>10</v>
      </c>
      <c r="B1159">
        <f>Arrivals!B1159</f>
        <v>74</v>
      </c>
      <c r="C1159" s="6">
        <f>Arrivals!F1159</f>
        <v>519</v>
      </c>
      <c r="D1159" s="6">
        <f>Arrivals!K1159</f>
        <v>300</v>
      </c>
      <c r="E1159" s="6">
        <f>D1159*8/ACE_Input!S79+ACE_Input!T79</f>
        <v>24.02</v>
      </c>
      <c r="F1159" s="6">
        <f t="shared" si="440"/>
        <v>519</v>
      </c>
      <c r="G1159" s="6">
        <f t="shared" si="451"/>
        <v>2184.02</v>
      </c>
      <c r="H1159" s="6">
        <f t="shared" si="441"/>
        <v>2184.02</v>
      </c>
      <c r="I1159" s="6">
        <f>MOD(H1159-Settings!$B$32,Settings!$B$33)</f>
        <v>24.019999999999982</v>
      </c>
      <c r="J1159" s="6">
        <f>IF(I1159&lt;Settings!$B$30,IF(Settings!$B$30-I1159&gt;=E1159,H1159,H1159+(Settings!$B$30-I1159)+Settings!$B$31),H1159+(Settings!$B$33-I1159))</f>
        <v>2184.02</v>
      </c>
      <c r="K1159" s="6">
        <f t="shared" si="442"/>
        <v>2208.04</v>
      </c>
      <c r="L1159" s="6">
        <f t="shared" si="443"/>
        <v>2208.04</v>
      </c>
      <c r="M1159" s="6">
        <f t="shared" si="452"/>
        <v>2190.9131971564912</v>
      </c>
      <c r="N1159" s="6">
        <f t="shared" si="444"/>
        <v>2208.04</v>
      </c>
      <c r="O1159" s="6">
        <f>Arrivals!I1159</f>
        <v>1.7127713531500224</v>
      </c>
      <c r="P1159" s="6">
        <f t="shared" si="445"/>
        <v>2209.7527713531499</v>
      </c>
      <c r="Q1159" s="6">
        <f t="shared" si="446"/>
        <v>1690.7527713531499</v>
      </c>
      <c r="R1159" s="6">
        <f t="shared" si="447"/>
        <v>1665.02</v>
      </c>
      <c r="S1159" s="6">
        <f t="shared" si="448"/>
        <v>0</v>
      </c>
      <c r="T1159" s="6">
        <f t="shared" si="449"/>
        <v>0</v>
      </c>
      <c r="U1159" s="6">
        <f t="shared" si="450"/>
        <v>1665.02</v>
      </c>
      <c r="V1159" s="6" t="str">
        <f>IF(MOD(C1159-Settings!$B$32,Settings!$B$33)&lt;Settings!$B$30,"Up","Down")</f>
        <v>Up</v>
      </c>
      <c r="W1159" s="6">
        <f>IF(OR(E1159&gt;Settings!$B$30,Q1159&gt;Settings!$B$37),0,1)</f>
        <v>0</v>
      </c>
      <c r="X1159" s="6">
        <f>IF(AND(W1159=1,Q1159&lt;=Settings!$B$36),1,0)</f>
        <v>0</v>
      </c>
    </row>
    <row r="1160" spans="1:24" x14ac:dyDescent="0.2">
      <c r="A1160">
        <f>Arrivals!A1160</f>
        <v>10</v>
      </c>
      <c r="B1160">
        <f>Arrivals!B1160</f>
        <v>75</v>
      </c>
      <c r="C1160" s="6">
        <f>Arrivals!F1160</f>
        <v>524</v>
      </c>
      <c r="D1160" s="6">
        <f>Arrivals!K1160</f>
        <v>300</v>
      </c>
      <c r="E1160" s="6">
        <f>D1160*8/ACE_Input!S80+ACE_Input!T80</f>
        <v>24.02</v>
      </c>
      <c r="F1160" s="6">
        <f t="shared" si="440"/>
        <v>524</v>
      </c>
      <c r="G1160" s="6">
        <f t="shared" si="451"/>
        <v>2208.04</v>
      </c>
      <c r="H1160" s="6">
        <f t="shared" si="441"/>
        <v>2208.04</v>
      </c>
      <c r="I1160" s="6">
        <f>MOD(H1160-Settings!$B$32,Settings!$B$33)</f>
        <v>48.039999999999964</v>
      </c>
      <c r="J1160" s="6">
        <f>IF(I1160&lt;Settings!$B$30,IF(Settings!$B$30-I1160&gt;=E1160,H1160,H1160+(Settings!$B$30-I1160)+Settings!$B$31),H1160+(Settings!$B$33-I1160))</f>
        <v>2208.04</v>
      </c>
      <c r="K1160" s="6">
        <f t="shared" si="442"/>
        <v>2232.06</v>
      </c>
      <c r="L1160" s="6">
        <f t="shared" si="443"/>
        <v>2232.06</v>
      </c>
      <c r="M1160" s="6">
        <f t="shared" si="452"/>
        <v>2209.7527713531499</v>
      </c>
      <c r="N1160" s="6">
        <f t="shared" si="444"/>
        <v>2232.06</v>
      </c>
      <c r="O1160" s="6">
        <f>Arrivals!I1160</f>
        <v>0.50175482932633297</v>
      </c>
      <c r="P1160" s="6">
        <f t="shared" si="445"/>
        <v>2232.5617548293262</v>
      </c>
      <c r="Q1160" s="6">
        <f t="shared" si="446"/>
        <v>1708.5617548293262</v>
      </c>
      <c r="R1160" s="6">
        <f t="shared" si="447"/>
        <v>1684.04</v>
      </c>
      <c r="S1160" s="6">
        <f t="shared" si="448"/>
        <v>0</v>
      </c>
      <c r="T1160" s="6">
        <f t="shared" si="449"/>
        <v>0</v>
      </c>
      <c r="U1160" s="6">
        <f t="shared" si="450"/>
        <v>1684.04</v>
      </c>
      <c r="V1160" s="6" t="str">
        <f>IF(MOD(C1160-Settings!$B$32,Settings!$B$33)&lt;Settings!$B$30,"Up","Down")</f>
        <v>Up</v>
      </c>
      <c r="W1160" s="6">
        <f>IF(OR(E1160&gt;Settings!$B$30,Q1160&gt;Settings!$B$37),0,1)</f>
        <v>0</v>
      </c>
      <c r="X1160" s="6">
        <f>IF(AND(W1160=1,Q1160&lt;=Settings!$B$36),1,0)</f>
        <v>0</v>
      </c>
    </row>
    <row r="1161" spans="1:24" x14ac:dyDescent="0.2">
      <c r="A1161">
        <f>Arrivals!A1161</f>
        <v>10</v>
      </c>
      <c r="B1161">
        <f>Arrivals!B1161</f>
        <v>76</v>
      </c>
      <c r="C1161" s="6">
        <f>Arrivals!F1161</f>
        <v>529</v>
      </c>
      <c r="D1161" s="6">
        <f>Arrivals!K1161</f>
        <v>300</v>
      </c>
      <c r="E1161" s="6">
        <f>D1161*8/ACE_Input!S81+ACE_Input!T81</f>
        <v>24.02</v>
      </c>
      <c r="F1161" s="6">
        <f t="shared" si="440"/>
        <v>529</v>
      </c>
      <c r="G1161" s="6">
        <f t="shared" si="451"/>
        <v>2232.06</v>
      </c>
      <c r="H1161" s="6">
        <f t="shared" si="441"/>
        <v>2232.06</v>
      </c>
      <c r="I1161" s="6">
        <f>MOD(H1161-Settings!$B$32,Settings!$B$33)</f>
        <v>72.059999999999945</v>
      </c>
      <c r="J1161" s="6">
        <f>IF(I1161&lt;Settings!$B$30,IF(Settings!$B$30-I1161&gt;=E1161,H1161,H1161+(Settings!$B$30-I1161)+Settings!$B$31),H1161+(Settings!$B$33-I1161))</f>
        <v>2232.06</v>
      </c>
      <c r="K1161" s="6">
        <f t="shared" si="442"/>
        <v>2256.08</v>
      </c>
      <c r="L1161" s="6">
        <f t="shared" si="443"/>
        <v>2256.08</v>
      </c>
      <c r="M1161" s="6">
        <f t="shared" si="452"/>
        <v>2232.5617548293262</v>
      </c>
      <c r="N1161" s="6">
        <f t="shared" si="444"/>
        <v>2256.08</v>
      </c>
      <c r="O1161" s="6">
        <f>Arrivals!I1161</f>
        <v>1.9127452984773183</v>
      </c>
      <c r="P1161" s="6">
        <f t="shared" si="445"/>
        <v>2257.9927452984771</v>
      </c>
      <c r="Q1161" s="6">
        <f t="shared" si="446"/>
        <v>1728.9927452984771</v>
      </c>
      <c r="R1161" s="6">
        <f t="shared" si="447"/>
        <v>1703.06</v>
      </c>
      <c r="S1161" s="6">
        <f t="shared" si="448"/>
        <v>0</v>
      </c>
      <c r="T1161" s="6">
        <f t="shared" si="449"/>
        <v>0</v>
      </c>
      <c r="U1161" s="6">
        <f t="shared" si="450"/>
        <v>1703.06</v>
      </c>
      <c r="V1161" s="6" t="str">
        <f>IF(MOD(C1161-Settings!$B$32,Settings!$B$33)&lt;Settings!$B$30,"Up","Down")</f>
        <v>Up</v>
      </c>
      <c r="W1161" s="6">
        <f>IF(OR(E1161&gt;Settings!$B$30,Q1161&gt;Settings!$B$37),0,1)</f>
        <v>0</v>
      </c>
      <c r="X1161" s="6">
        <f>IF(AND(W1161=1,Q1161&lt;=Settings!$B$36),1,0)</f>
        <v>0</v>
      </c>
    </row>
    <row r="1162" spans="1:24" x14ac:dyDescent="0.2">
      <c r="A1162">
        <f>Arrivals!A1162</f>
        <v>10</v>
      </c>
      <c r="B1162">
        <f>Arrivals!B1162</f>
        <v>77</v>
      </c>
      <c r="C1162" s="6">
        <f>Arrivals!F1162</f>
        <v>534</v>
      </c>
      <c r="D1162" s="6">
        <f>Arrivals!K1162</f>
        <v>300</v>
      </c>
      <c r="E1162" s="6">
        <f>D1162*8/ACE_Input!S82+ACE_Input!T82</f>
        <v>24.02</v>
      </c>
      <c r="F1162" s="6">
        <f t="shared" si="440"/>
        <v>534</v>
      </c>
      <c r="G1162" s="6">
        <f t="shared" si="451"/>
        <v>2256.08</v>
      </c>
      <c r="H1162" s="6">
        <f t="shared" si="441"/>
        <v>2256.08</v>
      </c>
      <c r="I1162" s="6">
        <f>MOD(H1162-Settings!$B$32,Settings!$B$33)</f>
        <v>96.079999999999927</v>
      </c>
      <c r="J1162" s="6">
        <f>IF(I1162&lt;Settings!$B$30,IF(Settings!$B$30-I1162&gt;=E1162,H1162,H1162+(Settings!$B$30-I1162)+Settings!$B$31),H1162+(Settings!$B$33-I1162))</f>
        <v>2256.08</v>
      </c>
      <c r="K1162" s="6">
        <f t="shared" si="442"/>
        <v>2280.1</v>
      </c>
      <c r="L1162" s="6">
        <f t="shared" si="443"/>
        <v>2280.1</v>
      </c>
      <c r="M1162" s="6">
        <f t="shared" si="452"/>
        <v>2257.9927452984771</v>
      </c>
      <c r="N1162" s="6">
        <f t="shared" si="444"/>
        <v>2280.1</v>
      </c>
      <c r="O1162" s="6">
        <f>Arrivals!I1162</f>
        <v>1.0371033355499266</v>
      </c>
      <c r="P1162" s="6">
        <f t="shared" si="445"/>
        <v>2281.1371033355499</v>
      </c>
      <c r="Q1162" s="6">
        <f t="shared" si="446"/>
        <v>1747.1371033355499</v>
      </c>
      <c r="R1162" s="6">
        <f t="shared" si="447"/>
        <v>1722.08</v>
      </c>
      <c r="S1162" s="6">
        <f t="shared" si="448"/>
        <v>0</v>
      </c>
      <c r="T1162" s="6">
        <f t="shared" si="449"/>
        <v>0</v>
      </c>
      <c r="U1162" s="6">
        <f t="shared" si="450"/>
        <v>1722.08</v>
      </c>
      <c r="V1162" s="6" t="str">
        <f>IF(MOD(C1162-Settings!$B$32,Settings!$B$33)&lt;Settings!$B$30,"Up","Down")</f>
        <v>Up</v>
      </c>
      <c r="W1162" s="6">
        <f>IF(OR(E1162&gt;Settings!$B$30,Q1162&gt;Settings!$B$37),0,1)</f>
        <v>0</v>
      </c>
      <c r="X1162" s="6">
        <f>IF(AND(W1162=1,Q1162&lt;=Settings!$B$36),1,0)</f>
        <v>0</v>
      </c>
    </row>
    <row r="1163" spans="1:24" x14ac:dyDescent="0.2">
      <c r="A1163">
        <f>Arrivals!A1163</f>
        <v>10</v>
      </c>
      <c r="B1163">
        <f>Arrivals!B1163</f>
        <v>78</v>
      </c>
      <c r="C1163" s="6">
        <f>Arrivals!F1163</f>
        <v>539</v>
      </c>
      <c r="D1163" s="6">
        <f>Arrivals!K1163</f>
        <v>300</v>
      </c>
      <c r="E1163" s="6">
        <f>D1163*8/ACE_Input!S83+ACE_Input!T83</f>
        <v>24.02</v>
      </c>
      <c r="F1163" s="6">
        <f t="shared" si="440"/>
        <v>539</v>
      </c>
      <c r="G1163" s="6">
        <f t="shared" si="451"/>
        <v>2280.1</v>
      </c>
      <c r="H1163" s="6">
        <f t="shared" si="441"/>
        <v>2280.1</v>
      </c>
      <c r="I1163" s="6">
        <f>MOD(H1163-Settings!$B$32,Settings!$B$33)</f>
        <v>120.09999999999991</v>
      </c>
      <c r="J1163" s="6">
        <f>IF(I1163&lt;Settings!$B$30,IF(Settings!$B$30-I1163&gt;=E1163,H1163,H1163+(Settings!$B$30-I1163)+Settings!$B$31),H1163+(Settings!$B$33-I1163))</f>
        <v>2280.1</v>
      </c>
      <c r="K1163" s="6">
        <f t="shared" si="442"/>
        <v>2304.12</v>
      </c>
      <c r="L1163" s="6">
        <f t="shared" si="443"/>
        <v>2304.12</v>
      </c>
      <c r="M1163" s="6">
        <f t="shared" si="452"/>
        <v>2281.1371033355499</v>
      </c>
      <c r="N1163" s="6">
        <f t="shared" si="444"/>
        <v>2304.12</v>
      </c>
      <c r="O1163" s="6">
        <f>Arrivals!I1163</f>
        <v>3.1770323284722211</v>
      </c>
      <c r="P1163" s="6">
        <f t="shared" si="445"/>
        <v>2307.2970323284721</v>
      </c>
      <c r="Q1163" s="6">
        <f t="shared" si="446"/>
        <v>1768.2970323284721</v>
      </c>
      <c r="R1163" s="6">
        <f t="shared" si="447"/>
        <v>1741.1</v>
      </c>
      <c r="S1163" s="6">
        <f t="shared" si="448"/>
        <v>0</v>
      </c>
      <c r="T1163" s="6">
        <f t="shared" si="449"/>
        <v>0</v>
      </c>
      <c r="U1163" s="6">
        <f t="shared" si="450"/>
        <v>1741.1</v>
      </c>
      <c r="V1163" s="6" t="str">
        <f>IF(MOD(C1163-Settings!$B$32,Settings!$B$33)&lt;Settings!$B$30,"Up","Down")</f>
        <v>Up</v>
      </c>
      <c r="W1163" s="6">
        <f>IF(OR(E1163&gt;Settings!$B$30,Q1163&gt;Settings!$B$37),0,1)</f>
        <v>0</v>
      </c>
      <c r="X1163" s="6">
        <f>IF(AND(W1163=1,Q1163&lt;=Settings!$B$36),1,0)</f>
        <v>0</v>
      </c>
    </row>
    <row r="1164" spans="1:24" x14ac:dyDescent="0.2">
      <c r="A1164">
        <f>Arrivals!A1164</f>
        <v>10</v>
      </c>
      <c r="B1164">
        <f>Arrivals!B1164</f>
        <v>79</v>
      </c>
      <c r="C1164" s="6">
        <f>Arrivals!F1164</f>
        <v>544</v>
      </c>
      <c r="D1164" s="6">
        <f>Arrivals!K1164</f>
        <v>300</v>
      </c>
      <c r="E1164" s="6">
        <f>D1164*8/ACE_Input!S84+ACE_Input!T84</f>
        <v>24.02</v>
      </c>
      <c r="F1164" s="6">
        <f t="shared" si="440"/>
        <v>544</v>
      </c>
      <c r="G1164" s="6">
        <f t="shared" si="451"/>
        <v>2304.12</v>
      </c>
      <c r="H1164" s="6">
        <f t="shared" si="441"/>
        <v>2304.12</v>
      </c>
      <c r="I1164" s="6">
        <f>MOD(H1164-Settings!$B$32,Settings!$B$33)</f>
        <v>144.11999999999989</v>
      </c>
      <c r="J1164" s="6">
        <f>IF(I1164&lt;Settings!$B$30,IF(Settings!$B$30-I1164&gt;=E1164,H1164,H1164+(Settings!$B$30-I1164)+Settings!$B$31),H1164+(Settings!$B$33-I1164))</f>
        <v>2304.12</v>
      </c>
      <c r="K1164" s="6">
        <f t="shared" si="442"/>
        <v>2328.14</v>
      </c>
      <c r="L1164" s="6">
        <f t="shared" si="443"/>
        <v>2328.14</v>
      </c>
      <c r="M1164" s="6">
        <f t="shared" si="452"/>
        <v>2307.2970323284721</v>
      </c>
      <c r="N1164" s="6">
        <f t="shared" si="444"/>
        <v>2328.14</v>
      </c>
      <c r="O1164" s="6">
        <f>Arrivals!I1164</f>
        <v>4.0993138846623705</v>
      </c>
      <c r="P1164" s="6">
        <f t="shared" si="445"/>
        <v>2332.2393138846624</v>
      </c>
      <c r="Q1164" s="6">
        <f t="shared" si="446"/>
        <v>1788.2393138846624</v>
      </c>
      <c r="R1164" s="6">
        <f t="shared" si="447"/>
        <v>1760.12</v>
      </c>
      <c r="S1164" s="6">
        <f t="shared" si="448"/>
        <v>0</v>
      </c>
      <c r="T1164" s="6">
        <f t="shared" si="449"/>
        <v>0</v>
      </c>
      <c r="U1164" s="6">
        <f t="shared" si="450"/>
        <v>1760.12</v>
      </c>
      <c r="V1164" s="6" t="str">
        <f>IF(MOD(C1164-Settings!$B$32,Settings!$B$33)&lt;Settings!$B$30,"Up","Down")</f>
        <v>Up</v>
      </c>
      <c r="W1164" s="6">
        <f>IF(OR(E1164&gt;Settings!$B$30,Q1164&gt;Settings!$B$37),0,1)</f>
        <v>0</v>
      </c>
      <c r="X1164" s="6">
        <f>IF(AND(W1164=1,Q1164&lt;=Settings!$B$36),1,0)</f>
        <v>0</v>
      </c>
    </row>
    <row r="1165" spans="1:24" x14ac:dyDescent="0.2">
      <c r="A1165">
        <f>Arrivals!A1165</f>
        <v>10</v>
      </c>
      <c r="B1165">
        <f>Arrivals!B1165</f>
        <v>80</v>
      </c>
      <c r="C1165" s="6">
        <f>Arrivals!F1165</f>
        <v>549</v>
      </c>
      <c r="D1165" s="6">
        <f>Arrivals!K1165</f>
        <v>300</v>
      </c>
      <c r="E1165" s="6">
        <f>D1165*8/ACE_Input!S85+ACE_Input!T85</f>
        <v>24.02</v>
      </c>
      <c r="F1165" s="6">
        <f t="shared" si="440"/>
        <v>549</v>
      </c>
      <c r="G1165" s="6">
        <f t="shared" si="451"/>
        <v>2328.14</v>
      </c>
      <c r="H1165" s="6">
        <f t="shared" si="441"/>
        <v>2328.14</v>
      </c>
      <c r="I1165" s="6">
        <f>MOD(H1165-Settings!$B$32,Settings!$B$33)</f>
        <v>168.13999999999987</v>
      </c>
      <c r="J1165" s="6">
        <f>IF(I1165&lt;Settings!$B$30,IF(Settings!$B$30-I1165&gt;=E1165,H1165,H1165+(Settings!$B$30-I1165)+Settings!$B$31),H1165+(Settings!$B$33-I1165))</f>
        <v>2328.14</v>
      </c>
      <c r="K1165" s="6">
        <f t="shared" si="442"/>
        <v>2352.16</v>
      </c>
      <c r="L1165" s="6">
        <f t="shared" si="443"/>
        <v>2352.16</v>
      </c>
      <c r="M1165" s="6">
        <f t="shared" si="452"/>
        <v>2332.2393138846624</v>
      </c>
      <c r="N1165" s="6">
        <f t="shared" si="444"/>
        <v>2352.16</v>
      </c>
      <c r="O1165" s="6">
        <f>Arrivals!I1165</f>
        <v>4.4754421986175874</v>
      </c>
      <c r="P1165" s="6">
        <f t="shared" si="445"/>
        <v>2356.6354421986175</v>
      </c>
      <c r="Q1165" s="6">
        <f t="shared" si="446"/>
        <v>1807.6354421986175</v>
      </c>
      <c r="R1165" s="6">
        <f t="shared" si="447"/>
        <v>1779.1399999999999</v>
      </c>
      <c r="S1165" s="6">
        <f t="shared" si="448"/>
        <v>0</v>
      </c>
      <c r="T1165" s="6">
        <f t="shared" si="449"/>
        <v>0</v>
      </c>
      <c r="U1165" s="6">
        <f t="shared" si="450"/>
        <v>1779.1399999999999</v>
      </c>
      <c r="V1165" s="6" t="str">
        <f>IF(MOD(C1165-Settings!$B$32,Settings!$B$33)&lt;Settings!$B$30,"Up","Down")</f>
        <v>Up</v>
      </c>
      <c r="W1165" s="6">
        <f>IF(OR(E1165&gt;Settings!$B$30,Q1165&gt;Settings!$B$37),0,1)</f>
        <v>0</v>
      </c>
      <c r="X1165" s="6">
        <f>IF(AND(W1165=1,Q1165&lt;=Settings!$B$36),1,0)</f>
        <v>0</v>
      </c>
    </row>
    <row r="1166" spans="1:24" x14ac:dyDescent="0.2">
      <c r="A1166">
        <f>Arrivals!A1166</f>
        <v>10</v>
      </c>
      <c r="B1166">
        <f>Arrivals!B1166</f>
        <v>81</v>
      </c>
      <c r="C1166" s="6">
        <f>Arrivals!F1166</f>
        <v>554</v>
      </c>
      <c r="D1166" s="6">
        <f>Arrivals!K1166</f>
        <v>300</v>
      </c>
      <c r="E1166" s="6">
        <f>D1166*8/ACE_Input!S86+ACE_Input!T86</f>
        <v>24.02</v>
      </c>
      <c r="F1166" s="6">
        <f t="shared" si="440"/>
        <v>554</v>
      </c>
      <c r="G1166" s="6">
        <f t="shared" si="451"/>
        <v>2352.16</v>
      </c>
      <c r="H1166" s="6">
        <f t="shared" si="441"/>
        <v>2352.16</v>
      </c>
      <c r="I1166" s="6">
        <f>MOD(H1166-Settings!$B$32,Settings!$B$33)</f>
        <v>192.15999999999985</v>
      </c>
      <c r="J1166" s="6">
        <f>IF(I1166&lt;Settings!$B$30,IF(Settings!$B$30-I1166&gt;=E1166,H1166,H1166+(Settings!$B$30-I1166)+Settings!$B$31),H1166+(Settings!$B$33-I1166))</f>
        <v>2352.16</v>
      </c>
      <c r="K1166" s="6">
        <f t="shared" si="442"/>
        <v>2376.1799999999998</v>
      </c>
      <c r="L1166" s="6">
        <f t="shared" si="443"/>
        <v>2376.1799999999998</v>
      </c>
      <c r="M1166" s="6">
        <f t="shared" si="452"/>
        <v>2356.6354421986175</v>
      </c>
      <c r="N1166" s="6">
        <f t="shared" si="444"/>
        <v>2376.1799999999998</v>
      </c>
      <c r="O1166" s="6">
        <f>Arrivals!I1166</f>
        <v>13.234145061959257</v>
      </c>
      <c r="P1166" s="6">
        <f t="shared" si="445"/>
        <v>2389.4141450619591</v>
      </c>
      <c r="Q1166" s="6">
        <f t="shared" si="446"/>
        <v>1835.4141450619591</v>
      </c>
      <c r="R1166" s="6">
        <f t="shared" si="447"/>
        <v>1798.1599999999999</v>
      </c>
      <c r="S1166" s="6">
        <f t="shared" si="448"/>
        <v>0</v>
      </c>
      <c r="T1166" s="6">
        <f t="shared" si="449"/>
        <v>0</v>
      </c>
      <c r="U1166" s="6">
        <f t="shared" si="450"/>
        <v>1798.1599999999999</v>
      </c>
      <c r="V1166" s="6" t="str">
        <f>IF(MOD(C1166-Settings!$B$32,Settings!$B$33)&lt;Settings!$B$30,"Up","Down")</f>
        <v>Up</v>
      </c>
      <c r="W1166" s="6">
        <f>IF(OR(E1166&gt;Settings!$B$30,Q1166&gt;Settings!$B$37),0,1)</f>
        <v>0</v>
      </c>
      <c r="X1166" s="6">
        <f>IF(AND(W1166=1,Q1166&lt;=Settings!$B$36),1,0)</f>
        <v>0</v>
      </c>
    </row>
    <row r="1167" spans="1:24" x14ac:dyDescent="0.2">
      <c r="A1167">
        <f>Arrivals!A1167</f>
        <v>10</v>
      </c>
      <c r="B1167">
        <f>Arrivals!B1167</f>
        <v>82</v>
      </c>
      <c r="C1167" s="6">
        <f>Arrivals!F1167</f>
        <v>559</v>
      </c>
      <c r="D1167" s="6">
        <f>Arrivals!K1167</f>
        <v>300</v>
      </c>
      <c r="E1167" s="6">
        <f>D1167*8/ACE_Input!S87+ACE_Input!T87</f>
        <v>24.02</v>
      </c>
      <c r="F1167" s="6">
        <f t="shared" si="440"/>
        <v>559</v>
      </c>
      <c r="G1167" s="6">
        <f t="shared" si="451"/>
        <v>2376.1799999999998</v>
      </c>
      <c r="H1167" s="6">
        <f t="shared" si="441"/>
        <v>2376.1799999999998</v>
      </c>
      <c r="I1167" s="6">
        <f>MOD(H1167-Settings!$B$32,Settings!$B$33)</f>
        <v>216.17999999999984</v>
      </c>
      <c r="J1167" s="6">
        <f>IF(I1167&lt;Settings!$B$30,IF(Settings!$B$30-I1167&gt;=E1167,H1167,H1167+(Settings!$B$30-I1167)+Settings!$B$31),H1167+(Settings!$B$33-I1167))</f>
        <v>2376.1799999999998</v>
      </c>
      <c r="K1167" s="6">
        <f t="shared" si="442"/>
        <v>2400.1999999999998</v>
      </c>
      <c r="L1167" s="6">
        <f t="shared" si="443"/>
        <v>2400.1999999999998</v>
      </c>
      <c r="M1167" s="6">
        <f t="shared" si="452"/>
        <v>2389.4141450619591</v>
      </c>
      <c r="N1167" s="6">
        <f t="shared" si="444"/>
        <v>2400.1999999999998</v>
      </c>
      <c r="O1167" s="6">
        <f>Arrivals!I1167</f>
        <v>1.8715502802237025</v>
      </c>
      <c r="P1167" s="6">
        <f t="shared" si="445"/>
        <v>2402.0715502802236</v>
      </c>
      <c r="Q1167" s="6">
        <f t="shared" si="446"/>
        <v>1843.0715502802236</v>
      </c>
      <c r="R1167" s="6">
        <f t="shared" si="447"/>
        <v>1817.1799999999998</v>
      </c>
      <c r="S1167" s="6">
        <f t="shared" si="448"/>
        <v>0</v>
      </c>
      <c r="T1167" s="6">
        <f t="shared" si="449"/>
        <v>0</v>
      </c>
      <c r="U1167" s="6">
        <f t="shared" si="450"/>
        <v>1817.1799999999998</v>
      </c>
      <c r="V1167" s="6" t="str">
        <f>IF(MOD(C1167-Settings!$B$32,Settings!$B$33)&lt;Settings!$B$30,"Up","Down")</f>
        <v>Up</v>
      </c>
      <c r="W1167" s="6">
        <f>IF(OR(E1167&gt;Settings!$B$30,Q1167&gt;Settings!$B$37),0,1)</f>
        <v>0</v>
      </c>
      <c r="X1167" s="6">
        <f>IF(AND(W1167=1,Q1167&lt;=Settings!$B$36),1,0)</f>
        <v>0</v>
      </c>
    </row>
    <row r="1168" spans="1:24" x14ac:dyDescent="0.2">
      <c r="A1168">
        <f>Arrivals!A1168</f>
        <v>10</v>
      </c>
      <c r="B1168">
        <f>Arrivals!B1168</f>
        <v>83</v>
      </c>
      <c r="C1168" s="6">
        <f>Arrivals!F1168</f>
        <v>564</v>
      </c>
      <c r="D1168" s="6">
        <f>Arrivals!K1168</f>
        <v>300</v>
      </c>
      <c r="E1168" s="6">
        <f>D1168*8/ACE_Input!S88+ACE_Input!T88</f>
        <v>24.02</v>
      </c>
      <c r="F1168" s="6">
        <f t="shared" si="440"/>
        <v>564</v>
      </c>
      <c r="G1168" s="6">
        <f t="shared" si="451"/>
        <v>2400.1999999999998</v>
      </c>
      <c r="H1168" s="6">
        <f t="shared" si="441"/>
        <v>2400.1999999999998</v>
      </c>
      <c r="I1168" s="6">
        <f>MOD(H1168-Settings!$B$32,Settings!$B$33)</f>
        <v>240.19999999999982</v>
      </c>
      <c r="J1168" s="6">
        <f>IF(I1168&lt;Settings!$B$30,IF(Settings!$B$30-I1168&gt;=E1168,H1168,H1168+(Settings!$B$30-I1168)+Settings!$B$31),H1168+(Settings!$B$33-I1168))</f>
        <v>2400.1999999999998</v>
      </c>
      <c r="K1168" s="6">
        <f t="shared" si="442"/>
        <v>2424.2199999999998</v>
      </c>
      <c r="L1168" s="6">
        <f t="shared" si="443"/>
        <v>2424.2199999999998</v>
      </c>
      <c r="M1168" s="6">
        <f t="shared" si="452"/>
        <v>2402.0715502802236</v>
      </c>
      <c r="N1168" s="6">
        <f t="shared" si="444"/>
        <v>2424.2199999999998</v>
      </c>
      <c r="O1168" s="6">
        <f>Arrivals!I1168</f>
        <v>1.870977672652576</v>
      </c>
      <c r="P1168" s="6">
        <f t="shared" si="445"/>
        <v>2426.0909776726526</v>
      </c>
      <c r="Q1168" s="6">
        <f t="shared" si="446"/>
        <v>1862.0909776726526</v>
      </c>
      <c r="R1168" s="6">
        <f t="shared" si="447"/>
        <v>1836.1999999999998</v>
      </c>
      <c r="S1168" s="6">
        <f t="shared" si="448"/>
        <v>0</v>
      </c>
      <c r="T1168" s="6">
        <f t="shared" si="449"/>
        <v>0</v>
      </c>
      <c r="U1168" s="6">
        <f t="shared" si="450"/>
        <v>1836.1999999999998</v>
      </c>
      <c r="V1168" s="6" t="str">
        <f>IF(MOD(C1168-Settings!$B$32,Settings!$B$33)&lt;Settings!$B$30,"Up","Down")</f>
        <v>Up</v>
      </c>
      <c r="W1168" s="6">
        <f>IF(OR(E1168&gt;Settings!$B$30,Q1168&gt;Settings!$B$37),0,1)</f>
        <v>0</v>
      </c>
      <c r="X1168" s="6">
        <f>IF(AND(W1168=1,Q1168&lt;=Settings!$B$36),1,0)</f>
        <v>0</v>
      </c>
    </row>
    <row r="1169" spans="1:24" x14ac:dyDescent="0.2">
      <c r="A1169">
        <f>Arrivals!A1169</f>
        <v>10</v>
      </c>
      <c r="B1169">
        <f>Arrivals!B1169</f>
        <v>84</v>
      </c>
      <c r="C1169" s="6">
        <f>Arrivals!F1169</f>
        <v>569</v>
      </c>
      <c r="D1169" s="6">
        <f>Arrivals!K1169</f>
        <v>300</v>
      </c>
      <c r="E1169" s="6">
        <f>D1169*8/ACE_Input!S89+ACE_Input!T89</f>
        <v>24.02</v>
      </c>
      <c r="F1169" s="6">
        <f t="shared" si="440"/>
        <v>569</v>
      </c>
      <c r="G1169" s="6">
        <f t="shared" si="451"/>
        <v>2424.2199999999998</v>
      </c>
      <c r="H1169" s="6">
        <f t="shared" si="441"/>
        <v>2424.2199999999998</v>
      </c>
      <c r="I1169" s="6">
        <f>MOD(H1169-Settings!$B$32,Settings!$B$33)</f>
        <v>264.2199999999998</v>
      </c>
      <c r="J1169" s="6">
        <f>IF(I1169&lt;Settings!$B$30,IF(Settings!$B$30-I1169&gt;=E1169,H1169,H1169+(Settings!$B$30-I1169)+Settings!$B$31),H1169+(Settings!$B$33-I1169))</f>
        <v>2424.2199999999998</v>
      </c>
      <c r="K1169" s="6">
        <f t="shared" si="442"/>
        <v>2448.2399999999998</v>
      </c>
      <c r="L1169" s="6">
        <f t="shared" si="443"/>
        <v>2448.2399999999998</v>
      </c>
      <c r="M1169" s="6">
        <f t="shared" si="452"/>
        <v>2426.0909776726526</v>
      </c>
      <c r="N1169" s="6">
        <f t="shared" si="444"/>
        <v>2448.2399999999998</v>
      </c>
      <c r="O1169" s="6">
        <f>Arrivals!I1169</f>
        <v>8.0567742213710947</v>
      </c>
      <c r="P1169" s="6">
        <f t="shared" si="445"/>
        <v>2456.2967742213709</v>
      </c>
      <c r="Q1169" s="6">
        <f t="shared" si="446"/>
        <v>1887.2967742213709</v>
      </c>
      <c r="R1169" s="6">
        <f t="shared" si="447"/>
        <v>1855.2199999999998</v>
      </c>
      <c r="S1169" s="6">
        <f t="shared" si="448"/>
        <v>0</v>
      </c>
      <c r="T1169" s="6">
        <f t="shared" si="449"/>
        <v>0</v>
      </c>
      <c r="U1169" s="6">
        <f t="shared" si="450"/>
        <v>1855.2199999999998</v>
      </c>
      <c r="V1169" s="6" t="str">
        <f>IF(MOD(C1169-Settings!$B$32,Settings!$B$33)&lt;Settings!$B$30,"Up","Down")</f>
        <v>Up</v>
      </c>
      <c r="W1169" s="6">
        <f>IF(OR(E1169&gt;Settings!$B$30,Q1169&gt;Settings!$B$37),0,1)</f>
        <v>0</v>
      </c>
      <c r="X1169" s="6">
        <f>IF(AND(W1169=1,Q1169&lt;=Settings!$B$36),1,0)</f>
        <v>0</v>
      </c>
    </row>
    <row r="1170" spans="1:24" x14ac:dyDescent="0.2">
      <c r="A1170">
        <f>Arrivals!A1170</f>
        <v>10</v>
      </c>
      <c r="B1170">
        <f>Arrivals!B1170</f>
        <v>85</v>
      </c>
      <c r="C1170" s="6">
        <f>Arrivals!F1170</f>
        <v>574</v>
      </c>
      <c r="D1170" s="6">
        <f>Arrivals!K1170</f>
        <v>300</v>
      </c>
      <c r="E1170" s="6">
        <f>D1170*8/ACE_Input!S90+ACE_Input!T90</f>
        <v>24.02</v>
      </c>
      <c r="F1170" s="6">
        <f t="shared" si="440"/>
        <v>574</v>
      </c>
      <c r="G1170" s="6">
        <f t="shared" si="451"/>
        <v>2448.2399999999998</v>
      </c>
      <c r="H1170" s="6">
        <f t="shared" si="441"/>
        <v>2448.2399999999998</v>
      </c>
      <c r="I1170" s="6">
        <f>MOD(H1170-Settings!$B$32,Settings!$B$33)</f>
        <v>288.23999999999978</v>
      </c>
      <c r="J1170" s="6">
        <f>IF(I1170&lt;Settings!$B$30,IF(Settings!$B$30-I1170&gt;=E1170,H1170,H1170+(Settings!$B$30-I1170)+Settings!$B$31),H1170+(Settings!$B$33-I1170))</f>
        <v>2448.2399999999998</v>
      </c>
      <c r="K1170" s="6">
        <f t="shared" si="442"/>
        <v>2472.2599999999998</v>
      </c>
      <c r="L1170" s="6">
        <f t="shared" si="443"/>
        <v>2472.2599999999998</v>
      </c>
      <c r="M1170" s="6">
        <f t="shared" si="452"/>
        <v>2456.2967742213709</v>
      </c>
      <c r="N1170" s="6">
        <f t="shared" si="444"/>
        <v>2472.2599999999998</v>
      </c>
      <c r="O1170" s="6">
        <f>Arrivals!I1170</f>
        <v>2.5868741988383488</v>
      </c>
      <c r="P1170" s="6">
        <f t="shared" si="445"/>
        <v>2474.8468741988381</v>
      </c>
      <c r="Q1170" s="6">
        <f t="shared" si="446"/>
        <v>1900.8468741988381</v>
      </c>
      <c r="R1170" s="6">
        <f t="shared" si="447"/>
        <v>1874.2399999999998</v>
      </c>
      <c r="S1170" s="6">
        <f t="shared" si="448"/>
        <v>0</v>
      </c>
      <c r="T1170" s="6">
        <f t="shared" si="449"/>
        <v>0</v>
      </c>
      <c r="U1170" s="6">
        <f t="shared" si="450"/>
        <v>1874.2399999999998</v>
      </c>
      <c r="V1170" s="6" t="str">
        <f>IF(MOD(C1170-Settings!$B$32,Settings!$B$33)&lt;Settings!$B$30,"Up","Down")</f>
        <v>Up</v>
      </c>
      <c r="W1170" s="6">
        <f>IF(OR(E1170&gt;Settings!$B$30,Q1170&gt;Settings!$B$37),0,1)</f>
        <v>0</v>
      </c>
      <c r="X1170" s="6">
        <f>IF(AND(W1170=1,Q1170&lt;=Settings!$B$36),1,0)</f>
        <v>0</v>
      </c>
    </row>
    <row r="1171" spans="1:24" x14ac:dyDescent="0.2">
      <c r="A1171">
        <f>Arrivals!A1171</f>
        <v>10</v>
      </c>
      <c r="B1171">
        <f>Arrivals!B1171</f>
        <v>86</v>
      </c>
      <c r="C1171" s="6">
        <f>Arrivals!F1171</f>
        <v>579</v>
      </c>
      <c r="D1171" s="6">
        <f>Arrivals!K1171</f>
        <v>300</v>
      </c>
      <c r="E1171" s="6">
        <f>D1171*8/ACE_Input!S91+ACE_Input!T91</f>
        <v>24.02</v>
      </c>
      <c r="F1171" s="6">
        <f t="shared" si="440"/>
        <v>579</v>
      </c>
      <c r="G1171" s="6">
        <f t="shared" si="451"/>
        <v>2472.2599999999998</v>
      </c>
      <c r="H1171" s="6">
        <f t="shared" si="441"/>
        <v>2472.2599999999998</v>
      </c>
      <c r="I1171" s="6">
        <f>MOD(H1171-Settings!$B$32,Settings!$B$33)</f>
        <v>312.25999999999976</v>
      </c>
      <c r="J1171" s="6">
        <f>IF(I1171&lt;Settings!$B$30,IF(Settings!$B$30-I1171&gt;=E1171,H1171,H1171+(Settings!$B$30-I1171)+Settings!$B$31),H1171+(Settings!$B$33-I1171))</f>
        <v>2472.2599999999998</v>
      </c>
      <c r="K1171" s="6">
        <f t="shared" si="442"/>
        <v>2496.2799999999997</v>
      </c>
      <c r="L1171" s="6">
        <f t="shared" si="443"/>
        <v>2496.2799999999997</v>
      </c>
      <c r="M1171" s="6">
        <f t="shared" si="452"/>
        <v>2474.8468741988381</v>
      </c>
      <c r="N1171" s="6">
        <f t="shared" si="444"/>
        <v>2496.2799999999997</v>
      </c>
      <c r="O1171" s="6">
        <f>Arrivals!I1171</f>
        <v>0.59315444008642548</v>
      </c>
      <c r="P1171" s="6">
        <f t="shared" si="445"/>
        <v>2496.8731544400862</v>
      </c>
      <c r="Q1171" s="6">
        <f t="shared" si="446"/>
        <v>1917.8731544400862</v>
      </c>
      <c r="R1171" s="6">
        <f t="shared" si="447"/>
        <v>1893.2599999999998</v>
      </c>
      <c r="S1171" s="6">
        <f t="shared" si="448"/>
        <v>0</v>
      </c>
      <c r="T1171" s="6">
        <f t="shared" si="449"/>
        <v>0</v>
      </c>
      <c r="U1171" s="6">
        <f t="shared" si="450"/>
        <v>1893.2599999999998</v>
      </c>
      <c r="V1171" s="6" t="str">
        <f>IF(MOD(C1171-Settings!$B$32,Settings!$B$33)&lt;Settings!$B$30,"Up","Down")</f>
        <v>Up</v>
      </c>
      <c r="W1171" s="6">
        <f>IF(OR(E1171&gt;Settings!$B$30,Q1171&gt;Settings!$B$37),0,1)</f>
        <v>0</v>
      </c>
      <c r="X1171" s="6">
        <f>IF(AND(W1171=1,Q1171&lt;=Settings!$B$36),1,0)</f>
        <v>0</v>
      </c>
    </row>
    <row r="1172" spans="1:24" x14ac:dyDescent="0.2">
      <c r="A1172">
        <f>Arrivals!A1172</f>
        <v>10</v>
      </c>
      <c r="B1172">
        <f>Arrivals!B1172</f>
        <v>87</v>
      </c>
      <c r="C1172" s="6">
        <f>Arrivals!F1172</f>
        <v>584</v>
      </c>
      <c r="D1172" s="6">
        <f>Arrivals!K1172</f>
        <v>300</v>
      </c>
      <c r="E1172" s="6">
        <f>D1172*8/ACE_Input!S92+ACE_Input!T92</f>
        <v>24.02</v>
      </c>
      <c r="F1172" s="6">
        <f t="shared" si="440"/>
        <v>584</v>
      </c>
      <c r="G1172" s="6">
        <f t="shared" si="451"/>
        <v>2496.2799999999997</v>
      </c>
      <c r="H1172" s="6">
        <f t="shared" si="441"/>
        <v>2496.2799999999997</v>
      </c>
      <c r="I1172" s="6">
        <f>MOD(H1172-Settings!$B$32,Settings!$B$33)</f>
        <v>336.27999999999975</v>
      </c>
      <c r="J1172" s="6">
        <f>IF(I1172&lt;Settings!$B$30,IF(Settings!$B$30-I1172&gt;=E1172,H1172,H1172+(Settings!$B$30-I1172)+Settings!$B$31),H1172+(Settings!$B$33-I1172))</f>
        <v>2496.2799999999997</v>
      </c>
      <c r="K1172" s="6">
        <f t="shared" si="442"/>
        <v>2520.2999999999997</v>
      </c>
      <c r="L1172" s="6">
        <f t="shared" si="443"/>
        <v>2520.2999999999997</v>
      </c>
      <c r="M1172" s="6">
        <f t="shared" si="452"/>
        <v>2496.8731544400862</v>
      </c>
      <c r="N1172" s="6">
        <f t="shared" si="444"/>
        <v>2520.2999999999997</v>
      </c>
      <c r="O1172" s="6">
        <f>Arrivals!I1172</f>
        <v>1.4439661521887002</v>
      </c>
      <c r="P1172" s="6">
        <f t="shared" si="445"/>
        <v>2521.7439661521885</v>
      </c>
      <c r="Q1172" s="6">
        <f t="shared" si="446"/>
        <v>1937.7439661521885</v>
      </c>
      <c r="R1172" s="6">
        <f t="shared" si="447"/>
        <v>1912.2799999999997</v>
      </c>
      <c r="S1172" s="6">
        <f t="shared" si="448"/>
        <v>0</v>
      </c>
      <c r="T1172" s="6">
        <f t="shared" si="449"/>
        <v>0</v>
      </c>
      <c r="U1172" s="6">
        <f t="shared" si="450"/>
        <v>1912.2799999999997</v>
      </c>
      <c r="V1172" s="6" t="str">
        <f>IF(MOD(C1172-Settings!$B$32,Settings!$B$33)&lt;Settings!$B$30,"Up","Down")</f>
        <v>Up</v>
      </c>
      <c r="W1172" s="6">
        <f>IF(OR(E1172&gt;Settings!$B$30,Q1172&gt;Settings!$B$37),0,1)</f>
        <v>0</v>
      </c>
      <c r="X1172" s="6">
        <f>IF(AND(W1172=1,Q1172&lt;=Settings!$B$36),1,0)</f>
        <v>0</v>
      </c>
    </row>
    <row r="1173" spans="1:24" x14ac:dyDescent="0.2">
      <c r="A1173">
        <f>Arrivals!A1173</f>
        <v>10</v>
      </c>
      <c r="B1173">
        <f>Arrivals!B1173</f>
        <v>88</v>
      </c>
      <c r="C1173" s="6">
        <f>Arrivals!F1173</f>
        <v>589</v>
      </c>
      <c r="D1173" s="6">
        <f>Arrivals!K1173</f>
        <v>300</v>
      </c>
      <c r="E1173" s="6">
        <f>D1173*8/ACE_Input!S93+ACE_Input!T93</f>
        <v>24.02</v>
      </c>
      <c r="F1173" s="6">
        <f t="shared" si="440"/>
        <v>589</v>
      </c>
      <c r="G1173" s="6">
        <f t="shared" si="451"/>
        <v>2520.2999999999997</v>
      </c>
      <c r="H1173" s="6">
        <f t="shared" si="441"/>
        <v>2520.2999999999997</v>
      </c>
      <c r="I1173" s="6">
        <f>MOD(H1173-Settings!$B$32,Settings!$B$33)</f>
        <v>360.29999999999973</v>
      </c>
      <c r="J1173" s="6">
        <f>IF(I1173&lt;Settings!$B$30,IF(Settings!$B$30-I1173&gt;=E1173,H1173,H1173+(Settings!$B$30-I1173)+Settings!$B$31),H1173+(Settings!$B$33-I1173))</f>
        <v>2520.2999999999997</v>
      </c>
      <c r="K1173" s="6">
        <f t="shared" si="442"/>
        <v>2544.3199999999997</v>
      </c>
      <c r="L1173" s="6">
        <f t="shared" si="443"/>
        <v>2544.3199999999997</v>
      </c>
      <c r="M1173" s="6">
        <f t="shared" si="452"/>
        <v>2521.7439661521885</v>
      </c>
      <c r="N1173" s="6">
        <f t="shared" si="444"/>
        <v>2544.3199999999997</v>
      </c>
      <c r="O1173" s="6">
        <f>Arrivals!I1173</f>
        <v>5.9639175940506775</v>
      </c>
      <c r="P1173" s="6">
        <f t="shared" si="445"/>
        <v>2550.2839175940503</v>
      </c>
      <c r="Q1173" s="6">
        <f t="shared" si="446"/>
        <v>1961.2839175940503</v>
      </c>
      <c r="R1173" s="6">
        <f t="shared" si="447"/>
        <v>1931.2999999999997</v>
      </c>
      <c r="S1173" s="6">
        <f t="shared" si="448"/>
        <v>0</v>
      </c>
      <c r="T1173" s="6">
        <f t="shared" si="449"/>
        <v>0</v>
      </c>
      <c r="U1173" s="6">
        <f t="shared" si="450"/>
        <v>1931.2999999999997</v>
      </c>
      <c r="V1173" s="6" t="str">
        <f>IF(MOD(C1173-Settings!$B$32,Settings!$B$33)&lt;Settings!$B$30,"Up","Down")</f>
        <v>Up</v>
      </c>
      <c r="W1173" s="6">
        <f>IF(OR(E1173&gt;Settings!$B$30,Q1173&gt;Settings!$B$37),0,1)</f>
        <v>0</v>
      </c>
      <c r="X1173" s="6">
        <f>IF(AND(W1173=1,Q1173&lt;=Settings!$B$36),1,0)</f>
        <v>0</v>
      </c>
    </row>
    <row r="1174" spans="1:24" x14ac:dyDescent="0.2">
      <c r="A1174">
        <f>Arrivals!A1174</f>
        <v>10</v>
      </c>
      <c r="B1174">
        <f>Arrivals!B1174</f>
        <v>89</v>
      </c>
      <c r="C1174" s="6">
        <f>Arrivals!F1174</f>
        <v>594</v>
      </c>
      <c r="D1174" s="6">
        <f>Arrivals!K1174</f>
        <v>300</v>
      </c>
      <c r="E1174" s="6">
        <f>D1174*8/ACE_Input!S94+ACE_Input!T94</f>
        <v>24.02</v>
      </c>
      <c r="F1174" s="6">
        <f t="shared" si="440"/>
        <v>594</v>
      </c>
      <c r="G1174" s="6">
        <f t="shared" si="451"/>
        <v>2544.3199999999997</v>
      </c>
      <c r="H1174" s="6">
        <f t="shared" si="441"/>
        <v>2544.3199999999997</v>
      </c>
      <c r="I1174" s="6">
        <f>MOD(H1174-Settings!$B$32,Settings!$B$33)</f>
        <v>384.31999999999971</v>
      </c>
      <c r="J1174" s="6">
        <f>IF(I1174&lt;Settings!$B$30,IF(Settings!$B$30-I1174&gt;=E1174,H1174,H1174+(Settings!$B$30-I1174)+Settings!$B$31),H1174+(Settings!$B$33-I1174))</f>
        <v>2544.3199999999997</v>
      </c>
      <c r="K1174" s="6">
        <f t="shared" si="442"/>
        <v>2568.3399999999997</v>
      </c>
      <c r="L1174" s="6">
        <f t="shared" si="443"/>
        <v>2568.3399999999997</v>
      </c>
      <c r="M1174" s="6">
        <f t="shared" si="452"/>
        <v>2550.2839175940503</v>
      </c>
      <c r="N1174" s="6">
        <f t="shared" si="444"/>
        <v>2568.3399999999997</v>
      </c>
      <c r="O1174" s="6">
        <f>Arrivals!I1174</f>
        <v>8.153670568154979</v>
      </c>
      <c r="P1174" s="6">
        <f t="shared" si="445"/>
        <v>2576.4936705681548</v>
      </c>
      <c r="Q1174" s="6">
        <f t="shared" si="446"/>
        <v>1982.4936705681548</v>
      </c>
      <c r="R1174" s="6">
        <f t="shared" si="447"/>
        <v>1950.3199999999997</v>
      </c>
      <c r="S1174" s="6">
        <f t="shared" si="448"/>
        <v>0</v>
      </c>
      <c r="T1174" s="6">
        <f t="shared" si="449"/>
        <v>0</v>
      </c>
      <c r="U1174" s="6">
        <f t="shared" si="450"/>
        <v>1950.3199999999997</v>
      </c>
      <c r="V1174" s="6" t="str">
        <f>IF(MOD(C1174-Settings!$B$32,Settings!$B$33)&lt;Settings!$B$30,"Up","Down")</f>
        <v>Up</v>
      </c>
      <c r="W1174" s="6">
        <f>IF(OR(E1174&gt;Settings!$B$30,Q1174&gt;Settings!$B$37),0,1)</f>
        <v>0</v>
      </c>
      <c r="X1174" s="6">
        <f>IF(AND(W1174=1,Q1174&lt;=Settings!$B$36),1,0)</f>
        <v>0</v>
      </c>
    </row>
    <row r="1175" spans="1:24" x14ac:dyDescent="0.2">
      <c r="A1175">
        <f>Arrivals!A1175</f>
        <v>10</v>
      </c>
      <c r="B1175">
        <f>Arrivals!B1175</f>
        <v>90</v>
      </c>
      <c r="C1175" s="6">
        <f>Arrivals!F1175</f>
        <v>599</v>
      </c>
      <c r="D1175" s="6">
        <f>Arrivals!K1175</f>
        <v>300</v>
      </c>
      <c r="E1175" s="6">
        <f>D1175*8/ACE_Input!S95+ACE_Input!T95</f>
        <v>24.02</v>
      </c>
      <c r="F1175" s="6">
        <f t="shared" si="440"/>
        <v>599</v>
      </c>
      <c r="G1175" s="6">
        <f t="shared" si="451"/>
        <v>2568.3399999999997</v>
      </c>
      <c r="H1175" s="6">
        <f t="shared" si="441"/>
        <v>2568.3399999999997</v>
      </c>
      <c r="I1175" s="6">
        <f>MOD(H1175-Settings!$B$32,Settings!$B$33)</f>
        <v>408.33999999999969</v>
      </c>
      <c r="J1175" s="6">
        <f>IF(I1175&lt;Settings!$B$30,IF(Settings!$B$30-I1175&gt;=E1175,H1175,H1175+(Settings!$B$30-I1175)+Settings!$B$31),H1175+(Settings!$B$33-I1175))</f>
        <v>2568.3399999999997</v>
      </c>
      <c r="K1175" s="6">
        <f t="shared" si="442"/>
        <v>2592.3599999999997</v>
      </c>
      <c r="L1175" s="6">
        <f t="shared" si="443"/>
        <v>2592.3599999999997</v>
      </c>
      <c r="M1175" s="6">
        <f t="shared" si="452"/>
        <v>2576.4936705681548</v>
      </c>
      <c r="N1175" s="6">
        <f t="shared" si="444"/>
        <v>2592.3599999999997</v>
      </c>
      <c r="O1175" s="6">
        <f>Arrivals!I1175</f>
        <v>0.63432126736272176</v>
      </c>
      <c r="P1175" s="6">
        <f t="shared" si="445"/>
        <v>2592.9943212673625</v>
      </c>
      <c r="Q1175" s="6">
        <f t="shared" si="446"/>
        <v>1993.9943212673625</v>
      </c>
      <c r="R1175" s="6">
        <f t="shared" si="447"/>
        <v>1969.3399999999997</v>
      </c>
      <c r="S1175" s="6">
        <f t="shared" si="448"/>
        <v>0</v>
      </c>
      <c r="T1175" s="6">
        <f t="shared" si="449"/>
        <v>0</v>
      </c>
      <c r="U1175" s="6">
        <f t="shared" si="450"/>
        <v>1969.3399999999997</v>
      </c>
      <c r="V1175" s="6" t="str">
        <f>IF(MOD(C1175-Settings!$B$32,Settings!$B$33)&lt;Settings!$B$30,"Up","Down")</f>
        <v>Up</v>
      </c>
      <c r="W1175" s="6">
        <f>IF(OR(E1175&gt;Settings!$B$30,Q1175&gt;Settings!$B$37),0,1)</f>
        <v>0</v>
      </c>
      <c r="X1175" s="6">
        <f>IF(AND(W1175=1,Q1175&lt;=Settings!$B$36),1,0)</f>
        <v>0</v>
      </c>
    </row>
    <row r="1176" spans="1:24" x14ac:dyDescent="0.2">
      <c r="A1176">
        <f>Arrivals!A1176</f>
        <v>10</v>
      </c>
      <c r="B1176">
        <f>Arrivals!B1176</f>
        <v>91</v>
      </c>
      <c r="C1176" s="6">
        <f>Arrivals!F1176</f>
        <v>604</v>
      </c>
      <c r="D1176" s="6">
        <f>Arrivals!K1176</f>
        <v>300</v>
      </c>
      <c r="E1176" s="6">
        <f>D1176*8/ACE_Input!S96+ACE_Input!T96</f>
        <v>24.02</v>
      </c>
      <c r="F1176" s="6">
        <f t="shared" si="440"/>
        <v>604</v>
      </c>
      <c r="G1176" s="6">
        <f t="shared" si="451"/>
        <v>2592.3599999999997</v>
      </c>
      <c r="H1176" s="6">
        <f t="shared" si="441"/>
        <v>2592.3599999999997</v>
      </c>
      <c r="I1176" s="6">
        <f>MOD(H1176-Settings!$B$32,Settings!$B$33)</f>
        <v>432.35999999999967</v>
      </c>
      <c r="J1176" s="6">
        <f>IF(I1176&lt;Settings!$B$30,IF(Settings!$B$30-I1176&gt;=E1176,H1176,H1176+(Settings!$B$30-I1176)+Settings!$B$31),H1176+(Settings!$B$33-I1176))</f>
        <v>2592.3599999999997</v>
      </c>
      <c r="K1176" s="6">
        <f t="shared" si="442"/>
        <v>2616.3799999999997</v>
      </c>
      <c r="L1176" s="6">
        <f t="shared" si="443"/>
        <v>2616.3799999999997</v>
      </c>
      <c r="M1176" s="6">
        <f t="shared" si="452"/>
        <v>2592.9943212673625</v>
      </c>
      <c r="N1176" s="6">
        <f t="shared" si="444"/>
        <v>2616.3799999999997</v>
      </c>
      <c r="O1176" s="6">
        <f>Arrivals!I1176</f>
        <v>4.4617027602459443</v>
      </c>
      <c r="P1176" s="6">
        <f t="shared" si="445"/>
        <v>2620.8417027602454</v>
      </c>
      <c r="Q1176" s="6">
        <f t="shared" si="446"/>
        <v>2016.8417027602454</v>
      </c>
      <c r="R1176" s="6">
        <f t="shared" si="447"/>
        <v>1988.3599999999997</v>
      </c>
      <c r="S1176" s="6">
        <f t="shared" si="448"/>
        <v>0</v>
      </c>
      <c r="T1176" s="6">
        <f t="shared" si="449"/>
        <v>0</v>
      </c>
      <c r="U1176" s="6">
        <f t="shared" si="450"/>
        <v>1988.3599999999997</v>
      </c>
      <c r="V1176" s="6" t="str">
        <f>IF(MOD(C1176-Settings!$B$32,Settings!$B$33)&lt;Settings!$B$30,"Up","Down")</f>
        <v>Down</v>
      </c>
      <c r="W1176" s="6">
        <f>IF(OR(E1176&gt;Settings!$B$30,Q1176&gt;Settings!$B$37),0,1)</f>
        <v>0</v>
      </c>
      <c r="X1176" s="6">
        <f>IF(AND(W1176=1,Q1176&lt;=Settings!$B$36),1,0)</f>
        <v>0</v>
      </c>
    </row>
    <row r="1177" spans="1:24" x14ac:dyDescent="0.2">
      <c r="A1177">
        <f>Arrivals!A1177</f>
        <v>10</v>
      </c>
      <c r="B1177">
        <f>Arrivals!B1177</f>
        <v>92</v>
      </c>
      <c r="C1177" s="6">
        <f>Arrivals!F1177</f>
        <v>609</v>
      </c>
      <c r="D1177" s="6">
        <f>Arrivals!K1177</f>
        <v>300</v>
      </c>
      <c r="E1177" s="6">
        <f>D1177*8/ACE_Input!S97+ACE_Input!T97</f>
        <v>24.02</v>
      </c>
      <c r="F1177" s="6">
        <f t="shared" si="440"/>
        <v>609</v>
      </c>
      <c r="G1177" s="6">
        <f t="shared" si="451"/>
        <v>2616.3799999999997</v>
      </c>
      <c r="H1177" s="6">
        <f t="shared" si="441"/>
        <v>2616.3799999999997</v>
      </c>
      <c r="I1177" s="6">
        <f>MOD(H1177-Settings!$B$32,Settings!$B$33)</f>
        <v>456.37999999999965</v>
      </c>
      <c r="J1177" s="6">
        <f>IF(I1177&lt;Settings!$B$30,IF(Settings!$B$30-I1177&gt;=E1177,H1177,H1177+(Settings!$B$30-I1177)+Settings!$B$31),H1177+(Settings!$B$33-I1177))</f>
        <v>2616.3799999999997</v>
      </c>
      <c r="K1177" s="6">
        <f t="shared" si="442"/>
        <v>2640.3999999999996</v>
      </c>
      <c r="L1177" s="6">
        <f t="shared" si="443"/>
        <v>2640.3999999999996</v>
      </c>
      <c r="M1177" s="6">
        <f t="shared" si="452"/>
        <v>2620.8417027602454</v>
      </c>
      <c r="N1177" s="6">
        <f t="shared" si="444"/>
        <v>2640.3999999999996</v>
      </c>
      <c r="O1177" s="6">
        <f>Arrivals!I1177</f>
        <v>0.30537359779513412</v>
      </c>
      <c r="P1177" s="6">
        <f t="shared" si="445"/>
        <v>2640.7053735977947</v>
      </c>
      <c r="Q1177" s="6">
        <f t="shared" si="446"/>
        <v>2031.7053735977947</v>
      </c>
      <c r="R1177" s="6">
        <f t="shared" si="447"/>
        <v>2007.3799999999997</v>
      </c>
      <c r="S1177" s="6">
        <f t="shared" si="448"/>
        <v>0</v>
      </c>
      <c r="T1177" s="6">
        <f t="shared" si="449"/>
        <v>0</v>
      </c>
      <c r="U1177" s="6">
        <f t="shared" si="450"/>
        <v>2007.3799999999997</v>
      </c>
      <c r="V1177" s="6" t="str">
        <f>IF(MOD(C1177-Settings!$B$32,Settings!$B$33)&lt;Settings!$B$30,"Up","Down")</f>
        <v>Down</v>
      </c>
      <c r="W1177" s="6">
        <f>IF(OR(E1177&gt;Settings!$B$30,Q1177&gt;Settings!$B$37),0,1)</f>
        <v>0</v>
      </c>
      <c r="X1177" s="6">
        <f>IF(AND(W1177=1,Q1177&lt;=Settings!$B$36),1,0)</f>
        <v>0</v>
      </c>
    </row>
    <row r="1178" spans="1:24" x14ac:dyDescent="0.2">
      <c r="A1178">
        <f>Arrivals!A1178</f>
        <v>10</v>
      </c>
      <c r="B1178">
        <f>Arrivals!B1178</f>
        <v>93</v>
      </c>
      <c r="C1178" s="6">
        <f>Arrivals!F1178</f>
        <v>614</v>
      </c>
      <c r="D1178" s="6">
        <f>Arrivals!K1178</f>
        <v>300</v>
      </c>
      <c r="E1178" s="6">
        <f>D1178*8/ACE_Input!S98+ACE_Input!T98</f>
        <v>24.02</v>
      </c>
      <c r="F1178" s="6">
        <f t="shared" si="440"/>
        <v>614</v>
      </c>
      <c r="G1178" s="6">
        <f t="shared" si="451"/>
        <v>2640.3999999999996</v>
      </c>
      <c r="H1178" s="6">
        <f t="shared" si="441"/>
        <v>2640.3999999999996</v>
      </c>
      <c r="I1178" s="6">
        <f>MOD(H1178-Settings!$B$32,Settings!$B$33)</f>
        <v>480.39999999999964</v>
      </c>
      <c r="J1178" s="6">
        <f>IF(I1178&lt;Settings!$B$30,IF(Settings!$B$30-I1178&gt;=E1178,H1178,H1178+(Settings!$B$30-I1178)+Settings!$B$31),H1178+(Settings!$B$33-I1178))</f>
        <v>2640.3999999999996</v>
      </c>
      <c r="K1178" s="6">
        <f t="shared" si="442"/>
        <v>2664.4199999999996</v>
      </c>
      <c r="L1178" s="6">
        <f t="shared" si="443"/>
        <v>2664.4199999999996</v>
      </c>
      <c r="M1178" s="6">
        <f t="shared" si="452"/>
        <v>2640.7053735977947</v>
      </c>
      <c r="N1178" s="6">
        <f t="shared" si="444"/>
        <v>2664.4199999999996</v>
      </c>
      <c r="O1178" s="6">
        <f>Arrivals!I1178</f>
        <v>1.7122616779241027</v>
      </c>
      <c r="P1178" s="6">
        <f t="shared" si="445"/>
        <v>2666.1322616779239</v>
      </c>
      <c r="Q1178" s="6">
        <f t="shared" si="446"/>
        <v>2052.1322616779239</v>
      </c>
      <c r="R1178" s="6">
        <f t="shared" si="447"/>
        <v>2026.3999999999996</v>
      </c>
      <c r="S1178" s="6">
        <f t="shared" si="448"/>
        <v>0</v>
      </c>
      <c r="T1178" s="6">
        <f t="shared" si="449"/>
        <v>0</v>
      </c>
      <c r="U1178" s="6">
        <f t="shared" si="450"/>
        <v>2026.3999999999996</v>
      </c>
      <c r="V1178" s="6" t="str">
        <f>IF(MOD(C1178-Settings!$B$32,Settings!$B$33)&lt;Settings!$B$30,"Up","Down")</f>
        <v>Down</v>
      </c>
      <c r="W1178" s="6">
        <f>IF(OR(E1178&gt;Settings!$B$30,Q1178&gt;Settings!$B$37),0,1)</f>
        <v>0</v>
      </c>
      <c r="X1178" s="6">
        <f>IF(AND(W1178=1,Q1178&lt;=Settings!$B$36),1,0)</f>
        <v>0</v>
      </c>
    </row>
    <row r="1179" spans="1:24" x14ac:dyDescent="0.2">
      <c r="A1179">
        <f>Arrivals!A1179</f>
        <v>10</v>
      </c>
      <c r="B1179">
        <f>Arrivals!B1179</f>
        <v>94</v>
      </c>
      <c r="C1179" s="6">
        <f>Arrivals!F1179</f>
        <v>619</v>
      </c>
      <c r="D1179" s="6">
        <f>Arrivals!K1179</f>
        <v>300</v>
      </c>
      <c r="E1179" s="6">
        <f>D1179*8/ACE_Input!S99+ACE_Input!T99</f>
        <v>24.02</v>
      </c>
      <c r="F1179" s="6">
        <f t="shared" si="440"/>
        <v>619</v>
      </c>
      <c r="G1179" s="6">
        <f t="shared" si="451"/>
        <v>2664.4199999999996</v>
      </c>
      <c r="H1179" s="6">
        <f t="shared" si="441"/>
        <v>2664.4199999999996</v>
      </c>
      <c r="I1179" s="6">
        <f>MOD(H1179-Settings!$B$32,Settings!$B$33)</f>
        <v>504.41999999999962</v>
      </c>
      <c r="J1179" s="6">
        <f>IF(I1179&lt;Settings!$B$30,IF(Settings!$B$30-I1179&gt;=E1179,H1179,H1179+(Settings!$B$30-I1179)+Settings!$B$31),H1179+(Settings!$B$33-I1179))</f>
        <v>2664.4199999999996</v>
      </c>
      <c r="K1179" s="6">
        <f t="shared" si="442"/>
        <v>2688.4399999999996</v>
      </c>
      <c r="L1179" s="6">
        <f t="shared" si="443"/>
        <v>2688.4399999999996</v>
      </c>
      <c r="M1179" s="6">
        <f t="shared" si="452"/>
        <v>2666.1322616779239</v>
      </c>
      <c r="N1179" s="6">
        <f t="shared" si="444"/>
        <v>2688.4399999999996</v>
      </c>
      <c r="O1179" s="6">
        <f>Arrivals!I1179</f>
        <v>5.1233878582801751</v>
      </c>
      <c r="P1179" s="6">
        <f t="shared" si="445"/>
        <v>2693.5633878582798</v>
      </c>
      <c r="Q1179" s="6">
        <f t="shared" si="446"/>
        <v>2074.5633878582798</v>
      </c>
      <c r="R1179" s="6">
        <f t="shared" si="447"/>
        <v>2045.4199999999996</v>
      </c>
      <c r="S1179" s="6">
        <f t="shared" si="448"/>
        <v>0</v>
      </c>
      <c r="T1179" s="6">
        <f t="shared" si="449"/>
        <v>0</v>
      </c>
      <c r="U1179" s="6">
        <f t="shared" si="450"/>
        <v>2045.4199999999996</v>
      </c>
      <c r="V1179" s="6" t="str">
        <f>IF(MOD(C1179-Settings!$B$32,Settings!$B$33)&lt;Settings!$B$30,"Up","Down")</f>
        <v>Down</v>
      </c>
      <c r="W1179" s="6">
        <f>IF(OR(E1179&gt;Settings!$B$30,Q1179&gt;Settings!$B$37),0,1)</f>
        <v>0</v>
      </c>
      <c r="X1179" s="6">
        <f>IF(AND(W1179=1,Q1179&lt;=Settings!$B$36),1,0)</f>
        <v>0</v>
      </c>
    </row>
    <row r="1180" spans="1:24" x14ac:dyDescent="0.2">
      <c r="A1180">
        <f>Arrivals!A1180</f>
        <v>10</v>
      </c>
      <c r="B1180">
        <f>Arrivals!B1180</f>
        <v>95</v>
      </c>
      <c r="C1180" s="6">
        <f>Arrivals!F1180</f>
        <v>624</v>
      </c>
      <c r="D1180" s="6">
        <f>Arrivals!K1180</f>
        <v>300</v>
      </c>
      <c r="E1180" s="6">
        <f>D1180*8/ACE_Input!S100+ACE_Input!T100</f>
        <v>24.02</v>
      </c>
      <c r="F1180" s="6">
        <f t="shared" si="440"/>
        <v>624</v>
      </c>
      <c r="G1180" s="6">
        <f t="shared" si="451"/>
        <v>2688.4399999999996</v>
      </c>
      <c r="H1180" s="6">
        <f t="shared" si="441"/>
        <v>2688.4399999999996</v>
      </c>
      <c r="I1180" s="6">
        <f>MOD(H1180-Settings!$B$32,Settings!$B$33)</f>
        <v>528.4399999999996</v>
      </c>
      <c r="J1180" s="6">
        <f>IF(I1180&lt;Settings!$B$30,IF(Settings!$B$30-I1180&gt;=E1180,H1180,H1180+(Settings!$B$30-I1180)+Settings!$B$31),H1180+(Settings!$B$33-I1180))</f>
        <v>2688.4399999999996</v>
      </c>
      <c r="K1180" s="6">
        <f t="shared" si="442"/>
        <v>2712.4599999999996</v>
      </c>
      <c r="L1180" s="6">
        <f t="shared" si="443"/>
        <v>2712.4599999999996</v>
      </c>
      <c r="M1180" s="6">
        <f t="shared" si="452"/>
        <v>2693.5633878582798</v>
      </c>
      <c r="N1180" s="6">
        <f t="shared" si="444"/>
        <v>2712.4599999999996</v>
      </c>
      <c r="O1180" s="6">
        <f>Arrivals!I1180</f>
        <v>16.359379731081351</v>
      </c>
      <c r="P1180" s="6">
        <f t="shared" si="445"/>
        <v>2728.819379731081</v>
      </c>
      <c r="Q1180" s="6">
        <f t="shared" si="446"/>
        <v>2104.819379731081</v>
      </c>
      <c r="R1180" s="6">
        <f t="shared" si="447"/>
        <v>2064.4399999999996</v>
      </c>
      <c r="S1180" s="6">
        <f t="shared" si="448"/>
        <v>0</v>
      </c>
      <c r="T1180" s="6">
        <f t="shared" si="449"/>
        <v>0</v>
      </c>
      <c r="U1180" s="6">
        <f t="shared" si="450"/>
        <v>2064.4399999999996</v>
      </c>
      <c r="V1180" s="6" t="str">
        <f>IF(MOD(C1180-Settings!$B$32,Settings!$B$33)&lt;Settings!$B$30,"Up","Down")</f>
        <v>Down</v>
      </c>
      <c r="W1180" s="6">
        <f>IF(OR(E1180&gt;Settings!$B$30,Q1180&gt;Settings!$B$37),0,1)</f>
        <v>0</v>
      </c>
      <c r="X1180" s="6">
        <f>IF(AND(W1180=1,Q1180&lt;=Settings!$B$36),1,0)</f>
        <v>0</v>
      </c>
    </row>
    <row r="1181" spans="1:24" x14ac:dyDescent="0.2">
      <c r="A1181">
        <f>Arrivals!A1181</f>
        <v>10</v>
      </c>
      <c r="B1181">
        <f>Arrivals!B1181</f>
        <v>96</v>
      </c>
      <c r="C1181" s="6">
        <f>Arrivals!F1181</f>
        <v>629</v>
      </c>
      <c r="D1181" s="6">
        <f>Arrivals!K1181</f>
        <v>300</v>
      </c>
      <c r="E1181" s="6">
        <f>D1181*8/ACE_Input!S101+ACE_Input!T101</f>
        <v>24.02</v>
      </c>
      <c r="F1181" s="6">
        <f t="shared" si="440"/>
        <v>629</v>
      </c>
      <c r="G1181" s="6">
        <f t="shared" si="451"/>
        <v>2712.4599999999996</v>
      </c>
      <c r="H1181" s="6">
        <f t="shared" si="441"/>
        <v>2712.4599999999996</v>
      </c>
      <c r="I1181" s="6">
        <f>MOD(H1181-Settings!$B$32,Settings!$B$33)</f>
        <v>552.45999999999958</v>
      </c>
      <c r="J1181" s="6">
        <f>IF(I1181&lt;Settings!$B$30,IF(Settings!$B$30-I1181&gt;=E1181,H1181,H1181+(Settings!$B$30-I1181)+Settings!$B$31),H1181+(Settings!$B$33-I1181))</f>
        <v>2712.4599999999996</v>
      </c>
      <c r="K1181" s="6">
        <f t="shared" si="442"/>
        <v>2736.4799999999996</v>
      </c>
      <c r="L1181" s="6">
        <f t="shared" si="443"/>
        <v>2736.4799999999996</v>
      </c>
      <c r="M1181" s="6">
        <f t="shared" si="452"/>
        <v>2728.819379731081</v>
      </c>
      <c r="N1181" s="6">
        <f t="shared" si="444"/>
        <v>2736.4799999999996</v>
      </c>
      <c r="O1181" s="6">
        <f>Arrivals!I1181</f>
        <v>3.8710957337675165</v>
      </c>
      <c r="P1181" s="6">
        <f t="shared" si="445"/>
        <v>2740.3510957337671</v>
      </c>
      <c r="Q1181" s="6">
        <f t="shared" si="446"/>
        <v>2111.3510957337671</v>
      </c>
      <c r="R1181" s="6">
        <f t="shared" si="447"/>
        <v>2083.4599999999996</v>
      </c>
      <c r="S1181" s="6">
        <f t="shared" si="448"/>
        <v>0</v>
      </c>
      <c r="T1181" s="6">
        <f t="shared" si="449"/>
        <v>0</v>
      </c>
      <c r="U1181" s="6">
        <f t="shared" si="450"/>
        <v>2083.4599999999996</v>
      </c>
      <c r="V1181" s="6" t="str">
        <f>IF(MOD(C1181-Settings!$B$32,Settings!$B$33)&lt;Settings!$B$30,"Up","Down")</f>
        <v>Down</v>
      </c>
      <c r="W1181" s="6">
        <f>IF(OR(E1181&gt;Settings!$B$30,Q1181&gt;Settings!$B$37),0,1)</f>
        <v>0</v>
      </c>
      <c r="X1181" s="6">
        <f>IF(AND(W1181=1,Q1181&lt;=Settings!$B$36),1,0)</f>
        <v>0</v>
      </c>
    </row>
    <row r="1182" spans="1:24" x14ac:dyDescent="0.2">
      <c r="A1182">
        <f>Arrivals!A1182</f>
        <v>10</v>
      </c>
      <c r="B1182">
        <f>Arrivals!B1182</f>
        <v>97</v>
      </c>
      <c r="C1182" s="6">
        <f>Arrivals!F1182</f>
        <v>634</v>
      </c>
      <c r="D1182" s="6">
        <f>Arrivals!K1182</f>
        <v>300</v>
      </c>
      <c r="E1182" s="6">
        <f>D1182*8/ACE_Input!S102+ACE_Input!T102</f>
        <v>24.02</v>
      </c>
      <c r="F1182" s="6">
        <f t="shared" si="440"/>
        <v>634</v>
      </c>
      <c r="G1182" s="6">
        <f t="shared" si="451"/>
        <v>2736.4799999999996</v>
      </c>
      <c r="H1182" s="6">
        <f t="shared" ref="H1182:H1185" si="453">MAX(F1182,G1182)</f>
        <v>2736.4799999999996</v>
      </c>
      <c r="I1182" s="6">
        <f>MOD(H1182-Settings!$B$32,Settings!$B$33)</f>
        <v>576.47999999999956</v>
      </c>
      <c r="J1182" s="6">
        <f>IF(I1182&lt;Settings!$B$30,IF(Settings!$B$30-I1182&gt;=E1182,H1182,H1182+(Settings!$B$30-I1182)+Settings!$B$31),H1182+(Settings!$B$33-I1182))</f>
        <v>2880</v>
      </c>
      <c r="K1182" s="6">
        <f t="shared" ref="K1182:K1185" si="454">J1182+E1182</f>
        <v>2904.02</v>
      </c>
      <c r="L1182" s="6">
        <f t="shared" ref="L1182:L1185" si="455">K1182</f>
        <v>2904.02</v>
      </c>
      <c r="M1182" s="6">
        <f t="shared" si="452"/>
        <v>2740.3510957337671</v>
      </c>
      <c r="N1182" s="6">
        <f t="shared" ref="N1182:N1185" si="456">MAX(L1182,M1182)</f>
        <v>2904.02</v>
      </c>
      <c r="O1182" s="6">
        <f>Arrivals!I1182</f>
        <v>3.2186166954364199</v>
      </c>
      <c r="P1182" s="6">
        <f t="shared" ref="P1182:P1185" si="457">N1182+O1182</f>
        <v>2907.2386166954366</v>
      </c>
      <c r="Q1182" s="6">
        <f t="shared" ref="Q1182:Q1185" si="458">P1182-C1182</f>
        <v>2273.2386166954366</v>
      </c>
      <c r="R1182" s="6">
        <f t="shared" si="447"/>
        <v>2102.4799999999996</v>
      </c>
      <c r="S1182" s="6">
        <f t="shared" si="448"/>
        <v>143.52000000000044</v>
      </c>
      <c r="T1182" s="6">
        <f t="shared" si="449"/>
        <v>0</v>
      </c>
      <c r="U1182" s="6">
        <f t="shared" ref="U1182:U1185" si="459">R1182+S1182+T1182</f>
        <v>2246</v>
      </c>
      <c r="V1182" s="6" t="str">
        <f>IF(MOD(C1182-Settings!$B$32,Settings!$B$33)&lt;Settings!$B$30,"Up","Down")</f>
        <v>Down</v>
      </c>
      <c r="W1182" s="6">
        <f>IF(OR(E1182&gt;Settings!$B$30,Q1182&gt;Settings!$B$37),0,1)</f>
        <v>0</v>
      </c>
      <c r="X1182" s="6">
        <f>IF(AND(W1182=1,Q1182&lt;=Settings!$B$36),1,0)</f>
        <v>0</v>
      </c>
    </row>
    <row r="1183" spans="1:24" x14ac:dyDescent="0.2">
      <c r="A1183">
        <f>Arrivals!A1183</f>
        <v>10</v>
      </c>
      <c r="B1183">
        <f>Arrivals!B1183</f>
        <v>98</v>
      </c>
      <c r="C1183" s="6">
        <f>Arrivals!F1183</f>
        <v>639</v>
      </c>
      <c r="D1183" s="6">
        <f>Arrivals!K1183</f>
        <v>300</v>
      </c>
      <c r="E1183" s="6">
        <f>D1183*8/ACE_Input!S103+ACE_Input!T103</f>
        <v>24.02</v>
      </c>
      <c r="F1183" s="6">
        <f t="shared" si="440"/>
        <v>639</v>
      </c>
      <c r="G1183" s="6">
        <f t="shared" si="451"/>
        <v>2904.02</v>
      </c>
      <c r="H1183" s="6">
        <f t="shared" si="453"/>
        <v>2904.02</v>
      </c>
      <c r="I1183" s="6">
        <f>MOD(H1183-Settings!$B$32,Settings!$B$33)</f>
        <v>24.019999999999982</v>
      </c>
      <c r="J1183" s="6">
        <f>IF(I1183&lt;Settings!$B$30,IF(Settings!$B$30-I1183&gt;=E1183,H1183,H1183+(Settings!$B$30-I1183)+Settings!$B$31),H1183+(Settings!$B$33-I1183))</f>
        <v>2904.02</v>
      </c>
      <c r="K1183" s="6">
        <f t="shared" si="454"/>
        <v>2928.04</v>
      </c>
      <c r="L1183" s="6">
        <f t="shared" si="455"/>
        <v>2928.04</v>
      </c>
      <c r="M1183" s="6">
        <f t="shared" si="452"/>
        <v>2907.2386166954366</v>
      </c>
      <c r="N1183" s="6">
        <f t="shared" si="456"/>
        <v>2928.04</v>
      </c>
      <c r="O1183" s="6">
        <f>Arrivals!I1183</f>
        <v>0.86347926876812142</v>
      </c>
      <c r="P1183" s="6">
        <f t="shared" si="457"/>
        <v>2928.903479268768</v>
      </c>
      <c r="Q1183" s="6">
        <f t="shared" si="458"/>
        <v>2289.903479268768</v>
      </c>
      <c r="R1183" s="6">
        <f t="shared" si="447"/>
        <v>2265.02</v>
      </c>
      <c r="S1183" s="6">
        <f t="shared" si="448"/>
        <v>0</v>
      </c>
      <c r="T1183" s="6">
        <f t="shared" si="449"/>
        <v>0</v>
      </c>
      <c r="U1183" s="6">
        <f t="shared" si="459"/>
        <v>2265.02</v>
      </c>
      <c r="V1183" s="6" t="str">
        <f>IF(MOD(C1183-Settings!$B$32,Settings!$B$33)&lt;Settings!$B$30,"Up","Down")</f>
        <v>Down</v>
      </c>
      <c r="W1183" s="6">
        <f>IF(OR(E1183&gt;Settings!$B$30,Q1183&gt;Settings!$B$37),0,1)</f>
        <v>0</v>
      </c>
      <c r="X1183" s="6">
        <f>IF(AND(W1183=1,Q1183&lt;=Settings!$B$36),1,0)</f>
        <v>0</v>
      </c>
    </row>
    <row r="1184" spans="1:24" x14ac:dyDescent="0.2">
      <c r="A1184">
        <f>Arrivals!A1184</f>
        <v>10</v>
      </c>
      <c r="B1184">
        <f>Arrivals!B1184</f>
        <v>99</v>
      </c>
      <c r="C1184" s="6">
        <f>Arrivals!F1184</f>
        <v>684</v>
      </c>
      <c r="D1184" s="6">
        <f>Arrivals!K1184</f>
        <v>300</v>
      </c>
      <c r="E1184" s="6">
        <f>D1184*8/ACE_Input!S104+ACE_Input!T104</f>
        <v>24.02</v>
      </c>
      <c r="F1184" s="6">
        <f t="shared" si="440"/>
        <v>684</v>
      </c>
      <c r="G1184" s="6">
        <f t="shared" si="451"/>
        <v>2928.04</v>
      </c>
      <c r="H1184" s="6">
        <f t="shared" si="453"/>
        <v>2928.04</v>
      </c>
      <c r="I1184" s="6">
        <f>MOD(H1184-Settings!$B$32,Settings!$B$33)</f>
        <v>48.039999999999964</v>
      </c>
      <c r="J1184" s="6">
        <f>IF(I1184&lt;Settings!$B$30,IF(Settings!$B$30-I1184&gt;=E1184,H1184,H1184+(Settings!$B$30-I1184)+Settings!$B$31),H1184+(Settings!$B$33-I1184))</f>
        <v>2928.04</v>
      </c>
      <c r="K1184" s="6">
        <f t="shared" si="454"/>
        <v>2952.06</v>
      </c>
      <c r="L1184" s="6">
        <f t="shared" si="455"/>
        <v>2952.06</v>
      </c>
      <c r="M1184" s="6">
        <f t="shared" si="452"/>
        <v>2928.903479268768</v>
      </c>
      <c r="N1184" s="6">
        <f t="shared" si="456"/>
        <v>2952.06</v>
      </c>
      <c r="O1184" s="6">
        <f>Arrivals!I1184</f>
        <v>1.1174376236953107</v>
      </c>
      <c r="P1184" s="6">
        <f t="shared" si="457"/>
        <v>2953.1774376236954</v>
      </c>
      <c r="Q1184" s="6">
        <f t="shared" si="458"/>
        <v>2269.1774376236954</v>
      </c>
      <c r="R1184" s="6">
        <f t="shared" si="447"/>
        <v>2244.04</v>
      </c>
      <c r="S1184" s="6">
        <f t="shared" si="448"/>
        <v>0</v>
      </c>
      <c r="T1184" s="6">
        <f t="shared" si="449"/>
        <v>0</v>
      </c>
      <c r="U1184" s="6">
        <f t="shared" si="459"/>
        <v>2244.04</v>
      </c>
      <c r="V1184" s="6" t="str">
        <f>IF(MOD(C1184-Settings!$B$32,Settings!$B$33)&lt;Settings!$B$30,"Up","Down")</f>
        <v>Down</v>
      </c>
      <c r="W1184" s="6">
        <f>IF(OR(E1184&gt;Settings!$B$30,Q1184&gt;Settings!$B$37),0,1)</f>
        <v>0</v>
      </c>
      <c r="X1184" s="6">
        <f>IF(AND(W1184=1,Q1184&lt;=Settings!$B$36),1,0)</f>
        <v>0</v>
      </c>
    </row>
    <row r="1185" spans="1:24" x14ac:dyDescent="0.2">
      <c r="A1185">
        <f>Arrivals!A1185</f>
        <v>10</v>
      </c>
      <c r="B1185">
        <f>Arrivals!B1185</f>
        <v>100</v>
      </c>
      <c r="C1185" s="6">
        <f>Arrivals!F1185</f>
        <v>689</v>
      </c>
      <c r="D1185" s="6">
        <f>Arrivals!K1185</f>
        <v>300</v>
      </c>
      <c r="E1185" s="6">
        <f>D1185*8/ACE_Input!S105+ACE_Input!T105</f>
        <v>24.02</v>
      </c>
      <c r="F1185" s="6">
        <f t="shared" si="440"/>
        <v>689</v>
      </c>
      <c r="G1185" s="6">
        <f t="shared" si="451"/>
        <v>2952.06</v>
      </c>
      <c r="H1185" s="6">
        <f t="shared" si="453"/>
        <v>2952.06</v>
      </c>
      <c r="I1185" s="6">
        <f>MOD(H1185-Settings!$B$32,Settings!$B$33)</f>
        <v>72.059999999999945</v>
      </c>
      <c r="J1185" s="6">
        <f>IF(I1185&lt;Settings!$B$30,IF(Settings!$B$30-I1185&gt;=E1185,H1185,H1185+(Settings!$B$30-I1185)+Settings!$B$31),H1185+(Settings!$B$33-I1185))</f>
        <v>2952.06</v>
      </c>
      <c r="K1185" s="6">
        <f t="shared" si="454"/>
        <v>2976.08</v>
      </c>
      <c r="L1185" s="6">
        <f t="shared" si="455"/>
        <v>2976.08</v>
      </c>
      <c r="M1185" s="6">
        <f t="shared" si="452"/>
        <v>2953.1774376236954</v>
      </c>
      <c r="N1185" s="6">
        <f t="shared" si="456"/>
        <v>2976.08</v>
      </c>
      <c r="O1185" s="6">
        <f>Arrivals!I1185</f>
        <v>2.0628942322493908</v>
      </c>
      <c r="P1185" s="6">
        <f t="shared" si="457"/>
        <v>2978.1428942322491</v>
      </c>
      <c r="Q1185" s="6">
        <f t="shared" si="458"/>
        <v>2289.1428942322491</v>
      </c>
      <c r="R1185" s="6">
        <f t="shared" si="447"/>
        <v>2263.06</v>
      </c>
      <c r="S1185" s="6">
        <f t="shared" si="448"/>
        <v>0</v>
      </c>
      <c r="T1185" s="6">
        <f t="shared" si="449"/>
        <v>0</v>
      </c>
      <c r="U1185" s="6">
        <f t="shared" si="459"/>
        <v>2263.06</v>
      </c>
      <c r="V1185" s="6" t="str">
        <f>IF(MOD(C1185-Settings!$B$32,Settings!$B$33)&lt;Settings!$B$30,"Up","Down")</f>
        <v>Down</v>
      </c>
      <c r="W1185" s="6">
        <f>IF(OR(E1185&gt;Settings!$B$30,Q1185&gt;Settings!$B$37),0,1)</f>
        <v>0</v>
      </c>
      <c r="X1185" s="6">
        <f>IF(AND(W1185=1,Q1185&lt;=Settings!$B$36),1,0)</f>
        <v>0</v>
      </c>
    </row>
    <row r="1186" spans="1:24" x14ac:dyDescent="0.2">
      <c r="C1186" s="6"/>
      <c r="D1186" s="6"/>
      <c r="E1186" s="6"/>
      <c r="F1186" s="6"/>
      <c r="G1186" s="6"/>
      <c r="H1186" s="6"/>
      <c r="I1186" s="6"/>
      <c r="J1186" s="6"/>
      <c r="K1186" s="6"/>
      <c r="L1186" s="6"/>
      <c r="M1186" s="6"/>
      <c r="N1186" s="6"/>
      <c r="O1186" s="6"/>
      <c r="P1186" s="6"/>
      <c r="Q1186" s="6"/>
      <c r="R1186" s="6"/>
      <c r="S1186" s="6"/>
      <c r="T1186" s="6"/>
      <c r="U1186" s="6"/>
      <c r="V1186" s="6"/>
      <c r="W1186" s="6"/>
      <c r="X1186" s="6"/>
    </row>
    <row r="1187" spans="1:24" x14ac:dyDescent="0.2">
      <c r="C1187" s="6"/>
      <c r="D1187" s="6"/>
      <c r="E1187" s="6"/>
      <c r="F1187" s="6"/>
      <c r="G1187" s="6"/>
      <c r="H1187" s="6"/>
      <c r="I1187" s="6"/>
      <c r="J1187" s="6"/>
      <c r="K1187" s="6"/>
      <c r="L1187" s="6"/>
      <c r="M1187" s="6"/>
      <c r="N1187" s="6"/>
      <c r="O1187" s="6"/>
      <c r="P1187" s="6"/>
      <c r="Q1187" s="6"/>
      <c r="R1187" s="6"/>
      <c r="S1187" s="6"/>
      <c r="T1187" s="6"/>
      <c r="U1187" s="6"/>
      <c r="V1187" s="6"/>
      <c r="W1187" s="6"/>
      <c r="X1187" s="6"/>
    </row>
    <row r="1188" spans="1:24" x14ac:dyDescent="0.2">
      <c r="C1188" s="6"/>
      <c r="D1188" s="6"/>
      <c r="E1188" s="6"/>
      <c r="F1188" s="6"/>
      <c r="G1188" s="6"/>
      <c r="H1188" s="6"/>
      <c r="I1188" s="6"/>
      <c r="J1188" s="6"/>
      <c r="K1188" s="6"/>
      <c r="L1188" s="6"/>
      <c r="M1188" s="6"/>
      <c r="N1188" s="6"/>
      <c r="O1188" s="6"/>
      <c r="P1188" s="6"/>
      <c r="Q1188" s="6"/>
      <c r="R1188" s="6"/>
      <c r="S1188" s="6"/>
      <c r="T1188" s="6"/>
      <c r="U1188" s="6"/>
      <c r="V1188" s="6"/>
      <c r="W1188" s="6"/>
      <c r="X1188" s="6"/>
    </row>
    <row r="1189" spans="1:24" x14ac:dyDescent="0.2">
      <c r="C1189" s="6"/>
      <c r="D1189" s="6"/>
      <c r="E1189" s="6"/>
      <c r="F1189" s="6"/>
      <c r="G1189" s="6"/>
      <c r="H1189" s="6"/>
      <c r="I1189" s="6"/>
      <c r="J1189" s="6"/>
      <c r="K1189" s="6"/>
      <c r="L1189" s="6"/>
      <c r="M1189" s="6"/>
      <c r="N1189" s="6"/>
      <c r="O1189" s="6"/>
      <c r="P1189" s="6"/>
      <c r="Q1189" s="6"/>
      <c r="R1189" s="6"/>
      <c r="S1189" s="6"/>
      <c r="T1189" s="6"/>
      <c r="U1189" s="6"/>
      <c r="V1189" s="6"/>
      <c r="W1189" s="6"/>
      <c r="X1189" s="6"/>
    </row>
    <row r="1190" spans="1:24" x14ac:dyDescent="0.2">
      <c r="C1190" s="6"/>
      <c r="D1190" s="6"/>
      <c r="E1190" s="6"/>
      <c r="F1190" s="6"/>
      <c r="G1190" s="6"/>
      <c r="H1190" s="6"/>
      <c r="I1190" s="6"/>
      <c r="J1190" s="6"/>
      <c r="K1190" s="6"/>
      <c r="L1190" s="6"/>
      <c r="M1190" s="6"/>
      <c r="N1190" s="6"/>
      <c r="O1190" s="6"/>
      <c r="P1190" s="6"/>
      <c r="Q1190" s="6"/>
      <c r="R1190" s="6"/>
      <c r="S1190" s="6"/>
      <c r="T1190" s="6"/>
      <c r="U1190" s="6"/>
      <c r="V1190" s="6"/>
      <c r="W1190" s="6"/>
      <c r="X1190" s="6"/>
    </row>
    <row r="1191" spans="1:24" x14ac:dyDescent="0.2">
      <c r="C1191" s="6"/>
      <c r="D1191" s="6"/>
      <c r="E1191" s="6"/>
      <c r="F1191" s="6"/>
      <c r="G1191" s="6"/>
      <c r="H1191" s="6"/>
      <c r="I1191" s="6"/>
      <c r="J1191" s="6"/>
      <c r="K1191" s="6"/>
      <c r="L1191" s="6"/>
      <c r="M1191" s="6"/>
      <c r="N1191" s="6"/>
      <c r="O1191" s="6"/>
      <c r="P1191" s="6"/>
      <c r="Q1191" s="6"/>
      <c r="R1191" s="6"/>
      <c r="S1191" s="6"/>
      <c r="T1191" s="6"/>
      <c r="U1191" s="6"/>
      <c r="V1191" s="6"/>
      <c r="W1191" s="6"/>
      <c r="X1191" s="6"/>
    </row>
    <row r="1192" spans="1:24" x14ac:dyDescent="0.2">
      <c r="C1192" s="6"/>
      <c r="D1192" s="6"/>
      <c r="E1192" s="6"/>
      <c r="F1192" s="6"/>
      <c r="G1192" s="6"/>
      <c r="H1192" s="6"/>
      <c r="I1192" s="6"/>
      <c r="J1192" s="6"/>
      <c r="K1192" s="6"/>
      <c r="L1192" s="6"/>
      <c r="M1192" s="6"/>
      <c r="N1192" s="6"/>
      <c r="O1192" s="6"/>
      <c r="P1192" s="6"/>
      <c r="Q1192" s="6"/>
      <c r="R1192" s="6"/>
      <c r="S1192" s="6"/>
      <c r="T1192" s="6"/>
      <c r="U1192" s="6"/>
      <c r="V1192" s="6"/>
      <c r="W1192" s="6"/>
      <c r="X1192" s="6"/>
    </row>
    <row r="1193" spans="1:24" x14ac:dyDescent="0.2">
      <c r="C1193" s="6"/>
      <c r="D1193" s="6"/>
      <c r="E1193" s="6"/>
      <c r="F1193" s="6"/>
      <c r="G1193" s="6"/>
      <c r="H1193" s="6"/>
      <c r="I1193" s="6"/>
      <c r="J1193" s="6"/>
      <c r="K1193" s="6"/>
      <c r="L1193" s="6"/>
      <c r="M1193" s="6"/>
      <c r="N1193" s="6"/>
      <c r="O1193" s="6"/>
      <c r="P1193" s="6"/>
      <c r="Q1193" s="6"/>
      <c r="R1193" s="6"/>
      <c r="S1193" s="6"/>
      <c r="T1193" s="6"/>
      <c r="U1193" s="6"/>
      <c r="V1193" s="6"/>
      <c r="W1193" s="6"/>
      <c r="X1193" s="6"/>
    </row>
    <row r="1194" spans="1:24" x14ac:dyDescent="0.2">
      <c r="C1194" s="6"/>
      <c r="D1194" s="6"/>
      <c r="E1194" s="6"/>
      <c r="F1194" s="6"/>
      <c r="G1194" s="6"/>
      <c r="H1194" s="6"/>
      <c r="I1194" s="6"/>
      <c r="J1194" s="6"/>
      <c r="K1194" s="6"/>
      <c r="L1194" s="6"/>
      <c r="M1194" s="6"/>
      <c r="N1194" s="6"/>
      <c r="O1194" s="6"/>
      <c r="P1194" s="6"/>
      <c r="Q1194" s="6"/>
      <c r="R1194" s="6"/>
      <c r="S1194" s="6"/>
      <c r="T1194" s="6"/>
      <c r="U1194" s="6"/>
      <c r="V1194" s="6"/>
      <c r="W1194" s="6"/>
      <c r="X1194" s="6"/>
    </row>
    <row r="1195" spans="1:24" x14ac:dyDescent="0.2">
      <c r="C1195" s="6"/>
      <c r="D1195" s="6"/>
      <c r="E1195" s="6"/>
      <c r="F1195" s="6"/>
      <c r="G1195" s="6"/>
      <c r="H1195" s="6"/>
      <c r="I1195" s="6"/>
      <c r="J1195" s="6"/>
      <c r="K1195" s="6"/>
      <c r="L1195" s="6"/>
      <c r="M1195" s="6"/>
      <c r="N1195" s="6"/>
      <c r="O1195" s="6"/>
      <c r="P1195" s="6"/>
      <c r="Q1195" s="6"/>
      <c r="R1195" s="6"/>
      <c r="S1195" s="6"/>
      <c r="T1195" s="6"/>
      <c r="U1195" s="6"/>
      <c r="V1195" s="6"/>
      <c r="W1195" s="6"/>
      <c r="X1195" s="6"/>
    </row>
    <row r="1196" spans="1:24" x14ac:dyDescent="0.2">
      <c r="C1196" s="6"/>
      <c r="D1196" s="6"/>
      <c r="E1196" s="6"/>
      <c r="F1196" s="6"/>
      <c r="G1196" s="6"/>
      <c r="H1196" s="6"/>
      <c r="I1196" s="6"/>
      <c r="J1196" s="6"/>
      <c r="K1196" s="6"/>
      <c r="L1196" s="6"/>
      <c r="M1196" s="6"/>
      <c r="N1196" s="6"/>
      <c r="O1196" s="6"/>
      <c r="P1196" s="6"/>
      <c r="Q1196" s="6"/>
      <c r="R1196" s="6"/>
      <c r="S1196" s="6"/>
      <c r="T1196" s="6"/>
      <c r="U1196" s="6"/>
      <c r="V1196" s="6"/>
      <c r="W1196" s="6"/>
      <c r="X1196" s="6"/>
    </row>
    <row r="1197" spans="1:24" x14ac:dyDescent="0.2">
      <c r="C1197" s="6"/>
      <c r="D1197" s="6"/>
      <c r="E1197" s="6"/>
      <c r="F1197" s="6"/>
      <c r="G1197" s="6"/>
      <c r="H1197" s="6"/>
      <c r="I1197" s="6"/>
      <c r="J1197" s="6"/>
      <c r="K1197" s="6"/>
      <c r="L1197" s="6"/>
      <c r="M1197" s="6"/>
      <c r="N1197" s="6"/>
      <c r="O1197" s="6"/>
      <c r="P1197" s="6"/>
      <c r="Q1197" s="6"/>
      <c r="R1197" s="6"/>
      <c r="S1197" s="6"/>
      <c r="T1197" s="6"/>
      <c r="U1197" s="6"/>
      <c r="V1197" s="6"/>
      <c r="W1197" s="6"/>
      <c r="X1197" s="6"/>
    </row>
    <row r="1198" spans="1:24" x14ac:dyDescent="0.2">
      <c r="C1198" s="6"/>
      <c r="D1198" s="6"/>
      <c r="E1198" s="6"/>
      <c r="F1198" s="6"/>
      <c r="G1198" s="6"/>
      <c r="H1198" s="6"/>
      <c r="I1198" s="6"/>
      <c r="J1198" s="6"/>
      <c r="K1198" s="6"/>
      <c r="L1198" s="6"/>
      <c r="M1198" s="6"/>
      <c r="N1198" s="6"/>
      <c r="O1198" s="6"/>
      <c r="P1198" s="6"/>
      <c r="Q1198" s="6"/>
      <c r="R1198" s="6"/>
      <c r="S1198" s="6"/>
      <c r="T1198" s="6"/>
      <c r="U1198" s="6"/>
      <c r="V1198" s="6"/>
      <c r="W1198" s="6"/>
      <c r="X1198" s="6"/>
    </row>
    <row r="1199" spans="1:24" x14ac:dyDescent="0.2">
      <c r="C1199" s="6"/>
      <c r="D1199" s="6"/>
      <c r="E1199" s="6"/>
      <c r="F1199" s="6"/>
      <c r="G1199" s="6"/>
      <c r="H1199" s="6"/>
      <c r="I1199" s="6"/>
      <c r="J1199" s="6"/>
      <c r="K1199" s="6"/>
      <c r="L1199" s="6"/>
      <c r="M1199" s="6"/>
      <c r="N1199" s="6"/>
      <c r="O1199" s="6"/>
      <c r="P1199" s="6"/>
      <c r="Q1199" s="6"/>
      <c r="R1199" s="6"/>
      <c r="S1199" s="6"/>
      <c r="T1199" s="6"/>
      <c r="U1199" s="6"/>
      <c r="V1199" s="6"/>
      <c r="W1199" s="6"/>
      <c r="X1199" s="6"/>
    </row>
    <row r="1200" spans="1:24" x14ac:dyDescent="0.2">
      <c r="C1200" s="6"/>
      <c r="D1200" s="6"/>
      <c r="E1200" s="6"/>
      <c r="F1200" s="6"/>
      <c r="G1200" s="6"/>
      <c r="H1200" s="6"/>
      <c r="I1200" s="6"/>
      <c r="J1200" s="6"/>
      <c r="K1200" s="6"/>
      <c r="L1200" s="6"/>
      <c r="M1200" s="6"/>
      <c r="N1200" s="6"/>
      <c r="O1200" s="6"/>
      <c r="P1200" s="6"/>
      <c r="Q1200" s="6"/>
      <c r="R1200" s="6"/>
      <c r="S1200" s="6"/>
      <c r="T1200" s="6"/>
      <c r="U1200" s="6"/>
      <c r="V1200" s="6"/>
      <c r="W1200" s="6"/>
      <c r="X1200" s="6"/>
    </row>
    <row r="1201" spans="3:24" x14ac:dyDescent="0.2">
      <c r="C1201" s="6"/>
      <c r="D1201" s="6"/>
      <c r="E1201" s="6"/>
      <c r="F1201" s="6"/>
      <c r="G1201" s="6"/>
      <c r="H1201" s="6"/>
      <c r="I1201" s="6"/>
      <c r="J1201" s="6"/>
      <c r="K1201" s="6"/>
      <c r="L1201" s="6"/>
      <c r="M1201" s="6"/>
      <c r="N1201" s="6"/>
      <c r="O1201" s="6"/>
      <c r="P1201" s="6"/>
      <c r="Q1201" s="6"/>
      <c r="R1201" s="6"/>
      <c r="S1201" s="6"/>
      <c r="T1201" s="6"/>
      <c r="U1201" s="6"/>
      <c r="V1201" s="6"/>
      <c r="W1201" s="6"/>
      <c r="X1201" s="6"/>
    </row>
    <row r="1202" spans="3:24" x14ac:dyDescent="0.2">
      <c r="C1202" s="6"/>
      <c r="D1202" s="6"/>
      <c r="E1202" s="6"/>
      <c r="F1202" s="6"/>
      <c r="G1202" s="6"/>
      <c r="H1202" s="6"/>
      <c r="I1202" s="6"/>
      <c r="J1202" s="6"/>
      <c r="K1202" s="6"/>
      <c r="L1202" s="6"/>
      <c r="M1202" s="6"/>
      <c r="N1202" s="6"/>
      <c r="O1202" s="6"/>
      <c r="P1202" s="6"/>
      <c r="Q1202" s="6"/>
      <c r="R1202" s="6"/>
      <c r="S1202" s="6"/>
      <c r="T1202" s="6"/>
      <c r="U1202" s="6"/>
      <c r="V1202" s="6"/>
      <c r="W1202" s="6"/>
      <c r="X1202" s="6"/>
    </row>
    <row r="1203" spans="3:24" x14ac:dyDescent="0.2">
      <c r="C1203" s="6"/>
      <c r="D1203" s="6"/>
      <c r="E1203" s="6"/>
      <c r="F1203" s="6"/>
      <c r="G1203" s="6"/>
      <c r="H1203" s="6"/>
      <c r="I1203" s="6"/>
      <c r="J1203" s="6"/>
      <c r="K1203" s="6"/>
      <c r="L1203" s="6"/>
      <c r="M1203" s="6"/>
      <c r="N1203" s="6"/>
      <c r="O1203" s="6"/>
      <c r="P1203" s="6"/>
      <c r="Q1203" s="6"/>
      <c r="R1203" s="6"/>
      <c r="S1203" s="6"/>
      <c r="T1203" s="6"/>
      <c r="U1203" s="6"/>
      <c r="V1203" s="6"/>
      <c r="W1203" s="6"/>
      <c r="X1203" s="6"/>
    </row>
    <row r="1204" spans="3:24" x14ac:dyDescent="0.2">
      <c r="C1204" s="6"/>
      <c r="D1204" s="6"/>
      <c r="E1204" s="6"/>
      <c r="F1204" s="6"/>
      <c r="G1204" s="6"/>
      <c r="H1204" s="6"/>
      <c r="I1204" s="6"/>
      <c r="J1204" s="6"/>
      <c r="K1204" s="6"/>
      <c r="L1204" s="6"/>
      <c r="M1204" s="6"/>
      <c r="N1204" s="6"/>
      <c r="O1204" s="6"/>
      <c r="P1204" s="6"/>
      <c r="Q1204" s="6"/>
      <c r="R1204" s="6"/>
      <c r="S1204" s="6"/>
      <c r="T1204" s="6"/>
      <c r="U1204" s="6"/>
      <c r="V1204" s="6"/>
      <c r="W1204" s="6"/>
      <c r="X1204" s="6"/>
    </row>
    <row r="1205" spans="3:24" x14ac:dyDescent="0.2">
      <c r="C1205" s="6"/>
      <c r="D1205" s="6"/>
      <c r="E1205" s="6"/>
      <c r="F1205" s="6"/>
      <c r="G1205" s="6"/>
      <c r="H1205" s="6"/>
      <c r="I1205" s="6"/>
      <c r="J1205" s="6"/>
      <c r="K1205" s="6"/>
      <c r="L1205" s="6"/>
      <c r="M1205" s="6"/>
      <c r="N1205" s="6"/>
      <c r="O1205" s="6"/>
      <c r="P1205" s="6"/>
      <c r="Q1205" s="6"/>
      <c r="R1205" s="6"/>
      <c r="S1205" s="6"/>
      <c r="T1205" s="6"/>
      <c r="U1205" s="6"/>
      <c r="V1205" s="6"/>
      <c r="W1205" s="6"/>
      <c r="X1205" s="6"/>
    </row>
  </sheetData>
  <mergeCells count="2">
    <mergeCell ref="A1:X1"/>
    <mergeCell ref="A2:X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X1205"/>
  <sheetViews>
    <sheetView workbookViewId="0">
      <selection sqref="A1:V1"/>
    </sheetView>
  </sheetViews>
  <sheetFormatPr defaultRowHeight="15" x14ac:dyDescent="0.2"/>
  <cols>
    <col min="1" max="22" width="18.0234375" customWidth="1"/>
  </cols>
  <sheetData>
    <row r="1" spans="1:24" ht="33.950000000000003" customHeight="1" x14ac:dyDescent="0.2">
      <c r="A1" s="99" t="s">
        <v>268</v>
      </c>
      <c r="B1" s="80"/>
      <c r="C1" s="80"/>
      <c r="D1" s="80"/>
      <c r="E1" s="80"/>
      <c r="F1" s="80"/>
      <c r="G1" s="80"/>
      <c r="H1" s="80"/>
      <c r="I1" s="80"/>
      <c r="J1" s="80"/>
      <c r="K1" s="80"/>
      <c r="L1" s="80"/>
      <c r="M1" s="80"/>
      <c r="N1" s="80"/>
      <c r="O1" s="80"/>
      <c r="P1" s="80"/>
      <c r="Q1" s="80"/>
      <c r="R1" s="80"/>
      <c r="S1" s="80"/>
      <c r="T1" s="80"/>
      <c r="U1" s="80"/>
      <c r="V1" s="80"/>
    </row>
    <row r="2" spans="1:24" ht="21.95" customHeight="1" x14ac:dyDescent="0.2">
      <c r="A2" s="100" t="s">
        <v>245</v>
      </c>
      <c r="B2" s="80"/>
      <c r="C2" s="80"/>
      <c r="D2" s="80"/>
      <c r="E2" s="80"/>
      <c r="F2" s="80"/>
      <c r="G2" s="80"/>
      <c r="H2" s="80"/>
      <c r="I2" s="80"/>
      <c r="J2" s="80"/>
      <c r="K2" s="80"/>
      <c r="L2" s="80"/>
      <c r="M2" s="80"/>
      <c r="N2" s="80"/>
      <c r="O2" s="80"/>
      <c r="P2" s="80"/>
      <c r="Q2" s="80"/>
      <c r="R2" s="80"/>
      <c r="S2" s="80"/>
      <c r="T2" s="80"/>
      <c r="U2" s="80"/>
      <c r="V2" s="80"/>
      <c r="W2" s="9"/>
      <c r="X2" s="9"/>
    </row>
    <row r="3" spans="1:24" ht="21.95" customHeight="1" x14ac:dyDescent="0.2">
      <c r="A3" s="80"/>
      <c r="B3" s="80"/>
      <c r="C3" s="80"/>
      <c r="D3" s="80"/>
      <c r="E3" s="80"/>
      <c r="F3" s="80"/>
      <c r="G3" s="80"/>
      <c r="H3" s="80"/>
      <c r="I3" s="80"/>
      <c r="J3" s="80"/>
      <c r="K3" s="80"/>
      <c r="L3" s="80"/>
      <c r="M3" s="80"/>
      <c r="N3" s="80"/>
      <c r="O3" s="80"/>
      <c r="P3" s="80"/>
      <c r="Q3" s="80"/>
      <c r="R3" s="80"/>
      <c r="S3" s="80"/>
      <c r="T3" s="80"/>
      <c r="U3" s="80"/>
      <c r="V3" s="80"/>
      <c r="W3" s="9"/>
      <c r="X3" s="9"/>
    </row>
    <row r="4" spans="1:24" ht="21.95" customHeight="1" x14ac:dyDescent="0.2">
      <c r="A4" s="2"/>
      <c r="B4" s="2"/>
      <c r="C4" s="2"/>
      <c r="D4" s="2"/>
      <c r="E4" s="2"/>
      <c r="F4" s="2"/>
      <c r="G4" s="2"/>
      <c r="H4" s="2"/>
      <c r="I4" s="2"/>
      <c r="J4" s="2"/>
      <c r="K4" s="2"/>
      <c r="L4" s="2"/>
      <c r="M4" s="2"/>
      <c r="N4" s="2"/>
      <c r="O4" s="2"/>
      <c r="P4" s="2"/>
      <c r="Q4" s="2"/>
      <c r="R4" s="2"/>
      <c r="S4" s="2"/>
      <c r="T4" s="2"/>
      <c r="U4" s="2"/>
      <c r="V4" s="2"/>
    </row>
    <row r="5" spans="1:24" ht="63.95" customHeight="1" x14ac:dyDescent="0.2">
      <c r="A5" s="5" t="s">
        <v>232</v>
      </c>
      <c r="B5" s="5" t="s">
        <v>233</v>
      </c>
      <c r="C5" s="5" t="s">
        <v>246</v>
      </c>
      <c r="D5" s="5" t="s">
        <v>269</v>
      </c>
      <c r="E5" s="5" t="s">
        <v>256</v>
      </c>
      <c r="F5" s="5" t="s">
        <v>257</v>
      </c>
      <c r="G5" s="5" t="s">
        <v>270</v>
      </c>
      <c r="H5" s="5" t="s">
        <v>271</v>
      </c>
      <c r="I5" s="5" t="s">
        <v>248</v>
      </c>
      <c r="J5" s="5" t="s">
        <v>250</v>
      </c>
      <c r="K5" s="5" t="s">
        <v>251</v>
      </c>
      <c r="L5" s="5" t="s">
        <v>252</v>
      </c>
      <c r="M5" s="5" t="s">
        <v>253</v>
      </c>
      <c r="N5" s="5" t="s">
        <v>259</v>
      </c>
      <c r="O5" s="5" t="s">
        <v>260</v>
      </c>
      <c r="P5" s="5" t="s">
        <v>263</v>
      </c>
      <c r="Q5" s="5" t="s">
        <v>261</v>
      </c>
      <c r="R5" s="5" t="s">
        <v>262</v>
      </c>
      <c r="S5" s="5" t="s">
        <v>264</v>
      </c>
      <c r="T5" s="5" t="s">
        <v>265</v>
      </c>
      <c r="U5" s="5" t="s">
        <v>266</v>
      </c>
      <c r="V5" s="5" t="s">
        <v>267</v>
      </c>
    </row>
    <row r="6" spans="1:24" x14ac:dyDescent="0.2">
      <c r="A6">
        <f>Arrivals!A6</f>
        <v>1</v>
      </c>
      <c r="B6">
        <f>Arrivals!B6</f>
        <v>1</v>
      </c>
      <c r="C6" s="6">
        <f>Arrivals!F6</f>
        <v>2</v>
      </c>
      <c r="D6" s="6">
        <f>Arrivals!J6</f>
        <v>10.045247872269458</v>
      </c>
      <c r="E6" s="6">
        <f>0</f>
        <v>0</v>
      </c>
      <c r="F6" s="6">
        <f t="shared" ref="F6:F37" si="0">MAX(C6,E6)</f>
        <v>2</v>
      </c>
      <c r="G6" s="6">
        <f t="shared" ref="G6:G37" si="1">F6+D6</f>
        <v>12.045247872269458</v>
      </c>
      <c r="H6" s="6">
        <f>Arrivals!L6</f>
        <v>75</v>
      </c>
      <c r="I6" s="6">
        <f>H6*8/ACE_Input!S6+ACE_Input!T6</f>
        <v>6.02</v>
      </c>
      <c r="J6" s="6">
        <f>0</f>
        <v>0</v>
      </c>
      <c r="K6" s="6">
        <f t="shared" ref="K6:K37" si="2">MAX(G6,J6)</f>
        <v>12.045247872269458</v>
      </c>
      <c r="L6" s="6">
        <f>MOD(K6-Settings!$B$32,Settings!$B$33)</f>
        <v>12.045247872269458</v>
      </c>
      <c r="M6" s="6">
        <f>IF(L6&lt;Settings!$B$30,IF(Settings!$B$30-L6&gt;=I6,K6,K6+(Settings!$B$30-L6)+Settings!$B$31),K6+(Settings!$B$33-L6))</f>
        <v>12.045247872269458</v>
      </c>
      <c r="N6" s="6">
        <f t="shared" ref="N6:N37" si="3">M6+I6</f>
        <v>18.06524787226946</v>
      </c>
      <c r="O6" s="6">
        <f t="shared" ref="O6:O37" si="4">N6-C6</f>
        <v>16.06524787226946</v>
      </c>
      <c r="P6" s="6">
        <f t="shared" ref="P6:P37" si="5">F6-C6</f>
        <v>0</v>
      </c>
      <c r="Q6" s="6">
        <f t="shared" ref="Q6:Q37" si="6">K6-G6</f>
        <v>0</v>
      </c>
      <c r="R6" s="6">
        <f t="shared" ref="R6:R37" si="7">M6-K6</f>
        <v>0</v>
      </c>
      <c r="S6" s="6">
        <f t="shared" ref="S6:S37" si="8">P6+Q6+R6</f>
        <v>0</v>
      </c>
      <c r="T6" s="6" t="str">
        <f>IF(MOD(C6-Settings!$B$32,Settings!$B$33)&lt;Settings!$B$30,"Up","Down")</f>
        <v>Up</v>
      </c>
      <c r="U6" s="6">
        <f>IF(OR(I6&gt;Settings!$B$30,O6&gt;Settings!$B$37),0,1)</f>
        <v>1</v>
      </c>
      <c r="V6" s="6">
        <f>IF(AND(U6=1,O6&lt;=Settings!$B$36),1,0)</f>
        <v>1</v>
      </c>
    </row>
    <row r="7" spans="1:24" x14ac:dyDescent="0.2">
      <c r="A7">
        <f>Arrivals!A7</f>
        <v>1</v>
      </c>
      <c r="B7">
        <f>Arrivals!B7</f>
        <v>2</v>
      </c>
      <c r="C7" s="6">
        <f>Arrivals!F7</f>
        <v>7</v>
      </c>
      <c r="D7" s="6">
        <f>Arrivals!J7</f>
        <v>2.6480912085848827</v>
      </c>
      <c r="E7" s="6">
        <f t="shared" ref="E7:E38" si="9">G6</f>
        <v>12.045247872269458</v>
      </c>
      <c r="F7" s="6">
        <f t="shared" si="0"/>
        <v>12.045247872269458</v>
      </c>
      <c r="G7" s="6">
        <f t="shared" si="1"/>
        <v>14.69333908085434</v>
      </c>
      <c r="H7" s="6">
        <f>Arrivals!L7</f>
        <v>75</v>
      </c>
      <c r="I7" s="6">
        <f>H7*8/ACE_Input!S7+ACE_Input!T7</f>
        <v>6.02</v>
      </c>
      <c r="J7" s="6">
        <f t="shared" ref="J7:J38" si="10">N6</f>
        <v>18.06524787226946</v>
      </c>
      <c r="K7" s="6">
        <f t="shared" si="2"/>
        <v>18.06524787226946</v>
      </c>
      <c r="L7" s="6">
        <f>MOD(K7-Settings!$B$32,Settings!$B$33)</f>
        <v>18.06524787226946</v>
      </c>
      <c r="M7" s="6">
        <f>IF(L7&lt;Settings!$B$30,IF(Settings!$B$30-L7&gt;=I7,K7,K7+(Settings!$B$30-L7)+Settings!$B$31),K7+(Settings!$B$33-L7))</f>
        <v>18.06524787226946</v>
      </c>
      <c r="N7" s="6">
        <f t="shared" si="3"/>
        <v>24.085247872269459</v>
      </c>
      <c r="O7" s="6">
        <f t="shared" si="4"/>
        <v>17.085247872269459</v>
      </c>
      <c r="P7" s="6">
        <f t="shared" si="5"/>
        <v>5.0452478722694583</v>
      </c>
      <c r="Q7" s="6">
        <f t="shared" si="6"/>
        <v>3.3719087914151196</v>
      </c>
      <c r="R7" s="6">
        <f t="shared" si="7"/>
        <v>0</v>
      </c>
      <c r="S7" s="6">
        <f t="shared" si="8"/>
        <v>8.4171566636845778</v>
      </c>
      <c r="T7" s="6" t="str">
        <f>IF(MOD(C7-Settings!$B$32,Settings!$B$33)&lt;Settings!$B$30,"Up","Down")</f>
        <v>Up</v>
      </c>
      <c r="U7" s="6">
        <f>IF(OR(I7&gt;Settings!$B$30,O7&gt;Settings!$B$37),0,1)</f>
        <v>1</v>
      </c>
      <c r="V7" s="6">
        <f>IF(AND(U7=1,O7&lt;=Settings!$B$36),1,0)</f>
        <v>1</v>
      </c>
    </row>
    <row r="8" spans="1:24" x14ac:dyDescent="0.2">
      <c r="A8">
        <f>Arrivals!A8</f>
        <v>1</v>
      </c>
      <c r="B8">
        <f>Arrivals!B8</f>
        <v>3</v>
      </c>
      <c r="C8" s="6">
        <f>Arrivals!F8</f>
        <v>32</v>
      </c>
      <c r="D8" s="6">
        <f>Arrivals!J8</f>
        <v>2.0632877242144851</v>
      </c>
      <c r="E8" s="6">
        <f t="shared" si="9"/>
        <v>14.69333908085434</v>
      </c>
      <c r="F8" s="6">
        <f t="shared" si="0"/>
        <v>32</v>
      </c>
      <c r="G8" s="6">
        <f t="shared" si="1"/>
        <v>34.063287724214483</v>
      </c>
      <c r="H8" s="6">
        <f>Arrivals!L8</f>
        <v>75</v>
      </c>
      <c r="I8" s="6">
        <f>H8*8/ACE_Input!S8+ACE_Input!T8</f>
        <v>6.02</v>
      </c>
      <c r="J8" s="6">
        <f t="shared" si="10"/>
        <v>24.085247872269459</v>
      </c>
      <c r="K8" s="6">
        <f t="shared" si="2"/>
        <v>34.063287724214483</v>
      </c>
      <c r="L8" s="6">
        <f>MOD(K8-Settings!$B$32,Settings!$B$33)</f>
        <v>34.063287724214483</v>
      </c>
      <c r="M8" s="6">
        <f>IF(L8&lt;Settings!$B$30,IF(Settings!$B$30-L8&gt;=I8,K8,K8+(Settings!$B$30-L8)+Settings!$B$31),K8+(Settings!$B$33-L8))</f>
        <v>34.063287724214483</v>
      </c>
      <c r="N8" s="6">
        <f t="shared" si="3"/>
        <v>40.083287724214486</v>
      </c>
      <c r="O8" s="6">
        <f t="shared" si="4"/>
        <v>8.083287724214486</v>
      </c>
      <c r="P8" s="6">
        <f t="shared" si="5"/>
        <v>0</v>
      </c>
      <c r="Q8" s="6">
        <f t="shared" si="6"/>
        <v>0</v>
      </c>
      <c r="R8" s="6">
        <f t="shared" si="7"/>
        <v>0</v>
      </c>
      <c r="S8" s="6">
        <f t="shared" si="8"/>
        <v>0</v>
      </c>
      <c r="T8" s="6" t="str">
        <f>IF(MOD(C8-Settings!$B$32,Settings!$B$33)&lt;Settings!$B$30,"Up","Down")</f>
        <v>Up</v>
      </c>
      <c r="U8" s="6">
        <f>IF(OR(I8&gt;Settings!$B$30,O8&gt;Settings!$B$37),0,1)</f>
        <v>1</v>
      </c>
      <c r="V8" s="6">
        <f>IF(AND(U8=1,O8&lt;=Settings!$B$36),1,0)</f>
        <v>1</v>
      </c>
    </row>
    <row r="9" spans="1:24" x14ac:dyDescent="0.2">
      <c r="A9">
        <f>Arrivals!A9</f>
        <v>1</v>
      </c>
      <c r="B9">
        <f>Arrivals!B9</f>
        <v>4</v>
      </c>
      <c r="C9" s="6">
        <f>Arrivals!F9</f>
        <v>37</v>
      </c>
      <c r="D9" s="6">
        <f>Arrivals!J9</f>
        <v>0.19418507375347457</v>
      </c>
      <c r="E9" s="6">
        <f t="shared" si="9"/>
        <v>34.063287724214483</v>
      </c>
      <c r="F9" s="6">
        <f t="shared" si="0"/>
        <v>37</v>
      </c>
      <c r="G9" s="6">
        <f t="shared" si="1"/>
        <v>37.194185073753474</v>
      </c>
      <c r="H9" s="6">
        <f>Arrivals!L9</f>
        <v>75</v>
      </c>
      <c r="I9" s="6">
        <f>H9*8/ACE_Input!S9+ACE_Input!T9</f>
        <v>6.02</v>
      </c>
      <c r="J9" s="6">
        <f t="shared" si="10"/>
        <v>40.083287724214486</v>
      </c>
      <c r="K9" s="6">
        <f t="shared" si="2"/>
        <v>40.083287724214486</v>
      </c>
      <c r="L9" s="6">
        <f>MOD(K9-Settings!$B$32,Settings!$B$33)</f>
        <v>40.083287724214486</v>
      </c>
      <c r="M9" s="6">
        <f>IF(L9&lt;Settings!$B$30,IF(Settings!$B$30-L9&gt;=I9,K9,K9+(Settings!$B$30-L9)+Settings!$B$31),K9+(Settings!$B$33-L9))</f>
        <v>40.083287724214486</v>
      </c>
      <c r="N9" s="6">
        <f t="shared" si="3"/>
        <v>46.103287724214482</v>
      </c>
      <c r="O9" s="6">
        <f t="shared" si="4"/>
        <v>9.1032877242144821</v>
      </c>
      <c r="P9" s="6">
        <f t="shared" si="5"/>
        <v>0</v>
      </c>
      <c r="Q9" s="6">
        <f t="shared" si="6"/>
        <v>2.8891026504610124</v>
      </c>
      <c r="R9" s="6">
        <f t="shared" si="7"/>
        <v>0</v>
      </c>
      <c r="S9" s="6">
        <f t="shared" si="8"/>
        <v>2.8891026504610124</v>
      </c>
      <c r="T9" s="6" t="str">
        <f>IF(MOD(C9-Settings!$B$32,Settings!$B$33)&lt;Settings!$B$30,"Up","Down")</f>
        <v>Up</v>
      </c>
      <c r="U9" s="6">
        <f>IF(OR(I9&gt;Settings!$B$30,O9&gt;Settings!$B$37),0,1)</f>
        <v>1</v>
      </c>
      <c r="V9" s="6">
        <f>IF(AND(U9=1,O9&lt;=Settings!$B$36),1,0)</f>
        <v>1</v>
      </c>
    </row>
    <row r="10" spans="1:24" x14ac:dyDescent="0.2">
      <c r="A10">
        <f>Arrivals!A10</f>
        <v>1</v>
      </c>
      <c r="B10">
        <f>Arrivals!B10</f>
        <v>5</v>
      </c>
      <c r="C10" s="6">
        <f>Arrivals!F10</f>
        <v>42</v>
      </c>
      <c r="D10" s="6">
        <f>Arrivals!J10</f>
        <v>18.370799682313177</v>
      </c>
      <c r="E10" s="6">
        <f t="shared" si="9"/>
        <v>37.194185073753474</v>
      </c>
      <c r="F10" s="6">
        <f t="shared" si="0"/>
        <v>42</v>
      </c>
      <c r="G10" s="6">
        <f t="shared" si="1"/>
        <v>60.370799682313177</v>
      </c>
      <c r="H10" s="6">
        <f>Arrivals!L10</f>
        <v>75</v>
      </c>
      <c r="I10" s="6">
        <f>H10*8/ACE_Input!S10+ACE_Input!T10</f>
        <v>6.02</v>
      </c>
      <c r="J10" s="6">
        <f t="shared" si="10"/>
        <v>46.103287724214482</v>
      </c>
      <c r="K10" s="6">
        <f t="shared" si="2"/>
        <v>60.370799682313177</v>
      </c>
      <c r="L10" s="6">
        <f>MOD(K10-Settings!$B$32,Settings!$B$33)</f>
        <v>60.370799682313177</v>
      </c>
      <c r="M10" s="6">
        <f>IF(L10&lt;Settings!$B$30,IF(Settings!$B$30-L10&gt;=I10,K10,K10+(Settings!$B$30-L10)+Settings!$B$31),K10+(Settings!$B$33-L10))</f>
        <v>60.370799682313177</v>
      </c>
      <c r="N10" s="6">
        <f t="shared" si="3"/>
        <v>66.390799682313173</v>
      </c>
      <c r="O10" s="6">
        <f t="shared" si="4"/>
        <v>24.390799682313173</v>
      </c>
      <c r="P10" s="6">
        <f t="shared" si="5"/>
        <v>0</v>
      </c>
      <c r="Q10" s="6">
        <f t="shared" si="6"/>
        <v>0</v>
      </c>
      <c r="R10" s="6">
        <f t="shared" si="7"/>
        <v>0</v>
      </c>
      <c r="S10" s="6">
        <f t="shared" si="8"/>
        <v>0</v>
      </c>
      <c r="T10" s="6" t="str">
        <f>IF(MOD(C10-Settings!$B$32,Settings!$B$33)&lt;Settings!$B$30,"Up","Down")</f>
        <v>Up</v>
      </c>
      <c r="U10" s="6">
        <f>IF(OR(I10&gt;Settings!$B$30,O10&gt;Settings!$B$37),0,1)</f>
        <v>1</v>
      </c>
      <c r="V10" s="6">
        <f>IF(AND(U10=1,O10&lt;=Settings!$B$36),1,0)</f>
        <v>1</v>
      </c>
    </row>
    <row r="11" spans="1:24" x14ac:dyDescent="0.2">
      <c r="A11">
        <f>Arrivals!A11</f>
        <v>1</v>
      </c>
      <c r="B11">
        <f>Arrivals!B11</f>
        <v>6</v>
      </c>
      <c r="C11" s="6">
        <f>Arrivals!F11</f>
        <v>47</v>
      </c>
      <c r="D11" s="6">
        <f>Arrivals!J11</f>
        <v>38.287293014704723</v>
      </c>
      <c r="E11" s="6">
        <f t="shared" si="9"/>
        <v>60.370799682313177</v>
      </c>
      <c r="F11" s="6">
        <f t="shared" si="0"/>
        <v>60.370799682313177</v>
      </c>
      <c r="G11" s="6">
        <f t="shared" si="1"/>
        <v>98.658092697017906</v>
      </c>
      <c r="H11" s="6">
        <f>Arrivals!L11</f>
        <v>75</v>
      </c>
      <c r="I11" s="6">
        <f>H11*8/ACE_Input!S11+ACE_Input!T11</f>
        <v>6.02</v>
      </c>
      <c r="J11" s="6">
        <f t="shared" si="10"/>
        <v>66.390799682313173</v>
      </c>
      <c r="K11" s="6">
        <f t="shared" si="2"/>
        <v>98.658092697017906</v>
      </c>
      <c r="L11" s="6">
        <f>MOD(K11-Settings!$B$32,Settings!$B$33)</f>
        <v>98.658092697017906</v>
      </c>
      <c r="M11" s="6">
        <f>IF(L11&lt;Settings!$B$30,IF(Settings!$B$30-L11&gt;=I11,K11,K11+(Settings!$B$30-L11)+Settings!$B$31),K11+(Settings!$B$33-L11))</f>
        <v>98.658092697017906</v>
      </c>
      <c r="N11" s="6">
        <f t="shared" si="3"/>
        <v>104.6780926970179</v>
      </c>
      <c r="O11" s="6">
        <f t="shared" si="4"/>
        <v>57.678092697017902</v>
      </c>
      <c r="P11" s="6">
        <f t="shared" si="5"/>
        <v>13.370799682313177</v>
      </c>
      <c r="Q11" s="6">
        <f t="shared" si="6"/>
        <v>0</v>
      </c>
      <c r="R11" s="6">
        <f t="shared" si="7"/>
        <v>0</v>
      </c>
      <c r="S11" s="6">
        <f t="shared" si="8"/>
        <v>13.370799682313177</v>
      </c>
      <c r="T11" s="6" t="str">
        <f>IF(MOD(C11-Settings!$B$32,Settings!$B$33)&lt;Settings!$B$30,"Up","Down")</f>
        <v>Up</v>
      </c>
      <c r="U11" s="6">
        <f>IF(OR(I11&gt;Settings!$B$30,O11&gt;Settings!$B$37),0,1)</f>
        <v>1</v>
      </c>
      <c r="V11" s="6">
        <f>IF(AND(U11=1,O11&lt;=Settings!$B$36),1,0)</f>
        <v>1</v>
      </c>
    </row>
    <row r="12" spans="1:24" x14ac:dyDescent="0.2">
      <c r="A12">
        <f>Arrivals!A12</f>
        <v>1</v>
      </c>
      <c r="B12">
        <f>Arrivals!B12</f>
        <v>7</v>
      </c>
      <c r="C12" s="6">
        <f>Arrivals!F12</f>
        <v>52</v>
      </c>
      <c r="D12" s="6">
        <f>Arrivals!J12</f>
        <v>7.0608284586481247</v>
      </c>
      <c r="E12" s="6">
        <f t="shared" si="9"/>
        <v>98.658092697017906</v>
      </c>
      <c r="F12" s="6">
        <f t="shared" si="0"/>
        <v>98.658092697017906</v>
      </c>
      <c r="G12" s="6">
        <f t="shared" si="1"/>
        <v>105.71892115566604</v>
      </c>
      <c r="H12" s="6">
        <f>Arrivals!L12</f>
        <v>75</v>
      </c>
      <c r="I12" s="6">
        <f>H12*8/ACE_Input!S12+ACE_Input!T12</f>
        <v>6.02</v>
      </c>
      <c r="J12" s="6">
        <f t="shared" si="10"/>
        <v>104.6780926970179</v>
      </c>
      <c r="K12" s="6">
        <f t="shared" si="2"/>
        <v>105.71892115566604</v>
      </c>
      <c r="L12" s="6">
        <f>MOD(K12-Settings!$B$32,Settings!$B$33)</f>
        <v>105.71892115566604</v>
      </c>
      <c r="M12" s="6">
        <f>IF(L12&lt;Settings!$B$30,IF(Settings!$B$30-L12&gt;=I12,K12,K12+(Settings!$B$30-L12)+Settings!$B$31),K12+(Settings!$B$33-L12))</f>
        <v>105.71892115566604</v>
      </c>
      <c r="N12" s="6">
        <f t="shared" si="3"/>
        <v>111.73892115566603</v>
      </c>
      <c r="O12" s="6">
        <f t="shared" si="4"/>
        <v>59.738921155666034</v>
      </c>
      <c r="P12" s="6">
        <f t="shared" si="5"/>
        <v>46.658092697017906</v>
      </c>
      <c r="Q12" s="6">
        <f t="shared" si="6"/>
        <v>0</v>
      </c>
      <c r="R12" s="6">
        <f t="shared" si="7"/>
        <v>0</v>
      </c>
      <c r="S12" s="6">
        <f t="shared" si="8"/>
        <v>46.658092697017906</v>
      </c>
      <c r="T12" s="6" t="str">
        <f>IF(MOD(C12-Settings!$B$32,Settings!$B$33)&lt;Settings!$B$30,"Up","Down")</f>
        <v>Up</v>
      </c>
      <c r="U12" s="6">
        <f>IF(OR(I12&gt;Settings!$B$30,O12&gt;Settings!$B$37),0,1)</f>
        <v>1</v>
      </c>
      <c r="V12" s="6">
        <f>IF(AND(U12=1,O12&lt;=Settings!$B$36),1,0)</f>
        <v>1</v>
      </c>
    </row>
    <row r="13" spans="1:24" x14ac:dyDescent="0.2">
      <c r="A13">
        <f>Arrivals!A13</f>
        <v>1</v>
      </c>
      <c r="B13">
        <f>Arrivals!B13</f>
        <v>8</v>
      </c>
      <c r="C13" s="6">
        <f>Arrivals!F13</f>
        <v>57</v>
      </c>
      <c r="D13" s="6">
        <f>Arrivals!J13</f>
        <v>8.9332383999423968</v>
      </c>
      <c r="E13" s="6">
        <f t="shared" si="9"/>
        <v>105.71892115566604</v>
      </c>
      <c r="F13" s="6">
        <f t="shared" si="0"/>
        <v>105.71892115566604</v>
      </c>
      <c r="G13" s="6">
        <f t="shared" si="1"/>
        <v>114.65215955560843</v>
      </c>
      <c r="H13" s="6">
        <f>Arrivals!L13</f>
        <v>75</v>
      </c>
      <c r="I13" s="6">
        <f>H13*8/ACE_Input!S13+ACE_Input!T13</f>
        <v>6.02</v>
      </c>
      <c r="J13" s="6">
        <f t="shared" si="10"/>
        <v>111.73892115566603</v>
      </c>
      <c r="K13" s="6">
        <f t="shared" si="2"/>
        <v>114.65215955560843</v>
      </c>
      <c r="L13" s="6">
        <f>MOD(K13-Settings!$B$32,Settings!$B$33)</f>
        <v>114.65215955560843</v>
      </c>
      <c r="M13" s="6">
        <f>IF(L13&lt;Settings!$B$30,IF(Settings!$B$30-L13&gt;=I13,K13,K13+(Settings!$B$30-L13)+Settings!$B$31),K13+(Settings!$B$33-L13))</f>
        <v>114.65215955560843</v>
      </c>
      <c r="N13" s="6">
        <f t="shared" si="3"/>
        <v>120.67215955560843</v>
      </c>
      <c r="O13" s="6">
        <f t="shared" si="4"/>
        <v>63.672159555608431</v>
      </c>
      <c r="P13" s="6">
        <f t="shared" si="5"/>
        <v>48.718921155666038</v>
      </c>
      <c r="Q13" s="6">
        <f t="shared" si="6"/>
        <v>0</v>
      </c>
      <c r="R13" s="6">
        <f t="shared" si="7"/>
        <v>0</v>
      </c>
      <c r="S13" s="6">
        <f t="shared" si="8"/>
        <v>48.718921155666038</v>
      </c>
      <c r="T13" s="6" t="str">
        <f>IF(MOD(C13-Settings!$B$32,Settings!$B$33)&lt;Settings!$B$30,"Up","Down")</f>
        <v>Up</v>
      </c>
      <c r="U13" s="6">
        <f>IF(OR(I13&gt;Settings!$B$30,O13&gt;Settings!$B$37),0,1)</f>
        <v>1</v>
      </c>
      <c r="V13" s="6">
        <f>IF(AND(U13=1,O13&lt;=Settings!$B$36),1,0)</f>
        <v>1</v>
      </c>
    </row>
    <row r="14" spans="1:24" x14ac:dyDescent="0.2">
      <c r="A14">
        <f>Arrivals!A14</f>
        <v>1</v>
      </c>
      <c r="B14">
        <f>Arrivals!B14</f>
        <v>9</v>
      </c>
      <c r="C14" s="6">
        <f>Arrivals!F14</f>
        <v>172</v>
      </c>
      <c r="D14" s="6">
        <f>Arrivals!J14</f>
        <v>12.378153651429487</v>
      </c>
      <c r="E14" s="6">
        <f t="shared" si="9"/>
        <v>114.65215955560843</v>
      </c>
      <c r="F14" s="6">
        <f t="shared" si="0"/>
        <v>172</v>
      </c>
      <c r="G14" s="6">
        <f t="shared" si="1"/>
        <v>184.3781536514295</v>
      </c>
      <c r="H14" s="6">
        <f>Arrivals!L14</f>
        <v>75</v>
      </c>
      <c r="I14" s="6">
        <f>H14*8/ACE_Input!S14+ACE_Input!T14</f>
        <v>6.02</v>
      </c>
      <c r="J14" s="6">
        <f t="shared" si="10"/>
        <v>120.67215955560843</v>
      </c>
      <c r="K14" s="6">
        <f t="shared" si="2"/>
        <v>184.3781536514295</v>
      </c>
      <c r="L14" s="6">
        <f>MOD(K14-Settings!$B$32,Settings!$B$33)</f>
        <v>184.3781536514295</v>
      </c>
      <c r="M14" s="6">
        <f>IF(L14&lt;Settings!$B$30,IF(Settings!$B$30-L14&gt;=I14,K14,K14+(Settings!$B$30-L14)+Settings!$B$31),K14+(Settings!$B$33-L14))</f>
        <v>184.3781536514295</v>
      </c>
      <c r="N14" s="6">
        <f t="shared" si="3"/>
        <v>190.39815365142951</v>
      </c>
      <c r="O14" s="6">
        <f t="shared" si="4"/>
        <v>18.39815365142951</v>
      </c>
      <c r="P14" s="6">
        <f t="shared" si="5"/>
        <v>0</v>
      </c>
      <c r="Q14" s="6">
        <f t="shared" si="6"/>
        <v>0</v>
      </c>
      <c r="R14" s="6">
        <f t="shared" si="7"/>
        <v>0</v>
      </c>
      <c r="S14" s="6">
        <f t="shared" si="8"/>
        <v>0</v>
      </c>
      <c r="T14" s="6" t="str">
        <f>IF(MOD(C14-Settings!$B$32,Settings!$B$33)&lt;Settings!$B$30,"Up","Down")</f>
        <v>Up</v>
      </c>
      <c r="U14" s="6">
        <f>IF(OR(I14&gt;Settings!$B$30,O14&gt;Settings!$B$37),0,1)</f>
        <v>1</v>
      </c>
      <c r="V14" s="6">
        <f>IF(AND(U14=1,O14&lt;=Settings!$B$36),1,0)</f>
        <v>1</v>
      </c>
    </row>
    <row r="15" spans="1:24" x14ac:dyDescent="0.2">
      <c r="A15">
        <f>Arrivals!A15</f>
        <v>1</v>
      </c>
      <c r="B15">
        <f>Arrivals!B15</f>
        <v>10</v>
      </c>
      <c r="C15" s="6">
        <f>Arrivals!F15</f>
        <v>177</v>
      </c>
      <c r="D15" s="6">
        <f>Arrivals!J15</f>
        <v>23.114768026514589</v>
      </c>
      <c r="E15" s="6">
        <f t="shared" si="9"/>
        <v>184.3781536514295</v>
      </c>
      <c r="F15" s="6">
        <f t="shared" si="0"/>
        <v>184.3781536514295</v>
      </c>
      <c r="G15" s="6">
        <f t="shared" si="1"/>
        <v>207.49292167794408</v>
      </c>
      <c r="H15" s="6">
        <f>Arrivals!L15</f>
        <v>75</v>
      </c>
      <c r="I15" s="6">
        <f>H15*8/ACE_Input!S15+ACE_Input!T15</f>
        <v>6.02</v>
      </c>
      <c r="J15" s="6">
        <f t="shared" si="10"/>
        <v>190.39815365142951</v>
      </c>
      <c r="K15" s="6">
        <f t="shared" si="2"/>
        <v>207.49292167794408</v>
      </c>
      <c r="L15" s="6">
        <f>MOD(K15-Settings!$B$32,Settings!$B$33)</f>
        <v>207.49292167794408</v>
      </c>
      <c r="M15" s="6">
        <f>IF(L15&lt;Settings!$B$30,IF(Settings!$B$30-L15&gt;=I15,K15,K15+(Settings!$B$30-L15)+Settings!$B$31),K15+(Settings!$B$33-L15))</f>
        <v>207.49292167794408</v>
      </c>
      <c r="N15" s="6">
        <f t="shared" si="3"/>
        <v>213.51292167794409</v>
      </c>
      <c r="O15" s="6">
        <f t="shared" si="4"/>
        <v>36.512921677944092</v>
      </c>
      <c r="P15" s="6">
        <f t="shared" si="5"/>
        <v>7.3781536514294999</v>
      </c>
      <c r="Q15" s="6">
        <f t="shared" si="6"/>
        <v>0</v>
      </c>
      <c r="R15" s="6">
        <f t="shared" si="7"/>
        <v>0</v>
      </c>
      <c r="S15" s="6">
        <f t="shared" si="8"/>
        <v>7.3781536514294999</v>
      </c>
      <c r="T15" s="6" t="str">
        <f>IF(MOD(C15-Settings!$B$32,Settings!$B$33)&lt;Settings!$B$30,"Up","Down")</f>
        <v>Up</v>
      </c>
      <c r="U15" s="6">
        <f>IF(OR(I15&gt;Settings!$B$30,O15&gt;Settings!$B$37),0,1)</f>
        <v>1</v>
      </c>
      <c r="V15" s="6">
        <f>IF(AND(U15=1,O15&lt;=Settings!$B$36),1,0)</f>
        <v>1</v>
      </c>
    </row>
    <row r="16" spans="1:24" x14ac:dyDescent="0.2">
      <c r="A16">
        <f>Arrivals!A16</f>
        <v>1</v>
      </c>
      <c r="B16">
        <f>Arrivals!B16</f>
        <v>11</v>
      </c>
      <c r="C16" s="6">
        <f>Arrivals!F16</f>
        <v>182</v>
      </c>
      <c r="D16" s="6">
        <f>Arrivals!J16</f>
        <v>3.9682638086743474</v>
      </c>
      <c r="E16" s="6">
        <f t="shared" si="9"/>
        <v>207.49292167794408</v>
      </c>
      <c r="F16" s="6">
        <f t="shared" si="0"/>
        <v>207.49292167794408</v>
      </c>
      <c r="G16" s="6">
        <f t="shared" si="1"/>
        <v>211.46118548661843</v>
      </c>
      <c r="H16" s="6">
        <f>Arrivals!L16</f>
        <v>75</v>
      </c>
      <c r="I16" s="6">
        <f>H16*8/ACE_Input!S16+ACE_Input!T16</f>
        <v>6.02</v>
      </c>
      <c r="J16" s="6">
        <f t="shared" si="10"/>
        <v>213.51292167794409</v>
      </c>
      <c r="K16" s="6">
        <f t="shared" si="2"/>
        <v>213.51292167794409</v>
      </c>
      <c r="L16" s="6">
        <f>MOD(K16-Settings!$B$32,Settings!$B$33)</f>
        <v>213.51292167794409</v>
      </c>
      <c r="M16" s="6">
        <f>IF(L16&lt;Settings!$B$30,IF(Settings!$B$30-L16&gt;=I16,K16,K16+(Settings!$B$30-L16)+Settings!$B$31),K16+(Settings!$B$33-L16))</f>
        <v>213.51292167794409</v>
      </c>
      <c r="N16" s="6">
        <f t="shared" si="3"/>
        <v>219.5329216779441</v>
      </c>
      <c r="O16" s="6">
        <f t="shared" si="4"/>
        <v>37.532921677944103</v>
      </c>
      <c r="P16" s="6">
        <f t="shared" si="5"/>
        <v>25.492921677944082</v>
      </c>
      <c r="Q16" s="6">
        <f t="shared" si="6"/>
        <v>2.0517361913256593</v>
      </c>
      <c r="R16" s="6">
        <f t="shared" si="7"/>
        <v>0</v>
      </c>
      <c r="S16" s="6">
        <f t="shared" si="8"/>
        <v>27.544657869269741</v>
      </c>
      <c r="T16" s="6" t="str">
        <f>IF(MOD(C16-Settings!$B$32,Settings!$B$33)&lt;Settings!$B$30,"Up","Down")</f>
        <v>Up</v>
      </c>
      <c r="U16" s="6">
        <f>IF(OR(I16&gt;Settings!$B$30,O16&gt;Settings!$B$37),0,1)</f>
        <v>1</v>
      </c>
      <c r="V16" s="6">
        <f>IF(AND(U16=1,O16&lt;=Settings!$B$36),1,0)</f>
        <v>1</v>
      </c>
    </row>
    <row r="17" spans="1:22" x14ac:dyDescent="0.2">
      <c r="A17">
        <f>Arrivals!A17</f>
        <v>1</v>
      </c>
      <c r="B17">
        <f>Arrivals!B17</f>
        <v>12</v>
      </c>
      <c r="C17" s="6">
        <f>Arrivals!F17</f>
        <v>187</v>
      </c>
      <c r="D17" s="6">
        <f>Arrivals!J17</f>
        <v>5.4851593228514144</v>
      </c>
      <c r="E17" s="6">
        <f t="shared" si="9"/>
        <v>211.46118548661843</v>
      </c>
      <c r="F17" s="6">
        <f t="shared" si="0"/>
        <v>211.46118548661843</v>
      </c>
      <c r="G17" s="6">
        <f t="shared" si="1"/>
        <v>216.94634480946985</v>
      </c>
      <c r="H17" s="6">
        <f>Arrivals!L17</f>
        <v>75</v>
      </c>
      <c r="I17" s="6">
        <f>H17*8/ACE_Input!S17+ACE_Input!T17</f>
        <v>6.02</v>
      </c>
      <c r="J17" s="6">
        <f t="shared" si="10"/>
        <v>219.5329216779441</v>
      </c>
      <c r="K17" s="6">
        <f t="shared" si="2"/>
        <v>219.5329216779441</v>
      </c>
      <c r="L17" s="6">
        <f>MOD(K17-Settings!$B$32,Settings!$B$33)</f>
        <v>219.5329216779441</v>
      </c>
      <c r="M17" s="6">
        <f>IF(L17&lt;Settings!$B$30,IF(Settings!$B$30-L17&gt;=I17,K17,K17+(Settings!$B$30-L17)+Settings!$B$31),K17+(Settings!$B$33-L17))</f>
        <v>219.5329216779441</v>
      </c>
      <c r="N17" s="6">
        <f t="shared" si="3"/>
        <v>225.55292167794411</v>
      </c>
      <c r="O17" s="6">
        <f t="shared" si="4"/>
        <v>38.552921677944113</v>
      </c>
      <c r="P17" s="6">
        <f t="shared" si="5"/>
        <v>24.461185486618433</v>
      </c>
      <c r="Q17" s="6">
        <f t="shared" si="6"/>
        <v>2.5865768684742534</v>
      </c>
      <c r="R17" s="6">
        <f t="shared" si="7"/>
        <v>0</v>
      </c>
      <c r="S17" s="6">
        <f t="shared" si="8"/>
        <v>27.047762355092686</v>
      </c>
      <c r="T17" s="6" t="str">
        <f>IF(MOD(C17-Settings!$B$32,Settings!$B$33)&lt;Settings!$B$30,"Up","Down")</f>
        <v>Up</v>
      </c>
      <c r="U17" s="6">
        <f>IF(OR(I17&gt;Settings!$B$30,O17&gt;Settings!$B$37),0,1)</f>
        <v>1</v>
      </c>
      <c r="V17" s="6">
        <f>IF(AND(U17=1,O17&lt;=Settings!$B$36),1,0)</f>
        <v>1</v>
      </c>
    </row>
    <row r="18" spans="1:22" x14ac:dyDescent="0.2">
      <c r="A18">
        <f>Arrivals!A18</f>
        <v>1</v>
      </c>
      <c r="B18">
        <f>Arrivals!B18</f>
        <v>13</v>
      </c>
      <c r="C18" s="6">
        <f>Arrivals!F18</f>
        <v>192</v>
      </c>
      <c r="D18" s="6">
        <f>Arrivals!J18</f>
        <v>2.1795247128591346</v>
      </c>
      <c r="E18" s="6">
        <f t="shared" si="9"/>
        <v>216.94634480946985</v>
      </c>
      <c r="F18" s="6">
        <f t="shared" si="0"/>
        <v>216.94634480946985</v>
      </c>
      <c r="G18" s="6">
        <f t="shared" si="1"/>
        <v>219.125869522329</v>
      </c>
      <c r="H18" s="6">
        <f>Arrivals!L18</f>
        <v>75</v>
      </c>
      <c r="I18" s="6">
        <f>H18*8/ACE_Input!S18+ACE_Input!T18</f>
        <v>6.02</v>
      </c>
      <c r="J18" s="6">
        <f t="shared" si="10"/>
        <v>225.55292167794411</v>
      </c>
      <c r="K18" s="6">
        <f t="shared" si="2"/>
        <v>225.55292167794411</v>
      </c>
      <c r="L18" s="6">
        <f>MOD(K18-Settings!$B$32,Settings!$B$33)</f>
        <v>225.55292167794411</v>
      </c>
      <c r="M18" s="6">
        <f>IF(L18&lt;Settings!$B$30,IF(Settings!$B$30-L18&gt;=I18,K18,K18+(Settings!$B$30-L18)+Settings!$B$31),K18+(Settings!$B$33-L18))</f>
        <v>225.55292167794411</v>
      </c>
      <c r="N18" s="6">
        <f t="shared" si="3"/>
        <v>231.57292167794412</v>
      </c>
      <c r="O18" s="6">
        <f t="shared" si="4"/>
        <v>39.572921677944123</v>
      </c>
      <c r="P18" s="6">
        <f t="shared" si="5"/>
        <v>24.946344809469849</v>
      </c>
      <c r="Q18" s="6">
        <f t="shared" si="6"/>
        <v>6.4270521556151152</v>
      </c>
      <c r="R18" s="6">
        <f t="shared" si="7"/>
        <v>0</v>
      </c>
      <c r="S18" s="6">
        <f t="shared" si="8"/>
        <v>31.373396965084964</v>
      </c>
      <c r="T18" s="6" t="str">
        <f>IF(MOD(C18-Settings!$B$32,Settings!$B$33)&lt;Settings!$B$30,"Up","Down")</f>
        <v>Up</v>
      </c>
      <c r="U18" s="6">
        <f>IF(OR(I18&gt;Settings!$B$30,O18&gt;Settings!$B$37),0,1)</f>
        <v>1</v>
      </c>
      <c r="V18" s="6">
        <f>IF(AND(U18=1,O18&lt;=Settings!$B$36),1,0)</f>
        <v>1</v>
      </c>
    </row>
    <row r="19" spans="1:22" x14ac:dyDescent="0.2">
      <c r="A19">
        <f>Arrivals!A19</f>
        <v>1</v>
      </c>
      <c r="B19">
        <f>Arrivals!B19</f>
        <v>14</v>
      </c>
      <c r="C19" s="6">
        <f>Arrivals!F19</f>
        <v>197</v>
      </c>
      <c r="D19" s="6">
        <f>Arrivals!J19</f>
        <v>6.8782331095075735</v>
      </c>
      <c r="E19" s="6">
        <f t="shared" si="9"/>
        <v>219.125869522329</v>
      </c>
      <c r="F19" s="6">
        <f t="shared" si="0"/>
        <v>219.125869522329</v>
      </c>
      <c r="G19" s="6">
        <f t="shared" si="1"/>
        <v>226.00410263183656</v>
      </c>
      <c r="H19" s="6">
        <f>Arrivals!L19</f>
        <v>75</v>
      </c>
      <c r="I19" s="6">
        <f>H19*8/ACE_Input!S19+ACE_Input!T19</f>
        <v>6.02</v>
      </c>
      <c r="J19" s="6">
        <f t="shared" si="10"/>
        <v>231.57292167794412</v>
      </c>
      <c r="K19" s="6">
        <f t="shared" si="2"/>
        <v>231.57292167794412</v>
      </c>
      <c r="L19" s="6">
        <f>MOD(K19-Settings!$B$32,Settings!$B$33)</f>
        <v>231.57292167794412</v>
      </c>
      <c r="M19" s="6">
        <f>IF(L19&lt;Settings!$B$30,IF(Settings!$B$30-L19&gt;=I19,K19,K19+(Settings!$B$30-L19)+Settings!$B$31),K19+(Settings!$B$33-L19))</f>
        <v>231.57292167794412</v>
      </c>
      <c r="N19" s="6">
        <f t="shared" si="3"/>
        <v>237.59292167794413</v>
      </c>
      <c r="O19" s="6">
        <f t="shared" si="4"/>
        <v>40.592921677944133</v>
      </c>
      <c r="P19" s="6">
        <f t="shared" si="5"/>
        <v>22.125869522328998</v>
      </c>
      <c r="Q19" s="6">
        <f t="shared" si="6"/>
        <v>5.5688190461075635</v>
      </c>
      <c r="R19" s="6">
        <f t="shared" si="7"/>
        <v>0</v>
      </c>
      <c r="S19" s="6">
        <f t="shared" si="8"/>
        <v>27.694688568436561</v>
      </c>
      <c r="T19" s="6" t="str">
        <f>IF(MOD(C19-Settings!$B$32,Settings!$B$33)&lt;Settings!$B$30,"Up","Down")</f>
        <v>Up</v>
      </c>
      <c r="U19" s="6">
        <f>IF(OR(I19&gt;Settings!$B$30,O19&gt;Settings!$B$37),0,1)</f>
        <v>1</v>
      </c>
      <c r="V19" s="6">
        <f>IF(AND(U19=1,O19&lt;=Settings!$B$36),1,0)</f>
        <v>1</v>
      </c>
    </row>
    <row r="20" spans="1:22" x14ac:dyDescent="0.2">
      <c r="A20">
        <f>Arrivals!A20</f>
        <v>1</v>
      </c>
      <c r="B20">
        <f>Arrivals!B20</f>
        <v>15</v>
      </c>
      <c r="C20" s="6">
        <f>Arrivals!F20</f>
        <v>202</v>
      </c>
      <c r="D20" s="6">
        <f>Arrivals!J20</f>
        <v>7.1498001917743697</v>
      </c>
      <c r="E20" s="6">
        <f t="shared" si="9"/>
        <v>226.00410263183656</v>
      </c>
      <c r="F20" s="6">
        <f t="shared" si="0"/>
        <v>226.00410263183656</v>
      </c>
      <c r="G20" s="6">
        <f t="shared" si="1"/>
        <v>233.15390282361093</v>
      </c>
      <c r="H20" s="6">
        <f>Arrivals!L20</f>
        <v>75</v>
      </c>
      <c r="I20" s="6">
        <f>H20*8/ACE_Input!S20+ACE_Input!T20</f>
        <v>6.02</v>
      </c>
      <c r="J20" s="6">
        <f t="shared" si="10"/>
        <v>237.59292167794413</v>
      </c>
      <c r="K20" s="6">
        <f t="shared" si="2"/>
        <v>237.59292167794413</v>
      </c>
      <c r="L20" s="6">
        <f>MOD(K20-Settings!$B$32,Settings!$B$33)</f>
        <v>237.59292167794413</v>
      </c>
      <c r="M20" s="6">
        <f>IF(L20&lt;Settings!$B$30,IF(Settings!$B$30-L20&gt;=I20,K20,K20+(Settings!$B$30-L20)+Settings!$B$31),K20+(Settings!$B$33-L20))</f>
        <v>237.59292167794413</v>
      </c>
      <c r="N20" s="6">
        <f t="shared" si="3"/>
        <v>243.61292167794414</v>
      </c>
      <c r="O20" s="6">
        <f t="shared" si="4"/>
        <v>41.612921677944144</v>
      </c>
      <c r="P20" s="6">
        <f t="shared" si="5"/>
        <v>24.00410263183656</v>
      </c>
      <c r="Q20" s="6">
        <f t="shared" si="6"/>
        <v>4.4390188543331988</v>
      </c>
      <c r="R20" s="6">
        <f t="shared" si="7"/>
        <v>0</v>
      </c>
      <c r="S20" s="6">
        <f t="shared" si="8"/>
        <v>28.443121486169758</v>
      </c>
      <c r="T20" s="6" t="str">
        <f>IF(MOD(C20-Settings!$B$32,Settings!$B$33)&lt;Settings!$B$30,"Up","Down")</f>
        <v>Up</v>
      </c>
      <c r="U20" s="6">
        <f>IF(OR(I20&gt;Settings!$B$30,O20&gt;Settings!$B$37),0,1)</f>
        <v>1</v>
      </c>
      <c r="V20" s="6">
        <f>IF(AND(U20=1,O20&lt;=Settings!$B$36),1,0)</f>
        <v>1</v>
      </c>
    </row>
    <row r="21" spans="1:22" x14ac:dyDescent="0.2">
      <c r="A21">
        <f>Arrivals!A21</f>
        <v>1</v>
      </c>
      <c r="B21">
        <f>Arrivals!B21</f>
        <v>16</v>
      </c>
      <c r="C21" s="6">
        <f>Arrivals!F21</f>
        <v>207</v>
      </c>
      <c r="D21" s="6">
        <f>Arrivals!J21</f>
        <v>7.2969514112502321</v>
      </c>
      <c r="E21" s="6">
        <f t="shared" si="9"/>
        <v>233.15390282361093</v>
      </c>
      <c r="F21" s="6">
        <f t="shared" si="0"/>
        <v>233.15390282361093</v>
      </c>
      <c r="G21" s="6">
        <f t="shared" si="1"/>
        <v>240.45085423486117</v>
      </c>
      <c r="H21" s="6">
        <f>Arrivals!L21</f>
        <v>75</v>
      </c>
      <c r="I21" s="6">
        <f>H21*8/ACE_Input!S21+ACE_Input!T21</f>
        <v>6.02</v>
      </c>
      <c r="J21" s="6">
        <f t="shared" si="10"/>
        <v>243.61292167794414</v>
      </c>
      <c r="K21" s="6">
        <f t="shared" si="2"/>
        <v>243.61292167794414</v>
      </c>
      <c r="L21" s="6">
        <f>MOD(K21-Settings!$B$32,Settings!$B$33)</f>
        <v>243.61292167794414</v>
      </c>
      <c r="M21" s="6">
        <f>IF(L21&lt;Settings!$B$30,IF(Settings!$B$30-L21&gt;=I21,K21,K21+(Settings!$B$30-L21)+Settings!$B$31),K21+(Settings!$B$33-L21))</f>
        <v>243.61292167794414</v>
      </c>
      <c r="N21" s="6">
        <f t="shared" si="3"/>
        <v>249.63292167794415</v>
      </c>
      <c r="O21" s="6">
        <f t="shared" si="4"/>
        <v>42.632921677944154</v>
      </c>
      <c r="P21" s="6">
        <f t="shared" si="5"/>
        <v>26.153902823610935</v>
      </c>
      <c r="Q21" s="6">
        <f t="shared" si="6"/>
        <v>3.1620674430829752</v>
      </c>
      <c r="R21" s="6">
        <f t="shared" si="7"/>
        <v>0</v>
      </c>
      <c r="S21" s="6">
        <f t="shared" si="8"/>
        <v>29.31597026669391</v>
      </c>
      <c r="T21" s="6" t="str">
        <f>IF(MOD(C21-Settings!$B$32,Settings!$B$33)&lt;Settings!$B$30,"Up","Down")</f>
        <v>Up</v>
      </c>
      <c r="U21" s="6">
        <f>IF(OR(I21&gt;Settings!$B$30,O21&gt;Settings!$B$37),0,1)</f>
        <v>1</v>
      </c>
      <c r="V21" s="6">
        <f>IF(AND(U21=1,O21&lt;=Settings!$B$36),1,0)</f>
        <v>1</v>
      </c>
    </row>
    <row r="22" spans="1:22" x14ac:dyDescent="0.2">
      <c r="A22">
        <f>Arrivals!A22</f>
        <v>1</v>
      </c>
      <c r="B22">
        <f>Arrivals!B22</f>
        <v>17</v>
      </c>
      <c r="C22" s="6">
        <f>Arrivals!F22</f>
        <v>212</v>
      </c>
      <c r="D22" s="6">
        <f>Arrivals!J22</f>
        <v>5.0760383952899009</v>
      </c>
      <c r="E22" s="6">
        <f t="shared" si="9"/>
        <v>240.45085423486117</v>
      </c>
      <c r="F22" s="6">
        <f t="shared" si="0"/>
        <v>240.45085423486117</v>
      </c>
      <c r="G22" s="6">
        <f t="shared" si="1"/>
        <v>245.52689263015108</v>
      </c>
      <c r="H22" s="6">
        <f>Arrivals!L22</f>
        <v>75</v>
      </c>
      <c r="I22" s="6">
        <f>H22*8/ACE_Input!S22+ACE_Input!T22</f>
        <v>6.02</v>
      </c>
      <c r="J22" s="6">
        <f t="shared" si="10"/>
        <v>249.63292167794415</v>
      </c>
      <c r="K22" s="6">
        <f t="shared" si="2"/>
        <v>249.63292167794415</v>
      </c>
      <c r="L22" s="6">
        <f>MOD(K22-Settings!$B$32,Settings!$B$33)</f>
        <v>249.63292167794415</v>
      </c>
      <c r="M22" s="6">
        <f>IF(L22&lt;Settings!$B$30,IF(Settings!$B$30-L22&gt;=I22,K22,K22+(Settings!$B$30-L22)+Settings!$B$31),K22+(Settings!$B$33-L22))</f>
        <v>249.63292167794415</v>
      </c>
      <c r="N22" s="6">
        <f t="shared" si="3"/>
        <v>255.65292167794416</v>
      </c>
      <c r="O22" s="6">
        <f t="shared" si="4"/>
        <v>43.652921677944164</v>
      </c>
      <c r="P22" s="6">
        <f t="shared" si="5"/>
        <v>28.450854234861168</v>
      </c>
      <c r="Q22" s="6">
        <f t="shared" si="6"/>
        <v>4.1060290477930721</v>
      </c>
      <c r="R22" s="6">
        <f t="shared" si="7"/>
        <v>0</v>
      </c>
      <c r="S22" s="6">
        <f t="shared" si="8"/>
        <v>32.55688328265424</v>
      </c>
      <c r="T22" s="6" t="str">
        <f>IF(MOD(C22-Settings!$B$32,Settings!$B$33)&lt;Settings!$B$30,"Up","Down")</f>
        <v>Up</v>
      </c>
      <c r="U22" s="6">
        <f>IF(OR(I22&gt;Settings!$B$30,O22&gt;Settings!$B$37),0,1)</f>
        <v>1</v>
      </c>
      <c r="V22" s="6">
        <f>IF(AND(U22=1,O22&lt;=Settings!$B$36),1,0)</f>
        <v>1</v>
      </c>
    </row>
    <row r="23" spans="1:22" x14ac:dyDescent="0.2">
      <c r="A23">
        <f>Arrivals!A23</f>
        <v>1</v>
      </c>
      <c r="B23">
        <f>Arrivals!B23</f>
        <v>18</v>
      </c>
      <c r="C23" s="6">
        <f>Arrivals!F23</f>
        <v>217</v>
      </c>
      <c r="D23" s="6">
        <f>Arrivals!J23</f>
        <v>1.6524092774944092</v>
      </c>
      <c r="E23" s="6">
        <f t="shared" si="9"/>
        <v>245.52689263015108</v>
      </c>
      <c r="F23" s="6">
        <f t="shared" si="0"/>
        <v>245.52689263015108</v>
      </c>
      <c r="G23" s="6">
        <f t="shared" si="1"/>
        <v>247.17930190764548</v>
      </c>
      <c r="H23" s="6">
        <f>Arrivals!L23</f>
        <v>75</v>
      </c>
      <c r="I23" s="6">
        <f>H23*8/ACE_Input!S23+ACE_Input!T23</f>
        <v>6.02</v>
      </c>
      <c r="J23" s="6">
        <f t="shared" si="10"/>
        <v>255.65292167794416</v>
      </c>
      <c r="K23" s="6">
        <f t="shared" si="2"/>
        <v>255.65292167794416</v>
      </c>
      <c r="L23" s="6">
        <f>MOD(K23-Settings!$B$32,Settings!$B$33)</f>
        <v>255.65292167794416</v>
      </c>
      <c r="M23" s="6">
        <f>IF(L23&lt;Settings!$B$30,IF(Settings!$B$30-L23&gt;=I23,K23,K23+(Settings!$B$30-L23)+Settings!$B$31),K23+(Settings!$B$33-L23))</f>
        <v>255.65292167794416</v>
      </c>
      <c r="N23" s="6">
        <f t="shared" si="3"/>
        <v>261.67292167794415</v>
      </c>
      <c r="O23" s="6">
        <f t="shared" si="4"/>
        <v>44.672921677944146</v>
      </c>
      <c r="P23" s="6">
        <f t="shared" si="5"/>
        <v>28.526892630151082</v>
      </c>
      <c r="Q23" s="6">
        <f t="shared" si="6"/>
        <v>8.4736197702986829</v>
      </c>
      <c r="R23" s="6">
        <f t="shared" si="7"/>
        <v>0</v>
      </c>
      <c r="S23" s="6">
        <f t="shared" si="8"/>
        <v>37.000512400449765</v>
      </c>
      <c r="T23" s="6" t="str">
        <f>IF(MOD(C23-Settings!$B$32,Settings!$B$33)&lt;Settings!$B$30,"Up","Down")</f>
        <v>Up</v>
      </c>
      <c r="U23" s="6">
        <f>IF(OR(I23&gt;Settings!$B$30,O23&gt;Settings!$B$37),0,1)</f>
        <v>1</v>
      </c>
      <c r="V23" s="6">
        <f>IF(AND(U23=1,O23&lt;=Settings!$B$36),1,0)</f>
        <v>1</v>
      </c>
    </row>
    <row r="24" spans="1:22" x14ac:dyDescent="0.2">
      <c r="A24">
        <f>Arrivals!A24</f>
        <v>1</v>
      </c>
      <c r="B24">
        <f>Arrivals!B24</f>
        <v>19</v>
      </c>
      <c r="C24" s="6">
        <f>Arrivals!F24</f>
        <v>222</v>
      </c>
      <c r="D24" s="6">
        <f>Arrivals!J24</f>
        <v>0.7781055389377497</v>
      </c>
      <c r="E24" s="6">
        <f t="shared" si="9"/>
        <v>247.17930190764548</v>
      </c>
      <c r="F24" s="6">
        <f t="shared" si="0"/>
        <v>247.17930190764548</v>
      </c>
      <c r="G24" s="6">
        <f t="shared" si="1"/>
        <v>247.95740744658323</v>
      </c>
      <c r="H24" s="6">
        <f>Arrivals!L24</f>
        <v>75</v>
      </c>
      <c r="I24" s="6">
        <f>H24*8/ACE_Input!S24+ACE_Input!T24</f>
        <v>6.02</v>
      </c>
      <c r="J24" s="6">
        <f t="shared" si="10"/>
        <v>261.67292167794415</v>
      </c>
      <c r="K24" s="6">
        <f t="shared" si="2"/>
        <v>261.67292167794415</v>
      </c>
      <c r="L24" s="6">
        <f>MOD(K24-Settings!$B$32,Settings!$B$33)</f>
        <v>261.67292167794415</v>
      </c>
      <c r="M24" s="6">
        <f>IF(L24&lt;Settings!$B$30,IF(Settings!$B$30-L24&gt;=I24,K24,K24+(Settings!$B$30-L24)+Settings!$B$31),K24+(Settings!$B$33-L24))</f>
        <v>261.67292167794415</v>
      </c>
      <c r="N24" s="6">
        <f t="shared" si="3"/>
        <v>267.69292167794413</v>
      </c>
      <c r="O24" s="6">
        <f t="shared" si="4"/>
        <v>45.692921677944128</v>
      </c>
      <c r="P24" s="6">
        <f t="shared" si="5"/>
        <v>25.179301907645481</v>
      </c>
      <c r="Q24" s="6">
        <f t="shared" si="6"/>
        <v>13.715514231360913</v>
      </c>
      <c r="R24" s="6">
        <f t="shared" si="7"/>
        <v>0</v>
      </c>
      <c r="S24" s="6">
        <f t="shared" si="8"/>
        <v>38.894816139006394</v>
      </c>
      <c r="T24" s="6" t="str">
        <f>IF(MOD(C24-Settings!$B$32,Settings!$B$33)&lt;Settings!$B$30,"Up","Down")</f>
        <v>Up</v>
      </c>
      <c r="U24" s="6">
        <f>IF(OR(I24&gt;Settings!$B$30,O24&gt;Settings!$B$37),0,1)</f>
        <v>1</v>
      </c>
      <c r="V24" s="6">
        <f>IF(AND(U24=1,O24&lt;=Settings!$B$36),1,0)</f>
        <v>1</v>
      </c>
    </row>
    <row r="25" spans="1:22" x14ac:dyDescent="0.2">
      <c r="A25">
        <f>Arrivals!A25</f>
        <v>1</v>
      </c>
      <c r="B25">
        <f>Arrivals!B25</f>
        <v>20</v>
      </c>
      <c r="C25" s="6">
        <f>Arrivals!F25</f>
        <v>227</v>
      </c>
      <c r="D25" s="6">
        <f>Arrivals!J25</f>
        <v>2.990435544102843</v>
      </c>
      <c r="E25" s="6">
        <f t="shared" si="9"/>
        <v>247.95740744658323</v>
      </c>
      <c r="F25" s="6">
        <f t="shared" si="0"/>
        <v>247.95740744658323</v>
      </c>
      <c r="G25" s="6">
        <f t="shared" si="1"/>
        <v>250.94784299068607</v>
      </c>
      <c r="H25" s="6">
        <f>Arrivals!L25</f>
        <v>75</v>
      </c>
      <c r="I25" s="6">
        <f>H25*8/ACE_Input!S25+ACE_Input!T25</f>
        <v>6.02</v>
      </c>
      <c r="J25" s="6">
        <f t="shared" si="10"/>
        <v>267.69292167794413</v>
      </c>
      <c r="K25" s="6">
        <f t="shared" si="2"/>
        <v>267.69292167794413</v>
      </c>
      <c r="L25" s="6">
        <f>MOD(K25-Settings!$B$32,Settings!$B$33)</f>
        <v>267.69292167794413</v>
      </c>
      <c r="M25" s="6">
        <f>IF(L25&lt;Settings!$B$30,IF(Settings!$B$30-L25&gt;=I25,K25,K25+(Settings!$B$30-L25)+Settings!$B$31),K25+(Settings!$B$33-L25))</f>
        <v>267.69292167794413</v>
      </c>
      <c r="N25" s="6">
        <f t="shared" si="3"/>
        <v>273.71292167794411</v>
      </c>
      <c r="O25" s="6">
        <f t="shared" si="4"/>
        <v>46.712921677944109</v>
      </c>
      <c r="P25" s="6">
        <f t="shared" si="5"/>
        <v>20.957407446583233</v>
      </c>
      <c r="Q25" s="6">
        <f t="shared" si="6"/>
        <v>16.745078687258058</v>
      </c>
      <c r="R25" s="6">
        <f t="shared" si="7"/>
        <v>0</v>
      </c>
      <c r="S25" s="6">
        <f t="shared" si="8"/>
        <v>37.70248613384129</v>
      </c>
      <c r="T25" s="6" t="str">
        <f>IF(MOD(C25-Settings!$B$32,Settings!$B$33)&lt;Settings!$B$30,"Up","Down")</f>
        <v>Up</v>
      </c>
      <c r="U25" s="6">
        <f>IF(OR(I25&gt;Settings!$B$30,O25&gt;Settings!$B$37),0,1)</f>
        <v>1</v>
      </c>
      <c r="V25" s="6">
        <f>IF(AND(U25=1,O25&lt;=Settings!$B$36),1,0)</f>
        <v>1</v>
      </c>
    </row>
    <row r="26" spans="1:22" x14ac:dyDescent="0.2">
      <c r="A26">
        <f>Arrivals!A26</f>
        <v>1</v>
      </c>
      <c r="B26">
        <f>Arrivals!B26</f>
        <v>21</v>
      </c>
      <c r="C26" s="6">
        <f>Arrivals!F26</f>
        <v>232</v>
      </c>
      <c r="D26" s="6">
        <f>Arrivals!J26</f>
        <v>3.5874567641113009</v>
      </c>
      <c r="E26" s="6">
        <f t="shared" si="9"/>
        <v>250.94784299068607</v>
      </c>
      <c r="F26" s="6">
        <f t="shared" si="0"/>
        <v>250.94784299068607</v>
      </c>
      <c r="G26" s="6">
        <f t="shared" si="1"/>
        <v>254.53529975479736</v>
      </c>
      <c r="H26" s="6">
        <f>Arrivals!L26</f>
        <v>75</v>
      </c>
      <c r="I26" s="6">
        <f>H26*8/ACE_Input!S26+ACE_Input!T26</f>
        <v>6.02</v>
      </c>
      <c r="J26" s="6">
        <f t="shared" si="10"/>
        <v>273.71292167794411</v>
      </c>
      <c r="K26" s="6">
        <f t="shared" si="2"/>
        <v>273.71292167794411</v>
      </c>
      <c r="L26" s="6">
        <f>MOD(K26-Settings!$B$32,Settings!$B$33)</f>
        <v>273.71292167794411</v>
      </c>
      <c r="M26" s="6">
        <f>IF(L26&lt;Settings!$B$30,IF(Settings!$B$30-L26&gt;=I26,K26,K26+(Settings!$B$30-L26)+Settings!$B$31),K26+(Settings!$B$33-L26))</f>
        <v>273.71292167794411</v>
      </c>
      <c r="N26" s="6">
        <f t="shared" si="3"/>
        <v>279.73292167794409</v>
      </c>
      <c r="O26" s="6">
        <f t="shared" si="4"/>
        <v>47.732921677944091</v>
      </c>
      <c r="P26" s="6">
        <f t="shared" si="5"/>
        <v>18.94784299068607</v>
      </c>
      <c r="Q26" s="6">
        <f t="shared" si="6"/>
        <v>19.177621923146745</v>
      </c>
      <c r="R26" s="6">
        <f t="shared" si="7"/>
        <v>0</v>
      </c>
      <c r="S26" s="6">
        <f t="shared" si="8"/>
        <v>38.125464913832815</v>
      </c>
      <c r="T26" s="6" t="str">
        <f>IF(MOD(C26-Settings!$B$32,Settings!$B$33)&lt;Settings!$B$30,"Up","Down")</f>
        <v>Up</v>
      </c>
      <c r="U26" s="6">
        <f>IF(OR(I26&gt;Settings!$B$30,O26&gt;Settings!$B$37),0,1)</f>
        <v>1</v>
      </c>
      <c r="V26" s="6">
        <f>IF(AND(U26=1,O26&lt;=Settings!$B$36),1,0)</f>
        <v>1</v>
      </c>
    </row>
    <row r="27" spans="1:22" x14ac:dyDescent="0.2">
      <c r="A27">
        <f>Arrivals!A27</f>
        <v>1</v>
      </c>
      <c r="B27">
        <f>Arrivals!B27</f>
        <v>22</v>
      </c>
      <c r="C27" s="6">
        <f>Arrivals!F27</f>
        <v>237</v>
      </c>
      <c r="D27" s="6">
        <f>Arrivals!J27</f>
        <v>0.57490839274415872</v>
      </c>
      <c r="E27" s="6">
        <f t="shared" si="9"/>
        <v>254.53529975479736</v>
      </c>
      <c r="F27" s="6">
        <f t="shared" si="0"/>
        <v>254.53529975479736</v>
      </c>
      <c r="G27" s="6">
        <f t="shared" si="1"/>
        <v>255.11020814754153</v>
      </c>
      <c r="H27" s="6">
        <f>Arrivals!L27</f>
        <v>75</v>
      </c>
      <c r="I27" s="6">
        <f>H27*8/ACE_Input!S27+ACE_Input!T27</f>
        <v>6.02</v>
      </c>
      <c r="J27" s="6">
        <f t="shared" si="10"/>
        <v>279.73292167794409</v>
      </c>
      <c r="K27" s="6">
        <f t="shared" si="2"/>
        <v>279.73292167794409</v>
      </c>
      <c r="L27" s="6">
        <f>MOD(K27-Settings!$B$32,Settings!$B$33)</f>
        <v>279.73292167794409</v>
      </c>
      <c r="M27" s="6">
        <f>IF(L27&lt;Settings!$B$30,IF(Settings!$B$30-L27&gt;=I27,K27,K27+(Settings!$B$30-L27)+Settings!$B$31),K27+(Settings!$B$33-L27))</f>
        <v>279.73292167794409</v>
      </c>
      <c r="N27" s="6">
        <f t="shared" si="3"/>
        <v>285.75292167794407</v>
      </c>
      <c r="O27" s="6">
        <f t="shared" si="4"/>
        <v>48.752921677944073</v>
      </c>
      <c r="P27" s="6">
        <f t="shared" si="5"/>
        <v>17.535299754797364</v>
      </c>
      <c r="Q27" s="6">
        <f t="shared" si="6"/>
        <v>24.622713530402564</v>
      </c>
      <c r="R27" s="6">
        <f t="shared" si="7"/>
        <v>0</v>
      </c>
      <c r="S27" s="6">
        <f t="shared" si="8"/>
        <v>42.158013285199928</v>
      </c>
      <c r="T27" s="6" t="str">
        <f>IF(MOD(C27-Settings!$B$32,Settings!$B$33)&lt;Settings!$B$30,"Up","Down")</f>
        <v>Up</v>
      </c>
      <c r="U27" s="6">
        <f>IF(OR(I27&gt;Settings!$B$30,O27&gt;Settings!$B$37),0,1)</f>
        <v>1</v>
      </c>
      <c r="V27" s="6">
        <f>IF(AND(U27=1,O27&lt;=Settings!$B$36),1,0)</f>
        <v>1</v>
      </c>
    </row>
    <row r="28" spans="1:22" x14ac:dyDescent="0.2">
      <c r="A28">
        <f>Arrivals!A28</f>
        <v>1</v>
      </c>
      <c r="B28">
        <f>Arrivals!B28</f>
        <v>23</v>
      </c>
      <c r="C28" s="6">
        <f>Arrivals!F28</f>
        <v>242</v>
      </c>
      <c r="D28" s="6">
        <f>Arrivals!J28</f>
        <v>3.0299494918085488</v>
      </c>
      <c r="E28" s="6">
        <f t="shared" si="9"/>
        <v>255.11020814754153</v>
      </c>
      <c r="F28" s="6">
        <f t="shared" si="0"/>
        <v>255.11020814754153</v>
      </c>
      <c r="G28" s="6">
        <f t="shared" si="1"/>
        <v>258.14015763935009</v>
      </c>
      <c r="H28" s="6">
        <f>Arrivals!L28</f>
        <v>75</v>
      </c>
      <c r="I28" s="6">
        <f>H28*8/ACE_Input!S28+ACE_Input!T28</f>
        <v>6.02</v>
      </c>
      <c r="J28" s="6">
        <f t="shared" si="10"/>
        <v>285.75292167794407</v>
      </c>
      <c r="K28" s="6">
        <f t="shared" si="2"/>
        <v>285.75292167794407</v>
      </c>
      <c r="L28" s="6">
        <f>MOD(K28-Settings!$B$32,Settings!$B$33)</f>
        <v>285.75292167794407</v>
      </c>
      <c r="M28" s="6">
        <f>IF(L28&lt;Settings!$B$30,IF(Settings!$B$30-L28&gt;=I28,K28,K28+(Settings!$B$30-L28)+Settings!$B$31),K28+(Settings!$B$33-L28))</f>
        <v>285.75292167794407</v>
      </c>
      <c r="N28" s="6">
        <f t="shared" si="3"/>
        <v>291.77292167794405</v>
      </c>
      <c r="O28" s="6">
        <f t="shared" si="4"/>
        <v>49.772921677944055</v>
      </c>
      <c r="P28" s="6">
        <f t="shared" si="5"/>
        <v>13.110208147541528</v>
      </c>
      <c r="Q28" s="6">
        <f t="shared" si="6"/>
        <v>27.61276403859398</v>
      </c>
      <c r="R28" s="6">
        <f t="shared" si="7"/>
        <v>0</v>
      </c>
      <c r="S28" s="6">
        <f t="shared" si="8"/>
        <v>40.722972186135507</v>
      </c>
      <c r="T28" s="6" t="str">
        <f>IF(MOD(C28-Settings!$B$32,Settings!$B$33)&lt;Settings!$B$30,"Up","Down")</f>
        <v>Up</v>
      </c>
      <c r="U28" s="6">
        <f>IF(OR(I28&gt;Settings!$B$30,O28&gt;Settings!$B$37),0,1)</f>
        <v>1</v>
      </c>
      <c r="V28" s="6">
        <f>IF(AND(U28=1,O28&lt;=Settings!$B$36),1,0)</f>
        <v>1</v>
      </c>
    </row>
    <row r="29" spans="1:22" x14ac:dyDescent="0.2">
      <c r="A29">
        <f>Arrivals!A29</f>
        <v>1</v>
      </c>
      <c r="B29">
        <f>Arrivals!B29</f>
        <v>24</v>
      </c>
      <c r="C29" s="6">
        <f>Arrivals!F29</f>
        <v>247</v>
      </c>
      <c r="D29" s="6">
        <f>Arrivals!J29</f>
        <v>4.6752516188137516</v>
      </c>
      <c r="E29" s="6">
        <f t="shared" si="9"/>
        <v>258.14015763935009</v>
      </c>
      <c r="F29" s="6">
        <f t="shared" si="0"/>
        <v>258.14015763935009</v>
      </c>
      <c r="G29" s="6">
        <f t="shared" si="1"/>
        <v>262.81540925816387</v>
      </c>
      <c r="H29" s="6">
        <f>Arrivals!L29</f>
        <v>75</v>
      </c>
      <c r="I29" s="6">
        <f>H29*8/ACE_Input!S29+ACE_Input!T29</f>
        <v>6.02</v>
      </c>
      <c r="J29" s="6">
        <f t="shared" si="10"/>
        <v>291.77292167794405</v>
      </c>
      <c r="K29" s="6">
        <f t="shared" si="2"/>
        <v>291.77292167794405</v>
      </c>
      <c r="L29" s="6">
        <f>MOD(K29-Settings!$B$32,Settings!$B$33)</f>
        <v>291.77292167794405</v>
      </c>
      <c r="M29" s="6">
        <f>IF(L29&lt;Settings!$B$30,IF(Settings!$B$30-L29&gt;=I29,K29,K29+(Settings!$B$30-L29)+Settings!$B$31),K29+(Settings!$B$33-L29))</f>
        <v>291.77292167794405</v>
      </c>
      <c r="N29" s="6">
        <f t="shared" si="3"/>
        <v>297.79292167794404</v>
      </c>
      <c r="O29" s="6">
        <f t="shared" si="4"/>
        <v>50.792921677944037</v>
      </c>
      <c r="P29" s="6">
        <f t="shared" si="5"/>
        <v>11.140157639350093</v>
      </c>
      <c r="Q29" s="6">
        <f t="shared" si="6"/>
        <v>28.957512419780187</v>
      </c>
      <c r="R29" s="6">
        <f t="shared" si="7"/>
        <v>0</v>
      </c>
      <c r="S29" s="6">
        <f t="shared" si="8"/>
        <v>40.09767005913028</v>
      </c>
      <c r="T29" s="6" t="str">
        <f>IF(MOD(C29-Settings!$B$32,Settings!$B$33)&lt;Settings!$B$30,"Up","Down")</f>
        <v>Up</v>
      </c>
      <c r="U29" s="6">
        <f>IF(OR(I29&gt;Settings!$B$30,O29&gt;Settings!$B$37),0,1)</f>
        <v>1</v>
      </c>
      <c r="V29" s="6">
        <f>IF(AND(U29=1,O29&lt;=Settings!$B$36),1,0)</f>
        <v>1</v>
      </c>
    </row>
    <row r="30" spans="1:22" x14ac:dyDescent="0.2">
      <c r="A30">
        <f>Arrivals!A30</f>
        <v>1</v>
      </c>
      <c r="B30">
        <f>Arrivals!B30</f>
        <v>25</v>
      </c>
      <c r="C30" s="6">
        <f>Arrivals!F30</f>
        <v>252</v>
      </c>
      <c r="D30" s="6">
        <f>Arrivals!J30</f>
        <v>2.699494983838842</v>
      </c>
      <c r="E30" s="6">
        <f t="shared" si="9"/>
        <v>262.81540925816387</v>
      </c>
      <c r="F30" s="6">
        <f t="shared" si="0"/>
        <v>262.81540925816387</v>
      </c>
      <c r="G30" s="6">
        <f t="shared" si="1"/>
        <v>265.51490424200273</v>
      </c>
      <c r="H30" s="6">
        <f>Arrivals!L30</f>
        <v>75</v>
      </c>
      <c r="I30" s="6">
        <f>H30*8/ACE_Input!S30+ACE_Input!T30</f>
        <v>6.02</v>
      </c>
      <c r="J30" s="6">
        <f t="shared" si="10"/>
        <v>297.79292167794404</v>
      </c>
      <c r="K30" s="6">
        <f t="shared" si="2"/>
        <v>297.79292167794404</v>
      </c>
      <c r="L30" s="6">
        <f>MOD(K30-Settings!$B$32,Settings!$B$33)</f>
        <v>297.79292167794404</v>
      </c>
      <c r="M30" s="6">
        <f>IF(L30&lt;Settings!$B$30,IF(Settings!$B$30-L30&gt;=I30,K30,K30+(Settings!$B$30-L30)+Settings!$B$31),K30+(Settings!$B$33-L30))</f>
        <v>297.79292167794404</v>
      </c>
      <c r="N30" s="6">
        <f t="shared" si="3"/>
        <v>303.81292167794402</v>
      </c>
      <c r="O30" s="6">
        <f t="shared" si="4"/>
        <v>51.812921677944018</v>
      </c>
      <c r="P30" s="6">
        <f t="shared" si="5"/>
        <v>10.815409258163868</v>
      </c>
      <c r="Q30" s="6">
        <f t="shared" si="6"/>
        <v>32.278017435941308</v>
      </c>
      <c r="R30" s="6">
        <f t="shared" si="7"/>
        <v>0</v>
      </c>
      <c r="S30" s="6">
        <f t="shared" si="8"/>
        <v>43.093426694105176</v>
      </c>
      <c r="T30" s="6" t="str">
        <f>IF(MOD(C30-Settings!$B$32,Settings!$B$33)&lt;Settings!$B$30,"Up","Down")</f>
        <v>Up</v>
      </c>
      <c r="U30" s="6">
        <f>IF(OR(I30&gt;Settings!$B$30,O30&gt;Settings!$B$37),0,1)</f>
        <v>1</v>
      </c>
      <c r="V30" s="6">
        <f>IF(AND(U30=1,O30&lt;=Settings!$B$36),1,0)</f>
        <v>1</v>
      </c>
    </row>
    <row r="31" spans="1:22" x14ac:dyDescent="0.2">
      <c r="A31">
        <f>Arrivals!A31</f>
        <v>1</v>
      </c>
      <c r="B31">
        <f>Arrivals!B31</f>
        <v>26</v>
      </c>
      <c r="C31" s="6">
        <f>Arrivals!F31</f>
        <v>257</v>
      </c>
      <c r="D31" s="6">
        <f>Arrivals!J31</f>
        <v>17.798694439032019</v>
      </c>
      <c r="E31" s="6">
        <f t="shared" si="9"/>
        <v>265.51490424200273</v>
      </c>
      <c r="F31" s="6">
        <f t="shared" si="0"/>
        <v>265.51490424200273</v>
      </c>
      <c r="G31" s="6">
        <f t="shared" si="1"/>
        <v>283.31359868103476</v>
      </c>
      <c r="H31" s="6">
        <f>Arrivals!L31</f>
        <v>75</v>
      </c>
      <c r="I31" s="6">
        <f>H31*8/ACE_Input!S31+ACE_Input!T31</f>
        <v>6.02</v>
      </c>
      <c r="J31" s="6">
        <f t="shared" si="10"/>
        <v>303.81292167794402</v>
      </c>
      <c r="K31" s="6">
        <f t="shared" si="2"/>
        <v>303.81292167794402</v>
      </c>
      <c r="L31" s="6">
        <f>MOD(K31-Settings!$B$32,Settings!$B$33)</f>
        <v>303.81292167794402</v>
      </c>
      <c r="M31" s="6">
        <f>IF(L31&lt;Settings!$B$30,IF(Settings!$B$30-L31&gt;=I31,K31,K31+(Settings!$B$30-L31)+Settings!$B$31),K31+(Settings!$B$33-L31))</f>
        <v>303.81292167794402</v>
      </c>
      <c r="N31" s="6">
        <f t="shared" si="3"/>
        <v>309.832921677944</v>
      </c>
      <c r="O31" s="6">
        <f t="shared" si="4"/>
        <v>52.832921677944</v>
      </c>
      <c r="P31" s="6">
        <f t="shared" si="5"/>
        <v>8.5149042420027286</v>
      </c>
      <c r="Q31" s="6">
        <f t="shared" si="6"/>
        <v>20.499322996909257</v>
      </c>
      <c r="R31" s="6">
        <f t="shared" si="7"/>
        <v>0</v>
      </c>
      <c r="S31" s="6">
        <f t="shared" si="8"/>
        <v>29.014227238911985</v>
      </c>
      <c r="T31" s="6" t="str">
        <f>IF(MOD(C31-Settings!$B$32,Settings!$B$33)&lt;Settings!$B$30,"Up","Down")</f>
        <v>Up</v>
      </c>
      <c r="U31" s="6">
        <f>IF(OR(I31&gt;Settings!$B$30,O31&gt;Settings!$B$37),0,1)</f>
        <v>1</v>
      </c>
      <c r="V31" s="6">
        <f>IF(AND(U31=1,O31&lt;=Settings!$B$36),1,0)</f>
        <v>1</v>
      </c>
    </row>
    <row r="32" spans="1:22" x14ac:dyDescent="0.2">
      <c r="A32">
        <f>Arrivals!A32</f>
        <v>1</v>
      </c>
      <c r="B32">
        <f>Arrivals!B32</f>
        <v>27</v>
      </c>
      <c r="C32" s="6">
        <f>Arrivals!F32</f>
        <v>262</v>
      </c>
      <c r="D32" s="6">
        <f>Arrivals!J32</f>
        <v>6.3372566358559306</v>
      </c>
      <c r="E32" s="6">
        <f t="shared" si="9"/>
        <v>283.31359868103476</v>
      </c>
      <c r="F32" s="6">
        <f t="shared" si="0"/>
        <v>283.31359868103476</v>
      </c>
      <c r="G32" s="6">
        <f t="shared" si="1"/>
        <v>289.65085531689067</v>
      </c>
      <c r="H32" s="6">
        <f>Arrivals!L32</f>
        <v>75</v>
      </c>
      <c r="I32" s="6">
        <f>H32*8/ACE_Input!S32+ACE_Input!T32</f>
        <v>6.02</v>
      </c>
      <c r="J32" s="6">
        <f t="shared" si="10"/>
        <v>309.832921677944</v>
      </c>
      <c r="K32" s="6">
        <f t="shared" si="2"/>
        <v>309.832921677944</v>
      </c>
      <c r="L32" s="6">
        <f>MOD(K32-Settings!$B$32,Settings!$B$33)</f>
        <v>309.832921677944</v>
      </c>
      <c r="M32" s="6">
        <f>IF(L32&lt;Settings!$B$30,IF(Settings!$B$30-L32&gt;=I32,K32,K32+(Settings!$B$30-L32)+Settings!$B$31),K32+(Settings!$B$33-L32))</f>
        <v>309.832921677944</v>
      </c>
      <c r="N32" s="6">
        <f t="shared" si="3"/>
        <v>315.85292167794398</v>
      </c>
      <c r="O32" s="6">
        <f t="shared" si="4"/>
        <v>53.852921677943982</v>
      </c>
      <c r="P32" s="6">
        <f t="shared" si="5"/>
        <v>21.313598681034762</v>
      </c>
      <c r="Q32" s="6">
        <f t="shared" si="6"/>
        <v>20.18206636105333</v>
      </c>
      <c r="R32" s="6">
        <f t="shared" si="7"/>
        <v>0</v>
      </c>
      <c r="S32" s="6">
        <f t="shared" si="8"/>
        <v>41.495665042088092</v>
      </c>
      <c r="T32" s="6" t="str">
        <f>IF(MOD(C32-Settings!$B$32,Settings!$B$33)&lt;Settings!$B$30,"Up","Down")</f>
        <v>Up</v>
      </c>
      <c r="U32" s="6">
        <f>IF(OR(I32&gt;Settings!$B$30,O32&gt;Settings!$B$37),0,1)</f>
        <v>1</v>
      </c>
      <c r="V32" s="6">
        <f>IF(AND(U32=1,O32&lt;=Settings!$B$36),1,0)</f>
        <v>1</v>
      </c>
    </row>
    <row r="33" spans="1:22" x14ac:dyDescent="0.2">
      <c r="A33">
        <f>Arrivals!A33</f>
        <v>1</v>
      </c>
      <c r="B33">
        <f>Arrivals!B33</f>
        <v>28</v>
      </c>
      <c r="C33" s="6">
        <f>Arrivals!F33</f>
        <v>268</v>
      </c>
      <c r="D33" s="6">
        <f>Arrivals!J33</f>
        <v>9.5577614392598473</v>
      </c>
      <c r="E33" s="6">
        <f t="shared" si="9"/>
        <v>289.65085531689067</v>
      </c>
      <c r="F33" s="6">
        <f t="shared" si="0"/>
        <v>289.65085531689067</v>
      </c>
      <c r="G33" s="6">
        <f t="shared" si="1"/>
        <v>299.20861675615049</v>
      </c>
      <c r="H33" s="6">
        <f>Arrivals!L33</f>
        <v>75</v>
      </c>
      <c r="I33" s="6">
        <f>H33*8/ACE_Input!S33+ACE_Input!T33</f>
        <v>6.02</v>
      </c>
      <c r="J33" s="6">
        <f t="shared" si="10"/>
        <v>315.85292167794398</v>
      </c>
      <c r="K33" s="6">
        <f t="shared" si="2"/>
        <v>315.85292167794398</v>
      </c>
      <c r="L33" s="6">
        <f>MOD(K33-Settings!$B$32,Settings!$B$33)</f>
        <v>315.85292167794398</v>
      </c>
      <c r="M33" s="6">
        <f>IF(L33&lt;Settings!$B$30,IF(Settings!$B$30-L33&gt;=I33,K33,K33+(Settings!$B$30-L33)+Settings!$B$31),K33+(Settings!$B$33-L33))</f>
        <v>315.85292167794398</v>
      </c>
      <c r="N33" s="6">
        <f t="shared" si="3"/>
        <v>321.87292167794396</v>
      </c>
      <c r="O33" s="6">
        <f t="shared" si="4"/>
        <v>53.872921677943964</v>
      </c>
      <c r="P33" s="6">
        <f t="shared" si="5"/>
        <v>21.65085531689067</v>
      </c>
      <c r="Q33" s="6">
        <f t="shared" si="6"/>
        <v>16.644304921793491</v>
      </c>
      <c r="R33" s="6">
        <f t="shared" si="7"/>
        <v>0</v>
      </c>
      <c r="S33" s="6">
        <f t="shared" si="8"/>
        <v>38.295160238684161</v>
      </c>
      <c r="T33" s="6" t="str">
        <f>IF(MOD(C33-Settings!$B$32,Settings!$B$33)&lt;Settings!$B$30,"Up","Down")</f>
        <v>Up</v>
      </c>
      <c r="U33" s="6">
        <f>IF(OR(I33&gt;Settings!$B$30,O33&gt;Settings!$B$37),0,1)</f>
        <v>1</v>
      </c>
      <c r="V33" s="6">
        <f>IF(AND(U33=1,O33&lt;=Settings!$B$36),1,0)</f>
        <v>1</v>
      </c>
    </row>
    <row r="34" spans="1:22" x14ac:dyDescent="0.2">
      <c r="A34">
        <f>Arrivals!A34</f>
        <v>1</v>
      </c>
      <c r="B34">
        <f>Arrivals!B34</f>
        <v>29</v>
      </c>
      <c r="C34" s="6">
        <f>Arrivals!F34</f>
        <v>273</v>
      </c>
      <c r="D34" s="6">
        <f>Arrivals!J34</f>
        <v>8.307681929640621</v>
      </c>
      <c r="E34" s="6">
        <f t="shared" si="9"/>
        <v>299.20861675615049</v>
      </c>
      <c r="F34" s="6">
        <f t="shared" si="0"/>
        <v>299.20861675615049</v>
      </c>
      <c r="G34" s="6">
        <f t="shared" si="1"/>
        <v>307.51629868579113</v>
      </c>
      <c r="H34" s="6">
        <f>Arrivals!L34</f>
        <v>75</v>
      </c>
      <c r="I34" s="6">
        <f>H34*8/ACE_Input!S34+ACE_Input!T34</f>
        <v>6.02</v>
      </c>
      <c r="J34" s="6">
        <f t="shared" si="10"/>
        <v>321.87292167794396</v>
      </c>
      <c r="K34" s="6">
        <f t="shared" si="2"/>
        <v>321.87292167794396</v>
      </c>
      <c r="L34" s="6">
        <f>MOD(K34-Settings!$B$32,Settings!$B$33)</f>
        <v>321.87292167794396</v>
      </c>
      <c r="M34" s="6">
        <f>IF(L34&lt;Settings!$B$30,IF(Settings!$B$30-L34&gt;=I34,K34,K34+(Settings!$B$30-L34)+Settings!$B$31),K34+(Settings!$B$33-L34))</f>
        <v>321.87292167794396</v>
      </c>
      <c r="N34" s="6">
        <f t="shared" si="3"/>
        <v>327.89292167794395</v>
      </c>
      <c r="O34" s="6">
        <f t="shared" si="4"/>
        <v>54.892921677943946</v>
      </c>
      <c r="P34" s="6">
        <f t="shared" si="5"/>
        <v>26.208616756150491</v>
      </c>
      <c r="Q34" s="6">
        <f t="shared" si="6"/>
        <v>14.356622992152836</v>
      </c>
      <c r="R34" s="6">
        <f t="shared" si="7"/>
        <v>0</v>
      </c>
      <c r="S34" s="6">
        <f t="shared" si="8"/>
        <v>40.565239748303327</v>
      </c>
      <c r="T34" s="6" t="str">
        <f>IF(MOD(C34-Settings!$B$32,Settings!$B$33)&lt;Settings!$B$30,"Up","Down")</f>
        <v>Up</v>
      </c>
      <c r="U34" s="6">
        <f>IF(OR(I34&gt;Settings!$B$30,O34&gt;Settings!$B$37),0,1)</f>
        <v>1</v>
      </c>
      <c r="V34" s="6">
        <f>IF(AND(U34=1,O34&lt;=Settings!$B$36),1,0)</f>
        <v>1</v>
      </c>
    </row>
    <row r="35" spans="1:22" x14ac:dyDescent="0.2">
      <c r="A35">
        <f>Arrivals!A35</f>
        <v>1</v>
      </c>
      <c r="B35">
        <f>Arrivals!B35</f>
        <v>30</v>
      </c>
      <c r="C35" s="6">
        <f>Arrivals!F35</f>
        <v>278</v>
      </c>
      <c r="D35" s="6">
        <f>Arrivals!J35</f>
        <v>6.8538039984331789</v>
      </c>
      <c r="E35" s="6">
        <f t="shared" si="9"/>
        <v>307.51629868579113</v>
      </c>
      <c r="F35" s="6">
        <f t="shared" si="0"/>
        <v>307.51629868579113</v>
      </c>
      <c r="G35" s="6">
        <f t="shared" si="1"/>
        <v>314.37010268422432</v>
      </c>
      <c r="H35" s="6">
        <f>Arrivals!L35</f>
        <v>75</v>
      </c>
      <c r="I35" s="6">
        <f>H35*8/ACE_Input!S35+ACE_Input!T35</f>
        <v>6.02</v>
      </c>
      <c r="J35" s="6">
        <f t="shared" si="10"/>
        <v>327.89292167794395</v>
      </c>
      <c r="K35" s="6">
        <f t="shared" si="2"/>
        <v>327.89292167794395</v>
      </c>
      <c r="L35" s="6">
        <f>MOD(K35-Settings!$B$32,Settings!$B$33)</f>
        <v>327.89292167794395</v>
      </c>
      <c r="M35" s="6">
        <f>IF(L35&lt;Settings!$B$30,IF(Settings!$B$30-L35&gt;=I35,K35,K35+(Settings!$B$30-L35)+Settings!$B$31),K35+(Settings!$B$33-L35))</f>
        <v>327.89292167794395</v>
      </c>
      <c r="N35" s="6">
        <f t="shared" si="3"/>
        <v>333.91292167794393</v>
      </c>
      <c r="O35" s="6">
        <f t="shared" si="4"/>
        <v>55.912921677943928</v>
      </c>
      <c r="P35" s="6">
        <f t="shared" si="5"/>
        <v>29.516298685791128</v>
      </c>
      <c r="Q35" s="6">
        <f t="shared" si="6"/>
        <v>13.522818993719625</v>
      </c>
      <c r="R35" s="6">
        <f t="shared" si="7"/>
        <v>0</v>
      </c>
      <c r="S35" s="6">
        <f t="shared" si="8"/>
        <v>43.039117679510753</v>
      </c>
      <c r="T35" s="6" t="str">
        <f>IF(MOD(C35-Settings!$B$32,Settings!$B$33)&lt;Settings!$B$30,"Up","Down")</f>
        <v>Up</v>
      </c>
      <c r="U35" s="6">
        <f>IF(OR(I35&gt;Settings!$B$30,O35&gt;Settings!$B$37),0,1)</f>
        <v>1</v>
      </c>
      <c r="V35" s="6">
        <f>IF(AND(U35=1,O35&lt;=Settings!$B$36),1,0)</f>
        <v>1</v>
      </c>
    </row>
    <row r="36" spans="1:22" x14ac:dyDescent="0.2">
      <c r="A36">
        <f>Arrivals!A36</f>
        <v>1</v>
      </c>
      <c r="B36">
        <f>Arrivals!B36</f>
        <v>31</v>
      </c>
      <c r="C36" s="6">
        <f>Arrivals!F36</f>
        <v>283</v>
      </c>
      <c r="D36" s="6">
        <f>Arrivals!J36</f>
        <v>1.8285377629651633</v>
      </c>
      <c r="E36" s="6">
        <f t="shared" si="9"/>
        <v>314.37010268422432</v>
      </c>
      <c r="F36" s="6">
        <f t="shared" si="0"/>
        <v>314.37010268422432</v>
      </c>
      <c r="G36" s="6">
        <f t="shared" si="1"/>
        <v>316.19864044718946</v>
      </c>
      <c r="H36" s="6">
        <f>Arrivals!L36</f>
        <v>75</v>
      </c>
      <c r="I36" s="6">
        <f>H36*8/ACE_Input!S36+ACE_Input!T36</f>
        <v>6.02</v>
      </c>
      <c r="J36" s="6">
        <f t="shared" si="10"/>
        <v>333.91292167794393</v>
      </c>
      <c r="K36" s="6">
        <f t="shared" si="2"/>
        <v>333.91292167794393</v>
      </c>
      <c r="L36" s="6">
        <f>MOD(K36-Settings!$B$32,Settings!$B$33)</f>
        <v>333.91292167794393</v>
      </c>
      <c r="M36" s="6">
        <f>IF(L36&lt;Settings!$B$30,IF(Settings!$B$30-L36&gt;=I36,K36,K36+(Settings!$B$30-L36)+Settings!$B$31),K36+(Settings!$B$33-L36))</f>
        <v>333.91292167794393</v>
      </c>
      <c r="N36" s="6">
        <f t="shared" si="3"/>
        <v>339.93292167794391</v>
      </c>
      <c r="O36" s="6">
        <f t="shared" si="4"/>
        <v>56.932921677943909</v>
      </c>
      <c r="P36" s="6">
        <f t="shared" si="5"/>
        <v>31.370102684224321</v>
      </c>
      <c r="Q36" s="6">
        <f t="shared" si="6"/>
        <v>17.714281230754466</v>
      </c>
      <c r="R36" s="6">
        <f t="shared" si="7"/>
        <v>0</v>
      </c>
      <c r="S36" s="6">
        <f t="shared" si="8"/>
        <v>49.084383914978787</v>
      </c>
      <c r="T36" s="6" t="str">
        <f>IF(MOD(C36-Settings!$B$32,Settings!$B$33)&lt;Settings!$B$30,"Up","Down")</f>
        <v>Up</v>
      </c>
      <c r="U36" s="6">
        <f>IF(OR(I36&gt;Settings!$B$30,O36&gt;Settings!$B$37),0,1)</f>
        <v>1</v>
      </c>
      <c r="V36" s="6">
        <f>IF(AND(U36=1,O36&lt;=Settings!$B$36),1,0)</f>
        <v>1</v>
      </c>
    </row>
    <row r="37" spans="1:22" x14ac:dyDescent="0.2">
      <c r="A37">
        <f>Arrivals!A37</f>
        <v>1</v>
      </c>
      <c r="B37">
        <f>Arrivals!B37</f>
        <v>32</v>
      </c>
      <c r="C37" s="6">
        <f>Arrivals!F37</f>
        <v>288</v>
      </c>
      <c r="D37" s="6">
        <f>Arrivals!J37</f>
        <v>7.0060593411967105</v>
      </c>
      <c r="E37" s="6">
        <f t="shared" si="9"/>
        <v>316.19864044718946</v>
      </c>
      <c r="F37" s="6">
        <f t="shared" si="0"/>
        <v>316.19864044718946</v>
      </c>
      <c r="G37" s="6">
        <f t="shared" si="1"/>
        <v>323.20469978838616</v>
      </c>
      <c r="H37" s="6">
        <f>Arrivals!L37</f>
        <v>75</v>
      </c>
      <c r="I37" s="6">
        <f>H37*8/ACE_Input!S37+ACE_Input!T37</f>
        <v>6.02</v>
      </c>
      <c r="J37" s="6">
        <f t="shared" si="10"/>
        <v>339.93292167794391</v>
      </c>
      <c r="K37" s="6">
        <f t="shared" si="2"/>
        <v>339.93292167794391</v>
      </c>
      <c r="L37" s="6">
        <f>MOD(K37-Settings!$B$32,Settings!$B$33)</f>
        <v>339.93292167794391</v>
      </c>
      <c r="M37" s="6">
        <f>IF(L37&lt;Settings!$B$30,IF(Settings!$B$30-L37&gt;=I37,K37,K37+(Settings!$B$30-L37)+Settings!$B$31),K37+(Settings!$B$33-L37))</f>
        <v>339.93292167794391</v>
      </c>
      <c r="N37" s="6">
        <f t="shared" si="3"/>
        <v>345.95292167794389</v>
      </c>
      <c r="O37" s="6">
        <f t="shared" si="4"/>
        <v>57.952921677943891</v>
      </c>
      <c r="P37" s="6">
        <f t="shared" si="5"/>
        <v>28.198640447189462</v>
      </c>
      <c r="Q37" s="6">
        <f t="shared" si="6"/>
        <v>16.728221889557744</v>
      </c>
      <c r="R37" s="6">
        <f t="shared" si="7"/>
        <v>0</v>
      </c>
      <c r="S37" s="6">
        <f t="shared" si="8"/>
        <v>44.926862336747206</v>
      </c>
      <c r="T37" s="6" t="str">
        <f>IF(MOD(C37-Settings!$B$32,Settings!$B$33)&lt;Settings!$B$30,"Up","Down")</f>
        <v>Up</v>
      </c>
      <c r="U37" s="6">
        <f>IF(OR(I37&gt;Settings!$B$30,O37&gt;Settings!$B$37),0,1)</f>
        <v>1</v>
      </c>
      <c r="V37" s="6">
        <f>IF(AND(U37=1,O37&lt;=Settings!$B$36),1,0)</f>
        <v>1</v>
      </c>
    </row>
    <row r="38" spans="1:22" x14ac:dyDescent="0.2">
      <c r="A38">
        <f>Arrivals!A38</f>
        <v>1</v>
      </c>
      <c r="B38">
        <f>Arrivals!B38</f>
        <v>33</v>
      </c>
      <c r="C38" s="6">
        <f>Arrivals!F38</f>
        <v>293</v>
      </c>
      <c r="D38" s="6">
        <f>Arrivals!J38</f>
        <v>21.837278917206262</v>
      </c>
      <c r="E38" s="6">
        <f t="shared" si="9"/>
        <v>323.20469978838616</v>
      </c>
      <c r="F38" s="6">
        <f t="shared" ref="F38:F69" si="11">MAX(C38,E38)</f>
        <v>323.20469978838616</v>
      </c>
      <c r="G38" s="6">
        <f t="shared" ref="G38:G69" si="12">F38+D38</f>
        <v>345.04197870559244</v>
      </c>
      <c r="H38" s="6">
        <f>Arrivals!L38</f>
        <v>75</v>
      </c>
      <c r="I38" s="6">
        <f>H38*8/ACE_Input!S38+ACE_Input!T38</f>
        <v>6.02</v>
      </c>
      <c r="J38" s="6">
        <f t="shared" si="10"/>
        <v>345.95292167794389</v>
      </c>
      <c r="K38" s="6">
        <f t="shared" ref="K38:K69" si="13">MAX(G38,J38)</f>
        <v>345.95292167794389</v>
      </c>
      <c r="L38" s="6">
        <f>MOD(K38-Settings!$B$32,Settings!$B$33)</f>
        <v>345.95292167794389</v>
      </c>
      <c r="M38" s="6">
        <f>IF(L38&lt;Settings!$B$30,IF(Settings!$B$30-L38&gt;=I38,K38,K38+(Settings!$B$30-L38)+Settings!$B$31),K38+(Settings!$B$33-L38))</f>
        <v>345.95292167794389</v>
      </c>
      <c r="N38" s="6">
        <f t="shared" ref="N38:N69" si="14">M38+I38</f>
        <v>351.97292167794387</v>
      </c>
      <c r="O38" s="6">
        <f t="shared" ref="O38:O69" si="15">N38-C38</f>
        <v>58.972921677943873</v>
      </c>
      <c r="P38" s="6">
        <f t="shared" ref="P38:P69" si="16">F38-C38</f>
        <v>30.204699788386165</v>
      </c>
      <c r="Q38" s="6">
        <f t="shared" ref="Q38:Q69" si="17">K38-G38</f>
        <v>0.9109429723514495</v>
      </c>
      <c r="R38" s="6">
        <f t="shared" ref="R38:R69" si="18">M38-K38</f>
        <v>0</v>
      </c>
      <c r="S38" s="6">
        <f t="shared" ref="S38:S69" si="19">P38+Q38+R38</f>
        <v>31.115642760737614</v>
      </c>
      <c r="T38" s="6" t="str">
        <f>IF(MOD(C38-Settings!$B$32,Settings!$B$33)&lt;Settings!$B$30,"Up","Down")</f>
        <v>Up</v>
      </c>
      <c r="U38" s="6">
        <f>IF(OR(I38&gt;Settings!$B$30,O38&gt;Settings!$B$37),0,1)</f>
        <v>1</v>
      </c>
      <c r="V38" s="6">
        <f>IF(AND(U38=1,O38&lt;=Settings!$B$36),1,0)</f>
        <v>1</v>
      </c>
    </row>
    <row r="39" spans="1:22" x14ac:dyDescent="0.2">
      <c r="A39">
        <f>Arrivals!A39</f>
        <v>1</v>
      </c>
      <c r="B39">
        <f>Arrivals!B39</f>
        <v>34</v>
      </c>
      <c r="C39" s="6">
        <f>Arrivals!F39</f>
        <v>298</v>
      </c>
      <c r="D39" s="6">
        <f>Arrivals!J39</f>
        <v>2.9146030013468707</v>
      </c>
      <c r="E39" s="6">
        <f t="shared" ref="E39:E70" si="20">G38</f>
        <v>345.04197870559244</v>
      </c>
      <c r="F39" s="6">
        <f t="shared" si="11"/>
        <v>345.04197870559244</v>
      </c>
      <c r="G39" s="6">
        <f t="shared" si="12"/>
        <v>347.95658170693929</v>
      </c>
      <c r="H39" s="6">
        <f>Arrivals!L39</f>
        <v>75</v>
      </c>
      <c r="I39" s="6">
        <f>H39*8/ACE_Input!S39+ACE_Input!T39</f>
        <v>6.02</v>
      </c>
      <c r="J39" s="6">
        <f t="shared" ref="J39:J70" si="21">N38</f>
        <v>351.97292167794387</v>
      </c>
      <c r="K39" s="6">
        <f t="shared" si="13"/>
        <v>351.97292167794387</v>
      </c>
      <c r="L39" s="6">
        <f>MOD(K39-Settings!$B$32,Settings!$B$33)</f>
        <v>351.97292167794387</v>
      </c>
      <c r="M39" s="6">
        <f>IF(L39&lt;Settings!$B$30,IF(Settings!$B$30-L39&gt;=I39,K39,K39+(Settings!$B$30-L39)+Settings!$B$31),K39+(Settings!$B$33-L39))</f>
        <v>351.97292167794387</v>
      </c>
      <c r="N39" s="6">
        <f t="shared" si="14"/>
        <v>357.99292167794385</v>
      </c>
      <c r="O39" s="6">
        <f t="shared" si="15"/>
        <v>59.992921677943855</v>
      </c>
      <c r="P39" s="6">
        <f t="shared" si="16"/>
        <v>47.041978705592442</v>
      </c>
      <c r="Q39" s="6">
        <f t="shared" si="17"/>
        <v>4.0163399710045837</v>
      </c>
      <c r="R39" s="6">
        <f t="shared" si="18"/>
        <v>0</v>
      </c>
      <c r="S39" s="6">
        <f t="shared" si="19"/>
        <v>51.058318676597025</v>
      </c>
      <c r="T39" s="6" t="str">
        <f>IF(MOD(C39-Settings!$B$32,Settings!$B$33)&lt;Settings!$B$30,"Up","Down")</f>
        <v>Up</v>
      </c>
      <c r="U39" s="6">
        <f>IF(OR(I39&gt;Settings!$B$30,O39&gt;Settings!$B$37),0,1)</f>
        <v>1</v>
      </c>
      <c r="V39" s="6">
        <f>IF(AND(U39=1,O39&lt;=Settings!$B$36),1,0)</f>
        <v>1</v>
      </c>
    </row>
    <row r="40" spans="1:22" x14ac:dyDescent="0.2">
      <c r="A40">
        <f>Arrivals!A40</f>
        <v>1</v>
      </c>
      <c r="B40">
        <f>Arrivals!B40</f>
        <v>35</v>
      </c>
      <c r="C40" s="6">
        <f>Arrivals!F40</f>
        <v>303</v>
      </c>
      <c r="D40" s="6">
        <f>Arrivals!J40</f>
        <v>2.8905414701395298</v>
      </c>
      <c r="E40" s="6">
        <f t="shared" si="20"/>
        <v>347.95658170693929</v>
      </c>
      <c r="F40" s="6">
        <f t="shared" si="11"/>
        <v>347.95658170693929</v>
      </c>
      <c r="G40" s="6">
        <f t="shared" si="12"/>
        <v>350.8471231770788</v>
      </c>
      <c r="H40" s="6">
        <f>Arrivals!L40</f>
        <v>75</v>
      </c>
      <c r="I40" s="6">
        <f>H40*8/ACE_Input!S40+ACE_Input!T40</f>
        <v>6.02</v>
      </c>
      <c r="J40" s="6">
        <f t="shared" si="21"/>
        <v>357.99292167794385</v>
      </c>
      <c r="K40" s="6">
        <f t="shared" si="13"/>
        <v>357.99292167794385</v>
      </c>
      <c r="L40" s="6">
        <f>MOD(K40-Settings!$B$32,Settings!$B$33)</f>
        <v>357.99292167794385</v>
      </c>
      <c r="M40" s="6">
        <f>IF(L40&lt;Settings!$B$30,IF(Settings!$B$30-L40&gt;=I40,K40,K40+(Settings!$B$30-L40)+Settings!$B$31),K40+(Settings!$B$33-L40))</f>
        <v>357.99292167794385</v>
      </c>
      <c r="N40" s="6">
        <f t="shared" si="14"/>
        <v>364.01292167794384</v>
      </c>
      <c r="O40" s="6">
        <f t="shared" si="15"/>
        <v>61.012921677943837</v>
      </c>
      <c r="P40" s="6">
        <f t="shared" si="16"/>
        <v>44.956581706939289</v>
      </c>
      <c r="Q40" s="6">
        <f t="shared" si="17"/>
        <v>7.1457985008650553</v>
      </c>
      <c r="R40" s="6">
        <f t="shared" si="18"/>
        <v>0</v>
      </c>
      <c r="S40" s="6">
        <f t="shared" si="19"/>
        <v>52.102380207804345</v>
      </c>
      <c r="T40" s="6" t="str">
        <f>IF(MOD(C40-Settings!$B$32,Settings!$B$33)&lt;Settings!$B$30,"Up","Down")</f>
        <v>Up</v>
      </c>
      <c r="U40" s="6">
        <f>IF(OR(I40&gt;Settings!$B$30,O40&gt;Settings!$B$37),0,1)</f>
        <v>1</v>
      </c>
      <c r="V40" s="6">
        <f>IF(AND(U40=1,O40&lt;=Settings!$B$36),1,0)</f>
        <v>1</v>
      </c>
    </row>
    <row r="41" spans="1:22" x14ac:dyDescent="0.2">
      <c r="A41">
        <f>Arrivals!A41</f>
        <v>1</v>
      </c>
      <c r="B41">
        <f>Arrivals!B41</f>
        <v>36</v>
      </c>
      <c r="C41" s="6">
        <f>Arrivals!F41</f>
        <v>308</v>
      </c>
      <c r="D41" s="6">
        <f>Arrivals!J41</f>
        <v>16.84745306741646</v>
      </c>
      <c r="E41" s="6">
        <f t="shared" si="20"/>
        <v>350.8471231770788</v>
      </c>
      <c r="F41" s="6">
        <f t="shared" si="11"/>
        <v>350.8471231770788</v>
      </c>
      <c r="G41" s="6">
        <f t="shared" si="12"/>
        <v>367.69457624449524</v>
      </c>
      <c r="H41" s="6">
        <f>Arrivals!L41</f>
        <v>75</v>
      </c>
      <c r="I41" s="6">
        <f>H41*8/ACE_Input!S41+ACE_Input!T41</f>
        <v>6.02</v>
      </c>
      <c r="J41" s="6">
        <f t="shared" si="21"/>
        <v>364.01292167794384</v>
      </c>
      <c r="K41" s="6">
        <f t="shared" si="13"/>
        <v>367.69457624449524</v>
      </c>
      <c r="L41" s="6">
        <f>MOD(K41-Settings!$B$32,Settings!$B$33)</f>
        <v>367.69457624449524</v>
      </c>
      <c r="M41" s="6">
        <f>IF(L41&lt;Settings!$B$30,IF(Settings!$B$30-L41&gt;=I41,K41,K41+(Settings!$B$30-L41)+Settings!$B$31),K41+(Settings!$B$33-L41))</f>
        <v>367.69457624449524</v>
      </c>
      <c r="N41" s="6">
        <f t="shared" si="14"/>
        <v>373.71457624449522</v>
      </c>
      <c r="O41" s="6">
        <f t="shared" si="15"/>
        <v>65.71457624449522</v>
      </c>
      <c r="P41" s="6">
        <f t="shared" si="16"/>
        <v>42.847123177078799</v>
      </c>
      <c r="Q41" s="6">
        <f t="shared" si="17"/>
        <v>0</v>
      </c>
      <c r="R41" s="6">
        <f t="shared" si="18"/>
        <v>0</v>
      </c>
      <c r="S41" s="6">
        <f t="shared" si="19"/>
        <v>42.847123177078799</v>
      </c>
      <c r="T41" s="6" t="str">
        <f>IF(MOD(C41-Settings!$B$32,Settings!$B$33)&lt;Settings!$B$30,"Up","Down")</f>
        <v>Up</v>
      </c>
      <c r="U41" s="6">
        <f>IF(OR(I41&gt;Settings!$B$30,O41&gt;Settings!$B$37),0,1)</f>
        <v>1</v>
      </c>
      <c r="V41" s="6">
        <f>IF(AND(U41=1,O41&lt;=Settings!$B$36),1,0)</f>
        <v>1</v>
      </c>
    </row>
    <row r="42" spans="1:22" x14ac:dyDescent="0.2">
      <c r="A42">
        <f>Arrivals!A42</f>
        <v>1</v>
      </c>
      <c r="B42">
        <f>Arrivals!B42</f>
        <v>37</v>
      </c>
      <c r="C42" s="6">
        <f>Arrivals!F42</f>
        <v>313</v>
      </c>
      <c r="D42" s="6">
        <f>Arrivals!J42</f>
        <v>19.420889819382612</v>
      </c>
      <c r="E42" s="6">
        <f t="shared" si="20"/>
        <v>367.69457624449524</v>
      </c>
      <c r="F42" s="6">
        <f t="shared" si="11"/>
        <v>367.69457624449524</v>
      </c>
      <c r="G42" s="6">
        <f t="shared" si="12"/>
        <v>387.11546606387788</v>
      </c>
      <c r="H42" s="6">
        <f>Arrivals!L42</f>
        <v>75</v>
      </c>
      <c r="I42" s="6">
        <f>H42*8/ACE_Input!S42+ACE_Input!T42</f>
        <v>6.02</v>
      </c>
      <c r="J42" s="6">
        <f t="shared" si="21"/>
        <v>373.71457624449522</v>
      </c>
      <c r="K42" s="6">
        <f t="shared" si="13"/>
        <v>387.11546606387788</v>
      </c>
      <c r="L42" s="6">
        <f>MOD(K42-Settings!$B$32,Settings!$B$33)</f>
        <v>387.11546606387788</v>
      </c>
      <c r="M42" s="6">
        <f>IF(L42&lt;Settings!$B$30,IF(Settings!$B$30-L42&gt;=I42,K42,K42+(Settings!$B$30-L42)+Settings!$B$31),K42+(Settings!$B$33-L42))</f>
        <v>387.11546606387788</v>
      </c>
      <c r="N42" s="6">
        <f t="shared" si="14"/>
        <v>393.13546606387786</v>
      </c>
      <c r="O42" s="6">
        <f t="shared" si="15"/>
        <v>80.135466063877857</v>
      </c>
      <c r="P42" s="6">
        <f t="shared" si="16"/>
        <v>54.694576244495238</v>
      </c>
      <c r="Q42" s="6">
        <f t="shared" si="17"/>
        <v>0</v>
      </c>
      <c r="R42" s="6">
        <f t="shared" si="18"/>
        <v>0</v>
      </c>
      <c r="S42" s="6">
        <f t="shared" si="19"/>
        <v>54.694576244495238</v>
      </c>
      <c r="T42" s="6" t="str">
        <f>IF(MOD(C42-Settings!$B$32,Settings!$B$33)&lt;Settings!$B$30,"Up","Down")</f>
        <v>Up</v>
      </c>
      <c r="U42" s="6">
        <f>IF(OR(I42&gt;Settings!$B$30,O42&gt;Settings!$B$37),0,1)</f>
        <v>1</v>
      </c>
      <c r="V42" s="6">
        <f>IF(AND(U42=1,O42&lt;=Settings!$B$36),1,0)</f>
        <v>1</v>
      </c>
    </row>
    <row r="43" spans="1:22" x14ac:dyDescent="0.2">
      <c r="A43">
        <f>Arrivals!A43</f>
        <v>1</v>
      </c>
      <c r="B43">
        <f>Arrivals!B43</f>
        <v>38</v>
      </c>
      <c r="C43" s="6">
        <f>Arrivals!F43</f>
        <v>318</v>
      </c>
      <c r="D43" s="6">
        <f>Arrivals!J43</f>
        <v>11.469946405564935</v>
      </c>
      <c r="E43" s="6">
        <f t="shared" si="20"/>
        <v>387.11546606387788</v>
      </c>
      <c r="F43" s="6">
        <f t="shared" si="11"/>
        <v>387.11546606387788</v>
      </c>
      <c r="G43" s="6">
        <f t="shared" si="12"/>
        <v>398.58541246944282</v>
      </c>
      <c r="H43" s="6">
        <f>Arrivals!L43</f>
        <v>75</v>
      </c>
      <c r="I43" s="6">
        <f>H43*8/ACE_Input!S43+ACE_Input!T43</f>
        <v>6.02</v>
      </c>
      <c r="J43" s="6">
        <f t="shared" si="21"/>
        <v>393.13546606387786</v>
      </c>
      <c r="K43" s="6">
        <f t="shared" si="13"/>
        <v>398.58541246944282</v>
      </c>
      <c r="L43" s="6">
        <f>MOD(K43-Settings!$B$32,Settings!$B$33)</f>
        <v>398.58541246944282</v>
      </c>
      <c r="M43" s="6">
        <f>IF(L43&lt;Settings!$B$30,IF(Settings!$B$30-L43&gt;=I43,K43,K43+(Settings!$B$30-L43)+Settings!$B$31),K43+(Settings!$B$33-L43))</f>
        <v>398.58541246944282</v>
      </c>
      <c r="N43" s="6">
        <f t="shared" si="14"/>
        <v>404.6054124694428</v>
      </c>
      <c r="O43" s="6">
        <f t="shared" si="15"/>
        <v>86.605412469442797</v>
      </c>
      <c r="P43" s="6">
        <f t="shared" si="16"/>
        <v>69.115466063877875</v>
      </c>
      <c r="Q43" s="6">
        <f t="shared" si="17"/>
        <v>0</v>
      </c>
      <c r="R43" s="6">
        <f t="shared" si="18"/>
        <v>0</v>
      </c>
      <c r="S43" s="6">
        <f t="shared" si="19"/>
        <v>69.115466063877875</v>
      </c>
      <c r="T43" s="6" t="str">
        <f>IF(MOD(C43-Settings!$B$32,Settings!$B$33)&lt;Settings!$B$30,"Up","Down")</f>
        <v>Up</v>
      </c>
      <c r="U43" s="6">
        <f>IF(OR(I43&gt;Settings!$B$30,O43&gt;Settings!$B$37),0,1)</f>
        <v>1</v>
      </c>
      <c r="V43" s="6">
        <f>IF(AND(U43=1,O43&lt;=Settings!$B$36),1,0)</f>
        <v>1</v>
      </c>
    </row>
    <row r="44" spans="1:22" x14ac:dyDescent="0.2">
      <c r="A44">
        <f>Arrivals!A44</f>
        <v>1</v>
      </c>
      <c r="B44">
        <f>Arrivals!B44</f>
        <v>39</v>
      </c>
      <c r="C44" s="6">
        <f>Arrivals!F44</f>
        <v>323</v>
      </c>
      <c r="D44" s="6">
        <f>Arrivals!J44</f>
        <v>20.630689885953604</v>
      </c>
      <c r="E44" s="6">
        <f t="shared" si="20"/>
        <v>398.58541246944282</v>
      </c>
      <c r="F44" s="6">
        <f t="shared" si="11"/>
        <v>398.58541246944282</v>
      </c>
      <c r="G44" s="6">
        <f t="shared" si="12"/>
        <v>419.2161023553964</v>
      </c>
      <c r="H44" s="6">
        <f>Arrivals!L44</f>
        <v>75</v>
      </c>
      <c r="I44" s="6">
        <f>H44*8/ACE_Input!S44+ACE_Input!T44</f>
        <v>6.02</v>
      </c>
      <c r="J44" s="6">
        <f t="shared" si="21"/>
        <v>404.6054124694428</v>
      </c>
      <c r="K44" s="6">
        <f t="shared" si="13"/>
        <v>419.2161023553964</v>
      </c>
      <c r="L44" s="6">
        <f>MOD(K44-Settings!$B$32,Settings!$B$33)</f>
        <v>419.2161023553964</v>
      </c>
      <c r="M44" s="6">
        <f>IF(L44&lt;Settings!$B$30,IF(Settings!$B$30-L44&gt;=I44,K44,K44+(Settings!$B$30-L44)+Settings!$B$31),K44+(Settings!$B$33-L44))</f>
        <v>419.2161023553964</v>
      </c>
      <c r="N44" s="6">
        <f t="shared" si="14"/>
        <v>425.23610235539638</v>
      </c>
      <c r="O44" s="6">
        <f t="shared" si="15"/>
        <v>102.23610235539638</v>
      </c>
      <c r="P44" s="6">
        <f t="shared" si="16"/>
        <v>75.585412469442815</v>
      </c>
      <c r="Q44" s="6">
        <f t="shared" si="17"/>
        <v>0</v>
      </c>
      <c r="R44" s="6">
        <f t="shared" si="18"/>
        <v>0</v>
      </c>
      <c r="S44" s="6">
        <f t="shared" si="19"/>
        <v>75.585412469442815</v>
      </c>
      <c r="T44" s="6" t="str">
        <f>IF(MOD(C44-Settings!$B$32,Settings!$B$33)&lt;Settings!$B$30,"Up","Down")</f>
        <v>Up</v>
      </c>
      <c r="U44" s="6">
        <f>IF(OR(I44&gt;Settings!$B$30,O44&gt;Settings!$B$37),0,1)</f>
        <v>1</v>
      </c>
      <c r="V44" s="6">
        <f>IF(AND(U44=1,O44&lt;=Settings!$B$36),1,0)</f>
        <v>1</v>
      </c>
    </row>
    <row r="45" spans="1:22" x14ac:dyDescent="0.2">
      <c r="A45">
        <f>Arrivals!A45</f>
        <v>1</v>
      </c>
      <c r="B45">
        <f>Arrivals!B45</f>
        <v>40</v>
      </c>
      <c r="C45" s="6">
        <f>Arrivals!F45</f>
        <v>328</v>
      </c>
      <c r="D45" s="6">
        <f>Arrivals!J45</f>
        <v>1.2562860503892113</v>
      </c>
      <c r="E45" s="6">
        <f t="shared" si="20"/>
        <v>419.2161023553964</v>
      </c>
      <c r="F45" s="6">
        <f t="shared" si="11"/>
        <v>419.2161023553964</v>
      </c>
      <c r="G45" s="6">
        <f t="shared" si="12"/>
        <v>420.47238840578564</v>
      </c>
      <c r="H45" s="6">
        <f>Arrivals!L45</f>
        <v>75</v>
      </c>
      <c r="I45" s="6">
        <f>H45*8/ACE_Input!S45+ACE_Input!T45</f>
        <v>6.02</v>
      </c>
      <c r="J45" s="6">
        <f t="shared" si="21"/>
        <v>425.23610235539638</v>
      </c>
      <c r="K45" s="6">
        <f t="shared" si="13"/>
        <v>425.23610235539638</v>
      </c>
      <c r="L45" s="6">
        <f>MOD(K45-Settings!$B$32,Settings!$B$33)</f>
        <v>425.23610235539638</v>
      </c>
      <c r="M45" s="6">
        <f>IF(L45&lt;Settings!$B$30,IF(Settings!$B$30-L45&gt;=I45,K45,K45+(Settings!$B$30-L45)+Settings!$B$31),K45+(Settings!$B$33-L45))</f>
        <v>425.23610235539638</v>
      </c>
      <c r="N45" s="6">
        <f t="shared" si="14"/>
        <v>431.25610235539637</v>
      </c>
      <c r="O45" s="6">
        <f t="shared" si="15"/>
        <v>103.25610235539637</v>
      </c>
      <c r="P45" s="6">
        <f t="shared" si="16"/>
        <v>91.216102355396401</v>
      </c>
      <c r="Q45" s="6">
        <f t="shared" si="17"/>
        <v>4.7637139496107466</v>
      </c>
      <c r="R45" s="6">
        <f t="shared" si="18"/>
        <v>0</v>
      </c>
      <c r="S45" s="6">
        <f t="shared" si="19"/>
        <v>95.979816305007148</v>
      </c>
      <c r="T45" s="6" t="str">
        <f>IF(MOD(C45-Settings!$B$32,Settings!$B$33)&lt;Settings!$B$30,"Up","Down")</f>
        <v>Up</v>
      </c>
      <c r="U45" s="6">
        <f>IF(OR(I45&gt;Settings!$B$30,O45&gt;Settings!$B$37),0,1)</f>
        <v>1</v>
      </c>
      <c r="V45" s="6">
        <f>IF(AND(U45=1,O45&lt;=Settings!$B$36),1,0)</f>
        <v>1</v>
      </c>
    </row>
    <row r="46" spans="1:22" x14ac:dyDescent="0.2">
      <c r="A46">
        <f>Arrivals!A46</f>
        <v>1</v>
      </c>
      <c r="B46">
        <f>Arrivals!B46</f>
        <v>41</v>
      </c>
      <c r="C46" s="6">
        <f>Arrivals!F46</f>
        <v>333</v>
      </c>
      <c r="D46" s="6">
        <f>Arrivals!J46</f>
        <v>9.9012238380986659</v>
      </c>
      <c r="E46" s="6">
        <f t="shared" si="20"/>
        <v>420.47238840578564</v>
      </c>
      <c r="F46" s="6">
        <f t="shared" si="11"/>
        <v>420.47238840578564</v>
      </c>
      <c r="G46" s="6">
        <f t="shared" si="12"/>
        <v>430.37361224388428</v>
      </c>
      <c r="H46" s="6">
        <f>Arrivals!L46</f>
        <v>75</v>
      </c>
      <c r="I46" s="6">
        <f>H46*8/ACE_Input!S46+ACE_Input!T46</f>
        <v>6.02</v>
      </c>
      <c r="J46" s="6">
        <f t="shared" si="21"/>
        <v>431.25610235539637</v>
      </c>
      <c r="K46" s="6">
        <f t="shared" si="13"/>
        <v>431.25610235539637</v>
      </c>
      <c r="L46" s="6">
        <f>MOD(K46-Settings!$B$32,Settings!$B$33)</f>
        <v>431.25610235539637</v>
      </c>
      <c r="M46" s="6">
        <f>IF(L46&lt;Settings!$B$30,IF(Settings!$B$30-L46&gt;=I46,K46,K46+(Settings!$B$30-L46)+Settings!$B$31),K46+(Settings!$B$33-L46))</f>
        <v>431.25610235539637</v>
      </c>
      <c r="N46" s="6">
        <f t="shared" si="14"/>
        <v>437.27610235539635</v>
      </c>
      <c r="O46" s="6">
        <f t="shared" si="15"/>
        <v>104.27610235539635</v>
      </c>
      <c r="P46" s="6">
        <f t="shared" si="16"/>
        <v>87.472388405785637</v>
      </c>
      <c r="Q46" s="6">
        <f t="shared" si="17"/>
        <v>0.88249011151208379</v>
      </c>
      <c r="R46" s="6">
        <f t="shared" si="18"/>
        <v>0</v>
      </c>
      <c r="S46" s="6">
        <f t="shared" si="19"/>
        <v>88.35487851729772</v>
      </c>
      <c r="T46" s="6" t="str">
        <f>IF(MOD(C46-Settings!$B$32,Settings!$B$33)&lt;Settings!$B$30,"Up","Down")</f>
        <v>Up</v>
      </c>
      <c r="U46" s="6">
        <f>IF(OR(I46&gt;Settings!$B$30,O46&gt;Settings!$B$37),0,1)</f>
        <v>1</v>
      </c>
      <c r="V46" s="6">
        <f>IF(AND(U46=1,O46&lt;=Settings!$B$36),1,0)</f>
        <v>1</v>
      </c>
    </row>
    <row r="47" spans="1:22" x14ac:dyDescent="0.2">
      <c r="A47">
        <f>Arrivals!A47</f>
        <v>1</v>
      </c>
      <c r="B47">
        <f>Arrivals!B47</f>
        <v>42</v>
      </c>
      <c r="C47" s="6">
        <f>Arrivals!F47</f>
        <v>338</v>
      </c>
      <c r="D47" s="6">
        <f>Arrivals!J47</f>
        <v>4.9067460949050705</v>
      </c>
      <c r="E47" s="6">
        <f t="shared" si="20"/>
        <v>430.37361224388428</v>
      </c>
      <c r="F47" s="6">
        <f t="shared" si="11"/>
        <v>430.37361224388428</v>
      </c>
      <c r="G47" s="6">
        <f t="shared" si="12"/>
        <v>435.28035833878937</v>
      </c>
      <c r="H47" s="6">
        <f>Arrivals!L47</f>
        <v>75</v>
      </c>
      <c r="I47" s="6">
        <f>H47*8/ACE_Input!S47+ACE_Input!T47</f>
        <v>6.02</v>
      </c>
      <c r="J47" s="6">
        <f t="shared" si="21"/>
        <v>437.27610235539635</v>
      </c>
      <c r="K47" s="6">
        <f t="shared" si="13"/>
        <v>437.27610235539635</v>
      </c>
      <c r="L47" s="6">
        <f>MOD(K47-Settings!$B$32,Settings!$B$33)</f>
        <v>437.27610235539635</v>
      </c>
      <c r="M47" s="6">
        <f>IF(L47&lt;Settings!$B$30,IF(Settings!$B$30-L47&gt;=I47,K47,K47+(Settings!$B$30-L47)+Settings!$B$31),K47+(Settings!$B$33-L47))</f>
        <v>437.27610235539635</v>
      </c>
      <c r="N47" s="6">
        <f t="shared" si="14"/>
        <v>443.29610235539633</v>
      </c>
      <c r="O47" s="6">
        <f t="shared" si="15"/>
        <v>105.29610235539633</v>
      </c>
      <c r="P47" s="6">
        <f t="shared" si="16"/>
        <v>92.373612243884281</v>
      </c>
      <c r="Q47" s="6">
        <f t="shared" si="17"/>
        <v>1.9957440166069773</v>
      </c>
      <c r="R47" s="6">
        <f t="shared" si="18"/>
        <v>0</v>
      </c>
      <c r="S47" s="6">
        <f t="shared" si="19"/>
        <v>94.369356260491259</v>
      </c>
      <c r="T47" s="6" t="str">
        <f>IF(MOD(C47-Settings!$B$32,Settings!$B$33)&lt;Settings!$B$30,"Up","Down")</f>
        <v>Up</v>
      </c>
      <c r="U47" s="6">
        <f>IF(OR(I47&gt;Settings!$B$30,O47&gt;Settings!$B$37),0,1)</f>
        <v>1</v>
      </c>
      <c r="V47" s="6">
        <f>IF(AND(U47=1,O47&lt;=Settings!$B$36),1,0)</f>
        <v>1</v>
      </c>
    </row>
    <row r="48" spans="1:22" x14ac:dyDescent="0.2">
      <c r="A48">
        <f>Arrivals!A48</f>
        <v>1</v>
      </c>
      <c r="B48">
        <f>Arrivals!B48</f>
        <v>43</v>
      </c>
      <c r="C48" s="6">
        <f>Arrivals!F48</f>
        <v>343</v>
      </c>
      <c r="D48" s="6">
        <f>Arrivals!J48</f>
        <v>14.607480831709077</v>
      </c>
      <c r="E48" s="6">
        <f t="shared" si="20"/>
        <v>435.28035833878937</v>
      </c>
      <c r="F48" s="6">
        <f t="shared" si="11"/>
        <v>435.28035833878937</v>
      </c>
      <c r="G48" s="6">
        <f t="shared" si="12"/>
        <v>449.88783917049847</v>
      </c>
      <c r="H48" s="6">
        <f>Arrivals!L48</f>
        <v>75</v>
      </c>
      <c r="I48" s="6">
        <f>H48*8/ACE_Input!S48+ACE_Input!T48</f>
        <v>6.02</v>
      </c>
      <c r="J48" s="6">
        <f t="shared" si="21"/>
        <v>443.29610235539633</v>
      </c>
      <c r="K48" s="6">
        <f t="shared" si="13"/>
        <v>449.88783917049847</v>
      </c>
      <c r="L48" s="6">
        <f>MOD(K48-Settings!$B$32,Settings!$B$33)</f>
        <v>449.88783917049847</v>
      </c>
      <c r="M48" s="6">
        <f>IF(L48&lt;Settings!$B$30,IF(Settings!$B$30-L48&gt;=I48,K48,K48+(Settings!$B$30-L48)+Settings!$B$31),K48+(Settings!$B$33-L48))</f>
        <v>449.88783917049847</v>
      </c>
      <c r="N48" s="6">
        <f t="shared" si="14"/>
        <v>455.90783917049845</v>
      </c>
      <c r="O48" s="6">
        <f t="shared" si="15"/>
        <v>112.90783917049845</v>
      </c>
      <c r="P48" s="6">
        <f t="shared" si="16"/>
        <v>92.28035833878937</v>
      </c>
      <c r="Q48" s="6">
        <f t="shared" si="17"/>
        <v>0</v>
      </c>
      <c r="R48" s="6">
        <f t="shared" si="18"/>
        <v>0</v>
      </c>
      <c r="S48" s="6">
        <f t="shared" si="19"/>
        <v>92.28035833878937</v>
      </c>
      <c r="T48" s="6" t="str">
        <f>IF(MOD(C48-Settings!$B$32,Settings!$B$33)&lt;Settings!$B$30,"Up","Down")</f>
        <v>Up</v>
      </c>
      <c r="U48" s="6">
        <f>IF(OR(I48&gt;Settings!$B$30,O48&gt;Settings!$B$37),0,1)</f>
        <v>1</v>
      </c>
      <c r="V48" s="6">
        <f>IF(AND(U48=1,O48&lt;=Settings!$B$36),1,0)</f>
        <v>1</v>
      </c>
    </row>
    <row r="49" spans="1:22" x14ac:dyDescent="0.2">
      <c r="A49">
        <f>Arrivals!A49</f>
        <v>1</v>
      </c>
      <c r="B49">
        <f>Arrivals!B49</f>
        <v>44</v>
      </c>
      <c r="C49" s="6">
        <f>Arrivals!F49</f>
        <v>348</v>
      </c>
      <c r="D49" s="6">
        <f>Arrivals!J49</f>
        <v>11.051203557410616</v>
      </c>
      <c r="E49" s="6">
        <f t="shared" si="20"/>
        <v>449.88783917049847</v>
      </c>
      <c r="F49" s="6">
        <f t="shared" si="11"/>
        <v>449.88783917049847</v>
      </c>
      <c r="G49" s="6">
        <f t="shared" si="12"/>
        <v>460.93904272790905</v>
      </c>
      <c r="H49" s="6">
        <f>Arrivals!L49</f>
        <v>75</v>
      </c>
      <c r="I49" s="6">
        <f>H49*8/ACE_Input!S49+ACE_Input!T49</f>
        <v>6.02</v>
      </c>
      <c r="J49" s="6">
        <f t="shared" si="21"/>
        <v>455.90783917049845</v>
      </c>
      <c r="K49" s="6">
        <f t="shared" si="13"/>
        <v>460.93904272790905</v>
      </c>
      <c r="L49" s="6">
        <f>MOD(K49-Settings!$B$32,Settings!$B$33)</f>
        <v>460.93904272790905</v>
      </c>
      <c r="M49" s="6">
        <f>IF(L49&lt;Settings!$B$30,IF(Settings!$B$30-L49&gt;=I49,K49,K49+(Settings!$B$30-L49)+Settings!$B$31),K49+(Settings!$B$33-L49))</f>
        <v>460.93904272790905</v>
      </c>
      <c r="N49" s="6">
        <f t="shared" si="14"/>
        <v>466.95904272790904</v>
      </c>
      <c r="O49" s="6">
        <f t="shared" si="15"/>
        <v>118.95904272790904</v>
      </c>
      <c r="P49" s="6">
        <f t="shared" si="16"/>
        <v>101.88783917049847</v>
      </c>
      <c r="Q49" s="6">
        <f t="shared" si="17"/>
        <v>0</v>
      </c>
      <c r="R49" s="6">
        <f t="shared" si="18"/>
        <v>0</v>
      </c>
      <c r="S49" s="6">
        <f t="shared" si="19"/>
        <v>101.88783917049847</v>
      </c>
      <c r="T49" s="6" t="str">
        <f>IF(MOD(C49-Settings!$B$32,Settings!$B$33)&lt;Settings!$B$30,"Up","Down")</f>
        <v>Up</v>
      </c>
      <c r="U49" s="6">
        <f>IF(OR(I49&gt;Settings!$B$30,O49&gt;Settings!$B$37),0,1)</f>
        <v>1</v>
      </c>
      <c r="V49" s="6">
        <f>IF(AND(U49=1,O49&lt;=Settings!$B$36),1,0)</f>
        <v>1</v>
      </c>
    </row>
    <row r="50" spans="1:22" x14ac:dyDescent="0.2">
      <c r="A50">
        <f>Arrivals!A50</f>
        <v>1</v>
      </c>
      <c r="B50">
        <f>Arrivals!B50</f>
        <v>45</v>
      </c>
      <c r="C50" s="6">
        <f>Arrivals!F50</f>
        <v>354</v>
      </c>
      <c r="D50" s="6">
        <f>Arrivals!J50</f>
        <v>5.0030345828671248</v>
      </c>
      <c r="E50" s="6">
        <f t="shared" si="20"/>
        <v>460.93904272790905</v>
      </c>
      <c r="F50" s="6">
        <f t="shared" si="11"/>
        <v>460.93904272790905</v>
      </c>
      <c r="G50" s="6">
        <f t="shared" si="12"/>
        <v>465.9420773107762</v>
      </c>
      <c r="H50" s="6">
        <f>Arrivals!L50</f>
        <v>75</v>
      </c>
      <c r="I50" s="6">
        <f>H50*8/ACE_Input!S50+ACE_Input!T50</f>
        <v>6.02</v>
      </c>
      <c r="J50" s="6">
        <f t="shared" si="21"/>
        <v>466.95904272790904</v>
      </c>
      <c r="K50" s="6">
        <f t="shared" si="13"/>
        <v>466.95904272790904</v>
      </c>
      <c r="L50" s="6">
        <f>MOD(K50-Settings!$B$32,Settings!$B$33)</f>
        <v>466.95904272790904</v>
      </c>
      <c r="M50" s="6">
        <f>IF(L50&lt;Settings!$B$30,IF(Settings!$B$30-L50&gt;=I50,K50,K50+(Settings!$B$30-L50)+Settings!$B$31),K50+(Settings!$B$33-L50))</f>
        <v>466.95904272790904</v>
      </c>
      <c r="N50" s="6">
        <f t="shared" si="14"/>
        <v>472.97904272790902</v>
      </c>
      <c r="O50" s="6">
        <f t="shared" si="15"/>
        <v>118.97904272790902</v>
      </c>
      <c r="P50" s="6">
        <f t="shared" si="16"/>
        <v>106.93904272790905</v>
      </c>
      <c r="Q50" s="6">
        <f t="shared" si="17"/>
        <v>1.0169654171328375</v>
      </c>
      <c r="R50" s="6">
        <f t="shared" si="18"/>
        <v>0</v>
      </c>
      <c r="S50" s="6">
        <f t="shared" si="19"/>
        <v>107.95600814504189</v>
      </c>
      <c r="T50" s="6" t="str">
        <f>IF(MOD(C50-Settings!$B$32,Settings!$B$33)&lt;Settings!$B$30,"Up","Down")</f>
        <v>Up</v>
      </c>
      <c r="U50" s="6">
        <f>IF(OR(I50&gt;Settings!$B$30,O50&gt;Settings!$B$37),0,1)</f>
        <v>1</v>
      </c>
      <c r="V50" s="6">
        <f>IF(AND(U50=1,O50&lt;=Settings!$B$36),1,0)</f>
        <v>1</v>
      </c>
    </row>
    <row r="51" spans="1:22" x14ac:dyDescent="0.2">
      <c r="A51">
        <f>Arrivals!A51</f>
        <v>1</v>
      </c>
      <c r="B51">
        <f>Arrivals!B51</f>
        <v>46</v>
      </c>
      <c r="C51" s="6">
        <f>Arrivals!F51</f>
        <v>359</v>
      </c>
      <c r="D51" s="6">
        <f>Arrivals!J51</f>
        <v>34.646710347358997</v>
      </c>
      <c r="E51" s="6">
        <f t="shared" si="20"/>
        <v>465.9420773107762</v>
      </c>
      <c r="F51" s="6">
        <f t="shared" si="11"/>
        <v>465.9420773107762</v>
      </c>
      <c r="G51" s="6">
        <f t="shared" si="12"/>
        <v>500.58878765813517</v>
      </c>
      <c r="H51" s="6">
        <f>Arrivals!L51</f>
        <v>75</v>
      </c>
      <c r="I51" s="6">
        <f>H51*8/ACE_Input!S51+ACE_Input!T51</f>
        <v>6.02</v>
      </c>
      <c r="J51" s="6">
        <f t="shared" si="21"/>
        <v>472.97904272790902</v>
      </c>
      <c r="K51" s="6">
        <f t="shared" si="13"/>
        <v>500.58878765813517</v>
      </c>
      <c r="L51" s="6">
        <f>MOD(K51-Settings!$B$32,Settings!$B$33)</f>
        <v>500.58878765813517</v>
      </c>
      <c r="M51" s="6">
        <f>IF(L51&lt;Settings!$B$30,IF(Settings!$B$30-L51&gt;=I51,K51,K51+(Settings!$B$30-L51)+Settings!$B$31),K51+(Settings!$B$33-L51))</f>
        <v>500.58878765813517</v>
      </c>
      <c r="N51" s="6">
        <f t="shared" si="14"/>
        <v>506.60878765813516</v>
      </c>
      <c r="O51" s="6">
        <f t="shared" si="15"/>
        <v>147.60878765813516</v>
      </c>
      <c r="P51" s="6">
        <f t="shared" si="16"/>
        <v>106.9420773107762</v>
      </c>
      <c r="Q51" s="6">
        <f t="shared" si="17"/>
        <v>0</v>
      </c>
      <c r="R51" s="6">
        <f t="shared" si="18"/>
        <v>0</v>
      </c>
      <c r="S51" s="6">
        <f t="shared" si="19"/>
        <v>106.9420773107762</v>
      </c>
      <c r="T51" s="6" t="str">
        <f>IF(MOD(C51-Settings!$B$32,Settings!$B$33)&lt;Settings!$B$30,"Up","Down")</f>
        <v>Up</v>
      </c>
      <c r="U51" s="6">
        <f>IF(OR(I51&gt;Settings!$B$30,O51&gt;Settings!$B$37),0,1)</f>
        <v>1</v>
      </c>
      <c r="V51" s="6">
        <f>IF(AND(U51=1,O51&lt;=Settings!$B$36),1,0)</f>
        <v>0</v>
      </c>
    </row>
    <row r="52" spans="1:22" x14ac:dyDescent="0.2">
      <c r="A52">
        <f>Arrivals!A52</f>
        <v>1</v>
      </c>
      <c r="B52">
        <f>Arrivals!B52</f>
        <v>47</v>
      </c>
      <c r="C52" s="6">
        <f>Arrivals!F52</f>
        <v>364</v>
      </c>
      <c r="D52" s="6">
        <f>Arrivals!J52</f>
        <v>4.9093395050716602</v>
      </c>
      <c r="E52" s="6">
        <f t="shared" si="20"/>
        <v>500.58878765813517</v>
      </c>
      <c r="F52" s="6">
        <f t="shared" si="11"/>
        <v>500.58878765813517</v>
      </c>
      <c r="G52" s="6">
        <f t="shared" si="12"/>
        <v>505.49812716320685</v>
      </c>
      <c r="H52" s="6">
        <f>Arrivals!L52</f>
        <v>75</v>
      </c>
      <c r="I52" s="6">
        <f>H52*8/ACE_Input!S52+ACE_Input!T52</f>
        <v>6.02</v>
      </c>
      <c r="J52" s="6">
        <f t="shared" si="21"/>
        <v>506.60878765813516</v>
      </c>
      <c r="K52" s="6">
        <f t="shared" si="13"/>
        <v>506.60878765813516</v>
      </c>
      <c r="L52" s="6">
        <f>MOD(K52-Settings!$B$32,Settings!$B$33)</f>
        <v>506.60878765813516</v>
      </c>
      <c r="M52" s="6">
        <f>IF(L52&lt;Settings!$B$30,IF(Settings!$B$30-L52&gt;=I52,K52,K52+(Settings!$B$30-L52)+Settings!$B$31),K52+(Settings!$B$33-L52))</f>
        <v>506.60878765813516</v>
      </c>
      <c r="N52" s="6">
        <f t="shared" si="14"/>
        <v>512.62878765813514</v>
      </c>
      <c r="O52" s="6">
        <f t="shared" si="15"/>
        <v>148.62878765813514</v>
      </c>
      <c r="P52" s="6">
        <f t="shared" si="16"/>
        <v>136.58878765813517</v>
      </c>
      <c r="Q52" s="6">
        <f t="shared" si="17"/>
        <v>1.110660494928311</v>
      </c>
      <c r="R52" s="6">
        <f t="shared" si="18"/>
        <v>0</v>
      </c>
      <c r="S52" s="6">
        <f t="shared" si="19"/>
        <v>137.69944815306349</v>
      </c>
      <c r="T52" s="6" t="str">
        <f>IF(MOD(C52-Settings!$B$32,Settings!$B$33)&lt;Settings!$B$30,"Up","Down")</f>
        <v>Up</v>
      </c>
      <c r="U52" s="6">
        <f>IF(OR(I52&gt;Settings!$B$30,O52&gt;Settings!$B$37),0,1)</f>
        <v>1</v>
      </c>
      <c r="V52" s="6">
        <f>IF(AND(U52=1,O52&lt;=Settings!$B$36),1,0)</f>
        <v>0</v>
      </c>
    </row>
    <row r="53" spans="1:22" x14ac:dyDescent="0.2">
      <c r="A53">
        <f>Arrivals!A53</f>
        <v>1</v>
      </c>
      <c r="B53">
        <f>Arrivals!B53</f>
        <v>48</v>
      </c>
      <c r="C53" s="6">
        <f>Arrivals!F53</f>
        <v>369</v>
      </c>
      <c r="D53" s="6">
        <f>Arrivals!J53</f>
        <v>1.4923466566282739</v>
      </c>
      <c r="E53" s="6">
        <f t="shared" si="20"/>
        <v>505.49812716320685</v>
      </c>
      <c r="F53" s="6">
        <f t="shared" si="11"/>
        <v>505.49812716320685</v>
      </c>
      <c r="G53" s="6">
        <f t="shared" si="12"/>
        <v>506.99047381983513</v>
      </c>
      <c r="H53" s="6">
        <f>Arrivals!L53</f>
        <v>75</v>
      </c>
      <c r="I53" s="6">
        <f>H53*8/ACE_Input!S53+ACE_Input!T53</f>
        <v>6.02</v>
      </c>
      <c r="J53" s="6">
        <f t="shared" si="21"/>
        <v>512.62878765813514</v>
      </c>
      <c r="K53" s="6">
        <f t="shared" si="13"/>
        <v>512.62878765813514</v>
      </c>
      <c r="L53" s="6">
        <f>MOD(K53-Settings!$B$32,Settings!$B$33)</f>
        <v>512.62878765813514</v>
      </c>
      <c r="M53" s="6">
        <f>IF(L53&lt;Settings!$B$30,IF(Settings!$B$30-L53&gt;=I53,K53,K53+(Settings!$B$30-L53)+Settings!$B$31),K53+(Settings!$B$33-L53))</f>
        <v>512.62878765813514</v>
      </c>
      <c r="N53" s="6">
        <f t="shared" si="14"/>
        <v>518.64878765813512</v>
      </c>
      <c r="O53" s="6">
        <f t="shared" si="15"/>
        <v>149.64878765813512</v>
      </c>
      <c r="P53" s="6">
        <f t="shared" si="16"/>
        <v>136.49812716320685</v>
      </c>
      <c r="Q53" s="6">
        <f t="shared" si="17"/>
        <v>5.6383138383000073</v>
      </c>
      <c r="R53" s="6">
        <f t="shared" si="18"/>
        <v>0</v>
      </c>
      <c r="S53" s="6">
        <f t="shared" si="19"/>
        <v>142.13644100150685</v>
      </c>
      <c r="T53" s="6" t="str">
        <f>IF(MOD(C53-Settings!$B$32,Settings!$B$33)&lt;Settings!$B$30,"Up","Down")</f>
        <v>Up</v>
      </c>
      <c r="U53" s="6">
        <f>IF(OR(I53&gt;Settings!$B$30,O53&gt;Settings!$B$37),0,1)</f>
        <v>1</v>
      </c>
      <c r="V53" s="6">
        <f>IF(AND(U53=1,O53&lt;=Settings!$B$36),1,0)</f>
        <v>0</v>
      </c>
    </row>
    <row r="54" spans="1:22" x14ac:dyDescent="0.2">
      <c r="A54">
        <f>Arrivals!A54</f>
        <v>1</v>
      </c>
      <c r="B54">
        <f>Arrivals!B54</f>
        <v>49</v>
      </c>
      <c r="C54" s="6">
        <f>Arrivals!F54</f>
        <v>374</v>
      </c>
      <c r="D54" s="6">
        <f>Arrivals!J54</f>
        <v>6.37088370508393</v>
      </c>
      <c r="E54" s="6">
        <f t="shared" si="20"/>
        <v>506.99047381983513</v>
      </c>
      <c r="F54" s="6">
        <f t="shared" si="11"/>
        <v>506.99047381983513</v>
      </c>
      <c r="G54" s="6">
        <f t="shared" si="12"/>
        <v>513.36135752491907</v>
      </c>
      <c r="H54" s="6">
        <f>Arrivals!L54</f>
        <v>75</v>
      </c>
      <c r="I54" s="6">
        <f>H54*8/ACE_Input!S54+ACE_Input!T54</f>
        <v>6.02</v>
      </c>
      <c r="J54" s="6">
        <f t="shared" si="21"/>
        <v>518.64878765813512</v>
      </c>
      <c r="K54" s="6">
        <f t="shared" si="13"/>
        <v>518.64878765813512</v>
      </c>
      <c r="L54" s="6">
        <f>MOD(K54-Settings!$B$32,Settings!$B$33)</f>
        <v>518.64878765813512</v>
      </c>
      <c r="M54" s="6">
        <f>IF(L54&lt;Settings!$B$30,IF(Settings!$B$30-L54&gt;=I54,K54,K54+(Settings!$B$30-L54)+Settings!$B$31),K54+(Settings!$B$33-L54))</f>
        <v>518.64878765813512</v>
      </c>
      <c r="N54" s="6">
        <f t="shared" si="14"/>
        <v>524.6687876581351</v>
      </c>
      <c r="O54" s="6">
        <f t="shared" si="15"/>
        <v>150.6687876581351</v>
      </c>
      <c r="P54" s="6">
        <f t="shared" si="16"/>
        <v>132.99047381983513</v>
      </c>
      <c r="Q54" s="6">
        <f t="shared" si="17"/>
        <v>5.2874301332160485</v>
      </c>
      <c r="R54" s="6">
        <f t="shared" si="18"/>
        <v>0</v>
      </c>
      <c r="S54" s="6">
        <f t="shared" si="19"/>
        <v>138.27790395305118</v>
      </c>
      <c r="T54" s="6" t="str">
        <f>IF(MOD(C54-Settings!$B$32,Settings!$B$33)&lt;Settings!$B$30,"Up","Down")</f>
        <v>Up</v>
      </c>
      <c r="U54" s="6">
        <f>IF(OR(I54&gt;Settings!$B$30,O54&gt;Settings!$B$37),0,1)</f>
        <v>1</v>
      </c>
      <c r="V54" s="6">
        <f>IF(AND(U54=1,O54&lt;=Settings!$B$36),1,0)</f>
        <v>0</v>
      </c>
    </row>
    <row r="55" spans="1:22" x14ac:dyDescent="0.2">
      <c r="A55">
        <f>Arrivals!A55</f>
        <v>1</v>
      </c>
      <c r="B55">
        <f>Arrivals!B55</f>
        <v>50</v>
      </c>
      <c r="C55" s="6">
        <f>Arrivals!F55</f>
        <v>379</v>
      </c>
      <c r="D55" s="6">
        <f>Arrivals!J55</f>
        <v>4.019430700288023</v>
      </c>
      <c r="E55" s="6">
        <f t="shared" si="20"/>
        <v>513.36135752491907</v>
      </c>
      <c r="F55" s="6">
        <f t="shared" si="11"/>
        <v>513.36135752491907</v>
      </c>
      <c r="G55" s="6">
        <f t="shared" si="12"/>
        <v>517.38078822520708</v>
      </c>
      <c r="H55" s="6">
        <f>Arrivals!L55</f>
        <v>75</v>
      </c>
      <c r="I55" s="6">
        <f>H55*8/ACE_Input!S55+ACE_Input!T55</f>
        <v>6.02</v>
      </c>
      <c r="J55" s="6">
        <f t="shared" si="21"/>
        <v>524.6687876581351</v>
      </c>
      <c r="K55" s="6">
        <f t="shared" si="13"/>
        <v>524.6687876581351</v>
      </c>
      <c r="L55" s="6">
        <f>MOD(K55-Settings!$B$32,Settings!$B$33)</f>
        <v>524.6687876581351</v>
      </c>
      <c r="M55" s="6">
        <f>IF(L55&lt;Settings!$B$30,IF(Settings!$B$30-L55&gt;=I55,K55,K55+(Settings!$B$30-L55)+Settings!$B$31),K55+(Settings!$B$33-L55))</f>
        <v>524.6687876581351</v>
      </c>
      <c r="N55" s="6">
        <f t="shared" si="14"/>
        <v>530.68878765813508</v>
      </c>
      <c r="O55" s="6">
        <f t="shared" si="15"/>
        <v>151.68878765813508</v>
      </c>
      <c r="P55" s="6">
        <f t="shared" si="16"/>
        <v>134.36135752491907</v>
      </c>
      <c r="Q55" s="6">
        <f t="shared" si="17"/>
        <v>7.287999432928018</v>
      </c>
      <c r="R55" s="6">
        <f t="shared" si="18"/>
        <v>0</v>
      </c>
      <c r="S55" s="6">
        <f t="shared" si="19"/>
        <v>141.64935695784709</v>
      </c>
      <c r="T55" s="6" t="str">
        <f>IF(MOD(C55-Settings!$B$32,Settings!$B$33)&lt;Settings!$B$30,"Up","Down")</f>
        <v>Up</v>
      </c>
      <c r="U55" s="6">
        <f>IF(OR(I55&gt;Settings!$B$30,O55&gt;Settings!$B$37),0,1)</f>
        <v>1</v>
      </c>
      <c r="V55" s="6">
        <f>IF(AND(U55=1,O55&lt;=Settings!$B$36),1,0)</f>
        <v>0</v>
      </c>
    </row>
    <row r="56" spans="1:22" x14ac:dyDescent="0.2">
      <c r="A56">
        <f>Arrivals!A56</f>
        <v>1</v>
      </c>
      <c r="B56">
        <f>Arrivals!B56</f>
        <v>51</v>
      </c>
      <c r="C56" s="6">
        <f>Arrivals!F56</f>
        <v>384</v>
      </c>
      <c r="D56" s="6">
        <f>Arrivals!J56</f>
        <v>16.275846537313331</v>
      </c>
      <c r="E56" s="6">
        <f t="shared" si="20"/>
        <v>517.38078822520708</v>
      </c>
      <c r="F56" s="6">
        <f t="shared" si="11"/>
        <v>517.38078822520708</v>
      </c>
      <c r="G56" s="6">
        <f t="shared" si="12"/>
        <v>533.65663476252041</v>
      </c>
      <c r="H56" s="6">
        <f>Arrivals!L56</f>
        <v>75</v>
      </c>
      <c r="I56" s="6">
        <f>H56*8/ACE_Input!S56+ACE_Input!T56</f>
        <v>6.02</v>
      </c>
      <c r="J56" s="6">
        <f t="shared" si="21"/>
        <v>530.68878765813508</v>
      </c>
      <c r="K56" s="6">
        <f t="shared" si="13"/>
        <v>533.65663476252041</v>
      </c>
      <c r="L56" s="6">
        <f>MOD(K56-Settings!$B$32,Settings!$B$33)</f>
        <v>533.65663476252041</v>
      </c>
      <c r="M56" s="6">
        <f>IF(L56&lt;Settings!$B$30,IF(Settings!$B$30-L56&gt;=I56,K56,K56+(Settings!$B$30-L56)+Settings!$B$31),K56+(Settings!$B$33-L56))</f>
        <v>533.65663476252041</v>
      </c>
      <c r="N56" s="6">
        <f t="shared" si="14"/>
        <v>539.67663476252039</v>
      </c>
      <c r="O56" s="6">
        <f t="shared" si="15"/>
        <v>155.67663476252039</v>
      </c>
      <c r="P56" s="6">
        <f t="shared" si="16"/>
        <v>133.38078822520708</v>
      </c>
      <c r="Q56" s="6">
        <f t="shared" si="17"/>
        <v>0</v>
      </c>
      <c r="R56" s="6">
        <f t="shared" si="18"/>
        <v>0</v>
      </c>
      <c r="S56" s="6">
        <f t="shared" si="19"/>
        <v>133.38078822520708</v>
      </c>
      <c r="T56" s="6" t="str">
        <f>IF(MOD(C56-Settings!$B$32,Settings!$B$33)&lt;Settings!$B$30,"Up","Down")</f>
        <v>Up</v>
      </c>
      <c r="U56" s="6">
        <f>IF(OR(I56&gt;Settings!$B$30,O56&gt;Settings!$B$37),0,1)</f>
        <v>1</v>
      </c>
      <c r="V56" s="6">
        <f>IF(AND(U56=1,O56&lt;=Settings!$B$36),1,0)</f>
        <v>0</v>
      </c>
    </row>
    <row r="57" spans="1:22" x14ac:dyDescent="0.2">
      <c r="A57">
        <f>Arrivals!A57</f>
        <v>1</v>
      </c>
      <c r="B57">
        <f>Arrivals!B57</f>
        <v>52</v>
      </c>
      <c r="C57" s="6">
        <f>Arrivals!F57</f>
        <v>389</v>
      </c>
      <c r="D57" s="6">
        <f>Arrivals!J57</f>
        <v>6.1504886449458382</v>
      </c>
      <c r="E57" s="6">
        <f t="shared" si="20"/>
        <v>533.65663476252041</v>
      </c>
      <c r="F57" s="6">
        <f t="shared" si="11"/>
        <v>533.65663476252041</v>
      </c>
      <c r="G57" s="6">
        <f t="shared" si="12"/>
        <v>539.80712340746629</v>
      </c>
      <c r="H57" s="6">
        <f>Arrivals!L57</f>
        <v>75</v>
      </c>
      <c r="I57" s="6">
        <f>H57*8/ACE_Input!S57+ACE_Input!T57</f>
        <v>6.02</v>
      </c>
      <c r="J57" s="6">
        <f t="shared" si="21"/>
        <v>539.67663476252039</v>
      </c>
      <c r="K57" s="6">
        <f t="shared" si="13"/>
        <v>539.80712340746629</v>
      </c>
      <c r="L57" s="6">
        <f>MOD(K57-Settings!$B$32,Settings!$B$33)</f>
        <v>539.80712340746629</v>
      </c>
      <c r="M57" s="6">
        <f>IF(L57&lt;Settings!$B$30,IF(Settings!$B$30-L57&gt;=I57,K57,K57+(Settings!$B$30-L57)+Settings!$B$31),K57+(Settings!$B$33-L57))</f>
        <v>539.80712340746629</v>
      </c>
      <c r="N57" s="6">
        <f t="shared" si="14"/>
        <v>545.82712340746627</v>
      </c>
      <c r="O57" s="6">
        <f t="shared" si="15"/>
        <v>156.82712340746627</v>
      </c>
      <c r="P57" s="6">
        <f t="shared" si="16"/>
        <v>144.65663476252041</v>
      </c>
      <c r="Q57" s="6">
        <f t="shared" si="17"/>
        <v>0</v>
      </c>
      <c r="R57" s="6">
        <f t="shared" si="18"/>
        <v>0</v>
      </c>
      <c r="S57" s="6">
        <f t="shared" si="19"/>
        <v>144.65663476252041</v>
      </c>
      <c r="T57" s="6" t="str">
        <f>IF(MOD(C57-Settings!$B$32,Settings!$B$33)&lt;Settings!$B$30,"Up","Down")</f>
        <v>Up</v>
      </c>
      <c r="U57" s="6">
        <f>IF(OR(I57&gt;Settings!$B$30,O57&gt;Settings!$B$37),0,1)</f>
        <v>1</v>
      </c>
      <c r="V57" s="6">
        <f>IF(AND(U57=1,O57&lt;=Settings!$B$36),1,0)</f>
        <v>0</v>
      </c>
    </row>
    <row r="58" spans="1:22" x14ac:dyDescent="0.2">
      <c r="A58">
        <f>Arrivals!A58</f>
        <v>1</v>
      </c>
      <c r="B58">
        <f>Arrivals!B58</f>
        <v>53</v>
      </c>
      <c r="C58" s="6">
        <f>Arrivals!F58</f>
        <v>394</v>
      </c>
      <c r="D58" s="6">
        <f>Arrivals!J58</f>
        <v>1.0078134799340495</v>
      </c>
      <c r="E58" s="6">
        <f t="shared" si="20"/>
        <v>539.80712340746629</v>
      </c>
      <c r="F58" s="6">
        <f t="shared" si="11"/>
        <v>539.80712340746629</v>
      </c>
      <c r="G58" s="6">
        <f t="shared" si="12"/>
        <v>540.81493688740034</v>
      </c>
      <c r="H58" s="6">
        <f>Arrivals!L58</f>
        <v>75</v>
      </c>
      <c r="I58" s="6">
        <f>H58*8/ACE_Input!S58+ACE_Input!T58</f>
        <v>6.02</v>
      </c>
      <c r="J58" s="6">
        <f t="shared" si="21"/>
        <v>545.82712340746627</v>
      </c>
      <c r="K58" s="6">
        <f t="shared" si="13"/>
        <v>545.82712340746627</v>
      </c>
      <c r="L58" s="6">
        <f>MOD(K58-Settings!$B$32,Settings!$B$33)</f>
        <v>545.82712340746627</v>
      </c>
      <c r="M58" s="6">
        <f>IF(L58&lt;Settings!$B$30,IF(Settings!$B$30-L58&gt;=I58,K58,K58+(Settings!$B$30-L58)+Settings!$B$31),K58+(Settings!$B$33-L58))</f>
        <v>545.82712340746627</v>
      </c>
      <c r="N58" s="6">
        <f t="shared" si="14"/>
        <v>551.84712340746626</v>
      </c>
      <c r="O58" s="6">
        <f t="shared" si="15"/>
        <v>157.84712340746626</v>
      </c>
      <c r="P58" s="6">
        <f t="shared" si="16"/>
        <v>145.80712340746629</v>
      </c>
      <c r="Q58" s="6">
        <f t="shared" si="17"/>
        <v>5.0121865200659386</v>
      </c>
      <c r="R58" s="6">
        <f t="shared" si="18"/>
        <v>0</v>
      </c>
      <c r="S58" s="6">
        <f t="shared" si="19"/>
        <v>150.81930992753223</v>
      </c>
      <c r="T58" s="6" t="str">
        <f>IF(MOD(C58-Settings!$B$32,Settings!$B$33)&lt;Settings!$B$30,"Up","Down")</f>
        <v>Up</v>
      </c>
      <c r="U58" s="6">
        <f>IF(OR(I58&gt;Settings!$B$30,O58&gt;Settings!$B$37),0,1)</f>
        <v>1</v>
      </c>
      <c r="V58" s="6">
        <f>IF(AND(U58=1,O58&lt;=Settings!$B$36),1,0)</f>
        <v>0</v>
      </c>
    </row>
    <row r="59" spans="1:22" x14ac:dyDescent="0.2">
      <c r="A59">
        <f>Arrivals!A59</f>
        <v>1</v>
      </c>
      <c r="B59">
        <f>Arrivals!B59</f>
        <v>54</v>
      </c>
      <c r="C59" s="6">
        <f>Arrivals!F59</f>
        <v>399</v>
      </c>
      <c r="D59" s="6">
        <f>Arrivals!J59</f>
        <v>25.312632475356452</v>
      </c>
      <c r="E59" s="6">
        <f t="shared" si="20"/>
        <v>540.81493688740034</v>
      </c>
      <c r="F59" s="6">
        <f t="shared" si="11"/>
        <v>540.81493688740034</v>
      </c>
      <c r="G59" s="6">
        <f t="shared" si="12"/>
        <v>566.12756936275673</v>
      </c>
      <c r="H59" s="6">
        <f>Arrivals!L59</f>
        <v>75</v>
      </c>
      <c r="I59" s="6">
        <f>H59*8/ACE_Input!S59+ACE_Input!T59</f>
        <v>6.02</v>
      </c>
      <c r="J59" s="6">
        <f t="shared" si="21"/>
        <v>551.84712340746626</v>
      </c>
      <c r="K59" s="6">
        <f t="shared" si="13"/>
        <v>566.12756936275673</v>
      </c>
      <c r="L59" s="6">
        <f>MOD(K59-Settings!$B$32,Settings!$B$33)</f>
        <v>566.12756936275673</v>
      </c>
      <c r="M59" s="6">
        <f>IF(L59&lt;Settings!$B$30,IF(Settings!$B$30-L59&gt;=I59,K59,K59+(Settings!$B$30-L59)+Settings!$B$31),K59+(Settings!$B$33-L59))</f>
        <v>566.12756936275673</v>
      </c>
      <c r="N59" s="6">
        <f t="shared" si="14"/>
        <v>572.14756936275671</v>
      </c>
      <c r="O59" s="6">
        <f t="shared" si="15"/>
        <v>173.14756936275671</v>
      </c>
      <c r="P59" s="6">
        <f t="shared" si="16"/>
        <v>141.81493688740034</v>
      </c>
      <c r="Q59" s="6">
        <f t="shared" si="17"/>
        <v>0</v>
      </c>
      <c r="R59" s="6">
        <f t="shared" si="18"/>
        <v>0</v>
      </c>
      <c r="S59" s="6">
        <f t="shared" si="19"/>
        <v>141.81493688740034</v>
      </c>
      <c r="T59" s="6" t="str">
        <f>IF(MOD(C59-Settings!$B$32,Settings!$B$33)&lt;Settings!$B$30,"Up","Down")</f>
        <v>Up</v>
      </c>
      <c r="U59" s="6">
        <f>IF(OR(I59&gt;Settings!$B$30,O59&gt;Settings!$B$37),0,1)</f>
        <v>1</v>
      </c>
      <c r="V59" s="6">
        <f>IF(AND(U59=1,O59&lt;=Settings!$B$36),1,0)</f>
        <v>0</v>
      </c>
    </row>
    <row r="60" spans="1:22" x14ac:dyDescent="0.2">
      <c r="A60">
        <f>Arrivals!A60</f>
        <v>1</v>
      </c>
      <c r="B60">
        <f>Arrivals!B60</f>
        <v>55</v>
      </c>
      <c r="C60" s="6">
        <f>Arrivals!F60</f>
        <v>404</v>
      </c>
      <c r="D60" s="6">
        <f>Arrivals!J60</f>
        <v>1.2920889191843716</v>
      </c>
      <c r="E60" s="6">
        <f t="shared" si="20"/>
        <v>566.12756936275673</v>
      </c>
      <c r="F60" s="6">
        <f t="shared" si="11"/>
        <v>566.12756936275673</v>
      </c>
      <c r="G60" s="6">
        <f t="shared" si="12"/>
        <v>567.41965828194111</v>
      </c>
      <c r="H60" s="6">
        <f>Arrivals!L60</f>
        <v>75</v>
      </c>
      <c r="I60" s="6">
        <f>H60*8/ACE_Input!S60+ACE_Input!T60</f>
        <v>6.02</v>
      </c>
      <c r="J60" s="6">
        <f t="shared" si="21"/>
        <v>572.14756936275671</v>
      </c>
      <c r="K60" s="6">
        <f t="shared" si="13"/>
        <v>572.14756936275671</v>
      </c>
      <c r="L60" s="6">
        <f>MOD(K60-Settings!$B$32,Settings!$B$33)</f>
        <v>572.14756936275671</v>
      </c>
      <c r="M60" s="6">
        <f>IF(L60&lt;Settings!$B$30,IF(Settings!$B$30-L60&gt;=I60,K60,K60+(Settings!$B$30-L60)+Settings!$B$31),K60+(Settings!$B$33-L60))</f>
        <v>572.14756936275671</v>
      </c>
      <c r="N60" s="6">
        <f t="shared" si="14"/>
        <v>578.16756936275669</v>
      </c>
      <c r="O60" s="6">
        <f t="shared" si="15"/>
        <v>174.16756936275669</v>
      </c>
      <c r="P60" s="6">
        <f t="shared" si="16"/>
        <v>162.12756936275673</v>
      </c>
      <c r="Q60" s="6">
        <f t="shared" si="17"/>
        <v>4.727911080815602</v>
      </c>
      <c r="R60" s="6">
        <f t="shared" si="18"/>
        <v>0</v>
      </c>
      <c r="S60" s="6">
        <f t="shared" si="19"/>
        <v>166.85548044357233</v>
      </c>
      <c r="T60" s="6" t="str">
        <f>IF(MOD(C60-Settings!$B$32,Settings!$B$33)&lt;Settings!$B$30,"Up","Down")</f>
        <v>Up</v>
      </c>
      <c r="U60" s="6">
        <f>IF(OR(I60&gt;Settings!$B$30,O60&gt;Settings!$B$37),0,1)</f>
        <v>1</v>
      </c>
      <c r="V60" s="6">
        <f>IF(AND(U60=1,O60&lt;=Settings!$B$36),1,0)</f>
        <v>0</v>
      </c>
    </row>
    <row r="61" spans="1:22" x14ac:dyDescent="0.2">
      <c r="A61">
        <f>Arrivals!A61</f>
        <v>1</v>
      </c>
      <c r="B61">
        <f>Arrivals!B61</f>
        <v>56</v>
      </c>
      <c r="C61" s="6">
        <f>Arrivals!F61</f>
        <v>409</v>
      </c>
      <c r="D61" s="6">
        <f>Arrivals!J61</f>
        <v>12.77629921157533</v>
      </c>
      <c r="E61" s="6">
        <f t="shared" si="20"/>
        <v>567.41965828194111</v>
      </c>
      <c r="F61" s="6">
        <f t="shared" si="11"/>
        <v>567.41965828194111</v>
      </c>
      <c r="G61" s="6">
        <f t="shared" si="12"/>
        <v>580.1959574935164</v>
      </c>
      <c r="H61" s="6">
        <f>Arrivals!L61</f>
        <v>75</v>
      </c>
      <c r="I61" s="6">
        <f>H61*8/ACE_Input!S61+ACE_Input!T61</f>
        <v>6.02</v>
      </c>
      <c r="J61" s="6">
        <f t="shared" si="21"/>
        <v>578.16756936275669</v>
      </c>
      <c r="K61" s="6">
        <f t="shared" si="13"/>
        <v>580.1959574935164</v>
      </c>
      <c r="L61" s="6">
        <f>MOD(K61-Settings!$B$32,Settings!$B$33)</f>
        <v>580.1959574935164</v>
      </c>
      <c r="M61" s="6">
        <f>IF(L61&lt;Settings!$B$30,IF(Settings!$B$30-L61&gt;=I61,K61,K61+(Settings!$B$30-L61)+Settings!$B$31),K61+(Settings!$B$33-L61))</f>
        <v>580.1959574935164</v>
      </c>
      <c r="N61" s="6">
        <f t="shared" si="14"/>
        <v>586.21595749351638</v>
      </c>
      <c r="O61" s="6">
        <f t="shared" si="15"/>
        <v>177.21595749351638</v>
      </c>
      <c r="P61" s="6">
        <f t="shared" si="16"/>
        <v>158.41965828194111</v>
      </c>
      <c r="Q61" s="6">
        <f t="shared" si="17"/>
        <v>0</v>
      </c>
      <c r="R61" s="6">
        <f t="shared" si="18"/>
        <v>0</v>
      </c>
      <c r="S61" s="6">
        <f t="shared" si="19"/>
        <v>158.41965828194111</v>
      </c>
      <c r="T61" s="6" t="str">
        <f>IF(MOD(C61-Settings!$B$32,Settings!$B$33)&lt;Settings!$B$30,"Up","Down")</f>
        <v>Up</v>
      </c>
      <c r="U61" s="6">
        <f>IF(OR(I61&gt;Settings!$B$30,O61&gt;Settings!$B$37),0,1)</f>
        <v>1</v>
      </c>
      <c r="V61" s="6">
        <f>IF(AND(U61=1,O61&lt;=Settings!$B$36),1,0)</f>
        <v>0</v>
      </c>
    </row>
    <row r="62" spans="1:22" x14ac:dyDescent="0.2">
      <c r="A62">
        <f>Arrivals!A62</f>
        <v>1</v>
      </c>
      <c r="B62">
        <f>Arrivals!B62</f>
        <v>57</v>
      </c>
      <c r="C62" s="6">
        <f>Arrivals!F62</f>
        <v>414</v>
      </c>
      <c r="D62" s="6">
        <f>Arrivals!J62</f>
        <v>5.5797991328238794</v>
      </c>
      <c r="E62" s="6">
        <f t="shared" si="20"/>
        <v>580.1959574935164</v>
      </c>
      <c r="F62" s="6">
        <f t="shared" si="11"/>
        <v>580.1959574935164</v>
      </c>
      <c r="G62" s="6">
        <f t="shared" si="12"/>
        <v>585.77575662634024</v>
      </c>
      <c r="H62" s="6">
        <f>Arrivals!L62</f>
        <v>75</v>
      </c>
      <c r="I62" s="6">
        <f>H62*8/ACE_Input!S62+ACE_Input!T62</f>
        <v>6.02</v>
      </c>
      <c r="J62" s="6">
        <f t="shared" si="21"/>
        <v>586.21595749351638</v>
      </c>
      <c r="K62" s="6">
        <f t="shared" si="13"/>
        <v>586.21595749351638</v>
      </c>
      <c r="L62" s="6">
        <f>MOD(K62-Settings!$B$32,Settings!$B$33)</f>
        <v>586.21595749351638</v>
      </c>
      <c r="M62" s="6">
        <f>IF(L62&lt;Settings!$B$30,IF(Settings!$B$30-L62&gt;=I62,K62,K62+(Settings!$B$30-L62)+Settings!$B$31),K62+(Settings!$B$33-L62))</f>
        <v>586.21595749351638</v>
      </c>
      <c r="N62" s="6">
        <f t="shared" si="14"/>
        <v>592.23595749351637</v>
      </c>
      <c r="O62" s="6">
        <f t="shared" si="15"/>
        <v>178.23595749351637</v>
      </c>
      <c r="P62" s="6">
        <f t="shared" si="16"/>
        <v>166.1959574935164</v>
      </c>
      <c r="Q62" s="6">
        <f t="shared" si="17"/>
        <v>0.44020086717614504</v>
      </c>
      <c r="R62" s="6">
        <f t="shared" si="18"/>
        <v>0</v>
      </c>
      <c r="S62" s="6">
        <f t="shared" si="19"/>
        <v>166.63615836069255</v>
      </c>
      <c r="T62" s="6" t="str">
        <f>IF(MOD(C62-Settings!$B$32,Settings!$B$33)&lt;Settings!$B$30,"Up","Down")</f>
        <v>Up</v>
      </c>
      <c r="U62" s="6">
        <f>IF(OR(I62&gt;Settings!$B$30,O62&gt;Settings!$B$37),0,1)</f>
        <v>1</v>
      </c>
      <c r="V62" s="6">
        <f>IF(AND(U62=1,O62&lt;=Settings!$B$36),1,0)</f>
        <v>0</v>
      </c>
    </row>
    <row r="63" spans="1:22" x14ac:dyDescent="0.2">
      <c r="A63">
        <f>Arrivals!A63</f>
        <v>1</v>
      </c>
      <c r="B63">
        <f>Arrivals!B63</f>
        <v>58</v>
      </c>
      <c r="C63" s="6">
        <f>Arrivals!F63</f>
        <v>419</v>
      </c>
      <c r="D63" s="6">
        <f>Arrivals!J63</f>
        <v>16.955188299999207</v>
      </c>
      <c r="E63" s="6">
        <f t="shared" si="20"/>
        <v>585.77575662634024</v>
      </c>
      <c r="F63" s="6">
        <f t="shared" si="11"/>
        <v>585.77575662634024</v>
      </c>
      <c r="G63" s="6">
        <f t="shared" si="12"/>
        <v>602.73094492633948</v>
      </c>
      <c r="H63" s="6">
        <f>Arrivals!L63</f>
        <v>75</v>
      </c>
      <c r="I63" s="6">
        <f>H63*8/ACE_Input!S63+ACE_Input!T63</f>
        <v>6.02</v>
      </c>
      <c r="J63" s="6">
        <f t="shared" si="21"/>
        <v>592.23595749351637</v>
      </c>
      <c r="K63" s="6">
        <f t="shared" si="13"/>
        <v>602.73094492633948</v>
      </c>
      <c r="L63" s="6">
        <f>MOD(K63-Settings!$B$32,Settings!$B$33)</f>
        <v>602.73094492633948</v>
      </c>
      <c r="M63" s="6">
        <f>IF(L63&lt;Settings!$B$30,IF(Settings!$B$30-L63&gt;=I63,K63,K63+(Settings!$B$30-L63)+Settings!$B$31),K63+(Settings!$B$33-L63))</f>
        <v>720</v>
      </c>
      <c r="N63" s="6">
        <f t="shared" si="14"/>
        <v>726.02</v>
      </c>
      <c r="O63" s="6">
        <f t="shared" si="15"/>
        <v>307.02</v>
      </c>
      <c r="P63" s="6">
        <f t="shared" si="16"/>
        <v>166.77575662634024</v>
      </c>
      <c r="Q63" s="6">
        <f t="shared" si="17"/>
        <v>0</v>
      </c>
      <c r="R63" s="6">
        <f t="shared" si="18"/>
        <v>117.26905507366052</v>
      </c>
      <c r="S63" s="6">
        <f t="shared" si="19"/>
        <v>284.04481170000076</v>
      </c>
      <c r="T63" s="6" t="str">
        <f>IF(MOD(C63-Settings!$B$32,Settings!$B$33)&lt;Settings!$B$30,"Up","Down")</f>
        <v>Up</v>
      </c>
      <c r="U63" s="6">
        <f>IF(OR(I63&gt;Settings!$B$30,O63&gt;Settings!$B$37),0,1)</f>
        <v>1</v>
      </c>
      <c r="V63" s="6">
        <f>IF(AND(U63=1,O63&lt;=Settings!$B$36),1,0)</f>
        <v>0</v>
      </c>
    </row>
    <row r="64" spans="1:22" x14ac:dyDescent="0.2">
      <c r="A64">
        <f>Arrivals!A64</f>
        <v>1</v>
      </c>
      <c r="B64">
        <f>Arrivals!B64</f>
        <v>59</v>
      </c>
      <c r="C64" s="6">
        <f>Arrivals!F64</f>
        <v>424</v>
      </c>
      <c r="D64" s="6">
        <f>Arrivals!J64</f>
        <v>14.392160760665924</v>
      </c>
      <c r="E64" s="6">
        <f t="shared" si="20"/>
        <v>602.73094492633948</v>
      </c>
      <c r="F64" s="6">
        <f t="shared" si="11"/>
        <v>602.73094492633948</v>
      </c>
      <c r="G64" s="6">
        <f t="shared" si="12"/>
        <v>617.12310568700536</v>
      </c>
      <c r="H64" s="6">
        <f>Arrivals!L64</f>
        <v>75</v>
      </c>
      <c r="I64" s="6">
        <f>H64*8/ACE_Input!S64+ACE_Input!T64</f>
        <v>6.02</v>
      </c>
      <c r="J64" s="6">
        <f t="shared" si="21"/>
        <v>726.02</v>
      </c>
      <c r="K64" s="6">
        <f t="shared" si="13"/>
        <v>726.02</v>
      </c>
      <c r="L64" s="6">
        <f>MOD(K64-Settings!$B$32,Settings!$B$33)</f>
        <v>6.0199999999999818</v>
      </c>
      <c r="M64" s="6">
        <f>IF(L64&lt;Settings!$B$30,IF(Settings!$B$30-L64&gt;=I64,K64,K64+(Settings!$B$30-L64)+Settings!$B$31),K64+(Settings!$B$33-L64))</f>
        <v>726.02</v>
      </c>
      <c r="N64" s="6">
        <f t="shared" si="14"/>
        <v>732.04</v>
      </c>
      <c r="O64" s="6">
        <f t="shared" si="15"/>
        <v>308.03999999999996</v>
      </c>
      <c r="P64" s="6">
        <f t="shared" si="16"/>
        <v>178.73094492633948</v>
      </c>
      <c r="Q64" s="6">
        <f t="shared" si="17"/>
        <v>108.89689431299462</v>
      </c>
      <c r="R64" s="6">
        <f t="shared" si="18"/>
        <v>0</v>
      </c>
      <c r="S64" s="6">
        <f t="shared" si="19"/>
        <v>287.62783923933409</v>
      </c>
      <c r="T64" s="6" t="str">
        <f>IF(MOD(C64-Settings!$B$32,Settings!$B$33)&lt;Settings!$B$30,"Up","Down")</f>
        <v>Up</v>
      </c>
      <c r="U64" s="6">
        <f>IF(OR(I64&gt;Settings!$B$30,O64&gt;Settings!$B$37),0,1)</f>
        <v>1</v>
      </c>
      <c r="V64" s="6">
        <f>IF(AND(U64=1,O64&lt;=Settings!$B$36),1,0)</f>
        <v>0</v>
      </c>
    </row>
    <row r="65" spans="1:22" x14ac:dyDescent="0.2">
      <c r="A65">
        <f>Arrivals!A65</f>
        <v>1</v>
      </c>
      <c r="B65">
        <f>Arrivals!B65</f>
        <v>60</v>
      </c>
      <c r="C65" s="6">
        <f>Arrivals!F65</f>
        <v>429</v>
      </c>
      <c r="D65" s="6">
        <f>Arrivals!J65</f>
        <v>8.8285418062659691</v>
      </c>
      <c r="E65" s="6">
        <f t="shared" si="20"/>
        <v>617.12310568700536</v>
      </c>
      <c r="F65" s="6">
        <f t="shared" si="11"/>
        <v>617.12310568700536</v>
      </c>
      <c r="G65" s="6">
        <f t="shared" si="12"/>
        <v>625.95164749327137</v>
      </c>
      <c r="H65" s="6">
        <f>Arrivals!L65</f>
        <v>75</v>
      </c>
      <c r="I65" s="6">
        <f>H65*8/ACE_Input!S65+ACE_Input!T65</f>
        <v>6.02</v>
      </c>
      <c r="J65" s="6">
        <f t="shared" si="21"/>
        <v>732.04</v>
      </c>
      <c r="K65" s="6">
        <f t="shared" si="13"/>
        <v>732.04</v>
      </c>
      <c r="L65" s="6">
        <f>MOD(K65-Settings!$B$32,Settings!$B$33)</f>
        <v>12.039999999999964</v>
      </c>
      <c r="M65" s="6">
        <f>IF(L65&lt;Settings!$B$30,IF(Settings!$B$30-L65&gt;=I65,K65,K65+(Settings!$B$30-L65)+Settings!$B$31),K65+(Settings!$B$33-L65))</f>
        <v>732.04</v>
      </c>
      <c r="N65" s="6">
        <f t="shared" si="14"/>
        <v>738.06</v>
      </c>
      <c r="O65" s="6">
        <f t="shared" si="15"/>
        <v>309.05999999999995</v>
      </c>
      <c r="P65" s="6">
        <f t="shared" si="16"/>
        <v>188.12310568700536</v>
      </c>
      <c r="Q65" s="6">
        <f t="shared" si="17"/>
        <v>106.0883525067286</v>
      </c>
      <c r="R65" s="6">
        <f t="shared" si="18"/>
        <v>0</v>
      </c>
      <c r="S65" s="6">
        <f t="shared" si="19"/>
        <v>294.21145819373396</v>
      </c>
      <c r="T65" s="6" t="str">
        <f>IF(MOD(C65-Settings!$B$32,Settings!$B$33)&lt;Settings!$B$30,"Up","Down")</f>
        <v>Up</v>
      </c>
      <c r="U65" s="6">
        <f>IF(OR(I65&gt;Settings!$B$30,O65&gt;Settings!$B$37),0,1)</f>
        <v>1</v>
      </c>
      <c r="V65" s="6">
        <f>IF(AND(U65=1,O65&lt;=Settings!$B$36),1,0)</f>
        <v>0</v>
      </c>
    </row>
    <row r="66" spans="1:22" x14ac:dyDescent="0.2">
      <c r="A66">
        <f>Arrivals!A66</f>
        <v>1</v>
      </c>
      <c r="B66">
        <f>Arrivals!B66</f>
        <v>61</v>
      </c>
      <c r="C66" s="6">
        <f>Arrivals!F66</f>
        <v>434</v>
      </c>
      <c r="D66" s="6">
        <f>Arrivals!J66</f>
        <v>13.911009640232789</v>
      </c>
      <c r="E66" s="6">
        <f t="shared" si="20"/>
        <v>625.95164749327137</v>
      </c>
      <c r="F66" s="6">
        <f t="shared" si="11"/>
        <v>625.95164749327137</v>
      </c>
      <c r="G66" s="6">
        <f t="shared" si="12"/>
        <v>639.86265713350417</v>
      </c>
      <c r="H66" s="6">
        <f>Arrivals!L66</f>
        <v>75</v>
      </c>
      <c r="I66" s="6">
        <f>H66*8/ACE_Input!S66+ACE_Input!T66</f>
        <v>6.02</v>
      </c>
      <c r="J66" s="6">
        <f t="shared" si="21"/>
        <v>738.06</v>
      </c>
      <c r="K66" s="6">
        <f t="shared" si="13"/>
        <v>738.06</v>
      </c>
      <c r="L66" s="6">
        <f>MOD(K66-Settings!$B$32,Settings!$B$33)</f>
        <v>18.059999999999945</v>
      </c>
      <c r="M66" s="6">
        <f>IF(L66&lt;Settings!$B$30,IF(Settings!$B$30-L66&gt;=I66,K66,K66+(Settings!$B$30-L66)+Settings!$B$31),K66+(Settings!$B$33-L66))</f>
        <v>738.06</v>
      </c>
      <c r="N66" s="6">
        <f t="shared" si="14"/>
        <v>744.07999999999993</v>
      </c>
      <c r="O66" s="6">
        <f t="shared" si="15"/>
        <v>310.07999999999993</v>
      </c>
      <c r="P66" s="6">
        <f t="shared" si="16"/>
        <v>191.95164749327137</v>
      </c>
      <c r="Q66" s="6">
        <f t="shared" si="17"/>
        <v>98.197342866495774</v>
      </c>
      <c r="R66" s="6">
        <f t="shared" si="18"/>
        <v>0</v>
      </c>
      <c r="S66" s="6">
        <f t="shared" si="19"/>
        <v>290.14899035976714</v>
      </c>
      <c r="T66" s="6" t="str">
        <f>IF(MOD(C66-Settings!$B$32,Settings!$B$33)&lt;Settings!$B$30,"Up","Down")</f>
        <v>Up</v>
      </c>
      <c r="U66" s="6">
        <f>IF(OR(I66&gt;Settings!$B$30,O66&gt;Settings!$B$37),0,1)</f>
        <v>1</v>
      </c>
      <c r="V66" s="6">
        <f>IF(AND(U66=1,O66&lt;=Settings!$B$36),1,0)</f>
        <v>0</v>
      </c>
    </row>
    <row r="67" spans="1:22" x14ac:dyDescent="0.2">
      <c r="A67">
        <f>Arrivals!A67</f>
        <v>1</v>
      </c>
      <c r="B67">
        <f>Arrivals!B67</f>
        <v>62</v>
      </c>
      <c r="C67" s="6">
        <f>Arrivals!F67</f>
        <v>439</v>
      </c>
      <c r="D67" s="6">
        <f>Arrivals!J67</f>
        <v>4.0919792644982902</v>
      </c>
      <c r="E67" s="6">
        <f t="shared" si="20"/>
        <v>639.86265713350417</v>
      </c>
      <c r="F67" s="6">
        <f t="shared" si="11"/>
        <v>639.86265713350417</v>
      </c>
      <c r="G67" s="6">
        <f t="shared" si="12"/>
        <v>643.95463639800244</v>
      </c>
      <c r="H67" s="6">
        <f>Arrivals!L67</f>
        <v>75</v>
      </c>
      <c r="I67" s="6">
        <f>H67*8/ACE_Input!S67+ACE_Input!T67</f>
        <v>6.02</v>
      </c>
      <c r="J67" s="6">
        <f t="shared" si="21"/>
        <v>744.07999999999993</v>
      </c>
      <c r="K67" s="6">
        <f t="shared" si="13"/>
        <v>744.07999999999993</v>
      </c>
      <c r="L67" s="6">
        <f>MOD(K67-Settings!$B$32,Settings!$B$33)</f>
        <v>24.079999999999927</v>
      </c>
      <c r="M67" s="6">
        <f>IF(L67&lt;Settings!$B$30,IF(Settings!$B$30-L67&gt;=I67,K67,K67+(Settings!$B$30-L67)+Settings!$B$31),K67+(Settings!$B$33-L67))</f>
        <v>744.07999999999993</v>
      </c>
      <c r="N67" s="6">
        <f t="shared" si="14"/>
        <v>750.09999999999991</v>
      </c>
      <c r="O67" s="6">
        <f t="shared" si="15"/>
        <v>311.09999999999991</v>
      </c>
      <c r="P67" s="6">
        <f t="shared" si="16"/>
        <v>200.86265713350417</v>
      </c>
      <c r="Q67" s="6">
        <f t="shared" si="17"/>
        <v>100.12536360199749</v>
      </c>
      <c r="R67" s="6">
        <f t="shared" si="18"/>
        <v>0</v>
      </c>
      <c r="S67" s="6">
        <f t="shared" si="19"/>
        <v>300.98802073550166</v>
      </c>
      <c r="T67" s="6" t="str">
        <f>IF(MOD(C67-Settings!$B$32,Settings!$B$33)&lt;Settings!$B$30,"Up","Down")</f>
        <v>Up</v>
      </c>
      <c r="U67" s="6">
        <f>IF(OR(I67&gt;Settings!$B$30,O67&gt;Settings!$B$37),0,1)</f>
        <v>1</v>
      </c>
      <c r="V67" s="6">
        <f>IF(AND(U67=1,O67&lt;=Settings!$B$36),1,0)</f>
        <v>0</v>
      </c>
    </row>
    <row r="68" spans="1:22" x14ac:dyDescent="0.2">
      <c r="A68">
        <f>Arrivals!A68</f>
        <v>1</v>
      </c>
      <c r="B68">
        <f>Arrivals!B68</f>
        <v>63</v>
      </c>
      <c r="C68" s="6">
        <f>Arrivals!F68</f>
        <v>444</v>
      </c>
      <c r="D68" s="6">
        <f>Arrivals!J68</f>
        <v>2.8633407461042548</v>
      </c>
      <c r="E68" s="6">
        <f t="shared" si="20"/>
        <v>643.95463639800244</v>
      </c>
      <c r="F68" s="6">
        <f t="shared" si="11"/>
        <v>643.95463639800244</v>
      </c>
      <c r="G68" s="6">
        <f t="shared" si="12"/>
        <v>646.81797714410664</v>
      </c>
      <c r="H68" s="6">
        <f>Arrivals!L68</f>
        <v>75</v>
      </c>
      <c r="I68" s="6">
        <f>H68*8/ACE_Input!S68+ACE_Input!T68</f>
        <v>6.02</v>
      </c>
      <c r="J68" s="6">
        <f t="shared" si="21"/>
        <v>750.09999999999991</v>
      </c>
      <c r="K68" s="6">
        <f t="shared" si="13"/>
        <v>750.09999999999991</v>
      </c>
      <c r="L68" s="6">
        <f>MOD(K68-Settings!$B$32,Settings!$B$33)</f>
        <v>30.099999999999909</v>
      </c>
      <c r="M68" s="6">
        <f>IF(L68&lt;Settings!$B$30,IF(Settings!$B$30-L68&gt;=I68,K68,K68+(Settings!$B$30-L68)+Settings!$B$31),K68+(Settings!$B$33-L68))</f>
        <v>750.09999999999991</v>
      </c>
      <c r="N68" s="6">
        <f t="shared" si="14"/>
        <v>756.11999999999989</v>
      </c>
      <c r="O68" s="6">
        <f t="shared" si="15"/>
        <v>312.11999999999989</v>
      </c>
      <c r="P68" s="6">
        <f t="shared" si="16"/>
        <v>199.95463639800244</v>
      </c>
      <c r="Q68" s="6">
        <f t="shared" si="17"/>
        <v>103.28202285589327</v>
      </c>
      <c r="R68" s="6">
        <f t="shared" si="18"/>
        <v>0</v>
      </c>
      <c r="S68" s="6">
        <f t="shared" si="19"/>
        <v>303.23665925389571</v>
      </c>
      <c r="T68" s="6" t="str">
        <f>IF(MOD(C68-Settings!$B$32,Settings!$B$33)&lt;Settings!$B$30,"Up","Down")</f>
        <v>Up</v>
      </c>
      <c r="U68" s="6">
        <f>IF(OR(I68&gt;Settings!$B$30,O68&gt;Settings!$B$37),0,1)</f>
        <v>1</v>
      </c>
      <c r="V68" s="6">
        <f>IF(AND(U68=1,O68&lt;=Settings!$B$36),1,0)</f>
        <v>0</v>
      </c>
    </row>
    <row r="69" spans="1:22" x14ac:dyDescent="0.2">
      <c r="A69">
        <f>Arrivals!A69</f>
        <v>1</v>
      </c>
      <c r="B69">
        <f>Arrivals!B69</f>
        <v>64</v>
      </c>
      <c r="C69" s="6">
        <f>Arrivals!F69</f>
        <v>449</v>
      </c>
      <c r="D69" s="6">
        <f>Arrivals!J69</f>
        <v>18.096770354063416</v>
      </c>
      <c r="E69" s="6">
        <f t="shared" si="20"/>
        <v>646.81797714410664</v>
      </c>
      <c r="F69" s="6">
        <f t="shared" si="11"/>
        <v>646.81797714410664</v>
      </c>
      <c r="G69" s="6">
        <f t="shared" si="12"/>
        <v>664.91474749817007</v>
      </c>
      <c r="H69" s="6">
        <f>Arrivals!L69</f>
        <v>75</v>
      </c>
      <c r="I69" s="6">
        <f>H69*8/ACE_Input!S69+ACE_Input!T69</f>
        <v>6.02</v>
      </c>
      <c r="J69" s="6">
        <f t="shared" si="21"/>
        <v>756.11999999999989</v>
      </c>
      <c r="K69" s="6">
        <f t="shared" si="13"/>
        <v>756.11999999999989</v>
      </c>
      <c r="L69" s="6">
        <f>MOD(K69-Settings!$B$32,Settings!$B$33)</f>
        <v>36.119999999999891</v>
      </c>
      <c r="M69" s="6">
        <f>IF(L69&lt;Settings!$B$30,IF(Settings!$B$30-L69&gt;=I69,K69,K69+(Settings!$B$30-L69)+Settings!$B$31),K69+(Settings!$B$33-L69))</f>
        <v>756.11999999999989</v>
      </c>
      <c r="N69" s="6">
        <f t="shared" si="14"/>
        <v>762.13999999999987</v>
      </c>
      <c r="O69" s="6">
        <f t="shared" si="15"/>
        <v>313.13999999999987</v>
      </c>
      <c r="P69" s="6">
        <f t="shared" si="16"/>
        <v>197.81797714410664</v>
      </c>
      <c r="Q69" s="6">
        <f t="shared" si="17"/>
        <v>91.205252501829818</v>
      </c>
      <c r="R69" s="6">
        <f t="shared" si="18"/>
        <v>0</v>
      </c>
      <c r="S69" s="6">
        <f t="shared" si="19"/>
        <v>289.02322964593645</v>
      </c>
      <c r="T69" s="6" t="str">
        <f>IF(MOD(C69-Settings!$B$32,Settings!$B$33)&lt;Settings!$B$30,"Up","Down")</f>
        <v>Up</v>
      </c>
      <c r="U69" s="6">
        <f>IF(OR(I69&gt;Settings!$B$30,O69&gt;Settings!$B$37),0,1)</f>
        <v>1</v>
      </c>
      <c r="V69" s="6">
        <f>IF(AND(U69=1,O69&lt;=Settings!$B$36),1,0)</f>
        <v>0</v>
      </c>
    </row>
    <row r="70" spans="1:22" x14ac:dyDescent="0.2">
      <c r="A70">
        <f>Arrivals!A70</f>
        <v>1</v>
      </c>
      <c r="B70">
        <f>Arrivals!B70</f>
        <v>65</v>
      </c>
      <c r="C70" s="6">
        <f>Arrivals!F70</f>
        <v>454</v>
      </c>
      <c r="D70" s="6">
        <f>Arrivals!J70</f>
        <v>42.787653906515501</v>
      </c>
      <c r="E70" s="6">
        <f t="shared" si="20"/>
        <v>664.91474749817007</v>
      </c>
      <c r="F70" s="6">
        <f t="shared" ref="F70:F101" si="22">MAX(C70,E70)</f>
        <v>664.91474749817007</v>
      </c>
      <c r="G70" s="6">
        <f t="shared" ref="G70:G101" si="23">F70+D70</f>
        <v>707.70240140468559</v>
      </c>
      <c r="H70" s="6">
        <f>Arrivals!L70</f>
        <v>75</v>
      </c>
      <c r="I70" s="6">
        <f>H70*8/ACE_Input!S70+ACE_Input!T70</f>
        <v>6.02</v>
      </c>
      <c r="J70" s="6">
        <f t="shared" si="21"/>
        <v>762.13999999999987</v>
      </c>
      <c r="K70" s="6">
        <f t="shared" ref="K70:K101" si="24">MAX(G70,J70)</f>
        <v>762.13999999999987</v>
      </c>
      <c r="L70" s="6">
        <f>MOD(K70-Settings!$B$32,Settings!$B$33)</f>
        <v>42.139999999999873</v>
      </c>
      <c r="M70" s="6">
        <f>IF(L70&lt;Settings!$B$30,IF(Settings!$B$30-L70&gt;=I70,K70,K70+(Settings!$B$30-L70)+Settings!$B$31),K70+(Settings!$B$33-L70))</f>
        <v>762.13999999999987</v>
      </c>
      <c r="N70" s="6">
        <f t="shared" ref="N70:N101" si="25">M70+I70</f>
        <v>768.15999999999985</v>
      </c>
      <c r="O70" s="6">
        <f t="shared" ref="O70:O101" si="26">N70-C70</f>
        <v>314.15999999999985</v>
      </c>
      <c r="P70" s="6">
        <f t="shared" ref="P70:P105" si="27">F70-C70</f>
        <v>210.91474749817007</v>
      </c>
      <c r="Q70" s="6">
        <f t="shared" ref="Q70:Q105" si="28">K70-G70</f>
        <v>54.437598595314284</v>
      </c>
      <c r="R70" s="6">
        <f t="shared" ref="R70:R105" si="29">M70-K70</f>
        <v>0</v>
      </c>
      <c r="S70" s="6">
        <f t="shared" ref="S70:S101" si="30">P70+Q70+R70</f>
        <v>265.35234609348436</v>
      </c>
      <c r="T70" s="6" t="str">
        <f>IF(MOD(C70-Settings!$B$32,Settings!$B$33)&lt;Settings!$B$30,"Up","Down")</f>
        <v>Up</v>
      </c>
      <c r="U70" s="6">
        <f>IF(OR(I70&gt;Settings!$B$30,O70&gt;Settings!$B$37),0,1)</f>
        <v>1</v>
      </c>
      <c r="V70" s="6">
        <f>IF(AND(U70=1,O70&lt;=Settings!$B$36),1,0)</f>
        <v>0</v>
      </c>
    </row>
    <row r="71" spans="1:22" x14ac:dyDescent="0.2">
      <c r="A71">
        <f>Arrivals!A71</f>
        <v>1</v>
      </c>
      <c r="B71">
        <f>Arrivals!B71</f>
        <v>66</v>
      </c>
      <c r="C71" s="6">
        <f>Arrivals!F71</f>
        <v>459</v>
      </c>
      <c r="D71" s="6">
        <f>Arrivals!J71</f>
        <v>15.097349632857398</v>
      </c>
      <c r="E71" s="6">
        <f t="shared" ref="E71:E105" si="31">G70</f>
        <v>707.70240140468559</v>
      </c>
      <c r="F71" s="6">
        <f t="shared" si="22"/>
        <v>707.70240140468559</v>
      </c>
      <c r="G71" s="6">
        <f t="shared" si="23"/>
        <v>722.79975103754293</v>
      </c>
      <c r="H71" s="6">
        <f>Arrivals!L71</f>
        <v>75</v>
      </c>
      <c r="I71" s="6">
        <f>H71*8/ACE_Input!S71+ACE_Input!T71</f>
        <v>6.02</v>
      </c>
      <c r="J71" s="6">
        <f t="shared" ref="J71:J105" si="32">N70</f>
        <v>768.15999999999985</v>
      </c>
      <c r="K71" s="6">
        <f t="shared" si="24"/>
        <v>768.15999999999985</v>
      </c>
      <c r="L71" s="6">
        <f>MOD(K71-Settings!$B$32,Settings!$B$33)</f>
        <v>48.159999999999854</v>
      </c>
      <c r="M71" s="6">
        <f>IF(L71&lt;Settings!$B$30,IF(Settings!$B$30-L71&gt;=I71,K71,K71+(Settings!$B$30-L71)+Settings!$B$31),K71+(Settings!$B$33-L71))</f>
        <v>768.15999999999985</v>
      </c>
      <c r="N71" s="6">
        <f t="shared" si="25"/>
        <v>774.17999999999984</v>
      </c>
      <c r="O71" s="6">
        <f t="shared" si="26"/>
        <v>315.17999999999984</v>
      </c>
      <c r="P71" s="6">
        <f t="shared" si="27"/>
        <v>248.70240140468559</v>
      </c>
      <c r="Q71" s="6">
        <f t="shared" si="28"/>
        <v>45.360248962456922</v>
      </c>
      <c r="R71" s="6">
        <f t="shared" si="29"/>
        <v>0</v>
      </c>
      <c r="S71" s="6">
        <f t="shared" si="30"/>
        <v>294.06265036714251</v>
      </c>
      <c r="T71" s="6" t="str">
        <f>IF(MOD(C71-Settings!$B$32,Settings!$B$33)&lt;Settings!$B$30,"Up","Down")</f>
        <v>Up</v>
      </c>
      <c r="U71" s="6">
        <f>IF(OR(I71&gt;Settings!$B$30,O71&gt;Settings!$B$37),0,1)</f>
        <v>1</v>
      </c>
      <c r="V71" s="6">
        <f>IF(AND(U71=1,O71&lt;=Settings!$B$36),1,0)</f>
        <v>0</v>
      </c>
    </row>
    <row r="72" spans="1:22" x14ac:dyDescent="0.2">
      <c r="A72">
        <f>Arrivals!A72</f>
        <v>1</v>
      </c>
      <c r="B72">
        <f>Arrivals!B72</f>
        <v>67</v>
      </c>
      <c r="C72" s="6">
        <f>Arrivals!F72</f>
        <v>474</v>
      </c>
      <c r="D72" s="6">
        <f>Arrivals!J72</f>
        <v>11.602040822418406</v>
      </c>
      <c r="E72" s="6">
        <f t="shared" si="31"/>
        <v>722.79975103754293</v>
      </c>
      <c r="F72" s="6">
        <f t="shared" si="22"/>
        <v>722.79975103754293</v>
      </c>
      <c r="G72" s="6">
        <f t="shared" si="23"/>
        <v>734.40179185996135</v>
      </c>
      <c r="H72" s="6">
        <f>Arrivals!L72</f>
        <v>75</v>
      </c>
      <c r="I72" s="6">
        <f>H72*8/ACE_Input!S72+ACE_Input!T72</f>
        <v>6.02</v>
      </c>
      <c r="J72" s="6">
        <f t="shared" si="32"/>
        <v>774.17999999999984</v>
      </c>
      <c r="K72" s="6">
        <f t="shared" si="24"/>
        <v>774.17999999999984</v>
      </c>
      <c r="L72" s="6">
        <f>MOD(K72-Settings!$B$32,Settings!$B$33)</f>
        <v>54.179999999999836</v>
      </c>
      <c r="M72" s="6">
        <f>IF(L72&lt;Settings!$B$30,IF(Settings!$B$30-L72&gt;=I72,K72,K72+(Settings!$B$30-L72)+Settings!$B$31),K72+(Settings!$B$33-L72))</f>
        <v>774.17999999999984</v>
      </c>
      <c r="N72" s="6">
        <f t="shared" si="25"/>
        <v>780.19999999999982</v>
      </c>
      <c r="O72" s="6">
        <f t="shared" si="26"/>
        <v>306.19999999999982</v>
      </c>
      <c r="P72" s="6">
        <f t="shared" si="27"/>
        <v>248.79975103754293</v>
      </c>
      <c r="Q72" s="6">
        <f t="shared" si="28"/>
        <v>39.778208140038487</v>
      </c>
      <c r="R72" s="6">
        <f t="shared" si="29"/>
        <v>0</v>
      </c>
      <c r="S72" s="6">
        <f t="shared" si="30"/>
        <v>288.57795917758142</v>
      </c>
      <c r="T72" s="6" t="str">
        <f>IF(MOD(C72-Settings!$B$32,Settings!$B$33)&lt;Settings!$B$30,"Up","Down")</f>
        <v>Up</v>
      </c>
      <c r="U72" s="6">
        <f>IF(OR(I72&gt;Settings!$B$30,O72&gt;Settings!$B$37),0,1)</f>
        <v>1</v>
      </c>
      <c r="V72" s="6">
        <f>IF(AND(U72=1,O72&lt;=Settings!$B$36),1,0)</f>
        <v>0</v>
      </c>
    </row>
    <row r="73" spans="1:22" x14ac:dyDescent="0.2">
      <c r="A73">
        <f>Arrivals!A73</f>
        <v>1</v>
      </c>
      <c r="B73">
        <f>Arrivals!B73</f>
        <v>68</v>
      </c>
      <c r="C73" s="6">
        <f>Arrivals!F73</f>
        <v>479</v>
      </c>
      <c r="D73" s="6">
        <f>Arrivals!J73</f>
        <v>10.00332894581739</v>
      </c>
      <c r="E73" s="6">
        <f t="shared" si="31"/>
        <v>734.40179185996135</v>
      </c>
      <c r="F73" s="6">
        <f t="shared" si="22"/>
        <v>734.40179185996135</v>
      </c>
      <c r="G73" s="6">
        <f t="shared" si="23"/>
        <v>744.40512080577878</v>
      </c>
      <c r="H73" s="6">
        <f>Arrivals!L73</f>
        <v>75</v>
      </c>
      <c r="I73" s="6">
        <f>H73*8/ACE_Input!S73+ACE_Input!T73</f>
        <v>6.02</v>
      </c>
      <c r="J73" s="6">
        <f t="shared" si="32"/>
        <v>780.19999999999982</v>
      </c>
      <c r="K73" s="6">
        <f t="shared" si="24"/>
        <v>780.19999999999982</v>
      </c>
      <c r="L73" s="6">
        <f>MOD(K73-Settings!$B$32,Settings!$B$33)</f>
        <v>60.199999999999818</v>
      </c>
      <c r="M73" s="6">
        <f>IF(L73&lt;Settings!$B$30,IF(Settings!$B$30-L73&gt;=I73,K73,K73+(Settings!$B$30-L73)+Settings!$B$31),K73+(Settings!$B$33-L73))</f>
        <v>780.19999999999982</v>
      </c>
      <c r="N73" s="6">
        <f t="shared" si="25"/>
        <v>786.2199999999998</v>
      </c>
      <c r="O73" s="6">
        <f t="shared" si="26"/>
        <v>307.2199999999998</v>
      </c>
      <c r="P73" s="6">
        <f t="shared" si="27"/>
        <v>255.40179185996135</v>
      </c>
      <c r="Q73" s="6">
        <f t="shared" si="28"/>
        <v>35.794879194221039</v>
      </c>
      <c r="R73" s="6">
        <f t="shared" si="29"/>
        <v>0</v>
      </c>
      <c r="S73" s="6">
        <f t="shared" si="30"/>
        <v>291.19667105418239</v>
      </c>
      <c r="T73" s="6" t="str">
        <f>IF(MOD(C73-Settings!$B$32,Settings!$B$33)&lt;Settings!$B$30,"Up","Down")</f>
        <v>Up</v>
      </c>
      <c r="U73" s="6">
        <f>IF(OR(I73&gt;Settings!$B$30,O73&gt;Settings!$B$37),0,1)</f>
        <v>1</v>
      </c>
      <c r="V73" s="6">
        <f>IF(AND(U73=1,O73&lt;=Settings!$B$36),1,0)</f>
        <v>0</v>
      </c>
    </row>
    <row r="74" spans="1:22" x14ac:dyDescent="0.2">
      <c r="A74">
        <f>Arrivals!A74</f>
        <v>1</v>
      </c>
      <c r="B74">
        <f>Arrivals!B74</f>
        <v>69</v>
      </c>
      <c r="C74" s="6">
        <f>Arrivals!F74</f>
        <v>494</v>
      </c>
      <c r="D74" s="6">
        <f>Arrivals!J74</f>
        <v>15.887858657937965</v>
      </c>
      <c r="E74" s="6">
        <f t="shared" si="31"/>
        <v>744.40512080577878</v>
      </c>
      <c r="F74" s="6">
        <f t="shared" si="22"/>
        <v>744.40512080577878</v>
      </c>
      <c r="G74" s="6">
        <f t="shared" si="23"/>
        <v>760.29297946371673</v>
      </c>
      <c r="H74" s="6">
        <f>Arrivals!L74</f>
        <v>75</v>
      </c>
      <c r="I74" s="6">
        <f>H74*8/ACE_Input!S74+ACE_Input!T74</f>
        <v>6.02</v>
      </c>
      <c r="J74" s="6">
        <f t="shared" si="32"/>
        <v>786.2199999999998</v>
      </c>
      <c r="K74" s="6">
        <f t="shared" si="24"/>
        <v>786.2199999999998</v>
      </c>
      <c r="L74" s="6">
        <f>MOD(K74-Settings!$B$32,Settings!$B$33)</f>
        <v>66.2199999999998</v>
      </c>
      <c r="M74" s="6">
        <f>IF(L74&lt;Settings!$B$30,IF(Settings!$B$30-L74&gt;=I74,K74,K74+(Settings!$B$30-L74)+Settings!$B$31),K74+(Settings!$B$33-L74))</f>
        <v>786.2199999999998</v>
      </c>
      <c r="N74" s="6">
        <f t="shared" si="25"/>
        <v>792.23999999999978</v>
      </c>
      <c r="O74" s="6">
        <f t="shared" si="26"/>
        <v>298.23999999999978</v>
      </c>
      <c r="P74" s="6">
        <f t="shared" si="27"/>
        <v>250.40512080577878</v>
      </c>
      <c r="Q74" s="6">
        <f t="shared" si="28"/>
        <v>25.927020536283067</v>
      </c>
      <c r="R74" s="6">
        <f t="shared" si="29"/>
        <v>0</v>
      </c>
      <c r="S74" s="6">
        <f t="shared" si="30"/>
        <v>276.33214134206185</v>
      </c>
      <c r="T74" s="6" t="str">
        <f>IF(MOD(C74-Settings!$B$32,Settings!$B$33)&lt;Settings!$B$30,"Up","Down")</f>
        <v>Up</v>
      </c>
      <c r="U74" s="6">
        <f>IF(OR(I74&gt;Settings!$B$30,O74&gt;Settings!$B$37),0,1)</f>
        <v>1</v>
      </c>
      <c r="V74" s="6">
        <f>IF(AND(U74=1,O74&lt;=Settings!$B$36),1,0)</f>
        <v>0</v>
      </c>
    </row>
    <row r="75" spans="1:22" x14ac:dyDescent="0.2">
      <c r="A75">
        <f>Arrivals!A75</f>
        <v>1</v>
      </c>
      <c r="B75">
        <f>Arrivals!B75</f>
        <v>70</v>
      </c>
      <c r="C75" s="6">
        <f>Arrivals!F75</f>
        <v>499</v>
      </c>
      <c r="D75" s="6">
        <f>Arrivals!J75</f>
        <v>1.6354761452292546</v>
      </c>
      <c r="E75" s="6">
        <f t="shared" si="31"/>
        <v>760.29297946371673</v>
      </c>
      <c r="F75" s="6">
        <f t="shared" si="22"/>
        <v>760.29297946371673</v>
      </c>
      <c r="G75" s="6">
        <f t="shared" si="23"/>
        <v>761.92845560894602</v>
      </c>
      <c r="H75" s="6">
        <f>Arrivals!L75</f>
        <v>75</v>
      </c>
      <c r="I75" s="6">
        <f>H75*8/ACE_Input!S75+ACE_Input!T75</f>
        <v>6.02</v>
      </c>
      <c r="J75" s="6">
        <f t="shared" si="32"/>
        <v>792.23999999999978</v>
      </c>
      <c r="K75" s="6">
        <f t="shared" si="24"/>
        <v>792.23999999999978</v>
      </c>
      <c r="L75" s="6">
        <f>MOD(K75-Settings!$B$32,Settings!$B$33)</f>
        <v>72.239999999999782</v>
      </c>
      <c r="M75" s="6">
        <f>IF(L75&lt;Settings!$B$30,IF(Settings!$B$30-L75&gt;=I75,K75,K75+(Settings!$B$30-L75)+Settings!$B$31),K75+(Settings!$B$33-L75))</f>
        <v>792.23999999999978</v>
      </c>
      <c r="N75" s="6">
        <f t="shared" si="25"/>
        <v>798.25999999999976</v>
      </c>
      <c r="O75" s="6">
        <f t="shared" si="26"/>
        <v>299.25999999999976</v>
      </c>
      <c r="P75" s="6">
        <f t="shared" si="27"/>
        <v>261.29297946371673</v>
      </c>
      <c r="Q75" s="6">
        <f t="shared" si="28"/>
        <v>30.311544391053758</v>
      </c>
      <c r="R75" s="6">
        <f t="shared" si="29"/>
        <v>0</v>
      </c>
      <c r="S75" s="6">
        <f t="shared" si="30"/>
        <v>291.60452385477049</v>
      </c>
      <c r="T75" s="6" t="str">
        <f>IF(MOD(C75-Settings!$B$32,Settings!$B$33)&lt;Settings!$B$30,"Up","Down")</f>
        <v>Up</v>
      </c>
      <c r="U75" s="6">
        <f>IF(OR(I75&gt;Settings!$B$30,O75&gt;Settings!$B$37),0,1)</f>
        <v>1</v>
      </c>
      <c r="V75" s="6">
        <f>IF(AND(U75=1,O75&lt;=Settings!$B$36),1,0)</f>
        <v>0</v>
      </c>
    </row>
    <row r="76" spans="1:22" x14ac:dyDescent="0.2">
      <c r="A76">
        <f>Arrivals!A76</f>
        <v>1</v>
      </c>
      <c r="B76">
        <f>Arrivals!B76</f>
        <v>71</v>
      </c>
      <c r="C76" s="6">
        <f>Arrivals!F76</f>
        <v>504</v>
      </c>
      <c r="D76" s="6">
        <f>Arrivals!J76</f>
        <v>5.7909224675669275</v>
      </c>
      <c r="E76" s="6">
        <f t="shared" si="31"/>
        <v>761.92845560894602</v>
      </c>
      <c r="F76" s="6">
        <f t="shared" si="22"/>
        <v>761.92845560894602</v>
      </c>
      <c r="G76" s="6">
        <f t="shared" si="23"/>
        <v>767.71937807651295</v>
      </c>
      <c r="H76" s="6">
        <f>Arrivals!L76</f>
        <v>75</v>
      </c>
      <c r="I76" s="6">
        <f>H76*8/ACE_Input!S76+ACE_Input!T76</f>
        <v>6.02</v>
      </c>
      <c r="J76" s="6">
        <f t="shared" si="32"/>
        <v>798.25999999999976</v>
      </c>
      <c r="K76" s="6">
        <f t="shared" si="24"/>
        <v>798.25999999999976</v>
      </c>
      <c r="L76" s="6">
        <f>MOD(K76-Settings!$B$32,Settings!$B$33)</f>
        <v>78.259999999999764</v>
      </c>
      <c r="M76" s="6">
        <f>IF(L76&lt;Settings!$B$30,IF(Settings!$B$30-L76&gt;=I76,K76,K76+(Settings!$B$30-L76)+Settings!$B$31),K76+(Settings!$B$33-L76))</f>
        <v>798.25999999999976</v>
      </c>
      <c r="N76" s="6">
        <f t="shared" si="25"/>
        <v>804.27999999999975</v>
      </c>
      <c r="O76" s="6">
        <f t="shared" si="26"/>
        <v>300.27999999999975</v>
      </c>
      <c r="P76" s="6">
        <f t="shared" si="27"/>
        <v>257.92845560894602</v>
      </c>
      <c r="Q76" s="6">
        <f t="shared" si="28"/>
        <v>30.54062192348681</v>
      </c>
      <c r="R76" s="6">
        <f t="shared" si="29"/>
        <v>0</v>
      </c>
      <c r="S76" s="6">
        <f t="shared" si="30"/>
        <v>288.46907753243283</v>
      </c>
      <c r="T76" s="6" t="str">
        <f>IF(MOD(C76-Settings!$B$32,Settings!$B$33)&lt;Settings!$B$30,"Up","Down")</f>
        <v>Up</v>
      </c>
      <c r="U76" s="6">
        <f>IF(OR(I76&gt;Settings!$B$30,O76&gt;Settings!$B$37),0,1)</f>
        <v>1</v>
      </c>
      <c r="V76" s="6">
        <f>IF(AND(U76=1,O76&lt;=Settings!$B$36),1,0)</f>
        <v>0</v>
      </c>
    </row>
    <row r="77" spans="1:22" x14ac:dyDescent="0.2">
      <c r="A77">
        <f>Arrivals!A77</f>
        <v>1</v>
      </c>
      <c r="B77">
        <f>Arrivals!B77</f>
        <v>72</v>
      </c>
      <c r="C77" s="6">
        <f>Arrivals!F77</f>
        <v>509</v>
      </c>
      <c r="D77" s="6">
        <f>Arrivals!J77</f>
        <v>24.690215669525095</v>
      </c>
      <c r="E77" s="6">
        <f t="shared" si="31"/>
        <v>767.71937807651295</v>
      </c>
      <c r="F77" s="6">
        <f t="shared" si="22"/>
        <v>767.71937807651295</v>
      </c>
      <c r="G77" s="6">
        <f t="shared" si="23"/>
        <v>792.40959374603801</v>
      </c>
      <c r="H77" s="6">
        <f>Arrivals!L77</f>
        <v>75</v>
      </c>
      <c r="I77" s="6">
        <f>H77*8/ACE_Input!S77+ACE_Input!T77</f>
        <v>6.02</v>
      </c>
      <c r="J77" s="6">
        <f t="shared" si="32"/>
        <v>804.27999999999975</v>
      </c>
      <c r="K77" s="6">
        <f t="shared" si="24"/>
        <v>804.27999999999975</v>
      </c>
      <c r="L77" s="6">
        <f>MOD(K77-Settings!$B$32,Settings!$B$33)</f>
        <v>84.279999999999745</v>
      </c>
      <c r="M77" s="6">
        <f>IF(L77&lt;Settings!$B$30,IF(Settings!$B$30-L77&gt;=I77,K77,K77+(Settings!$B$30-L77)+Settings!$B$31),K77+(Settings!$B$33-L77))</f>
        <v>804.27999999999975</v>
      </c>
      <c r="N77" s="6">
        <f t="shared" si="25"/>
        <v>810.29999999999973</v>
      </c>
      <c r="O77" s="6">
        <f t="shared" si="26"/>
        <v>301.29999999999973</v>
      </c>
      <c r="P77" s="6">
        <f t="shared" si="27"/>
        <v>258.71937807651295</v>
      </c>
      <c r="Q77" s="6">
        <f t="shared" si="28"/>
        <v>11.870406253961733</v>
      </c>
      <c r="R77" s="6">
        <f t="shared" si="29"/>
        <v>0</v>
      </c>
      <c r="S77" s="6">
        <f t="shared" si="30"/>
        <v>270.58978433047469</v>
      </c>
      <c r="T77" s="6" t="str">
        <f>IF(MOD(C77-Settings!$B$32,Settings!$B$33)&lt;Settings!$B$30,"Up","Down")</f>
        <v>Up</v>
      </c>
      <c r="U77" s="6">
        <f>IF(OR(I77&gt;Settings!$B$30,O77&gt;Settings!$B$37),0,1)</f>
        <v>1</v>
      </c>
      <c r="V77" s="6">
        <f>IF(AND(U77=1,O77&lt;=Settings!$B$36),1,0)</f>
        <v>0</v>
      </c>
    </row>
    <row r="78" spans="1:22" x14ac:dyDescent="0.2">
      <c r="A78">
        <f>Arrivals!A78</f>
        <v>1</v>
      </c>
      <c r="B78">
        <f>Arrivals!B78</f>
        <v>73</v>
      </c>
      <c r="C78" s="6">
        <f>Arrivals!F78</f>
        <v>514</v>
      </c>
      <c r="D78" s="6">
        <f>Arrivals!J78</f>
        <v>9.789915273089683</v>
      </c>
      <c r="E78" s="6">
        <f t="shared" si="31"/>
        <v>792.40959374603801</v>
      </c>
      <c r="F78" s="6">
        <f t="shared" si="22"/>
        <v>792.40959374603801</v>
      </c>
      <c r="G78" s="6">
        <f t="shared" si="23"/>
        <v>802.19950901912773</v>
      </c>
      <c r="H78" s="6">
        <f>Arrivals!L78</f>
        <v>75</v>
      </c>
      <c r="I78" s="6">
        <f>H78*8/ACE_Input!S78+ACE_Input!T78</f>
        <v>6.02</v>
      </c>
      <c r="J78" s="6">
        <f t="shared" si="32"/>
        <v>810.29999999999973</v>
      </c>
      <c r="K78" s="6">
        <f t="shared" si="24"/>
        <v>810.29999999999973</v>
      </c>
      <c r="L78" s="6">
        <f>MOD(K78-Settings!$B$32,Settings!$B$33)</f>
        <v>90.299999999999727</v>
      </c>
      <c r="M78" s="6">
        <f>IF(L78&lt;Settings!$B$30,IF(Settings!$B$30-L78&gt;=I78,K78,K78+(Settings!$B$30-L78)+Settings!$B$31),K78+(Settings!$B$33-L78))</f>
        <v>810.29999999999973</v>
      </c>
      <c r="N78" s="6">
        <f t="shared" si="25"/>
        <v>816.31999999999971</v>
      </c>
      <c r="O78" s="6">
        <f t="shared" si="26"/>
        <v>302.31999999999971</v>
      </c>
      <c r="P78" s="6">
        <f t="shared" si="27"/>
        <v>278.40959374603801</v>
      </c>
      <c r="Q78" s="6">
        <f t="shared" si="28"/>
        <v>8.1004909808719958</v>
      </c>
      <c r="R78" s="6">
        <f t="shared" si="29"/>
        <v>0</v>
      </c>
      <c r="S78" s="6">
        <f t="shared" si="30"/>
        <v>286.51008472691001</v>
      </c>
      <c r="T78" s="6" t="str">
        <f>IF(MOD(C78-Settings!$B$32,Settings!$B$33)&lt;Settings!$B$30,"Up","Down")</f>
        <v>Up</v>
      </c>
      <c r="U78" s="6">
        <f>IF(OR(I78&gt;Settings!$B$30,O78&gt;Settings!$B$37),0,1)</f>
        <v>1</v>
      </c>
      <c r="V78" s="6">
        <f>IF(AND(U78=1,O78&lt;=Settings!$B$36),1,0)</f>
        <v>0</v>
      </c>
    </row>
    <row r="79" spans="1:22" x14ac:dyDescent="0.2">
      <c r="A79">
        <f>Arrivals!A79</f>
        <v>1</v>
      </c>
      <c r="B79">
        <f>Arrivals!B79</f>
        <v>74</v>
      </c>
      <c r="C79" s="6">
        <f>Arrivals!F79</f>
        <v>519</v>
      </c>
      <c r="D79" s="6">
        <f>Arrivals!J79</f>
        <v>14.661247255505668</v>
      </c>
      <c r="E79" s="6">
        <f t="shared" si="31"/>
        <v>802.19950901912773</v>
      </c>
      <c r="F79" s="6">
        <f t="shared" si="22"/>
        <v>802.19950901912773</v>
      </c>
      <c r="G79" s="6">
        <f t="shared" si="23"/>
        <v>816.86075627463345</v>
      </c>
      <c r="H79" s="6">
        <f>Arrivals!L79</f>
        <v>75</v>
      </c>
      <c r="I79" s="6">
        <f>H79*8/ACE_Input!S79+ACE_Input!T79</f>
        <v>6.02</v>
      </c>
      <c r="J79" s="6">
        <f t="shared" si="32"/>
        <v>816.31999999999971</v>
      </c>
      <c r="K79" s="6">
        <f t="shared" si="24"/>
        <v>816.86075627463345</v>
      </c>
      <c r="L79" s="6">
        <f>MOD(K79-Settings!$B$32,Settings!$B$33)</f>
        <v>96.860756274633445</v>
      </c>
      <c r="M79" s="6">
        <f>IF(L79&lt;Settings!$B$30,IF(Settings!$B$30-L79&gt;=I79,K79,K79+(Settings!$B$30-L79)+Settings!$B$31),K79+(Settings!$B$33-L79))</f>
        <v>816.86075627463345</v>
      </c>
      <c r="N79" s="6">
        <f t="shared" si="25"/>
        <v>822.88075627463343</v>
      </c>
      <c r="O79" s="6">
        <f t="shared" si="26"/>
        <v>303.88075627463343</v>
      </c>
      <c r="P79" s="6">
        <f t="shared" si="27"/>
        <v>283.19950901912773</v>
      </c>
      <c r="Q79" s="6">
        <f t="shared" si="28"/>
        <v>0</v>
      </c>
      <c r="R79" s="6">
        <f t="shared" si="29"/>
        <v>0</v>
      </c>
      <c r="S79" s="6">
        <f t="shared" si="30"/>
        <v>283.19950901912773</v>
      </c>
      <c r="T79" s="6" t="str">
        <f>IF(MOD(C79-Settings!$B$32,Settings!$B$33)&lt;Settings!$B$30,"Up","Down")</f>
        <v>Up</v>
      </c>
      <c r="U79" s="6">
        <f>IF(OR(I79&gt;Settings!$B$30,O79&gt;Settings!$B$37),0,1)</f>
        <v>1</v>
      </c>
      <c r="V79" s="6">
        <f>IF(AND(U79=1,O79&lt;=Settings!$B$36),1,0)</f>
        <v>0</v>
      </c>
    </row>
    <row r="80" spans="1:22" x14ac:dyDescent="0.2">
      <c r="A80">
        <f>Arrivals!A80</f>
        <v>1</v>
      </c>
      <c r="B80">
        <f>Arrivals!B80</f>
        <v>75</v>
      </c>
      <c r="C80" s="6">
        <f>Arrivals!F80</f>
        <v>524</v>
      </c>
      <c r="D80" s="6">
        <f>Arrivals!J80</f>
        <v>22.328177789796229</v>
      </c>
      <c r="E80" s="6">
        <f t="shared" si="31"/>
        <v>816.86075627463345</v>
      </c>
      <c r="F80" s="6">
        <f t="shared" si="22"/>
        <v>816.86075627463345</v>
      </c>
      <c r="G80" s="6">
        <f t="shared" si="23"/>
        <v>839.18893406442965</v>
      </c>
      <c r="H80" s="6">
        <f>Arrivals!L80</f>
        <v>75</v>
      </c>
      <c r="I80" s="6">
        <f>H80*8/ACE_Input!S80+ACE_Input!T80</f>
        <v>6.02</v>
      </c>
      <c r="J80" s="6">
        <f t="shared" si="32"/>
        <v>822.88075627463343</v>
      </c>
      <c r="K80" s="6">
        <f t="shared" si="24"/>
        <v>839.18893406442965</v>
      </c>
      <c r="L80" s="6">
        <f>MOD(K80-Settings!$B$32,Settings!$B$33)</f>
        <v>119.18893406442965</v>
      </c>
      <c r="M80" s="6">
        <f>IF(L80&lt;Settings!$B$30,IF(Settings!$B$30-L80&gt;=I80,K80,K80+(Settings!$B$30-L80)+Settings!$B$31),K80+(Settings!$B$33-L80))</f>
        <v>839.18893406442965</v>
      </c>
      <c r="N80" s="6">
        <f t="shared" si="25"/>
        <v>845.20893406442963</v>
      </c>
      <c r="O80" s="6">
        <f t="shared" si="26"/>
        <v>321.20893406442963</v>
      </c>
      <c r="P80" s="6">
        <f t="shared" si="27"/>
        <v>292.86075627463345</v>
      </c>
      <c r="Q80" s="6">
        <f t="shared" si="28"/>
        <v>0</v>
      </c>
      <c r="R80" s="6">
        <f t="shared" si="29"/>
        <v>0</v>
      </c>
      <c r="S80" s="6">
        <f t="shared" si="30"/>
        <v>292.86075627463345</v>
      </c>
      <c r="T80" s="6" t="str">
        <f>IF(MOD(C80-Settings!$B$32,Settings!$B$33)&lt;Settings!$B$30,"Up","Down")</f>
        <v>Up</v>
      </c>
      <c r="U80" s="6">
        <f>IF(OR(I80&gt;Settings!$B$30,O80&gt;Settings!$B$37),0,1)</f>
        <v>1</v>
      </c>
      <c r="V80" s="6">
        <f>IF(AND(U80=1,O80&lt;=Settings!$B$36),1,0)</f>
        <v>0</v>
      </c>
    </row>
    <row r="81" spans="1:22" x14ac:dyDescent="0.2">
      <c r="A81">
        <f>Arrivals!A81</f>
        <v>1</v>
      </c>
      <c r="B81">
        <f>Arrivals!B81</f>
        <v>76</v>
      </c>
      <c r="C81" s="6">
        <f>Arrivals!F81</f>
        <v>529</v>
      </c>
      <c r="D81" s="6">
        <f>Arrivals!J81</f>
        <v>5.9811903946115832</v>
      </c>
      <c r="E81" s="6">
        <f t="shared" si="31"/>
        <v>839.18893406442965</v>
      </c>
      <c r="F81" s="6">
        <f t="shared" si="22"/>
        <v>839.18893406442965</v>
      </c>
      <c r="G81" s="6">
        <f t="shared" si="23"/>
        <v>845.17012445904118</v>
      </c>
      <c r="H81" s="6">
        <f>Arrivals!L81</f>
        <v>75</v>
      </c>
      <c r="I81" s="6">
        <f>H81*8/ACE_Input!S81+ACE_Input!T81</f>
        <v>6.02</v>
      </c>
      <c r="J81" s="6">
        <f t="shared" si="32"/>
        <v>845.20893406442963</v>
      </c>
      <c r="K81" s="6">
        <f t="shared" si="24"/>
        <v>845.20893406442963</v>
      </c>
      <c r="L81" s="6">
        <f>MOD(K81-Settings!$B$32,Settings!$B$33)</f>
        <v>125.20893406442963</v>
      </c>
      <c r="M81" s="6">
        <f>IF(L81&lt;Settings!$B$30,IF(Settings!$B$30-L81&gt;=I81,K81,K81+(Settings!$B$30-L81)+Settings!$B$31),K81+(Settings!$B$33-L81))</f>
        <v>845.20893406442963</v>
      </c>
      <c r="N81" s="6">
        <f t="shared" si="25"/>
        <v>851.22893406442961</v>
      </c>
      <c r="O81" s="6">
        <f t="shared" si="26"/>
        <v>322.22893406442961</v>
      </c>
      <c r="P81" s="6">
        <f t="shared" si="27"/>
        <v>310.18893406442965</v>
      </c>
      <c r="Q81" s="6">
        <f t="shared" si="28"/>
        <v>3.8809605388451018E-2</v>
      </c>
      <c r="R81" s="6">
        <f t="shared" si="29"/>
        <v>0</v>
      </c>
      <c r="S81" s="6">
        <f t="shared" si="30"/>
        <v>310.2277436698181</v>
      </c>
      <c r="T81" s="6" t="str">
        <f>IF(MOD(C81-Settings!$B$32,Settings!$B$33)&lt;Settings!$B$30,"Up","Down")</f>
        <v>Up</v>
      </c>
      <c r="U81" s="6">
        <f>IF(OR(I81&gt;Settings!$B$30,O81&gt;Settings!$B$37),0,1)</f>
        <v>1</v>
      </c>
      <c r="V81" s="6">
        <f>IF(AND(U81=1,O81&lt;=Settings!$B$36),1,0)</f>
        <v>0</v>
      </c>
    </row>
    <row r="82" spans="1:22" x14ac:dyDescent="0.2">
      <c r="A82">
        <f>Arrivals!A82</f>
        <v>1</v>
      </c>
      <c r="B82">
        <f>Arrivals!B82</f>
        <v>77</v>
      </c>
      <c r="C82" s="6">
        <f>Arrivals!F82</f>
        <v>534</v>
      </c>
      <c r="D82" s="6">
        <f>Arrivals!J82</f>
        <v>0.58995889277629521</v>
      </c>
      <c r="E82" s="6">
        <f t="shared" si="31"/>
        <v>845.17012445904118</v>
      </c>
      <c r="F82" s="6">
        <f t="shared" si="22"/>
        <v>845.17012445904118</v>
      </c>
      <c r="G82" s="6">
        <f t="shared" si="23"/>
        <v>845.76008335181746</v>
      </c>
      <c r="H82" s="6">
        <f>Arrivals!L82</f>
        <v>75</v>
      </c>
      <c r="I82" s="6">
        <f>H82*8/ACE_Input!S82+ACE_Input!T82</f>
        <v>6.02</v>
      </c>
      <c r="J82" s="6">
        <f t="shared" si="32"/>
        <v>851.22893406442961</v>
      </c>
      <c r="K82" s="6">
        <f t="shared" si="24"/>
        <v>851.22893406442961</v>
      </c>
      <c r="L82" s="6">
        <f>MOD(K82-Settings!$B$32,Settings!$B$33)</f>
        <v>131.22893406442961</v>
      </c>
      <c r="M82" s="6">
        <f>IF(L82&lt;Settings!$B$30,IF(Settings!$B$30-L82&gt;=I82,K82,K82+(Settings!$B$30-L82)+Settings!$B$31),K82+(Settings!$B$33-L82))</f>
        <v>851.22893406442961</v>
      </c>
      <c r="N82" s="6">
        <f t="shared" si="25"/>
        <v>857.24893406442959</v>
      </c>
      <c r="O82" s="6">
        <f t="shared" si="26"/>
        <v>323.24893406442959</v>
      </c>
      <c r="P82" s="6">
        <f t="shared" si="27"/>
        <v>311.17012445904118</v>
      </c>
      <c r="Q82" s="6">
        <f t="shared" si="28"/>
        <v>5.4688507126121522</v>
      </c>
      <c r="R82" s="6">
        <f t="shared" si="29"/>
        <v>0</v>
      </c>
      <c r="S82" s="6">
        <f t="shared" si="30"/>
        <v>316.63897517165333</v>
      </c>
      <c r="T82" s="6" t="str">
        <f>IF(MOD(C82-Settings!$B$32,Settings!$B$33)&lt;Settings!$B$30,"Up","Down")</f>
        <v>Up</v>
      </c>
      <c r="U82" s="6">
        <f>IF(OR(I82&gt;Settings!$B$30,O82&gt;Settings!$B$37),0,1)</f>
        <v>1</v>
      </c>
      <c r="V82" s="6">
        <f>IF(AND(U82=1,O82&lt;=Settings!$B$36),1,0)</f>
        <v>0</v>
      </c>
    </row>
    <row r="83" spans="1:22" x14ac:dyDescent="0.2">
      <c r="A83">
        <f>Arrivals!A83</f>
        <v>1</v>
      </c>
      <c r="B83">
        <f>Arrivals!B83</f>
        <v>78</v>
      </c>
      <c r="C83" s="6">
        <f>Arrivals!F83</f>
        <v>539</v>
      </c>
      <c r="D83" s="6">
        <f>Arrivals!J83</f>
        <v>4.3477816175096304</v>
      </c>
      <c r="E83" s="6">
        <f t="shared" si="31"/>
        <v>845.76008335181746</v>
      </c>
      <c r="F83" s="6">
        <f t="shared" si="22"/>
        <v>845.76008335181746</v>
      </c>
      <c r="G83" s="6">
        <f t="shared" si="23"/>
        <v>850.10786496932712</v>
      </c>
      <c r="H83" s="6">
        <f>Arrivals!L83</f>
        <v>75</v>
      </c>
      <c r="I83" s="6">
        <f>H83*8/ACE_Input!S83+ACE_Input!T83</f>
        <v>6.02</v>
      </c>
      <c r="J83" s="6">
        <f t="shared" si="32"/>
        <v>857.24893406442959</v>
      </c>
      <c r="K83" s="6">
        <f t="shared" si="24"/>
        <v>857.24893406442959</v>
      </c>
      <c r="L83" s="6">
        <f>MOD(K83-Settings!$B$32,Settings!$B$33)</f>
        <v>137.24893406442959</v>
      </c>
      <c r="M83" s="6">
        <f>IF(L83&lt;Settings!$B$30,IF(Settings!$B$30-L83&gt;=I83,K83,K83+(Settings!$B$30-L83)+Settings!$B$31),K83+(Settings!$B$33-L83))</f>
        <v>857.24893406442959</v>
      </c>
      <c r="N83" s="6">
        <f t="shared" si="25"/>
        <v>863.26893406442957</v>
      </c>
      <c r="O83" s="6">
        <f t="shared" si="26"/>
        <v>324.26893406442957</v>
      </c>
      <c r="P83" s="6">
        <f t="shared" si="27"/>
        <v>306.76008335181746</v>
      </c>
      <c r="Q83" s="6">
        <f t="shared" si="28"/>
        <v>7.1410690951024662</v>
      </c>
      <c r="R83" s="6">
        <f t="shared" si="29"/>
        <v>0</v>
      </c>
      <c r="S83" s="6">
        <f t="shared" si="30"/>
        <v>313.90115244691992</v>
      </c>
      <c r="T83" s="6" t="str">
        <f>IF(MOD(C83-Settings!$B$32,Settings!$B$33)&lt;Settings!$B$30,"Up","Down")</f>
        <v>Up</v>
      </c>
      <c r="U83" s="6">
        <f>IF(OR(I83&gt;Settings!$B$30,O83&gt;Settings!$B$37),0,1)</f>
        <v>1</v>
      </c>
      <c r="V83" s="6">
        <f>IF(AND(U83=1,O83&lt;=Settings!$B$36),1,0)</f>
        <v>0</v>
      </c>
    </row>
    <row r="84" spans="1:22" x14ac:dyDescent="0.2">
      <c r="A84">
        <f>Arrivals!A84</f>
        <v>1</v>
      </c>
      <c r="B84">
        <f>Arrivals!B84</f>
        <v>79</v>
      </c>
      <c r="C84" s="6">
        <f>Arrivals!F84</f>
        <v>544</v>
      </c>
      <c r="D84" s="6">
        <f>Arrivals!J84</f>
        <v>3.7683397148564701</v>
      </c>
      <c r="E84" s="6">
        <f t="shared" si="31"/>
        <v>850.10786496932712</v>
      </c>
      <c r="F84" s="6">
        <f t="shared" si="22"/>
        <v>850.10786496932712</v>
      </c>
      <c r="G84" s="6">
        <f t="shared" si="23"/>
        <v>853.87620468418356</v>
      </c>
      <c r="H84" s="6">
        <f>Arrivals!L84</f>
        <v>75</v>
      </c>
      <c r="I84" s="6">
        <f>H84*8/ACE_Input!S84+ACE_Input!T84</f>
        <v>6.02</v>
      </c>
      <c r="J84" s="6">
        <f t="shared" si="32"/>
        <v>863.26893406442957</v>
      </c>
      <c r="K84" s="6">
        <f t="shared" si="24"/>
        <v>863.26893406442957</v>
      </c>
      <c r="L84" s="6">
        <f>MOD(K84-Settings!$B$32,Settings!$B$33)</f>
        <v>143.26893406442957</v>
      </c>
      <c r="M84" s="6">
        <f>IF(L84&lt;Settings!$B$30,IF(Settings!$B$30-L84&gt;=I84,K84,K84+(Settings!$B$30-L84)+Settings!$B$31),K84+(Settings!$B$33-L84))</f>
        <v>863.26893406442957</v>
      </c>
      <c r="N84" s="6">
        <f t="shared" si="25"/>
        <v>869.28893406442955</v>
      </c>
      <c r="O84" s="6">
        <f t="shared" si="26"/>
        <v>325.28893406442955</v>
      </c>
      <c r="P84" s="6">
        <f t="shared" si="27"/>
        <v>306.10786496932712</v>
      </c>
      <c r="Q84" s="6">
        <f t="shared" si="28"/>
        <v>9.3927293802460099</v>
      </c>
      <c r="R84" s="6">
        <f t="shared" si="29"/>
        <v>0</v>
      </c>
      <c r="S84" s="6">
        <f t="shared" si="30"/>
        <v>315.50059434957313</v>
      </c>
      <c r="T84" s="6" t="str">
        <f>IF(MOD(C84-Settings!$B$32,Settings!$B$33)&lt;Settings!$B$30,"Up","Down")</f>
        <v>Up</v>
      </c>
      <c r="U84" s="6">
        <f>IF(OR(I84&gt;Settings!$B$30,O84&gt;Settings!$B$37),0,1)</f>
        <v>1</v>
      </c>
      <c r="V84" s="6">
        <f>IF(AND(U84=1,O84&lt;=Settings!$B$36),1,0)</f>
        <v>0</v>
      </c>
    </row>
    <row r="85" spans="1:22" x14ac:dyDescent="0.2">
      <c r="A85">
        <f>Arrivals!A85</f>
        <v>1</v>
      </c>
      <c r="B85">
        <f>Arrivals!B85</f>
        <v>80</v>
      </c>
      <c r="C85" s="6">
        <f>Arrivals!F85</f>
        <v>549</v>
      </c>
      <c r="D85" s="6">
        <f>Arrivals!J85</f>
        <v>8.6652037480742479</v>
      </c>
      <c r="E85" s="6">
        <f t="shared" si="31"/>
        <v>853.87620468418356</v>
      </c>
      <c r="F85" s="6">
        <f t="shared" si="22"/>
        <v>853.87620468418356</v>
      </c>
      <c r="G85" s="6">
        <f t="shared" si="23"/>
        <v>862.54140843225787</v>
      </c>
      <c r="H85" s="6">
        <f>Arrivals!L85</f>
        <v>75</v>
      </c>
      <c r="I85" s="6">
        <f>H85*8/ACE_Input!S85+ACE_Input!T85</f>
        <v>6.02</v>
      </c>
      <c r="J85" s="6">
        <f t="shared" si="32"/>
        <v>869.28893406442955</v>
      </c>
      <c r="K85" s="6">
        <f t="shared" si="24"/>
        <v>869.28893406442955</v>
      </c>
      <c r="L85" s="6">
        <f>MOD(K85-Settings!$B$32,Settings!$B$33)</f>
        <v>149.28893406442955</v>
      </c>
      <c r="M85" s="6">
        <f>IF(L85&lt;Settings!$B$30,IF(Settings!$B$30-L85&gt;=I85,K85,K85+(Settings!$B$30-L85)+Settings!$B$31),K85+(Settings!$B$33-L85))</f>
        <v>869.28893406442955</v>
      </c>
      <c r="N85" s="6">
        <f t="shared" si="25"/>
        <v>875.30893406442954</v>
      </c>
      <c r="O85" s="6">
        <f t="shared" si="26"/>
        <v>326.30893406442954</v>
      </c>
      <c r="P85" s="6">
        <f t="shared" si="27"/>
        <v>304.87620468418356</v>
      </c>
      <c r="Q85" s="6">
        <f t="shared" si="28"/>
        <v>6.747525632171687</v>
      </c>
      <c r="R85" s="6">
        <f t="shared" si="29"/>
        <v>0</v>
      </c>
      <c r="S85" s="6">
        <f t="shared" si="30"/>
        <v>311.62373031635525</v>
      </c>
      <c r="T85" s="6" t="str">
        <f>IF(MOD(C85-Settings!$B$32,Settings!$B$33)&lt;Settings!$B$30,"Up","Down")</f>
        <v>Up</v>
      </c>
      <c r="U85" s="6">
        <f>IF(OR(I85&gt;Settings!$B$30,O85&gt;Settings!$B$37),0,1)</f>
        <v>1</v>
      </c>
      <c r="V85" s="6">
        <f>IF(AND(U85=1,O85&lt;=Settings!$B$36),1,0)</f>
        <v>0</v>
      </c>
    </row>
    <row r="86" spans="1:22" x14ac:dyDescent="0.2">
      <c r="A86">
        <f>Arrivals!A86</f>
        <v>1</v>
      </c>
      <c r="B86">
        <f>Arrivals!B86</f>
        <v>81</v>
      </c>
      <c r="C86" s="6">
        <f>Arrivals!F86</f>
        <v>554</v>
      </c>
      <c r="D86" s="6">
        <f>Arrivals!J86</f>
        <v>4.6126529354421795</v>
      </c>
      <c r="E86" s="6">
        <f t="shared" si="31"/>
        <v>862.54140843225787</v>
      </c>
      <c r="F86" s="6">
        <f t="shared" si="22"/>
        <v>862.54140843225787</v>
      </c>
      <c r="G86" s="6">
        <f t="shared" si="23"/>
        <v>867.15406136770002</v>
      </c>
      <c r="H86" s="6">
        <f>Arrivals!L86</f>
        <v>75</v>
      </c>
      <c r="I86" s="6">
        <f>H86*8/ACE_Input!S86+ACE_Input!T86</f>
        <v>6.02</v>
      </c>
      <c r="J86" s="6">
        <f t="shared" si="32"/>
        <v>875.30893406442954</v>
      </c>
      <c r="K86" s="6">
        <f t="shared" si="24"/>
        <v>875.30893406442954</v>
      </c>
      <c r="L86" s="6">
        <f>MOD(K86-Settings!$B$32,Settings!$B$33)</f>
        <v>155.30893406442954</v>
      </c>
      <c r="M86" s="6">
        <f>IF(L86&lt;Settings!$B$30,IF(Settings!$B$30-L86&gt;=I86,K86,K86+(Settings!$B$30-L86)+Settings!$B$31),K86+(Settings!$B$33-L86))</f>
        <v>875.30893406442954</v>
      </c>
      <c r="N86" s="6">
        <f t="shared" si="25"/>
        <v>881.32893406442952</v>
      </c>
      <c r="O86" s="6">
        <f t="shared" si="26"/>
        <v>327.32893406442952</v>
      </c>
      <c r="P86" s="6">
        <f t="shared" si="27"/>
        <v>308.54140843225787</v>
      </c>
      <c r="Q86" s="6">
        <f t="shared" si="28"/>
        <v>8.1548726967295124</v>
      </c>
      <c r="R86" s="6">
        <f t="shared" si="29"/>
        <v>0</v>
      </c>
      <c r="S86" s="6">
        <f t="shared" si="30"/>
        <v>316.69628112898738</v>
      </c>
      <c r="T86" s="6" t="str">
        <f>IF(MOD(C86-Settings!$B$32,Settings!$B$33)&lt;Settings!$B$30,"Up","Down")</f>
        <v>Up</v>
      </c>
      <c r="U86" s="6">
        <f>IF(OR(I86&gt;Settings!$B$30,O86&gt;Settings!$B$37),0,1)</f>
        <v>1</v>
      </c>
      <c r="V86" s="6">
        <f>IF(AND(U86=1,O86&lt;=Settings!$B$36),1,0)</f>
        <v>0</v>
      </c>
    </row>
    <row r="87" spans="1:22" x14ac:dyDescent="0.2">
      <c r="A87">
        <f>Arrivals!A87</f>
        <v>1</v>
      </c>
      <c r="B87">
        <f>Arrivals!B87</f>
        <v>82</v>
      </c>
      <c r="C87" s="6">
        <f>Arrivals!F87</f>
        <v>559</v>
      </c>
      <c r="D87" s="6">
        <f>Arrivals!J87</f>
        <v>13.018517212880994</v>
      </c>
      <c r="E87" s="6">
        <f t="shared" si="31"/>
        <v>867.15406136770002</v>
      </c>
      <c r="F87" s="6">
        <f t="shared" si="22"/>
        <v>867.15406136770002</v>
      </c>
      <c r="G87" s="6">
        <f t="shared" si="23"/>
        <v>880.17257858058099</v>
      </c>
      <c r="H87" s="6">
        <f>Arrivals!L87</f>
        <v>75</v>
      </c>
      <c r="I87" s="6">
        <f>H87*8/ACE_Input!S87+ACE_Input!T87</f>
        <v>6.02</v>
      </c>
      <c r="J87" s="6">
        <f t="shared" si="32"/>
        <v>881.32893406442952</v>
      </c>
      <c r="K87" s="6">
        <f t="shared" si="24"/>
        <v>881.32893406442952</v>
      </c>
      <c r="L87" s="6">
        <f>MOD(K87-Settings!$B$32,Settings!$B$33)</f>
        <v>161.32893406442952</v>
      </c>
      <c r="M87" s="6">
        <f>IF(L87&lt;Settings!$B$30,IF(Settings!$B$30-L87&gt;=I87,K87,K87+(Settings!$B$30-L87)+Settings!$B$31),K87+(Settings!$B$33-L87))</f>
        <v>881.32893406442952</v>
      </c>
      <c r="N87" s="6">
        <f t="shared" si="25"/>
        <v>887.3489340644295</v>
      </c>
      <c r="O87" s="6">
        <f t="shared" si="26"/>
        <v>328.3489340644295</v>
      </c>
      <c r="P87" s="6">
        <f t="shared" si="27"/>
        <v>308.15406136770002</v>
      </c>
      <c r="Q87" s="6">
        <f t="shared" si="28"/>
        <v>1.1563554838485288</v>
      </c>
      <c r="R87" s="6">
        <f t="shared" si="29"/>
        <v>0</v>
      </c>
      <c r="S87" s="6">
        <f t="shared" si="30"/>
        <v>309.31041685154855</v>
      </c>
      <c r="T87" s="6" t="str">
        <f>IF(MOD(C87-Settings!$B$32,Settings!$B$33)&lt;Settings!$B$30,"Up","Down")</f>
        <v>Up</v>
      </c>
      <c r="U87" s="6">
        <f>IF(OR(I87&gt;Settings!$B$30,O87&gt;Settings!$B$37),0,1)</f>
        <v>1</v>
      </c>
      <c r="V87" s="6">
        <f>IF(AND(U87=1,O87&lt;=Settings!$B$36),1,0)</f>
        <v>0</v>
      </c>
    </row>
    <row r="88" spans="1:22" x14ac:dyDescent="0.2">
      <c r="A88">
        <f>Arrivals!A88</f>
        <v>1</v>
      </c>
      <c r="B88">
        <f>Arrivals!B88</f>
        <v>83</v>
      </c>
      <c r="C88" s="6">
        <f>Arrivals!F88</f>
        <v>564</v>
      </c>
      <c r="D88" s="6">
        <f>Arrivals!J88</f>
        <v>2.4238940390036365</v>
      </c>
      <c r="E88" s="6">
        <f t="shared" si="31"/>
        <v>880.17257858058099</v>
      </c>
      <c r="F88" s="6">
        <f t="shared" si="22"/>
        <v>880.17257858058099</v>
      </c>
      <c r="G88" s="6">
        <f t="shared" si="23"/>
        <v>882.59647261958457</v>
      </c>
      <c r="H88" s="6">
        <f>Arrivals!L88</f>
        <v>75</v>
      </c>
      <c r="I88" s="6">
        <f>H88*8/ACE_Input!S88+ACE_Input!T88</f>
        <v>6.02</v>
      </c>
      <c r="J88" s="6">
        <f t="shared" si="32"/>
        <v>887.3489340644295</v>
      </c>
      <c r="K88" s="6">
        <f t="shared" si="24"/>
        <v>887.3489340644295</v>
      </c>
      <c r="L88" s="6">
        <f>MOD(K88-Settings!$B$32,Settings!$B$33)</f>
        <v>167.3489340644295</v>
      </c>
      <c r="M88" s="6">
        <f>IF(L88&lt;Settings!$B$30,IF(Settings!$B$30-L88&gt;=I88,K88,K88+(Settings!$B$30-L88)+Settings!$B$31),K88+(Settings!$B$33-L88))</f>
        <v>887.3489340644295</v>
      </c>
      <c r="N88" s="6">
        <f t="shared" si="25"/>
        <v>893.36893406442948</v>
      </c>
      <c r="O88" s="6">
        <f t="shared" si="26"/>
        <v>329.36893406442948</v>
      </c>
      <c r="P88" s="6">
        <f t="shared" si="27"/>
        <v>316.17257858058099</v>
      </c>
      <c r="Q88" s="6">
        <f t="shared" si="28"/>
        <v>4.7524614448449256</v>
      </c>
      <c r="R88" s="6">
        <f t="shared" si="29"/>
        <v>0</v>
      </c>
      <c r="S88" s="6">
        <f t="shared" si="30"/>
        <v>320.92504002542591</v>
      </c>
      <c r="T88" s="6" t="str">
        <f>IF(MOD(C88-Settings!$B$32,Settings!$B$33)&lt;Settings!$B$30,"Up","Down")</f>
        <v>Up</v>
      </c>
      <c r="U88" s="6">
        <f>IF(OR(I88&gt;Settings!$B$30,O88&gt;Settings!$B$37),0,1)</f>
        <v>1</v>
      </c>
      <c r="V88" s="6">
        <f>IF(AND(U88=1,O88&lt;=Settings!$B$36),1,0)</f>
        <v>0</v>
      </c>
    </row>
    <row r="89" spans="1:22" x14ac:dyDescent="0.2">
      <c r="A89">
        <f>Arrivals!A89</f>
        <v>1</v>
      </c>
      <c r="B89">
        <f>Arrivals!B89</f>
        <v>84</v>
      </c>
      <c r="C89" s="6">
        <f>Arrivals!F89</f>
        <v>569</v>
      </c>
      <c r="D89" s="6">
        <f>Arrivals!J89</f>
        <v>39.985463058857697</v>
      </c>
      <c r="E89" s="6">
        <f t="shared" si="31"/>
        <v>882.59647261958457</v>
      </c>
      <c r="F89" s="6">
        <f t="shared" si="22"/>
        <v>882.59647261958457</v>
      </c>
      <c r="G89" s="6">
        <f t="shared" si="23"/>
        <v>922.58193567844228</v>
      </c>
      <c r="H89" s="6">
        <f>Arrivals!L89</f>
        <v>75</v>
      </c>
      <c r="I89" s="6">
        <f>H89*8/ACE_Input!S89+ACE_Input!T89</f>
        <v>6.02</v>
      </c>
      <c r="J89" s="6">
        <f t="shared" si="32"/>
        <v>893.36893406442948</v>
      </c>
      <c r="K89" s="6">
        <f t="shared" si="24"/>
        <v>922.58193567844228</v>
      </c>
      <c r="L89" s="6">
        <f>MOD(K89-Settings!$B$32,Settings!$B$33)</f>
        <v>202.58193567844228</v>
      </c>
      <c r="M89" s="6">
        <f>IF(L89&lt;Settings!$B$30,IF(Settings!$B$30-L89&gt;=I89,K89,K89+(Settings!$B$30-L89)+Settings!$B$31),K89+(Settings!$B$33-L89))</f>
        <v>922.58193567844228</v>
      </c>
      <c r="N89" s="6">
        <f t="shared" si="25"/>
        <v>928.60193567844226</v>
      </c>
      <c r="O89" s="6">
        <f t="shared" si="26"/>
        <v>359.60193567844226</v>
      </c>
      <c r="P89" s="6">
        <f t="shared" si="27"/>
        <v>313.59647261958457</v>
      </c>
      <c r="Q89" s="6">
        <f t="shared" si="28"/>
        <v>0</v>
      </c>
      <c r="R89" s="6">
        <f t="shared" si="29"/>
        <v>0</v>
      </c>
      <c r="S89" s="6">
        <f t="shared" si="30"/>
        <v>313.59647261958457</v>
      </c>
      <c r="T89" s="6" t="str">
        <f>IF(MOD(C89-Settings!$B$32,Settings!$B$33)&lt;Settings!$B$30,"Up","Down")</f>
        <v>Up</v>
      </c>
      <c r="U89" s="6">
        <f>IF(OR(I89&gt;Settings!$B$30,O89&gt;Settings!$B$37),0,1)</f>
        <v>1</v>
      </c>
      <c r="V89" s="6">
        <f>IF(AND(U89=1,O89&lt;=Settings!$B$36),1,0)</f>
        <v>0</v>
      </c>
    </row>
    <row r="90" spans="1:22" x14ac:dyDescent="0.2">
      <c r="A90">
        <f>Arrivals!A90</f>
        <v>1</v>
      </c>
      <c r="B90">
        <f>Arrivals!B90</f>
        <v>85</v>
      </c>
      <c r="C90" s="6">
        <f>Arrivals!F90</f>
        <v>574</v>
      </c>
      <c r="D90" s="6">
        <f>Arrivals!J90</f>
        <v>14.464651393978688</v>
      </c>
      <c r="E90" s="6">
        <f t="shared" si="31"/>
        <v>922.58193567844228</v>
      </c>
      <c r="F90" s="6">
        <f t="shared" si="22"/>
        <v>922.58193567844228</v>
      </c>
      <c r="G90" s="6">
        <f t="shared" si="23"/>
        <v>937.04658707242095</v>
      </c>
      <c r="H90" s="6">
        <f>Arrivals!L90</f>
        <v>75</v>
      </c>
      <c r="I90" s="6">
        <f>H90*8/ACE_Input!S90+ACE_Input!T90</f>
        <v>6.02</v>
      </c>
      <c r="J90" s="6">
        <f t="shared" si="32"/>
        <v>928.60193567844226</v>
      </c>
      <c r="K90" s="6">
        <f t="shared" si="24"/>
        <v>937.04658707242095</v>
      </c>
      <c r="L90" s="6">
        <f>MOD(K90-Settings!$B$32,Settings!$B$33)</f>
        <v>217.04658707242095</v>
      </c>
      <c r="M90" s="6">
        <f>IF(L90&lt;Settings!$B$30,IF(Settings!$B$30-L90&gt;=I90,K90,K90+(Settings!$B$30-L90)+Settings!$B$31),K90+(Settings!$B$33-L90))</f>
        <v>937.04658707242095</v>
      </c>
      <c r="N90" s="6">
        <f t="shared" si="25"/>
        <v>943.06658707242093</v>
      </c>
      <c r="O90" s="6">
        <f t="shared" si="26"/>
        <v>369.06658707242093</v>
      </c>
      <c r="P90" s="6">
        <f t="shared" si="27"/>
        <v>348.58193567844228</v>
      </c>
      <c r="Q90" s="6">
        <f t="shared" si="28"/>
        <v>0</v>
      </c>
      <c r="R90" s="6">
        <f t="shared" si="29"/>
        <v>0</v>
      </c>
      <c r="S90" s="6">
        <f t="shared" si="30"/>
        <v>348.58193567844228</v>
      </c>
      <c r="T90" s="6" t="str">
        <f>IF(MOD(C90-Settings!$B$32,Settings!$B$33)&lt;Settings!$B$30,"Up","Down")</f>
        <v>Up</v>
      </c>
      <c r="U90" s="6">
        <f>IF(OR(I90&gt;Settings!$B$30,O90&gt;Settings!$B$37),0,1)</f>
        <v>1</v>
      </c>
      <c r="V90" s="6">
        <f>IF(AND(U90=1,O90&lt;=Settings!$B$36),1,0)</f>
        <v>0</v>
      </c>
    </row>
    <row r="91" spans="1:22" x14ac:dyDescent="0.2">
      <c r="A91">
        <f>Arrivals!A91</f>
        <v>1</v>
      </c>
      <c r="B91">
        <f>Arrivals!B91</f>
        <v>86</v>
      </c>
      <c r="C91" s="6">
        <f>Arrivals!F91</f>
        <v>579</v>
      </c>
      <c r="D91" s="6">
        <f>Arrivals!J91</f>
        <v>0.34794131958171598</v>
      </c>
      <c r="E91" s="6">
        <f t="shared" si="31"/>
        <v>937.04658707242095</v>
      </c>
      <c r="F91" s="6">
        <f t="shared" si="22"/>
        <v>937.04658707242095</v>
      </c>
      <c r="G91" s="6">
        <f t="shared" si="23"/>
        <v>937.39452839200271</v>
      </c>
      <c r="H91" s="6">
        <f>Arrivals!L91</f>
        <v>75</v>
      </c>
      <c r="I91" s="6">
        <f>H91*8/ACE_Input!S91+ACE_Input!T91</f>
        <v>6.02</v>
      </c>
      <c r="J91" s="6">
        <f t="shared" si="32"/>
        <v>943.06658707242093</v>
      </c>
      <c r="K91" s="6">
        <f t="shared" si="24"/>
        <v>943.06658707242093</v>
      </c>
      <c r="L91" s="6">
        <f>MOD(K91-Settings!$B$32,Settings!$B$33)</f>
        <v>223.06658707242093</v>
      </c>
      <c r="M91" s="6">
        <f>IF(L91&lt;Settings!$B$30,IF(Settings!$B$30-L91&gt;=I91,K91,K91+(Settings!$B$30-L91)+Settings!$B$31),K91+(Settings!$B$33-L91))</f>
        <v>943.06658707242093</v>
      </c>
      <c r="N91" s="6">
        <f t="shared" si="25"/>
        <v>949.08658707242091</v>
      </c>
      <c r="O91" s="6">
        <f t="shared" si="26"/>
        <v>370.08658707242091</v>
      </c>
      <c r="P91" s="6">
        <f t="shared" si="27"/>
        <v>358.04658707242095</v>
      </c>
      <c r="Q91" s="6">
        <f t="shared" si="28"/>
        <v>5.6720586804182176</v>
      </c>
      <c r="R91" s="6">
        <f t="shared" si="29"/>
        <v>0</v>
      </c>
      <c r="S91" s="6">
        <f t="shared" si="30"/>
        <v>363.71864575283917</v>
      </c>
      <c r="T91" s="6" t="str">
        <f>IF(MOD(C91-Settings!$B$32,Settings!$B$33)&lt;Settings!$B$30,"Up","Down")</f>
        <v>Up</v>
      </c>
      <c r="U91" s="6">
        <f>IF(OR(I91&gt;Settings!$B$30,O91&gt;Settings!$B$37),0,1)</f>
        <v>1</v>
      </c>
      <c r="V91" s="6">
        <f>IF(AND(U91=1,O91&lt;=Settings!$B$36),1,0)</f>
        <v>0</v>
      </c>
    </row>
    <row r="92" spans="1:22" x14ac:dyDescent="0.2">
      <c r="A92">
        <f>Arrivals!A92</f>
        <v>1</v>
      </c>
      <c r="B92">
        <f>Arrivals!B92</f>
        <v>87</v>
      </c>
      <c r="C92" s="6">
        <f>Arrivals!F92</f>
        <v>584</v>
      </c>
      <c r="D92" s="6">
        <f>Arrivals!J92</f>
        <v>4.692426593784961</v>
      </c>
      <c r="E92" s="6">
        <f t="shared" si="31"/>
        <v>937.39452839200271</v>
      </c>
      <c r="F92" s="6">
        <f t="shared" si="22"/>
        <v>937.39452839200271</v>
      </c>
      <c r="G92" s="6">
        <f t="shared" si="23"/>
        <v>942.08695498578766</v>
      </c>
      <c r="H92" s="6">
        <f>Arrivals!L92</f>
        <v>75</v>
      </c>
      <c r="I92" s="6">
        <f>H92*8/ACE_Input!S92+ACE_Input!T92</f>
        <v>6.02</v>
      </c>
      <c r="J92" s="6">
        <f t="shared" si="32"/>
        <v>949.08658707242091</v>
      </c>
      <c r="K92" s="6">
        <f t="shared" si="24"/>
        <v>949.08658707242091</v>
      </c>
      <c r="L92" s="6">
        <f>MOD(K92-Settings!$B$32,Settings!$B$33)</f>
        <v>229.08658707242091</v>
      </c>
      <c r="M92" s="6">
        <f>IF(L92&lt;Settings!$B$30,IF(Settings!$B$30-L92&gt;=I92,K92,K92+(Settings!$B$30-L92)+Settings!$B$31),K92+(Settings!$B$33-L92))</f>
        <v>949.08658707242091</v>
      </c>
      <c r="N92" s="6">
        <f t="shared" si="25"/>
        <v>955.10658707242089</v>
      </c>
      <c r="O92" s="6">
        <f t="shared" si="26"/>
        <v>371.10658707242089</v>
      </c>
      <c r="P92" s="6">
        <f t="shared" si="27"/>
        <v>353.39452839200271</v>
      </c>
      <c r="Q92" s="6">
        <f t="shared" si="28"/>
        <v>6.9996320866332553</v>
      </c>
      <c r="R92" s="6">
        <f t="shared" si="29"/>
        <v>0</v>
      </c>
      <c r="S92" s="6">
        <f t="shared" si="30"/>
        <v>360.39416047863597</v>
      </c>
      <c r="T92" s="6" t="str">
        <f>IF(MOD(C92-Settings!$B$32,Settings!$B$33)&lt;Settings!$B$30,"Up","Down")</f>
        <v>Up</v>
      </c>
      <c r="U92" s="6">
        <f>IF(OR(I92&gt;Settings!$B$30,O92&gt;Settings!$B$37),0,1)</f>
        <v>1</v>
      </c>
      <c r="V92" s="6">
        <f>IF(AND(U92=1,O92&lt;=Settings!$B$36),1,0)</f>
        <v>0</v>
      </c>
    </row>
    <row r="93" spans="1:22" x14ac:dyDescent="0.2">
      <c r="A93">
        <f>Arrivals!A93</f>
        <v>1</v>
      </c>
      <c r="B93">
        <f>Arrivals!B93</f>
        <v>88</v>
      </c>
      <c r="C93" s="6">
        <f>Arrivals!F93</f>
        <v>589</v>
      </c>
      <c r="D93" s="6">
        <f>Arrivals!J93</f>
        <v>7.9126959746971064</v>
      </c>
      <c r="E93" s="6">
        <f t="shared" si="31"/>
        <v>942.08695498578766</v>
      </c>
      <c r="F93" s="6">
        <f t="shared" si="22"/>
        <v>942.08695498578766</v>
      </c>
      <c r="G93" s="6">
        <f t="shared" si="23"/>
        <v>949.99965096048481</v>
      </c>
      <c r="H93" s="6">
        <f>Arrivals!L93</f>
        <v>75</v>
      </c>
      <c r="I93" s="6">
        <f>H93*8/ACE_Input!S93+ACE_Input!T93</f>
        <v>6.02</v>
      </c>
      <c r="J93" s="6">
        <f t="shared" si="32"/>
        <v>955.10658707242089</v>
      </c>
      <c r="K93" s="6">
        <f t="shared" si="24"/>
        <v>955.10658707242089</v>
      </c>
      <c r="L93" s="6">
        <f>MOD(K93-Settings!$B$32,Settings!$B$33)</f>
        <v>235.10658707242089</v>
      </c>
      <c r="M93" s="6">
        <f>IF(L93&lt;Settings!$B$30,IF(Settings!$B$30-L93&gt;=I93,K93,K93+(Settings!$B$30-L93)+Settings!$B$31),K93+(Settings!$B$33-L93))</f>
        <v>955.10658707242089</v>
      </c>
      <c r="N93" s="6">
        <f t="shared" si="25"/>
        <v>961.12658707242088</v>
      </c>
      <c r="O93" s="6">
        <f t="shared" si="26"/>
        <v>372.12658707242088</v>
      </c>
      <c r="P93" s="6">
        <f t="shared" si="27"/>
        <v>353.08695498578766</v>
      </c>
      <c r="Q93" s="6">
        <f t="shared" si="28"/>
        <v>5.1069361119360792</v>
      </c>
      <c r="R93" s="6">
        <f t="shared" si="29"/>
        <v>0</v>
      </c>
      <c r="S93" s="6">
        <f t="shared" si="30"/>
        <v>358.19389109772374</v>
      </c>
      <c r="T93" s="6" t="str">
        <f>IF(MOD(C93-Settings!$B$32,Settings!$B$33)&lt;Settings!$B$30,"Up","Down")</f>
        <v>Up</v>
      </c>
      <c r="U93" s="6">
        <f>IF(OR(I93&gt;Settings!$B$30,O93&gt;Settings!$B$37),0,1)</f>
        <v>1</v>
      </c>
      <c r="V93" s="6">
        <f>IF(AND(U93=1,O93&lt;=Settings!$B$36),1,0)</f>
        <v>0</v>
      </c>
    </row>
    <row r="94" spans="1:22" x14ac:dyDescent="0.2">
      <c r="A94">
        <f>Arrivals!A94</f>
        <v>1</v>
      </c>
      <c r="B94">
        <f>Arrivals!B94</f>
        <v>89</v>
      </c>
      <c r="C94" s="6">
        <f>Arrivals!F94</f>
        <v>594</v>
      </c>
      <c r="D94" s="6">
        <f>Arrivals!J94</f>
        <v>56.102348368507123</v>
      </c>
      <c r="E94" s="6">
        <f t="shared" si="31"/>
        <v>949.99965096048481</v>
      </c>
      <c r="F94" s="6">
        <f t="shared" si="22"/>
        <v>949.99965096048481</v>
      </c>
      <c r="G94" s="6">
        <f t="shared" si="23"/>
        <v>1006.101999328992</v>
      </c>
      <c r="H94" s="6">
        <f>Arrivals!L94</f>
        <v>75</v>
      </c>
      <c r="I94" s="6">
        <f>H94*8/ACE_Input!S94+ACE_Input!T94</f>
        <v>6.02</v>
      </c>
      <c r="J94" s="6">
        <f t="shared" si="32"/>
        <v>961.12658707242088</v>
      </c>
      <c r="K94" s="6">
        <f t="shared" si="24"/>
        <v>1006.101999328992</v>
      </c>
      <c r="L94" s="6">
        <f>MOD(K94-Settings!$B$32,Settings!$B$33)</f>
        <v>286.10199932899195</v>
      </c>
      <c r="M94" s="6">
        <f>IF(L94&lt;Settings!$B$30,IF(Settings!$B$30-L94&gt;=I94,K94,K94+(Settings!$B$30-L94)+Settings!$B$31),K94+(Settings!$B$33-L94))</f>
        <v>1006.101999328992</v>
      </c>
      <c r="N94" s="6">
        <f t="shared" si="25"/>
        <v>1012.1219993289919</v>
      </c>
      <c r="O94" s="6">
        <f t="shared" si="26"/>
        <v>418.12199932899193</v>
      </c>
      <c r="P94" s="6">
        <f t="shared" si="27"/>
        <v>355.99965096048481</v>
      </c>
      <c r="Q94" s="6">
        <f t="shared" si="28"/>
        <v>0</v>
      </c>
      <c r="R94" s="6">
        <f t="shared" si="29"/>
        <v>0</v>
      </c>
      <c r="S94" s="6">
        <f t="shared" si="30"/>
        <v>355.99965096048481</v>
      </c>
      <c r="T94" s="6" t="str">
        <f>IF(MOD(C94-Settings!$B$32,Settings!$B$33)&lt;Settings!$B$30,"Up","Down")</f>
        <v>Up</v>
      </c>
      <c r="U94" s="6">
        <f>IF(OR(I94&gt;Settings!$B$30,O94&gt;Settings!$B$37),0,1)</f>
        <v>1</v>
      </c>
      <c r="V94" s="6">
        <f>IF(AND(U94=1,O94&lt;=Settings!$B$36),1,0)</f>
        <v>0</v>
      </c>
    </row>
    <row r="95" spans="1:22" x14ac:dyDescent="0.2">
      <c r="A95">
        <f>Arrivals!A95</f>
        <v>1</v>
      </c>
      <c r="B95">
        <f>Arrivals!B95</f>
        <v>90</v>
      </c>
      <c r="C95" s="6">
        <f>Arrivals!F95</f>
        <v>599</v>
      </c>
      <c r="D95" s="6">
        <f>Arrivals!J95</f>
        <v>4.2214166704568461</v>
      </c>
      <c r="E95" s="6">
        <f t="shared" si="31"/>
        <v>1006.101999328992</v>
      </c>
      <c r="F95" s="6">
        <f t="shared" si="22"/>
        <v>1006.101999328992</v>
      </c>
      <c r="G95" s="6">
        <f t="shared" si="23"/>
        <v>1010.3234159994488</v>
      </c>
      <c r="H95" s="6">
        <f>Arrivals!L95</f>
        <v>75</v>
      </c>
      <c r="I95" s="6">
        <f>H95*8/ACE_Input!S95+ACE_Input!T95</f>
        <v>6.02</v>
      </c>
      <c r="J95" s="6">
        <f t="shared" si="32"/>
        <v>1012.1219993289919</v>
      </c>
      <c r="K95" s="6">
        <f t="shared" si="24"/>
        <v>1012.1219993289919</v>
      </c>
      <c r="L95" s="6">
        <f>MOD(K95-Settings!$B$32,Settings!$B$33)</f>
        <v>292.12199932899193</v>
      </c>
      <c r="M95" s="6">
        <f>IF(L95&lt;Settings!$B$30,IF(Settings!$B$30-L95&gt;=I95,K95,K95+(Settings!$B$30-L95)+Settings!$B$31),K95+(Settings!$B$33-L95))</f>
        <v>1012.1219993289919</v>
      </c>
      <c r="N95" s="6">
        <f t="shared" si="25"/>
        <v>1018.1419993289919</v>
      </c>
      <c r="O95" s="6">
        <f t="shared" si="26"/>
        <v>419.14199932899191</v>
      </c>
      <c r="P95" s="6">
        <f t="shared" si="27"/>
        <v>407.10199932899195</v>
      </c>
      <c r="Q95" s="6">
        <f t="shared" si="28"/>
        <v>1.7985833295431348</v>
      </c>
      <c r="R95" s="6">
        <f t="shared" si="29"/>
        <v>0</v>
      </c>
      <c r="S95" s="6">
        <f t="shared" si="30"/>
        <v>408.90058265853509</v>
      </c>
      <c r="T95" s="6" t="str">
        <f>IF(MOD(C95-Settings!$B$32,Settings!$B$33)&lt;Settings!$B$30,"Up","Down")</f>
        <v>Up</v>
      </c>
      <c r="U95" s="6">
        <f>IF(OR(I95&gt;Settings!$B$30,O95&gt;Settings!$B$37),0,1)</f>
        <v>1</v>
      </c>
      <c r="V95" s="6">
        <f>IF(AND(U95=1,O95&lt;=Settings!$B$36),1,0)</f>
        <v>0</v>
      </c>
    </row>
    <row r="96" spans="1:22" x14ac:dyDescent="0.2">
      <c r="A96">
        <f>Arrivals!A96</f>
        <v>1</v>
      </c>
      <c r="B96">
        <f>Arrivals!B96</f>
        <v>91</v>
      </c>
      <c r="C96" s="6">
        <f>Arrivals!F96</f>
        <v>604</v>
      </c>
      <c r="D96" s="6">
        <f>Arrivals!J96</f>
        <v>6.6642324917162323</v>
      </c>
      <c r="E96" s="6">
        <f t="shared" si="31"/>
        <v>1010.3234159994488</v>
      </c>
      <c r="F96" s="6">
        <f t="shared" si="22"/>
        <v>1010.3234159994488</v>
      </c>
      <c r="G96" s="6">
        <f t="shared" si="23"/>
        <v>1016.987648491165</v>
      </c>
      <c r="H96" s="6">
        <f>Arrivals!L96</f>
        <v>75</v>
      </c>
      <c r="I96" s="6">
        <f>H96*8/ACE_Input!S96+ACE_Input!T96</f>
        <v>6.02</v>
      </c>
      <c r="J96" s="6">
        <f t="shared" si="32"/>
        <v>1018.1419993289919</v>
      </c>
      <c r="K96" s="6">
        <f t="shared" si="24"/>
        <v>1018.1419993289919</v>
      </c>
      <c r="L96" s="6">
        <f>MOD(K96-Settings!$B$32,Settings!$B$33)</f>
        <v>298.14199932899191</v>
      </c>
      <c r="M96" s="6">
        <f>IF(L96&lt;Settings!$B$30,IF(Settings!$B$30-L96&gt;=I96,K96,K96+(Settings!$B$30-L96)+Settings!$B$31),K96+(Settings!$B$33-L96))</f>
        <v>1018.1419993289919</v>
      </c>
      <c r="N96" s="6">
        <f t="shared" si="25"/>
        <v>1024.1619993289919</v>
      </c>
      <c r="O96" s="6">
        <f t="shared" si="26"/>
        <v>420.1619993289919</v>
      </c>
      <c r="P96" s="6">
        <f t="shared" si="27"/>
        <v>406.3234159994488</v>
      </c>
      <c r="Q96" s="6">
        <f t="shared" si="28"/>
        <v>1.1543508378268825</v>
      </c>
      <c r="R96" s="6">
        <f t="shared" si="29"/>
        <v>0</v>
      </c>
      <c r="S96" s="6">
        <f t="shared" si="30"/>
        <v>407.47776683727568</v>
      </c>
      <c r="T96" s="6" t="str">
        <f>IF(MOD(C96-Settings!$B$32,Settings!$B$33)&lt;Settings!$B$30,"Up","Down")</f>
        <v>Down</v>
      </c>
      <c r="U96" s="6">
        <f>IF(OR(I96&gt;Settings!$B$30,O96&gt;Settings!$B$37),0,1)</f>
        <v>1</v>
      </c>
      <c r="V96" s="6">
        <f>IF(AND(U96=1,O96&lt;=Settings!$B$36),1,0)</f>
        <v>0</v>
      </c>
    </row>
    <row r="97" spans="1:22" x14ac:dyDescent="0.2">
      <c r="A97">
        <f>Arrivals!A97</f>
        <v>1</v>
      </c>
      <c r="B97">
        <f>Arrivals!B97</f>
        <v>92</v>
      </c>
      <c r="C97" s="6">
        <f>Arrivals!F97</f>
        <v>609</v>
      </c>
      <c r="D97" s="6">
        <f>Arrivals!J97</f>
        <v>42.071449107323687</v>
      </c>
      <c r="E97" s="6">
        <f t="shared" si="31"/>
        <v>1016.987648491165</v>
      </c>
      <c r="F97" s="6">
        <f t="shared" si="22"/>
        <v>1016.987648491165</v>
      </c>
      <c r="G97" s="6">
        <f t="shared" si="23"/>
        <v>1059.0590975984887</v>
      </c>
      <c r="H97" s="6">
        <f>Arrivals!L97</f>
        <v>75</v>
      </c>
      <c r="I97" s="6">
        <f>H97*8/ACE_Input!S97+ACE_Input!T97</f>
        <v>6.02</v>
      </c>
      <c r="J97" s="6">
        <f t="shared" si="32"/>
        <v>1024.1619993289919</v>
      </c>
      <c r="K97" s="6">
        <f t="shared" si="24"/>
        <v>1059.0590975984887</v>
      </c>
      <c r="L97" s="6">
        <f>MOD(K97-Settings!$B$32,Settings!$B$33)</f>
        <v>339.05909759848873</v>
      </c>
      <c r="M97" s="6">
        <f>IF(L97&lt;Settings!$B$30,IF(Settings!$B$30-L97&gt;=I97,K97,K97+(Settings!$B$30-L97)+Settings!$B$31),K97+(Settings!$B$33-L97))</f>
        <v>1059.0590975984887</v>
      </c>
      <c r="N97" s="6">
        <f t="shared" si="25"/>
        <v>1065.0790975984887</v>
      </c>
      <c r="O97" s="6">
        <f t="shared" si="26"/>
        <v>456.07909759848872</v>
      </c>
      <c r="P97" s="6">
        <f t="shared" si="27"/>
        <v>407.98764849116503</v>
      </c>
      <c r="Q97" s="6">
        <f t="shared" si="28"/>
        <v>0</v>
      </c>
      <c r="R97" s="6">
        <f t="shared" si="29"/>
        <v>0</v>
      </c>
      <c r="S97" s="6">
        <f t="shared" si="30"/>
        <v>407.98764849116503</v>
      </c>
      <c r="T97" s="6" t="str">
        <f>IF(MOD(C97-Settings!$B$32,Settings!$B$33)&lt;Settings!$B$30,"Up","Down")</f>
        <v>Down</v>
      </c>
      <c r="U97" s="6">
        <f>IF(OR(I97&gt;Settings!$B$30,O97&gt;Settings!$B$37),0,1)</f>
        <v>1</v>
      </c>
      <c r="V97" s="6">
        <f>IF(AND(U97=1,O97&lt;=Settings!$B$36),1,0)</f>
        <v>0</v>
      </c>
    </row>
    <row r="98" spans="1:22" x14ac:dyDescent="0.2">
      <c r="A98">
        <f>Arrivals!A98</f>
        <v>1</v>
      </c>
      <c r="B98">
        <f>Arrivals!B98</f>
        <v>93</v>
      </c>
      <c r="C98" s="6">
        <f>Arrivals!F98</f>
        <v>614</v>
      </c>
      <c r="D98" s="6">
        <f>Arrivals!J98</f>
        <v>7.973866060152849</v>
      </c>
      <c r="E98" s="6">
        <f t="shared" si="31"/>
        <v>1059.0590975984887</v>
      </c>
      <c r="F98" s="6">
        <f t="shared" si="22"/>
        <v>1059.0590975984887</v>
      </c>
      <c r="G98" s="6">
        <f t="shared" si="23"/>
        <v>1067.0329636586416</v>
      </c>
      <c r="H98" s="6">
        <f>Arrivals!L98</f>
        <v>75</v>
      </c>
      <c r="I98" s="6">
        <f>H98*8/ACE_Input!S98+ACE_Input!T98</f>
        <v>6.02</v>
      </c>
      <c r="J98" s="6">
        <f t="shared" si="32"/>
        <v>1065.0790975984887</v>
      </c>
      <c r="K98" s="6">
        <f t="shared" si="24"/>
        <v>1067.0329636586416</v>
      </c>
      <c r="L98" s="6">
        <f>MOD(K98-Settings!$B$32,Settings!$B$33)</f>
        <v>347.03296365864162</v>
      </c>
      <c r="M98" s="6">
        <f>IF(L98&lt;Settings!$B$30,IF(Settings!$B$30-L98&gt;=I98,K98,K98+(Settings!$B$30-L98)+Settings!$B$31),K98+(Settings!$B$33-L98))</f>
        <v>1067.0329636586416</v>
      </c>
      <c r="N98" s="6">
        <f t="shared" si="25"/>
        <v>1073.0529636586416</v>
      </c>
      <c r="O98" s="6">
        <f t="shared" si="26"/>
        <v>459.0529636586416</v>
      </c>
      <c r="P98" s="6">
        <f t="shared" si="27"/>
        <v>445.05909759848873</v>
      </c>
      <c r="Q98" s="6">
        <f t="shared" si="28"/>
        <v>0</v>
      </c>
      <c r="R98" s="6">
        <f t="shared" si="29"/>
        <v>0</v>
      </c>
      <c r="S98" s="6">
        <f t="shared" si="30"/>
        <v>445.05909759848873</v>
      </c>
      <c r="T98" s="6" t="str">
        <f>IF(MOD(C98-Settings!$B$32,Settings!$B$33)&lt;Settings!$B$30,"Up","Down")</f>
        <v>Down</v>
      </c>
      <c r="U98" s="6">
        <f>IF(OR(I98&gt;Settings!$B$30,O98&gt;Settings!$B$37),0,1)</f>
        <v>1</v>
      </c>
      <c r="V98" s="6">
        <f>IF(AND(U98=1,O98&lt;=Settings!$B$36),1,0)</f>
        <v>0</v>
      </c>
    </row>
    <row r="99" spans="1:22" x14ac:dyDescent="0.2">
      <c r="A99">
        <f>Arrivals!A99</f>
        <v>1</v>
      </c>
      <c r="B99">
        <f>Arrivals!B99</f>
        <v>94</v>
      </c>
      <c r="C99" s="6">
        <f>Arrivals!F99</f>
        <v>619</v>
      </c>
      <c r="D99" s="6">
        <f>Arrivals!J99</f>
        <v>2.4624393303774048</v>
      </c>
      <c r="E99" s="6">
        <f t="shared" si="31"/>
        <v>1067.0329636586416</v>
      </c>
      <c r="F99" s="6">
        <f t="shared" si="22"/>
        <v>1067.0329636586416</v>
      </c>
      <c r="G99" s="6">
        <f t="shared" si="23"/>
        <v>1069.4954029890191</v>
      </c>
      <c r="H99" s="6">
        <f>Arrivals!L99</f>
        <v>75</v>
      </c>
      <c r="I99" s="6">
        <f>H99*8/ACE_Input!S99+ACE_Input!T99</f>
        <v>6.02</v>
      </c>
      <c r="J99" s="6">
        <f t="shared" si="32"/>
        <v>1073.0529636586416</v>
      </c>
      <c r="K99" s="6">
        <f t="shared" si="24"/>
        <v>1073.0529636586416</v>
      </c>
      <c r="L99" s="6">
        <f>MOD(K99-Settings!$B$32,Settings!$B$33)</f>
        <v>353.0529636586416</v>
      </c>
      <c r="M99" s="6">
        <f>IF(L99&lt;Settings!$B$30,IF(Settings!$B$30-L99&gt;=I99,K99,K99+(Settings!$B$30-L99)+Settings!$B$31),K99+(Settings!$B$33-L99))</f>
        <v>1073.0529636586416</v>
      </c>
      <c r="N99" s="6">
        <f t="shared" si="25"/>
        <v>1079.0729636586416</v>
      </c>
      <c r="O99" s="6">
        <f t="shared" si="26"/>
        <v>460.07296365864158</v>
      </c>
      <c r="P99" s="6">
        <f t="shared" si="27"/>
        <v>448.03296365864162</v>
      </c>
      <c r="Q99" s="6">
        <f t="shared" si="28"/>
        <v>3.5575606696224895</v>
      </c>
      <c r="R99" s="6">
        <f t="shared" si="29"/>
        <v>0</v>
      </c>
      <c r="S99" s="6">
        <f t="shared" si="30"/>
        <v>451.59052432826411</v>
      </c>
      <c r="T99" s="6" t="str">
        <f>IF(MOD(C99-Settings!$B$32,Settings!$B$33)&lt;Settings!$B$30,"Up","Down")</f>
        <v>Down</v>
      </c>
      <c r="U99" s="6">
        <f>IF(OR(I99&gt;Settings!$B$30,O99&gt;Settings!$B$37),0,1)</f>
        <v>1</v>
      </c>
      <c r="V99" s="6">
        <f>IF(AND(U99=1,O99&lt;=Settings!$B$36),1,0)</f>
        <v>0</v>
      </c>
    </row>
    <row r="100" spans="1:22" x14ac:dyDescent="0.2">
      <c r="A100">
        <f>Arrivals!A100</f>
        <v>1</v>
      </c>
      <c r="B100">
        <f>Arrivals!B100</f>
        <v>95</v>
      </c>
      <c r="C100" s="6">
        <f>Arrivals!F100</f>
        <v>624</v>
      </c>
      <c r="D100" s="6">
        <f>Arrivals!J100</f>
        <v>6.6193377517790725E-2</v>
      </c>
      <c r="E100" s="6">
        <f t="shared" si="31"/>
        <v>1069.4954029890191</v>
      </c>
      <c r="F100" s="6">
        <f t="shared" si="22"/>
        <v>1069.4954029890191</v>
      </c>
      <c r="G100" s="6">
        <f t="shared" si="23"/>
        <v>1069.5615963665368</v>
      </c>
      <c r="H100" s="6">
        <f>Arrivals!L100</f>
        <v>75</v>
      </c>
      <c r="I100" s="6">
        <f>H100*8/ACE_Input!S100+ACE_Input!T100</f>
        <v>6.02</v>
      </c>
      <c r="J100" s="6">
        <f t="shared" si="32"/>
        <v>1079.0729636586416</v>
      </c>
      <c r="K100" s="6">
        <f t="shared" si="24"/>
        <v>1079.0729636586416</v>
      </c>
      <c r="L100" s="6">
        <f>MOD(K100-Settings!$B$32,Settings!$B$33)</f>
        <v>359.07296365864158</v>
      </c>
      <c r="M100" s="6">
        <f>IF(L100&lt;Settings!$B$30,IF(Settings!$B$30-L100&gt;=I100,K100,K100+(Settings!$B$30-L100)+Settings!$B$31),K100+(Settings!$B$33-L100))</f>
        <v>1079.0729636586416</v>
      </c>
      <c r="N100" s="6">
        <f t="shared" si="25"/>
        <v>1085.0929636586416</v>
      </c>
      <c r="O100" s="6">
        <f t="shared" si="26"/>
        <v>461.09296365864157</v>
      </c>
      <c r="P100" s="6">
        <f t="shared" si="27"/>
        <v>445.49540298901911</v>
      </c>
      <c r="Q100" s="6">
        <f t="shared" si="28"/>
        <v>9.511367292104751</v>
      </c>
      <c r="R100" s="6">
        <f t="shared" si="29"/>
        <v>0</v>
      </c>
      <c r="S100" s="6">
        <f t="shared" si="30"/>
        <v>455.00677028112386</v>
      </c>
      <c r="T100" s="6" t="str">
        <f>IF(MOD(C100-Settings!$B$32,Settings!$B$33)&lt;Settings!$B$30,"Up","Down")</f>
        <v>Down</v>
      </c>
      <c r="U100" s="6">
        <f>IF(OR(I100&gt;Settings!$B$30,O100&gt;Settings!$B$37),0,1)</f>
        <v>1</v>
      </c>
      <c r="V100" s="6">
        <f>IF(AND(U100=1,O100&lt;=Settings!$B$36),1,0)</f>
        <v>0</v>
      </c>
    </row>
    <row r="101" spans="1:22" x14ac:dyDescent="0.2">
      <c r="A101">
        <f>Arrivals!A101</f>
        <v>1</v>
      </c>
      <c r="B101">
        <f>Arrivals!B101</f>
        <v>96</v>
      </c>
      <c r="C101" s="6">
        <f>Arrivals!F101</f>
        <v>629</v>
      </c>
      <c r="D101" s="6">
        <f>Arrivals!J101</f>
        <v>7.2641226840252013</v>
      </c>
      <c r="E101" s="6">
        <f t="shared" si="31"/>
        <v>1069.5615963665368</v>
      </c>
      <c r="F101" s="6">
        <f t="shared" si="22"/>
        <v>1069.5615963665368</v>
      </c>
      <c r="G101" s="6">
        <f t="shared" si="23"/>
        <v>1076.8257190505619</v>
      </c>
      <c r="H101" s="6">
        <f>Arrivals!L101</f>
        <v>75</v>
      </c>
      <c r="I101" s="6">
        <f>H101*8/ACE_Input!S101+ACE_Input!T101</f>
        <v>6.02</v>
      </c>
      <c r="J101" s="6">
        <f t="shared" si="32"/>
        <v>1085.0929636586416</v>
      </c>
      <c r="K101" s="6">
        <f t="shared" si="24"/>
        <v>1085.0929636586416</v>
      </c>
      <c r="L101" s="6">
        <f>MOD(K101-Settings!$B$32,Settings!$B$33)</f>
        <v>365.09296365864157</v>
      </c>
      <c r="M101" s="6">
        <f>IF(L101&lt;Settings!$B$30,IF(Settings!$B$30-L101&gt;=I101,K101,K101+(Settings!$B$30-L101)+Settings!$B$31),K101+(Settings!$B$33-L101))</f>
        <v>1085.0929636586416</v>
      </c>
      <c r="N101" s="6">
        <f t="shared" si="25"/>
        <v>1091.1129636586415</v>
      </c>
      <c r="O101" s="6">
        <f t="shared" si="26"/>
        <v>462.11296365864155</v>
      </c>
      <c r="P101" s="6">
        <f t="shared" si="27"/>
        <v>440.56159636653683</v>
      </c>
      <c r="Q101" s="6">
        <f t="shared" si="28"/>
        <v>8.2672446080796362</v>
      </c>
      <c r="R101" s="6">
        <f t="shared" si="29"/>
        <v>0</v>
      </c>
      <c r="S101" s="6">
        <f t="shared" si="30"/>
        <v>448.82884097461647</v>
      </c>
      <c r="T101" s="6" t="str">
        <f>IF(MOD(C101-Settings!$B$32,Settings!$B$33)&lt;Settings!$B$30,"Up","Down")</f>
        <v>Down</v>
      </c>
      <c r="U101" s="6">
        <f>IF(OR(I101&gt;Settings!$B$30,O101&gt;Settings!$B$37),0,1)</f>
        <v>1</v>
      </c>
      <c r="V101" s="6">
        <f>IF(AND(U101=1,O101&lt;=Settings!$B$36),1,0)</f>
        <v>0</v>
      </c>
    </row>
    <row r="102" spans="1:22" x14ac:dyDescent="0.2">
      <c r="A102">
        <f>Arrivals!A102</f>
        <v>1</v>
      </c>
      <c r="B102">
        <f>Arrivals!B102</f>
        <v>97</v>
      </c>
      <c r="C102" s="6">
        <f>Arrivals!F102</f>
        <v>634</v>
      </c>
      <c r="D102" s="6">
        <f>Arrivals!J102</f>
        <v>3.9369229820769149</v>
      </c>
      <c r="E102" s="6">
        <f t="shared" si="31"/>
        <v>1076.8257190505619</v>
      </c>
      <c r="F102" s="6">
        <f t="shared" ref="F102:F105" si="33">MAX(C102,E102)</f>
        <v>1076.8257190505619</v>
      </c>
      <c r="G102" s="6">
        <f t="shared" ref="G102:G105" si="34">F102+D102</f>
        <v>1080.762642032639</v>
      </c>
      <c r="H102" s="6">
        <f>Arrivals!L102</f>
        <v>75</v>
      </c>
      <c r="I102" s="6">
        <f>H102*8/ACE_Input!S102+ACE_Input!T102</f>
        <v>6.02</v>
      </c>
      <c r="J102" s="6">
        <f t="shared" si="32"/>
        <v>1091.1129636586415</v>
      </c>
      <c r="K102" s="6">
        <f t="shared" ref="K102:K105" si="35">MAX(G102,J102)</f>
        <v>1091.1129636586415</v>
      </c>
      <c r="L102" s="6">
        <f>MOD(K102-Settings!$B$32,Settings!$B$33)</f>
        <v>371.11296365864155</v>
      </c>
      <c r="M102" s="6">
        <f>IF(L102&lt;Settings!$B$30,IF(Settings!$B$30-L102&gt;=I102,K102,K102+(Settings!$B$30-L102)+Settings!$B$31),K102+(Settings!$B$33-L102))</f>
        <v>1091.1129636586415</v>
      </c>
      <c r="N102" s="6">
        <f t="shared" ref="N102:N105" si="36">M102+I102</f>
        <v>1097.1329636586415</v>
      </c>
      <c r="O102" s="6">
        <f t="shared" ref="O102:O105" si="37">N102-C102</f>
        <v>463.13296365864153</v>
      </c>
      <c r="P102" s="6">
        <f t="shared" si="27"/>
        <v>442.82571905056193</v>
      </c>
      <c r="Q102" s="6">
        <f t="shared" si="28"/>
        <v>10.350321626002597</v>
      </c>
      <c r="R102" s="6">
        <f t="shared" si="29"/>
        <v>0</v>
      </c>
      <c r="S102" s="6">
        <f t="shared" ref="S102:S105" si="38">P102+Q102+R102</f>
        <v>453.17604067656453</v>
      </c>
      <c r="T102" s="6" t="str">
        <f>IF(MOD(C102-Settings!$B$32,Settings!$B$33)&lt;Settings!$B$30,"Up","Down")</f>
        <v>Down</v>
      </c>
      <c r="U102" s="6">
        <f>IF(OR(I102&gt;Settings!$B$30,O102&gt;Settings!$B$37),0,1)</f>
        <v>1</v>
      </c>
      <c r="V102" s="6">
        <f>IF(AND(U102=1,O102&lt;=Settings!$B$36),1,0)</f>
        <v>0</v>
      </c>
    </row>
    <row r="103" spans="1:22" x14ac:dyDescent="0.2">
      <c r="A103">
        <f>Arrivals!A103</f>
        <v>1</v>
      </c>
      <c r="B103">
        <f>Arrivals!B103</f>
        <v>98</v>
      </c>
      <c r="C103" s="6">
        <f>Arrivals!F103</f>
        <v>639</v>
      </c>
      <c r="D103" s="6">
        <f>Arrivals!J103</f>
        <v>18.72290926455727</v>
      </c>
      <c r="E103" s="6">
        <f t="shared" si="31"/>
        <v>1080.762642032639</v>
      </c>
      <c r="F103" s="6">
        <f t="shared" si="33"/>
        <v>1080.762642032639</v>
      </c>
      <c r="G103" s="6">
        <f t="shared" si="34"/>
        <v>1099.4855512971963</v>
      </c>
      <c r="H103" s="6">
        <f>Arrivals!L103</f>
        <v>75</v>
      </c>
      <c r="I103" s="6">
        <f>H103*8/ACE_Input!S103+ACE_Input!T103</f>
        <v>6.02</v>
      </c>
      <c r="J103" s="6">
        <f t="shared" si="32"/>
        <v>1097.1329636586415</v>
      </c>
      <c r="K103" s="6">
        <f t="shared" si="35"/>
        <v>1099.4855512971963</v>
      </c>
      <c r="L103" s="6">
        <f>MOD(K103-Settings!$B$32,Settings!$B$33)</f>
        <v>379.48555129719625</v>
      </c>
      <c r="M103" s="6">
        <f>IF(L103&lt;Settings!$B$30,IF(Settings!$B$30-L103&gt;=I103,K103,K103+(Settings!$B$30-L103)+Settings!$B$31),K103+(Settings!$B$33-L103))</f>
        <v>1099.4855512971963</v>
      </c>
      <c r="N103" s="6">
        <f t="shared" si="36"/>
        <v>1105.5055512971962</v>
      </c>
      <c r="O103" s="6">
        <f t="shared" si="37"/>
        <v>466.50555129719623</v>
      </c>
      <c r="P103" s="6">
        <f t="shared" si="27"/>
        <v>441.76264203263895</v>
      </c>
      <c r="Q103" s="6">
        <f t="shared" si="28"/>
        <v>0</v>
      </c>
      <c r="R103" s="6">
        <f t="shared" si="29"/>
        <v>0</v>
      </c>
      <c r="S103" s="6">
        <f t="shared" si="38"/>
        <v>441.76264203263895</v>
      </c>
      <c r="T103" s="6" t="str">
        <f>IF(MOD(C103-Settings!$B$32,Settings!$B$33)&lt;Settings!$B$30,"Up","Down")</f>
        <v>Down</v>
      </c>
      <c r="U103" s="6">
        <f>IF(OR(I103&gt;Settings!$B$30,O103&gt;Settings!$B$37),0,1)</f>
        <v>1</v>
      </c>
      <c r="V103" s="6">
        <f>IF(AND(U103=1,O103&lt;=Settings!$B$36),1,0)</f>
        <v>0</v>
      </c>
    </row>
    <row r="104" spans="1:22" x14ac:dyDescent="0.2">
      <c r="A104">
        <f>Arrivals!A104</f>
        <v>1</v>
      </c>
      <c r="B104">
        <f>Arrivals!B104</f>
        <v>99</v>
      </c>
      <c r="C104" s="6">
        <f>Arrivals!F104</f>
        <v>684</v>
      </c>
      <c r="D104" s="6">
        <f>Arrivals!J104</f>
        <v>1.2534265336796535</v>
      </c>
      <c r="E104" s="6">
        <f t="shared" si="31"/>
        <v>1099.4855512971963</v>
      </c>
      <c r="F104" s="6">
        <f t="shared" si="33"/>
        <v>1099.4855512971963</v>
      </c>
      <c r="G104" s="6">
        <f t="shared" si="34"/>
        <v>1100.7389778308759</v>
      </c>
      <c r="H104" s="6">
        <f>Arrivals!L104</f>
        <v>75</v>
      </c>
      <c r="I104" s="6">
        <f>H104*8/ACE_Input!S104+ACE_Input!T104</f>
        <v>6.02</v>
      </c>
      <c r="J104" s="6">
        <f t="shared" si="32"/>
        <v>1105.5055512971962</v>
      </c>
      <c r="K104" s="6">
        <f t="shared" si="35"/>
        <v>1105.5055512971962</v>
      </c>
      <c r="L104" s="6">
        <f>MOD(K104-Settings!$B$32,Settings!$B$33)</f>
        <v>385.50555129719623</v>
      </c>
      <c r="M104" s="6">
        <f>IF(L104&lt;Settings!$B$30,IF(Settings!$B$30-L104&gt;=I104,K104,K104+(Settings!$B$30-L104)+Settings!$B$31),K104+(Settings!$B$33-L104))</f>
        <v>1105.5055512971962</v>
      </c>
      <c r="N104" s="6">
        <f t="shared" si="36"/>
        <v>1111.5255512971962</v>
      </c>
      <c r="O104" s="6">
        <f t="shared" si="37"/>
        <v>427.52555129719622</v>
      </c>
      <c r="P104" s="6">
        <f t="shared" si="27"/>
        <v>415.48555129719625</v>
      </c>
      <c r="Q104" s="6">
        <f t="shared" si="28"/>
        <v>4.7665734663203239</v>
      </c>
      <c r="R104" s="6">
        <f t="shared" si="29"/>
        <v>0</v>
      </c>
      <c r="S104" s="6">
        <f t="shared" si="38"/>
        <v>420.25212476351658</v>
      </c>
      <c r="T104" s="6" t="str">
        <f>IF(MOD(C104-Settings!$B$32,Settings!$B$33)&lt;Settings!$B$30,"Up","Down")</f>
        <v>Down</v>
      </c>
      <c r="U104" s="6">
        <f>IF(OR(I104&gt;Settings!$B$30,O104&gt;Settings!$B$37),0,1)</f>
        <v>1</v>
      </c>
      <c r="V104" s="6">
        <f>IF(AND(U104=1,O104&lt;=Settings!$B$36),1,0)</f>
        <v>0</v>
      </c>
    </row>
    <row r="105" spans="1:22" x14ac:dyDescent="0.2">
      <c r="A105">
        <f>Arrivals!A105</f>
        <v>1</v>
      </c>
      <c r="B105">
        <f>Arrivals!B105</f>
        <v>100</v>
      </c>
      <c r="C105" s="6">
        <f>Arrivals!F105</f>
        <v>689</v>
      </c>
      <c r="D105" s="6">
        <f>Arrivals!J105</f>
        <v>37.073068223870123</v>
      </c>
      <c r="E105" s="6">
        <f t="shared" si="31"/>
        <v>1100.7389778308759</v>
      </c>
      <c r="F105" s="6">
        <f t="shared" si="33"/>
        <v>1100.7389778308759</v>
      </c>
      <c r="G105" s="6">
        <f t="shared" si="34"/>
        <v>1137.8120460547461</v>
      </c>
      <c r="H105" s="6">
        <f>Arrivals!L105</f>
        <v>75</v>
      </c>
      <c r="I105" s="6">
        <f>H105*8/ACE_Input!S105+ACE_Input!T105</f>
        <v>6.02</v>
      </c>
      <c r="J105" s="6">
        <f t="shared" si="32"/>
        <v>1111.5255512971962</v>
      </c>
      <c r="K105" s="6">
        <f t="shared" si="35"/>
        <v>1137.8120460547461</v>
      </c>
      <c r="L105" s="6">
        <f>MOD(K105-Settings!$B$32,Settings!$B$33)</f>
        <v>417.81204605474613</v>
      </c>
      <c r="M105" s="6">
        <f>IF(L105&lt;Settings!$B$30,IF(Settings!$B$30-L105&gt;=I105,K105,K105+(Settings!$B$30-L105)+Settings!$B$31),K105+(Settings!$B$33-L105))</f>
        <v>1137.8120460547461</v>
      </c>
      <c r="N105" s="6">
        <f t="shared" si="36"/>
        <v>1143.8320460547461</v>
      </c>
      <c r="O105" s="6">
        <f t="shared" si="37"/>
        <v>454.83204605474612</v>
      </c>
      <c r="P105" s="6">
        <f t="shared" si="27"/>
        <v>411.73897783087591</v>
      </c>
      <c r="Q105" s="6">
        <f t="shared" si="28"/>
        <v>0</v>
      </c>
      <c r="R105" s="6">
        <f t="shared" si="29"/>
        <v>0</v>
      </c>
      <c r="S105" s="6">
        <f t="shared" si="38"/>
        <v>411.73897783087591</v>
      </c>
      <c r="T105" s="6" t="str">
        <f>IF(MOD(C105-Settings!$B$32,Settings!$B$33)&lt;Settings!$B$30,"Up","Down")</f>
        <v>Down</v>
      </c>
      <c r="U105" s="6">
        <f>IF(OR(I105&gt;Settings!$B$30,O105&gt;Settings!$B$37),0,1)</f>
        <v>1</v>
      </c>
      <c r="V105" s="6">
        <f>IF(AND(U105=1,O105&lt;=Settings!$B$36),1,0)</f>
        <v>0</v>
      </c>
    </row>
    <row r="106" spans="1:22" x14ac:dyDescent="0.2">
      <c r="C106" s="6"/>
      <c r="D106" s="6"/>
      <c r="E106" s="6"/>
      <c r="F106" s="6"/>
      <c r="G106" s="6"/>
      <c r="H106" s="6"/>
      <c r="I106" s="6"/>
      <c r="J106" s="6"/>
      <c r="K106" s="6"/>
      <c r="L106" s="6"/>
      <c r="M106" s="6"/>
      <c r="N106" s="6"/>
      <c r="O106" s="6"/>
      <c r="P106" s="6"/>
      <c r="Q106" s="6"/>
      <c r="R106" s="6"/>
      <c r="S106" s="6"/>
      <c r="T106" s="6"/>
      <c r="U106" s="6"/>
      <c r="V106" s="6"/>
    </row>
    <row r="107" spans="1:22" x14ac:dyDescent="0.2">
      <c r="C107" s="6"/>
      <c r="D107" s="6"/>
      <c r="E107" s="6"/>
      <c r="F107" s="6"/>
      <c r="G107" s="6"/>
      <c r="H107" s="6"/>
      <c r="I107" s="6"/>
      <c r="J107" s="6"/>
      <c r="K107" s="6"/>
      <c r="L107" s="6"/>
      <c r="M107" s="6"/>
      <c r="N107" s="6"/>
      <c r="O107" s="6"/>
      <c r="P107" s="6"/>
      <c r="Q107" s="6"/>
      <c r="R107" s="6"/>
      <c r="S107" s="6"/>
      <c r="T107" s="6"/>
      <c r="U107" s="6"/>
      <c r="V107" s="6"/>
    </row>
    <row r="108" spans="1:22" x14ac:dyDescent="0.2">
      <c r="C108" s="6"/>
      <c r="D108" s="6"/>
      <c r="E108" s="6"/>
      <c r="F108" s="6"/>
      <c r="G108" s="6"/>
      <c r="H108" s="6"/>
      <c r="I108" s="6"/>
      <c r="J108" s="6"/>
      <c r="K108" s="6"/>
      <c r="L108" s="6"/>
      <c r="M108" s="6"/>
      <c r="N108" s="6"/>
      <c r="O108" s="6"/>
      <c r="P108" s="6"/>
      <c r="Q108" s="6"/>
      <c r="R108" s="6"/>
      <c r="S108" s="6"/>
      <c r="T108" s="6"/>
      <c r="U108" s="6"/>
      <c r="V108" s="6"/>
    </row>
    <row r="109" spans="1:22" x14ac:dyDescent="0.2">
      <c r="C109" s="6"/>
      <c r="D109" s="6"/>
      <c r="E109" s="6"/>
      <c r="F109" s="6"/>
      <c r="G109" s="6"/>
      <c r="H109" s="6"/>
      <c r="I109" s="6"/>
      <c r="J109" s="6"/>
      <c r="K109" s="6"/>
      <c r="L109" s="6"/>
      <c r="M109" s="6"/>
      <c r="N109" s="6"/>
      <c r="O109" s="6"/>
      <c r="P109" s="6"/>
      <c r="Q109" s="6"/>
      <c r="R109" s="6"/>
      <c r="S109" s="6"/>
      <c r="T109" s="6"/>
      <c r="U109" s="6"/>
      <c r="V109" s="6"/>
    </row>
    <row r="110" spans="1:22" x14ac:dyDescent="0.2">
      <c r="C110" s="6"/>
      <c r="D110" s="6"/>
      <c r="E110" s="6"/>
      <c r="F110" s="6"/>
      <c r="G110" s="6"/>
      <c r="H110" s="6"/>
      <c r="I110" s="6"/>
      <c r="J110" s="6"/>
      <c r="K110" s="6"/>
      <c r="L110" s="6"/>
      <c r="M110" s="6"/>
      <c r="N110" s="6"/>
      <c r="O110" s="6"/>
      <c r="P110" s="6"/>
      <c r="Q110" s="6"/>
      <c r="R110" s="6"/>
      <c r="S110" s="6"/>
      <c r="T110" s="6"/>
      <c r="U110" s="6"/>
      <c r="V110" s="6"/>
    </row>
    <row r="111" spans="1:22" x14ac:dyDescent="0.2">
      <c r="C111" s="6"/>
      <c r="D111" s="6"/>
      <c r="E111" s="6"/>
      <c r="F111" s="6"/>
      <c r="G111" s="6"/>
      <c r="H111" s="6"/>
      <c r="I111" s="6"/>
      <c r="J111" s="6"/>
      <c r="K111" s="6"/>
      <c r="L111" s="6"/>
      <c r="M111" s="6"/>
      <c r="N111" s="6"/>
      <c r="O111" s="6"/>
      <c r="P111" s="6"/>
      <c r="Q111" s="6"/>
      <c r="R111" s="6"/>
      <c r="S111" s="6"/>
      <c r="T111" s="6"/>
      <c r="U111" s="6"/>
      <c r="V111" s="6"/>
    </row>
    <row r="112" spans="1:22" x14ac:dyDescent="0.2">
      <c r="C112" s="6"/>
      <c r="D112" s="6"/>
      <c r="E112" s="6"/>
      <c r="F112" s="6"/>
      <c r="G112" s="6"/>
      <c r="H112" s="6"/>
      <c r="I112" s="6"/>
      <c r="J112" s="6"/>
      <c r="K112" s="6"/>
      <c r="L112" s="6"/>
      <c r="M112" s="6"/>
      <c r="N112" s="6"/>
      <c r="O112" s="6"/>
      <c r="P112" s="6"/>
      <c r="Q112" s="6"/>
      <c r="R112" s="6"/>
      <c r="S112" s="6"/>
      <c r="T112" s="6"/>
      <c r="U112" s="6"/>
      <c r="V112" s="6"/>
    </row>
    <row r="113" spans="1:22" x14ac:dyDescent="0.2">
      <c r="C113" s="6"/>
      <c r="D113" s="6"/>
      <c r="E113" s="6"/>
      <c r="F113" s="6"/>
      <c r="G113" s="6"/>
      <c r="H113" s="6"/>
      <c r="I113" s="6"/>
      <c r="J113" s="6"/>
      <c r="K113" s="6"/>
      <c r="L113" s="6"/>
      <c r="M113" s="6"/>
      <c r="N113" s="6"/>
      <c r="O113" s="6"/>
      <c r="P113" s="6"/>
      <c r="Q113" s="6"/>
      <c r="R113" s="6"/>
      <c r="S113" s="6"/>
      <c r="T113" s="6"/>
      <c r="U113" s="6"/>
      <c r="V113" s="6"/>
    </row>
    <row r="114" spans="1:22" x14ac:dyDescent="0.2">
      <c r="C114" s="6"/>
      <c r="D114" s="6"/>
      <c r="E114" s="6"/>
      <c r="F114" s="6"/>
      <c r="G114" s="6"/>
      <c r="H114" s="6"/>
      <c r="I114" s="6"/>
      <c r="J114" s="6"/>
      <c r="K114" s="6"/>
      <c r="L114" s="6"/>
      <c r="M114" s="6"/>
      <c r="N114" s="6"/>
      <c r="O114" s="6"/>
      <c r="P114" s="6"/>
      <c r="Q114" s="6"/>
      <c r="R114" s="6"/>
      <c r="S114" s="6"/>
      <c r="T114" s="6"/>
      <c r="U114" s="6"/>
      <c r="V114" s="6"/>
    </row>
    <row r="115" spans="1:22" x14ac:dyDescent="0.2">
      <c r="C115" s="6"/>
      <c r="D115" s="6"/>
      <c r="E115" s="6"/>
      <c r="F115" s="6"/>
      <c r="G115" s="6"/>
      <c r="H115" s="6"/>
      <c r="I115" s="6"/>
      <c r="J115" s="6"/>
      <c r="K115" s="6"/>
      <c r="L115" s="6"/>
      <c r="M115" s="6"/>
      <c r="N115" s="6"/>
      <c r="O115" s="6"/>
      <c r="P115" s="6"/>
      <c r="Q115" s="6"/>
      <c r="R115" s="6"/>
      <c r="S115" s="6"/>
      <c r="T115" s="6"/>
      <c r="U115" s="6"/>
      <c r="V115" s="6"/>
    </row>
    <row r="116" spans="1:22" x14ac:dyDescent="0.2">
      <c r="C116" s="6"/>
      <c r="D116" s="6"/>
      <c r="E116" s="6"/>
      <c r="F116" s="6"/>
      <c r="G116" s="6"/>
      <c r="H116" s="6"/>
      <c r="I116" s="6"/>
      <c r="J116" s="6"/>
      <c r="K116" s="6"/>
      <c r="L116" s="6"/>
      <c r="M116" s="6"/>
      <c r="N116" s="6"/>
      <c r="O116" s="6"/>
      <c r="P116" s="6"/>
      <c r="Q116" s="6"/>
      <c r="R116" s="6"/>
      <c r="S116" s="6"/>
      <c r="T116" s="6"/>
      <c r="U116" s="6"/>
      <c r="V116" s="6"/>
    </row>
    <row r="117" spans="1:22" x14ac:dyDescent="0.2">
      <c r="C117" s="6"/>
      <c r="D117" s="6"/>
      <c r="E117" s="6"/>
      <c r="F117" s="6"/>
      <c r="G117" s="6"/>
      <c r="H117" s="6"/>
      <c r="I117" s="6"/>
      <c r="J117" s="6"/>
      <c r="K117" s="6"/>
      <c r="L117" s="6"/>
      <c r="M117" s="6"/>
      <c r="N117" s="6"/>
      <c r="O117" s="6"/>
      <c r="P117" s="6"/>
      <c r="Q117" s="6"/>
      <c r="R117" s="6"/>
      <c r="S117" s="6"/>
      <c r="T117" s="6"/>
      <c r="U117" s="6"/>
      <c r="V117" s="6"/>
    </row>
    <row r="118" spans="1:22" x14ac:dyDescent="0.2">
      <c r="C118" s="6"/>
      <c r="D118" s="6"/>
      <c r="E118" s="6"/>
      <c r="F118" s="6"/>
      <c r="G118" s="6"/>
      <c r="H118" s="6"/>
      <c r="I118" s="6"/>
      <c r="J118" s="6"/>
      <c r="K118" s="6"/>
      <c r="L118" s="6"/>
      <c r="M118" s="6"/>
      <c r="N118" s="6"/>
      <c r="O118" s="6"/>
      <c r="P118" s="6"/>
      <c r="Q118" s="6"/>
      <c r="R118" s="6"/>
      <c r="S118" s="6"/>
      <c r="T118" s="6"/>
      <c r="U118" s="6"/>
      <c r="V118" s="6"/>
    </row>
    <row r="119" spans="1:22" x14ac:dyDescent="0.2">
      <c r="C119" s="6"/>
      <c r="D119" s="6"/>
      <c r="E119" s="6"/>
      <c r="F119" s="6"/>
      <c r="G119" s="6"/>
      <c r="H119" s="6"/>
      <c r="I119" s="6"/>
      <c r="J119" s="6"/>
      <c r="K119" s="6"/>
      <c r="L119" s="6"/>
      <c r="M119" s="6"/>
      <c r="N119" s="6"/>
      <c r="O119" s="6"/>
      <c r="P119" s="6"/>
      <c r="Q119" s="6"/>
      <c r="R119" s="6"/>
      <c r="S119" s="6"/>
      <c r="T119" s="6"/>
      <c r="U119" s="6"/>
      <c r="V119" s="6"/>
    </row>
    <row r="120" spans="1:22" x14ac:dyDescent="0.2">
      <c r="C120" s="6"/>
      <c r="D120" s="6"/>
      <c r="E120" s="6"/>
      <c r="F120" s="6"/>
      <c r="G120" s="6"/>
      <c r="H120" s="6"/>
      <c r="I120" s="6"/>
      <c r="J120" s="6"/>
      <c r="K120" s="6"/>
      <c r="L120" s="6"/>
      <c r="M120" s="6"/>
      <c r="N120" s="6"/>
      <c r="O120" s="6"/>
      <c r="P120" s="6"/>
      <c r="Q120" s="6"/>
      <c r="R120" s="6"/>
      <c r="S120" s="6"/>
      <c r="T120" s="6"/>
      <c r="U120" s="6"/>
      <c r="V120" s="6"/>
    </row>
    <row r="121" spans="1:22" x14ac:dyDescent="0.2">
      <c r="C121" s="6"/>
      <c r="D121" s="6"/>
      <c r="E121" s="6"/>
      <c r="F121" s="6"/>
      <c r="G121" s="6"/>
      <c r="H121" s="6"/>
      <c r="I121" s="6"/>
      <c r="J121" s="6"/>
      <c r="K121" s="6"/>
      <c r="L121" s="6"/>
      <c r="M121" s="6"/>
      <c r="N121" s="6"/>
      <c r="O121" s="6"/>
      <c r="P121" s="6"/>
      <c r="Q121" s="6"/>
      <c r="R121" s="6"/>
      <c r="S121" s="6"/>
      <c r="T121" s="6"/>
      <c r="U121" s="6"/>
      <c r="V121" s="6"/>
    </row>
    <row r="122" spans="1:22" x14ac:dyDescent="0.2">
      <c r="C122" s="6"/>
      <c r="D122" s="6"/>
      <c r="E122" s="6"/>
      <c r="F122" s="6"/>
      <c r="G122" s="6"/>
      <c r="H122" s="6"/>
      <c r="I122" s="6"/>
      <c r="J122" s="6"/>
      <c r="K122" s="6"/>
      <c r="L122" s="6"/>
      <c r="M122" s="6"/>
      <c r="N122" s="6"/>
      <c r="O122" s="6"/>
      <c r="P122" s="6"/>
      <c r="Q122" s="6"/>
      <c r="R122" s="6"/>
      <c r="S122" s="6"/>
      <c r="T122" s="6"/>
      <c r="U122" s="6"/>
      <c r="V122" s="6"/>
    </row>
    <row r="123" spans="1:22" x14ac:dyDescent="0.2">
      <c r="C123" s="6"/>
      <c r="D123" s="6"/>
      <c r="E123" s="6"/>
      <c r="F123" s="6"/>
      <c r="G123" s="6"/>
      <c r="H123" s="6"/>
      <c r="I123" s="6"/>
      <c r="J123" s="6"/>
      <c r="K123" s="6"/>
      <c r="L123" s="6"/>
      <c r="M123" s="6"/>
      <c r="N123" s="6"/>
      <c r="O123" s="6"/>
      <c r="P123" s="6"/>
      <c r="Q123" s="6"/>
      <c r="R123" s="6"/>
      <c r="S123" s="6"/>
      <c r="T123" s="6"/>
      <c r="U123" s="6"/>
      <c r="V123" s="6"/>
    </row>
    <row r="124" spans="1:22" x14ac:dyDescent="0.2">
      <c r="C124" s="6"/>
      <c r="D124" s="6"/>
      <c r="E124" s="6"/>
      <c r="F124" s="6"/>
      <c r="G124" s="6"/>
      <c r="H124" s="6"/>
      <c r="I124" s="6"/>
      <c r="J124" s="6"/>
      <c r="K124" s="6"/>
      <c r="L124" s="6"/>
      <c r="M124" s="6"/>
      <c r="N124" s="6"/>
      <c r="O124" s="6"/>
      <c r="P124" s="6"/>
      <c r="Q124" s="6"/>
      <c r="R124" s="6"/>
      <c r="S124" s="6"/>
      <c r="T124" s="6"/>
      <c r="U124" s="6"/>
      <c r="V124" s="6"/>
    </row>
    <row r="125" spans="1:22" x14ac:dyDescent="0.2">
      <c r="C125" s="6"/>
      <c r="D125" s="6"/>
      <c r="E125" s="6"/>
      <c r="F125" s="6"/>
      <c r="G125" s="6"/>
      <c r="H125" s="6"/>
      <c r="I125" s="6"/>
      <c r="J125" s="6"/>
      <c r="K125" s="6"/>
      <c r="L125" s="6"/>
      <c r="M125" s="6"/>
      <c r="N125" s="6"/>
      <c r="O125" s="6"/>
      <c r="P125" s="6"/>
      <c r="Q125" s="6"/>
      <c r="R125" s="6"/>
      <c r="S125" s="6"/>
      <c r="T125" s="6"/>
      <c r="U125" s="6"/>
      <c r="V125" s="6"/>
    </row>
    <row r="126" spans="1:22" x14ac:dyDescent="0.2">
      <c r="A126">
        <f>Arrivals!A126</f>
        <v>2</v>
      </c>
      <c r="B126">
        <f>Arrivals!B126</f>
        <v>1</v>
      </c>
      <c r="C126" s="6">
        <f>Arrivals!F126</f>
        <v>2</v>
      </c>
      <c r="D126" s="6">
        <f>Arrivals!J126</f>
        <v>9.8302692631195772</v>
      </c>
      <c r="E126" s="6">
        <f>0</f>
        <v>0</v>
      </c>
      <c r="F126" s="6">
        <f t="shared" ref="F126:F157" si="39">MAX(C126,E126)</f>
        <v>2</v>
      </c>
      <c r="G126" s="6">
        <f t="shared" ref="G126:G157" si="40">F126+D126</f>
        <v>11.830269263119577</v>
      </c>
      <c r="H126" s="6">
        <f>Arrivals!L126</f>
        <v>75</v>
      </c>
      <c r="I126" s="6">
        <f>H126*8/ACE_Input!S6+ACE_Input!T6</f>
        <v>6.02</v>
      </c>
      <c r="J126" s="6">
        <f>0</f>
        <v>0</v>
      </c>
      <c r="K126" s="6">
        <f t="shared" ref="K126:K157" si="41">MAX(G126,J126)</f>
        <v>11.830269263119577</v>
      </c>
      <c r="L126" s="6">
        <f>MOD(K126-Settings!$B$32,Settings!$B$33)</f>
        <v>11.830269263119577</v>
      </c>
      <c r="M126" s="6">
        <f>IF(L126&lt;Settings!$B$30,IF(Settings!$B$30-L126&gt;=I126,K126,K126+(Settings!$B$30-L126)+Settings!$B$31),K126+(Settings!$B$33-L126))</f>
        <v>11.830269263119577</v>
      </c>
      <c r="N126" s="6">
        <f t="shared" ref="N126:N157" si="42">M126+I126</f>
        <v>17.850269263119579</v>
      </c>
      <c r="O126" s="6">
        <f t="shared" ref="O126:O157" si="43">N126-C126</f>
        <v>15.850269263119579</v>
      </c>
      <c r="P126" s="6">
        <f t="shared" ref="P126:P157" si="44">F126-C126</f>
        <v>0</v>
      </c>
      <c r="Q126" s="6">
        <f t="shared" ref="Q126:Q157" si="45">K126-G126</f>
        <v>0</v>
      </c>
      <c r="R126" s="6">
        <f t="shared" ref="R126:R157" si="46">M126-K126</f>
        <v>0</v>
      </c>
      <c r="S126" s="6">
        <f t="shared" ref="S126:S157" si="47">P126+Q126+R126</f>
        <v>0</v>
      </c>
      <c r="T126" s="6" t="str">
        <f>IF(MOD(C126-Settings!$B$32,Settings!$B$33)&lt;Settings!$B$30,"Up","Down")</f>
        <v>Up</v>
      </c>
      <c r="U126" s="6">
        <f>IF(OR(I126&gt;Settings!$B$30,O126&gt;Settings!$B$37),0,1)</f>
        <v>1</v>
      </c>
      <c r="V126" s="6">
        <f>IF(AND(U126=1,O126&lt;=Settings!$B$36),1,0)</f>
        <v>1</v>
      </c>
    </row>
    <row r="127" spans="1:22" x14ac:dyDescent="0.2">
      <c r="A127">
        <f>Arrivals!A127</f>
        <v>2</v>
      </c>
      <c r="B127">
        <f>Arrivals!B127</f>
        <v>2</v>
      </c>
      <c r="C127" s="6">
        <f>Arrivals!F127</f>
        <v>7</v>
      </c>
      <c r="D127" s="6">
        <f>Arrivals!J127</f>
        <v>12.953977205409288</v>
      </c>
      <c r="E127" s="6">
        <f t="shared" ref="E127:E158" si="48">G126</f>
        <v>11.830269263119577</v>
      </c>
      <c r="F127" s="6">
        <f t="shared" si="39"/>
        <v>11.830269263119577</v>
      </c>
      <c r="G127" s="6">
        <f t="shared" si="40"/>
        <v>24.784246468528863</v>
      </c>
      <c r="H127" s="6">
        <f>Arrivals!L127</f>
        <v>75</v>
      </c>
      <c r="I127" s="6">
        <f>H127*8/ACE_Input!S7+ACE_Input!T7</f>
        <v>6.02</v>
      </c>
      <c r="J127" s="6">
        <f t="shared" ref="J127:J158" si="49">N126</f>
        <v>17.850269263119579</v>
      </c>
      <c r="K127" s="6">
        <f t="shared" si="41"/>
        <v>24.784246468528863</v>
      </c>
      <c r="L127" s="6">
        <f>MOD(K127-Settings!$B$32,Settings!$B$33)</f>
        <v>24.784246468528863</v>
      </c>
      <c r="M127" s="6">
        <f>IF(L127&lt;Settings!$B$30,IF(Settings!$B$30-L127&gt;=I127,K127,K127+(Settings!$B$30-L127)+Settings!$B$31),K127+(Settings!$B$33-L127))</f>
        <v>24.784246468528863</v>
      </c>
      <c r="N127" s="6">
        <f t="shared" si="42"/>
        <v>30.804246468528863</v>
      </c>
      <c r="O127" s="6">
        <f t="shared" si="43"/>
        <v>23.804246468528863</v>
      </c>
      <c r="P127" s="6">
        <f t="shared" si="44"/>
        <v>4.8302692631195772</v>
      </c>
      <c r="Q127" s="6">
        <f t="shared" si="45"/>
        <v>0</v>
      </c>
      <c r="R127" s="6">
        <f t="shared" si="46"/>
        <v>0</v>
      </c>
      <c r="S127" s="6">
        <f t="shared" si="47"/>
        <v>4.8302692631195772</v>
      </c>
      <c r="T127" s="6" t="str">
        <f>IF(MOD(C127-Settings!$B$32,Settings!$B$33)&lt;Settings!$B$30,"Up","Down")</f>
        <v>Up</v>
      </c>
      <c r="U127" s="6">
        <f>IF(OR(I127&gt;Settings!$B$30,O127&gt;Settings!$B$37),0,1)</f>
        <v>1</v>
      </c>
      <c r="V127" s="6">
        <f>IF(AND(U127=1,O127&lt;=Settings!$B$36),1,0)</f>
        <v>1</v>
      </c>
    </row>
    <row r="128" spans="1:22" x14ac:dyDescent="0.2">
      <c r="A128">
        <f>Arrivals!A128</f>
        <v>2</v>
      </c>
      <c r="B128">
        <f>Arrivals!B128</f>
        <v>3</v>
      </c>
      <c r="C128" s="6">
        <f>Arrivals!F128</f>
        <v>32</v>
      </c>
      <c r="D128" s="6">
        <f>Arrivals!J128</f>
        <v>9.6529317974487423</v>
      </c>
      <c r="E128" s="6">
        <f t="shared" si="48"/>
        <v>24.784246468528863</v>
      </c>
      <c r="F128" s="6">
        <f t="shared" si="39"/>
        <v>32</v>
      </c>
      <c r="G128" s="6">
        <f t="shared" si="40"/>
        <v>41.652931797448744</v>
      </c>
      <c r="H128" s="6">
        <f>Arrivals!L128</f>
        <v>75</v>
      </c>
      <c r="I128" s="6">
        <f>H128*8/ACE_Input!S8+ACE_Input!T8</f>
        <v>6.02</v>
      </c>
      <c r="J128" s="6">
        <f t="shared" si="49"/>
        <v>30.804246468528863</v>
      </c>
      <c r="K128" s="6">
        <f t="shared" si="41"/>
        <v>41.652931797448744</v>
      </c>
      <c r="L128" s="6">
        <f>MOD(K128-Settings!$B$32,Settings!$B$33)</f>
        <v>41.652931797448744</v>
      </c>
      <c r="M128" s="6">
        <f>IF(L128&lt;Settings!$B$30,IF(Settings!$B$30-L128&gt;=I128,K128,K128+(Settings!$B$30-L128)+Settings!$B$31),K128+(Settings!$B$33-L128))</f>
        <v>41.652931797448744</v>
      </c>
      <c r="N128" s="6">
        <f t="shared" si="42"/>
        <v>47.67293179744874</v>
      </c>
      <c r="O128" s="6">
        <f t="shared" si="43"/>
        <v>15.67293179744874</v>
      </c>
      <c r="P128" s="6">
        <f t="shared" si="44"/>
        <v>0</v>
      </c>
      <c r="Q128" s="6">
        <f t="shared" si="45"/>
        <v>0</v>
      </c>
      <c r="R128" s="6">
        <f t="shared" si="46"/>
        <v>0</v>
      </c>
      <c r="S128" s="6">
        <f t="shared" si="47"/>
        <v>0</v>
      </c>
      <c r="T128" s="6" t="str">
        <f>IF(MOD(C128-Settings!$B$32,Settings!$B$33)&lt;Settings!$B$30,"Up","Down")</f>
        <v>Up</v>
      </c>
      <c r="U128" s="6">
        <f>IF(OR(I128&gt;Settings!$B$30,O128&gt;Settings!$B$37),0,1)</f>
        <v>1</v>
      </c>
      <c r="V128" s="6">
        <f>IF(AND(U128=1,O128&lt;=Settings!$B$36),1,0)</f>
        <v>1</v>
      </c>
    </row>
    <row r="129" spans="1:22" x14ac:dyDescent="0.2">
      <c r="A129">
        <f>Arrivals!A129</f>
        <v>2</v>
      </c>
      <c r="B129">
        <f>Arrivals!B129</f>
        <v>4</v>
      </c>
      <c r="C129" s="6">
        <f>Arrivals!F129</f>
        <v>37</v>
      </c>
      <c r="D129" s="6">
        <f>Arrivals!J129</f>
        <v>5.4669606478620718</v>
      </c>
      <c r="E129" s="6">
        <f t="shared" si="48"/>
        <v>41.652931797448744</v>
      </c>
      <c r="F129" s="6">
        <f t="shared" si="39"/>
        <v>41.652931797448744</v>
      </c>
      <c r="G129" s="6">
        <f t="shared" si="40"/>
        <v>47.119892445310818</v>
      </c>
      <c r="H129" s="6">
        <f>Arrivals!L129</f>
        <v>75</v>
      </c>
      <c r="I129" s="6">
        <f>H129*8/ACE_Input!S9+ACE_Input!T9</f>
        <v>6.02</v>
      </c>
      <c r="J129" s="6">
        <f t="shared" si="49"/>
        <v>47.67293179744874</v>
      </c>
      <c r="K129" s="6">
        <f t="shared" si="41"/>
        <v>47.67293179744874</v>
      </c>
      <c r="L129" s="6">
        <f>MOD(K129-Settings!$B$32,Settings!$B$33)</f>
        <v>47.67293179744874</v>
      </c>
      <c r="M129" s="6">
        <f>IF(L129&lt;Settings!$B$30,IF(Settings!$B$30-L129&gt;=I129,K129,K129+(Settings!$B$30-L129)+Settings!$B$31),K129+(Settings!$B$33-L129))</f>
        <v>47.67293179744874</v>
      </c>
      <c r="N129" s="6">
        <f t="shared" si="42"/>
        <v>53.692931797448736</v>
      </c>
      <c r="O129" s="6">
        <f t="shared" si="43"/>
        <v>16.692931797448736</v>
      </c>
      <c r="P129" s="6">
        <f t="shared" si="44"/>
        <v>4.6529317974487441</v>
      </c>
      <c r="Q129" s="6">
        <f t="shared" si="45"/>
        <v>0.55303935213792244</v>
      </c>
      <c r="R129" s="6">
        <f t="shared" si="46"/>
        <v>0</v>
      </c>
      <c r="S129" s="6">
        <f t="shared" si="47"/>
        <v>5.2059711495866665</v>
      </c>
      <c r="T129" s="6" t="str">
        <f>IF(MOD(C129-Settings!$B$32,Settings!$B$33)&lt;Settings!$B$30,"Up","Down")</f>
        <v>Up</v>
      </c>
      <c r="U129" s="6">
        <f>IF(OR(I129&gt;Settings!$B$30,O129&gt;Settings!$B$37),0,1)</f>
        <v>1</v>
      </c>
      <c r="V129" s="6">
        <f>IF(AND(U129=1,O129&lt;=Settings!$B$36),1,0)</f>
        <v>1</v>
      </c>
    </row>
    <row r="130" spans="1:22" x14ac:dyDescent="0.2">
      <c r="A130">
        <f>Arrivals!A130</f>
        <v>2</v>
      </c>
      <c r="B130">
        <f>Arrivals!B130</f>
        <v>5</v>
      </c>
      <c r="C130" s="6">
        <f>Arrivals!F130</f>
        <v>42</v>
      </c>
      <c r="D130" s="6">
        <f>Arrivals!J130</f>
        <v>0.19869648082115171</v>
      </c>
      <c r="E130" s="6">
        <f t="shared" si="48"/>
        <v>47.119892445310818</v>
      </c>
      <c r="F130" s="6">
        <f t="shared" si="39"/>
        <v>47.119892445310818</v>
      </c>
      <c r="G130" s="6">
        <f t="shared" si="40"/>
        <v>47.318588926131966</v>
      </c>
      <c r="H130" s="6">
        <f>Arrivals!L130</f>
        <v>75</v>
      </c>
      <c r="I130" s="6">
        <f>H130*8/ACE_Input!S10+ACE_Input!T10</f>
        <v>6.02</v>
      </c>
      <c r="J130" s="6">
        <f t="shared" si="49"/>
        <v>53.692931797448736</v>
      </c>
      <c r="K130" s="6">
        <f t="shared" si="41"/>
        <v>53.692931797448736</v>
      </c>
      <c r="L130" s="6">
        <f>MOD(K130-Settings!$B$32,Settings!$B$33)</f>
        <v>53.692931797448736</v>
      </c>
      <c r="M130" s="6">
        <f>IF(L130&lt;Settings!$B$30,IF(Settings!$B$30-L130&gt;=I130,K130,K130+(Settings!$B$30-L130)+Settings!$B$31),K130+(Settings!$B$33-L130))</f>
        <v>53.692931797448736</v>
      </c>
      <c r="N130" s="6">
        <f t="shared" si="42"/>
        <v>59.712931797448732</v>
      </c>
      <c r="O130" s="6">
        <f t="shared" si="43"/>
        <v>17.712931797448732</v>
      </c>
      <c r="P130" s="6">
        <f t="shared" si="44"/>
        <v>5.1198924453108177</v>
      </c>
      <c r="Q130" s="6">
        <f t="shared" si="45"/>
        <v>6.3743428713167702</v>
      </c>
      <c r="R130" s="6">
        <f t="shared" si="46"/>
        <v>0</v>
      </c>
      <c r="S130" s="6">
        <f t="shared" si="47"/>
        <v>11.494235316627588</v>
      </c>
      <c r="T130" s="6" t="str">
        <f>IF(MOD(C130-Settings!$B$32,Settings!$B$33)&lt;Settings!$B$30,"Up","Down")</f>
        <v>Up</v>
      </c>
      <c r="U130" s="6">
        <f>IF(OR(I130&gt;Settings!$B$30,O130&gt;Settings!$B$37),0,1)</f>
        <v>1</v>
      </c>
      <c r="V130" s="6">
        <f>IF(AND(U130=1,O130&lt;=Settings!$B$36),1,0)</f>
        <v>1</v>
      </c>
    </row>
    <row r="131" spans="1:22" x14ac:dyDescent="0.2">
      <c r="A131">
        <f>Arrivals!A131</f>
        <v>2</v>
      </c>
      <c r="B131">
        <f>Arrivals!B131</f>
        <v>6</v>
      </c>
      <c r="C131" s="6">
        <f>Arrivals!F131</f>
        <v>47</v>
      </c>
      <c r="D131" s="6">
        <f>Arrivals!J131</f>
        <v>96.081774455810333</v>
      </c>
      <c r="E131" s="6">
        <f t="shared" si="48"/>
        <v>47.318588926131966</v>
      </c>
      <c r="F131" s="6">
        <f t="shared" si="39"/>
        <v>47.318588926131966</v>
      </c>
      <c r="G131" s="6">
        <f t="shared" si="40"/>
        <v>143.4003633819423</v>
      </c>
      <c r="H131" s="6">
        <f>Arrivals!L131</f>
        <v>75</v>
      </c>
      <c r="I131" s="6">
        <f>H131*8/ACE_Input!S11+ACE_Input!T11</f>
        <v>6.02</v>
      </c>
      <c r="J131" s="6">
        <f t="shared" si="49"/>
        <v>59.712931797448732</v>
      </c>
      <c r="K131" s="6">
        <f t="shared" si="41"/>
        <v>143.4003633819423</v>
      </c>
      <c r="L131" s="6">
        <f>MOD(K131-Settings!$B$32,Settings!$B$33)</f>
        <v>143.4003633819423</v>
      </c>
      <c r="M131" s="6">
        <f>IF(L131&lt;Settings!$B$30,IF(Settings!$B$30-L131&gt;=I131,K131,K131+(Settings!$B$30-L131)+Settings!$B$31),K131+(Settings!$B$33-L131))</f>
        <v>143.4003633819423</v>
      </c>
      <c r="N131" s="6">
        <f t="shared" si="42"/>
        <v>149.42036338194231</v>
      </c>
      <c r="O131" s="6">
        <f t="shared" si="43"/>
        <v>102.42036338194231</v>
      </c>
      <c r="P131" s="6">
        <f t="shared" si="44"/>
        <v>0.31858892613196588</v>
      </c>
      <c r="Q131" s="6">
        <f t="shared" si="45"/>
        <v>0</v>
      </c>
      <c r="R131" s="6">
        <f t="shared" si="46"/>
        <v>0</v>
      </c>
      <c r="S131" s="6">
        <f t="shared" si="47"/>
        <v>0.31858892613196588</v>
      </c>
      <c r="T131" s="6" t="str">
        <f>IF(MOD(C131-Settings!$B$32,Settings!$B$33)&lt;Settings!$B$30,"Up","Down")</f>
        <v>Up</v>
      </c>
      <c r="U131" s="6">
        <f>IF(OR(I131&gt;Settings!$B$30,O131&gt;Settings!$B$37),0,1)</f>
        <v>1</v>
      </c>
      <c r="V131" s="6">
        <f>IF(AND(U131=1,O131&lt;=Settings!$B$36),1,0)</f>
        <v>1</v>
      </c>
    </row>
    <row r="132" spans="1:22" x14ac:dyDescent="0.2">
      <c r="A132">
        <f>Arrivals!A132</f>
        <v>2</v>
      </c>
      <c r="B132">
        <f>Arrivals!B132</f>
        <v>7</v>
      </c>
      <c r="C132" s="6">
        <f>Arrivals!F132</f>
        <v>52</v>
      </c>
      <c r="D132" s="6">
        <f>Arrivals!J132</f>
        <v>6.1333116465306672</v>
      </c>
      <c r="E132" s="6">
        <f t="shared" si="48"/>
        <v>143.4003633819423</v>
      </c>
      <c r="F132" s="6">
        <f t="shared" si="39"/>
        <v>143.4003633819423</v>
      </c>
      <c r="G132" s="6">
        <f t="shared" si="40"/>
        <v>149.53367502847297</v>
      </c>
      <c r="H132" s="6">
        <f>Arrivals!L132</f>
        <v>75</v>
      </c>
      <c r="I132" s="6">
        <f>H132*8/ACE_Input!S12+ACE_Input!T12</f>
        <v>6.02</v>
      </c>
      <c r="J132" s="6">
        <f t="shared" si="49"/>
        <v>149.42036338194231</v>
      </c>
      <c r="K132" s="6">
        <f t="shared" si="41"/>
        <v>149.53367502847297</v>
      </c>
      <c r="L132" s="6">
        <f>MOD(K132-Settings!$B$32,Settings!$B$33)</f>
        <v>149.53367502847297</v>
      </c>
      <c r="M132" s="6">
        <f>IF(L132&lt;Settings!$B$30,IF(Settings!$B$30-L132&gt;=I132,K132,K132+(Settings!$B$30-L132)+Settings!$B$31),K132+(Settings!$B$33-L132))</f>
        <v>149.53367502847297</v>
      </c>
      <c r="N132" s="6">
        <f t="shared" si="42"/>
        <v>155.55367502847298</v>
      </c>
      <c r="O132" s="6">
        <f t="shared" si="43"/>
        <v>103.55367502847298</v>
      </c>
      <c r="P132" s="6">
        <f t="shared" si="44"/>
        <v>91.400363381942299</v>
      </c>
      <c r="Q132" s="6">
        <f t="shared" si="45"/>
        <v>0</v>
      </c>
      <c r="R132" s="6">
        <f t="shared" si="46"/>
        <v>0</v>
      </c>
      <c r="S132" s="6">
        <f t="shared" si="47"/>
        <v>91.400363381942299</v>
      </c>
      <c r="T132" s="6" t="str">
        <f>IF(MOD(C132-Settings!$B$32,Settings!$B$33)&lt;Settings!$B$30,"Up","Down")</f>
        <v>Up</v>
      </c>
      <c r="U132" s="6">
        <f>IF(OR(I132&gt;Settings!$B$30,O132&gt;Settings!$B$37),0,1)</f>
        <v>1</v>
      </c>
      <c r="V132" s="6">
        <f>IF(AND(U132=1,O132&lt;=Settings!$B$36),1,0)</f>
        <v>1</v>
      </c>
    </row>
    <row r="133" spans="1:22" x14ac:dyDescent="0.2">
      <c r="A133">
        <f>Arrivals!A133</f>
        <v>2</v>
      </c>
      <c r="B133">
        <f>Arrivals!B133</f>
        <v>8</v>
      </c>
      <c r="C133" s="6">
        <f>Arrivals!F133</f>
        <v>57</v>
      </c>
      <c r="D133" s="6">
        <f>Arrivals!J133</f>
        <v>12.955646847268742</v>
      </c>
      <c r="E133" s="6">
        <f t="shared" si="48"/>
        <v>149.53367502847297</v>
      </c>
      <c r="F133" s="6">
        <f t="shared" si="39"/>
        <v>149.53367502847297</v>
      </c>
      <c r="G133" s="6">
        <f t="shared" si="40"/>
        <v>162.48932187574172</v>
      </c>
      <c r="H133" s="6">
        <f>Arrivals!L133</f>
        <v>75</v>
      </c>
      <c r="I133" s="6">
        <f>H133*8/ACE_Input!S13+ACE_Input!T13</f>
        <v>6.02</v>
      </c>
      <c r="J133" s="6">
        <f t="shared" si="49"/>
        <v>155.55367502847298</v>
      </c>
      <c r="K133" s="6">
        <f t="shared" si="41"/>
        <v>162.48932187574172</v>
      </c>
      <c r="L133" s="6">
        <f>MOD(K133-Settings!$B$32,Settings!$B$33)</f>
        <v>162.48932187574172</v>
      </c>
      <c r="M133" s="6">
        <f>IF(L133&lt;Settings!$B$30,IF(Settings!$B$30-L133&gt;=I133,K133,K133+(Settings!$B$30-L133)+Settings!$B$31),K133+(Settings!$B$33-L133))</f>
        <v>162.48932187574172</v>
      </c>
      <c r="N133" s="6">
        <f t="shared" si="42"/>
        <v>168.50932187574173</v>
      </c>
      <c r="O133" s="6">
        <f t="shared" si="43"/>
        <v>111.50932187574173</v>
      </c>
      <c r="P133" s="6">
        <f t="shared" si="44"/>
        <v>92.53367502847297</v>
      </c>
      <c r="Q133" s="6">
        <f t="shared" si="45"/>
        <v>0</v>
      </c>
      <c r="R133" s="6">
        <f t="shared" si="46"/>
        <v>0</v>
      </c>
      <c r="S133" s="6">
        <f t="shared" si="47"/>
        <v>92.53367502847297</v>
      </c>
      <c r="T133" s="6" t="str">
        <f>IF(MOD(C133-Settings!$B$32,Settings!$B$33)&lt;Settings!$B$30,"Up","Down")</f>
        <v>Up</v>
      </c>
      <c r="U133" s="6">
        <f>IF(OR(I133&gt;Settings!$B$30,O133&gt;Settings!$B$37),0,1)</f>
        <v>1</v>
      </c>
      <c r="V133" s="6">
        <f>IF(AND(U133=1,O133&lt;=Settings!$B$36),1,0)</f>
        <v>1</v>
      </c>
    </row>
    <row r="134" spans="1:22" x14ac:dyDescent="0.2">
      <c r="A134">
        <f>Arrivals!A134</f>
        <v>2</v>
      </c>
      <c r="B134">
        <f>Arrivals!B134</f>
        <v>9</v>
      </c>
      <c r="C134" s="6">
        <f>Arrivals!F134</f>
        <v>172</v>
      </c>
      <c r="D134" s="6">
        <f>Arrivals!J134</f>
        <v>5.116469591135516</v>
      </c>
      <c r="E134" s="6">
        <f t="shared" si="48"/>
        <v>162.48932187574172</v>
      </c>
      <c r="F134" s="6">
        <f t="shared" si="39"/>
        <v>172</v>
      </c>
      <c r="G134" s="6">
        <f t="shared" si="40"/>
        <v>177.11646959113551</v>
      </c>
      <c r="H134" s="6">
        <f>Arrivals!L134</f>
        <v>75</v>
      </c>
      <c r="I134" s="6">
        <f>H134*8/ACE_Input!S14+ACE_Input!T14</f>
        <v>6.02</v>
      </c>
      <c r="J134" s="6">
        <f t="shared" si="49"/>
        <v>168.50932187574173</v>
      </c>
      <c r="K134" s="6">
        <f t="shared" si="41"/>
        <v>177.11646959113551</v>
      </c>
      <c r="L134" s="6">
        <f>MOD(K134-Settings!$B$32,Settings!$B$33)</f>
        <v>177.11646959113551</v>
      </c>
      <c r="M134" s="6">
        <f>IF(L134&lt;Settings!$B$30,IF(Settings!$B$30-L134&gt;=I134,K134,K134+(Settings!$B$30-L134)+Settings!$B$31),K134+(Settings!$B$33-L134))</f>
        <v>177.11646959113551</v>
      </c>
      <c r="N134" s="6">
        <f t="shared" si="42"/>
        <v>183.13646959113552</v>
      </c>
      <c r="O134" s="6">
        <f t="shared" si="43"/>
        <v>11.136469591135523</v>
      </c>
      <c r="P134" s="6">
        <f t="shared" si="44"/>
        <v>0</v>
      </c>
      <c r="Q134" s="6">
        <f t="shared" si="45"/>
        <v>0</v>
      </c>
      <c r="R134" s="6">
        <f t="shared" si="46"/>
        <v>0</v>
      </c>
      <c r="S134" s="6">
        <f t="shared" si="47"/>
        <v>0</v>
      </c>
      <c r="T134" s="6" t="str">
        <f>IF(MOD(C134-Settings!$B$32,Settings!$B$33)&lt;Settings!$B$30,"Up","Down")</f>
        <v>Up</v>
      </c>
      <c r="U134" s="6">
        <f>IF(OR(I134&gt;Settings!$B$30,O134&gt;Settings!$B$37),0,1)</f>
        <v>1</v>
      </c>
      <c r="V134" s="6">
        <f>IF(AND(U134=1,O134&lt;=Settings!$B$36),1,0)</f>
        <v>1</v>
      </c>
    </row>
    <row r="135" spans="1:22" x14ac:dyDescent="0.2">
      <c r="A135">
        <f>Arrivals!A135</f>
        <v>2</v>
      </c>
      <c r="B135">
        <f>Arrivals!B135</f>
        <v>10</v>
      </c>
      <c r="C135" s="6">
        <f>Arrivals!F135</f>
        <v>177</v>
      </c>
      <c r="D135" s="6">
        <f>Arrivals!J135</f>
        <v>2.1123677533108274</v>
      </c>
      <c r="E135" s="6">
        <f t="shared" si="48"/>
        <v>177.11646959113551</v>
      </c>
      <c r="F135" s="6">
        <f t="shared" si="39"/>
        <v>177.11646959113551</v>
      </c>
      <c r="G135" s="6">
        <f t="shared" si="40"/>
        <v>179.22883734444633</v>
      </c>
      <c r="H135" s="6">
        <f>Arrivals!L135</f>
        <v>75</v>
      </c>
      <c r="I135" s="6">
        <f>H135*8/ACE_Input!S15+ACE_Input!T15</f>
        <v>6.02</v>
      </c>
      <c r="J135" s="6">
        <f t="shared" si="49"/>
        <v>183.13646959113552</v>
      </c>
      <c r="K135" s="6">
        <f t="shared" si="41"/>
        <v>183.13646959113552</v>
      </c>
      <c r="L135" s="6">
        <f>MOD(K135-Settings!$B$32,Settings!$B$33)</f>
        <v>183.13646959113552</v>
      </c>
      <c r="M135" s="6">
        <f>IF(L135&lt;Settings!$B$30,IF(Settings!$B$30-L135&gt;=I135,K135,K135+(Settings!$B$30-L135)+Settings!$B$31),K135+(Settings!$B$33-L135))</f>
        <v>183.13646959113552</v>
      </c>
      <c r="N135" s="6">
        <f t="shared" si="42"/>
        <v>189.15646959113553</v>
      </c>
      <c r="O135" s="6">
        <f t="shared" si="43"/>
        <v>12.156469591135533</v>
      </c>
      <c r="P135" s="6">
        <f t="shared" si="44"/>
        <v>0.11646959113551247</v>
      </c>
      <c r="Q135" s="6">
        <f t="shared" si="45"/>
        <v>3.9076322466891895</v>
      </c>
      <c r="R135" s="6">
        <f t="shared" si="46"/>
        <v>0</v>
      </c>
      <c r="S135" s="6">
        <f t="shared" si="47"/>
        <v>4.024101837824702</v>
      </c>
      <c r="T135" s="6" t="str">
        <f>IF(MOD(C135-Settings!$B$32,Settings!$B$33)&lt;Settings!$B$30,"Up","Down")</f>
        <v>Up</v>
      </c>
      <c r="U135" s="6">
        <f>IF(OR(I135&gt;Settings!$B$30,O135&gt;Settings!$B$37),0,1)</f>
        <v>1</v>
      </c>
      <c r="V135" s="6">
        <f>IF(AND(U135=1,O135&lt;=Settings!$B$36),1,0)</f>
        <v>1</v>
      </c>
    </row>
    <row r="136" spans="1:22" x14ac:dyDescent="0.2">
      <c r="A136">
        <f>Arrivals!A136</f>
        <v>2</v>
      </c>
      <c r="B136">
        <f>Arrivals!B136</f>
        <v>11</v>
      </c>
      <c r="C136" s="6">
        <f>Arrivals!F136</f>
        <v>182</v>
      </c>
      <c r="D136" s="6">
        <f>Arrivals!J136</f>
        <v>18.14194780998633</v>
      </c>
      <c r="E136" s="6">
        <f t="shared" si="48"/>
        <v>179.22883734444633</v>
      </c>
      <c r="F136" s="6">
        <f t="shared" si="39"/>
        <v>182</v>
      </c>
      <c r="G136" s="6">
        <f t="shared" si="40"/>
        <v>200.14194780998633</v>
      </c>
      <c r="H136" s="6">
        <f>Arrivals!L136</f>
        <v>75</v>
      </c>
      <c r="I136" s="6">
        <f>H136*8/ACE_Input!S16+ACE_Input!T16</f>
        <v>6.02</v>
      </c>
      <c r="J136" s="6">
        <f t="shared" si="49"/>
        <v>189.15646959113553</v>
      </c>
      <c r="K136" s="6">
        <f t="shared" si="41"/>
        <v>200.14194780998633</v>
      </c>
      <c r="L136" s="6">
        <f>MOD(K136-Settings!$B$32,Settings!$B$33)</f>
        <v>200.14194780998633</v>
      </c>
      <c r="M136" s="6">
        <f>IF(L136&lt;Settings!$B$30,IF(Settings!$B$30-L136&gt;=I136,K136,K136+(Settings!$B$30-L136)+Settings!$B$31),K136+(Settings!$B$33-L136))</f>
        <v>200.14194780998633</v>
      </c>
      <c r="N136" s="6">
        <f t="shared" si="42"/>
        <v>206.16194780998634</v>
      </c>
      <c r="O136" s="6">
        <f t="shared" si="43"/>
        <v>24.161947809986344</v>
      </c>
      <c r="P136" s="6">
        <f t="shared" si="44"/>
        <v>0</v>
      </c>
      <c r="Q136" s="6">
        <f t="shared" si="45"/>
        <v>0</v>
      </c>
      <c r="R136" s="6">
        <f t="shared" si="46"/>
        <v>0</v>
      </c>
      <c r="S136" s="6">
        <f t="shared" si="47"/>
        <v>0</v>
      </c>
      <c r="T136" s="6" t="str">
        <f>IF(MOD(C136-Settings!$B$32,Settings!$B$33)&lt;Settings!$B$30,"Up","Down")</f>
        <v>Up</v>
      </c>
      <c r="U136" s="6">
        <f>IF(OR(I136&gt;Settings!$B$30,O136&gt;Settings!$B$37),0,1)</f>
        <v>1</v>
      </c>
      <c r="V136" s="6">
        <f>IF(AND(U136=1,O136&lt;=Settings!$B$36),1,0)</f>
        <v>1</v>
      </c>
    </row>
    <row r="137" spans="1:22" x14ac:dyDescent="0.2">
      <c r="A137">
        <f>Arrivals!A137</f>
        <v>2</v>
      </c>
      <c r="B137">
        <f>Arrivals!B137</f>
        <v>12</v>
      </c>
      <c r="C137" s="6">
        <f>Arrivals!F137</f>
        <v>187</v>
      </c>
      <c r="D137" s="6">
        <f>Arrivals!J137</f>
        <v>36.071515314422271</v>
      </c>
      <c r="E137" s="6">
        <f t="shared" si="48"/>
        <v>200.14194780998633</v>
      </c>
      <c r="F137" s="6">
        <f t="shared" si="39"/>
        <v>200.14194780998633</v>
      </c>
      <c r="G137" s="6">
        <f t="shared" si="40"/>
        <v>236.21346312440861</v>
      </c>
      <c r="H137" s="6">
        <f>Arrivals!L137</f>
        <v>75</v>
      </c>
      <c r="I137" s="6">
        <f>H137*8/ACE_Input!S17+ACE_Input!T17</f>
        <v>6.02</v>
      </c>
      <c r="J137" s="6">
        <f t="shared" si="49"/>
        <v>206.16194780998634</v>
      </c>
      <c r="K137" s="6">
        <f t="shared" si="41"/>
        <v>236.21346312440861</v>
      </c>
      <c r="L137" s="6">
        <f>MOD(K137-Settings!$B$32,Settings!$B$33)</f>
        <v>236.21346312440861</v>
      </c>
      <c r="M137" s="6">
        <f>IF(L137&lt;Settings!$B$30,IF(Settings!$B$30-L137&gt;=I137,K137,K137+(Settings!$B$30-L137)+Settings!$B$31),K137+(Settings!$B$33-L137))</f>
        <v>236.21346312440861</v>
      </c>
      <c r="N137" s="6">
        <f t="shared" si="42"/>
        <v>242.23346312440862</v>
      </c>
      <c r="O137" s="6">
        <f t="shared" si="43"/>
        <v>55.233463124408615</v>
      </c>
      <c r="P137" s="6">
        <f t="shared" si="44"/>
        <v>13.141947809986334</v>
      </c>
      <c r="Q137" s="6">
        <f t="shared" si="45"/>
        <v>0</v>
      </c>
      <c r="R137" s="6">
        <f t="shared" si="46"/>
        <v>0</v>
      </c>
      <c r="S137" s="6">
        <f t="shared" si="47"/>
        <v>13.141947809986334</v>
      </c>
      <c r="T137" s="6" t="str">
        <f>IF(MOD(C137-Settings!$B$32,Settings!$B$33)&lt;Settings!$B$30,"Up","Down")</f>
        <v>Up</v>
      </c>
      <c r="U137" s="6">
        <f>IF(OR(I137&gt;Settings!$B$30,O137&gt;Settings!$B$37),0,1)</f>
        <v>1</v>
      </c>
      <c r="V137" s="6">
        <f>IF(AND(U137=1,O137&lt;=Settings!$B$36),1,0)</f>
        <v>1</v>
      </c>
    </row>
    <row r="138" spans="1:22" x14ac:dyDescent="0.2">
      <c r="A138">
        <f>Arrivals!A138</f>
        <v>2</v>
      </c>
      <c r="B138">
        <f>Arrivals!B138</f>
        <v>13</v>
      </c>
      <c r="C138" s="6">
        <f>Arrivals!F138</f>
        <v>192</v>
      </c>
      <c r="D138" s="6">
        <f>Arrivals!J138</f>
        <v>2.6888518569239679</v>
      </c>
      <c r="E138" s="6">
        <f t="shared" si="48"/>
        <v>236.21346312440861</v>
      </c>
      <c r="F138" s="6">
        <f t="shared" si="39"/>
        <v>236.21346312440861</v>
      </c>
      <c r="G138" s="6">
        <f t="shared" si="40"/>
        <v>238.90231498133258</v>
      </c>
      <c r="H138" s="6">
        <f>Arrivals!L138</f>
        <v>75</v>
      </c>
      <c r="I138" s="6">
        <f>H138*8/ACE_Input!S18+ACE_Input!T18</f>
        <v>6.02</v>
      </c>
      <c r="J138" s="6">
        <f t="shared" si="49"/>
        <v>242.23346312440862</v>
      </c>
      <c r="K138" s="6">
        <f t="shared" si="41"/>
        <v>242.23346312440862</v>
      </c>
      <c r="L138" s="6">
        <f>MOD(K138-Settings!$B$32,Settings!$B$33)</f>
        <v>242.23346312440862</v>
      </c>
      <c r="M138" s="6">
        <f>IF(L138&lt;Settings!$B$30,IF(Settings!$B$30-L138&gt;=I138,K138,K138+(Settings!$B$30-L138)+Settings!$B$31),K138+(Settings!$B$33-L138))</f>
        <v>242.23346312440862</v>
      </c>
      <c r="N138" s="6">
        <f t="shared" si="42"/>
        <v>248.25346312440863</v>
      </c>
      <c r="O138" s="6">
        <f t="shared" si="43"/>
        <v>56.253463124408626</v>
      </c>
      <c r="P138" s="6">
        <f t="shared" si="44"/>
        <v>44.213463124408605</v>
      </c>
      <c r="Q138" s="6">
        <f t="shared" si="45"/>
        <v>3.3311481430760352</v>
      </c>
      <c r="R138" s="6">
        <f t="shared" si="46"/>
        <v>0</v>
      </c>
      <c r="S138" s="6">
        <f t="shared" si="47"/>
        <v>47.54461126748464</v>
      </c>
      <c r="T138" s="6" t="str">
        <f>IF(MOD(C138-Settings!$B$32,Settings!$B$33)&lt;Settings!$B$30,"Up","Down")</f>
        <v>Up</v>
      </c>
      <c r="U138" s="6">
        <f>IF(OR(I138&gt;Settings!$B$30,O138&gt;Settings!$B$37),0,1)</f>
        <v>1</v>
      </c>
      <c r="V138" s="6">
        <f>IF(AND(U138=1,O138&lt;=Settings!$B$36),1,0)</f>
        <v>1</v>
      </c>
    </row>
    <row r="139" spans="1:22" x14ac:dyDescent="0.2">
      <c r="A139">
        <f>Arrivals!A139</f>
        <v>2</v>
      </c>
      <c r="B139">
        <f>Arrivals!B139</f>
        <v>14</v>
      </c>
      <c r="C139" s="6">
        <f>Arrivals!F139</f>
        <v>197</v>
      </c>
      <c r="D139" s="6">
        <f>Arrivals!J139</f>
        <v>23.955594182032911</v>
      </c>
      <c r="E139" s="6">
        <f t="shared" si="48"/>
        <v>238.90231498133258</v>
      </c>
      <c r="F139" s="6">
        <f t="shared" si="39"/>
        <v>238.90231498133258</v>
      </c>
      <c r="G139" s="6">
        <f t="shared" si="40"/>
        <v>262.85790916336549</v>
      </c>
      <c r="H139" s="6">
        <f>Arrivals!L139</f>
        <v>75</v>
      </c>
      <c r="I139" s="6">
        <f>H139*8/ACE_Input!S19+ACE_Input!T19</f>
        <v>6.02</v>
      </c>
      <c r="J139" s="6">
        <f t="shared" si="49"/>
        <v>248.25346312440863</v>
      </c>
      <c r="K139" s="6">
        <f t="shared" si="41"/>
        <v>262.85790916336549</v>
      </c>
      <c r="L139" s="6">
        <f>MOD(K139-Settings!$B$32,Settings!$B$33)</f>
        <v>262.85790916336549</v>
      </c>
      <c r="M139" s="6">
        <f>IF(L139&lt;Settings!$B$30,IF(Settings!$B$30-L139&gt;=I139,K139,K139+(Settings!$B$30-L139)+Settings!$B$31),K139+(Settings!$B$33-L139))</f>
        <v>262.85790916336549</v>
      </c>
      <c r="N139" s="6">
        <f t="shared" si="42"/>
        <v>268.87790916336547</v>
      </c>
      <c r="O139" s="6">
        <f t="shared" si="43"/>
        <v>71.877909163365473</v>
      </c>
      <c r="P139" s="6">
        <f t="shared" si="44"/>
        <v>41.90231498133258</v>
      </c>
      <c r="Q139" s="6">
        <f t="shared" si="45"/>
        <v>0</v>
      </c>
      <c r="R139" s="6">
        <f t="shared" si="46"/>
        <v>0</v>
      </c>
      <c r="S139" s="6">
        <f t="shared" si="47"/>
        <v>41.90231498133258</v>
      </c>
      <c r="T139" s="6" t="str">
        <f>IF(MOD(C139-Settings!$B$32,Settings!$B$33)&lt;Settings!$B$30,"Up","Down")</f>
        <v>Up</v>
      </c>
      <c r="U139" s="6">
        <f>IF(OR(I139&gt;Settings!$B$30,O139&gt;Settings!$B$37),0,1)</f>
        <v>1</v>
      </c>
      <c r="V139" s="6">
        <f>IF(AND(U139=1,O139&lt;=Settings!$B$36),1,0)</f>
        <v>1</v>
      </c>
    </row>
    <row r="140" spans="1:22" x14ac:dyDescent="0.2">
      <c r="A140">
        <f>Arrivals!A140</f>
        <v>2</v>
      </c>
      <c r="B140">
        <f>Arrivals!B140</f>
        <v>15</v>
      </c>
      <c r="C140" s="6">
        <f>Arrivals!F140</f>
        <v>202</v>
      </c>
      <c r="D140" s="6">
        <f>Arrivals!J140</f>
        <v>52.349189333461467</v>
      </c>
      <c r="E140" s="6">
        <f t="shared" si="48"/>
        <v>262.85790916336549</v>
      </c>
      <c r="F140" s="6">
        <f t="shared" si="39"/>
        <v>262.85790916336549</v>
      </c>
      <c r="G140" s="6">
        <f t="shared" si="40"/>
        <v>315.20709849682697</v>
      </c>
      <c r="H140" s="6">
        <f>Arrivals!L140</f>
        <v>75</v>
      </c>
      <c r="I140" s="6">
        <f>H140*8/ACE_Input!S20+ACE_Input!T20</f>
        <v>6.02</v>
      </c>
      <c r="J140" s="6">
        <f t="shared" si="49"/>
        <v>268.87790916336547</v>
      </c>
      <c r="K140" s="6">
        <f t="shared" si="41"/>
        <v>315.20709849682697</v>
      </c>
      <c r="L140" s="6">
        <f>MOD(K140-Settings!$B$32,Settings!$B$33)</f>
        <v>315.20709849682697</v>
      </c>
      <c r="M140" s="6">
        <f>IF(L140&lt;Settings!$B$30,IF(Settings!$B$30-L140&gt;=I140,K140,K140+(Settings!$B$30-L140)+Settings!$B$31),K140+(Settings!$B$33-L140))</f>
        <v>315.20709849682697</v>
      </c>
      <c r="N140" s="6">
        <f t="shared" si="42"/>
        <v>321.22709849682695</v>
      </c>
      <c r="O140" s="6">
        <f t="shared" si="43"/>
        <v>119.22709849682695</v>
      </c>
      <c r="P140" s="6">
        <f t="shared" si="44"/>
        <v>60.857909163365491</v>
      </c>
      <c r="Q140" s="6">
        <f t="shared" si="45"/>
        <v>0</v>
      </c>
      <c r="R140" s="6">
        <f t="shared" si="46"/>
        <v>0</v>
      </c>
      <c r="S140" s="6">
        <f t="shared" si="47"/>
        <v>60.857909163365491</v>
      </c>
      <c r="T140" s="6" t="str">
        <f>IF(MOD(C140-Settings!$B$32,Settings!$B$33)&lt;Settings!$B$30,"Up","Down")</f>
        <v>Up</v>
      </c>
      <c r="U140" s="6">
        <f>IF(OR(I140&gt;Settings!$B$30,O140&gt;Settings!$B$37),0,1)</f>
        <v>1</v>
      </c>
      <c r="V140" s="6">
        <f>IF(AND(U140=1,O140&lt;=Settings!$B$36),1,0)</f>
        <v>1</v>
      </c>
    </row>
    <row r="141" spans="1:22" x14ac:dyDescent="0.2">
      <c r="A141">
        <f>Arrivals!A141</f>
        <v>2</v>
      </c>
      <c r="B141">
        <f>Arrivals!B141</f>
        <v>16</v>
      </c>
      <c r="C141" s="6">
        <f>Arrivals!F141</f>
        <v>207</v>
      </c>
      <c r="D141" s="6">
        <f>Arrivals!J141</f>
        <v>16.898120693157807</v>
      </c>
      <c r="E141" s="6">
        <f t="shared" si="48"/>
        <v>315.20709849682697</v>
      </c>
      <c r="F141" s="6">
        <f t="shared" si="39"/>
        <v>315.20709849682697</v>
      </c>
      <c r="G141" s="6">
        <f t="shared" si="40"/>
        <v>332.10521918998478</v>
      </c>
      <c r="H141" s="6">
        <f>Arrivals!L141</f>
        <v>75</v>
      </c>
      <c r="I141" s="6">
        <f>H141*8/ACE_Input!S21+ACE_Input!T21</f>
        <v>6.02</v>
      </c>
      <c r="J141" s="6">
        <f t="shared" si="49"/>
        <v>321.22709849682695</v>
      </c>
      <c r="K141" s="6">
        <f t="shared" si="41"/>
        <v>332.10521918998478</v>
      </c>
      <c r="L141" s="6">
        <f>MOD(K141-Settings!$B$32,Settings!$B$33)</f>
        <v>332.10521918998478</v>
      </c>
      <c r="M141" s="6">
        <f>IF(L141&lt;Settings!$B$30,IF(Settings!$B$30-L141&gt;=I141,K141,K141+(Settings!$B$30-L141)+Settings!$B$31),K141+(Settings!$B$33-L141))</f>
        <v>332.10521918998478</v>
      </c>
      <c r="N141" s="6">
        <f t="shared" si="42"/>
        <v>338.12521918998476</v>
      </c>
      <c r="O141" s="6">
        <f t="shared" si="43"/>
        <v>131.12521918998476</v>
      </c>
      <c r="P141" s="6">
        <f t="shared" si="44"/>
        <v>108.20709849682697</v>
      </c>
      <c r="Q141" s="6">
        <f t="shared" si="45"/>
        <v>0</v>
      </c>
      <c r="R141" s="6">
        <f t="shared" si="46"/>
        <v>0</v>
      </c>
      <c r="S141" s="6">
        <f t="shared" si="47"/>
        <v>108.20709849682697</v>
      </c>
      <c r="T141" s="6" t="str">
        <f>IF(MOD(C141-Settings!$B$32,Settings!$B$33)&lt;Settings!$B$30,"Up","Down")</f>
        <v>Up</v>
      </c>
      <c r="U141" s="6">
        <f>IF(OR(I141&gt;Settings!$B$30,O141&gt;Settings!$B$37),0,1)</f>
        <v>1</v>
      </c>
      <c r="V141" s="6">
        <f>IF(AND(U141=1,O141&lt;=Settings!$B$36),1,0)</f>
        <v>0</v>
      </c>
    </row>
    <row r="142" spans="1:22" x14ac:dyDescent="0.2">
      <c r="A142">
        <f>Arrivals!A142</f>
        <v>2</v>
      </c>
      <c r="B142">
        <f>Arrivals!B142</f>
        <v>17</v>
      </c>
      <c r="C142" s="6">
        <f>Arrivals!F142</f>
        <v>212</v>
      </c>
      <c r="D142" s="6">
        <f>Arrivals!J142</f>
        <v>2.6109992449583066</v>
      </c>
      <c r="E142" s="6">
        <f t="shared" si="48"/>
        <v>332.10521918998478</v>
      </c>
      <c r="F142" s="6">
        <f t="shared" si="39"/>
        <v>332.10521918998478</v>
      </c>
      <c r="G142" s="6">
        <f t="shared" si="40"/>
        <v>334.71621843494307</v>
      </c>
      <c r="H142" s="6">
        <f>Arrivals!L142</f>
        <v>75</v>
      </c>
      <c r="I142" s="6">
        <f>H142*8/ACE_Input!S22+ACE_Input!T22</f>
        <v>6.02</v>
      </c>
      <c r="J142" s="6">
        <f t="shared" si="49"/>
        <v>338.12521918998476</v>
      </c>
      <c r="K142" s="6">
        <f t="shared" si="41"/>
        <v>338.12521918998476</v>
      </c>
      <c r="L142" s="6">
        <f>MOD(K142-Settings!$B$32,Settings!$B$33)</f>
        <v>338.12521918998476</v>
      </c>
      <c r="M142" s="6">
        <f>IF(L142&lt;Settings!$B$30,IF(Settings!$B$30-L142&gt;=I142,K142,K142+(Settings!$B$30-L142)+Settings!$B$31),K142+(Settings!$B$33-L142))</f>
        <v>338.12521918998476</v>
      </c>
      <c r="N142" s="6">
        <f t="shared" si="42"/>
        <v>344.14521918998474</v>
      </c>
      <c r="O142" s="6">
        <f t="shared" si="43"/>
        <v>132.14521918998474</v>
      </c>
      <c r="P142" s="6">
        <f t="shared" si="44"/>
        <v>120.10521918998478</v>
      </c>
      <c r="Q142" s="6">
        <f t="shared" si="45"/>
        <v>3.4090007550416885</v>
      </c>
      <c r="R142" s="6">
        <f t="shared" si="46"/>
        <v>0</v>
      </c>
      <c r="S142" s="6">
        <f t="shared" si="47"/>
        <v>123.51421994502647</v>
      </c>
      <c r="T142" s="6" t="str">
        <f>IF(MOD(C142-Settings!$B$32,Settings!$B$33)&lt;Settings!$B$30,"Up","Down")</f>
        <v>Up</v>
      </c>
      <c r="U142" s="6">
        <f>IF(OR(I142&gt;Settings!$B$30,O142&gt;Settings!$B$37),0,1)</f>
        <v>1</v>
      </c>
      <c r="V142" s="6">
        <f>IF(AND(U142=1,O142&lt;=Settings!$B$36),1,0)</f>
        <v>0</v>
      </c>
    </row>
    <row r="143" spans="1:22" x14ac:dyDescent="0.2">
      <c r="A143">
        <f>Arrivals!A143</f>
        <v>2</v>
      </c>
      <c r="B143">
        <f>Arrivals!B143</f>
        <v>18</v>
      </c>
      <c r="C143" s="6">
        <f>Arrivals!F143</f>
        <v>217</v>
      </c>
      <c r="D143" s="6">
        <f>Arrivals!J143</f>
        <v>6.7549971901708235</v>
      </c>
      <c r="E143" s="6">
        <f t="shared" si="48"/>
        <v>334.71621843494307</v>
      </c>
      <c r="F143" s="6">
        <f t="shared" si="39"/>
        <v>334.71621843494307</v>
      </c>
      <c r="G143" s="6">
        <f t="shared" si="40"/>
        <v>341.47121562511387</v>
      </c>
      <c r="H143" s="6">
        <f>Arrivals!L143</f>
        <v>75</v>
      </c>
      <c r="I143" s="6">
        <f>H143*8/ACE_Input!S23+ACE_Input!T23</f>
        <v>6.02</v>
      </c>
      <c r="J143" s="6">
        <f t="shared" si="49"/>
        <v>344.14521918998474</v>
      </c>
      <c r="K143" s="6">
        <f t="shared" si="41"/>
        <v>344.14521918998474</v>
      </c>
      <c r="L143" s="6">
        <f>MOD(K143-Settings!$B$32,Settings!$B$33)</f>
        <v>344.14521918998474</v>
      </c>
      <c r="M143" s="6">
        <f>IF(L143&lt;Settings!$B$30,IF(Settings!$B$30-L143&gt;=I143,K143,K143+(Settings!$B$30-L143)+Settings!$B$31),K143+(Settings!$B$33-L143))</f>
        <v>344.14521918998474</v>
      </c>
      <c r="N143" s="6">
        <f t="shared" si="42"/>
        <v>350.16521918998473</v>
      </c>
      <c r="O143" s="6">
        <f t="shared" si="43"/>
        <v>133.16521918998473</v>
      </c>
      <c r="P143" s="6">
        <f t="shared" si="44"/>
        <v>117.71621843494307</v>
      </c>
      <c r="Q143" s="6">
        <f t="shared" si="45"/>
        <v>2.6740035648708727</v>
      </c>
      <c r="R143" s="6">
        <f t="shared" si="46"/>
        <v>0</v>
      </c>
      <c r="S143" s="6">
        <f t="shared" si="47"/>
        <v>120.39022199981395</v>
      </c>
      <c r="T143" s="6" t="str">
        <f>IF(MOD(C143-Settings!$B$32,Settings!$B$33)&lt;Settings!$B$30,"Up","Down")</f>
        <v>Up</v>
      </c>
      <c r="U143" s="6">
        <f>IF(OR(I143&gt;Settings!$B$30,O143&gt;Settings!$B$37),0,1)</f>
        <v>1</v>
      </c>
      <c r="V143" s="6">
        <f>IF(AND(U143=1,O143&lt;=Settings!$B$36),1,0)</f>
        <v>0</v>
      </c>
    </row>
    <row r="144" spans="1:22" x14ac:dyDescent="0.2">
      <c r="A144">
        <f>Arrivals!A144</f>
        <v>2</v>
      </c>
      <c r="B144">
        <f>Arrivals!B144</f>
        <v>19</v>
      </c>
      <c r="C144" s="6">
        <f>Arrivals!F144</f>
        <v>222</v>
      </c>
      <c r="D144" s="6">
        <f>Arrivals!J144</f>
        <v>12.499997110176439</v>
      </c>
      <c r="E144" s="6">
        <f t="shared" si="48"/>
        <v>341.47121562511387</v>
      </c>
      <c r="F144" s="6">
        <f t="shared" si="39"/>
        <v>341.47121562511387</v>
      </c>
      <c r="G144" s="6">
        <f t="shared" si="40"/>
        <v>353.97121273529029</v>
      </c>
      <c r="H144" s="6">
        <f>Arrivals!L144</f>
        <v>75</v>
      </c>
      <c r="I144" s="6">
        <f>H144*8/ACE_Input!S24+ACE_Input!T24</f>
        <v>6.02</v>
      </c>
      <c r="J144" s="6">
        <f t="shared" si="49"/>
        <v>350.16521918998473</v>
      </c>
      <c r="K144" s="6">
        <f t="shared" si="41"/>
        <v>353.97121273529029</v>
      </c>
      <c r="L144" s="6">
        <f>MOD(K144-Settings!$B$32,Settings!$B$33)</f>
        <v>353.97121273529029</v>
      </c>
      <c r="M144" s="6">
        <f>IF(L144&lt;Settings!$B$30,IF(Settings!$B$30-L144&gt;=I144,K144,K144+(Settings!$B$30-L144)+Settings!$B$31),K144+(Settings!$B$33-L144))</f>
        <v>353.97121273529029</v>
      </c>
      <c r="N144" s="6">
        <f t="shared" si="42"/>
        <v>359.99121273529028</v>
      </c>
      <c r="O144" s="6">
        <f t="shared" si="43"/>
        <v>137.99121273529028</v>
      </c>
      <c r="P144" s="6">
        <f t="shared" si="44"/>
        <v>119.47121562511387</v>
      </c>
      <c r="Q144" s="6">
        <f t="shared" si="45"/>
        <v>0</v>
      </c>
      <c r="R144" s="6">
        <f t="shared" si="46"/>
        <v>0</v>
      </c>
      <c r="S144" s="6">
        <f t="shared" si="47"/>
        <v>119.47121562511387</v>
      </c>
      <c r="T144" s="6" t="str">
        <f>IF(MOD(C144-Settings!$B$32,Settings!$B$33)&lt;Settings!$B$30,"Up","Down")</f>
        <v>Up</v>
      </c>
      <c r="U144" s="6">
        <f>IF(OR(I144&gt;Settings!$B$30,O144&gt;Settings!$B$37),0,1)</f>
        <v>1</v>
      </c>
      <c r="V144" s="6">
        <f>IF(AND(U144=1,O144&lt;=Settings!$B$36),1,0)</f>
        <v>0</v>
      </c>
    </row>
    <row r="145" spans="1:22" x14ac:dyDescent="0.2">
      <c r="A145">
        <f>Arrivals!A145</f>
        <v>2</v>
      </c>
      <c r="B145">
        <f>Arrivals!B145</f>
        <v>20</v>
      </c>
      <c r="C145" s="6">
        <f>Arrivals!F145</f>
        <v>227</v>
      </c>
      <c r="D145" s="6">
        <f>Arrivals!J145</f>
        <v>5.7043573564873524</v>
      </c>
      <c r="E145" s="6">
        <f t="shared" si="48"/>
        <v>353.97121273529029</v>
      </c>
      <c r="F145" s="6">
        <f t="shared" si="39"/>
        <v>353.97121273529029</v>
      </c>
      <c r="G145" s="6">
        <f t="shared" si="40"/>
        <v>359.67557009177767</v>
      </c>
      <c r="H145" s="6">
        <f>Arrivals!L145</f>
        <v>75</v>
      </c>
      <c r="I145" s="6">
        <f>H145*8/ACE_Input!S25+ACE_Input!T25</f>
        <v>6.02</v>
      </c>
      <c r="J145" s="6">
        <f t="shared" si="49"/>
        <v>359.99121273529028</v>
      </c>
      <c r="K145" s="6">
        <f t="shared" si="41"/>
        <v>359.99121273529028</v>
      </c>
      <c r="L145" s="6">
        <f>MOD(K145-Settings!$B$32,Settings!$B$33)</f>
        <v>359.99121273529028</v>
      </c>
      <c r="M145" s="6">
        <f>IF(L145&lt;Settings!$B$30,IF(Settings!$B$30-L145&gt;=I145,K145,K145+(Settings!$B$30-L145)+Settings!$B$31),K145+(Settings!$B$33-L145))</f>
        <v>359.99121273529028</v>
      </c>
      <c r="N145" s="6">
        <f t="shared" si="42"/>
        <v>366.01121273529026</v>
      </c>
      <c r="O145" s="6">
        <f t="shared" si="43"/>
        <v>139.01121273529026</v>
      </c>
      <c r="P145" s="6">
        <f t="shared" si="44"/>
        <v>126.97121273529029</v>
      </c>
      <c r="Q145" s="6">
        <f t="shared" si="45"/>
        <v>0.31564264351260363</v>
      </c>
      <c r="R145" s="6">
        <f t="shared" si="46"/>
        <v>0</v>
      </c>
      <c r="S145" s="6">
        <f t="shared" si="47"/>
        <v>127.2868553788029</v>
      </c>
      <c r="T145" s="6" t="str">
        <f>IF(MOD(C145-Settings!$B$32,Settings!$B$33)&lt;Settings!$B$30,"Up","Down")</f>
        <v>Up</v>
      </c>
      <c r="U145" s="6">
        <f>IF(OR(I145&gt;Settings!$B$30,O145&gt;Settings!$B$37),0,1)</f>
        <v>1</v>
      </c>
      <c r="V145" s="6">
        <f>IF(AND(U145=1,O145&lt;=Settings!$B$36),1,0)</f>
        <v>0</v>
      </c>
    </row>
    <row r="146" spans="1:22" x14ac:dyDescent="0.2">
      <c r="A146">
        <f>Arrivals!A146</f>
        <v>2</v>
      </c>
      <c r="B146">
        <f>Arrivals!B146</f>
        <v>21</v>
      </c>
      <c r="C146" s="6">
        <f>Arrivals!F146</f>
        <v>232</v>
      </c>
      <c r="D146" s="6">
        <f>Arrivals!J146</f>
        <v>17.763703837488855</v>
      </c>
      <c r="E146" s="6">
        <f t="shared" si="48"/>
        <v>359.67557009177767</v>
      </c>
      <c r="F146" s="6">
        <f t="shared" si="39"/>
        <v>359.67557009177767</v>
      </c>
      <c r="G146" s="6">
        <f t="shared" si="40"/>
        <v>377.43927392926651</v>
      </c>
      <c r="H146" s="6">
        <f>Arrivals!L146</f>
        <v>75</v>
      </c>
      <c r="I146" s="6">
        <f>H146*8/ACE_Input!S26+ACE_Input!T26</f>
        <v>6.02</v>
      </c>
      <c r="J146" s="6">
        <f t="shared" si="49"/>
        <v>366.01121273529026</v>
      </c>
      <c r="K146" s="6">
        <f t="shared" si="41"/>
        <v>377.43927392926651</v>
      </c>
      <c r="L146" s="6">
        <f>MOD(K146-Settings!$B$32,Settings!$B$33)</f>
        <v>377.43927392926651</v>
      </c>
      <c r="M146" s="6">
        <f>IF(L146&lt;Settings!$B$30,IF(Settings!$B$30-L146&gt;=I146,K146,K146+(Settings!$B$30-L146)+Settings!$B$31),K146+(Settings!$B$33-L146))</f>
        <v>377.43927392926651</v>
      </c>
      <c r="N146" s="6">
        <f t="shared" si="42"/>
        <v>383.45927392926649</v>
      </c>
      <c r="O146" s="6">
        <f t="shared" si="43"/>
        <v>151.45927392926649</v>
      </c>
      <c r="P146" s="6">
        <f t="shared" si="44"/>
        <v>127.67557009177767</v>
      </c>
      <c r="Q146" s="6">
        <f t="shared" si="45"/>
        <v>0</v>
      </c>
      <c r="R146" s="6">
        <f t="shared" si="46"/>
        <v>0</v>
      </c>
      <c r="S146" s="6">
        <f t="shared" si="47"/>
        <v>127.67557009177767</v>
      </c>
      <c r="T146" s="6" t="str">
        <f>IF(MOD(C146-Settings!$B$32,Settings!$B$33)&lt;Settings!$B$30,"Up","Down")</f>
        <v>Up</v>
      </c>
      <c r="U146" s="6">
        <f>IF(OR(I146&gt;Settings!$B$30,O146&gt;Settings!$B$37),0,1)</f>
        <v>1</v>
      </c>
      <c r="V146" s="6">
        <f>IF(AND(U146=1,O146&lt;=Settings!$B$36),1,0)</f>
        <v>0</v>
      </c>
    </row>
    <row r="147" spans="1:22" x14ac:dyDescent="0.2">
      <c r="A147">
        <f>Arrivals!A147</f>
        <v>2</v>
      </c>
      <c r="B147">
        <f>Arrivals!B147</f>
        <v>22</v>
      </c>
      <c r="C147" s="6">
        <f>Arrivals!F147</f>
        <v>237</v>
      </c>
      <c r="D147" s="6">
        <f>Arrivals!J147</f>
        <v>3.8435730477072028</v>
      </c>
      <c r="E147" s="6">
        <f t="shared" si="48"/>
        <v>377.43927392926651</v>
      </c>
      <c r="F147" s="6">
        <f t="shared" si="39"/>
        <v>377.43927392926651</v>
      </c>
      <c r="G147" s="6">
        <f t="shared" si="40"/>
        <v>381.2828469769737</v>
      </c>
      <c r="H147" s="6">
        <f>Arrivals!L147</f>
        <v>75</v>
      </c>
      <c r="I147" s="6">
        <f>H147*8/ACE_Input!S27+ACE_Input!T27</f>
        <v>6.02</v>
      </c>
      <c r="J147" s="6">
        <f t="shared" si="49"/>
        <v>383.45927392926649</v>
      </c>
      <c r="K147" s="6">
        <f t="shared" si="41"/>
        <v>383.45927392926649</v>
      </c>
      <c r="L147" s="6">
        <f>MOD(K147-Settings!$B$32,Settings!$B$33)</f>
        <v>383.45927392926649</v>
      </c>
      <c r="M147" s="6">
        <f>IF(L147&lt;Settings!$B$30,IF(Settings!$B$30-L147&gt;=I147,K147,K147+(Settings!$B$30-L147)+Settings!$B$31),K147+(Settings!$B$33-L147))</f>
        <v>383.45927392926649</v>
      </c>
      <c r="N147" s="6">
        <f t="shared" si="42"/>
        <v>389.47927392926647</v>
      </c>
      <c r="O147" s="6">
        <f t="shared" si="43"/>
        <v>152.47927392926647</v>
      </c>
      <c r="P147" s="6">
        <f t="shared" si="44"/>
        <v>140.43927392926651</v>
      </c>
      <c r="Q147" s="6">
        <f t="shared" si="45"/>
        <v>2.1764269522927862</v>
      </c>
      <c r="R147" s="6">
        <f t="shared" si="46"/>
        <v>0</v>
      </c>
      <c r="S147" s="6">
        <f t="shared" si="47"/>
        <v>142.61570088155929</v>
      </c>
      <c r="T147" s="6" t="str">
        <f>IF(MOD(C147-Settings!$B$32,Settings!$B$33)&lt;Settings!$B$30,"Up","Down")</f>
        <v>Up</v>
      </c>
      <c r="U147" s="6">
        <f>IF(OR(I147&gt;Settings!$B$30,O147&gt;Settings!$B$37),0,1)</f>
        <v>1</v>
      </c>
      <c r="V147" s="6">
        <f>IF(AND(U147=1,O147&lt;=Settings!$B$36),1,0)</f>
        <v>0</v>
      </c>
    </row>
    <row r="148" spans="1:22" x14ac:dyDescent="0.2">
      <c r="A148">
        <f>Arrivals!A148</f>
        <v>2</v>
      </c>
      <c r="B148">
        <f>Arrivals!B148</f>
        <v>23</v>
      </c>
      <c r="C148" s="6">
        <f>Arrivals!F148</f>
        <v>242</v>
      </c>
      <c r="D148" s="6">
        <f>Arrivals!J148</f>
        <v>3.3962778733054297</v>
      </c>
      <c r="E148" s="6">
        <f t="shared" si="48"/>
        <v>381.2828469769737</v>
      </c>
      <c r="F148" s="6">
        <f t="shared" si="39"/>
        <v>381.2828469769737</v>
      </c>
      <c r="G148" s="6">
        <f t="shared" si="40"/>
        <v>384.67912485027915</v>
      </c>
      <c r="H148" s="6">
        <f>Arrivals!L148</f>
        <v>75</v>
      </c>
      <c r="I148" s="6">
        <f>H148*8/ACE_Input!S28+ACE_Input!T28</f>
        <v>6.02</v>
      </c>
      <c r="J148" s="6">
        <f t="shared" si="49"/>
        <v>389.47927392926647</v>
      </c>
      <c r="K148" s="6">
        <f t="shared" si="41"/>
        <v>389.47927392926647</v>
      </c>
      <c r="L148" s="6">
        <f>MOD(K148-Settings!$B$32,Settings!$B$33)</f>
        <v>389.47927392926647</v>
      </c>
      <c r="M148" s="6">
        <f>IF(L148&lt;Settings!$B$30,IF(Settings!$B$30-L148&gt;=I148,K148,K148+(Settings!$B$30-L148)+Settings!$B$31),K148+(Settings!$B$33-L148))</f>
        <v>389.47927392926647</v>
      </c>
      <c r="N148" s="6">
        <f t="shared" si="42"/>
        <v>395.49927392926645</v>
      </c>
      <c r="O148" s="6">
        <f t="shared" si="43"/>
        <v>153.49927392926645</v>
      </c>
      <c r="P148" s="6">
        <f t="shared" si="44"/>
        <v>139.2828469769737</v>
      </c>
      <c r="Q148" s="6">
        <f t="shared" si="45"/>
        <v>4.8001490789873174</v>
      </c>
      <c r="R148" s="6">
        <f t="shared" si="46"/>
        <v>0</v>
      </c>
      <c r="S148" s="6">
        <f t="shared" si="47"/>
        <v>144.08299605596102</v>
      </c>
      <c r="T148" s="6" t="str">
        <f>IF(MOD(C148-Settings!$B$32,Settings!$B$33)&lt;Settings!$B$30,"Up","Down")</f>
        <v>Up</v>
      </c>
      <c r="U148" s="6">
        <f>IF(OR(I148&gt;Settings!$B$30,O148&gt;Settings!$B$37),0,1)</f>
        <v>1</v>
      </c>
      <c r="V148" s="6">
        <f>IF(AND(U148=1,O148&lt;=Settings!$B$36),1,0)</f>
        <v>0</v>
      </c>
    </row>
    <row r="149" spans="1:22" x14ac:dyDescent="0.2">
      <c r="A149">
        <f>Arrivals!A149</f>
        <v>2</v>
      </c>
      <c r="B149">
        <f>Arrivals!B149</f>
        <v>24</v>
      </c>
      <c r="C149" s="6">
        <f>Arrivals!F149</f>
        <v>247</v>
      </c>
      <c r="D149" s="6">
        <f>Arrivals!J149</f>
        <v>26.07769010028461</v>
      </c>
      <c r="E149" s="6">
        <f t="shared" si="48"/>
        <v>384.67912485027915</v>
      </c>
      <c r="F149" s="6">
        <f t="shared" si="39"/>
        <v>384.67912485027915</v>
      </c>
      <c r="G149" s="6">
        <f t="shared" si="40"/>
        <v>410.75681495056375</v>
      </c>
      <c r="H149" s="6">
        <f>Arrivals!L149</f>
        <v>75</v>
      </c>
      <c r="I149" s="6">
        <f>H149*8/ACE_Input!S29+ACE_Input!T29</f>
        <v>6.02</v>
      </c>
      <c r="J149" s="6">
        <f t="shared" si="49"/>
        <v>395.49927392926645</v>
      </c>
      <c r="K149" s="6">
        <f t="shared" si="41"/>
        <v>410.75681495056375</v>
      </c>
      <c r="L149" s="6">
        <f>MOD(K149-Settings!$B$32,Settings!$B$33)</f>
        <v>410.75681495056375</v>
      </c>
      <c r="M149" s="6">
        <f>IF(L149&lt;Settings!$B$30,IF(Settings!$B$30-L149&gt;=I149,K149,K149+(Settings!$B$30-L149)+Settings!$B$31),K149+(Settings!$B$33-L149))</f>
        <v>410.75681495056375</v>
      </c>
      <c r="N149" s="6">
        <f t="shared" si="42"/>
        <v>416.77681495056373</v>
      </c>
      <c r="O149" s="6">
        <f t="shared" si="43"/>
        <v>169.77681495056373</v>
      </c>
      <c r="P149" s="6">
        <f t="shared" si="44"/>
        <v>137.67912485027915</v>
      </c>
      <c r="Q149" s="6">
        <f t="shared" si="45"/>
        <v>0</v>
      </c>
      <c r="R149" s="6">
        <f t="shared" si="46"/>
        <v>0</v>
      </c>
      <c r="S149" s="6">
        <f t="shared" si="47"/>
        <v>137.67912485027915</v>
      </c>
      <c r="T149" s="6" t="str">
        <f>IF(MOD(C149-Settings!$B$32,Settings!$B$33)&lt;Settings!$B$30,"Up","Down")</f>
        <v>Up</v>
      </c>
      <c r="U149" s="6">
        <f>IF(OR(I149&gt;Settings!$B$30,O149&gt;Settings!$B$37),0,1)</f>
        <v>1</v>
      </c>
      <c r="V149" s="6">
        <f>IF(AND(U149=1,O149&lt;=Settings!$B$36),1,0)</f>
        <v>0</v>
      </c>
    </row>
    <row r="150" spans="1:22" x14ac:dyDescent="0.2">
      <c r="A150">
        <f>Arrivals!A150</f>
        <v>2</v>
      </c>
      <c r="B150">
        <f>Arrivals!B150</f>
        <v>25</v>
      </c>
      <c r="C150" s="6">
        <f>Arrivals!F150</f>
        <v>252</v>
      </c>
      <c r="D150" s="6">
        <f>Arrivals!J150</f>
        <v>0.42205173287741821</v>
      </c>
      <c r="E150" s="6">
        <f t="shared" si="48"/>
        <v>410.75681495056375</v>
      </c>
      <c r="F150" s="6">
        <f t="shared" si="39"/>
        <v>410.75681495056375</v>
      </c>
      <c r="G150" s="6">
        <f t="shared" si="40"/>
        <v>411.17886668344119</v>
      </c>
      <c r="H150" s="6">
        <f>Arrivals!L150</f>
        <v>75</v>
      </c>
      <c r="I150" s="6">
        <f>H150*8/ACE_Input!S30+ACE_Input!T30</f>
        <v>6.02</v>
      </c>
      <c r="J150" s="6">
        <f t="shared" si="49"/>
        <v>416.77681495056373</v>
      </c>
      <c r="K150" s="6">
        <f t="shared" si="41"/>
        <v>416.77681495056373</v>
      </c>
      <c r="L150" s="6">
        <f>MOD(K150-Settings!$B$32,Settings!$B$33)</f>
        <v>416.77681495056373</v>
      </c>
      <c r="M150" s="6">
        <f>IF(L150&lt;Settings!$B$30,IF(Settings!$B$30-L150&gt;=I150,K150,K150+(Settings!$B$30-L150)+Settings!$B$31),K150+(Settings!$B$33-L150))</f>
        <v>416.77681495056373</v>
      </c>
      <c r="N150" s="6">
        <f t="shared" si="42"/>
        <v>422.79681495056371</v>
      </c>
      <c r="O150" s="6">
        <f t="shared" si="43"/>
        <v>170.79681495056371</v>
      </c>
      <c r="P150" s="6">
        <f t="shared" si="44"/>
        <v>158.75681495056375</v>
      </c>
      <c r="Q150" s="6">
        <f t="shared" si="45"/>
        <v>5.5979482671225469</v>
      </c>
      <c r="R150" s="6">
        <f t="shared" si="46"/>
        <v>0</v>
      </c>
      <c r="S150" s="6">
        <f t="shared" si="47"/>
        <v>164.3547632176863</v>
      </c>
      <c r="T150" s="6" t="str">
        <f>IF(MOD(C150-Settings!$B$32,Settings!$B$33)&lt;Settings!$B$30,"Up","Down")</f>
        <v>Up</v>
      </c>
      <c r="U150" s="6">
        <f>IF(OR(I150&gt;Settings!$B$30,O150&gt;Settings!$B$37),0,1)</f>
        <v>1</v>
      </c>
      <c r="V150" s="6">
        <f>IF(AND(U150=1,O150&lt;=Settings!$B$36),1,0)</f>
        <v>0</v>
      </c>
    </row>
    <row r="151" spans="1:22" x14ac:dyDescent="0.2">
      <c r="A151">
        <f>Arrivals!A151</f>
        <v>2</v>
      </c>
      <c r="B151">
        <f>Arrivals!B151</f>
        <v>26</v>
      </c>
      <c r="C151" s="6">
        <f>Arrivals!F151</f>
        <v>257</v>
      </c>
      <c r="D151" s="6">
        <f>Arrivals!J151</f>
        <v>22.319244568660991</v>
      </c>
      <c r="E151" s="6">
        <f t="shared" si="48"/>
        <v>411.17886668344119</v>
      </c>
      <c r="F151" s="6">
        <f t="shared" si="39"/>
        <v>411.17886668344119</v>
      </c>
      <c r="G151" s="6">
        <f t="shared" si="40"/>
        <v>433.49811125210215</v>
      </c>
      <c r="H151" s="6">
        <f>Arrivals!L151</f>
        <v>75</v>
      </c>
      <c r="I151" s="6">
        <f>H151*8/ACE_Input!S31+ACE_Input!T31</f>
        <v>6.02</v>
      </c>
      <c r="J151" s="6">
        <f t="shared" si="49"/>
        <v>422.79681495056371</v>
      </c>
      <c r="K151" s="6">
        <f t="shared" si="41"/>
        <v>433.49811125210215</v>
      </c>
      <c r="L151" s="6">
        <f>MOD(K151-Settings!$B$32,Settings!$B$33)</f>
        <v>433.49811125210215</v>
      </c>
      <c r="M151" s="6">
        <f>IF(L151&lt;Settings!$B$30,IF(Settings!$B$30-L151&gt;=I151,K151,K151+(Settings!$B$30-L151)+Settings!$B$31),K151+(Settings!$B$33-L151))</f>
        <v>433.49811125210215</v>
      </c>
      <c r="N151" s="6">
        <f t="shared" si="42"/>
        <v>439.51811125210213</v>
      </c>
      <c r="O151" s="6">
        <f t="shared" si="43"/>
        <v>182.51811125210213</v>
      </c>
      <c r="P151" s="6">
        <f t="shared" si="44"/>
        <v>154.17886668344119</v>
      </c>
      <c r="Q151" s="6">
        <f t="shared" si="45"/>
        <v>0</v>
      </c>
      <c r="R151" s="6">
        <f t="shared" si="46"/>
        <v>0</v>
      </c>
      <c r="S151" s="6">
        <f t="shared" si="47"/>
        <v>154.17886668344119</v>
      </c>
      <c r="T151" s="6" t="str">
        <f>IF(MOD(C151-Settings!$B$32,Settings!$B$33)&lt;Settings!$B$30,"Up","Down")</f>
        <v>Up</v>
      </c>
      <c r="U151" s="6">
        <f>IF(OR(I151&gt;Settings!$B$30,O151&gt;Settings!$B$37),0,1)</f>
        <v>1</v>
      </c>
      <c r="V151" s="6">
        <f>IF(AND(U151=1,O151&lt;=Settings!$B$36),1,0)</f>
        <v>0</v>
      </c>
    </row>
    <row r="152" spans="1:22" x14ac:dyDescent="0.2">
      <c r="A152">
        <f>Arrivals!A152</f>
        <v>2</v>
      </c>
      <c r="B152">
        <f>Arrivals!B152</f>
        <v>27</v>
      </c>
      <c r="C152" s="6">
        <f>Arrivals!F152</f>
        <v>262</v>
      </c>
      <c r="D152" s="6">
        <f>Arrivals!J152</f>
        <v>7.0738303924036536</v>
      </c>
      <c r="E152" s="6">
        <f t="shared" si="48"/>
        <v>433.49811125210215</v>
      </c>
      <c r="F152" s="6">
        <f t="shared" si="39"/>
        <v>433.49811125210215</v>
      </c>
      <c r="G152" s="6">
        <f t="shared" si="40"/>
        <v>440.57194164450578</v>
      </c>
      <c r="H152" s="6">
        <f>Arrivals!L152</f>
        <v>75</v>
      </c>
      <c r="I152" s="6">
        <f>H152*8/ACE_Input!S32+ACE_Input!T32</f>
        <v>6.02</v>
      </c>
      <c r="J152" s="6">
        <f t="shared" si="49"/>
        <v>439.51811125210213</v>
      </c>
      <c r="K152" s="6">
        <f t="shared" si="41"/>
        <v>440.57194164450578</v>
      </c>
      <c r="L152" s="6">
        <f>MOD(K152-Settings!$B$32,Settings!$B$33)</f>
        <v>440.57194164450578</v>
      </c>
      <c r="M152" s="6">
        <f>IF(L152&lt;Settings!$B$30,IF(Settings!$B$30-L152&gt;=I152,K152,K152+(Settings!$B$30-L152)+Settings!$B$31),K152+(Settings!$B$33-L152))</f>
        <v>440.57194164450578</v>
      </c>
      <c r="N152" s="6">
        <f t="shared" si="42"/>
        <v>446.59194164450577</v>
      </c>
      <c r="O152" s="6">
        <f t="shared" si="43"/>
        <v>184.59194164450577</v>
      </c>
      <c r="P152" s="6">
        <f t="shared" si="44"/>
        <v>171.49811125210215</v>
      </c>
      <c r="Q152" s="6">
        <f t="shared" si="45"/>
        <v>0</v>
      </c>
      <c r="R152" s="6">
        <f t="shared" si="46"/>
        <v>0</v>
      </c>
      <c r="S152" s="6">
        <f t="shared" si="47"/>
        <v>171.49811125210215</v>
      </c>
      <c r="T152" s="6" t="str">
        <f>IF(MOD(C152-Settings!$B$32,Settings!$B$33)&lt;Settings!$B$30,"Up","Down")</f>
        <v>Up</v>
      </c>
      <c r="U152" s="6">
        <f>IF(OR(I152&gt;Settings!$B$30,O152&gt;Settings!$B$37),0,1)</f>
        <v>1</v>
      </c>
      <c r="V152" s="6">
        <f>IF(AND(U152=1,O152&lt;=Settings!$B$36),1,0)</f>
        <v>0</v>
      </c>
    </row>
    <row r="153" spans="1:22" x14ac:dyDescent="0.2">
      <c r="A153">
        <f>Arrivals!A153</f>
        <v>2</v>
      </c>
      <c r="B153">
        <f>Arrivals!B153</f>
        <v>28</v>
      </c>
      <c r="C153" s="6">
        <f>Arrivals!F153</f>
        <v>268</v>
      </c>
      <c r="D153" s="6">
        <f>Arrivals!J153</f>
        <v>11.935061456676173</v>
      </c>
      <c r="E153" s="6">
        <f t="shared" si="48"/>
        <v>440.57194164450578</v>
      </c>
      <c r="F153" s="6">
        <f t="shared" si="39"/>
        <v>440.57194164450578</v>
      </c>
      <c r="G153" s="6">
        <f t="shared" si="40"/>
        <v>452.50700310118197</v>
      </c>
      <c r="H153" s="6">
        <f>Arrivals!L153</f>
        <v>75</v>
      </c>
      <c r="I153" s="6">
        <f>H153*8/ACE_Input!S33+ACE_Input!T33</f>
        <v>6.02</v>
      </c>
      <c r="J153" s="6">
        <f t="shared" si="49"/>
        <v>446.59194164450577</v>
      </c>
      <c r="K153" s="6">
        <f t="shared" si="41"/>
        <v>452.50700310118197</v>
      </c>
      <c r="L153" s="6">
        <f>MOD(K153-Settings!$B$32,Settings!$B$33)</f>
        <v>452.50700310118197</v>
      </c>
      <c r="M153" s="6">
        <f>IF(L153&lt;Settings!$B$30,IF(Settings!$B$30-L153&gt;=I153,K153,K153+(Settings!$B$30-L153)+Settings!$B$31),K153+(Settings!$B$33-L153))</f>
        <v>452.50700310118197</v>
      </c>
      <c r="N153" s="6">
        <f t="shared" si="42"/>
        <v>458.52700310118195</v>
      </c>
      <c r="O153" s="6">
        <f t="shared" si="43"/>
        <v>190.52700310118195</v>
      </c>
      <c r="P153" s="6">
        <f t="shared" si="44"/>
        <v>172.57194164450578</v>
      </c>
      <c r="Q153" s="6">
        <f t="shared" si="45"/>
        <v>0</v>
      </c>
      <c r="R153" s="6">
        <f t="shared" si="46"/>
        <v>0</v>
      </c>
      <c r="S153" s="6">
        <f t="shared" si="47"/>
        <v>172.57194164450578</v>
      </c>
      <c r="T153" s="6" t="str">
        <f>IF(MOD(C153-Settings!$B$32,Settings!$B$33)&lt;Settings!$B$30,"Up","Down")</f>
        <v>Up</v>
      </c>
      <c r="U153" s="6">
        <f>IF(OR(I153&gt;Settings!$B$30,O153&gt;Settings!$B$37),0,1)</f>
        <v>1</v>
      </c>
      <c r="V153" s="6">
        <f>IF(AND(U153=1,O153&lt;=Settings!$B$36),1,0)</f>
        <v>0</v>
      </c>
    </row>
    <row r="154" spans="1:22" x14ac:dyDescent="0.2">
      <c r="A154">
        <f>Arrivals!A154</f>
        <v>2</v>
      </c>
      <c r="B154">
        <f>Arrivals!B154</f>
        <v>29</v>
      </c>
      <c r="C154" s="6">
        <f>Arrivals!F154</f>
        <v>273</v>
      </c>
      <c r="D154" s="6">
        <f>Arrivals!J154</f>
        <v>8.3231144594057316</v>
      </c>
      <c r="E154" s="6">
        <f t="shared" si="48"/>
        <v>452.50700310118197</v>
      </c>
      <c r="F154" s="6">
        <f t="shared" si="39"/>
        <v>452.50700310118197</v>
      </c>
      <c r="G154" s="6">
        <f t="shared" si="40"/>
        <v>460.83011756058772</v>
      </c>
      <c r="H154" s="6">
        <f>Arrivals!L154</f>
        <v>75</v>
      </c>
      <c r="I154" s="6">
        <f>H154*8/ACE_Input!S34+ACE_Input!T34</f>
        <v>6.02</v>
      </c>
      <c r="J154" s="6">
        <f t="shared" si="49"/>
        <v>458.52700310118195</v>
      </c>
      <c r="K154" s="6">
        <f t="shared" si="41"/>
        <v>460.83011756058772</v>
      </c>
      <c r="L154" s="6">
        <f>MOD(K154-Settings!$B$32,Settings!$B$33)</f>
        <v>460.83011756058772</v>
      </c>
      <c r="M154" s="6">
        <f>IF(L154&lt;Settings!$B$30,IF(Settings!$B$30-L154&gt;=I154,K154,K154+(Settings!$B$30-L154)+Settings!$B$31),K154+(Settings!$B$33-L154))</f>
        <v>460.83011756058772</v>
      </c>
      <c r="N154" s="6">
        <f t="shared" si="42"/>
        <v>466.85011756058771</v>
      </c>
      <c r="O154" s="6">
        <f t="shared" si="43"/>
        <v>193.85011756058771</v>
      </c>
      <c r="P154" s="6">
        <f t="shared" si="44"/>
        <v>179.50700310118197</v>
      </c>
      <c r="Q154" s="6">
        <f t="shared" si="45"/>
        <v>0</v>
      </c>
      <c r="R154" s="6">
        <f t="shared" si="46"/>
        <v>0</v>
      </c>
      <c r="S154" s="6">
        <f t="shared" si="47"/>
        <v>179.50700310118197</v>
      </c>
      <c r="T154" s="6" t="str">
        <f>IF(MOD(C154-Settings!$B$32,Settings!$B$33)&lt;Settings!$B$30,"Up","Down")</f>
        <v>Up</v>
      </c>
      <c r="U154" s="6">
        <f>IF(OR(I154&gt;Settings!$B$30,O154&gt;Settings!$B$37),0,1)</f>
        <v>1</v>
      </c>
      <c r="V154" s="6">
        <f>IF(AND(U154=1,O154&lt;=Settings!$B$36),1,0)</f>
        <v>0</v>
      </c>
    </row>
    <row r="155" spans="1:22" x14ac:dyDescent="0.2">
      <c r="A155">
        <f>Arrivals!A155</f>
        <v>2</v>
      </c>
      <c r="B155">
        <f>Arrivals!B155</f>
        <v>30</v>
      </c>
      <c r="C155" s="6">
        <f>Arrivals!F155</f>
        <v>278</v>
      </c>
      <c r="D155" s="6">
        <f>Arrivals!J155</f>
        <v>3.3649870149702448</v>
      </c>
      <c r="E155" s="6">
        <f t="shared" si="48"/>
        <v>460.83011756058772</v>
      </c>
      <c r="F155" s="6">
        <f t="shared" si="39"/>
        <v>460.83011756058772</v>
      </c>
      <c r="G155" s="6">
        <f t="shared" si="40"/>
        <v>464.19510457555799</v>
      </c>
      <c r="H155" s="6">
        <f>Arrivals!L155</f>
        <v>75</v>
      </c>
      <c r="I155" s="6">
        <f>H155*8/ACE_Input!S35+ACE_Input!T35</f>
        <v>6.02</v>
      </c>
      <c r="J155" s="6">
        <f t="shared" si="49"/>
        <v>466.85011756058771</v>
      </c>
      <c r="K155" s="6">
        <f t="shared" si="41"/>
        <v>466.85011756058771</v>
      </c>
      <c r="L155" s="6">
        <f>MOD(K155-Settings!$B$32,Settings!$B$33)</f>
        <v>466.85011756058771</v>
      </c>
      <c r="M155" s="6">
        <f>IF(L155&lt;Settings!$B$30,IF(Settings!$B$30-L155&gt;=I155,K155,K155+(Settings!$B$30-L155)+Settings!$B$31),K155+(Settings!$B$33-L155))</f>
        <v>466.85011756058771</v>
      </c>
      <c r="N155" s="6">
        <f t="shared" si="42"/>
        <v>472.87011756058769</v>
      </c>
      <c r="O155" s="6">
        <f t="shared" si="43"/>
        <v>194.87011756058769</v>
      </c>
      <c r="P155" s="6">
        <f t="shared" si="44"/>
        <v>182.83011756058772</v>
      </c>
      <c r="Q155" s="6">
        <f t="shared" si="45"/>
        <v>2.6550129850297139</v>
      </c>
      <c r="R155" s="6">
        <f t="shared" si="46"/>
        <v>0</v>
      </c>
      <c r="S155" s="6">
        <f t="shared" si="47"/>
        <v>185.48513054561744</v>
      </c>
      <c r="T155" s="6" t="str">
        <f>IF(MOD(C155-Settings!$B$32,Settings!$B$33)&lt;Settings!$B$30,"Up","Down")</f>
        <v>Up</v>
      </c>
      <c r="U155" s="6">
        <f>IF(OR(I155&gt;Settings!$B$30,O155&gt;Settings!$B$37),0,1)</f>
        <v>1</v>
      </c>
      <c r="V155" s="6">
        <f>IF(AND(U155=1,O155&lt;=Settings!$B$36),1,0)</f>
        <v>0</v>
      </c>
    </row>
    <row r="156" spans="1:22" x14ac:dyDescent="0.2">
      <c r="A156">
        <f>Arrivals!A156</f>
        <v>2</v>
      </c>
      <c r="B156">
        <f>Arrivals!B156</f>
        <v>31</v>
      </c>
      <c r="C156" s="6">
        <f>Arrivals!F156</f>
        <v>283</v>
      </c>
      <c r="D156" s="6">
        <f>Arrivals!J156</f>
        <v>20.611361436056818</v>
      </c>
      <c r="E156" s="6">
        <f t="shared" si="48"/>
        <v>464.19510457555799</v>
      </c>
      <c r="F156" s="6">
        <f t="shared" si="39"/>
        <v>464.19510457555799</v>
      </c>
      <c r="G156" s="6">
        <f t="shared" si="40"/>
        <v>484.80646601161482</v>
      </c>
      <c r="H156" s="6">
        <f>Arrivals!L156</f>
        <v>75</v>
      </c>
      <c r="I156" s="6">
        <f>H156*8/ACE_Input!S36+ACE_Input!T36</f>
        <v>6.02</v>
      </c>
      <c r="J156" s="6">
        <f t="shared" si="49"/>
        <v>472.87011756058769</v>
      </c>
      <c r="K156" s="6">
        <f t="shared" si="41"/>
        <v>484.80646601161482</v>
      </c>
      <c r="L156" s="6">
        <f>MOD(K156-Settings!$B$32,Settings!$B$33)</f>
        <v>484.80646601161482</v>
      </c>
      <c r="M156" s="6">
        <f>IF(L156&lt;Settings!$B$30,IF(Settings!$B$30-L156&gt;=I156,K156,K156+(Settings!$B$30-L156)+Settings!$B$31),K156+(Settings!$B$33-L156))</f>
        <v>484.80646601161482</v>
      </c>
      <c r="N156" s="6">
        <f t="shared" si="42"/>
        <v>490.8264660116148</v>
      </c>
      <c r="O156" s="6">
        <f t="shared" si="43"/>
        <v>207.8264660116148</v>
      </c>
      <c r="P156" s="6">
        <f t="shared" si="44"/>
        <v>181.19510457555799</v>
      </c>
      <c r="Q156" s="6">
        <f t="shared" si="45"/>
        <v>0</v>
      </c>
      <c r="R156" s="6">
        <f t="shared" si="46"/>
        <v>0</v>
      </c>
      <c r="S156" s="6">
        <f t="shared" si="47"/>
        <v>181.19510457555799</v>
      </c>
      <c r="T156" s="6" t="str">
        <f>IF(MOD(C156-Settings!$B$32,Settings!$B$33)&lt;Settings!$B$30,"Up","Down")</f>
        <v>Up</v>
      </c>
      <c r="U156" s="6">
        <f>IF(OR(I156&gt;Settings!$B$30,O156&gt;Settings!$B$37),0,1)</f>
        <v>1</v>
      </c>
      <c r="V156" s="6">
        <f>IF(AND(U156=1,O156&lt;=Settings!$B$36),1,0)</f>
        <v>0</v>
      </c>
    </row>
    <row r="157" spans="1:22" x14ac:dyDescent="0.2">
      <c r="A157">
        <f>Arrivals!A157</f>
        <v>2</v>
      </c>
      <c r="B157">
        <f>Arrivals!B157</f>
        <v>32</v>
      </c>
      <c r="C157" s="6">
        <f>Arrivals!F157</f>
        <v>288</v>
      </c>
      <c r="D157" s="6">
        <f>Arrivals!J157</f>
        <v>3.3598510091110549</v>
      </c>
      <c r="E157" s="6">
        <f t="shared" si="48"/>
        <v>484.80646601161482</v>
      </c>
      <c r="F157" s="6">
        <f t="shared" si="39"/>
        <v>484.80646601161482</v>
      </c>
      <c r="G157" s="6">
        <f t="shared" si="40"/>
        <v>488.1663170207259</v>
      </c>
      <c r="H157" s="6">
        <f>Arrivals!L157</f>
        <v>75</v>
      </c>
      <c r="I157" s="6">
        <f>H157*8/ACE_Input!S37+ACE_Input!T37</f>
        <v>6.02</v>
      </c>
      <c r="J157" s="6">
        <f t="shared" si="49"/>
        <v>490.8264660116148</v>
      </c>
      <c r="K157" s="6">
        <f t="shared" si="41"/>
        <v>490.8264660116148</v>
      </c>
      <c r="L157" s="6">
        <f>MOD(K157-Settings!$B$32,Settings!$B$33)</f>
        <v>490.8264660116148</v>
      </c>
      <c r="M157" s="6">
        <f>IF(L157&lt;Settings!$B$30,IF(Settings!$B$30-L157&gt;=I157,K157,K157+(Settings!$B$30-L157)+Settings!$B$31),K157+(Settings!$B$33-L157))</f>
        <v>490.8264660116148</v>
      </c>
      <c r="N157" s="6">
        <f t="shared" si="42"/>
        <v>496.84646601161478</v>
      </c>
      <c r="O157" s="6">
        <f t="shared" si="43"/>
        <v>208.84646601161478</v>
      </c>
      <c r="P157" s="6">
        <f t="shared" si="44"/>
        <v>196.80646601161482</v>
      </c>
      <c r="Q157" s="6">
        <f t="shared" si="45"/>
        <v>2.6601489908888993</v>
      </c>
      <c r="R157" s="6">
        <f t="shared" si="46"/>
        <v>0</v>
      </c>
      <c r="S157" s="6">
        <f t="shared" si="47"/>
        <v>199.46661500250372</v>
      </c>
      <c r="T157" s="6" t="str">
        <f>IF(MOD(C157-Settings!$B$32,Settings!$B$33)&lt;Settings!$B$30,"Up","Down")</f>
        <v>Up</v>
      </c>
      <c r="U157" s="6">
        <f>IF(OR(I157&gt;Settings!$B$30,O157&gt;Settings!$B$37),0,1)</f>
        <v>1</v>
      </c>
      <c r="V157" s="6">
        <f>IF(AND(U157=1,O157&lt;=Settings!$B$36),1,0)</f>
        <v>0</v>
      </c>
    </row>
    <row r="158" spans="1:22" x14ac:dyDescent="0.2">
      <c r="A158">
        <f>Arrivals!A158</f>
        <v>2</v>
      </c>
      <c r="B158">
        <f>Arrivals!B158</f>
        <v>33</v>
      </c>
      <c r="C158" s="6">
        <f>Arrivals!F158</f>
        <v>293</v>
      </c>
      <c r="D158" s="6">
        <f>Arrivals!J158</f>
        <v>5.8325003845887275</v>
      </c>
      <c r="E158" s="6">
        <f t="shared" si="48"/>
        <v>488.1663170207259</v>
      </c>
      <c r="F158" s="6">
        <f t="shared" ref="F158:F189" si="50">MAX(C158,E158)</f>
        <v>488.1663170207259</v>
      </c>
      <c r="G158" s="6">
        <f t="shared" ref="G158:G189" si="51">F158+D158</f>
        <v>493.99881740531464</v>
      </c>
      <c r="H158" s="6">
        <f>Arrivals!L158</f>
        <v>75</v>
      </c>
      <c r="I158" s="6">
        <f>H158*8/ACE_Input!S38+ACE_Input!T38</f>
        <v>6.02</v>
      </c>
      <c r="J158" s="6">
        <f t="shared" si="49"/>
        <v>496.84646601161478</v>
      </c>
      <c r="K158" s="6">
        <f t="shared" ref="K158:K189" si="52">MAX(G158,J158)</f>
        <v>496.84646601161478</v>
      </c>
      <c r="L158" s="6">
        <f>MOD(K158-Settings!$B$32,Settings!$B$33)</f>
        <v>496.84646601161478</v>
      </c>
      <c r="M158" s="6">
        <f>IF(L158&lt;Settings!$B$30,IF(Settings!$B$30-L158&gt;=I158,K158,K158+(Settings!$B$30-L158)+Settings!$B$31),K158+(Settings!$B$33-L158))</f>
        <v>496.84646601161478</v>
      </c>
      <c r="N158" s="6">
        <f t="shared" ref="N158:N189" si="53">M158+I158</f>
        <v>502.86646601161476</v>
      </c>
      <c r="O158" s="6">
        <f t="shared" ref="O158:O189" si="54">N158-C158</f>
        <v>209.86646601161476</v>
      </c>
      <c r="P158" s="6">
        <f t="shared" ref="P158:P189" si="55">F158-C158</f>
        <v>195.1663170207259</v>
      </c>
      <c r="Q158" s="6">
        <f t="shared" ref="Q158:Q189" si="56">K158-G158</f>
        <v>2.8476486063001403</v>
      </c>
      <c r="R158" s="6">
        <f t="shared" ref="R158:R189" si="57">M158-K158</f>
        <v>0</v>
      </c>
      <c r="S158" s="6">
        <f t="shared" ref="S158:S189" si="58">P158+Q158+R158</f>
        <v>198.01396562702604</v>
      </c>
      <c r="T158" s="6" t="str">
        <f>IF(MOD(C158-Settings!$B$32,Settings!$B$33)&lt;Settings!$B$30,"Up","Down")</f>
        <v>Up</v>
      </c>
      <c r="U158" s="6">
        <f>IF(OR(I158&gt;Settings!$B$30,O158&gt;Settings!$B$37),0,1)</f>
        <v>1</v>
      </c>
      <c r="V158" s="6">
        <f>IF(AND(U158=1,O158&lt;=Settings!$B$36),1,0)</f>
        <v>0</v>
      </c>
    </row>
    <row r="159" spans="1:22" x14ac:dyDescent="0.2">
      <c r="A159">
        <f>Arrivals!A159</f>
        <v>2</v>
      </c>
      <c r="B159">
        <f>Arrivals!B159</f>
        <v>34</v>
      </c>
      <c r="C159" s="6">
        <f>Arrivals!F159</f>
        <v>298</v>
      </c>
      <c r="D159" s="6">
        <f>Arrivals!J159</f>
        <v>16.689580479002274</v>
      </c>
      <c r="E159" s="6">
        <f t="shared" ref="E159:E190" si="59">G158</f>
        <v>493.99881740531464</v>
      </c>
      <c r="F159" s="6">
        <f t="shared" si="50"/>
        <v>493.99881740531464</v>
      </c>
      <c r="G159" s="6">
        <f t="shared" si="51"/>
        <v>510.68839788431694</v>
      </c>
      <c r="H159" s="6">
        <f>Arrivals!L159</f>
        <v>75</v>
      </c>
      <c r="I159" s="6">
        <f>H159*8/ACE_Input!S39+ACE_Input!T39</f>
        <v>6.02</v>
      </c>
      <c r="J159" s="6">
        <f t="shared" ref="J159:J190" si="60">N158</f>
        <v>502.86646601161476</v>
      </c>
      <c r="K159" s="6">
        <f t="shared" si="52"/>
        <v>510.68839788431694</v>
      </c>
      <c r="L159" s="6">
        <f>MOD(K159-Settings!$B$32,Settings!$B$33)</f>
        <v>510.68839788431694</v>
      </c>
      <c r="M159" s="6">
        <f>IF(L159&lt;Settings!$B$30,IF(Settings!$B$30-L159&gt;=I159,K159,K159+(Settings!$B$30-L159)+Settings!$B$31),K159+(Settings!$B$33-L159))</f>
        <v>510.68839788431694</v>
      </c>
      <c r="N159" s="6">
        <f t="shared" si="53"/>
        <v>516.70839788431692</v>
      </c>
      <c r="O159" s="6">
        <f t="shared" si="54"/>
        <v>218.70839788431692</v>
      </c>
      <c r="P159" s="6">
        <f t="shared" si="55"/>
        <v>195.99881740531464</v>
      </c>
      <c r="Q159" s="6">
        <f t="shared" si="56"/>
        <v>0</v>
      </c>
      <c r="R159" s="6">
        <f t="shared" si="57"/>
        <v>0</v>
      </c>
      <c r="S159" s="6">
        <f t="shared" si="58"/>
        <v>195.99881740531464</v>
      </c>
      <c r="T159" s="6" t="str">
        <f>IF(MOD(C159-Settings!$B$32,Settings!$B$33)&lt;Settings!$B$30,"Up","Down")</f>
        <v>Up</v>
      </c>
      <c r="U159" s="6">
        <f>IF(OR(I159&gt;Settings!$B$30,O159&gt;Settings!$B$37),0,1)</f>
        <v>1</v>
      </c>
      <c r="V159" s="6">
        <f>IF(AND(U159=1,O159&lt;=Settings!$B$36),1,0)</f>
        <v>0</v>
      </c>
    </row>
    <row r="160" spans="1:22" x14ac:dyDescent="0.2">
      <c r="A160">
        <f>Arrivals!A160</f>
        <v>2</v>
      </c>
      <c r="B160">
        <f>Arrivals!B160</f>
        <v>35</v>
      </c>
      <c r="C160" s="6">
        <f>Arrivals!F160</f>
        <v>303</v>
      </c>
      <c r="D160" s="6">
        <f>Arrivals!J160</f>
        <v>1.7012275594178066</v>
      </c>
      <c r="E160" s="6">
        <f t="shared" si="59"/>
        <v>510.68839788431694</v>
      </c>
      <c r="F160" s="6">
        <f t="shared" si="50"/>
        <v>510.68839788431694</v>
      </c>
      <c r="G160" s="6">
        <f t="shared" si="51"/>
        <v>512.38962544373476</v>
      </c>
      <c r="H160" s="6">
        <f>Arrivals!L160</f>
        <v>75</v>
      </c>
      <c r="I160" s="6">
        <f>H160*8/ACE_Input!S40+ACE_Input!T40</f>
        <v>6.02</v>
      </c>
      <c r="J160" s="6">
        <f t="shared" si="60"/>
        <v>516.70839788431692</v>
      </c>
      <c r="K160" s="6">
        <f t="shared" si="52"/>
        <v>516.70839788431692</v>
      </c>
      <c r="L160" s="6">
        <f>MOD(K160-Settings!$B$32,Settings!$B$33)</f>
        <v>516.70839788431692</v>
      </c>
      <c r="M160" s="6">
        <f>IF(L160&lt;Settings!$B$30,IF(Settings!$B$30-L160&gt;=I160,K160,K160+(Settings!$B$30-L160)+Settings!$B$31),K160+(Settings!$B$33-L160))</f>
        <v>516.70839788431692</v>
      </c>
      <c r="N160" s="6">
        <f t="shared" si="53"/>
        <v>522.72839788431691</v>
      </c>
      <c r="O160" s="6">
        <f t="shared" si="54"/>
        <v>219.72839788431691</v>
      </c>
      <c r="P160" s="6">
        <f t="shared" si="55"/>
        <v>207.68839788431694</v>
      </c>
      <c r="Q160" s="6">
        <f t="shared" si="56"/>
        <v>4.3187724405821655</v>
      </c>
      <c r="R160" s="6">
        <f t="shared" si="57"/>
        <v>0</v>
      </c>
      <c r="S160" s="6">
        <f t="shared" si="58"/>
        <v>212.00717032489911</v>
      </c>
      <c r="T160" s="6" t="str">
        <f>IF(MOD(C160-Settings!$B$32,Settings!$B$33)&lt;Settings!$B$30,"Up","Down")</f>
        <v>Up</v>
      </c>
      <c r="U160" s="6">
        <f>IF(OR(I160&gt;Settings!$B$30,O160&gt;Settings!$B$37),0,1)</f>
        <v>1</v>
      </c>
      <c r="V160" s="6">
        <f>IF(AND(U160=1,O160&lt;=Settings!$B$36),1,0)</f>
        <v>0</v>
      </c>
    </row>
    <row r="161" spans="1:22" x14ac:dyDescent="0.2">
      <c r="A161">
        <f>Arrivals!A161</f>
        <v>2</v>
      </c>
      <c r="B161">
        <f>Arrivals!B161</f>
        <v>36</v>
      </c>
      <c r="C161" s="6">
        <f>Arrivals!F161</f>
        <v>308</v>
      </c>
      <c r="D161" s="6">
        <f>Arrivals!J161</f>
        <v>8.8113839128856952</v>
      </c>
      <c r="E161" s="6">
        <f t="shared" si="59"/>
        <v>512.38962544373476</v>
      </c>
      <c r="F161" s="6">
        <f t="shared" si="50"/>
        <v>512.38962544373476</v>
      </c>
      <c r="G161" s="6">
        <f t="shared" si="51"/>
        <v>521.20100935662049</v>
      </c>
      <c r="H161" s="6">
        <f>Arrivals!L161</f>
        <v>75</v>
      </c>
      <c r="I161" s="6">
        <f>H161*8/ACE_Input!S41+ACE_Input!T41</f>
        <v>6.02</v>
      </c>
      <c r="J161" s="6">
        <f t="shared" si="60"/>
        <v>522.72839788431691</v>
      </c>
      <c r="K161" s="6">
        <f t="shared" si="52"/>
        <v>522.72839788431691</v>
      </c>
      <c r="L161" s="6">
        <f>MOD(K161-Settings!$B$32,Settings!$B$33)</f>
        <v>522.72839788431691</v>
      </c>
      <c r="M161" s="6">
        <f>IF(L161&lt;Settings!$B$30,IF(Settings!$B$30-L161&gt;=I161,K161,K161+(Settings!$B$30-L161)+Settings!$B$31),K161+(Settings!$B$33-L161))</f>
        <v>522.72839788431691</v>
      </c>
      <c r="N161" s="6">
        <f t="shared" si="53"/>
        <v>528.74839788431689</v>
      </c>
      <c r="O161" s="6">
        <f t="shared" si="54"/>
        <v>220.74839788431689</v>
      </c>
      <c r="P161" s="6">
        <f t="shared" si="55"/>
        <v>204.38962544373476</v>
      </c>
      <c r="Q161" s="6">
        <f t="shared" si="56"/>
        <v>1.5273885276964165</v>
      </c>
      <c r="R161" s="6">
        <f t="shared" si="57"/>
        <v>0</v>
      </c>
      <c r="S161" s="6">
        <f t="shared" si="58"/>
        <v>205.91701397143117</v>
      </c>
      <c r="T161" s="6" t="str">
        <f>IF(MOD(C161-Settings!$B$32,Settings!$B$33)&lt;Settings!$B$30,"Up","Down")</f>
        <v>Up</v>
      </c>
      <c r="U161" s="6">
        <f>IF(OR(I161&gt;Settings!$B$30,O161&gt;Settings!$B$37),0,1)</f>
        <v>1</v>
      </c>
      <c r="V161" s="6">
        <f>IF(AND(U161=1,O161&lt;=Settings!$B$36),1,0)</f>
        <v>0</v>
      </c>
    </row>
    <row r="162" spans="1:22" x14ac:dyDescent="0.2">
      <c r="A162">
        <f>Arrivals!A162</f>
        <v>2</v>
      </c>
      <c r="B162">
        <f>Arrivals!B162</f>
        <v>37</v>
      </c>
      <c r="C162" s="6">
        <f>Arrivals!F162</f>
        <v>313</v>
      </c>
      <c r="D162" s="6">
        <f>Arrivals!J162</f>
        <v>2.1383004378578603</v>
      </c>
      <c r="E162" s="6">
        <f t="shared" si="59"/>
        <v>521.20100935662049</v>
      </c>
      <c r="F162" s="6">
        <f t="shared" si="50"/>
        <v>521.20100935662049</v>
      </c>
      <c r="G162" s="6">
        <f t="shared" si="51"/>
        <v>523.33930979447837</v>
      </c>
      <c r="H162" s="6">
        <f>Arrivals!L162</f>
        <v>75</v>
      </c>
      <c r="I162" s="6">
        <f>H162*8/ACE_Input!S42+ACE_Input!T42</f>
        <v>6.02</v>
      </c>
      <c r="J162" s="6">
        <f t="shared" si="60"/>
        <v>528.74839788431689</v>
      </c>
      <c r="K162" s="6">
        <f t="shared" si="52"/>
        <v>528.74839788431689</v>
      </c>
      <c r="L162" s="6">
        <f>MOD(K162-Settings!$B$32,Settings!$B$33)</f>
        <v>528.74839788431689</v>
      </c>
      <c r="M162" s="6">
        <f>IF(L162&lt;Settings!$B$30,IF(Settings!$B$30-L162&gt;=I162,K162,K162+(Settings!$B$30-L162)+Settings!$B$31),K162+(Settings!$B$33-L162))</f>
        <v>528.74839788431689</v>
      </c>
      <c r="N162" s="6">
        <f t="shared" si="53"/>
        <v>534.76839788431687</v>
      </c>
      <c r="O162" s="6">
        <f t="shared" si="54"/>
        <v>221.76839788431687</v>
      </c>
      <c r="P162" s="6">
        <f t="shared" si="55"/>
        <v>208.20100935662049</v>
      </c>
      <c r="Q162" s="6">
        <f t="shared" si="56"/>
        <v>5.4090880898385194</v>
      </c>
      <c r="R162" s="6">
        <f t="shared" si="57"/>
        <v>0</v>
      </c>
      <c r="S162" s="6">
        <f t="shared" si="58"/>
        <v>213.61009744645901</v>
      </c>
      <c r="T162" s="6" t="str">
        <f>IF(MOD(C162-Settings!$B$32,Settings!$B$33)&lt;Settings!$B$30,"Up","Down")</f>
        <v>Up</v>
      </c>
      <c r="U162" s="6">
        <f>IF(OR(I162&gt;Settings!$B$30,O162&gt;Settings!$B$37),0,1)</f>
        <v>1</v>
      </c>
      <c r="V162" s="6">
        <f>IF(AND(U162=1,O162&lt;=Settings!$B$36),1,0)</f>
        <v>0</v>
      </c>
    </row>
    <row r="163" spans="1:22" x14ac:dyDescent="0.2">
      <c r="A163">
        <f>Arrivals!A163</f>
        <v>2</v>
      </c>
      <c r="B163">
        <f>Arrivals!B163</f>
        <v>38</v>
      </c>
      <c r="C163" s="6">
        <f>Arrivals!F163</f>
        <v>318</v>
      </c>
      <c r="D163" s="6">
        <f>Arrivals!J163</f>
        <v>2.7532708818775165</v>
      </c>
      <c r="E163" s="6">
        <f t="shared" si="59"/>
        <v>523.33930979447837</v>
      </c>
      <c r="F163" s="6">
        <f t="shared" si="50"/>
        <v>523.33930979447837</v>
      </c>
      <c r="G163" s="6">
        <f t="shared" si="51"/>
        <v>526.09258067635585</v>
      </c>
      <c r="H163" s="6">
        <f>Arrivals!L163</f>
        <v>75</v>
      </c>
      <c r="I163" s="6">
        <f>H163*8/ACE_Input!S43+ACE_Input!T43</f>
        <v>6.02</v>
      </c>
      <c r="J163" s="6">
        <f t="shared" si="60"/>
        <v>534.76839788431687</v>
      </c>
      <c r="K163" s="6">
        <f t="shared" si="52"/>
        <v>534.76839788431687</v>
      </c>
      <c r="L163" s="6">
        <f>MOD(K163-Settings!$B$32,Settings!$B$33)</f>
        <v>534.76839788431687</v>
      </c>
      <c r="M163" s="6">
        <f>IF(L163&lt;Settings!$B$30,IF(Settings!$B$30-L163&gt;=I163,K163,K163+(Settings!$B$30-L163)+Settings!$B$31),K163+(Settings!$B$33-L163))</f>
        <v>534.76839788431687</v>
      </c>
      <c r="N163" s="6">
        <f t="shared" si="53"/>
        <v>540.78839788431685</v>
      </c>
      <c r="O163" s="6">
        <f t="shared" si="54"/>
        <v>222.78839788431685</v>
      </c>
      <c r="P163" s="6">
        <f t="shared" si="55"/>
        <v>205.33930979447837</v>
      </c>
      <c r="Q163" s="6">
        <f t="shared" si="56"/>
        <v>8.6758172079610176</v>
      </c>
      <c r="R163" s="6">
        <f t="shared" si="57"/>
        <v>0</v>
      </c>
      <c r="S163" s="6">
        <f t="shared" si="58"/>
        <v>214.01512700243939</v>
      </c>
      <c r="T163" s="6" t="str">
        <f>IF(MOD(C163-Settings!$B$32,Settings!$B$33)&lt;Settings!$B$30,"Up","Down")</f>
        <v>Up</v>
      </c>
      <c r="U163" s="6">
        <f>IF(OR(I163&gt;Settings!$B$30,O163&gt;Settings!$B$37),0,1)</f>
        <v>1</v>
      </c>
      <c r="V163" s="6">
        <f>IF(AND(U163=1,O163&lt;=Settings!$B$36),1,0)</f>
        <v>0</v>
      </c>
    </row>
    <row r="164" spans="1:22" x14ac:dyDescent="0.2">
      <c r="A164">
        <f>Arrivals!A164</f>
        <v>2</v>
      </c>
      <c r="B164">
        <f>Arrivals!B164</f>
        <v>39</v>
      </c>
      <c r="C164" s="6">
        <f>Arrivals!F164</f>
        <v>323</v>
      </c>
      <c r="D164" s="6">
        <f>Arrivals!J164</f>
        <v>18.356952626494245</v>
      </c>
      <c r="E164" s="6">
        <f t="shared" si="59"/>
        <v>526.09258067635585</v>
      </c>
      <c r="F164" s="6">
        <f t="shared" si="50"/>
        <v>526.09258067635585</v>
      </c>
      <c r="G164" s="6">
        <f t="shared" si="51"/>
        <v>544.44953330285011</v>
      </c>
      <c r="H164" s="6">
        <f>Arrivals!L164</f>
        <v>75</v>
      </c>
      <c r="I164" s="6">
        <f>H164*8/ACE_Input!S44+ACE_Input!T44</f>
        <v>6.02</v>
      </c>
      <c r="J164" s="6">
        <f t="shared" si="60"/>
        <v>540.78839788431685</v>
      </c>
      <c r="K164" s="6">
        <f t="shared" si="52"/>
        <v>544.44953330285011</v>
      </c>
      <c r="L164" s="6">
        <f>MOD(K164-Settings!$B$32,Settings!$B$33)</f>
        <v>544.44953330285011</v>
      </c>
      <c r="M164" s="6">
        <f>IF(L164&lt;Settings!$B$30,IF(Settings!$B$30-L164&gt;=I164,K164,K164+(Settings!$B$30-L164)+Settings!$B$31),K164+(Settings!$B$33-L164))</f>
        <v>544.44953330285011</v>
      </c>
      <c r="N164" s="6">
        <f t="shared" si="53"/>
        <v>550.4695333028501</v>
      </c>
      <c r="O164" s="6">
        <f t="shared" si="54"/>
        <v>227.4695333028501</v>
      </c>
      <c r="P164" s="6">
        <f t="shared" si="55"/>
        <v>203.09258067635585</v>
      </c>
      <c r="Q164" s="6">
        <f t="shared" si="56"/>
        <v>0</v>
      </c>
      <c r="R164" s="6">
        <f t="shared" si="57"/>
        <v>0</v>
      </c>
      <c r="S164" s="6">
        <f t="shared" si="58"/>
        <v>203.09258067635585</v>
      </c>
      <c r="T164" s="6" t="str">
        <f>IF(MOD(C164-Settings!$B$32,Settings!$B$33)&lt;Settings!$B$30,"Up","Down")</f>
        <v>Up</v>
      </c>
      <c r="U164" s="6">
        <f>IF(OR(I164&gt;Settings!$B$30,O164&gt;Settings!$B$37),0,1)</f>
        <v>1</v>
      </c>
      <c r="V164" s="6">
        <f>IF(AND(U164=1,O164&lt;=Settings!$B$36),1,0)</f>
        <v>0</v>
      </c>
    </row>
    <row r="165" spans="1:22" x14ac:dyDescent="0.2">
      <c r="A165">
        <f>Arrivals!A165</f>
        <v>2</v>
      </c>
      <c r="B165">
        <f>Arrivals!B165</f>
        <v>40</v>
      </c>
      <c r="C165" s="6">
        <f>Arrivals!F165</f>
        <v>328</v>
      </c>
      <c r="D165" s="6">
        <f>Arrivals!J165</f>
        <v>17.161754392006124</v>
      </c>
      <c r="E165" s="6">
        <f t="shared" si="59"/>
        <v>544.44953330285011</v>
      </c>
      <c r="F165" s="6">
        <f t="shared" si="50"/>
        <v>544.44953330285011</v>
      </c>
      <c r="G165" s="6">
        <f t="shared" si="51"/>
        <v>561.61128769485629</v>
      </c>
      <c r="H165" s="6">
        <f>Arrivals!L165</f>
        <v>75</v>
      </c>
      <c r="I165" s="6">
        <f>H165*8/ACE_Input!S45+ACE_Input!T45</f>
        <v>6.02</v>
      </c>
      <c r="J165" s="6">
        <f t="shared" si="60"/>
        <v>550.4695333028501</v>
      </c>
      <c r="K165" s="6">
        <f t="shared" si="52"/>
        <v>561.61128769485629</v>
      </c>
      <c r="L165" s="6">
        <f>MOD(K165-Settings!$B$32,Settings!$B$33)</f>
        <v>561.61128769485629</v>
      </c>
      <c r="M165" s="6">
        <f>IF(L165&lt;Settings!$B$30,IF(Settings!$B$30-L165&gt;=I165,K165,K165+(Settings!$B$30-L165)+Settings!$B$31),K165+(Settings!$B$33-L165))</f>
        <v>561.61128769485629</v>
      </c>
      <c r="N165" s="6">
        <f t="shared" si="53"/>
        <v>567.63128769485627</v>
      </c>
      <c r="O165" s="6">
        <f t="shared" si="54"/>
        <v>239.63128769485627</v>
      </c>
      <c r="P165" s="6">
        <f t="shared" si="55"/>
        <v>216.44953330285011</v>
      </c>
      <c r="Q165" s="6">
        <f t="shared" si="56"/>
        <v>0</v>
      </c>
      <c r="R165" s="6">
        <f t="shared" si="57"/>
        <v>0</v>
      </c>
      <c r="S165" s="6">
        <f t="shared" si="58"/>
        <v>216.44953330285011</v>
      </c>
      <c r="T165" s="6" t="str">
        <f>IF(MOD(C165-Settings!$B$32,Settings!$B$33)&lt;Settings!$B$30,"Up","Down")</f>
        <v>Up</v>
      </c>
      <c r="U165" s="6">
        <f>IF(OR(I165&gt;Settings!$B$30,O165&gt;Settings!$B$37),0,1)</f>
        <v>1</v>
      </c>
      <c r="V165" s="6">
        <f>IF(AND(U165=1,O165&lt;=Settings!$B$36),1,0)</f>
        <v>0</v>
      </c>
    </row>
    <row r="166" spans="1:22" x14ac:dyDescent="0.2">
      <c r="A166">
        <f>Arrivals!A166</f>
        <v>2</v>
      </c>
      <c r="B166">
        <f>Arrivals!B166</f>
        <v>41</v>
      </c>
      <c r="C166" s="6">
        <f>Arrivals!F166</f>
        <v>333</v>
      </c>
      <c r="D166" s="6">
        <f>Arrivals!J166</f>
        <v>8.8809561472760379</v>
      </c>
      <c r="E166" s="6">
        <f t="shared" si="59"/>
        <v>561.61128769485629</v>
      </c>
      <c r="F166" s="6">
        <f t="shared" si="50"/>
        <v>561.61128769485629</v>
      </c>
      <c r="G166" s="6">
        <f t="shared" si="51"/>
        <v>570.49224384213232</v>
      </c>
      <c r="H166" s="6">
        <f>Arrivals!L166</f>
        <v>75</v>
      </c>
      <c r="I166" s="6">
        <f>H166*8/ACE_Input!S46+ACE_Input!T46</f>
        <v>6.02</v>
      </c>
      <c r="J166" s="6">
        <f t="shared" si="60"/>
        <v>567.63128769485627</v>
      </c>
      <c r="K166" s="6">
        <f t="shared" si="52"/>
        <v>570.49224384213232</v>
      </c>
      <c r="L166" s="6">
        <f>MOD(K166-Settings!$B$32,Settings!$B$33)</f>
        <v>570.49224384213232</v>
      </c>
      <c r="M166" s="6">
        <f>IF(L166&lt;Settings!$B$30,IF(Settings!$B$30-L166&gt;=I166,K166,K166+(Settings!$B$30-L166)+Settings!$B$31),K166+(Settings!$B$33-L166))</f>
        <v>570.49224384213232</v>
      </c>
      <c r="N166" s="6">
        <f t="shared" si="53"/>
        <v>576.51224384213231</v>
      </c>
      <c r="O166" s="6">
        <f t="shared" si="54"/>
        <v>243.51224384213231</v>
      </c>
      <c r="P166" s="6">
        <f t="shared" si="55"/>
        <v>228.61128769485629</v>
      </c>
      <c r="Q166" s="6">
        <f t="shared" si="56"/>
        <v>0</v>
      </c>
      <c r="R166" s="6">
        <f t="shared" si="57"/>
        <v>0</v>
      </c>
      <c r="S166" s="6">
        <f t="shared" si="58"/>
        <v>228.61128769485629</v>
      </c>
      <c r="T166" s="6" t="str">
        <f>IF(MOD(C166-Settings!$B$32,Settings!$B$33)&lt;Settings!$B$30,"Up","Down")</f>
        <v>Up</v>
      </c>
      <c r="U166" s="6">
        <f>IF(OR(I166&gt;Settings!$B$30,O166&gt;Settings!$B$37),0,1)</f>
        <v>1</v>
      </c>
      <c r="V166" s="6">
        <f>IF(AND(U166=1,O166&lt;=Settings!$B$36),1,0)</f>
        <v>0</v>
      </c>
    </row>
    <row r="167" spans="1:22" x14ac:dyDescent="0.2">
      <c r="A167">
        <f>Arrivals!A167</f>
        <v>2</v>
      </c>
      <c r="B167">
        <f>Arrivals!B167</f>
        <v>42</v>
      </c>
      <c r="C167" s="6">
        <f>Arrivals!F167</f>
        <v>338</v>
      </c>
      <c r="D167" s="6">
        <f>Arrivals!J167</f>
        <v>18.463847274391078</v>
      </c>
      <c r="E167" s="6">
        <f t="shared" si="59"/>
        <v>570.49224384213232</v>
      </c>
      <c r="F167" s="6">
        <f t="shared" si="50"/>
        <v>570.49224384213232</v>
      </c>
      <c r="G167" s="6">
        <f t="shared" si="51"/>
        <v>588.95609111652345</v>
      </c>
      <c r="H167" s="6">
        <f>Arrivals!L167</f>
        <v>75</v>
      </c>
      <c r="I167" s="6">
        <f>H167*8/ACE_Input!S47+ACE_Input!T47</f>
        <v>6.02</v>
      </c>
      <c r="J167" s="6">
        <f t="shared" si="60"/>
        <v>576.51224384213231</v>
      </c>
      <c r="K167" s="6">
        <f t="shared" si="52"/>
        <v>588.95609111652345</v>
      </c>
      <c r="L167" s="6">
        <f>MOD(K167-Settings!$B$32,Settings!$B$33)</f>
        <v>588.95609111652345</v>
      </c>
      <c r="M167" s="6">
        <f>IF(L167&lt;Settings!$B$30,IF(Settings!$B$30-L167&gt;=I167,K167,K167+(Settings!$B$30-L167)+Settings!$B$31),K167+(Settings!$B$33-L167))</f>
        <v>588.95609111652345</v>
      </c>
      <c r="N167" s="6">
        <f t="shared" si="53"/>
        <v>594.97609111652343</v>
      </c>
      <c r="O167" s="6">
        <f t="shared" si="54"/>
        <v>256.97609111652343</v>
      </c>
      <c r="P167" s="6">
        <f t="shared" si="55"/>
        <v>232.49224384213232</v>
      </c>
      <c r="Q167" s="6">
        <f t="shared" si="56"/>
        <v>0</v>
      </c>
      <c r="R167" s="6">
        <f t="shared" si="57"/>
        <v>0</v>
      </c>
      <c r="S167" s="6">
        <f t="shared" si="58"/>
        <v>232.49224384213232</v>
      </c>
      <c r="T167" s="6" t="str">
        <f>IF(MOD(C167-Settings!$B$32,Settings!$B$33)&lt;Settings!$B$30,"Up","Down")</f>
        <v>Up</v>
      </c>
      <c r="U167" s="6">
        <f>IF(OR(I167&gt;Settings!$B$30,O167&gt;Settings!$B$37),0,1)</f>
        <v>1</v>
      </c>
      <c r="V167" s="6">
        <f>IF(AND(U167=1,O167&lt;=Settings!$B$36),1,0)</f>
        <v>0</v>
      </c>
    </row>
    <row r="168" spans="1:22" x14ac:dyDescent="0.2">
      <c r="A168">
        <f>Arrivals!A168</f>
        <v>2</v>
      </c>
      <c r="B168">
        <f>Arrivals!B168</f>
        <v>43</v>
      </c>
      <c r="C168" s="6">
        <f>Arrivals!F168</f>
        <v>343</v>
      </c>
      <c r="D168" s="6">
        <f>Arrivals!J168</f>
        <v>0.53454600798602825</v>
      </c>
      <c r="E168" s="6">
        <f t="shared" si="59"/>
        <v>588.95609111652345</v>
      </c>
      <c r="F168" s="6">
        <f t="shared" si="50"/>
        <v>588.95609111652345</v>
      </c>
      <c r="G168" s="6">
        <f t="shared" si="51"/>
        <v>589.49063712450948</v>
      </c>
      <c r="H168" s="6">
        <f>Arrivals!L168</f>
        <v>75</v>
      </c>
      <c r="I168" s="6">
        <f>H168*8/ACE_Input!S48+ACE_Input!T48</f>
        <v>6.02</v>
      </c>
      <c r="J168" s="6">
        <f t="shared" si="60"/>
        <v>594.97609111652343</v>
      </c>
      <c r="K168" s="6">
        <f t="shared" si="52"/>
        <v>594.97609111652343</v>
      </c>
      <c r="L168" s="6">
        <f>MOD(K168-Settings!$B$32,Settings!$B$33)</f>
        <v>594.97609111652343</v>
      </c>
      <c r="M168" s="6">
        <f>IF(L168&lt;Settings!$B$30,IF(Settings!$B$30-L168&gt;=I168,K168,K168+(Settings!$B$30-L168)+Settings!$B$31),K168+(Settings!$B$33-L168))</f>
        <v>720</v>
      </c>
      <c r="N168" s="6">
        <f t="shared" si="53"/>
        <v>726.02</v>
      </c>
      <c r="O168" s="6">
        <f t="shared" si="54"/>
        <v>383.02</v>
      </c>
      <c r="P168" s="6">
        <f t="shared" si="55"/>
        <v>245.95609111652345</v>
      </c>
      <c r="Q168" s="6">
        <f t="shared" si="56"/>
        <v>5.4854539920139587</v>
      </c>
      <c r="R168" s="6">
        <f t="shared" si="57"/>
        <v>125.02390888347657</v>
      </c>
      <c r="S168" s="6">
        <f t="shared" si="58"/>
        <v>376.46545399201398</v>
      </c>
      <c r="T168" s="6" t="str">
        <f>IF(MOD(C168-Settings!$B$32,Settings!$B$33)&lt;Settings!$B$30,"Up","Down")</f>
        <v>Up</v>
      </c>
      <c r="U168" s="6">
        <f>IF(OR(I168&gt;Settings!$B$30,O168&gt;Settings!$B$37),0,1)</f>
        <v>1</v>
      </c>
      <c r="V168" s="6">
        <f>IF(AND(U168=1,O168&lt;=Settings!$B$36),1,0)</f>
        <v>0</v>
      </c>
    </row>
    <row r="169" spans="1:22" x14ac:dyDescent="0.2">
      <c r="A169">
        <f>Arrivals!A169</f>
        <v>2</v>
      </c>
      <c r="B169">
        <f>Arrivals!B169</f>
        <v>44</v>
      </c>
      <c r="C169" s="6">
        <f>Arrivals!F169</f>
        <v>348</v>
      </c>
      <c r="D169" s="6">
        <f>Arrivals!J169</f>
        <v>3.3886393479168113</v>
      </c>
      <c r="E169" s="6">
        <f t="shared" si="59"/>
        <v>589.49063712450948</v>
      </c>
      <c r="F169" s="6">
        <f t="shared" si="50"/>
        <v>589.49063712450948</v>
      </c>
      <c r="G169" s="6">
        <f t="shared" si="51"/>
        <v>592.87927647242634</v>
      </c>
      <c r="H169" s="6">
        <f>Arrivals!L169</f>
        <v>75</v>
      </c>
      <c r="I169" s="6">
        <f>H169*8/ACE_Input!S49+ACE_Input!T49</f>
        <v>6.02</v>
      </c>
      <c r="J169" s="6">
        <f t="shared" si="60"/>
        <v>726.02</v>
      </c>
      <c r="K169" s="6">
        <f t="shared" si="52"/>
        <v>726.02</v>
      </c>
      <c r="L169" s="6">
        <f>MOD(K169-Settings!$B$32,Settings!$B$33)</f>
        <v>6.0199999999999818</v>
      </c>
      <c r="M169" s="6">
        <f>IF(L169&lt;Settings!$B$30,IF(Settings!$B$30-L169&gt;=I169,K169,K169+(Settings!$B$30-L169)+Settings!$B$31),K169+(Settings!$B$33-L169))</f>
        <v>726.02</v>
      </c>
      <c r="N169" s="6">
        <f t="shared" si="53"/>
        <v>732.04</v>
      </c>
      <c r="O169" s="6">
        <f t="shared" si="54"/>
        <v>384.03999999999996</v>
      </c>
      <c r="P169" s="6">
        <f t="shared" si="55"/>
        <v>241.49063712450948</v>
      </c>
      <c r="Q169" s="6">
        <f t="shared" si="56"/>
        <v>133.14072352757364</v>
      </c>
      <c r="R169" s="6">
        <f t="shared" si="57"/>
        <v>0</v>
      </c>
      <c r="S169" s="6">
        <f t="shared" si="58"/>
        <v>374.63136065208312</v>
      </c>
      <c r="T169" s="6" t="str">
        <f>IF(MOD(C169-Settings!$B$32,Settings!$B$33)&lt;Settings!$B$30,"Up","Down")</f>
        <v>Up</v>
      </c>
      <c r="U169" s="6">
        <f>IF(OR(I169&gt;Settings!$B$30,O169&gt;Settings!$B$37),0,1)</f>
        <v>1</v>
      </c>
      <c r="V169" s="6">
        <f>IF(AND(U169=1,O169&lt;=Settings!$B$36),1,0)</f>
        <v>0</v>
      </c>
    </row>
    <row r="170" spans="1:22" x14ac:dyDescent="0.2">
      <c r="A170">
        <f>Arrivals!A170</f>
        <v>2</v>
      </c>
      <c r="B170">
        <f>Arrivals!B170</f>
        <v>45</v>
      </c>
      <c r="C170" s="6">
        <f>Arrivals!F170</f>
        <v>354</v>
      </c>
      <c r="D170" s="6">
        <f>Arrivals!J170</f>
        <v>20.735367642681158</v>
      </c>
      <c r="E170" s="6">
        <f t="shared" si="59"/>
        <v>592.87927647242634</v>
      </c>
      <c r="F170" s="6">
        <f t="shared" si="50"/>
        <v>592.87927647242634</v>
      </c>
      <c r="G170" s="6">
        <f t="shared" si="51"/>
        <v>613.61464411510747</v>
      </c>
      <c r="H170" s="6">
        <f>Arrivals!L170</f>
        <v>75</v>
      </c>
      <c r="I170" s="6">
        <f>H170*8/ACE_Input!S50+ACE_Input!T50</f>
        <v>6.02</v>
      </c>
      <c r="J170" s="6">
        <f t="shared" si="60"/>
        <v>732.04</v>
      </c>
      <c r="K170" s="6">
        <f t="shared" si="52"/>
        <v>732.04</v>
      </c>
      <c r="L170" s="6">
        <f>MOD(K170-Settings!$B$32,Settings!$B$33)</f>
        <v>12.039999999999964</v>
      </c>
      <c r="M170" s="6">
        <f>IF(L170&lt;Settings!$B$30,IF(Settings!$B$30-L170&gt;=I170,K170,K170+(Settings!$B$30-L170)+Settings!$B$31),K170+(Settings!$B$33-L170))</f>
        <v>732.04</v>
      </c>
      <c r="N170" s="6">
        <f t="shared" si="53"/>
        <v>738.06</v>
      </c>
      <c r="O170" s="6">
        <f t="shared" si="54"/>
        <v>384.05999999999995</v>
      </c>
      <c r="P170" s="6">
        <f t="shared" si="55"/>
        <v>238.87927647242634</v>
      </c>
      <c r="Q170" s="6">
        <f t="shared" si="56"/>
        <v>118.4253558848925</v>
      </c>
      <c r="R170" s="6">
        <f t="shared" si="57"/>
        <v>0</v>
      </c>
      <c r="S170" s="6">
        <f t="shared" si="58"/>
        <v>357.30463235731884</v>
      </c>
      <c r="T170" s="6" t="str">
        <f>IF(MOD(C170-Settings!$B$32,Settings!$B$33)&lt;Settings!$B$30,"Up","Down")</f>
        <v>Up</v>
      </c>
      <c r="U170" s="6">
        <f>IF(OR(I170&gt;Settings!$B$30,O170&gt;Settings!$B$37),0,1)</f>
        <v>1</v>
      </c>
      <c r="V170" s="6">
        <f>IF(AND(U170=1,O170&lt;=Settings!$B$36),1,0)</f>
        <v>0</v>
      </c>
    </row>
    <row r="171" spans="1:22" x14ac:dyDescent="0.2">
      <c r="A171">
        <f>Arrivals!A171</f>
        <v>2</v>
      </c>
      <c r="B171">
        <f>Arrivals!B171</f>
        <v>46</v>
      </c>
      <c r="C171" s="6">
        <f>Arrivals!F171</f>
        <v>359</v>
      </c>
      <c r="D171" s="6">
        <f>Arrivals!J171</f>
        <v>3.5871239006412594</v>
      </c>
      <c r="E171" s="6">
        <f t="shared" si="59"/>
        <v>613.61464411510747</v>
      </c>
      <c r="F171" s="6">
        <f t="shared" si="50"/>
        <v>613.61464411510747</v>
      </c>
      <c r="G171" s="6">
        <f t="shared" si="51"/>
        <v>617.20176801574871</v>
      </c>
      <c r="H171" s="6">
        <f>Arrivals!L171</f>
        <v>75</v>
      </c>
      <c r="I171" s="6">
        <f>H171*8/ACE_Input!S51+ACE_Input!T51</f>
        <v>6.02</v>
      </c>
      <c r="J171" s="6">
        <f t="shared" si="60"/>
        <v>738.06</v>
      </c>
      <c r="K171" s="6">
        <f t="shared" si="52"/>
        <v>738.06</v>
      </c>
      <c r="L171" s="6">
        <f>MOD(K171-Settings!$B$32,Settings!$B$33)</f>
        <v>18.059999999999945</v>
      </c>
      <c r="M171" s="6">
        <f>IF(L171&lt;Settings!$B$30,IF(Settings!$B$30-L171&gt;=I171,K171,K171+(Settings!$B$30-L171)+Settings!$B$31),K171+(Settings!$B$33-L171))</f>
        <v>738.06</v>
      </c>
      <c r="N171" s="6">
        <f t="shared" si="53"/>
        <v>744.07999999999993</v>
      </c>
      <c r="O171" s="6">
        <f t="shared" si="54"/>
        <v>385.07999999999993</v>
      </c>
      <c r="P171" s="6">
        <f t="shared" si="55"/>
        <v>254.61464411510747</v>
      </c>
      <c r="Q171" s="6">
        <f t="shared" si="56"/>
        <v>120.85823198425123</v>
      </c>
      <c r="R171" s="6">
        <f t="shared" si="57"/>
        <v>0</v>
      </c>
      <c r="S171" s="6">
        <f t="shared" si="58"/>
        <v>375.4728760993587</v>
      </c>
      <c r="T171" s="6" t="str">
        <f>IF(MOD(C171-Settings!$B$32,Settings!$B$33)&lt;Settings!$B$30,"Up","Down")</f>
        <v>Up</v>
      </c>
      <c r="U171" s="6">
        <f>IF(OR(I171&gt;Settings!$B$30,O171&gt;Settings!$B$37),0,1)</f>
        <v>1</v>
      </c>
      <c r="V171" s="6">
        <f>IF(AND(U171=1,O171&lt;=Settings!$B$36),1,0)</f>
        <v>0</v>
      </c>
    </row>
    <row r="172" spans="1:22" x14ac:dyDescent="0.2">
      <c r="A172">
        <f>Arrivals!A172</f>
        <v>2</v>
      </c>
      <c r="B172">
        <f>Arrivals!B172</f>
        <v>47</v>
      </c>
      <c r="C172" s="6">
        <f>Arrivals!F172</f>
        <v>364</v>
      </c>
      <c r="D172" s="6">
        <f>Arrivals!J172</f>
        <v>14.489418842440418</v>
      </c>
      <c r="E172" s="6">
        <f t="shared" si="59"/>
        <v>617.20176801574871</v>
      </c>
      <c r="F172" s="6">
        <f t="shared" si="50"/>
        <v>617.20176801574871</v>
      </c>
      <c r="G172" s="6">
        <f t="shared" si="51"/>
        <v>631.6911868581891</v>
      </c>
      <c r="H172" s="6">
        <f>Arrivals!L172</f>
        <v>75</v>
      </c>
      <c r="I172" s="6">
        <f>H172*8/ACE_Input!S52+ACE_Input!T52</f>
        <v>6.02</v>
      </c>
      <c r="J172" s="6">
        <f t="shared" si="60"/>
        <v>744.07999999999993</v>
      </c>
      <c r="K172" s="6">
        <f t="shared" si="52"/>
        <v>744.07999999999993</v>
      </c>
      <c r="L172" s="6">
        <f>MOD(K172-Settings!$B$32,Settings!$B$33)</f>
        <v>24.079999999999927</v>
      </c>
      <c r="M172" s="6">
        <f>IF(L172&lt;Settings!$B$30,IF(Settings!$B$30-L172&gt;=I172,K172,K172+(Settings!$B$30-L172)+Settings!$B$31),K172+(Settings!$B$33-L172))</f>
        <v>744.07999999999993</v>
      </c>
      <c r="N172" s="6">
        <f t="shared" si="53"/>
        <v>750.09999999999991</v>
      </c>
      <c r="O172" s="6">
        <f t="shared" si="54"/>
        <v>386.09999999999991</v>
      </c>
      <c r="P172" s="6">
        <f t="shared" si="55"/>
        <v>253.20176801574871</v>
      </c>
      <c r="Q172" s="6">
        <f t="shared" si="56"/>
        <v>112.38881314181083</v>
      </c>
      <c r="R172" s="6">
        <f t="shared" si="57"/>
        <v>0</v>
      </c>
      <c r="S172" s="6">
        <f t="shared" si="58"/>
        <v>365.59058115755954</v>
      </c>
      <c r="T172" s="6" t="str">
        <f>IF(MOD(C172-Settings!$B$32,Settings!$B$33)&lt;Settings!$B$30,"Up","Down")</f>
        <v>Up</v>
      </c>
      <c r="U172" s="6">
        <f>IF(OR(I172&gt;Settings!$B$30,O172&gt;Settings!$B$37),0,1)</f>
        <v>1</v>
      </c>
      <c r="V172" s="6">
        <f>IF(AND(U172=1,O172&lt;=Settings!$B$36),1,0)</f>
        <v>0</v>
      </c>
    </row>
    <row r="173" spans="1:22" x14ac:dyDescent="0.2">
      <c r="A173">
        <f>Arrivals!A173</f>
        <v>2</v>
      </c>
      <c r="B173">
        <f>Arrivals!B173</f>
        <v>48</v>
      </c>
      <c r="C173" s="6">
        <f>Arrivals!F173</f>
        <v>369</v>
      </c>
      <c r="D173" s="6">
        <f>Arrivals!J173</f>
        <v>6.3277597174456588</v>
      </c>
      <c r="E173" s="6">
        <f t="shared" si="59"/>
        <v>631.6911868581891</v>
      </c>
      <c r="F173" s="6">
        <f t="shared" si="50"/>
        <v>631.6911868581891</v>
      </c>
      <c r="G173" s="6">
        <f t="shared" si="51"/>
        <v>638.0189465756348</v>
      </c>
      <c r="H173" s="6">
        <f>Arrivals!L173</f>
        <v>75</v>
      </c>
      <c r="I173" s="6">
        <f>H173*8/ACE_Input!S53+ACE_Input!T53</f>
        <v>6.02</v>
      </c>
      <c r="J173" s="6">
        <f t="shared" si="60"/>
        <v>750.09999999999991</v>
      </c>
      <c r="K173" s="6">
        <f t="shared" si="52"/>
        <v>750.09999999999991</v>
      </c>
      <c r="L173" s="6">
        <f>MOD(K173-Settings!$B$32,Settings!$B$33)</f>
        <v>30.099999999999909</v>
      </c>
      <c r="M173" s="6">
        <f>IF(L173&lt;Settings!$B$30,IF(Settings!$B$30-L173&gt;=I173,K173,K173+(Settings!$B$30-L173)+Settings!$B$31),K173+(Settings!$B$33-L173))</f>
        <v>750.09999999999991</v>
      </c>
      <c r="N173" s="6">
        <f t="shared" si="53"/>
        <v>756.11999999999989</v>
      </c>
      <c r="O173" s="6">
        <f t="shared" si="54"/>
        <v>387.11999999999989</v>
      </c>
      <c r="P173" s="6">
        <f t="shared" si="55"/>
        <v>262.6911868581891</v>
      </c>
      <c r="Q173" s="6">
        <f t="shared" si="56"/>
        <v>112.08105342436511</v>
      </c>
      <c r="R173" s="6">
        <f t="shared" si="57"/>
        <v>0</v>
      </c>
      <c r="S173" s="6">
        <f t="shared" si="58"/>
        <v>374.77224028255421</v>
      </c>
      <c r="T173" s="6" t="str">
        <f>IF(MOD(C173-Settings!$B$32,Settings!$B$33)&lt;Settings!$B$30,"Up","Down")</f>
        <v>Up</v>
      </c>
      <c r="U173" s="6">
        <f>IF(OR(I173&gt;Settings!$B$30,O173&gt;Settings!$B$37),0,1)</f>
        <v>1</v>
      </c>
      <c r="V173" s="6">
        <f>IF(AND(U173=1,O173&lt;=Settings!$B$36),1,0)</f>
        <v>0</v>
      </c>
    </row>
    <row r="174" spans="1:22" x14ac:dyDescent="0.2">
      <c r="A174">
        <f>Arrivals!A174</f>
        <v>2</v>
      </c>
      <c r="B174">
        <f>Arrivals!B174</f>
        <v>49</v>
      </c>
      <c r="C174" s="6">
        <f>Arrivals!F174</f>
        <v>374</v>
      </c>
      <c r="D174" s="6">
        <f>Arrivals!J174</f>
        <v>14.526406347146258</v>
      </c>
      <c r="E174" s="6">
        <f t="shared" si="59"/>
        <v>638.0189465756348</v>
      </c>
      <c r="F174" s="6">
        <f t="shared" si="50"/>
        <v>638.0189465756348</v>
      </c>
      <c r="G174" s="6">
        <f t="shared" si="51"/>
        <v>652.54535292278103</v>
      </c>
      <c r="H174" s="6">
        <f>Arrivals!L174</f>
        <v>75</v>
      </c>
      <c r="I174" s="6">
        <f>H174*8/ACE_Input!S54+ACE_Input!T54</f>
        <v>6.02</v>
      </c>
      <c r="J174" s="6">
        <f t="shared" si="60"/>
        <v>756.11999999999989</v>
      </c>
      <c r="K174" s="6">
        <f t="shared" si="52"/>
        <v>756.11999999999989</v>
      </c>
      <c r="L174" s="6">
        <f>MOD(K174-Settings!$B$32,Settings!$B$33)</f>
        <v>36.119999999999891</v>
      </c>
      <c r="M174" s="6">
        <f>IF(L174&lt;Settings!$B$30,IF(Settings!$B$30-L174&gt;=I174,K174,K174+(Settings!$B$30-L174)+Settings!$B$31),K174+(Settings!$B$33-L174))</f>
        <v>756.11999999999989</v>
      </c>
      <c r="N174" s="6">
        <f t="shared" si="53"/>
        <v>762.13999999999987</v>
      </c>
      <c r="O174" s="6">
        <f t="shared" si="54"/>
        <v>388.13999999999987</v>
      </c>
      <c r="P174" s="6">
        <f t="shared" si="55"/>
        <v>264.0189465756348</v>
      </c>
      <c r="Q174" s="6">
        <f t="shared" si="56"/>
        <v>103.57464707721886</v>
      </c>
      <c r="R174" s="6">
        <f t="shared" si="57"/>
        <v>0</v>
      </c>
      <c r="S174" s="6">
        <f t="shared" si="58"/>
        <v>367.59359365285366</v>
      </c>
      <c r="T174" s="6" t="str">
        <f>IF(MOD(C174-Settings!$B$32,Settings!$B$33)&lt;Settings!$B$30,"Up","Down")</f>
        <v>Up</v>
      </c>
      <c r="U174" s="6">
        <f>IF(OR(I174&gt;Settings!$B$30,O174&gt;Settings!$B$37),0,1)</f>
        <v>1</v>
      </c>
      <c r="V174" s="6">
        <f>IF(AND(U174=1,O174&lt;=Settings!$B$36),1,0)</f>
        <v>0</v>
      </c>
    </row>
    <row r="175" spans="1:22" x14ac:dyDescent="0.2">
      <c r="A175">
        <f>Arrivals!A175</f>
        <v>2</v>
      </c>
      <c r="B175">
        <f>Arrivals!B175</f>
        <v>50</v>
      </c>
      <c r="C175" s="6">
        <f>Arrivals!F175</f>
        <v>379</v>
      </c>
      <c r="D175" s="6">
        <f>Arrivals!J175</f>
        <v>24.783843799933585</v>
      </c>
      <c r="E175" s="6">
        <f t="shared" si="59"/>
        <v>652.54535292278103</v>
      </c>
      <c r="F175" s="6">
        <f t="shared" si="50"/>
        <v>652.54535292278103</v>
      </c>
      <c r="G175" s="6">
        <f t="shared" si="51"/>
        <v>677.32919672271464</v>
      </c>
      <c r="H175" s="6">
        <f>Arrivals!L175</f>
        <v>75</v>
      </c>
      <c r="I175" s="6">
        <f>H175*8/ACE_Input!S55+ACE_Input!T55</f>
        <v>6.02</v>
      </c>
      <c r="J175" s="6">
        <f t="shared" si="60"/>
        <v>762.13999999999987</v>
      </c>
      <c r="K175" s="6">
        <f t="shared" si="52"/>
        <v>762.13999999999987</v>
      </c>
      <c r="L175" s="6">
        <f>MOD(K175-Settings!$B$32,Settings!$B$33)</f>
        <v>42.139999999999873</v>
      </c>
      <c r="M175" s="6">
        <f>IF(L175&lt;Settings!$B$30,IF(Settings!$B$30-L175&gt;=I175,K175,K175+(Settings!$B$30-L175)+Settings!$B$31),K175+(Settings!$B$33-L175))</f>
        <v>762.13999999999987</v>
      </c>
      <c r="N175" s="6">
        <f t="shared" si="53"/>
        <v>768.15999999999985</v>
      </c>
      <c r="O175" s="6">
        <f t="shared" si="54"/>
        <v>389.15999999999985</v>
      </c>
      <c r="P175" s="6">
        <f t="shared" si="55"/>
        <v>273.54535292278103</v>
      </c>
      <c r="Q175" s="6">
        <f t="shared" si="56"/>
        <v>84.810803277285231</v>
      </c>
      <c r="R175" s="6">
        <f t="shared" si="57"/>
        <v>0</v>
      </c>
      <c r="S175" s="6">
        <f t="shared" si="58"/>
        <v>358.35615620006627</v>
      </c>
      <c r="T175" s="6" t="str">
        <f>IF(MOD(C175-Settings!$B$32,Settings!$B$33)&lt;Settings!$B$30,"Up","Down")</f>
        <v>Up</v>
      </c>
      <c r="U175" s="6">
        <f>IF(OR(I175&gt;Settings!$B$30,O175&gt;Settings!$B$37),0,1)</f>
        <v>1</v>
      </c>
      <c r="V175" s="6">
        <f>IF(AND(U175=1,O175&lt;=Settings!$B$36),1,0)</f>
        <v>0</v>
      </c>
    </row>
    <row r="176" spans="1:22" x14ac:dyDescent="0.2">
      <c r="A176">
        <f>Arrivals!A176</f>
        <v>2</v>
      </c>
      <c r="B176">
        <f>Arrivals!B176</f>
        <v>51</v>
      </c>
      <c r="C176" s="6">
        <f>Arrivals!F176</f>
        <v>384</v>
      </c>
      <c r="D176" s="6">
        <f>Arrivals!J176</f>
        <v>3.4140891716705526</v>
      </c>
      <c r="E176" s="6">
        <f t="shared" si="59"/>
        <v>677.32919672271464</v>
      </c>
      <c r="F176" s="6">
        <f t="shared" si="50"/>
        <v>677.32919672271464</v>
      </c>
      <c r="G176" s="6">
        <f t="shared" si="51"/>
        <v>680.74328589438517</v>
      </c>
      <c r="H176" s="6">
        <f>Arrivals!L176</f>
        <v>75</v>
      </c>
      <c r="I176" s="6">
        <f>H176*8/ACE_Input!S56+ACE_Input!T56</f>
        <v>6.02</v>
      </c>
      <c r="J176" s="6">
        <f t="shared" si="60"/>
        <v>768.15999999999985</v>
      </c>
      <c r="K176" s="6">
        <f t="shared" si="52"/>
        <v>768.15999999999985</v>
      </c>
      <c r="L176" s="6">
        <f>MOD(K176-Settings!$B$32,Settings!$B$33)</f>
        <v>48.159999999999854</v>
      </c>
      <c r="M176" s="6">
        <f>IF(L176&lt;Settings!$B$30,IF(Settings!$B$30-L176&gt;=I176,K176,K176+(Settings!$B$30-L176)+Settings!$B$31),K176+(Settings!$B$33-L176))</f>
        <v>768.15999999999985</v>
      </c>
      <c r="N176" s="6">
        <f t="shared" si="53"/>
        <v>774.17999999999984</v>
      </c>
      <c r="O176" s="6">
        <f t="shared" si="54"/>
        <v>390.17999999999984</v>
      </c>
      <c r="P176" s="6">
        <f t="shared" si="55"/>
        <v>293.32919672271464</v>
      </c>
      <c r="Q176" s="6">
        <f t="shared" si="56"/>
        <v>87.416714105614687</v>
      </c>
      <c r="R176" s="6">
        <f t="shared" si="57"/>
        <v>0</v>
      </c>
      <c r="S176" s="6">
        <f t="shared" si="58"/>
        <v>380.74591082832933</v>
      </c>
      <c r="T176" s="6" t="str">
        <f>IF(MOD(C176-Settings!$B$32,Settings!$B$33)&lt;Settings!$B$30,"Up","Down")</f>
        <v>Up</v>
      </c>
      <c r="U176" s="6">
        <f>IF(OR(I176&gt;Settings!$B$30,O176&gt;Settings!$B$37),0,1)</f>
        <v>1</v>
      </c>
      <c r="V176" s="6">
        <f>IF(AND(U176=1,O176&lt;=Settings!$B$36),1,0)</f>
        <v>0</v>
      </c>
    </row>
    <row r="177" spans="1:22" x14ac:dyDescent="0.2">
      <c r="A177">
        <f>Arrivals!A177</f>
        <v>2</v>
      </c>
      <c r="B177">
        <f>Arrivals!B177</f>
        <v>52</v>
      </c>
      <c r="C177" s="6">
        <f>Arrivals!F177</f>
        <v>389</v>
      </c>
      <c r="D177" s="6">
        <f>Arrivals!J177</f>
        <v>13.277187593241216</v>
      </c>
      <c r="E177" s="6">
        <f t="shared" si="59"/>
        <v>680.74328589438517</v>
      </c>
      <c r="F177" s="6">
        <f t="shared" si="50"/>
        <v>680.74328589438517</v>
      </c>
      <c r="G177" s="6">
        <f t="shared" si="51"/>
        <v>694.02047348762642</v>
      </c>
      <c r="H177" s="6">
        <f>Arrivals!L177</f>
        <v>75</v>
      </c>
      <c r="I177" s="6">
        <f>H177*8/ACE_Input!S57+ACE_Input!T57</f>
        <v>6.02</v>
      </c>
      <c r="J177" s="6">
        <f t="shared" si="60"/>
        <v>774.17999999999984</v>
      </c>
      <c r="K177" s="6">
        <f t="shared" si="52"/>
        <v>774.17999999999984</v>
      </c>
      <c r="L177" s="6">
        <f>MOD(K177-Settings!$B$32,Settings!$B$33)</f>
        <v>54.179999999999836</v>
      </c>
      <c r="M177" s="6">
        <f>IF(L177&lt;Settings!$B$30,IF(Settings!$B$30-L177&gt;=I177,K177,K177+(Settings!$B$30-L177)+Settings!$B$31),K177+(Settings!$B$33-L177))</f>
        <v>774.17999999999984</v>
      </c>
      <c r="N177" s="6">
        <f t="shared" si="53"/>
        <v>780.19999999999982</v>
      </c>
      <c r="O177" s="6">
        <f t="shared" si="54"/>
        <v>391.19999999999982</v>
      </c>
      <c r="P177" s="6">
        <f t="shared" si="55"/>
        <v>291.74328589438517</v>
      </c>
      <c r="Q177" s="6">
        <f t="shared" si="56"/>
        <v>80.159526512373418</v>
      </c>
      <c r="R177" s="6">
        <f t="shared" si="57"/>
        <v>0</v>
      </c>
      <c r="S177" s="6">
        <f t="shared" si="58"/>
        <v>371.90281240675858</v>
      </c>
      <c r="T177" s="6" t="str">
        <f>IF(MOD(C177-Settings!$B$32,Settings!$B$33)&lt;Settings!$B$30,"Up","Down")</f>
        <v>Up</v>
      </c>
      <c r="U177" s="6">
        <f>IF(OR(I177&gt;Settings!$B$30,O177&gt;Settings!$B$37),0,1)</f>
        <v>1</v>
      </c>
      <c r="V177" s="6">
        <f>IF(AND(U177=1,O177&lt;=Settings!$B$36),1,0)</f>
        <v>0</v>
      </c>
    </row>
    <row r="178" spans="1:22" x14ac:dyDescent="0.2">
      <c r="A178">
        <f>Arrivals!A178</f>
        <v>2</v>
      </c>
      <c r="B178">
        <f>Arrivals!B178</f>
        <v>53</v>
      </c>
      <c r="C178" s="6">
        <f>Arrivals!F178</f>
        <v>394</v>
      </c>
      <c r="D178" s="6">
        <f>Arrivals!J178</f>
        <v>4.3854883132894198</v>
      </c>
      <c r="E178" s="6">
        <f t="shared" si="59"/>
        <v>694.02047348762642</v>
      </c>
      <c r="F178" s="6">
        <f t="shared" si="50"/>
        <v>694.02047348762642</v>
      </c>
      <c r="G178" s="6">
        <f t="shared" si="51"/>
        <v>698.40596180091586</v>
      </c>
      <c r="H178" s="6">
        <f>Arrivals!L178</f>
        <v>75</v>
      </c>
      <c r="I178" s="6">
        <f>H178*8/ACE_Input!S58+ACE_Input!T58</f>
        <v>6.02</v>
      </c>
      <c r="J178" s="6">
        <f t="shared" si="60"/>
        <v>780.19999999999982</v>
      </c>
      <c r="K178" s="6">
        <f t="shared" si="52"/>
        <v>780.19999999999982</v>
      </c>
      <c r="L178" s="6">
        <f>MOD(K178-Settings!$B$32,Settings!$B$33)</f>
        <v>60.199999999999818</v>
      </c>
      <c r="M178" s="6">
        <f>IF(L178&lt;Settings!$B$30,IF(Settings!$B$30-L178&gt;=I178,K178,K178+(Settings!$B$30-L178)+Settings!$B$31),K178+(Settings!$B$33-L178))</f>
        <v>780.19999999999982</v>
      </c>
      <c r="N178" s="6">
        <f t="shared" si="53"/>
        <v>786.2199999999998</v>
      </c>
      <c r="O178" s="6">
        <f t="shared" si="54"/>
        <v>392.2199999999998</v>
      </c>
      <c r="P178" s="6">
        <f t="shared" si="55"/>
        <v>300.02047348762642</v>
      </c>
      <c r="Q178" s="6">
        <f t="shared" si="56"/>
        <v>81.794038199083957</v>
      </c>
      <c r="R178" s="6">
        <f t="shared" si="57"/>
        <v>0</v>
      </c>
      <c r="S178" s="6">
        <f t="shared" si="58"/>
        <v>381.81451168671038</v>
      </c>
      <c r="T178" s="6" t="str">
        <f>IF(MOD(C178-Settings!$B$32,Settings!$B$33)&lt;Settings!$B$30,"Up","Down")</f>
        <v>Up</v>
      </c>
      <c r="U178" s="6">
        <f>IF(OR(I178&gt;Settings!$B$30,O178&gt;Settings!$B$37),0,1)</f>
        <v>1</v>
      </c>
      <c r="V178" s="6">
        <f>IF(AND(U178=1,O178&lt;=Settings!$B$36),1,0)</f>
        <v>0</v>
      </c>
    </row>
    <row r="179" spans="1:22" x14ac:dyDescent="0.2">
      <c r="A179">
        <f>Arrivals!A179</f>
        <v>2</v>
      </c>
      <c r="B179">
        <f>Arrivals!B179</f>
        <v>54</v>
      </c>
      <c r="C179" s="6">
        <f>Arrivals!F179</f>
        <v>399</v>
      </c>
      <c r="D179" s="6">
        <f>Arrivals!J179</f>
        <v>42.841332235826137</v>
      </c>
      <c r="E179" s="6">
        <f t="shared" si="59"/>
        <v>698.40596180091586</v>
      </c>
      <c r="F179" s="6">
        <f t="shared" si="50"/>
        <v>698.40596180091586</v>
      </c>
      <c r="G179" s="6">
        <f t="shared" si="51"/>
        <v>741.24729403674201</v>
      </c>
      <c r="H179" s="6">
        <f>Arrivals!L179</f>
        <v>75</v>
      </c>
      <c r="I179" s="6">
        <f>H179*8/ACE_Input!S59+ACE_Input!T59</f>
        <v>6.02</v>
      </c>
      <c r="J179" s="6">
        <f t="shared" si="60"/>
        <v>786.2199999999998</v>
      </c>
      <c r="K179" s="6">
        <f t="shared" si="52"/>
        <v>786.2199999999998</v>
      </c>
      <c r="L179" s="6">
        <f>MOD(K179-Settings!$B$32,Settings!$B$33)</f>
        <v>66.2199999999998</v>
      </c>
      <c r="M179" s="6">
        <f>IF(L179&lt;Settings!$B$30,IF(Settings!$B$30-L179&gt;=I179,K179,K179+(Settings!$B$30-L179)+Settings!$B$31),K179+(Settings!$B$33-L179))</f>
        <v>786.2199999999998</v>
      </c>
      <c r="N179" s="6">
        <f t="shared" si="53"/>
        <v>792.23999999999978</v>
      </c>
      <c r="O179" s="6">
        <f t="shared" si="54"/>
        <v>393.23999999999978</v>
      </c>
      <c r="P179" s="6">
        <f t="shared" si="55"/>
        <v>299.40596180091586</v>
      </c>
      <c r="Q179" s="6">
        <f t="shared" si="56"/>
        <v>44.972705963257795</v>
      </c>
      <c r="R179" s="6">
        <f t="shared" si="57"/>
        <v>0</v>
      </c>
      <c r="S179" s="6">
        <f t="shared" si="58"/>
        <v>344.37866776417366</v>
      </c>
      <c r="T179" s="6" t="str">
        <f>IF(MOD(C179-Settings!$B$32,Settings!$B$33)&lt;Settings!$B$30,"Up","Down")</f>
        <v>Up</v>
      </c>
      <c r="U179" s="6">
        <f>IF(OR(I179&gt;Settings!$B$30,O179&gt;Settings!$B$37),0,1)</f>
        <v>1</v>
      </c>
      <c r="V179" s="6">
        <f>IF(AND(U179=1,O179&lt;=Settings!$B$36),1,0)</f>
        <v>0</v>
      </c>
    </row>
    <row r="180" spans="1:22" x14ac:dyDescent="0.2">
      <c r="A180">
        <f>Arrivals!A180</f>
        <v>2</v>
      </c>
      <c r="B180">
        <f>Arrivals!B180</f>
        <v>55</v>
      </c>
      <c r="C180" s="6">
        <f>Arrivals!F180</f>
        <v>404</v>
      </c>
      <c r="D180" s="6">
        <f>Arrivals!J180</f>
        <v>21.775461387664983</v>
      </c>
      <c r="E180" s="6">
        <f t="shared" si="59"/>
        <v>741.24729403674201</v>
      </c>
      <c r="F180" s="6">
        <f t="shared" si="50"/>
        <v>741.24729403674201</v>
      </c>
      <c r="G180" s="6">
        <f t="shared" si="51"/>
        <v>763.02275542440702</v>
      </c>
      <c r="H180" s="6">
        <f>Arrivals!L180</f>
        <v>75</v>
      </c>
      <c r="I180" s="6">
        <f>H180*8/ACE_Input!S60+ACE_Input!T60</f>
        <v>6.02</v>
      </c>
      <c r="J180" s="6">
        <f t="shared" si="60"/>
        <v>792.23999999999978</v>
      </c>
      <c r="K180" s="6">
        <f t="shared" si="52"/>
        <v>792.23999999999978</v>
      </c>
      <c r="L180" s="6">
        <f>MOD(K180-Settings!$B$32,Settings!$B$33)</f>
        <v>72.239999999999782</v>
      </c>
      <c r="M180" s="6">
        <f>IF(L180&lt;Settings!$B$30,IF(Settings!$B$30-L180&gt;=I180,K180,K180+(Settings!$B$30-L180)+Settings!$B$31),K180+(Settings!$B$33-L180))</f>
        <v>792.23999999999978</v>
      </c>
      <c r="N180" s="6">
        <f t="shared" si="53"/>
        <v>798.25999999999976</v>
      </c>
      <c r="O180" s="6">
        <f t="shared" si="54"/>
        <v>394.25999999999976</v>
      </c>
      <c r="P180" s="6">
        <f t="shared" si="55"/>
        <v>337.24729403674201</v>
      </c>
      <c r="Q180" s="6">
        <f t="shared" si="56"/>
        <v>29.217244575592758</v>
      </c>
      <c r="R180" s="6">
        <f t="shared" si="57"/>
        <v>0</v>
      </c>
      <c r="S180" s="6">
        <f t="shared" si="58"/>
        <v>366.46453861233476</v>
      </c>
      <c r="T180" s="6" t="str">
        <f>IF(MOD(C180-Settings!$B$32,Settings!$B$33)&lt;Settings!$B$30,"Up","Down")</f>
        <v>Up</v>
      </c>
      <c r="U180" s="6">
        <f>IF(OR(I180&gt;Settings!$B$30,O180&gt;Settings!$B$37),0,1)</f>
        <v>1</v>
      </c>
      <c r="V180" s="6">
        <f>IF(AND(U180=1,O180&lt;=Settings!$B$36),1,0)</f>
        <v>0</v>
      </c>
    </row>
    <row r="181" spans="1:22" x14ac:dyDescent="0.2">
      <c r="A181">
        <f>Arrivals!A181</f>
        <v>2</v>
      </c>
      <c r="B181">
        <f>Arrivals!B181</f>
        <v>56</v>
      </c>
      <c r="C181" s="6">
        <f>Arrivals!F181</f>
        <v>409</v>
      </c>
      <c r="D181" s="6">
        <f>Arrivals!J181</f>
        <v>1.921537706395382</v>
      </c>
      <c r="E181" s="6">
        <f t="shared" si="59"/>
        <v>763.02275542440702</v>
      </c>
      <c r="F181" s="6">
        <f t="shared" si="50"/>
        <v>763.02275542440702</v>
      </c>
      <c r="G181" s="6">
        <f t="shared" si="51"/>
        <v>764.94429313080241</v>
      </c>
      <c r="H181" s="6">
        <f>Arrivals!L181</f>
        <v>75</v>
      </c>
      <c r="I181" s="6">
        <f>H181*8/ACE_Input!S61+ACE_Input!T61</f>
        <v>6.02</v>
      </c>
      <c r="J181" s="6">
        <f t="shared" si="60"/>
        <v>798.25999999999976</v>
      </c>
      <c r="K181" s="6">
        <f t="shared" si="52"/>
        <v>798.25999999999976</v>
      </c>
      <c r="L181" s="6">
        <f>MOD(K181-Settings!$B$32,Settings!$B$33)</f>
        <v>78.259999999999764</v>
      </c>
      <c r="M181" s="6">
        <f>IF(L181&lt;Settings!$B$30,IF(Settings!$B$30-L181&gt;=I181,K181,K181+(Settings!$B$30-L181)+Settings!$B$31),K181+(Settings!$B$33-L181))</f>
        <v>798.25999999999976</v>
      </c>
      <c r="N181" s="6">
        <f t="shared" si="53"/>
        <v>804.27999999999975</v>
      </c>
      <c r="O181" s="6">
        <f t="shared" si="54"/>
        <v>395.27999999999975</v>
      </c>
      <c r="P181" s="6">
        <f t="shared" si="55"/>
        <v>354.02275542440702</v>
      </c>
      <c r="Q181" s="6">
        <f t="shared" si="56"/>
        <v>33.315706869197356</v>
      </c>
      <c r="R181" s="6">
        <f t="shared" si="57"/>
        <v>0</v>
      </c>
      <c r="S181" s="6">
        <f t="shared" si="58"/>
        <v>387.33846229360438</v>
      </c>
      <c r="T181" s="6" t="str">
        <f>IF(MOD(C181-Settings!$B$32,Settings!$B$33)&lt;Settings!$B$30,"Up","Down")</f>
        <v>Up</v>
      </c>
      <c r="U181" s="6">
        <f>IF(OR(I181&gt;Settings!$B$30,O181&gt;Settings!$B$37),0,1)</f>
        <v>1</v>
      </c>
      <c r="V181" s="6">
        <f>IF(AND(U181=1,O181&lt;=Settings!$B$36),1,0)</f>
        <v>0</v>
      </c>
    </row>
    <row r="182" spans="1:22" x14ac:dyDescent="0.2">
      <c r="A182">
        <f>Arrivals!A182</f>
        <v>2</v>
      </c>
      <c r="B182">
        <f>Arrivals!B182</f>
        <v>57</v>
      </c>
      <c r="C182" s="6">
        <f>Arrivals!F182</f>
        <v>414</v>
      </c>
      <c r="D182" s="6">
        <f>Arrivals!J182</f>
        <v>23.128589153683045</v>
      </c>
      <c r="E182" s="6">
        <f t="shared" si="59"/>
        <v>764.94429313080241</v>
      </c>
      <c r="F182" s="6">
        <f t="shared" si="50"/>
        <v>764.94429313080241</v>
      </c>
      <c r="G182" s="6">
        <f t="shared" si="51"/>
        <v>788.07288228448544</v>
      </c>
      <c r="H182" s="6">
        <f>Arrivals!L182</f>
        <v>75</v>
      </c>
      <c r="I182" s="6">
        <f>H182*8/ACE_Input!S62+ACE_Input!T62</f>
        <v>6.02</v>
      </c>
      <c r="J182" s="6">
        <f t="shared" si="60"/>
        <v>804.27999999999975</v>
      </c>
      <c r="K182" s="6">
        <f t="shared" si="52"/>
        <v>804.27999999999975</v>
      </c>
      <c r="L182" s="6">
        <f>MOD(K182-Settings!$B$32,Settings!$B$33)</f>
        <v>84.279999999999745</v>
      </c>
      <c r="M182" s="6">
        <f>IF(L182&lt;Settings!$B$30,IF(Settings!$B$30-L182&gt;=I182,K182,K182+(Settings!$B$30-L182)+Settings!$B$31),K182+(Settings!$B$33-L182))</f>
        <v>804.27999999999975</v>
      </c>
      <c r="N182" s="6">
        <f t="shared" si="53"/>
        <v>810.29999999999973</v>
      </c>
      <c r="O182" s="6">
        <f t="shared" si="54"/>
        <v>396.29999999999973</v>
      </c>
      <c r="P182" s="6">
        <f t="shared" si="55"/>
        <v>350.94429313080241</v>
      </c>
      <c r="Q182" s="6">
        <f t="shared" si="56"/>
        <v>16.2071177155143</v>
      </c>
      <c r="R182" s="6">
        <f t="shared" si="57"/>
        <v>0</v>
      </c>
      <c r="S182" s="6">
        <f t="shared" si="58"/>
        <v>367.15141084631671</v>
      </c>
      <c r="T182" s="6" t="str">
        <f>IF(MOD(C182-Settings!$B$32,Settings!$B$33)&lt;Settings!$B$30,"Up","Down")</f>
        <v>Up</v>
      </c>
      <c r="U182" s="6">
        <f>IF(OR(I182&gt;Settings!$B$30,O182&gt;Settings!$B$37),0,1)</f>
        <v>1</v>
      </c>
      <c r="V182" s="6">
        <f>IF(AND(U182=1,O182&lt;=Settings!$B$36),1,0)</f>
        <v>0</v>
      </c>
    </row>
    <row r="183" spans="1:22" x14ac:dyDescent="0.2">
      <c r="A183">
        <f>Arrivals!A183</f>
        <v>2</v>
      </c>
      <c r="B183">
        <f>Arrivals!B183</f>
        <v>58</v>
      </c>
      <c r="C183" s="6">
        <f>Arrivals!F183</f>
        <v>419</v>
      </c>
      <c r="D183" s="6">
        <f>Arrivals!J183</f>
        <v>1.2681271962493106</v>
      </c>
      <c r="E183" s="6">
        <f t="shared" si="59"/>
        <v>788.07288228448544</v>
      </c>
      <c r="F183" s="6">
        <f t="shared" si="50"/>
        <v>788.07288228448544</v>
      </c>
      <c r="G183" s="6">
        <f t="shared" si="51"/>
        <v>789.34100948073478</v>
      </c>
      <c r="H183" s="6">
        <f>Arrivals!L183</f>
        <v>75</v>
      </c>
      <c r="I183" s="6">
        <f>H183*8/ACE_Input!S63+ACE_Input!T63</f>
        <v>6.02</v>
      </c>
      <c r="J183" s="6">
        <f t="shared" si="60"/>
        <v>810.29999999999973</v>
      </c>
      <c r="K183" s="6">
        <f t="shared" si="52"/>
        <v>810.29999999999973</v>
      </c>
      <c r="L183" s="6">
        <f>MOD(K183-Settings!$B$32,Settings!$B$33)</f>
        <v>90.299999999999727</v>
      </c>
      <c r="M183" s="6">
        <f>IF(L183&lt;Settings!$B$30,IF(Settings!$B$30-L183&gt;=I183,K183,K183+(Settings!$B$30-L183)+Settings!$B$31),K183+(Settings!$B$33-L183))</f>
        <v>810.29999999999973</v>
      </c>
      <c r="N183" s="6">
        <f t="shared" si="53"/>
        <v>816.31999999999971</v>
      </c>
      <c r="O183" s="6">
        <f t="shared" si="54"/>
        <v>397.31999999999971</v>
      </c>
      <c r="P183" s="6">
        <f t="shared" si="55"/>
        <v>369.07288228448544</v>
      </c>
      <c r="Q183" s="6">
        <f t="shared" si="56"/>
        <v>20.958990519264944</v>
      </c>
      <c r="R183" s="6">
        <f t="shared" si="57"/>
        <v>0</v>
      </c>
      <c r="S183" s="6">
        <f t="shared" si="58"/>
        <v>390.03187280375039</v>
      </c>
      <c r="T183" s="6" t="str">
        <f>IF(MOD(C183-Settings!$B$32,Settings!$B$33)&lt;Settings!$B$30,"Up","Down")</f>
        <v>Up</v>
      </c>
      <c r="U183" s="6">
        <f>IF(OR(I183&gt;Settings!$B$30,O183&gt;Settings!$B$37),0,1)</f>
        <v>1</v>
      </c>
      <c r="V183" s="6">
        <f>IF(AND(U183=1,O183&lt;=Settings!$B$36),1,0)</f>
        <v>0</v>
      </c>
    </row>
    <row r="184" spans="1:22" x14ac:dyDescent="0.2">
      <c r="A184">
        <f>Arrivals!A184</f>
        <v>2</v>
      </c>
      <c r="B184">
        <f>Arrivals!B184</f>
        <v>59</v>
      </c>
      <c r="C184" s="6">
        <f>Arrivals!F184</f>
        <v>424</v>
      </c>
      <c r="D184" s="6">
        <f>Arrivals!J184</f>
        <v>8.092077494695717</v>
      </c>
      <c r="E184" s="6">
        <f t="shared" si="59"/>
        <v>789.34100948073478</v>
      </c>
      <c r="F184" s="6">
        <f t="shared" si="50"/>
        <v>789.34100948073478</v>
      </c>
      <c r="G184" s="6">
        <f t="shared" si="51"/>
        <v>797.43308697543046</v>
      </c>
      <c r="H184" s="6">
        <f>Arrivals!L184</f>
        <v>75</v>
      </c>
      <c r="I184" s="6">
        <f>H184*8/ACE_Input!S64+ACE_Input!T64</f>
        <v>6.02</v>
      </c>
      <c r="J184" s="6">
        <f t="shared" si="60"/>
        <v>816.31999999999971</v>
      </c>
      <c r="K184" s="6">
        <f t="shared" si="52"/>
        <v>816.31999999999971</v>
      </c>
      <c r="L184" s="6">
        <f>MOD(K184-Settings!$B$32,Settings!$B$33)</f>
        <v>96.319999999999709</v>
      </c>
      <c r="M184" s="6">
        <f>IF(L184&lt;Settings!$B$30,IF(Settings!$B$30-L184&gt;=I184,K184,K184+(Settings!$B$30-L184)+Settings!$B$31),K184+(Settings!$B$33-L184))</f>
        <v>816.31999999999971</v>
      </c>
      <c r="N184" s="6">
        <f t="shared" si="53"/>
        <v>822.33999999999969</v>
      </c>
      <c r="O184" s="6">
        <f t="shared" si="54"/>
        <v>398.33999999999969</v>
      </c>
      <c r="P184" s="6">
        <f t="shared" si="55"/>
        <v>365.34100948073478</v>
      </c>
      <c r="Q184" s="6">
        <f t="shared" si="56"/>
        <v>18.886913024569253</v>
      </c>
      <c r="R184" s="6">
        <f t="shared" si="57"/>
        <v>0</v>
      </c>
      <c r="S184" s="6">
        <f t="shared" si="58"/>
        <v>384.22792250530404</v>
      </c>
      <c r="T184" s="6" t="str">
        <f>IF(MOD(C184-Settings!$B$32,Settings!$B$33)&lt;Settings!$B$30,"Up","Down")</f>
        <v>Up</v>
      </c>
      <c r="U184" s="6">
        <f>IF(OR(I184&gt;Settings!$B$30,O184&gt;Settings!$B$37),0,1)</f>
        <v>1</v>
      </c>
      <c r="V184" s="6">
        <f>IF(AND(U184=1,O184&lt;=Settings!$B$36),1,0)</f>
        <v>0</v>
      </c>
    </row>
    <row r="185" spans="1:22" x14ac:dyDescent="0.2">
      <c r="A185">
        <f>Arrivals!A185</f>
        <v>2</v>
      </c>
      <c r="B185">
        <f>Arrivals!B185</f>
        <v>60</v>
      </c>
      <c r="C185" s="6">
        <f>Arrivals!F185</f>
        <v>429</v>
      </c>
      <c r="D185" s="6">
        <f>Arrivals!J185</f>
        <v>37.622192224440923</v>
      </c>
      <c r="E185" s="6">
        <f t="shared" si="59"/>
        <v>797.43308697543046</v>
      </c>
      <c r="F185" s="6">
        <f t="shared" si="50"/>
        <v>797.43308697543046</v>
      </c>
      <c r="G185" s="6">
        <f t="shared" si="51"/>
        <v>835.05527919987139</v>
      </c>
      <c r="H185" s="6">
        <f>Arrivals!L185</f>
        <v>75</v>
      </c>
      <c r="I185" s="6">
        <f>H185*8/ACE_Input!S65+ACE_Input!T65</f>
        <v>6.02</v>
      </c>
      <c r="J185" s="6">
        <f t="shared" si="60"/>
        <v>822.33999999999969</v>
      </c>
      <c r="K185" s="6">
        <f t="shared" si="52"/>
        <v>835.05527919987139</v>
      </c>
      <c r="L185" s="6">
        <f>MOD(K185-Settings!$B$32,Settings!$B$33)</f>
        <v>115.05527919987139</v>
      </c>
      <c r="M185" s="6">
        <f>IF(L185&lt;Settings!$B$30,IF(Settings!$B$30-L185&gt;=I185,K185,K185+(Settings!$B$30-L185)+Settings!$B$31),K185+(Settings!$B$33-L185))</f>
        <v>835.05527919987139</v>
      </c>
      <c r="N185" s="6">
        <f t="shared" si="53"/>
        <v>841.07527919987137</v>
      </c>
      <c r="O185" s="6">
        <f t="shared" si="54"/>
        <v>412.07527919987137</v>
      </c>
      <c r="P185" s="6">
        <f t="shared" si="55"/>
        <v>368.43308697543046</v>
      </c>
      <c r="Q185" s="6">
        <f t="shared" si="56"/>
        <v>0</v>
      </c>
      <c r="R185" s="6">
        <f t="shared" si="57"/>
        <v>0</v>
      </c>
      <c r="S185" s="6">
        <f t="shared" si="58"/>
        <v>368.43308697543046</v>
      </c>
      <c r="T185" s="6" t="str">
        <f>IF(MOD(C185-Settings!$B$32,Settings!$B$33)&lt;Settings!$B$30,"Up","Down")</f>
        <v>Up</v>
      </c>
      <c r="U185" s="6">
        <f>IF(OR(I185&gt;Settings!$B$30,O185&gt;Settings!$B$37),0,1)</f>
        <v>1</v>
      </c>
      <c r="V185" s="6">
        <f>IF(AND(U185=1,O185&lt;=Settings!$B$36),1,0)</f>
        <v>0</v>
      </c>
    </row>
    <row r="186" spans="1:22" x14ac:dyDescent="0.2">
      <c r="A186">
        <f>Arrivals!A186</f>
        <v>2</v>
      </c>
      <c r="B186">
        <f>Arrivals!B186</f>
        <v>61</v>
      </c>
      <c r="C186" s="6">
        <f>Arrivals!F186</f>
        <v>434</v>
      </c>
      <c r="D186" s="6">
        <f>Arrivals!J186</f>
        <v>0.40499639841552859</v>
      </c>
      <c r="E186" s="6">
        <f t="shared" si="59"/>
        <v>835.05527919987139</v>
      </c>
      <c r="F186" s="6">
        <f t="shared" si="50"/>
        <v>835.05527919987139</v>
      </c>
      <c r="G186" s="6">
        <f t="shared" si="51"/>
        <v>835.4602755982869</v>
      </c>
      <c r="H186" s="6">
        <f>Arrivals!L186</f>
        <v>75</v>
      </c>
      <c r="I186" s="6">
        <f>H186*8/ACE_Input!S66+ACE_Input!T66</f>
        <v>6.02</v>
      </c>
      <c r="J186" s="6">
        <f t="shared" si="60"/>
        <v>841.07527919987137</v>
      </c>
      <c r="K186" s="6">
        <f t="shared" si="52"/>
        <v>841.07527919987137</v>
      </c>
      <c r="L186" s="6">
        <f>MOD(K186-Settings!$B$32,Settings!$B$33)</f>
        <v>121.07527919987137</v>
      </c>
      <c r="M186" s="6">
        <f>IF(L186&lt;Settings!$B$30,IF(Settings!$B$30-L186&gt;=I186,K186,K186+(Settings!$B$30-L186)+Settings!$B$31),K186+(Settings!$B$33-L186))</f>
        <v>841.07527919987137</v>
      </c>
      <c r="N186" s="6">
        <f t="shared" si="53"/>
        <v>847.09527919987136</v>
      </c>
      <c r="O186" s="6">
        <f t="shared" si="54"/>
        <v>413.09527919987136</v>
      </c>
      <c r="P186" s="6">
        <f t="shared" si="55"/>
        <v>401.05527919987139</v>
      </c>
      <c r="Q186" s="6">
        <f t="shared" si="56"/>
        <v>5.6150036015844762</v>
      </c>
      <c r="R186" s="6">
        <f t="shared" si="57"/>
        <v>0</v>
      </c>
      <c r="S186" s="6">
        <f t="shared" si="58"/>
        <v>406.67028280145587</v>
      </c>
      <c r="T186" s="6" t="str">
        <f>IF(MOD(C186-Settings!$B$32,Settings!$B$33)&lt;Settings!$B$30,"Up","Down")</f>
        <v>Up</v>
      </c>
      <c r="U186" s="6">
        <f>IF(OR(I186&gt;Settings!$B$30,O186&gt;Settings!$B$37),0,1)</f>
        <v>1</v>
      </c>
      <c r="V186" s="6">
        <f>IF(AND(U186=1,O186&lt;=Settings!$B$36),1,0)</f>
        <v>0</v>
      </c>
    </row>
    <row r="187" spans="1:22" x14ac:dyDescent="0.2">
      <c r="A187">
        <f>Arrivals!A187</f>
        <v>2</v>
      </c>
      <c r="B187">
        <f>Arrivals!B187</f>
        <v>62</v>
      </c>
      <c r="C187" s="6">
        <f>Arrivals!F187</f>
        <v>439</v>
      </c>
      <c r="D187" s="6">
        <f>Arrivals!J187</f>
        <v>17.431523983452646</v>
      </c>
      <c r="E187" s="6">
        <f t="shared" si="59"/>
        <v>835.4602755982869</v>
      </c>
      <c r="F187" s="6">
        <f t="shared" si="50"/>
        <v>835.4602755982869</v>
      </c>
      <c r="G187" s="6">
        <f t="shared" si="51"/>
        <v>852.89179958173952</v>
      </c>
      <c r="H187" s="6">
        <f>Arrivals!L187</f>
        <v>75</v>
      </c>
      <c r="I187" s="6">
        <f>H187*8/ACE_Input!S67+ACE_Input!T67</f>
        <v>6.02</v>
      </c>
      <c r="J187" s="6">
        <f t="shared" si="60"/>
        <v>847.09527919987136</v>
      </c>
      <c r="K187" s="6">
        <f t="shared" si="52"/>
        <v>852.89179958173952</v>
      </c>
      <c r="L187" s="6">
        <f>MOD(K187-Settings!$B$32,Settings!$B$33)</f>
        <v>132.89179958173952</v>
      </c>
      <c r="M187" s="6">
        <f>IF(L187&lt;Settings!$B$30,IF(Settings!$B$30-L187&gt;=I187,K187,K187+(Settings!$B$30-L187)+Settings!$B$31),K187+(Settings!$B$33-L187))</f>
        <v>852.89179958173952</v>
      </c>
      <c r="N187" s="6">
        <f t="shared" si="53"/>
        <v>858.9117995817395</v>
      </c>
      <c r="O187" s="6">
        <f t="shared" si="54"/>
        <v>419.9117995817395</v>
      </c>
      <c r="P187" s="6">
        <f t="shared" si="55"/>
        <v>396.4602755982869</v>
      </c>
      <c r="Q187" s="6">
        <f t="shared" si="56"/>
        <v>0</v>
      </c>
      <c r="R187" s="6">
        <f t="shared" si="57"/>
        <v>0</v>
      </c>
      <c r="S187" s="6">
        <f t="shared" si="58"/>
        <v>396.4602755982869</v>
      </c>
      <c r="T187" s="6" t="str">
        <f>IF(MOD(C187-Settings!$B$32,Settings!$B$33)&lt;Settings!$B$30,"Up","Down")</f>
        <v>Up</v>
      </c>
      <c r="U187" s="6">
        <f>IF(OR(I187&gt;Settings!$B$30,O187&gt;Settings!$B$37),0,1)</f>
        <v>1</v>
      </c>
      <c r="V187" s="6">
        <f>IF(AND(U187=1,O187&lt;=Settings!$B$36),1,0)</f>
        <v>0</v>
      </c>
    </row>
    <row r="188" spans="1:22" x14ac:dyDescent="0.2">
      <c r="A188">
        <f>Arrivals!A188</f>
        <v>2</v>
      </c>
      <c r="B188">
        <f>Arrivals!B188</f>
        <v>63</v>
      </c>
      <c r="C188" s="6">
        <f>Arrivals!F188</f>
        <v>444</v>
      </c>
      <c r="D188" s="6">
        <f>Arrivals!J188</f>
        <v>30.356190183658558</v>
      </c>
      <c r="E188" s="6">
        <f t="shared" si="59"/>
        <v>852.89179958173952</v>
      </c>
      <c r="F188" s="6">
        <f t="shared" si="50"/>
        <v>852.89179958173952</v>
      </c>
      <c r="G188" s="6">
        <f t="shared" si="51"/>
        <v>883.24798976539807</v>
      </c>
      <c r="H188" s="6">
        <f>Arrivals!L188</f>
        <v>75</v>
      </c>
      <c r="I188" s="6">
        <f>H188*8/ACE_Input!S68+ACE_Input!T68</f>
        <v>6.02</v>
      </c>
      <c r="J188" s="6">
        <f t="shared" si="60"/>
        <v>858.9117995817395</v>
      </c>
      <c r="K188" s="6">
        <f t="shared" si="52"/>
        <v>883.24798976539807</v>
      </c>
      <c r="L188" s="6">
        <f>MOD(K188-Settings!$B$32,Settings!$B$33)</f>
        <v>163.24798976539807</v>
      </c>
      <c r="M188" s="6">
        <f>IF(L188&lt;Settings!$B$30,IF(Settings!$B$30-L188&gt;=I188,K188,K188+(Settings!$B$30-L188)+Settings!$B$31),K188+(Settings!$B$33-L188))</f>
        <v>883.24798976539807</v>
      </c>
      <c r="N188" s="6">
        <f t="shared" si="53"/>
        <v>889.26798976539806</v>
      </c>
      <c r="O188" s="6">
        <f t="shared" si="54"/>
        <v>445.26798976539806</v>
      </c>
      <c r="P188" s="6">
        <f t="shared" si="55"/>
        <v>408.89179958173952</v>
      </c>
      <c r="Q188" s="6">
        <f t="shared" si="56"/>
        <v>0</v>
      </c>
      <c r="R188" s="6">
        <f t="shared" si="57"/>
        <v>0</v>
      </c>
      <c r="S188" s="6">
        <f t="shared" si="58"/>
        <v>408.89179958173952</v>
      </c>
      <c r="T188" s="6" t="str">
        <f>IF(MOD(C188-Settings!$B$32,Settings!$B$33)&lt;Settings!$B$30,"Up","Down")</f>
        <v>Up</v>
      </c>
      <c r="U188" s="6">
        <f>IF(OR(I188&gt;Settings!$B$30,O188&gt;Settings!$B$37),0,1)</f>
        <v>1</v>
      </c>
      <c r="V188" s="6">
        <f>IF(AND(U188=1,O188&lt;=Settings!$B$36),1,0)</f>
        <v>0</v>
      </c>
    </row>
    <row r="189" spans="1:22" x14ac:dyDescent="0.2">
      <c r="A189">
        <f>Arrivals!A189</f>
        <v>2</v>
      </c>
      <c r="B189">
        <f>Arrivals!B189</f>
        <v>64</v>
      </c>
      <c r="C189" s="6">
        <f>Arrivals!F189</f>
        <v>449</v>
      </c>
      <c r="D189" s="6">
        <f>Arrivals!J189</f>
        <v>16.431869183288264</v>
      </c>
      <c r="E189" s="6">
        <f t="shared" si="59"/>
        <v>883.24798976539807</v>
      </c>
      <c r="F189" s="6">
        <f t="shared" si="50"/>
        <v>883.24798976539807</v>
      </c>
      <c r="G189" s="6">
        <f t="shared" si="51"/>
        <v>899.67985894868639</v>
      </c>
      <c r="H189" s="6">
        <f>Arrivals!L189</f>
        <v>75</v>
      </c>
      <c r="I189" s="6">
        <f>H189*8/ACE_Input!S69+ACE_Input!T69</f>
        <v>6.02</v>
      </c>
      <c r="J189" s="6">
        <f t="shared" si="60"/>
        <v>889.26798976539806</v>
      </c>
      <c r="K189" s="6">
        <f t="shared" si="52"/>
        <v>899.67985894868639</v>
      </c>
      <c r="L189" s="6">
        <f>MOD(K189-Settings!$B$32,Settings!$B$33)</f>
        <v>179.67985894868639</v>
      </c>
      <c r="M189" s="6">
        <f>IF(L189&lt;Settings!$B$30,IF(Settings!$B$30-L189&gt;=I189,K189,K189+(Settings!$B$30-L189)+Settings!$B$31),K189+(Settings!$B$33-L189))</f>
        <v>899.67985894868639</v>
      </c>
      <c r="N189" s="6">
        <f t="shared" si="53"/>
        <v>905.69985894868637</v>
      </c>
      <c r="O189" s="6">
        <f t="shared" si="54"/>
        <v>456.69985894868637</v>
      </c>
      <c r="P189" s="6">
        <f t="shared" si="55"/>
        <v>434.24798976539807</v>
      </c>
      <c r="Q189" s="6">
        <f t="shared" si="56"/>
        <v>0</v>
      </c>
      <c r="R189" s="6">
        <f t="shared" si="57"/>
        <v>0</v>
      </c>
      <c r="S189" s="6">
        <f t="shared" si="58"/>
        <v>434.24798976539807</v>
      </c>
      <c r="T189" s="6" t="str">
        <f>IF(MOD(C189-Settings!$B$32,Settings!$B$33)&lt;Settings!$B$30,"Up","Down")</f>
        <v>Up</v>
      </c>
      <c r="U189" s="6">
        <f>IF(OR(I189&gt;Settings!$B$30,O189&gt;Settings!$B$37),0,1)</f>
        <v>1</v>
      </c>
      <c r="V189" s="6">
        <f>IF(AND(U189=1,O189&lt;=Settings!$B$36),1,0)</f>
        <v>0</v>
      </c>
    </row>
    <row r="190" spans="1:22" x14ac:dyDescent="0.2">
      <c r="A190">
        <f>Arrivals!A190</f>
        <v>2</v>
      </c>
      <c r="B190">
        <f>Arrivals!B190</f>
        <v>65</v>
      </c>
      <c r="C190" s="6">
        <f>Arrivals!F190</f>
        <v>454</v>
      </c>
      <c r="D190" s="6">
        <f>Arrivals!J190</f>
        <v>4.7987305618406264</v>
      </c>
      <c r="E190" s="6">
        <f t="shared" si="59"/>
        <v>899.67985894868639</v>
      </c>
      <c r="F190" s="6">
        <f t="shared" ref="F190:F221" si="61">MAX(C190,E190)</f>
        <v>899.67985894868639</v>
      </c>
      <c r="G190" s="6">
        <f t="shared" ref="G190:G221" si="62">F190+D190</f>
        <v>904.47858951052706</v>
      </c>
      <c r="H190" s="6">
        <f>Arrivals!L190</f>
        <v>75</v>
      </c>
      <c r="I190" s="6">
        <f>H190*8/ACE_Input!S70+ACE_Input!T70</f>
        <v>6.02</v>
      </c>
      <c r="J190" s="6">
        <f t="shared" si="60"/>
        <v>905.69985894868637</v>
      </c>
      <c r="K190" s="6">
        <f t="shared" ref="K190:K221" si="63">MAX(G190,J190)</f>
        <v>905.69985894868637</v>
      </c>
      <c r="L190" s="6">
        <f>MOD(K190-Settings!$B$32,Settings!$B$33)</f>
        <v>185.69985894868637</v>
      </c>
      <c r="M190" s="6">
        <f>IF(L190&lt;Settings!$B$30,IF(Settings!$B$30-L190&gt;=I190,K190,K190+(Settings!$B$30-L190)+Settings!$B$31),K190+(Settings!$B$33-L190))</f>
        <v>905.69985894868637</v>
      </c>
      <c r="N190" s="6">
        <f t="shared" ref="N190:N221" si="64">M190+I190</f>
        <v>911.71985894868635</v>
      </c>
      <c r="O190" s="6">
        <f t="shared" ref="O190:O221" si="65">N190-C190</f>
        <v>457.71985894868635</v>
      </c>
      <c r="P190" s="6">
        <f t="shared" ref="P190:P225" si="66">F190-C190</f>
        <v>445.67985894868639</v>
      </c>
      <c r="Q190" s="6">
        <f t="shared" ref="Q190:Q225" si="67">K190-G190</f>
        <v>1.221269438159311</v>
      </c>
      <c r="R190" s="6">
        <f t="shared" ref="R190:R225" si="68">M190-K190</f>
        <v>0</v>
      </c>
      <c r="S190" s="6">
        <f t="shared" ref="S190:S221" si="69">P190+Q190+R190</f>
        <v>446.9011283868457</v>
      </c>
      <c r="T190" s="6" t="str">
        <f>IF(MOD(C190-Settings!$B$32,Settings!$B$33)&lt;Settings!$B$30,"Up","Down")</f>
        <v>Up</v>
      </c>
      <c r="U190" s="6">
        <f>IF(OR(I190&gt;Settings!$B$30,O190&gt;Settings!$B$37),0,1)</f>
        <v>1</v>
      </c>
      <c r="V190" s="6">
        <f>IF(AND(U190=1,O190&lt;=Settings!$B$36),1,0)</f>
        <v>0</v>
      </c>
    </row>
    <row r="191" spans="1:22" x14ac:dyDescent="0.2">
      <c r="A191">
        <f>Arrivals!A191</f>
        <v>2</v>
      </c>
      <c r="B191">
        <f>Arrivals!B191</f>
        <v>66</v>
      </c>
      <c r="C191" s="6">
        <f>Arrivals!F191</f>
        <v>459</v>
      </c>
      <c r="D191" s="6">
        <f>Arrivals!J191</f>
        <v>16.124570613219518</v>
      </c>
      <c r="E191" s="6">
        <f t="shared" ref="E191:E225" si="70">G190</f>
        <v>904.47858951052706</v>
      </c>
      <c r="F191" s="6">
        <f t="shared" si="61"/>
        <v>904.47858951052706</v>
      </c>
      <c r="G191" s="6">
        <f t="shared" si="62"/>
        <v>920.60316012374653</v>
      </c>
      <c r="H191" s="6">
        <f>Arrivals!L191</f>
        <v>75</v>
      </c>
      <c r="I191" s="6">
        <f>H191*8/ACE_Input!S71+ACE_Input!T71</f>
        <v>6.02</v>
      </c>
      <c r="J191" s="6">
        <f t="shared" ref="J191:J225" si="71">N190</f>
        <v>911.71985894868635</v>
      </c>
      <c r="K191" s="6">
        <f t="shared" si="63"/>
        <v>920.60316012374653</v>
      </c>
      <c r="L191" s="6">
        <f>MOD(K191-Settings!$B$32,Settings!$B$33)</f>
        <v>200.60316012374653</v>
      </c>
      <c r="M191" s="6">
        <f>IF(L191&lt;Settings!$B$30,IF(Settings!$B$30-L191&gt;=I191,K191,K191+(Settings!$B$30-L191)+Settings!$B$31),K191+(Settings!$B$33-L191))</f>
        <v>920.60316012374653</v>
      </c>
      <c r="N191" s="6">
        <f t="shared" si="64"/>
        <v>926.62316012374652</v>
      </c>
      <c r="O191" s="6">
        <f t="shared" si="65"/>
        <v>467.62316012374652</v>
      </c>
      <c r="P191" s="6">
        <f t="shared" si="66"/>
        <v>445.47858951052706</v>
      </c>
      <c r="Q191" s="6">
        <f t="shared" si="67"/>
        <v>0</v>
      </c>
      <c r="R191" s="6">
        <f t="shared" si="68"/>
        <v>0</v>
      </c>
      <c r="S191" s="6">
        <f t="shared" si="69"/>
        <v>445.47858951052706</v>
      </c>
      <c r="T191" s="6" t="str">
        <f>IF(MOD(C191-Settings!$B$32,Settings!$B$33)&lt;Settings!$B$30,"Up","Down")</f>
        <v>Up</v>
      </c>
      <c r="U191" s="6">
        <f>IF(OR(I191&gt;Settings!$B$30,O191&gt;Settings!$B$37),0,1)</f>
        <v>1</v>
      </c>
      <c r="V191" s="6">
        <f>IF(AND(U191=1,O191&lt;=Settings!$B$36),1,0)</f>
        <v>0</v>
      </c>
    </row>
    <row r="192" spans="1:22" x14ac:dyDescent="0.2">
      <c r="A192">
        <f>Arrivals!A192</f>
        <v>2</v>
      </c>
      <c r="B192">
        <f>Arrivals!B192</f>
        <v>67</v>
      </c>
      <c r="C192" s="6">
        <f>Arrivals!F192</f>
        <v>474</v>
      </c>
      <c r="D192" s="6">
        <f>Arrivals!J192</f>
        <v>7.737055439724454</v>
      </c>
      <c r="E192" s="6">
        <f t="shared" si="70"/>
        <v>920.60316012374653</v>
      </c>
      <c r="F192" s="6">
        <f t="shared" si="61"/>
        <v>920.60316012374653</v>
      </c>
      <c r="G192" s="6">
        <f t="shared" si="62"/>
        <v>928.34021556347102</v>
      </c>
      <c r="H192" s="6">
        <f>Arrivals!L192</f>
        <v>75</v>
      </c>
      <c r="I192" s="6">
        <f>H192*8/ACE_Input!S72+ACE_Input!T72</f>
        <v>6.02</v>
      </c>
      <c r="J192" s="6">
        <f t="shared" si="71"/>
        <v>926.62316012374652</v>
      </c>
      <c r="K192" s="6">
        <f t="shared" si="63"/>
        <v>928.34021556347102</v>
      </c>
      <c r="L192" s="6">
        <f>MOD(K192-Settings!$B$32,Settings!$B$33)</f>
        <v>208.34021556347102</v>
      </c>
      <c r="M192" s="6">
        <f>IF(L192&lt;Settings!$B$30,IF(Settings!$B$30-L192&gt;=I192,K192,K192+(Settings!$B$30-L192)+Settings!$B$31),K192+(Settings!$B$33-L192))</f>
        <v>928.34021556347102</v>
      </c>
      <c r="N192" s="6">
        <f t="shared" si="64"/>
        <v>934.360215563471</v>
      </c>
      <c r="O192" s="6">
        <f t="shared" si="65"/>
        <v>460.360215563471</v>
      </c>
      <c r="P192" s="6">
        <f t="shared" si="66"/>
        <v>446.60316012374653</v>
      </c>
      <c r="Q192" s="6">
        <f t="shared" si="67"/>
        <v>0</v>
      </c>
      <c r="R192" s="6">
        <f t="shared" si="68"/>
        <v>0</v>
      </c>
      <c r="S192" s="6">
        <f t="shared" si="69"/>
        <v>446.60316012374653</v>
      </c>
      <c r="T192" s="6" t="str">
        <f>IF(MOD(C192-Settings!$B$32,Settings!$B$33)&lt;Settings!$B$30,"Up","Down")</f>
        <v>Up</v>
      </c>
      <c r="U192" s="6">
        <f>IF(OR(I192&gt;Settings!$B$30,O192&gt;Settings!$B$37),0,1)</f>
        <v>1</v>
      </c>
      <c r="V192" s="6">
        <f>IF(AND(U192=1,O192&lt;=Settings!$B$36),1,0)</f>
        <v>0</v>
      </c>
    </row>
    <row r="193" spans="1:22" x14ac:dyDescent="0.2">
      <c r="A193">
        <f>Arrivals!A193</f>
        <v>2</v>
      </c>
      <c r="B193">
        <f>Arrivals!B193</f>
        <v>68</v>
      </c>
      <c r="C193" s="6">
        <f>Arrivals!F193</f>
        <v>479</v>
      </c>
      <c r="D193" s="6">
        <f>Arrivals!J193</f>
        <v>21.450397891314669</v>
      </c>
      <c r="E193" s="6">
        <f t="shared" si="70"/>
        <v>928.34021556347102</v>
      </c>
      <c r="F193" s="6">
        <f t="shared" si="61"/>
        <v>928.34021556347102</v>
      </c>
      <c r="G193" s="6">
        <f t="shared" si="62"/>
        <v>949.79061345478567</v>
      </c>
      <c r="H193" s="6">
        <f>Arrivals!L193</f>
        <v>75</v>
      </c>
      <c r="I193" s="6">
        <f>H193*8/ACE_Input!S73+ACE_Input!T73</f>
        <v>6.02</v>
      </c>
      <c r="J193" s="6">
        <f t="shared" si="71"/>
        <v>934.360215563471</v>
      </c>
      <c r="K193" s="6">
        <f t="shared" si="63"/>
        <v>949.79061345478567</v>
      </c>
      <c r="L193" s="6">
        <f>MOD(K193-Settings!$B$32,Settings!$B$33)</f>
        <v>229.79061345478567</v>
      </c>
      <c r="M193" s="6">
        <f>IF(L193&lt;Settings!$B$30,IF(Settings!$B$30-L193&gt;=I193,K193,K193+(Settings!$B$30-L193)+Settings!$B$31),K193+(Settings!$B$33-L193))</f>
        <v>949.79061345478567</v>
      </c>
      <c r="N193" s="6">
        <f t="shared" si="64"/>
        <v>955.81061345478565</v>
      </c>
      <c r="O193" s="6">
        <f t="shared" si="65"/>
        <v>476.81061345478565</v>
      </c>
      <c r="P193" s="6">
        <f t="shared" si="66"/>
        <v>449.34021556347102</v>
      </c>
      <c r="Q193" s="6">
        <f t="shared" si="67"/>
        <v>0</v>
      </c>
      <c r="R193" s="6">
        <f t="shared" si="68"/>
        <v>0</v>
      </c>
      <c r="S193" s="6">
        <f t="shared" si="69"/>
        <v>449.34021556347102</v>
      </c>
      <c r="T193" s="6" t="str">
        <f>IF(MOD(C193-Settings!$B$32,Settings!$B$33)&lt;Settings!$B$30,"Up","Down")</f>
        <v>Up</v>
      </c>
      <c r="U193" s="6">
        <f>IF(OR(I193&gt;Settings!$B$30,O193&gt;Settings!$B$37),0,1)</f>
        <v>1</v>
      </c>
      <c r="V193" s="6">
        <f>IF(AND(U193=1,O193&lt;=Settings!$B$36),1,0)</f>
        <v>0</v>
      </c>
    </row>
    <row r="194" spans="1:22" x14ac:dyDescent="0.2">
      <c r="A194">
        <f>Arrivals!A194</f>
        <v>2</v>
      </c>
      <c r="B194">
        <f>Arrivals!B194</f>
        <v>69</v>
      </c>
      <c r="C194" s="6">
        <f>Arrivals!F194</f>
        <v>494</v>
      </c>
      <c r="D194" s="6">
        <f>Arrivals!J194</f>
        <v>41.950585537348758</v>
      </c>
      <c r="E194" s="6">
        <f t="shared" si="70"/>
        <v>949.79061345478567</v>
      </c>
      <c r="F194" s="6">
        <f t="shared" si="61"/>
        <v>949.79061345478567</v>
      </c>
      <c r="G194" s="6">
        <f t="shared" si="62"/>
        <v>991.7411989921344</v>
      </c>
      <c r="H194" s="6">
        <f>Arrivals!L194</f>
        <v>75</v>
      </c>
      <c r="I194" s="6">
        <f>H194*8/ACE_Input!S74+ACE_Input!T74</f>
        <v>6.02</v>
      </c>
      <c r="J194" s="6">
        <f t="shared" si="71"/>
        <v>955.81061345478565</v>
      </c>
      <c r="K194" s="6">
        <f t="shared" si="63"/>
        <v>991.7411989921344</v>
      </c>
      <c r="L194" s="6">
        <f>MOD(K194-Settings!$B$32,Settings!$B$33)</f>
        <v>271.7411989921344</v>
      </c>
      <c r="M194" s="6">
        <f>IF(L194&lt;Settings!$B$30,IF(Settings!$B$30-L194&gt;=I194,K194,K194+(Settings!$B$30-L194)+Settings!$B$31),K194+(Settings!$B$33-L194))</f>
        <v>991.7411989921344</v>
      </c>
      <c r="N194" s="6">
        <f t="shared" si="64"/>
        <v>997.76119899213438</v>
      </c>
      <c r="O194" s="6">
        <f t="shared" si="65"/>
        <v>503.76119899213438</v>
      </c>
      <c r="P194" s="6">
        <f t="shared" si="66"/>
        <v>455.79061345478567</v>
      </c>
      <c r="Q194" s="6">
        <f t="shared" si="67"/>
        <v>0</v>
      </c>
      <c r="R194" s="6">
        <f t="shared" si="68"/>
        <v>0</v>
      </c>
      <c r="S194" s="6">
        <f t="shared" si="69"/>
        <v>455.79061345478567</v>
      </c>
      <c r="T194" s="6" t="str">
        <f>IF(MOD(C194-Settings!$B$32,Settings!$B$33)&lt;Settings!$B$30,"Up","Down")</f>
        <v>Up</v>
      </c>
      <c r="U194" s="6">
        <f>IF(OR(I194&gt;Settings!$B$30,O194&gt;Settings!$B$37),0,1)</f>
        <v>1</v>
      </c>
      <c r="V194" s="6">
        <f>IF(AND(U194=1,O194&lt;=Settings!$B$36),1,0)</f>
        <v>0</v>
      </c>
    </row>
    <row r="195" spans="1:22" x14ac:dyDescent="0.2">
      <c r="A195">
        <f>Arrivals!A195</f>
        <v>2</v>
      </c>
      <c r="B195">
        <f>Arrivals!B195</f>
        <v>70</v>
      </c>
      <c r="C195" s="6">
        <f>Arrivals!F195</f>
        <v>499</v>
      </c>
      <c r="D195" s="6">
        <f>Arrivals!J195</f>
        <v>5.7042462741170299</v>
      </c>
      <c r="E195" s="6">
        <f t="shared" si="70"/>
        <v>991.7411989921344</v>
      </c>
      <c r="F195" s="6">
        <f t="shared" si="61"/>
        <v>991.7411989921344</v>
      </c>
      <c r="G195" s="6">
        <f t="shared" si="62"/>
        <v>997.44544526625145</v>
      </c>
      <c r="H195" s="6">
        <f>Arrivals!L195</f>
        <v>75</v>
      </c>
      <c r="I195" s="6">
        <f>H195*8/ACE_Input!S75+ACE_Input!T75</f>
        <v>6.02</v>
      </c>
      <c r="J195" s="6">
        <f t="shared" si="71"/>
        <v>997.76119899213438</v>
      </c>
      <c r="K195" s="6">
        <f t="shared" si="63"/>
        <v>997.76119899213438</v>
      </c>
      <c r="L195" s="6">
        <f>MOD(K195-Settings!$B$32,Settings!$B$33)</f>
        <v>277.76119899213438</v>
      </c>
      <c r="M195" s="6">
        <f>IF(L195&lt;Settings!$B$30,IF(Settings!$B$30-L195&gt;=I195,K195,K195+(Settings!$B$30-L195)+Settings!$B$31),K195+(Settings!$B$33-L195))</f>
        <v>997.76119899213438</v>
      </c>
      <c r="N195" s="6">
        <f t="shared" si="64"/>
        <v>1003.7811989921344</v>
      </c>
      <c r="O195" s="6">
        <f t="shared" si="65"/>
        <v>504.78119899213436</v>
      </c>
      <c r="P195" s="6">
        <f t="shared" si="66"/>
        <v>492.7411989921344</v>
      </c>
      <c r="Q195" s="6">
        <f t="shared" si="67"/>
        <v>0.31575372588292794</v>
      </c>
      <c r="R195" s="6">
        <f t="shared" si="68"/>
        <v>0</v>
      </c>
      <c r="S195" s="6">
        <f t="shared" si="69"/>
        <v>493.05695271801733</v>
      </c>
      <c r="T195" s="6" t="str">
        <f>IF(MOD(C195-Settings!$B$32,Settings!$B$33)&lt;Settings!$B$30,"Up","Down")</f>
        <v>Up</v>
      </c>
      <c r="U195" s="6">
        <f>IF(OR(I195&gt;Settings!$B$30,O195&gt;Settings!$B$37),0,1)</f>
        <v>1</v>
      </c>
      <c r="V195" s="6">
        <f>IF(AND(U195=1,O195&lt;=Settings!$B$36),1,0)</f>
        <v>0</v>
      </c>
    </row>
    <row r="196" spans="1:22" x14ac:dyDescent="0.2">
      <c r="A196">
        <f>Arrivals!A196</f>
        <v>2</v>
      </c>
      <c r="B196">
        <f>Arrivals!B196</f>
        <v>71</v>
      </c>
      <c r="C196" s="6">
        <f>Arrivals!F196</f>
        <v>504</v>
      </c>
      <c r="D196" s="6">
        <f>Arrivals!J196</f>
        <v>13.513563989681042</v>
      </c>
      <c r="E196" s="6">
        <f t="shared" si="70"/>
        <v>997.44544526625145</v>
      </c>
      <c r="F196" s="6">
        <f t="shared" si="61"/>
        <v>997.44544526625145</v>
      </c>
      <c r="G196" s="6">
        <f t="shared" si="62"/>
        <v>1010.9590092559325</v>
      </c>
      <c r="H196" s="6">
        <f>Arrivals!L196</f>
        <v>75</v>
      </c>
      <c r="I196" s="6">
        <f>H196*8/ACE_Input!S76+ACE_Input!T76</f>
        <v>6.02</v>
      </c>
      <c r="J196" s="6">
        <f t="shared" si="71"/>
        <v>1003.7811989921344</v>
      </c>
      <c r="K196" s="6">
        <f t="shared" si="63"/>
        <v>1010.9590092559325</v>
      </c>
      <c r="L196" s="6">
        <f>MOD(K196-Settings!$B$32,Settings!$B$33)</f>
        <v>290.95900925593253</v>
      </c>
      <c r="M196" s="6">
        <f>IF(L196&lt;Settings!$B$30,IF(Settings!$B$30-L196&gt;=I196,K196,K196+(Settings!$B$30-L196)+Settings!$B$31),K196+(Settings!$B$33-L196))</f>
        <v>1010.9590092559325</v>
      </c>
      <c r="N196" s="6">
        <f t="shared" si="64"/>
        <v>1016.9790092559325</v>
      </c>
      <c r="O196" s="6">
        <f t="shared" si="65"/>
        <v>512.97900925593251</v>
      </c>
      <c r="P196" s="6">
        <f t="shared" si="66"/>
        <v>493.44544526625145</v>
      </c>
      <c r="Q196" s="6">
        <f t="shared" si="67"/>
        <v>0</v>
      </c>
      <c r="R196" s="6">
        <f t="shared" si="68"/>
        <v>0</v>
      </c>
      <c r="S196" s="6">
        <f t="shared" si="69"/>
        <v>493.44544526625145</v>
      </c>
      <c r="T196" s="6" t="str">
        <f>IF(MOD(C196-Settings!$B$32,Settings!$B$33)&lt;Settings!$B$30,"Up","Down")</f>
        <v>Up</v>
      </c>
      <c r="U196" s="6">
        <f>IF(OR(I196&gt;Settings!$B$30,O196&gt;Settings!$B$37),0,1)</f>
        <v>1</v>
      </c>
      <c r="V196" s="6">
        <f>IF(AND(U196=1,O196&lt;=Settings!$B$36),1,0)</f>
        <v>0</v>
      </c>
    </row>
    <row r="197" spans="1:22" x14ac:dyDescent="0.2">
      <c r="A197">
        <f>Arrivals!A197</f>
        <v>2</v>
      </c>
      <c r="B197">
        <f>Arrivals!B197</f>
        <v>72</v>
      </c>
      <c r="C197" s="6">
        <f>Arrivals!F197</f>
        <v>509</v>
      </c>
      <c r="D197" s="6">
        <f>Arrivals!J197</f>
        <v>15.715612439292395</v>
      </c>
      <c r="E197" s="6">
        <f t="shared" si="70"/>
        <v>1010.9590092559325</v>
      </c>
      <c r="F197" s="6">
        <f t="shared" si="61"/>
        <v>1010.9590092559325</v>
      </c>
      <c r="G197" s="6">
        <f t="shared" si="62"/>
        <v>1026.6746216952249</v>
      </c>
      <c r="H197" s="6">
        <f>Arrivals!L197</f>
        <v>75</v>
      </c>
      <c r="I197" s="6">
        <f>H197*8/ACE_Input!S77+ACE_Input!T77</f>
        <v>6.02</v>
      </c>
      <c r="J197" s="6">
        <f t="shared" si="71"/>
        <v>1016.9790092559325</v>
      </c>
      <c r="K197" s="6">
        <f t="shared" si="63"/>
        <v>1026.6746216952249</v>
      </c>
      <c r="L197" s="6">
        <f>MOD(K197-Settings!$B$32,Settings!$B$33)</f>
        <v>306.67462169522491</v>
      </c>
      <c r="M197" s="6">
        <f>IF(L197&lt;Settings!$B$30,IF(Settings!$B$30-L197&gt;=I197,K197,K197+(Settings!$B$30-L197)+Settings!$B$31),K197+(Settings!$B$33-L197))</f>
        <v>1026.6746216952249</v>
      </c>
      <c r="N197" s="6">
        <f t="shared" si="64"/>
        <v>1032.6946216952249</v>
      </c>
      <c r="O197" s="6">
        <f t="shared" si="65"/>
        <v>523.6946216952249</v>
      </c>
      <c r="P197" s="6">
        <f t="shared" si="66"/>
        <v>501.95900925593253</v>
      </c>
      <c r="Q197" s="6">
        <f t="shared" si="67"/>
        <v>0</v>
      </c>
      <c r="R197" s="6">
        <f t="shared" si="68"/>
        <v>0</v>
      </c>
      <c r="S197" s="6">
        <f t="shared" si="69"/>
        <v>501.95900925593253</v>
      </c>
      <c r="T197" s="6" t="str">
        <f>IF(MOD(C197-Settings!$B$32,Settings!$B$33)&lt;Settings!$B$30,"Up","Down")</f>
        <v>Up</v>
      </c>
      <c r="U197" s="6">
        <f>IF(OR(I197&gt;Settings!$B$30,O197&gt;Settings!$B$37),0,1)</f>
        <v>1</v>
      </c>
      <c r="V197" s="6">
        <f>IF(AND(U197=1,O197&lt;=Settings!$B$36),1,0)</f>
        <v>0</v>
      </c>
    </row>
    <row r="198" spans="1:22" x14ac:dyDescent="0.2">
      <c r="A198">
        <f>Arrivals!A198</f>
        <v>2</v>
      </c>
      <c r="B198">
        <f>Arrivals!B198</f>
        <v>73</v>
      </c>
      <c r="C198" s="6">
        <f>Arrivals!F198</f>
        <v>514</v>
      </c>
      <c r="D198" s="6">
        <f>Arrivals!J198</f>
        <v>7.7534680107151983</v>
      </c>
      <c r="E198" s="6">
        <f t="shared" si="70"/>
        <v>1026.6746216952249</v>
      </c>
      <c r="F198" s="6">
        <f t="shared" si="61"/>
        <v>1026.6746216952249</v>
      </c>
      <c r="G198" s="6">
        <f t="shared" si="62"/>
        <v>1034.42808970594</v>
      </c>
      <c r="H198" s="6">
        <f>Arrivals!L198</f>
        <v>75</v>
      </c>
      <c r="I198" s="6">
        <f>H198*8/ACE_Input!S78+ACE_Input!T78</f>
        <v>6.02</v>
      </c>
      <c r="J198" s="6">
        <f t="shared" si="71"/>
        <v>1032.6946216952249</v>
      </c>
      <c r="K198" s="6">
        <f t="shared" si="63"/>
        <v>1034.42808970594</v>
      </c>
      <c r="L198" s="6">
        <f>MOD(K198-Settings!$B$32,Settings!$B$33)</f>
        <v>314.42808970594001</v>
      </c>
      <c r="M198" s="6">
        <f>IF(L198&lt;Settings!$B$30,IF(Settings!$B$30-L198&gt;=I198,K198,K198+(Settings!$B$30-L198)+Settings!$B$31),K198+(Settings!$B$33-L198))</f>
        <v>1034.42808970594</v>
      </c>
      <c r="N198" s="6">
        <f t="shared" si="64"/>
        <v>1040.44808970594</v>
      </c>
      <c r="O198" s="6">
        <f t="shared" si="65"/>
        <v>526.44808970593999</v>
      </c>
      <c r="P198" s="6">
        <f t="shared" si="66"/>
        <v>512.67462169522491</v>
      </c>
      <c r="Q198" s="6">
        <f t="shared" si="67"/>
        <v>0</v>
      </c>
      <c r="R198" s="6">
        <f t="shared" si="68"/>
        <v>0</v>
      </c>
      <c r="S198" s="6">
        <f t="shared" si="69"/>
        <v>512.67462169522491</v>
      </c>
      <c r="T198" s="6" t="str">
        <f>IF(MOD(C198-Settings!$B$32,Settings!$B$33)&lt;Settings!$B$30,"Up","Down")</f>
        <v>Up</v>
      </c>
      <c r="U198" s="6">
        <f>IF(OR(I198&gt;Settings!$B$30,O198&gt;Settings!$B$37),0,1)</f>
        <v>1</v>
      </c>
      <c r="V198" s="6">
        <f>IF(AND(U198=1,O198&lt;=Settings!$B$36),1,0)</f>
        <v>0</v>
      </c>
    </row>
    <row r="199" spans="1:22" x14ac:dyDescent="0.2">
      <c r="A199">
        <f>Arrivals!A199</f>
        <v>2</v>
      </c>
      <c r="B199">
        <f>Arrivals!B199</f>
        <v>74</v>
      </c>
      <c r="C199" s="6">
        <f>Arrivals!F199</f>
        <v>519</v>
      </c>
      <c r="D199" s="6">
        <f>Arrivals!J199</f>
        <v>26.255029520170879</v>
      </c>
      <c r="E199" s="6">
        <f t="shared" si="70"/>
        <v>1034.42808970594</v>
      </c>
      <c r="F199" s="6">
        <f t="shared" si="61"/>
        <v>1034.42808970594</v>
      </c>
      <c r="G199" s="6">
        <f t="shared" si="62"/>
        <v>1060.6831192261109</v>
      </c>
      <c r="H199" s="6">
        <f>Arrivals!L199</f>
        <v>75</v>
      </c>
      <c r="I199" s="6">
        <f>H199*8/ACE_Input!S79+ACE_Input!T79</f>
        <v>6.02</v>
      </c>
      <c r="J199" s="6">
        <f t="shared" si="71"/>
        <v>1040.44808970594</v>
      </c>
      <c r="K199" s="6">
        <f t="shared" si="63"/>
        <v>1060.6831192261109</v>
      </c>
      <c r="L199" s="6">
        <f>MOD(K199-Settings!$B$32,Settings!$B$33)</f>
        <v>340.68311922611088</v>
      </c>
      <c r="M199" s="6">
        <f>IF(L199&lt;Settings!$B$30,IF(Settings!$B$30-L199&gt;=I199,K199,K199+(Settings!$B$30-L199)+Settings!$B$31),K199+(Settings!$B$33-L199))</f>
        <v>1060.6831192261109</v>
      </c>
      <c r="N199" s="6">
        <f t="shared" si="64"/>
        <v>1066.7031192261109</v>
      </c>
      <c r="O199" s="6">
        <f t="shared" si="65"/>
        <v>547.70311922611086</v>
      </c>
      <c r="P199" s="6">
        <f t="shared" si="66"/>
        <v>515.42808970594001</v>
      </c>
      <c r="Q199" s="6">
        <f t="shared" si="67"/>
        <v>0</v>
      </c>
      <c r="R199" s="6">
        <f t="shared" si="68"/>
        <v>0</v>
      </c>
      <c r="S199" s="6">
        <f t="shared" si="69"/>
        <v>515.42808970594001</v>
      </c>
      <c r="T199" s="6" t="str">
        <f>IF(MOD(C199-Settings!$B$32,Settings!$B$33)&lt;Settings!$B$30,"Up","Down")</f>
        <v>Up</v>
      </c>
      <c r="U199" s="6">
        <f>IF(OR(I199&gt;Settings!$B$30,O199&gt;Settings!$B$37),0,1)</f>
        <v>1</v>
      </c>
      <c r="V199" s="6">
        <f>IF(AND(U199=1,O199&lt;=Settings!$B$36),1,0)</f>
        <v>0</v>
      </c>
    </row>
    <row r="200" spans="1:22" x14ac:dyDescent="0.2">
      <c r="A200">
        <f>Arrivals!A200</f>
        <v>2</v>
      </c>
      <c r="B200">
        <f>Arrivals!B200</f>
        <v>75</v>
      </c>
      <c r="C200" s="6">
        <f>Arrivals!F200</f>
        <v>524</v>
      </c>
      <c r="D200" s="6">
        <f>Arrivals!J200</f>
        <v>1.2249206529287939</v>
      </c>
      <c r="E200" s="6">
        <f t="shared" si="70"/>
        <v>1060.6831192261109</v>
      </c>
      <c r="F200" s="6">
        <f t="shared" si="61"/>
        <v>1060.6831192261109</v>
      </c>
      <c r="G200" s="6">
        <f t="shared" si="62"/>
        <v>1061.9080398790397</v>
      </c>
      <c r="H200" s="6">
        <f>Arrivals!L200</f>
        <v>75</v>
      </c>
      <c r="I200" s="6">
        <f>H200*8/ACE_Input!S80+ACE_Input!T80</f>
        <v>6.02</v>
      </c>
      <c r="J200" s="6">
        <f t="shared" si="71"/>
        <v>1066.7031192261109</v>
      </c>
      <c r="K200" s="6">
        <f t="shared" si="63"/>
        <v>1066.7031192261109</v>
      </c>
      <c r="L200" s="6">
        <f>MOD(K200-Settings!$B$32,Settings!$B$33)</f>
        <v>346.70311922611086</v>
      </c>
      <c r="M200" s="6">
        <f>IF(L200&lt;Settings!$B$30,IF(Settings!$B$30-L200&gt;=I200,K200,K200+(Settings!$B$30-L200)+Settings!$B$31),K200+(Settings!$B$33-L200))</f>
        <v>1066.7031192261109</v>
      </c>
      <c r="N200" s="6">
        <f t="shared" si="64"/>
        <v>1072.7231192261108</v>
      </c>
      <c r="O200" s="6">
        <f t="shared" si="65"/>
        <v>548.72311922611084</v>
      </c>
      <c r="P200" s="6">
        <f t="shared" si="66"/>
        <v>536.68311922611088</v>
      </c>
      <c r="Q200" s="6">
        <f t="shared" si="67"/>
        <v>4.7950793470711233</v>
      </c>
      <c r="R200" s="6">
        <f t="shared" si="68"/>
        <v>0</v>
      </c>
      <c r="S200" s="6">
        <f t="shared" si="69"/>
        <v>541.478198573182</v>
      </c>
      <c r="T200" s="6" t="str">
        <f>IF(MOD(C200-Settings!$B$32,Settings!$B$33)&lt;Settings!$B$30,"Up","Down")</f>
        <v>Up</v>
      </c>
      <c r="U200" s="6">
        <f>IF(OR(I200&gt;Settings!$B$30,O200&gt;Settings!$B$37),0,1)</f>
        <v>1</v>
      </c>
      <c r="V200" s="6">
        <f>IF(AND(U200=1,O200&lt;=Settings!$B$36),1,0)</f>
        <v>0</v>
      </c>
    </row>
    <row r="201" spans="1:22" x14ac:dyDescent="0.2">
      <c r="A201">
        <f>Arrivals!A201</f>
        <v>2</v>
      </c>
      <c r="B201">
        <f>Arrivals!B201</f>
        <v>76</v>
      </c>
      <c r="C201" s="6">
        <f>Arrivals!F201</f>
        <v>529</v>
      </c>
      <c r="D201" s="6">
        <f>Arrivals!J201</f>
        <v>35.180235010569525</v>
      </c>
      <c r="E201" s="6">
        <f t="shared" si="70"/>
        <v>1061.9080398790397</v>
      </c>
      <c r="F201" s="6">
        <f t="shared" si="61"/>
        <v>1061.9080398790397</v>
      </c>
      <c r="G201" s="6">
        <f t="shared" si="62"/>
        <v>1097.0882748896092</v>
      </c>
      <c r="H201" s="6">
        <f>Arrivals!L201</f>
        <v>75</v>
      </c>
      <c r="I201" s="6">
        <f>H201*8/ACE_Input!S81+ACE_Input!T81</f>
        <v>6.02</v>
      </c>
      <c r="J201" s="6">
        <f t="shared" si="71"/>
        <v>1072.7231192261108</v>
      </c>
      <c r="K201" s="6">
        <f t="shared" si="63"/>
        <v>1097.0882748896092</v>
      </c>
      <c r="L201" s="6">
        <f>MOD(K201-Settings!$B$32,Settings!$B$33)</f>
        <v>377.08827488960924</v>
      </c>
      <c r="M201" s="6">
        <f>IF(L201&lt;Settings!$B$30,IF(Settings!$B$30-L201&gt;=I201,K201,K201+(Settings!$B$30-L201)+Settings!$B$31),K201+(Settings!$B$33-L201))</f>
        <v>1097.0882748896092</v>
      </c>
      <c r="N201" s="6">
        <f t="shared" si="64"/>
        <v>1103.1082748896092</v>
      </c>
      <c r="O201" s="6">
        <f t="shared" si="65"/>
        <v>574.10827488960922</v>
      </c>
      <c r="P201" s="6">
        <f t="shared" si="66"/>
        <v>532.90803987903973</v>
      </c>
      <c r="Q201" s="6">
        <f t="shared" si="67"/>
        <v>0</v>
      </c>
      <c r="R201" s="6">
        <f t="shared" si="68"/>
        <v>0</v>
      </c>
      <c r="S201" s="6">
        <f t="shared" si="69"/>
        <v>532.90803987903973</v>
      </c>
      <c r="T201" s="6" t="str">
        <f>IF(MOD(C201-Settings!$B$32,Settings!$B$33)&lt;Settings!$B$30,"Up","Down")</f>
        <v>Up</v>
      </c>
      <c r="U201" s="6">
        <f>IF(OR(I201&gt;Settings!$B$30,O201&gt;Settings!$B$37),0,1)</f>
        <v>1</v>
      </c>
      <c r="V201" s="6">
        <f>IF(AND(U201=1,O201&lt;=Settings!$B$36),1,0)</f>
        <v>0</v>
      </c>
    </row>
    <row r="202" spans="1:22" x14ac:dyDescent="0.2">
      <c r="A202">
        <f>Arrivals!A202</f>
        <v>2</v>
      </c>
      <c r="B202">
        <f>Arrivals!B202</f>
        <v>77</v>
      </c>
      <c r="C202" s="6">
        <f>Arrivals!F202</f>
        <v>534</v>
      </c>
      <c r="D202" s="6">
        <f>Arrivals!J202</f>
        <v>0.84533307081367137</v>
      </c>
      <c r="E202" s="6">
        <f t="shared" si="70"/>
        <v>1097.0882748896092</v>
      </c>
      <c r="F202" s="6">
        <f t="shared" si="61"/>
        <v>1097.0882748896092</v>
      </c>
      <c r="G202" s="6">
        <f t="shared" si="62"/>
        <v>1097.9336079604229</v>
      </c>
      <c r="H202" s="6">
        <f>Arrivals!L202</f>
        <v>75</v>
      </c>
      <c r="I202" s="6">
        <f>H202*8/ACE_Input!S82+ACE_Input!T82</f>
        <v>6.02</v>
      </c>
      <c r="J202" s="6">
        <f t="shared" si="71"/>
        <v>1103.1082748896092</v>
      </c>
      <c r="K202" s="6">
        <f t="shared" si="63"/>
        <v>1103.1082748896092</v>
      </c>
      <c r="L202" s="6">
        <f>MOD(K202-Settings!$B$32,Settings!$B$33)</f>
        <v>383.10827488960922</v>
      </c>
      <c r="M202" s="6">
        <f>IF(L202&lt;Settings!$B$30,IF(Settings!$B$30-L202&gt;=I202,K202,K202+(Settings!$B$30-L202)+Settings!$B$31),K202+(Settings!$B$33-L202))</f>
        <v>1103.1082748896092</v>
      </c>
      <c r="N202" s="6">
        <f t="shared" si="64"/>
        <v>1109.1282748896092</v>
      </c>
      <c r="O202" s="6">
        <f t="shared" si="65"/>
        <v>575.1282748896092</v>
      </c>
      <c r="P202" s="6">
        <f t="shared" si="66"/>
        <v>563.08827488960924</v>
      </c>
      <c r="Q202" s="6">
        <f t="shared" si="67"/>
        <v>5.1746669291862872</v>
      </c>
      <c r="R202" s="6">
        <f t="shared" si="68"/>
        <v>0</v>
      </c>
      <c r="S202" s="6">
        <f t="shared" si="69"/>
        <v>568.26294181879553</v>
      </c>
      <c r="T202" s="6" t="str">
        <f>IF(MOD(C202-Settings!$B$32,Settings!$B$33)&lt;Settings!$B$30,"Up","Down")</f>
        <v>Up</v>
      </c>
      <c r="U202" s="6">
        <f>IF(OR(I202&gt;Settings!$B$30,O202&gt;Settings!$B$37),0,1)</f>
        <v>1</v>
      </c>
      <c r="V202" s="6">
        <f>IF(AND(U202=1,O202&lt;=Settings!$B$36),1,0)</f>
        <v>0</v>
      </c>
    </row>
    <row r="203" spans="1:22" x14ac:dyDescent="0.2">
      <c r="A203">
        <f>Arrivals!A203</f>
        <v>2</v>
      </c>
      <c r="B203">
        <f>Arrivals!B203</f>
        <v>78</v>
      </c>
      <c r="C203" s="6">
        <f>Arrivals!F203</f>
        <v>539</v>
      </c>
      <c r="D203" s="6">
        <f>Arrivals!J203</f>
        <v>2.9808179872160618</v>
      </c>
      <c r="E203" s="6">
        <f t="shared" si="70"/>
        <v>1097.9336079604229</v>
      </c>
      <c r="F203" s="6">
        <f t="shared" si="61"/>
        <v>1097.9336079604229</v>
      </c>
      <c r="G203" s="6">
        <f t="shared" si="62"/>
        <v>1100.9144259476391</v>
      </c>
      <c r="H203" s="6">
        <f>Arrivals!L203</f>
        <v>75</v>
      </c>
      <c r="I203" s="6">
        <f>H203*8/ACE_Input!S83+ACE_Input!T83</f>
        <v>6.02</v>
      </c>
      <c r="J203" s="6">
        <f t="shared" si="71"/>
        <v>1109.1282748896092</v>
      </c>
      <c r="K203" s="6">
        <f t="shared" si="63"/>
        <v>1109.1282748896092</v>
      </c>
      <c r="L203" s="6">
        <f>MOD(K203-Settings!$B$32,Settings!$B$33)</f>
        <v>389.1282748896092</v>
      </c>
      <c r="M203" s="6">
        <f>IF(L203&lt;Settings!$B$30,IF(Settings!$B$30-L203&gt;=I203,K203,K203+(Settings!$B$30-L203)+Settings!$B$31),K203+(Settings!$B$33-L203))</f>
        <v>1109.1282748896092</v>
      </c>
      <c r="N203" s="6">
        <f t="shared" si="64"/>
        <v>1115.1482748896092</v>
      </c>
      <c r="O203" s="6">
        <f t="shared" si="65"/>
        <v>576.14827488960918</v>
      </c>
      <c r="P203" s="6">
        <f t="shared" si="66"/>
        <v>558.93360796042293</v>
      </c>
      <c r="Q203" s="6">
        <f t="shared" si="67"/>
        <v>8.2138489419701273</v>
      </c>
      <c r="R203" s="6">
        <f t="shared" si="68"/>
        <v>0</v>
      </c>
      <c r="S203" s="6">
        <f t="shared" si="69"/>
        <v>567.14745690239306</v>
      </c>
      <c r="T203" s="6" t="str">
        <f>IF(MOD(C203-Settings!$B$32,Settings!$B$33)&lt;Settings!$B$30,"Up","Down")</f>
        <v>Up</v>
      </c>
      <c r="U203" s="6">
        <f>IF(OR(I203&gt;Settings!$B$30,O203&gt;Settings!$B$37),0,1)</f>
        <v>1</v>
      </c>
      <c r="V203" s="6">
        <f>IF(AND(U203=1,O203&lt;=Settings!$B$36),1,0)</f>
        <v>0</v>
      </c>
    </row>
    <row r="204" spans="1:22" x14ac:dyDescent="0.2">
      <c r="A204">
        <f>Arrivals!A204</f>
        <v>2</v>
      </c>
      <c r="B204">
        <f>Arrivals!B204</f>
        <v>79</v>
      </c>
      <c r="C204" s="6">
        <f>Arrivals!F204</f>
        <v>544</v>
      </c>
      <c r="D204" s="6">
        <f>Arrivals!J204</f>
        <v>16.889699554068503</v>
      </c>
      <c r="E204" s="6">
        <f t="shared" si="70"/>
        <v>1100.9144259476391</v>
      </c>
      <c r="F204" s="6">
        <f t="shared" si="61"/>
        <v>1100.9144259476391</v>
      </c>
      <c r="G204" s="6">
        <f t="shared" si="62"/>
        <v>1117.8041255017076</v>
      </c>
      <c r="H204" s="6">
        <f>Arrivals!L204</f>
        <v>75</v>
      </c>
      <c r="I204" s="6">
        <f>H204*8/ACE_Input!S84+ACE_Input!T84</f>
        <v>6.02</v>
      </c>
      <c r="J204" s="6">
        <f t="shared" si="71"/>
        <v>1115.1482748896092</v>
      </c>
      <c r="K204" s="6">
        <f t="shared" si="63"/>
        <v>1117.8041255017076</v>
      </c>
      <c r="L204" s="6">
        <f>MOD(K204-Settings!$B$32,Settings!$B$33)</f>
        <v>397.80412550170763</v>
      </c>
      <c r="M204" s="6">
        <f>IF(L204&lt;Settings!$B$30,IF(Settings!$B$30-L204&gt;=I204,K204,K204+(Settings!$B$30-L204)+Settings!$B$31),K204+(Settings!$B$33-L204))</f>
        <v>1117.8041255017076</v>
      </c>
      <c r="N204" s="6">
        <f t="shared" si="64"/>
        <v>1123.8241255017076</v>
      </c>
      <c r="O204" s="6">
        <f t="shared" si="65"/>
        <v>579.82412550170761</v>
      </c>
      <c r="P204" s="6">
        <f t="shared" si="66"/>
        <v>556.91442594763907</v>
      </c>
      <c r="Q204" s="6">
        <f t="shared" si="67"/>
        <v>0</v>
      </c>
      <c r="R204" s="6">
        <f t="shared" si="68"/>
        <v>0</v>
      </c>
      <c r="S204" s="6">
        <f t="shared" si="69"/>
        <v>556.91442594763907</v>
      </c>
      <c r="T204" s="6" t="str">
        <f>IF(MOD(C204-Settings!$B$32,Settings!$B$33)&lt;Settings!$B$30,"Up","Down")</f>
        <v>Up</v>
      </c>
      <c r="U204" s="6">
        <f>IF(OR(I204&gt;Settings!$B$30,O204&gt;Settings!$B$37),0,1)</f>
        <v>1</v>
      </c>
      <c r="V204" s="6">
        <f>IF(AND(U204=1,O204&lt;=Settings!$B$36),1,0)</f>
        <v>0</v>
      </c>
    </row>
    <row r="205" spans="1:22" x14ac:dyDescent="0.2">
      <c r="A205">
        <f>Arrivals!A205</f>
        <v>2</v>
      </c>
      <c r="B205">
        <f>Arrivals!B205</f>
        <v>80</v>
      </c>
      <c r="C205" s="6">
        <f>Arrivals!F205</f>
        <v>549</v>
      </c>
      <c r="D205" s="6">
        <f>Arrivals!J205</f>
        <v>4.4479346896783323</v>
      </c>
      <c r="E205" s="6">
        <f t="shared" si="70"/>
        <v>1117.8041255017076</v>
      </c>
      <c r="F205" s="6">
        <f t="shared" si="61"/>
        <v>1117.8041255017076</v>
      </c>
      <c r="G205" s="6">
        <f t="shared" si="62"/>
        <v>1122.2520601913859</v>
      </c>
      <c r="H205" s="6">
        <f>Arrivals!L205</f>
        <v>75</v>
      </c>
      <c r="I205" s="6">
        <f>H205*8/ACE_Input!S85+ACE_Input!T85</f>
        <v>6.02</v>
      </c>
      <c r="J205" s="6">
        <f t="shared" si="71"/>
        <v>1123.8241255017076</v>
      </c>
      <c r="K205" s="6">
        <f t="shared" si="63"/>
        <v>1123.8241255017076</v>
      </c>
      <c r="L205" s="6">
        <f>MOD(K205-Settings!$B$32,Settings!$B$33)</f>
        <v>403.82412550170761</v>
      </c>
      <c r="M205" s="6">
        <f>IF(L205&lt;Settings!$B$30,IF(Settings!$B$30-L205&gt;=I205,K205,K205+(Settings!$B$30-L205)+Settings!$B$31),K205+(Settings!$B$33-L205))</f>
        <v>1123.8241255017076</v>
      </c>
      <c r="N205" s="6">
        <f t="shared" si="64"/>
        <v>1129.8441255017076</v>
      </c>
      <c r="O205" s="6">
        <f t="shared" si="65"/>
        <v>580.84412550170759</v>
      </c>
      <c r="P205" s="6">
        <f t="shared" si="66"/>
        <v>568.80412550170763</v>
      </c>
      <c r="Q205" s="6">
        <f t="shared" si="67"/>
        <v>1.5720653103217046</v>
      </c>
      <c r="R205" s="6">
        <f t="shared" si="68"/>
        <v>0</v>
      </c>
      <c r="S205" s="6">
        <f t="shared" si="69"/>
        <v>570.37619081202934</v>
      </c>
      <c r="T205" s="6" t="str">
        <f>IF(MOD(C205-Settings!$B$32,Settings!$B$33)&lt;Settings!$B$30,"Up","Down")</f>
        <v>Up</v>
      </c>
      <c r="U205" s="6">
        <f>IF(OR(I205&gt;Settings!$B$30,O205&gt;Settings!$B$37),0,1)</f>
        <v>1</v>
      </c>
      <c r="V205" s="6">
        <f>IF(AND(U205=1,O205&lt;=Settings!$B$36),1,0)</f>
        <v>0</v>
      </c>
    </row>
    <row r="206" spans="1:22" x14ac:dyDescent="0.2">
      <c r="A206">
        <f>Arrivals!A206</f>
        <v>2</v>
      </c>
      <c r="B206">
        <f>Arrivals!B206</f>
        <v>81</v>
      </c>
      <c r="C206" s="6">
        <f>Arrivals!F206</f>
        <v>554</v>
      </c>
      <c r="D206" s="6">
        <f>Arrivals!J206</f>
        <v>8.3618238809003564</v>
      </c>
      <c r="E206" s="6">
        <f t="shared" si="70"/>
        <v>1122.2520601913859</v>
      </c>
      <c r="F206" s="6">
        <f t="shared" si="61"/>
        <v>1122.2520601913859</v>
      </c>
      <c r="G206" s="6">
        <f t="shared" si="62"/>
        <v>1130.6138840722863</v>
      </c>
      <c r="H206" s="6">
        <f>Arrivals!L206</f>
        <v>75</v>
      </c>
      <c r="I206" s="6">
        <f>H206*8/ACE_Input!S86+ACE_Input!T86</f>
        <v>6.02</v>
      </c>
      <c r="J206" s="6">
        <f t="shared" si="71"/>
        <v>1129.8441255017076</v>
      </c>
      <c r="K206" s="6">
        <f t="shared" si="63"/>
        <v>1130.6138840722863</v>
      </c>
      <c r="L206" s="6">
        <f>MOD(K206-Settings!$B$32,Settings!$B$33)</f>
        <v>410.61388407228628</v>
      </c>
      <c r="M206" s="6">
        <f>IF(L206&lt;Settings!$B$30,IF(Settings!$B$30-L206&gt;=I206,K206,K206+(Settings!$B$30-L206)+Settings!$B$31),K206+(Settings!$B$33-L206))</f>
        <v>1130.6138840722863</v>
      </c>
      <c r="N206" s="6">
        <f t="shared" si="64"/>
        <v>1136.6338840722863</v>
      </c>
      <c r="O206" s="6">
        <f t="shared" si="65"/>
        <v>582.63388407228626</v>
      </c>
      <c r="P206" s="6">
        <f t="shared" si="66"/>
        <v>568.25206019138591</v>
      </c>
      <c r="Q206" s="6">
        <f t="shared" si="67"/>
        <v>0</v>
      </c>
      <c r="R206" s="6">
        <f t="shared" si="68"/>
        <v>0</v>
      </c>
      <c r="S206" s="6">
        <f t="shared" si="69"/>
        <v>568.25206019138591</v>
      </c>
      <c r="T206" s="6" t="str">
        <f>IF(MOD(C206-Settings!$B$32,Settings!$B$33)&lt;Settings!$B$30,"Up","Down")</f>
        <v>Up</v>
      </c>
      <c r="U206" s="6">
        <f>IF(OR(I206&gt;Settings!$B$30,O206&gt;Settings!$B$37),0,1)</f>
        <v>1</v>
      </c>
      <c r="V206" s="6">
        <f>IF(AND(U206=1,O206&lt;=Settings!$B$36),1,0)</f>
        <v>0</v>
      </c>
    </row>
    <row r="207" spans="1:22" x14ac:dyDescent="0.2">
      <c r="A207">
        <f>Arrivals!A207</f>
        <v>2</v>
      </c>
      <c r="B207">
        <f>Arrivals!B207</f>
        <v>82</v>
      </c>
      <c r="C207" s="6">
        <f>Arrivals!F207</f>
        <v>559</v>
      </c>
      <c r="D207" s="6">
        <f>Arrivals!J207</f>
        <v>4.2233342400416642</v>
      </c>
      <c r="E207" s="6">
        <f t="shared" si="70"/>
        <v>1130.6138840722863</v>
      </c>
      <c r="F207" s="6">
        <f t="shared" si="61"/>
        <v>1130.6138840722863</v>
      </c>
      <c r="G207" s="6">
        <f t="shared" si="62"/>
        <v>1134.8372183123279</v>
      </c>
      <c r="H207" s="6">
        <f>Arrivals!L207</f>
        <v>75</v>
      </c>
      <c r="I207" s="6">
        <f>H207*8/ACE_Input!S87+ACE_Input!T87</f>
        <v>6.02</v>
      </c>
      <c r="J207" s="6">
        <f t="shared" si="71"/>
        <v>1136.6338840722863</v>
      </c>
      <c r="K207" s="6">
        <f t="shared" si="63"/>
        <v>1136.6338840722863</v>
      </c>
      <c r="L207" s="6">
        <f>MOD(K207-Settings!$B$32,Settings!$B$33)</f>
        <v>416.63388407228626</v>
      </c>
      <c r="M207" s="6">
        <f>IF(L207&lt;Settings!$B$30,IF(Settings!$B$30-L207&gt;=I207,K207,K207+(Settings!$B$30-L207)+Settings!$B$31),K207+(Settings!$B$33-L207))</f>
        <v>1136.6338840722863</v>
      </c>
      <c r="N207" s="6">
        <f t="shared" si="64"/>
        <v>1142.6538840722862</v>
      </c>
      <c r="O207" s="6">
        <f t="shared" si="65"/>
        <v>583.65388407228625</v>
      </c>
      <c r="P207" s="6">
        <f t="shared" si="66"/>
        <v>571.61388407228628</v>
      </c>
      <c r="Q207" s="6">
        <f t="shared" si="67"/>
        <v>1.7966657599583868</v>
      </c>
      <c r="R207" s="6">
        <f t="shared" si="68"/>
        <v>0</v>
      </c>
      <c r="S207" s="6">
        <f t="shared" si="69"/>
        <v>573.41054983224467</v>
      </c>
      <c r="T207" s="6" t="str">
        <f>IF(MOD(C207-Settings!$B$32,Settings!$B$33)&lt;Settings!$B$30,"Up","Down")</f>
        <v>Up</v>
      </c>
      <c r="U207" s="6">
        <f>IF(OR(I207&gt;Settings!$B$30,O207&gt;Settings!$B$37),0,1)</f>
        <v>1</v>
      </c>
      <c r="V207" s="6">
        <f>IF(AND(U207=1,O207&lt;=Settings!$B$36),1,0)</f>
        <v>0</v>
      </c>
    </row>
    <row r="208" spans="1:22" x14ac:dyDescent="0.2">
      <c r="A208">
        <f>Arrivals!A208</f>
        <v>2</v>
      </c>
      <c r="B208">
        <f>Arrivals!B208</f>
        <v>83</v>
      </c>
      <c r="C208" s="6">
        <f>Arrivals!F208</f>
        <v>564</v>
      </c>
      <c r="D208" s="6">
        <f>Arrivals!J208</f>
        <v>4.5434815842325991</v>
      </c>
      <c r="E208" s="6">
        <f t="shared" si="70"/>
        <v>1134.8372183123279</v>
      </c>
      <c r="F208" s="6">
        <f t="shared" si="61"/>
        <v>1134.8372183123279</v>
      </c>
      <c r="G208" s="6">
        <f t="shared" si="62"/>
        <v>1139.3806998965604</v>
      </c>
      <c r="H208" s="6">
        <f>Arrivals!L208</f>
        <v>75</v>
      </c>
      <c r="I208" s="6">
        <f>H208*8/ACE_Input!S88+ACE_Input!T88</f>
        <v>6.02</v>
      </c>
      <c r="J208" s="6">
        <f t="shared" si="71"/>
        <v>1142.6538840722862</v>
      </c>
      <c r="K208" s="6">
        <f t="shared" si="63"/>
        <v>1142.6538840722862</v>
      </c>
      <c r="L208" s="6">
        <f>MOD(K208-Settings!$B$32,Settings!$B$33)</f>
        <v>422.65388407228625</v>
      </c>
      <c r="M208" s="6">
        <f>IF(L208&lt;Settings!$B$30,IF(Settings!$B$30-L208&gt;=I208,K208,K208+(Settings!$B$30-L208)+Settings!$B$31),K208+(Settings!$B$33-L208))</f>
        <v>1142.6538840722862</v>
      </c>
      <c r="N208" s="6">
        <f t="shared" si="64"/>
        <v>1148.6738840722862</v>
      </c>
      <c r="O208" s="6">
        <f t="shared" si="65"/>
        <v>584.67388407228623</v>
      </c>
      <c r="P208" s="6">
        <f t="shared" si="66"/>
        <v>570.83721831232788</v>
      </c>
      <c r="Q208" s="6">
        <f t="shared" si="67"/>
        <v>3.2731841757258735</v>
      </c>
      <c r="R208" s="6">
        <f t="shared" si="68"/>
        <v>0</v>
      </c>
      <c r="S208" s="6">
        <f t="shared" si="69"/>
        <v>574.11040248805375</v>
      </c>
      <c r="T208" s="6" t="str">
        <f>IF(MOD(C208-Settings!$B$32,Settings!$B$33)&lt;Settings!$B$30,"Up","Down")</f>
        <v>Up</v>
      </c>
      <c r="U208" s="6">
        <f>IF(OR(I208&gt;Settings!$B$30,O208&gt;Settings!$B$37),0,1)</f>
        <v>1</v>
      </c>
      <c r="V208" s="6">
        <f>IF(AND(U208=1,O208&lt;=Settings!$B$36),1,0)</f>
        <v>0</v>
      </c>
    </row>
    <row r="209" spans="1:22" x14ac:dyDescent="0.2">
      <c r="A209">
        <f>Arrivals!A209</f>
        <v>2</v>
      </c>
      <c r="B209">
        <f>Arrivals!B209</f>
        <v>84</v>
      </c>
      <c r="C209" s="6">
        <f>Arrivals!F209</f>
        <v>569</v>
      </c>
      <c r="D209" s="6">
        <f>Arrivals!J209</f>
        <v>8.5352834610188708</v>
      </c>
      <c r="E209" s="6">
        <f t="shared" si="70"/>
        <v>1139.3806998965604</v>
      </c>
      <c r="F209" s="6">
        <f t="shared" si="61"/>
        <v>1139.3806998965604</v>
      </c>
      <c r="G209" s="6">
        <f t="shared" si="62"/>
        <v>1147.9159833575793</v>
      </c>
      <c r="H209" s="6">
        <f>Arrivals!L209</f>
        <v>75</v>
      </c>
      <c r="I209" s="6">
        <f>H209*8/ACE_Input!S89+ACE_Input!T89</f>
        <v>6.02</v>
      </c>
      <c r="J209" s="6">
        <f t="shared" si="71"/>
        <v>1148.6738840722862</v>
      </c>
      <c r="K209" s="6">
        <f t="shared" si="63"/>
        <v>1148.6738840722862</v>
      </c>
      <c r="L209" s="6">
        <f>MOD(K209-Settings!$B$32,Settings!$B$33)</f>
        <v>428.67388407228623</v>
      </c>
      <c r="M209" s="6">
        <f>IF(L209&lt;Settings!$B$30,IF(Settings!$B$30-L209&gt;=I209,K209,K209+(Settings!$B$30-L209)+Settings!$B$31),K209+(Settings!$B$33-L209))</f>
        <v>1148.6738840722862</v>
      </c>
      <c r="N209" s="6">
        <f t="shared" si="64"/>
        <v>1154.6938840722862</v>
      </c>
      <c r="O209" s="6">
        <f t="shared" si="65"/>
        <v>585.69388407228621</v>
      </c>
      <c r="P209" s="6">
        <f t="shared" si="66"/>
        <v>570.38069989656037</v>
      </c>
      <c r="Q209" s="6">
        <f t="shared" si="67"/>
        <v>0.75790071470692055</v>
      </c>
      <c r="R209" s="6">
        <f t="shared" si="68"/>
        <v>0</v>
      </c>
      <c r="S209" s="6">
        <f t="shared" si="69"/>
        <v>571.13860061126729</v>
      </c>
      <c r="T209" s="6" t="str">
        <f>IF(MOD(C209-Settings!$B$32,Settings!$B$33)&lt;Settings!$B$30,"Up","Down")</f>
        <v>Up</v>
      </c>
      <c r="U209" s="6">
        <f>IF(OR(I209&gt;Settings!$B$30,O209&gt;Settings!$B$37),0,1)</f>
        <v>1</v>
      </c>
      <c r="V209" s="6">
        <f>IF(AND(U209=1,O209&lt;=Settings!$B$36),1,0)</f>
        <v>0</v>
      </c>
    </row>
    <row r="210" spans="1:22" x14ac:dyDescent="0.2">
      <c r="A210">
        <f>Arrivals!A210</f>
        <v>2</v>
      </c>
      <c r="B210">
        <f>Arrivals!B210</f>
        <v>85</v>
      </c>
      <c r="C210" s="6">
        <f>Arrivals!F210</f>
        <v>574</v>
      </c>
      <c r="D210" s="6">
        <f>Arrivals!J210</f>
        <v>7.2460937901273361</v>
      </c>
      <c r="E210" s="6">
        <f t="shared" si="70"/>
        <v>1147.9159833575793</v>
      </c>
      <c r="F210" s="6">
        <f t="shared" si="61"/>
        <v>1147.9159833575793</v>
      </c>
      <c r="G210" s="6">
        <f t="shared" si="62"/>
        <v>1155.1620771477067</v>
      </c>
      <c r="H210" s="6">
        <f>Arrivals!L210</f>
        <v>75</v>
      </c>
      <c r="I210" s="6">
        <f>H210*8/ACE_Input!S90+ACE_Input!T90</f>
        <v>6.02</v>
      </c>
      <c r="J210" s="6">
        <f t="shared" si="71"/>
        <v>1154.6938840722862</v>
      </c>
      <c r="K210" s="6">
        <f t="shared" si="63"/>
        <v>1155.1620771477067</v>
      </c>
      <c r="L210" s="6">
        <f>MOD(K210-Settings!$B$32,Settings!$B$33)</f>
        <v>435.16207714770667</v>
      </c>
      <c r="M210" s="6">
        <f>IF(L210&lt;Settings!$B$30,IF(Settings!$B$30-L210&gt;=I210,K210,K210+(Settings!$B$30-L210)+Settings!$B$31),K210+(Settings!$B$33-L210))</f>
        <v>1155.1620771477067</v>
      </c>
      <c r="N210" s="6">
        <f t="shared" si="64"/>
        <v>1161.1820771477067</v>
      </c>
      <c r="O210" s="6">
        <f t="shared" si="65"/>
        <v>587.18207714770665</v>
      </c>
      <c r="P210" s="6">
        <f t="shared" si="66"/>
        <v>573.91598335757931</v>
      </c>
      <c r="Q210" s="6">
        <f t="shared" si="67"/>
        <v>0</v>
      </c>
      <c r="R210" s="6">
        <f t="shared" si="68"/>
        <v>0</v>
      </c>
      <c r="S210" s="6">
        <f t="shared" si="69"/>
        <v>573.91598335757931</v>
      </c>
      <c r="T210" s="6" t="str">
        <f>IF(MOD(C210-Settings!$B$32,Settings!$B$33)&lt;Settings!$B$30,"Up","Down")</f>
        <v>Up</v>
      </c>
      <c r="U210" s="6">
        <f>IF(OR(I210&gt;Settings!$B$30,O210&gt;Settings!$B$37),0,1)</f>
        <v>1</v>
      </c>
      <c r="V210" s="6">
        <f>IF(AND(U210=1,O210&lt;=Settings!$B$36),1,0)</f>
        <v>0</v>
      </c>
    </row>
    <row r="211" spans="1:22" x14ac:dyDescent="0.2">
      <c r="A211">
        <f>Arrivals!A211</f>
        <v>2</v>
      </c>
      <c r="B211">
        <f>Arrivals!B211</f>
        <v>86</v>
      </c>
      <c r="C211" s="6">
        <f>Arrivals!F211</f>
        <v>579</v>
      </c>
      <c r="D211" s="6">
        <f>Arrivals!J211</f>
        <v>7.9668100899501919</v>
      </c>
      <c r="E211" s="6">
        <f t="shared" si="70"/>
        <v>1155.1620771477067</v>
      </c>
      <c r="F211" s="6">
        <f t="shared" si="61"/>
        <v>1155.1620771477067</v>
      </c>
      <c r="G211" s="6">
        <f t="shared" si="62"/>
        <v>1163.128887237657</v>
      </c>
      <c r="H211" s="6">
        <f>Arrivals!L211</f>
        <v>75</v>
      </c>
      <c r="I211" s="6">
        <f>H211*8/ACE_Input!S91+ACE_Input!T91</f>
        <v>6.02</v>
      </c>
      <c r="J211" s="6">
        <f t="shared" si="71"/>
        <v>1161.1820771477067</v>
      </c>
      <c r="K211" s="6">
        <f t="shared" si="63"/>
        <v>1163.128887237657</v>
      </c>
      <c r="L211" s="6">
        <f>MOD(K211-Settings!$B$32,Settings!$B$33)</f>
        <v>443.12888723765695</v>
      </c>
      <c r="M211" s="6">
        <f>IF(L211&lt;Settings!$B$30,IF(Settings!$B$30-L211&gt;=I211,K211,K211+(Settings!$B$30-L211)+Settings!$B$31),K211+(Settings!$B$33-L211))</f>
        <v>1163.128887237657</v>
      </c>
      <c r="N211" s="6">
        <f t="shared" si="64"/>
        <v>1169.1488872376569</v>
      </c>
      <c r="O211" s="6">
        <f t="shared" si="65"/>
        <v>590.14888723765694</v>
      </c>
      <c r="P211" s="6">
        <f t="shared" si="66"/>
        <v>576.16207714770667</v>
      </c>
      <c r="Q211" s="6">
        <f t="shared" si="67"/>
        <v>0</v>
      </c>
      <c r="R211" s="6">
        <f t="shared" si="68"/>
        <v>0</v>
      </c>
      <c r="S211" s="6">
        <f t="shared" si="69"/>
        <v>576.16207714770667</v>
      </c>
      <c r="T211" s="6" t="str">
        <f>IF(MOD(C211-Settings!$B$32,Settings!$B$33)&lt;Settings!$B$30,"Up","Down")</f>
        <v>Up</v>
      </c>
      <c r="U211" s="6">
        <f>IF(OR(I211&gt;Settings!$B$30,O211&gt;Settings!$B$37),0,1)</f>
        <v>1</v>
      </c>
      <c r="V211" s="6">
        <f>IF(AND(U211=1,O211&lt;=Settings!$B$36),1,0)</f>
        <v>0</v>
      </c>
    </row>
    <row r="212" spans="1:22" x14ac:dyDescent="0.2">
      <c r="A212">
        <f>Arrivals!A212</f>
        <v>2</v>
      </c>
      <c r="B212">
        <f>Arrivals!B212</f>
        <v>87</v>
      </c>
      <c r="C212" s="6">
        <f>Arrivals!F212</f>
        <v>584</v>
      </c>
      <c r="D212" s="6">
        <f>Arrivals!J212</f>
        <v>1.2527261840531685</v>
      </c>
      <c r="E212" s="6">
        <f t="shared" si="70"/>
        <v>1163.128887237657</v>
      </c>
      <c r="F212" s="6">
        <f t="shared" si="61"/>
        <v>1163.128887237657</v>
      </c>
      <c r="G212" s="6">
        <f t="shared" si="62"/>
        <v>1164.3816134217102</v>
      </c>
      <c r="H212" s="6">
        <f>Arrivals!L212</f>
        <v>75</v>
      </c>
      <c r="I212" s="6">
        <f>H212*8/ACE_Input!S92+ACE_Input!T92</f>
        <v>6.02</v>
      </c>
      <c r="J212" s="6">
        <f t="shared" si="71"/>
        <v>1169.1488872376569</v>
      </c>
      <c r="K212" s="6">
        <f t="shared" si="63"/>
        <v>1169.1488872376569</v>
      </c>
      <c r="L212" s="6">
        <f>MOD(K212-Settings!$B$32,Settings!$B$33)</f>
        <v>449.14888723765694</v>
      </c>
      <c r="M212" s="6">
        <f>IF(L212&lt;Settings!$B$30,IF(Settings!$B$30-L212&gt;=I212,K212,K212+(Settings!$B$30-L212)+Settings!$B$31),K212+(Settings!$B$33-L212))</f>
        <v>1169.1488872376569</v>
      </c>
      <c r="N212" s="6">
        <f t="shared" si="64"/>
        <v>1175.1688872376569</v>
      </c>
      <c r="O212" s="6">
        <f t="shared" si="65"/>
        <v>591.16888723765692</v>
      </c>
      <c r="P212" s="6">
        <f t="shared" si="66"/>
        <v>579.12888723765695</v>
      </c>
      <c r="Q212" s="6">
        <f t="shared" si="67"/>
        <v>4.7672738159467372</v>
      </c>
      <c r="R212" s="6">
        <f t="shared" si="68"/>
        <v>0</v>
      </c>
      <c r="S212" s="6">
        <f t="shared" si="69"/>
        <v>583.89616105360369</v>
      </c>
      <c r="T212" s="6" t="str">
        <f>IF(MOD(C212-Settings!$B$32,Settings!$B$33)&lt;Settings!$B$30,"Up","Down")</f>
        <v>Up</v>
      </c>
      <c r="U212" s="6">
        <f>IF(OR(I212&gt;Settings!$B$30,O212&gt;Settings!$B$37),0,1)</f>
        <v>1</v>
      </c>
      <c r="V212" s="6">
        <f>IF(AND(U212=1,O212&lt;=Settings!$B$36),1,0)</f>
        <v>0</v>
      </c>
    </row>
    <row r="213" spans="1:22" x14ac:dyDescent="0.2">
      <c r="A213">
        <f>Arrivals!A213</f>
        <v>2</v>
      </c>
      <c r="B213">
        <f>Arrivals!B213</f>
        <v>88</v>
      </c>
      <c r="C213" s="6">
        <f>Arrivals!F213</f>
        <v>589</v>
      </c>
      <c r="D213" s="6">
        <f>Arrivals!J213</f>
        <v>0.88163422639267652</v>
      </c>
      <c r="E213" s="6">
        <f t="shared" si="70"/>
        <v>1164.3816134217102</v>
      </c>
      <c r="F213" s="6">
        <f t="shared" si="61"/>
        <v>1164.3816134217102</v>
      </c>
      <c r="G213" s="6">
        <f t="shared" si="62"/>
        <v>1165.2632476481028</v>
      </c>
      <c r="H213" s="6">
        <f>Arrivals!L213</f>
        <v>75</v>
      </c>
      <c r="I213" s="6">
        <f>H213*8/ACE_Input!S93+ACE_Input!T93</f>
        <v>6.02</v>
      </c>
      <c r="J213" s="6">
        <f t="shared" si="71"/>
        <v>1175.1688872376569</v>
      </c>
      <c r="K213" s="6">
        <f t="shared" si="63"/>
        <v>1175.1688872376569</v>
      </c>
      <c r="L213" s="6">
        <f>MOD(K213-Settings!$B$32,Settings!$B$33)</f>
        <v>455.16888723765692</v>
      </c>
      <c r="M213" s="6">
        <f>IF(L213&lt;Settings!$B$30,IF(Settings!$B$30-L213&gt;=I213,K213,K213+(Settings!$B$30-L213)+Settings!$B$31),K213+(Settings!$B$33-L213))</f>
        <v>1175.1688872376569</v>
      </c>
      <c r="N213" s="6">
        <f t="shared" si="64"/>
        <v>1181.1888872376569</v>
      </c>
      <c r="O213" s="6">
        <f t="shared" si="65"/>
        <v>592.1888872376569</v>
      </c>
      <c r="P213" s="6">
        <f t="shared" si="66"/>
        <v>575.3816134217102</v>
      </c>
      <c r="Q213" s="6">
        <f t="shared" si="67"/>
        <v>9.9056395895540845</v>
      </c>
      <c r="R213" s="6">
        <f t="shared" si="68"/>
        <v>0</v>
      </c>
      <c r="S213" s="6">
        <f t="shared" si="69"/>
        <v>585.28725301126428</v>
      </c>
      <c r="T213" s="6" t="str">
        <f>IF(MOD(C213-Settings!$B$32,Settings!$B$33)&lt;Settings!$B$30,"Up","Down")</f>
        <v>Up</v>
      </c>
      <c r="U213" s="6">
        <f>IF(OR(I213&gt;Settings!$B$30,O213&gt;Settings!$B$37),0,1)</f>
        <v>1</v>
      </c>
      <c r="V213" s="6">
        <f>IF(AND(U213=1,O213&lt;=Settings!$B$36),1,0)</f>
        <v>0</v>
      </c>
    </row>
    <row r="214" spans="1:22" x14ac:dyDescent="0.2">
      <c r="A214">
        <f>Arrivals!A214</f>
        <v>2</v>
      </c>
      <c r="B214">
        <f>Arrivals!B214</f>
        <v>89</v>
      </c>
      <c r="C214" s="6">
        <f>Arrivals!F214</f>
        <v>594</v>
      </c>
      <c r="D214" s="6">
        <f>Arrivals!J214</f>
        <v>9.1319050248373408</v>
      </c>
      <c r="E214" s="6">
        <f t="shared" si="70"/>
        <v>1165.2632476481028</v>
      </c>
      <c r="F214" s="6">
        <f t="shared" si="61"/>
        <v>1165.2632476481028</v>
      </c>
      <c r="G214" s="6">
        <f t="shared" si="62"/>
        <v>1174.3951526729402</v>
      </c>
      <c r="H214" s="6">
        <f>Arrivals!L214</f>
        <v>75</v>
      </c>
      <c r="I214" s="6">
        <f>H214*8/ACE_Input!S94+ACE_Input!T94</f>
        <v>6.02</v>
      </c>
      <c r="J214" s="6">
        <f t="shared" si="71"/>
        <v>1181.1888872376569</v>
      </c>
      <c r="K214" s="6">
        <f t="shared" si="63"/>
        <v>1181.1888872376569</v>
      </c>
      <c r="L214" s="6">
        <f>MOD(K214-Settings!$B$32,Settings!$B$33)</f>
        <v>461.1888872376569</v>
      </c>
      <c r="M214" s="6">
        <f>IF(L214&lt;Settings!$B$30,IF(Settings!$B$30-L214&gt;=I214,K214,K214+(Settings!$B$30-L214)+Settings!$B$31),K214+(Settings!$B$33-L214))</f>
        <v>1181.1888872376569</v>
      </c>
      <c r="N214" s="6">
        <f t="shared" si="64"/>
        <v>1187.2088872376569</v>
      </c>
      <c r="O214" s="6">
        <f t="shared" si="65"/>
        <v>593.20888723765688</v>
      </c>
      <c r="P214" s="6">
        <f t="shared" si="66"/>
        <v>571.26324764810283</v>
      </c>
      <c r="Q214" s="6">
        <f t="shared" si="67"/>
        <v>6.7937345647167149</v>
      </c>
      <c r="R214" s="6">
        <f t="shared" si="68"/>
        <v>0</v>
      </c>
      <c r="S214" s="6">
        <f t="shared" si="69"/>
        <v>578.05698221281955</v>
      </c>
      <c r="T214" s="6" t="str">
        <f>IF(MOD(C214-Settings!$B$32,Settings!$B$33)&lt;Settings!$B$30,"Up","Down")</f>
        <v>Up</v>
      </c>
      <c r="U214" s="6">
        <f>IF(OR(I214&gt;Settings!$B$30,O214&gt;Settings!$B$37),0,1)</f>
        <v>1</v>
      </c>
      <c r="V214" s="6">
        <f>IF(AND(U214=1,O214&lt;=Settings!$B$36),1,0)</f>
        <v>0</v>
      </c>
    </row>
    <row r="215" spans="1:22" x14ac:dyDescent="0.2">
      <c r="A215">
        <f>Arrivals!A215</f>
        <v>2</v>
      </c>
      <c r="B215">
        <f>Arrivals!B215</f>
        <v>90</v>
      </c>
      <c r="C215" s="6">
        <f>Arrivals!F215</f>
        <v>599</v>
      </c>
      <c r="D215" s="6">
        <f>Arrivals!J215</f>
        <v>15.46368930175316</v>
      </c>
      <c r="E215" s="6">
        <f t="shared" si="70"/>
        <v>1174.3951526729402</v>
      </c>
      <c r="F215" s="6">
        <f t="shared" si="61"/>
        <v>1174.3951526729402</v>
      </c>
      <c r="G215" s="6">
        <f t="shared" si="62"/>
        <v>1189.8588419746934</v>
      </c>
      <c r="H215" s="6">
        <f>Arrivals!L215</f>
        <v>75</v>
      </c>
      <c r="I215" s="6">
        <f>H215*8/ACE_Input!S95+ACE_Input!T95</f>
        <v>6.02</v>
      </c>
      <c r="J215" s="6">
        <f t="shared" si="71"/>
        <v>1187.2088872376569</v>
      </c>
      <c r="K215" s="6">
        <f t="shared" si="63"/>
        <v>1189.8588419746934</v>
      </c>
      <c r="L215" s="6">
        <f>MOD(K215-Settings!$B$32,Settings!$B$33)</f>
        <v>469.85884197469341</v>
      </c>
      <c r="M215" s="6">
        <f>IF(L215&lt;Settings!$B$30,IF(Settings!$B$30-L215&gt;=I215,K215,K215+(Settings!$B$30-L215)+Settings!$B$31),K215+(Settings!$B$33-L215))</f>
        <v>1189.8588419746934</v>
      </c>
      <c r="N215" s="6">
        <f t="shared" si="64"/>
        <v>1195.8788419746934</v>
      </c>
      <c r="O215" s="6">
        <f t="shared" si="65"/>
        <v>596.87884197469339</v>
      </c>
      <c r="P215" s="6">
        <f t="shared" si="66"/>
        <v>575.39515267294018</v>
      </c>
      <c r="Q215" s="6">
        <f t="shared" si="67"/>
        <v>0</v>
      </c>
      <c r="R215" s="6">
        <f t="shared" si="68"/>
        <v>0</v>
      </c>
      <c r="S215" s="6">
        <f t="shared" si="69"/>
        <v>575.39515267294018</v>
      </c>
      <c r="T215" s="6" t="str">
        <f>IF(MOD(C215-Settings!$B$32,Settings!$B$33)&lt;Settings!$B$30,"Up","Down")</f>
        <v>Up</v>
      </c>
      <c r="U215" s="6">
        <f>IF(OR(I215&gt;Settings!$B$30,O215&gt;Settings!$B$37),0,1)</f>
        <v>1</v>
      </c>
      <c r="V215" s="6">
        <f>IF(AND(U215=1,O215&lt;=Settings!$B$36),1,0)</f>
        <v>0</v>
      </c>
    </row>
    <row r="216" spans="1:22" x14ac:dyDescent="0.2">
      <c r="A216">
        <f>Arrivals!A216</f>
        <v>2</v>
      </c>
      <c r="B216">
        <f>Arrivals!B216</f>
        <v>91</v>
      </c>
      <c r="C216" s="6">
        <f>Arrivals!F216</f>
        <v>604</v>
      </c>
      <c r="D216" s="6">
        <f>Arrivals!J216</f>
        <v>3.1559008247913121</v>
      </c>
      <c r="E216" s="6">
        <f t="shared" si="70"/>
        <v>1189.8588419746934</v>
      </c>
      <c r="F216" s="6">
        <f t="shared" si="61"/>
        <v>1189.8588419746934</v>
      </c>
      <c r="G216" s="6">
        <f t="shared" si="62"/>
        <v>1193.0147427994848</v>
      </c>
      <c r="H216" s="6">
        <f>Arrivals!L216</f>
        <v>75</v>
      </c>
      <c r="I216" s="6">
        <f>H216*8/ACE_Input!S96+ACE_Input!T96</f>
        <v>6.02</v>
      </c>
      <c r="J216" s="6">
        <f t="shared" si="71"/>
        <v>1195.8788419746934</v>
      </c>
      <c r="K216" s="6">
        <f t="shared" si="63"/>
        <v>1195.8788419746934</v>
      </c>
      <c r="L216" s="6">
        <f>MOD(K216-Settings!$B$32,Settings!$B$33)</f>
        <v>475.87884197469339</v>
      </c>
      <c r="M216" s="6">
        <f>IF(L216&lt;Settings!$B$30,IF(Settings!$B$30-L216&gt;=I216,K216,K216+(Settings!$B$30-L216)+Settings!$B$31),K216+(Settings!$B$33-L216))</f>
        <v>1195.8788419746934</v>
      </c>
      <c r="N216" s="6">
        <f t="shared" si="64"/>
        <v>1201.8988419746934</v>
      </c>
      <c r="O216" s="6">
        <f t="shared" si="65"/>
        <v>597.89884197469337</v>
      </c>
      <c r="P216" s="6">
        <f t="shared" si="66"/>
        <v>585.85884197469341</v>
      </c>
      <c r="Q216" s="6">
        <f t="shared" si="67"/>
        <v>2.8640991752085938</v>
      </c>
      <c r="R216" s="6">
        <f t="shared" si="68"/>
        <v>0</v>
      </c>
      <c r="S216" s="6">
        <f t="shared" si="69"/>
        <v>588.722941149902</v>
      </c>
      <c r="T216" s="6" t="str">
        <f>IF(MOD(C216-Settings!$B$32,Settings!$B$33)&lt;Settings!$B$30,"Up","Down")</f>
        <v>Down</v>
      </c>
      <c r="U216" s="6">
        <f>IF(OR(I216&gt;Settings!$B$30,O216&gt;Settings!$B$37),0,1)</f>
        <v>1</v>
      </c>
      <c r="V216" s="6">
        <f>IF(AND(U216=1,O216&lt;=Settings!$B$36),1,0)</f>
        <v>0</v>
      </c>
    </row>
    <row r="217" spans="1:22" x14ac:dyDescent="0.2">
      <c r="A217">
        <f>Arrivals!A217</f>
        <v>2</v>
      </c>
      <c r="B217">
        <f>Arrivals!B217</f>
        <v>92</v>
      </c>
      <c r="C217" s="6">
        <f>Arrivals!F217</f>
        <v>609</v>
      </c>
      <c r="D217" s="6">
        <f>Arrivals!J217</f>
        <v>12.534630682817429</v>
      </c>
      <c r="E217" s="6">
        <f t="shared" si="70"/>
        <v>1193.0147427994848</v>
      </c>
      <c r="F217" s="6">
        <f t="shared" si="61"/>
        <v>1193.0147427994848</v>
      </c>
      <c r="G217" s="6">
        <f t="shared" si="62"/>
        <v>1205.5493734823021</v>
      </c>
      <c r="H217" s="6">
        <f>Arrivals!L217</f>
        <v>75</v>
      </c>
      <c r="I217" s="6">
        <f>H217*8/ACE_Input!S97+ACE_Input!T97</f>
        <v>6.02</v>
      </c>
      <c r="J217" s="6">
        <f t="shared" si="71"/>
        <v>1201.8988419746934</v>
      </c>
      <c r="K217" s="6">
        <f t="shared" si="63"/>
        <v>1205.5493734823021</v>
      </c>
      <c r="L217" s="6">
        <f>MOD(K217-Settings!$B$32,Settings!$B$33)</f>
        <v>485.54937348230214</v>
      </c>
      <c r="M217" s="6">
        <f>IF(L217&lt;Settings!$B$30,IF(Settings!$B$30-L217&gt;=I217,K217,K217+(Settings!$B$30-L217)+Settings!$B$31),K217+(Settings!$B$33-L217))</f>
        <v>1205.5493734823021</v>
      </c>
      <c r="N217" s="6">
        <f t="shared" si="64"/>
        <v>1211.5693734823021</v>
      </c>
      <c r="O217" s="6">
        <f t="shared" si="65"/>
        <v>602.56937348230213</v>
      </c>
      <c r="P217" s="6">
        <f t="shared" si="66"/>
        <v>584.01474279948479</v>
      </c>
      <c r="Q217" s="6">
        <f t="shared" si="67"/>
        <v>0</v>
      </c>
      <c r="R217" s="6">
        <f t="shared" si="68"/>
        <v>0</v>
      </c>
      <c r="S217" s="6">
        <f t="shared" si="69"/>
        <v>584.01474279948479</v>
      </c>
      <c r="T217" s="6" t="str">
        <f>IF(MOD(C217-Settings!$B$32,Settings!$B$33)&lt;Settings!$B$30,"Up","Down")</f>
        <v>Down</v>
      </c>
      <c r="U217" s="6">
        <f>IF(OR(I217&gt;Settings!$B$30,O217&gt;Settings!$B$37),0,1)</f>
        <v>1</v>
      </c>
      <c r="V217" s="6">
        <f>IF(AND(U217=1,O217&lt;=Settings!$B$36),1,0)</f>
        <v>0</v>
      </c>
    </row>
    <row r="218" spans="1:22" x14ac:dyDescent="0.2">
      <c r="A218">
        <f>Arrivals!A218</f>
        <v>2</v>
      </c>
      <c r="B218">
        <f>Arrivals!B218</f>
        <v>93</v>
      </c>
      <c r="C218" s="6">
        <f>Arrivals!F218</f>
        <v>614</v>
      </c>
      <c r="D218" s="6">
        <f>Arrivals!J218</f>
        <v>7.6234193821141467</v>
      </c>
      <c r="E218" s="6">
        <f t="shared" si="70"/>
        <v>1205.5493734823021</v>
      </c>
      <c r="F218" s="6">
        <f t="shared" si="61"/>
        <v>1205.5493734823021</v>
      </c>
      <c r="G218" s="6">
        <f t="shared" si="62"/>
        <v>1213.1727928644164</v>
      </c>
      <c r="H218" s="6">
        <f>Arrivals!L218</f>
        <v>75</v>
      </c>
      <c r="I218" s="6">
        <f>H218*8/ACE_Input!S98+ACE_Input!T98</f>
        <v>6.02</v>
      </c>
      <c r="J218" s="6">
        <f t="shared" si="71"/>
        <v>1211.5693734823021</v>
      </c>
      <c r="K218" s="6">
        <f t="shared" si="63"/>
        <v>1213.1727928644164</v>
      </c>
      <c r="L218" s="6">
        <f>MOD(K218-Settings!$B$32,Settings!$B$33)</f>
        <v>493.17279286441635</v>
      </c>
      <c r="M218" s="6">
        <f>IF(L218&lt;Settings!$B$30,IF(Settings!$B$30-L218&gt;=I218,K218,K218+(Settings!$B$30-L218)+Settings!$B$31),K218+(Settings!$B$33-L218))</f>
        <v>1213.1727928644164</v>
      </c>
      <c r="N218" s="6">
        <f t="shared" si="64"/>
        <v>1219.1927928644163</v>
      </c>
      <c r="O218" s="6">
        <f t="shared" si="65"/>
        <v>605.19279286441633</v>
      </c>
      <c r="P218" s="6">
        <f t="shared" si="66"/>
        <v>591.54937348230214</v>
      </c>
      <c r="Q218" s="6">
        <f t="shared" si="67"/>
        <v>0</v>
      </c>
      <c r="R218" s="6">
        <f t="shared" si="68"/>
        <v>0</v>
      </c>
      <c r="S218" s="6">
        <f t="shared" si="69"/>
        <v>591.54937348230214</v>
      </c>
      <c r="T218" s="6" t="str">
        <f>IF(MOD(C218-Settings!$B$32,Settings!$B$33)&lt;Settings!$B$30,"Up","Down")</f>
        <v>Down</v>
      </c>
      <c r="U218" s="6">
        <f>IF(OR(I218&gt;Settings!$B$30,O218&gt;Settings!$B$37),0,1)</f>
        <v>1</v>
      </c>
      <c r="V218" s="6">
        <f>IF(AND(U218=1,O218&lt;=Settings!$B$36),1,0)</f>
        <v>0</v>
      </c>
    </row>
    <row r="219" spans="1:22" x14ac:dyDescent="0.2">
      <c r="A219">
        <f>Arrivals!A219</f>
        <v>2</v>
      </c>
      <c r="B219">
        <f>Arrivals!B219</f>
        <v>94</v>
      </c>
      <c r="C219" s="6">
        <f>Arrivals!F219</f>
        <v>619</v>
      </c>
      <c r="D219" s="6">
        <f>Arrivals!J219</f>
        <v>29.139960150303352</v>
      </c>
      <c r="E219" s="6">
        <f t="shared" si="70"/>
        <v>1213.1727928644164</v>
      </c>
      <c r="F219" s="6">
        <f t="shared" si="61"/>
        <v>1213.1727928644164</v>
      </c>
      <c r="G219" s="6">
        <f t="shared" si="62"/>
        <v>1242.3127530147196</v>
      </c>
      <c r="H219" s="6">
        <f>Arrivals!L219</f>
        <v>75</v>
      </c>
      <c r="I219" s="6">
        <f>H219*8/ACE_Input!S99+ACE_Input!T99</f>
        <v>6.02</v>
      </c>
      <c r="J219" s="6">
        <f t="shared" si="71"/>
        <v>1219.1927928644163</v>
      </c>
      <c r="K219" s="6">
        <f t="shared" si="63"/>
        <v>1242.3127530147196</v>
      </c>
      <c r="L219" s="6">
        <f>MOD(K219-Settings!$B$32,Settings!$B$33)</f>
        <v>522.31275301471965</v>
      </c>
      <c r="M219" s="6">
        <f>IF(L219&lt;Settings!$B$30,IF(Settings!$B$30-L219&gt;=I219,K219,K219+(Settings!$B$30-L219)+Settings!$B$31),K219+(Settings!$B$33-L219))</f>
        <v>1242.3127530147196</v>
      </c>
      <c r="N219" s="6">
        <f t="shared" si="64"/>
        <v>1248.3327530147196</v>
      </c>
      <c r="O219" s="6">
        <f t="shared" si="65"/>
        <v>629.33275301471963</v>
      </c>
      <c r="P219" s="6">
        <f t="shared" si="66"/>
        <v>594.17279286441635</v>
      </c>
      <c r="Q219" s="6">
        <f t="shared" si="67"/>
        <v>0</v>
      </c>
      <c r="R219" s="6">
        <f t="shared" si="68"/>
        <v>0</v>
      </c>
      <c r="S219" s="6">
        <f t="shared" si="69"/>
        <v>594.17279286441635</v>
      </c>
      <c r="T219" s="6" t="str">
        <f>IF(MOD(C219-Settings!$B$32,Settings!$B$33)&lt;Settings!$B$30,"Up","Down")</f>
        <v>Down</v>
      </c>
      <c r="U219" s="6">
        <f>IF(OR(I219&gt;Settings!$B$30,O219&gt;Settings!$B$37),0,1)</f>
        <v>1</v>
      </c>
      <c r="V219" s="6">
        <f>IF(AND(U219=1,O219&lt;=Settings!$B$36),1,0)</f>
        <v>0</v>
      </c>
    </row>
    <row r="220" spans="1:22" x14ac:dyDescent="0.2">
      <c r="A220">
        <f>Arrivals!A220</f>
        <v>2</v>
      </c>
      <c r="B220">
        <f>Arrivals!B220</f>
        <v>95</v>
      </c>
      <c r="C220" s="6">
        <f>Arrivals!F220</f>
        <v>624</v>
      </c>
      <c r="D220" s="6">
        <f>Arrivals!J220</f>
        <v>26.698425407090284</v>
      </c>
      <c r="E220" s="6">
        <f t="shared" si="70"/>
        <v>1242.3127530147196</v>
      </c>
      <c r="F220" s="6">
        <f t="shared" si="61"/>
        <v>1242.3127530147196</v>
      </c>
      <c r="G220" s="6">
        <f t="shared" si="62"/>
        <v>1269.01117842181</v>
      </c>
      <c r="H220" s="6">
        <f>Arrivals!L220</f>
        <v>75</v>
      </c>
      <c r="I220" s="6">
        <f>H220*8/ACE_Input!S100+ACE_Input!T100</f>
        <v>6.02</v>
      </c>
      <c r="J220" s="6">
        <f t="shared" si="71"/>
        <v>1248.3327530147196</v>
      </c>
      <c r="K220" s="6">
        <f t="shared" si="63"/>
        <v>1269.01117842181</v>
      </c>
      <c r="L220" s="6">
        <f>MOD(K220-Settings!$B$32,Settings!$B$33)</f>
        <v>549.01117842180997</v>
      </c>
      <c r="M220" s="6">
        <f>IF(L220&lt;Settings!$B$30,IF(Settings!$B$30-L220&gt;=I220,K220,K220+(Settings!$B$30-L220)+Settings!$B$31),K220+(Settings!$B$33-L220))</f>
        <v>1269.01117842181</v>
      </c>
      <c r="N220" s="6">
        <f t="shared" si="64"/>
        <v>1275.03117842181</v>
      </c>
      <c r="O220" s="6">
        <f t="shared" si="65"/>
        <v>651.03117842180995</v>
      </c>
      <c r="P220" s="6">
        <f t="shared" si="66"/>
        <v>618.31275301471965</v>
      </c>
      <c r="Q220" s="6">
        <f t="shared" si="67"/>
        <v>0</v>
      </c>
      <c r="R220" s="6">
        <f t="shared" si="68"/>
        <v>0</v>
      </c>
      <c r="S220" s="6">
        <f t="shared" si="69"/>
        <v>618.31275301471965</v>
      </c>
      <c r="T220" s="6" t="str">
        <f>IF(MOD(C220-Settings!$B$32,Settings!$B$33)&lt;Settings!$B$30,"Up","Down")</f>
        <v>Down</v>
      </c>
      <c r="U220" s="6">
        <f>IF(OR(I220&gt;Settings!$B$30,O220&gt;Settings!$B$37),0,1)</f>
        <v>1</v>
      </c>
      <c r="V220" s="6">
        <f>IF(AND(U220=1,O220&lt;=Settings!$B$36),1,0)</f>
        <v>0</v>
      </c>
    </row>
    <row r="221" spans="1:22" x14ac:dyDescent="0.2">
      <c r="A221">
        <f>Arrivals!A221</f>
        <v>2</v>
      </c>
      <c r="B221">
        <f>Arrivals!B221</f>
        <v>96</v>
      </c>
      <c r="C221" s="6">
        <f>Arrivals!F221</f>
        <v>629</v>
      </c>
      <c r="D221" s="6">
        <f>Arrivals!J221</f>
        <v>7.676483592375126</v>
      </c>
      <c r="E221" s="6">
        <f t="shared" si="70"/>
        <v>1269.01117842181</v>
      </c>
      <c r="F221" s="6">
        <f t="shared" si="61"/>
        <v>1269.01117842181</v>
      </c>
      <c r="G221" s="6">
        <f t="shared" si="62"/>
        <v>1276.6876620141852</v>
      </c>
      <c r="H221" s="6">
        <f>Arrivals!L221</f>
        <v>75</v>
      </c>
      <c r="I221" s="6">
        <f>H221*8/ACE_Input!S101+ACE_Input!T101</f>
        <v>6.02</v>
      </c>
      <c r="J221" s="6">
        <f t="shared" si="71"/>
        <v>1275.03117842181</v>
      </c>
      <c r="K221" s="6">
        <f t="shared" si="63"/>
        <v>1276.6876620141852</v>
      </c>
      <c r="L221" s="6">
        <f>MOD(K221-Settings!$B$32,Settings!$B$33)</f>
        <v>556.68766201418521</v>
      </c>
      <c r="M221" s="6">
        <f>IF(L221&lt;Settings!$B$30,IF(Settings!$B$30-L221&gt;=I221,K221,K221+(Settings!$B$30-L221)+Settings!$B$31),K221+(Settings!$B$33-L221))</f>
        <v>1276.6876620141852</v>
      </c>
      <c r="N221" s="6">
        <f t="shared" si="64"/>
        <v>1282.7076620141852</v>
      </c>
      <c r="O221" s="6">
        <f t="shared" si="65"/>
        <v>653.70766201418519</v>
      </c>
      <c r="P221" s="6">
        <f t="shared" si="66"/>
        <v>640.01117842180997</v>
      </c>
      <c r="Q221" s="6">
        <f t="shared" si="67"/>
        <v>0</v>
      </c>
      <c r="R221" s="6">
        <f t="shared" si="68"/>
        <v>0</v>
      </c>
      <c r="S221" s="6">
        <f t="shared" si="69"/>
        <v>640.01117842180997</v>
      </c>
      <c r="T221" s="6" t="str">
        <f>IF(MOD(C221-Settings!$B$32,Settings!$B$33)&lt;Settings!$B$30,"Up","Down")</f>
        <v>Down</v>
      </c>
      <c r="U221" s="6">
        <f>IF(OR(I221&gt;Settings!$B$30,O221&gt;Settings!$B$37),0,1)</f>
        <v>1</v>
      </c>
      <c r="V221" s="6">
        <f>IF(AND(U221=1,O221&lt;=Settings!$B$36),1,0)</f>
        <v>0</v>
      </c>
    </row>
    <row r="222" spans="1:22" x14ac:dyDescent="0.2">
      <c r="A222">
        <f>Arrivals!A222</f>
        <v>2</v>
      </c>
      <c r="B222">
        <f>Arrivals!B222</f>
        <v>97</v>
      </c>
      <c r="C222" s="6">
        <f>Arrivals!F222</f>
        <v>634</v>
      </c>
      <c r="D222" s="6">
        <f>Arrivals!J222</f>
        <v>2.6615610240226588</v>
      </c>
      <c r="E222" s="6">
        <f t="shared" si="70"/>
        <v>1276.6876620141852</v>
      </c>
      <c r="F222" s="6">
        <f t="shared" ref="F222:F225" si="72">MAX(C222,E222)</f>
        <v>1276.6876620141852</v>
      </c>
      <c r="G222" s="6">
        <f t="shared" ref="G222:G225" si="73">F222+D222</f>
        <v>1279.3492230382078</v>
      </c>
      <c r="H222" s="6">
        <f>Arrivals!L222</f>
        <v>75</v>
      </c>
      <c r="I222" s="6">
        <f>H222*8/ACE_Input!S102+ACE_Input!T102</f>
        <v>6.02</v>
      </c>
      <c r="J222" s="6">
        <f t="shared" si="71"/>
        <v>1282.7076620141852</v>
      </c>
      <c r="K222" s="6">
        <f t="shared" ref="K222:K225" si="74">MAX(G222,J222)</f>
        <v>1282.7076620141852</v>
      </c>
      <c r="L222" s="6">
        <f>MOD(K222-Settings!$B$32,Settings!$B$33)</f>
        <v>562.70766201418519</v>
      </c>
      <c r="M222" s="6">
        <f>IF(L222&lt;Settings!$B$30,IF(Settings!$B$30-L222&gt;=I222,K222,K222+(Settings!$B$30-L222)+Settings!$B$31),K222+(Settings!$B$33-L222))</f>
        <v>1282.7076620141852</v>
      </c>
      <c r="N222" s="6">
        <f t="shared" ref="N222:N225" si="75">M222+I222</f>
        <v>1288.7276620141852</v>
      </c>
      <c r="O222" s="6">
        <f t="shared" ref="O222:O225" si="76">N222-C222</f>
        <v>654.72766201418517</v>
      </c>
      <c r="P222" s="6">
        <f t="shared" si="66"/>
        <v>642.68766201418521</v>
      </c>
      <c r="Q222" s="6">
        <f t="shared" si="67"/>
        <v>3.3584389759773785</v>
      </c>
      <c r="R222" s="6">
        <f t="shared" si="68"/>
        <v>0</v>
      </c>
      <c r="S222" s="6">
        <f t="shared" ref="S222:S225" si="77">P222+Q222+R222</f>
        <v>646.04610099016259</v>
      </c>
      <c r="T222" s="6" t="str">
        <f>IF(MOD(C222-Settings!$B$32,Settings!$B$33)&lt;Settings!$B$30,"Up","Down")</f>
        <v>Down</v>
      </c>
      <c r="U222" s="6">
        <f>IF(OR(I222&gt;Settings!$B$30,O222&gt;Settings!$B$37),0,1)</f>
        <v>1</v>
      </c>
      <c r="V222" s="6">
        <f>IF(AND(U222=1,O222&lt;=Settings!$B$36),1,0)</f>
        <v>0</v>
      </c>
    </row>
    <row r="223" spans="1:22" x14ac:dyDescent="0.2">
      <c r="A223">
        <f>Arrivals!A223</f>
        <v>2</v>
      </c>
      <c r="B223">
        <f>Arrivals!B223</f>
        <v>98</v>
      </c>
      <c r="C223" s="6">
        <f>Arrivals!F223</f>
        <v>639</v>
      </c>
      <c r="D223" s="6">
        <f>Arrivals!J223</f>
        <v>3.9299784694953326</v>
      </c>
      <c r="E223" s="6">
        <f t="shared" si="70"/>
        <v>1279.3492230382078</v>
      </c>
      <c r="F223" s="6">
        <f t="shared" si="72"/>
        <v>1279.3492230382078</v>
      </c>
      <c r="G223" s="6">
        <f t="shared" si="73"/>
        <v>1283.2792015077032</v>
      </c>
      <c r="H223" s="6">
        <f>Arrivals!L223</f>
        <v>75</v>
      </c>
      <c r="I223" s="6">
        <f>H223*8/ACE_Input!S103+ACE_Input!T103</f>
        <v>6.02</v>
      </c>
      <c r="J223" s="6">
        <f t="shared" si="71"/>
        <v>1288.7276620141852</v>
      </c>
      <c r="K223" s="6">
        <f t="shared" si="74"/>
        <v>1288.7276620141852</v>
      </c>
      <c r="L223" s="6">
        <f>MOD(K223-Settings!$B$32,Settings!$B$33)</f>
        <v>568.72766201418517</v>
      </c>
      <c r="M223" s="6">
        <f>IF(L223&lt;Settings!$B$30,IF(Settings!$B$30-L223&gt;=I223,K223,K223+(Settings!$B$30-L223)+Settings!$B$31),K223+(Settings!$B$33-L223))</f>
        <v>1288.7276620141852</v>
      </c>
      <c r="N223" s="6">
        <f t="shared" si="75"/>
        <v>1294.7476620141852</v>
      </c>
      <c r="O223" s="6">
        <f t="shared" si="76"/>
        <v>655.74766201418515</v>
      </c>
      <c r="P223" s="6">
        <f t="shared" si="66"/>
        <v>640.34922303820781</v>
      </c>
      <c r="Q223" s="6">
        <f t="shared" si="67"/>
        <v>5.4484605064819789</v>
      </c>
      <c r="R223" s="6">
        <f t="shared" si="68"/>
        <v>0</v>
      </c>
      <c r="S223" s="6">
        <f t="shared" si="77"/>
        <v>645.79768354468979</v>
      </c>
      <c r="T223" s="6" t="str">
        <f>IF(MOD(C223-Settings!$B$32,Settings!$B$33)&lt;Settings!$B$30,"Up","Down")</f>
        <v>Down</v>
      </c>
      <c r="U223" s="6">
        <f>IF(OR(I223&gt;Settings!$B$30,O223&gt;Settings!$B$37),0,1)</f>
        <v>1</v>
      </c>
      <c r="V223" s="6">
        <f>IF(AND(U223=1,O223&lt;=Settings!$B$36),1,0)</f>
        <v>0</v>
      </c>
    </row>
    <row r="224" spans="1:22" x14ac:dyDescent="0.2">
      <c r="A224">
        <f>Arrivals!A224</f>
        <v>2</v>
      </c>
      <c r="B224">
        <f>Arrivals!B224</f>
        <v>99</v>
      </c>
      <c r="C224" s="6">
        <f>Arrivals!F224</f>
        <v>684</v>
      </c>
      <c r="D224" s="6">
        <f>Arrivals!J224</f>
        <v>18.274164532252286</v>
      </c>
      <c r="E224" s="6">
        <f t="shared" si="70"/>
        <v>1283.2792015077032</v>
      </c>
      <c r="F224" s="6">
        <f t="shared" si="72"/>
        <v>1283.2792015077032</v>
      </c>
      <c r="G224" s="6">
        <f t="shared" si="73"/>
        <v>1301.5533660399556</v>
      </c>
      <c r="H224" s="6">
        <f>Arrivals!L224</f>
        <v>75</v>
      </c>
      <c r="I224" s="6">
        <f>H224*8/ACE_Input!S104+ACE_Input!T104</f>
        <v>6.02</v>
      </c>
      <c r="J224" s="6">
        <f t="shared" si="71"/>
        <v>1294.7476620141852</v>
      </c>
      <c r="K224" s="6">
        <f t="shared" si="74"/>
        <v>1301.5533660399556</v>
      </c>
      <c r="L224" s="6">
        <f>MOD(K224-Settings!$B$32,Settings!$B$33)</f>
        <v>581.55336603995556</v>
      </c>
      <c r="M224" s="6">
        <f>IF(L224&lt;Settings!$B$30,IF(Settings!$B$30-L224&gt;=I224,K224,K224+(Settings!$B$30-L224)+Settings!$B$31),K224+(Settings!$B$33-L224))</f>
        <v>1301.5533660399556</v>
      </c>
      <c r="N224" s="6">
        <f t="shared" si="75"/>
        <v>1307.5733660399555</v>
      </c>
      <c r="O224" s="6">
        <f t="shared" si="76"/>
        <v>623.57336603995554</v>
      </c>
      <c r="P224" s="6">
        <f t="shared" si="66"/>
        <v>599.27920150770319</v>
      </c>
      <c r="Q224" s="6">
        <f t="shared" si="67"/>
        <v>0</v>
      </c>
      <c r="R224" s="6">
        <f t="shared" si="68"/>
        <v>0</v>
      </c>
      <c r="S224" s="6">
        <f t="shared" si="77"/>
        <v>599.27920150770319</v>
      </c>
      <c r="T224" s="6" t="str">
        <f>IF(MOD(C224-Settings!$B$32,Settings!$B$33)&lt;Settings!$B$30,"Up","Down")</f>
        <v>Down</v>
      </c>
      <c r="U224" s="6">
        <f>IF(OR(I224&gt;Settings!$B$30,O224&gt;Settings!$B$37),0,1)</f>
        <v>1</v>
      </c>
      <c r="V224" s="6">
        <f>IF(AND(U224=1,O224&lt;=Settings!$B$36),1,0)</f>
        <v>0</v>
      </c>
    </row>
    <row r="225" spans="1:22" x14ac:dyDescent="0.2">
      <c r="A225">
        <f>Arrivals!A225</f>
        <v>2</v>
      </c>
      <c r="B225">
        <f>Arrivals!B225</f>
        <v>100</v>
      </c>
      <c r="C225" s="6">
        <f>Arrivals!F225</f>
        <v>689</v>
      </c>
      <c r="D225" s="6">
        <f>Arrivals!J225</f>
        <v>9.8478448611968261</v>
      </c>
      <c r="E225" s="6">
        <f t="shared" si="70"/>
        <v>1301.5533660399556</v>
      </c>
      <c r="F225" s="6">
        <f t="shared" si="72"/>
        <v>1301.5533660399556</v>
      </c>
      <c r="G225" s="6">
        <f t="shared" si="73"/>
        <v>1311.4012109011524</v>
      </c>
      <c r="H225" s="6">
        <f>Arrivals!L225</f>
        <v>75</v>
      </c>
      <c r="I225" s="6">
        <f>H225*8/ACE_Input!S105+ACE_Input!T105</f>
        <v>6.02</v>
      </c>
      <c r="J225" s="6">
        <f t="shared" si="71"/>
        <v>1307.5733660399555</v>
      </c>
      <c r="K225" s="6">
        <f t="shared" si="74"/>
        <v>1311.4012109011524</v>
      </c>
      <c r="L225" s="6">
        <f>MOD(K225-Settings!$B$32,Settings!$B$33)</f>
        <v>591.40121090115235</v>
      </c>
      <c r="M225" s="6">
        <f>IF(L225&lt;Settings!$B$30,IF(Settings!$B$30-L225&gt;=I225,K225,K225+(Settings!$B$30-L225)+Settings!$B$31),K225+(Settings!$B$33-L225))</f>
        <v>1311.4012109011524</v>
      </c>
      <c r="N225" s="6">
        <f t="shared" si="75"/>
        <v>1317.4212109011523</v>
      </c>
      <c r="O225" s="6">
        <f t="shared" si="76"/>
        <v>628.42121090115234</v>
      </c>
      <c r="P225" s="6">
        <f t="shared" si="66"/>
        <v>612.55336603995556</v>
      </c>
      <c r="Q225" s="6">
        <f t="shared" si="67"/>
        <v>0</v>
      </c>
      <c r="R225" s="6">
        <f t="shared" si="68"/>
        <v>0</v>
      </c>
      <c r="S225" s="6">
        <f t="shared" si="77"/>
        <v>612.55336603995556</v>
      </c>
      <c r="T225" s="6" t="str">
        <f>IF(MOD(C225-Settings!$B$32,Settings!$B$33)&lt;Settings!$B$30,"Up","Down")</f>
        <v>Down</v>
      </c>
      <c r="U225" s="6">
        <f>IF(OR(I225&gt;Settings!$B$30,O225&gt;Settings!$B$37),0,1)</f>
        <v>1</v>
      </c>
      <c r="V225" s="6">
        <f>IF(AND(U225=1,O225&lt;=Settings!$B$36),1,0)</f>
        <v>0</v>
      </c>
    </row>
    <row r="226" spans="1:22" x14ac:dyDescent="0.2">
      <c r="C226" s="6"/>
      <c r="D226" s="6"/>
      <c r="E226" s="6"/>
      <c r="F226" s="6"/>
      <c r="G226" s="6"/>
      <c r="H226" s="6"/>
      <c r="I226" s="6"/>
      <c r="J226" s="6"/>
      <c r="K226" s="6"/>
      <c r="L226" s="6"/>
      <c r="M226" s="6"/>
      <c r="N226" s="6"/>
      <c r="O226" s="6"/>
      <c r="P226" s="6"/>
      <c r="Q226" s="6"/>
      <c r="R226" s="6"/>
      <c r="S226" s="6"/>
      <c r="T226" s="6"/>
      <c r="U226" s="6"/>
      <c r="V226" s="6"/>
    </row>
    <row r="227" spans="1:22" x14ac:dyDescent="0.2">
      <c r="C227" s="6"/>
      <c r="D227" s="6"/>
      <c r="E227" s="6"/>
      <c r="F227" s="6"/>
      <c r="G227" s="6"/>
      <c r="H227" s="6"/>
      <c r="I227" s="6"/>
      <c r="J227" s="6"/>
      <c r="K227" s="6"/>
      <c r="L227" s="6"/>
      <c r="M227" s="6"/>
      <c r="N227" s="6"/>
      <c r="O227" s="6"/>
      <c r="P227" s="6"/>
      <c r="Q227" s="6"/>
      <c r="R227" s="6"/>
      <c r="S227" s="6"/>
      <c r="T227" s="6"/>
      <c r="U227" s="6"/>
      <c r="V227" s="6"/>
    </row>
    <row r="228" spans="1:22" x14ac:dyDescent="0.2">
      <c r="C228" s="6"/>
      <c r="D228" s="6"/>
      <c r="E228" s="6"/>
      <c r="F228" s="6"/>
      <c r="G228" s="6"/>
      <c r="H228" s="6"/>
      <c r="I228" s="6"/>
      <c r="J228" s="6"/>
      <c r="K228" s="6"/>
      <c r="L228" s="6"/>
      <c r="M228" s="6"/>
      <c r="N228" s="6"/>
      <c r="O228" s="6"/>
      <c r="P228" s="6"/>
      <c r="Q228" s="6"/>
      <c r="R228" s="6"/>
      <c r="S228" s="6"/>
      <c r="T228" s="6"/>
      <c r="U228" s="6"/>
      <c r="V228" s="6"/>
    </row>
    <row r="229" spans="1:22" x14ac:dyDescent="0.2">
      <c r="C229" s="6"/>
      <c r="D229" s="6"/>
      <c r="E229" s="6"/>
      <c r="F229" s="6"/>
      <c r="G229" s="6"/>
      <c r="H229" s="6"/>
      <c r="I229" s="6"/>
      <c r="J229" s="6"/>
      <c r="K229" s="6"/>
      <c r="L229" s="6"/>
      <c r="M229" s="6"/>
      <c r="N229" s="6"/>
      <c r="O229" s="6"/>
      <c r="P229" s="6"/>
      <c r="Q229" s="6"/>
      <c r="R229" s="6"/>
      <c r="S229" s="6"/>
      <c r="T229" s="6"/>
      <c r="U229" s="6"/>
      <c r="V229" s="6"/>
    </row>
    <row r="230" spans="1:22" x14ac:dyDescent="0.2">
      <c r="C230" s="6"/>
      <c r="D230" s="6"/>
      <c r="E230" s="6"/>
      <c r="F230" s="6"/>
      <c r="G230" s="6"/>
      <c r="H230" s="6"/>
      <c r="I230" s="6"/>
      <c r="J230" s="6"/>
      <c r="K230" s="6"/>
      <c r="L230" s="6"/>
      <c r="M230" s="6"/>
      <c r="N230" s="6"/>
      <c r="O230" s="6"/>
      <c r="P230" s="6"/>
      <c r="Q230" s="6"/>
      <c r="R230" s="6"/>
      <c r="S230" s="6"/>
      <c r="T230" s="6"/>
      <c r="U230" s="6"/>
      <c r="V230" s="6"/>
    </row>
    <row r="231" spans="1:22" x14ac:dyDescent="0.2">
      <c r="C231" s="6"/>
      <c r="D231" s="6"/>
      <c r="E231" s="6"/>
      <c r="F231" s="6"/>
      <c r="G231" s="6"/>
      <c r="H231" s="6"/>
      <c r="I231" s="6"/>
      <c r="J231" s="6"/>
      <c r="K231" s="6"/>
      <c r="L231" s="6"/>
      <c r="M231" s="6"/>
      <c r="N231" s="6"/>
      <c r="O231" s="6"/>
      <c r="P231" s="6"/>
      <c r="Q231" s="6"/>
      <c r="R231" s="6"/>
      <c r="S231" s="6"/>
      <c r="T231" s="6"/>
      <c r="U231" s="6"/>
      <c r="V231" s="6"/>
    </row>
    <row r="232" spans="1:22" x14ac:dyDescent="0.2">
      <c r="C232" s="6"/>
      <c r="D232" s="6"/>
      <c r="E232" s="6"/>
      <c r="F232" s="6"/>
      <c r="G232" s="6"/>
      <c r="H232" s="6"/>
      <c r="I232" s="6"/>
      <c r="J232" s="6"/>
      <c r="K232" s="6"/>
      <c r="L232" s="6"/>
      <c r="M232" s="6"/>
      <c r="N232" s="6"/>
      <c r="O232" s="6"/>
      <c r="P232" s="6"/>
      <c r="Q232" s="6"/>
      <c r="R232" s="6"/>
      <c r="S232" s="6"/>
      <c r="T232" s="6"/>
      <c r="U232" s="6"/>
      <c r="V232" s="6"/>
    </row>
    <row r="233" spans="1:22" x14ac:dyDescent="0.2">
      <c r="C233" s="6"/>
      <c r="D233" s="6"/>
      <c r="E233" s="6"/>
      <c r="F233" s="6"/>
      <c r="G233" s="6"/>
      <c r="H233" s="6"/>
      <c r="I233" s="6"/>
      <c r="J233" s="6"/>
      <c r="K233" s="6"/>
      <c r="L233" s="6"/>
      <c r="M233" s="6"/>
      <c r="N233" s="6"/>
      <c r="O233" s="6"/>
      <c r="P233" s="6"/>
      <c r="Q233" s="6"/>
      <c r="R233" s="6"/>
      <c r="S233" s="6"/>
      <c r="T233" s="6"/>
      <c r="U233" s="6"/>
      <c r="V233" s="6"/>
    </row>
    <row r="234" spans="1:22" x14ac:dyDescent="0.2">
      <c r="C234" s="6"/>
      <c r="D234" s="6"/>
      <c r="E234" s="6"/>
      <c r="F234" s="6"/>
      <c r="G234" s="6"/>
      <c r="H234" s="6"/>
      <c r="I234" s="6"/>
      <c r="J234" s="6"/>
      <c r="K234" s="6"/>
      <c r="L234" s="6"/>
      <c r="M234" s="6"/>
      <c r="N234" s="6"/>
      <c r="O234" s="6"/>
      <c r="P234" s="6"/>
      <c r="Q234" s="6"/>
      <c r="R234" s="6"/>
      <c r="S234" s="6"/>
      <c r="T234" s="6"/>
      <c r="U234" s="6"/>
      <c r="V234" s="6"/>
    </row>
    <row r="235" spans="1:22" x14ac:dyDescent="0.2">
      <c r="C235" s="6"/>
      <c r="D235" s="6"/>
      <c r="E235" s="6"/>
      <c r="F235" s="6"/>
      <c r="G235" s="6"/>
      <c r="H235" s="6"/>
      <c r="I235" s="6"/>
      <c r="J235" s="6"/>
      <c r="K235" s="6"/>
      <c r="L235" s="6"/>
      <c r="M235" s="6"/>
      <c r="N235" s="6"/>
      <c r="O235" s="6"/>
      <c r="P235" s="6"/>
      <c r="Q235" s="6"/>
      <c r="R235" s="6"/>
      <c r="S235" s="6"/>
      <c r="T235" s="6"/>
      <c r="U235" s="6"/>
      <c r="V235" s="6"/>
    </row>
    <row r="236" spans="1:22" x14ac:dyDescent="0.2">
      <c r="C236" s="6"/>
      <c r="D236" s="6"/>
      <c r="E236" s="6"/>
      <c r="F236" s="6"/>
      <c r="G236" s="6"/>
      <c r="H236" s="6"/>
      <c r="I236" s="6"/>
      <c r="J236" s="6"/>
      <c r="K236" s="6"/>
      <c r="L236" s="6"/>
      <c r="M236" s="6"/>
      <c r="N236" s="6"/>
      <c r="O236" s="6"/>
      <c r="P236" s="6"/>
      <c r="Q236" s="6"/>
      <c r="R236" s="6"/>
      <c r="S236" s="6"/>
      <c r="T236" s="6"/>
      <c r="U236" s="6"/>
      <c r="V236" s="6"/>
    </row>
    <row r="237" spans="1:22" x14ac:dyDescent="0.2">
      <c r="C237" s="6"/>
      <c r="D237" s="6"/>
      <c r="E237" s="6"/>
      <c r="F237" s="6"/>
      <c r="G237" s="6"/>
      <c r="H237" s="6"/>
      <c r="I237" s="6"/>
      <c r="J237" s="6"/>
      <c r="K237" s="6"/>
      <c r="L237" s="6"/>
      <c r="M237" s="6"/>
      <c r="N237" s="6"/>
      <c r="O237" s="6"/>
      <c r="P237" s="6"/>
      <c r="Q237" s="6"/>
      <c r="R237" s="6"/>
      <c r="S237" s="6"/>
      <c r="T237" s="6"/>
      <c r="U237" s="6"/>
      <c r="V237" s="6"/>
    </row>
    <row r="238" spans="1:22" x14ac:dyDescent="0.2">
      <c r="C238" s="6"/>
      <c r="D238" s="6"/>
      <c r="E238" s="6"/>
      <c r="F238" s="6"/>
      <c r="G238" s="6"/>
      <c r="H238" s="6"/>
      <c r="I238" s="6"/>
      <c r="J238" s="6"/>
      <c r="K238" s="6"/>
      <c r="L238" s="6"/>
      <c r="M238" s="6"/>
      <c r="N238" s="6"/>
      <c r="O238" s="6"/>
      <c r="P238" s="6"/>
      <c r="Q238" s="6"/>
      <c r="R238" s="6"/>
      <c r="S238" s="6"/>
      <c r="T238" s="6"/>
      <c r="U238" s="6"/>
      <c r="V238" s="6"/>
    </row>
    <row r="239" spans="1:22" x14ac:dyDescent="0.2">
      <c r="C239" s="6"/>
      <c r="D239" s="6"/>
      <c r="E239" s="6"/>
      <c r="F239" s="6"/>
      <c r="G239" s="6"/>
      <c r="H239" s="6"/>
      <c r="I239" s="6"/>
      <c r="J239" s="6"/>
      <c r="K239" s="6"/>
      <c r="L239" s="6"/>
      <c r="M239" s="6"/>
      <c r="N239" s="6"/>
      <c r="O239" s="6"/>
      <c r="P239" s="6"/>
      <c r="Q239" s="6"/>
      <c r="R239" s="6"/>
      <c r="S239" s="6"/>
      <c r="T239" s="6"/>
      <c r="U239" s="6"/>
      <c r="V239" s="6"/>
    </row>
    <row r="240" spans="1:22" x14ac:dyDescent="0.2">
      <c r="C240" s="6"/>
      <c r="D240" s="6"/>
      <c r="E240" s="6"/>
      <c r="F240" s="6"/>
      <c r="G240" s="6"/>
      <c r="H240" s="6"/>
      <c r="I240" s="6"/>
      <c r="J240" s="6"/>
      <c r="K240" s="6"/>
      <c r="L240" s="6"/>
      <c r="M240" s="6"/>
      <c r="N240" s="6"/>
      <c r="O240" s="6"/>
      <c r="P240" s="6"/>
      <c r="Q240" s="6"/>
      <c r="R240" s="6"/>
      <c r="S240" s="6"/>
      <c r="T240" s="6"/>
      <c r="U240" s="6"/>
      <c r="V240" s="6"/>
    </row>
    <row r="241" spans="1:22" x14ac:dyDescent="0.2">
      <c r="C241" s="6"/>
      <c r="D241" s="6"/>
      <c r="E241" s="6"/>
      <c r="F241" s="6"/>
      <c r="G241" s="6"/>
      <c r="H241" s="6"/>
      <c r="I241" s="6"/>
      <c r="J241" s="6"/>
      <c r="K241" s="6"/>
      <c r="L241" s="6"/>
      <c r="M241" s="6"/>
      <c r="N241" s="6"/>
      <c r="O241" s="6"/>
      <c r="P241" s="6"/>
      <c r="Q241" s="6"/>
      <c r="R241" s="6"/>
      <c r="S241" s="6"/>
      <c r="T241" s="6"/>
      <c r="U241" s="6"/>
      <c r="V241" s="6"/>
    </row>
    <row r="242" spans="1:22" x14ac:dyDescent="0.2">
      <c r="C242" s="6"/>
      <c r="D242" s="6"/>
      <c r="E242" s="6"/>
      <c r="F242" s="6"/>
      <c r="G242" s="6"/>
      <c r="H242" s="6"/>
      <c r="I242" s="6"/>
      <c r="J242" s="6"/>
      <c r="K242" s="6"/>
      <c r="L242" s="6"/>
      <c r="M242" s="6"/>
      <c r="N242" s="6"/>
      <c r="O242" s="6"/>
      <c r="P242" s="6"/>
      <c r="Q242" s="6"/>
      <c r="R242" s="6"/>
      <c r="S242" s="6"/>
      <c r="T242" s="6"/>
      <c r="U242" s="6"/>
      <c r="V242" s="6"/>
    </row>
    <row r="243" spans="1:22" x14ac:dyDescent="0.2">
      <c r="C243" s="6"/>
      <c r="D243" s="6"/>
      <c r="E243" s="6"/>
      <c r="F243" s="6"/>
      <c r="G243" s="6"/>
      <c r="H243" s="6"/>
      <c r="I243" s="6"/>
      <c r="J243" s="6"/>
      <c r="K243" s="6"/>
      <c r="L243" s="6"/>
      <c r="M243" s="6"/>
      <c r="N243" s="6"/>
      <c r="O243" s="6"/>
      <c r="P243" s="6"/>
      <c r="Q243" s="6"/>
      <c r="R243" s="6"/>
      <c r="S243" s="6"/>
      <c r="T243" s="6"/>
      <c r="U243" s="6"/>
      <c r="V243" s="6"/>
    </row>
    <row r="244" spans="1:22" x14ac:dyDescent="0.2">
      <c r="C244" s="6"/>
      <c r="D244" s="6"/>
      <c r="E244" s="6"/>
      <c r="F244" s="6"/>
      <c r="G244" s="6"/>
      <c r="H244" s="6"/>
      <c r="I244" s="6"/>
      <c r="J244" s="6"/>
      <c r="K244" s="6"/>
      <c r="L244" s="6"/>
      <c r="M244" s="6"/>
      <c r="N244" s="6"/>
      <c r="O244" s="6"/>
      <c r="P244" s="6"/>
      <c r="Q244" s="6"/>
      <c r="R244" s="6"/>
      <c r="S244" s="6"/>
      <c r="T244" s="6"/>
      <c r="U244" s="6"/>
      <c r="V244" s="6"/>
    </row>
    <row r="245" spans="1:22" x14ac:dyDescent="0.2">
      <c r="C245" s="6"/>
      <c r="D245" s="6"/>
      <c r="E245" s="6"/>
      <c r="F245" s="6"/>
      <c r="G245" s="6"/>
      <c r="H245" s="6"/>
      <c r="I245" s="6"/>
      <c r="J245" s="6"/>
      <c r="K245" s="6"/>
      <c r="L245" s="6"/>
      <c r="M245" s="6"/>
      <c r="N245" s="6"/>
      <c r="O245" s="6"/>
      <c r="P245" s="6"/>
      <c r="Q245" s="6"/>
      <c r="R245" s="6"/>
      <c r="S245" s="6"/>
      <c r="T245" s="6"/>
      <c r="U245" s="6"/>
      <c r="V245" s="6"/>
    </row>
    <row r="246" spans="1:22" x14ac:dyDescent="0.2">
      <c r="A246">
        <f>Arrivals!A246</f>
        <v>3</v>
      </c>
      <c r="B246">
        <f>Arrivals!B246</f>
        <v>1</v>
      </c>
      <c r="C246" s="6">
        <f>Arrivals!F246</f>
        <v>2</v>
      </c>
      <c r="D246" s="6">
        <f>Arrivals!J246</f>
        <v>9.619074286901899</v>
      </c>
      <c r="E246" s="6">
        <f>0</f>
        <v>0</v>
      </c>
      <c r="F246" s="6">
        <f t="shared" ref="F246:F277" si="78">MAX(C246,E246)</f>
        <v>2</v>
      </c>
      <c r="G246" s="6">
        <f t="shared" ref="G246:G277" si="79">F246+D246</f>
        <v>11.619074286901899</v>
      </c>
      <c r="H246" s="6">
        <f>Arrivals!L246</f>
        <v>75</v>
      </c>
      <c r="I246" s="6">
        <f>H246*8/ACE_Input!S6+ACE_Input!T6</f>
        <v>6.02</v>
      </c>
      <c r="J246" s="6">
        <f>0</f>
        <v>0</v>
      </c>
      <c r="K246" s="6">
        <f t="shared" ref="K246:K277" si="80">MAX(G246,J246)</f>
        <v>11.619074286901899</v>
      </c>
      <c r="L246" s="6">
        <f>MOD(K246-Settings!$B$32,Settings!$B$33)</f>
        <v>11.619074286901899</v>
      </c>
      <c r="M246" s="6">
        <f>IF(L246&lt;Settings!$B$30,IF(Settings!$B$30-L246&gt;=I246,K246,K246+(Settings!$B$30-L246)+Settings!$B$31),K246+(Settings!$B$33-L246))</f>
        <v>11.619074286901899</v>
      </c>
      <c r="N246" s="6">
        <f t="shared" ref="N246:N277" si="81">M246+I246</f>
        <v>17.639074286901899</v>
      </c>
      <c r="O246" s="6">
        <f t="shared" ref="O246:O277" si="82">N246-C246</f>
        <v>15.639074286901899</v>
      </c>
      <c r="P246" s="6">
        <f t="shared" ref="P246:P277" si="83">F246-C246</f>
        <v>0</v>
      </c>
      <c r="Q246" s="6">
        <f t="shared" ref="Q246:Q277" si="84">K246-G246</f>
        <v>0</v>
      </c>
      <c r="R246" s="6">
        <f t="shared" ref="R246:R277" si="85">M246-K246</f>
        <v>0</v>
      </c>
      <c r="S246" s="6">
        <f t="shared" ref="S246:S277" si="86">P246+Q246+R246</f>
        <v>0</v>
      </c>
      <c r="T246" s="6" t="str">
        <f>IF(MOD(C246-Settings!$B$32,Settings!$B$33)&lt;Settings!$B$30,"Up","Down")</f>
        <v>Up</v>
      </c>
      <c r="U246" s="6">
        <f>IF(OR(I246&gt;Settings!$B$30,O246&gt;Settings!$B$37),0,1)</f>
        <v>1</v>
      </c>
      <c r="V246" s="6">
        <f>IF(AND(U246=1,O246&lt;=Settings!$B$36),1,0)</f>
        <v>1</v>
      </c>
    </row>
    <row r="247" spans="1:22" x14ac:dyDescent="0.2">
      <c r="A247">
        <f>Arrivals!A247</f>
        <v>3</v>
      </c>
      <c r="B247">
        <f>Arrivals!B247</f>
        <v>2</v>
      </c>
      <c r="C247" s="6">
        <f>Arrivals!F247</f>
        <v>7</v>
      </c>
      <c r="D247" s="6">
        <f>Arrivals!J247</f>
        <v>1.5673993331250964</v>
      </c>
      <c r="E247" s="6">
        <f t="shared" ref="E247:E278" si="87">G246</f>
        <v>11.619074286901899</v>
      </c>
      <c r="F247" s="6">
        <f t="shared" si="78"/>
        <v>11.619074286901899</v>
      </c>
      <c r="G247" s="6">
        <f t="shared" si="79"/>
        <v>13.186473620026995</v>
      </c>
      <c r="H247" s="6">
        <f>Arrivals!L247</f>
        <v>75</v>
      </c>
      <c r="I247" s="6">
        <f>H247*8/ACE_Input!S7+ACE_Input!T7</f>
        <v>6.02</v>
      </c>
      <c r="J247" s="6">
        <f t="shared" ref="J247:J278" si="88">N246</f>
        <v>17.639074286901899</v>
      </c>
      <c r="K247" s="6">
        <f t="shared" si="80"/>
        <v>17.639074286901899</v>
      </c>
      <c r="L247" s="6">
        <f>MOD(K247-Settings!$B$32,Settings!$B$33)</f>
        <v>17.639074286901899</v>
      </c>
      <c r="M247" s="6">
        <f>IF(L247&lt;Settings!$B$30,IF(Settings!$B$30-L247&gt;=I247,K247,K247+(Settings!$B$30-L247)+Settings!$B$31),K247+(Settings!$B$33-L247))</f>
        <v>17.639074286901899</v>
      </c>
      <c r="N247" s="6">
        <f t="shared" si="81"/>
        <v>23.659074286901898</v>
      </c>
      <c r="O247" s="6">
        <f t="shared" si="82"/>
        <v>16.659074286901898</v>
      </c>
      <c r="P247" s="6">
        <f t="shared" si="83"/>
        <v>4.619074286901899</v>
      </c>
      <c r="Q247" s="6">
        <f t="shared" si="84"/>
        <v>4.4526006668749041</v>
      </c>
      <c r="R247" s="6">
        <f t="shared" si="85"/>
        <v>0</v>
      </c>
      <c r="S247" s="6">
        <f t="shared" si="86"/>
        <v>9.0716749537768031</v>
      </c>
      <c r="T247" s="6" t="str">
        <f>IF(MOD(C247-Settings!$B$32,Settings!$B$33)&lt;Settings!$B$30,"Up","Down")</f>
        <v>Up</v>
      </c>
      <c r="U247" s="6">
        <f>IF(OR(I247&gt;Settings!$B$30,O247&gt;Settings!$B$37),0,1)</f>
        <v>1</v>
      </c>
      <c r="V247" s="6">
        <f>IF(AND(U247=1,O247&lt;=Settings!$B$36),1,0)</f>
        <v>1</v>
      </c>
    </row>
    <row r="248" spans="1:22" x14ac:dyDescent="0.2">
      <c r="A248">
        <f>Arrivals!A248</f>
        <v>3</v>
      </c>
      <c r="B248">
        <f>Arrivals!B248</f>
        <v>3</v>
      </c>
      <c r="C248" s="6">
        <f>Arrivals!F248</f>
        <v>32</v>
      </c>
      <c r="D248" s="6">
        <f>Arrivals!J248</f>
        <v>35.323704100072575</v>
      </c>
      <c r="E248" s="6">
        <f t="shared" si="87"/>
        <v>13.186473620026995</v>
      </c>
      <c r="F248" s="6">
        <f t="shared" si="78"/>
        <v>32</v>
      </c>
      <c r="G248" s="6">
        <f t="shared" si="79"/>
        <v>67.323704100072575</v>
      </c>
      <c r="H248" s="6">
        <f>Arrivals!L248</f>
        <v>75</v>
      </c>
      <c r="I248" s="6">
        <f>H248*8/ACE_Input!S8+ACE_Input!T8</f>
        <v>6.02</v>
      </c>
      <c r="J248" s="6">
        <f t="shared" si="88"/>
        <v>23.659074286901898</v>
      </c>
      <c r="K248" s="6">
        <f t="shared" si="80"/>
        <v>67.323704100072575</v>
      </c>
      <c r="L248" s="6">
        <f>MOD(K248-Settings!$B$32,Settings!$B$33)</f>
        <v>67.323704100072575</v>
      </c>
      <c r="M248" s="6">
        <f>IF(L248&lt;Settings!$B$30,IF(Settings!$B$30-L248&gt;=I248,K248,K248+(Settings!$B$30-L248)+Settings!$B$31),K248+(Settings!$B$33-L248))</f>
        <v>67.323704100072575</v>
      </c>
      <c r="N248" s="6">
        <f t="shared" si="81"/>
        <v>73.343704100072571</v>
      </c>
      <c r="O248" s="6">
        <f t="shared" si="82"/>
        <v>41.343704100072571</v>
      </c>
      <c r="P248" s="6">
        <f t="shared" si="83"/>
        <v>0</v>
      </c>
      <c r="Q248" s="6">
        <f t="shared" si="84"/>
        <v>0</v>
      </c>
      <c r="R248" s="6">
        <f t="shared" si="85"/>
        <v>0</v>
      </c>
      <c r="S248" s="6">
        <f t="shared" si="86"/>
        <v>0</v>
      </c>
      <c r="T248" s="6" t="str">
        <f>IF(MOD(C248-Settings!$B$32,Settings!$B$33)&lt;Settings!$B$30,"Up","Down")</f>
        <v>Up</v>
      </c>
      <c r="U248" s="6">
        <f>IF(OR(I248&gt;Settings!$B$30,O248&gt;Settings!$B$37),0,1)</f>
        <v>1</v>
      </c>
      <c r="V248" s="6">
        <f>IF(AND(U248=1,O248&lt;=Settings!$B$36),1,0)</f>
        <v>1</v>
      </c>
    </row>
    <row r="249" spans="1:22" x14ac:dyDescent="0.2">
      <c r="A249">
        <f>Arrivals!A249</f>
        <v>3</v>
      </c>
      <c r="B249">
        <f>Arrivals!B249</f>
        <v>4</v>
      </c>
      <c r="C249" s="6">
        <f>Arrivals!F249</f>
        <v>37</v>
      </c>
      <c r="D249" s="6">
        <f>Arrivals!J249</f>
        <v>15.096418759100843</v>
      </c>
      <c r="E249" s="6">
        <f t="shared" si="87"/>
        <v>67.323704100072575</v>
      </c>
      <c r="F249" s="6">
        <f t="shared" si="78"/>
        <v>67.323704100072575</v>
      </c>
      <c r="G249" s="6">
        <f t="shared" si="79"/>
        <v>82.420122859173418</v>
      </c>
      <c r="H249" s="6">
        <f>Arrivals!L249</f>
        <v>75</v>
      </c>
      <c r="I249" s="6">
        <f>H249*8/ACE_Input!S9+ACE_Input!T9</f>
        <v>6.02</v>
      </c>
      <c r="J249" s="6">
        <f t="shared" si="88"/>
        <v>73.343704100072571</v>
      </c>
      <c r="K249" s="6">
        <f t="shared" si="80"/>
        <v>82.420122859173418</v>
      </c>
      <c r="L249" s="6">
        <f>MOD(K249-Settings!$B$32,Settings!$B$33)</f>
        <v>82.420122859173418</v>
      </c>
      <c r="M249" s="6">
        <f>IF(L249&lt;Settings!$B$30,IF(Settings!$B$30-L249&gt;=I249,K249,K249+(Settings!$B$30-L249)+Settings!$B$31),K249+(Settings!$B$33-L249))</f>
        <v>82.420122859173418</v>
      </c>
      <c r="N249" s="6">
        <f t="shared" si="81"/>
        <v>88.440122859173414</v>
      </c>
      <c r="O249" s="6">
        <f t="shared" si="82"/>
        <v>51.440122859173414</v>
      </c>
      <c r="P249" s="6">
        <f t="shared" si="83"/>
        <v>30.323704100072575</v>
      </c>
      <c r="Q249" s="6">
        <f t="shared" si="84"/>
        <v>0</v>
      </c>
      <c r="R249" s="6">
        <f t="shared" si="85"/>
        <v>0</v>
      </c>
      <c r="S249" s="6">
        <f t="shared" si="86"/>
        <v>30.323704100072575</v>
      </c>
      <c r="T249" s="6" t="str">
        <f>IF(MOD(C249-Settings!$B$32,Settings!$B$33)&lt;Settings!$B$30,"Up","Down")</f>
        <v>Up</v>
      </c>
      <c r="U249" s="6">
        <f>IF(OR(I249&gt;Settings!$B$30,O249&gt;Settings!$B$37),0,1)</f>
        <v>1</v>
      </c>
      <c r="V249" s="6">
        <f>IF(AND(U249=1,O249&lt;=Settings!$B$36),1,0)</f>
        <v>1</v>
      </c>
    </row>
    <row r="250" spans="1:22" x14ac:dyDescent="0.2">
      <c r="A250">
        <f>Arrivals!A250</f>
        <v>3</v>
      </c>
      <c r="B250">
        <f>Arrivals!B250</f>
        <v>5</v>
      </c>
      <c r="C250" s="6">
        <f>Arrivals!F250</f>
        <v>42</v>
      </c>
      <c r="D250" s="6">
        <f>Arrivals!J250</f>
        <v>3.4391407143431745</v>
      </c>
      <c r="E250" s="6">
        <f t="shared" si="87"/>
        <v>82.420122859173418</v>
      </c>
      <c r="F250" s="6">
        <f t="shared" si="78"/>
        <v>82.420122859173418</v>
      </c>
      <c r="G250" s="6">
        <f t="shared" si="79"/>
        <v>85.859263573516586</v>
      </c>
      <c r="H250" s="6">
        <f>Arrivals!L250</f>
        <v>75</v>
      </c>
      <c r="I250" s="6">
        <f>H250*8/ACE_Input!S10+ACE_Input!T10</f>
        <v>6.02</v>
      </c>
      <c r="J250" s="6">
        <f t="shared" si="88"/>
        <v>88.440122859173414</v>
      </c>
      <c r="K250" s="6">
        <f t="shared" si="80"/>
        <v>88.440122859173414</v>
      </c>
      <c r="L250" s="6">
        <f>MOD(K250-Settings!$B$32,Settings!$B$33)</f>
        <v>88.440122859173414</v>
      </c>
      <c r="M250" s="6">
        <f>IF(L250&lt;Settings!$B$30,IF(Settings!$B$30-L250&gt;=I250,K250,K250+(Settings!$B$30-L250)+Settings!$B$31),K250+(Settings!$B$33-L250))</f>
        <v>88.440122859173414</v>
      </c>
      <c r="N250" s="6">
        <f t="shared" si="81"/>
        <v>94.46012285917341</v>
      </c>
      <c r="O250" s="6">
        <f t="shared" si="82"/>
        <v>52.46012285917341</v>
      </c>
      <c r="P250" s="6">
        <f t="shared" si="83"/>
        <v>40.420122859173418</v>
      </c>
      <c r="Q250" s="6">
        <f t="shared" si="84"/>
        <v>2.5808592856568282</v>
      </c>
      <c r="R250" s="6">
        <f t="shared" si="85"/>
        <v>0</v>
      </c>
      <c r="S250" s="6">
        <f t="shared" si="86"/>
        <v>43.000982144830246</v>
      </c>
      <c r="T250" s="6" t="str">
        <f>IF(MOD(C250-Settings!$B$32,Settings!$B$33)&lt;Settings!$B$30,"Up","Down")</f>
        <v>Up</v>
      </c>
      <c r="U250" s="6">
        <f>IF(OR(I250&gt;Settings!$B$30,O250&gt;Settings!$B$37),0,1)</f>
        <v>1</v>
      </c>
      <c r="V250" s="6">
        <f>IF(AND(U250=1,O250&lt;=Settings!$B$36),1,0)</f>
        <v>1</v>
      </c>
    </row>
    <row r="251" spans="1:22" x14ac:dyDescent="0.2">
      <c r="A251">
        <f>Arrivals!A251</f>
        <v>3</v>
      </c>
      <c r="B251">
        <f>Arrivals!B251</f>
        <v>6</v>
      </c>
      <c r="C251" s="6">
        <f>Arrivals!F251</f>
        <v>47</v>
      </c>
      <c r="D251" s="6">
        <f>Arrivals!J251</f>
        <v>0.49587153195762174</v>
      </c>
      <c r="E251" s="6">
        <f t="shared" si="87"/>
        <v>85.859263573516586</v>
      </c>
      <c r="F251" s="6">
        <f t="shared" si="78"/>
        <v>85.859263573516586</v>
      </c>
      <c r="G251" s="6">
        <f t="shared" si="79"/>
        <v>86.355135105474204</v>
      </c>
      <c r="H251" s="6">
        <f>Arrivals!L251</f>
        <v>75</v>
      </c>
      <c r="I251" s="6">
        <f>H251*8/ACE_Input!S11+ACE_Input!T11</f>
        <v>6.02</v>
      </c>
      <c r="J251" s="6">
        <f t="shared" si="88"/>
        <v>94.46012285917341</v>
      </c>
      <c r="K251" s="6">
        <f t="shared" si="80"/>
        <v>94.46012285917341</v>
      </c>
      <c r="L251" s="6">
        <f>MOD(K251-Settings!$B$32,Settings!$B$33)</f>
        <v>94.46012285917341</v>
      </c>
      <c r="M251" s="6">
        <f>IF(L251&lt;Settings!$B$30,IF(Settings!$B$30-L251&gt;=I251,K251,K251+(Settings!$B$30-L251)+Settings!$B$31),K251+(Settings!$B$33-L251))</f>
        <v>94.46012285917341</v>
      </c>
      <c r="N251" s="6">
        <f t="shared" si="81"/>
        <v>100.48012285917341</v>
      </c>
      <c r="O251" s="6">
        <f t="shared" si="82"/>
        <v>53.480122859173406</v>
      </c>
      <c r="P251" s="6">
        <f t="shared" si="83"/>
        <v>38.859263573516586</v>
      </c>
      <c r="Q251" s="6">
        <f t="shared" si="84"/>
        <v>8.1049877536992057</v>
      </c>
      <c r="R251" s="6">
        <f t="shared" si="85"/>
        <v>0</v>
      </c>
      <c r="S251" s="6">
        <f t="shared" si="86"/>
        <v>46.964251327215791</v>
      </c>
      <c r="T251" s="6" t="str">
        <f>IF(MOD(C251-Settings!$B$32,Settings!$B$33)&lt;Settings!$B$30,"Up","Down")</f>
        <v>Up</v>
      </c>
      <c r="U251" s="6">
        <f>IF(OR(I251&gt;Settings!$B$30,O251&gt;Settings!$B$37),0,1)</f>
        <v>1</v>
      </c>
      <c r="V251" s="6">
        <f>IF(AND(U251=1,O251&lt;=Settings!$B$36),1,0)</f>
        <v>1</v>
      </c>
    </row>
    <row r="252" spans="1:22" x14ac:dyDescent="0.2">
      <c r="A252">
        <f>Arrivals!A252</f>
        <v>3</v>
      </c>
      <c r="B252">
        <f>Arrivals!B252</f>
        <v>7</v>
      </c>
      <c r="C252" s="6">
        <f>Arrivals!F252</f>
        <v>52</v>
      </c>
      <c r="D252" s="6">
        <f>Arrivals!J252</f>
        <v>5.2723703828913893</v>
      </c>
      <c r="E252" s="6">
        <f t="shared" si="87"/>
        <v>86.355135105474204</v>
      </c>
      <c r="F252" s="6">
        <f t="shared" si="78"/>
        <v>86.355135105474204</v>
      </c>
      <c r="G252" s="6">
        <f t="shared" si="79"/>
        <v>91.6275054883656</v>
      </c>
      <c r="H252" s="6">
        <f>Arrivals!L252</f>
        <v>75</v>
      </c>
      <c r="I252" s="6">
        <f>H252*8/ACE_Input!S12+ACE_Input!T12</f>
        <v>6.02</v>
      </c>
      <c r="J252" s="6">
        <f t="shared" si="88"/>
        <v>100.48012285917341</v>
      </c>
      <c r="K252" s="6">
        <f t="shared" si="80"/>
        <v>100.48012285917341</v>
      </c>
      <c r="L252" s="6">
        <f>MOD(K252-Settings!$B$32,Settings!$B$33)</f>
        <v>100.48012285917341</v>
      </c>
      <c r="M252" s="6">
        <f>IF(L252&lt;Settings!$B$30,IF(Settings!$B$30-L252&gt;=I252,K252,K252+(Settings!$B$30-L252)+Settings!$B$31),K252+(Settings!$B$33-L252))</f>
        <v>100.48012285917341</v>
      </c>
      <c r="N252" s="6">
        <f t="shared" si="81"/>
        <v>106.5001228591734</v>
      </c>
      <c r="O252" s="6">
        <f t="shared" si="82"/>
        <v>54.500122859173402</v>
      </c>
      <c r="P252" s="6">
        <f t="shared" si="83"/>
        <v>34.355135105474204</v>
      </c>
      <c r="Q252" s="6">
        <f t="shared" si="84"/>
        <v>8.8526173708078062</v>
      </c>
      <c r="R252" s="6">
        <f t="shared" si="85"/>
        <v>0</v>
      </c>
      <c r="S252" s="6">
        <f t="shared" si="86"/>
        <v>43.20775247628201</v>
      </c>
      <c r="T252" s="6" t="str">
        <f>IF(MOD(C252-Settings!$B$32,Settings!$B$33)&lt;Settings!$B$30,"Up","Down")</f>
        <v>Up</v>
      </c>
      <c r="U252" s="6">
        <f>IF(OR(I252&gt;Settings!$B$30,O252&gt;Settings!$B$37),0,1)</f>
        <v>1</v>
      </c>
      <c r="V252" s="6">
        <f>IF(AND(U252=1,O252&lt;=Settings!$B$36),1,0)</f>
        <v>1</v>
      </c>
    </row>
    <row r="253" spans="1:22" x14ac:dyDescent="0.2">
      <c r="A253">
        <f>Arrivals!A253</f>
        <v>3</v>
      </c>
      <c r="B253">
        <f>Arrivals!B253</f>
        <v>8</v>
      </c>
      <c r="C253" s="6">
        <f>Arrivals!F253</f>
        <v>57</v>
      </c>
      <c r="D253" s="6">
        <f>Arrivals!J253</f>
        <v>19.050026687211961</v>
      </c>
      <c r="E253" s="6">
        <f t="shared" si="87"/>
        <v>91.6275054883656</v>
      </c>
      <c r="F253" s="6">
        <f t="shared" si="78"/>
        <v>91.6275054883656</v>
      </c>
      <c r="G253" s="6">
        <f t="shared" si="79"/>
        <v>110.67753217557757</v>
      </c>
      <c r="H253" s="6">
        <f>Arrivals!L253</f>
        <v>75</v>
      </c>
      <c r="I253" s="6">
        <f>H253*8/ACE_Input!S13+ACE_Input!T13</f>
        <v>6.02</v>
      </c>
      <c r="J253" s="6">
        <f t="shared" si="88"/>
        <v>106.5001228591734</v>
      </c>
      <c r="K253" s="6">
        <f t="shared" si="80"/>
        <v>110.67753217557757</v>
      </c>
      <c r="L253" s="6">
        <f>MOD(K253-Settings!$B$32,Settings!$B$33)</f>
        <v>110.67753217557757</v>
      </c>
      <c r="M253" s="6">
        <f>IF(L253&lt;Settings!$B$30,IF(Settings!$B$30-L253&gt;=I253,K253,K253+(Settings!$B$30-L253)+Settings!$B$31),K253+(Settings!$B$33-L253))</f>
        <v>110.67753217557757</v>
      </c>
      <c r="N253" s="6">
        <f t="shared" si="81"/>
        <v>116.69753217557756</v>
      </c>
      <c r="O253" s="6">
        <f t="shared" si="82"/>
        <v>59.697532175577564</v>
      </c>
      <c r="P253" s="6">
        <f t="shared" si="83"/>
        <v>34.6275054883656</v>
      </c>
      <c r="Q253" s="6">
        <f t="shared" si="84"/>
        <v>0</v>
      </c>
      <c r="R253" s="6">
        <f t="shared" si="85"/>
        <v>0</v>
      </c>
      <c r="S253" s="6">
        <f t="shared" si="86"/>
        <v>34.6275054883656</v>
      </c>
      <c r="T253" s="6" t="str">
        <f>IF(MOD(C253-Settings!$B$32,Settings!$B$33)&lt;Settings!$B$30,"Up","Down")</f>
        <v>Up</v>
      </c>
      <c r="U253" s="6">
        <f>IF(OR(I253&gt;Settings!$B$30,O253&gt;Settings!$B$37),0,1)</f>
        <v>1</v>
      </c>
      <c r="V253" s="6">
        <f>IF(AND(U253=1,O253&lt;=Settings!$B$36),1,0)</f>
        <v>1</v>
      </c>
    </row>
    <row r="254" spans="1:22" x14ac:dyDescent="0.2">
      <c r="A254">
        <f>Arrivals!A254</f>
        <v>3</v>
      </c>
      <c r="B254">
        <f>Arrivals!B254</f>
        <v>9</v>
      </c>
      <c r="C254" s="6">
        <f>Arrivals!F254</f>
        <v>172</v>
      </c>
      <c r="D254" s="6">
        <f>Arrivals!J254</f>
        <v>0.62463085883067393</v>
      </c>
      <c r="E254" s="6">
        <f t="shared" si="87"/>
        <v>110.67753217557757</v>
      </c>
      <c r="F254" s="6">
        <f t="shared" si="78"/>
        <v>172</v>
      </c>
      <c r="G254" s="6">
        <f t="shared" si="79"/>
        <v>172.62463085883067</v>
      </c>
      <c r="H254" s="6">
        <f>Arrivals!L254</f>
        <v>75</v>
      </c>
      <c r="I254" s="6">
        <f>H254*8/ACE_Input!S14+ACE_Input!T14</f>
        <v>6.02</v>
      </c>
      <c r="J254" s="6">
        <f t="shared" si="88"/>
        <v>116.69753217557756</v>
      </c>
      <c r="K254" s="6">
        <f t="shared" si="80"/>
        <v>172.62463085883067</v>
      </c>
      <c r="L254" s="6">
        <f>MOD(K254-Settings!$B$32,Settings!$B$33)</f>
        <v>172.62463085883067</v>
      </c>
      <c r="M254" s="6">
        <f>IF(L254&lt;Settings!$B$30,IF(Settings!$B$30-L254&gt;=I254,K254,K254+(Settings!$B$30-L254)+Settings!$B$31),K254+(Settings!$B$33-L254))</f>
        <v>172.62463085883067</v>
      </c>
      <c r="N254" s="6">
        <f t="shared" si="81"/>
        <v>178.64463085883068</v>
      </c>
      <c r="O254" s="6">
        <f t="shared" si="82"/>
        <v>6.6446308588306806</v>
      </c>
      <c r="P254" s="6">
        <f t="shared" si="83"/>
        <v>0</v>
      </c>
      <c r="Q254" s="6">
        <f t="shared" si="84"/>
        <v>0</v>
      </c>
      <c r="R254" s="6">
        <f t="shared" si="85"/>
        <v>0</v>
      </c>
      <c r="S254" s="6">
        <f t="shared" si="86"/>
        <v>0</v>
      </c>
      <c r="T254" s="6" t="str">
        <f>IF(MOD(C254-Settings!$B$32,Settings!$B$33)&lt;Settings!$B$30,"Up","Down")</f>
        <v>Up</v>
      </c>
      <c r="U254" s="6">
        <f>IF(OR(I254&gt;Settings!$B$30,O254&gt;Settings!$B$37),0,1)</f>
        <v>1</v>
      </c>
      <c r="V254" s="6">
        <f>IF(AND(U254=1,O254&lt;=Settings!$B$36),1,0)</f>
        <v>1</v>
      </c>
    </row>
    <row r="255" spans="1:22" x14ac:dyDescent="0.2">
      <c r="A255">
        <f>Arrivals!A255</f>
        <v>3</v>
      </c>
      <c r="B255">
        <f>Arrivals!B255</f>
        <v>10</v>
      </c>
      <c r="C255" s="6">
        <f>Arrivals!F255</f>
        <v>177</v>
      </c>
      <c r="D255" s="6">
        <f>Arrivals!J255</f>
        <v>7.5848908472206489</v>
      </c>
      <c r="E255" s="6">
        <f t="shared" si="87"/>
        <v>172.62463085883067</v>
      </c>
      <c r="F255" s="6">
        <f t="shared" si="78"/>
        <v>177</v>
      </c>
      <c r="G255" s="6">
        <f t="shared" si="79"/>
        <v>184.58489084722066</v>
      </c>
      <c r="H255" s="6">
        <f>Arrivals!L255</f>
        <v>75</v>
      </c>
      <c r="I255" s="6">
        <f>H255*8/ACE_Input!S15+ACE_Input!T15</f>
        <v>6.02</v>
      </c>
      <c r="J255" s="6">
        <f t="shared" si="88"/>
        <v>178.64463085883068</v>
      </c>
      <c r="K255" s="6">
        <f t="shared" si="80"/>
        <v>184.58489084722066</v>
      </c>
      <c r="L255" s="6">
        <f>MOD(K255-Settings!$B$32,Settings!$B$33)</f>
        <v>184.58489084722066</v>
      </c>
      <c r="M255" s="6">
        <f>IF(L255&lt;Settings!$B$30,IF(Settings!$B$30-L255&gt;=I255,K255,K255+(Settings!$B$30-L255)+Settings!$B$31),K255+(Settings!$B$33-L255))</f>
        <v>184.58489084722066</v>
      </c>
      <c r="N255" s="6">
        <f t="shared" si="81"/>
        <v>190.60489084722067</v>
      </c>
      <c r="O255" s="6">
        <f t="shared" si="82"/>
        <v>13.604890847220673</v>
      </c>
      <c r="P255" s="6">
        <f t="shared" si="83"/>
        <v>0</v>
      </c>
      <c r="Q255" s="6">
        <f t="shared" si="84"/>
        <v>0</v>
      </c>
      <c r="R255" s="6">
        <f t="shared" si="85"/>
        <v>0</v>
      </c>
      <c r="S255" s="6">
        <f t="shared" si="86"/>
        <v>0</v>
      </c>
      <c r="T255" s="6" t="str">
        <f>IF(MOD(C255-Settings!$B$32,Settings!$B$33)&lt;Settings!$B$30,"Up","Down")</f>
        <v>Up</v>
      </c>
      <c r="U255" s="6">
        <f>IF(OR(I255&gt;Settings!$B$30,O255&gt;Settings!$B$37),0,1)</f>
        <v>1</v>
      </c>
      <c r="V255" s="6">
        <f>IF(AND(U255=1,O255&lt;=Settings!$B$36),1,0)</f>
        <v>1</v>
      </c>
    </row>
    <row r="256" spans="1:22" x14ac:dyDescent="0.2">
      <c r="A256">
        <f>Arrivals!A256</f>
        <v>3</v>
      </c>
      <c r="B256">
        <f>Arrivals!B256</f>
        <v>11</v>
      </c>
      <c r="C256" s="6">
        <f>Arrivals!F256</f>
        <v>182</v>
      </c>
      <c r="D256" s="6">
        <f>Arrivals!J256</f>
        <v>3.8990626172869272</v>
      </c>
      <c r="E256" s="6">
        <f t="shared" si="87"/>
        <v>184.58489084722066</v>
      </c>
      <c r="F256" s="6">
        <f t="shared" si="78"/>
        <v>184.58489084722066</v>
      </c>
      <c r="G256" s="6">
        <f t="shared" si="79"/>
        <v>188.48395346450758</v>
      </c>
      <c r="H256" s="6">
        <f>Arrivals!L256</f>
        <v>75</v>
      </c>
      <c r="I256" s="6">
        <f>H256*8/ACE_Input!S16+ACE_Input!T16</f>
        <v>6.02</v>
      </c>
      <c r="J256" s="6">
        <f t="shared" si="88"/>
        <v>190.60489084722067</v>
      </c>
      <c r="K256" s="6">
        <f t="shared" si="80"/>
        <v>190.60489084722067</v>
      </c>
      <c r="L256" s="6">
        <f>MOD(K256-Settings!$B$32,Settings!$B$33)</f>
        <v>190.60489084722067</v>
      </c>
      <c r="M256" s="6">
        <f>IF(L256&lt;Settings!$B$30,IF(Settings!$B$30-L256&gt;=I256,K256,K256+(Settings!$B$30-L256)+Settings!$B$31),K256+(Settings!$B$33-L256))</f>
        <v>190.60489084722067</v>
      </c>
      <c r="N256" s="6">
        <f t="shared" si="81"/>
        <v>196.62489084722068</v>
      </c>
      <c r="O256" s="6">
        <f t="shared" si="82"/>
        <v>14.624890847220684</v>
      </c>
      <c r="P256" s="6">
        <f t="shared" si="83"/>
        <v>2.5848908472206631</v>
      </c>
      <c r="Q256" s="6">
        <f t="shared" si="84"/>
        <v>2.1209373827130946</v>
      </c>
      <c r="R256" s="6">
        <f t="shared" si="85"/>
        <v>0</v>
      </c>
      <c r="S256" s="6">
        <f t="shared" si="86"/>
        <v>4.7058282299337577</v>
      </c>
      <c r="T256" s="6" t="str">
        <f>IF(MOD(C256-Settings!$B$32,Settings!$B$33)&lt;Settings!$B$30,"Up","Down")</f>
        <v>Up</v>
      </c>
      <c r="U256" s="6">
        <f>IF(OR(I256&gt;Settings!$B$30,O256&gt;Settings!$B$37),0,1)</f>
        <v>1</v>
      </c>
      <c r="V256" s="6">
        <f>IF(AND(U256=1,O256&lt;=Settings!$B$36),1,0)</f>
        <v>1</v>
      </c>
    </row>
    <row r="257" spans="1:22" x14ac:dyDescent="0.2">
      <c r="A257">
        <f>Arrivals!A257</f>
        <v>3</v>
      </c>
      <c r="B257">
        <f>Arrivals!B257</f>
        <v>12</v>
      </c>
      <c r="C257" s="6">
        <f>Arrivals!F257</f>
        <v>187</v>
      </c>
      <c r="D257" s="6">
        <f>Arrivals!J257</f>
        <v>9.166356240299919</v>
      </c>
      <c r="E257" s="6">
        <f t="shared" si="87"/>
        <v>188.48395346450758</v>
      </c>
      <c r="F257" s="6">
        <f t="shared" si="78"/>
        <v>188.48395346450758</v>
      </c>
      <c r="G257" s="6">
        <f t="shared" si="79"/>
        <v>197.65030970480751</v>
      </c>
      <c r="H257" s="6">
        <f>Arrivals!L257</f>
        <v>75</v>
      </c>
      <c r="I257" s="6">
        <f>H257*8/ACE_Input!S17+ACE_Input!T17</f>
        <v>6.02</v>
      </c>
      <c r="J257" s="6">
        <f t="shared" si="88"/>
        <v>196.62489084722068</v>
      </c>
      <c r="K257" s="6">
        <f t="shared" si="80"/>
        <v>197.65030970480751</v>
      </c>
      <c r="L257" s="6">
        <f>MOD(K257-Settings!$B$32,Settings!$B$33)</f>
        <v>197.65030970480751</v>
      </c>
      <c r="M257" s="6">
        <f>IF(L257&lt;Settings!$B$30,IF(Settings!$B$30-L257&gt;=I257,K257,K257+(Settings!$B$30-L257)+Settings!$B$31),K257+(Settings!$B$33-L257))</f>
        <v>197.65030970480751</v>
      </c>
      <c r="N257" s="6">
        <f t="shared" si="81"/>
        <v>203.67030970480752</v>
      </c>
      <c r="O257" s="6">
        <f t="shared" si="82"/>
        <v>16.670309704807522</v>
      </c>
      <c r="P257" s="6">
        <f t="shared" si="83"/>
        <v>1.4839534645075787</v>
      </c>
      <c r="Q257" s="6">
        <f t="shared" si="84"/>
        <v>0</v>
      </c>
      <c r="R257" s="6">
        <f t="shared" si="85"/>
        <v>0</v>
      </c>
      <c r="S257" s="6">
        <f t="shared" si="86"/>
        <v>1.4839534645075787</v>
      </c>
      <c r="T257" s="6" t="str">
        <f>IF(MOD(C257-Settings!$B$32,Settings!$B$33)&lt;Settings!$B$30,"Up","Down")</f>
        <v>Up</v>
      </c>
      <c r="U257" s="6">
        <f>IF(OR(I257&gt;Settings!$B$30,O257&gt;Settings!$B$37),0,1)</f>
        <v>1</v>
      </c>
      <c r="V257" s="6">
        <f>IF(AND(U257=1,O257&lt;=Settings!$B$36),1,0)</f>
        <v>1</v>
      </c>
    </row>
    <row r="258" spans="1:22" x14ac:dyDescent="0.2">
      <c r="A258">
        <f>Arrivals!A258</f>
        <v>3</v>
      </c>
      <c r="B258">
        <f>Arrivals!B258</f>
        <v>13</v>
      </c>
      <c r="C258" s="6">
        <f>Arrivals!F258</f>
        <v>192</v>
      </c>
      <c r="D258" s="6">
        <f>Arrivals!J258</f>
        <v>3.2207587593196951</v>
      </c>
      <c r="E258" s="6">
        <f t="shared" si="87"/>
        <v>197.65030970480751</v>
      </c>
      <c r="F258" s="6">
        <f t="shared" si="78"/>
        <v>197.65030970480751</v>
      </c>
      <c r="G258" s="6">
        <f t="shared" si="79"/>
        <v>200.87106846412721</v>
      </c>
      <c r="H258" s="6">
        <f>Arrivals!L258</f>
        <v>75</v>
      </c>
      <c r="I258" s="6">
        <f>H258*8/ACE_Input!S18+ACE_Input!T18</f>
        <v>6.02</v>
      </c>
      <c r="J258" s="6">
        <f t="shared" si="88"/>
        <v>203.67030970480752</v>
      </c>
      <c r="K258" s="6">
        <f t="shared" si="80"/>
        <v>203.67030970480752</v>
      </c>
      <c r="L258" s="6">
        <f>MOD(K258-Settings!$B$32,Settings!$B$33)</f>
        <v>203.67030970480752</v>
      </c>
      <c r="M258" s="6">
        <f>IF(L258&lt;Settings!$B$30,IF(Settings!$B$30-L258&gt;=I258,K258,K258+(Settings!$B$30-L258)+Settings!$B$31),K258+(Settings!$B$33-L258))</f>
        <v>203.67030970480752</v>
      </c>
      <c r="N258" s="6">
        <f t="shared" si="81"/>
        <v>209.69030970480753</v>
      </c>
      <c r="O258" s="6">
        <f t="shared" si="82"/>
        <v>17.690309704807532</v>
      </c>
      <c r="P258" s="6">
        <f t="shared" si="83"/>
        <v>5.6503097048075119</v>
      </c>
      <c r="Q258" s="6">
        <f t="shared" si="84"/>
        <v>2.7992412406803169</v>
      </c>
      <c r="R258" s="6">
        <f t="shared" si="85"/>
        <v>0</v>
      </c>
      <c r="S258" s="6">
        <f t="shared" si="86"/>
        <v>8.4495509454878288</v>
      </c>
      <c r="T258" s="6" t="str">
        <f>IF(MOD(C258-Settings!$B$32,Settings!$B$33)&lt;Settings!$B$30,"Up","Down")</f>
        <v>Up</v>
      </c>
      <c r="U258" s="6">
        <f>IF(OR(I258&gt;Settings!$B$30,O258&gt;Settings!$B$37),0,1)</f>
        <v>1</v>
      </c>
      <c r="V258" s="6">
        <f>IF(AND(U258=1,O258&lt;=Settings!$B$36),1,0)</f>
        <v>1</v>
      </c>
    </row>
    <row r="259" spans="1:22" x14ac:dyDescent="0.2">
      <c r="A259">
        <f>Arrivals!A259</f>
        <v>3</v>
      </c>
      <c r="B259">
        <f>Arrivals!B259</f>
        <v>14</v>
      </c>
      <c r="C259" s="6">
        <f>Arrivals!F259</f>
        <v>197</v>
      </c>
      <c r="D259" s="6">
        <f>Arrivals!J259</f>
        <v>4.144623330676926</v>
      </c>
      <c r="E259" s="6">
        <f t="shared" si="87"/>
        <v>200.87106846412721</v>
      </c>
      <c r="F259" s="6">
        <f t="shared" si="78"/>
        <v>200.87106846412721</v>
      </c>
      <c r="G259" s="6">
        <f t="shared" si="79"/>
        <v>205.01569179480413</v>
      </c>
      <c r="H259" s="6">
        <f>Arrivals!L259</f>
        <v>75</v>
      </c>
      <c r="I259" s="6">
        <f>H259*8/ACE_Input!S19+ACE_Input!T19</f>
        <v>6.02</v>
      </c>
      <c r="J259" s="6">
        <f t="shared" si="88"/>
        <v>209.69030970480753</v>
      </c>
      <c r="K259" s="6">
        <f t="shared" si="80"/>
        <v>209.69030970480753</v>
      </c>
      <c r="L259" s="6">
        <f>MOD(K259-Settings!$B$32,Settings!$B$33)</f>
        <v>209.69030970480753</v>
      </c>
      <c r="M259" s="6">
        <f>IF(L259&lt;Settings!$B$30,IF(Settings!$B$30-L259&gt;=I259,K259,K259+(Settings!$B$30-L259)+Settings!$B$31),K259+(Settings!$B$33-L259))</f>
        <v>209.69030970480753</v>
      </c>
      <c r="N259" s="6">
        <f t="shared" si="81"/>
        <v>215.71030970480754</v>
      </c>
      <c r="O259" s="6">
        <f t="shared" si="82"/>
        <v>18.710309704807543</v>
      </c>
      <c r="P259" s="6">
        <f t="shared" si="83"/>
        <v>3.8710684641272053</v>
      </c>
      <c r="Q259" s="6">
        <f t="shared" si="84"/>
        <v>4.6746179100034055</v>
      </c>
      <c r="R259" s="6">
        <f t="shared" si="85"/>
        <v>0</v>
      </c>
      <c r="S259" s="6">
        <f t="shared" si="86"/>
        <v>8.5456863741306108</v>
      </c>
      <c r="T259" s="6" t="str">
        <f>IF(MOD(C259-Settings!$B$32,Settings!$B$33)&lt;Settings!$B$30,"Up","Down")</f>
        <v>Up</v>
      </c>
      <c r="U259" s="6">
        <f>IF(OR(I259&gt;Settings!$B$30,O259&gt;Settings!$B$37),0,1)</f>
        <v>1</v>
      </c>
      <c r="V259" s="6">
        <f>IF(AND(U259=1,O259&lt;=Settings!$B$36),1,0)</f>
        <v>1</v>
      </c>
    </row>
    <row r="260" spans="1:22" x14ac:dyDescent="0.2">
      <c r="A260">
        <f>Arrivals!A260</f>
        <v>3</v>
      </c>
      <c r="B260">
        <f>Arrivals!B260</f>
        <v>15</v>
      </c>
      <c r="C260" s="6">
        <f>Arrivals!F260</f>
        <v>202</v>
      </c>
      <c r="D260" s="6">
        <f>Arrivals!J260</f>
        <v>8.9488987008162919</v>
      </c>
      <c r="E260" s="6">
        <f t="shared" si="87"/>
        <v>205.01569179480413</v>
      </c>
      <c r="F260" s="6">
        <f t="shared" si="78"/>
        <v>205.01569179480413</v>
      </c>
      <c r="G260" s="6">
        <f t="shared" si="79"/>
        <v>213.96459049562043</v>
      </c>
      <c r="H260" s="6">
        <f>Arrivals!L260</f>
        <v>75</v>
      </c>
      <c r="I260" s="6">
        <f>H260*8/ACE_Input!S20+ACE_Input!T20</f>
        <v>6.02</v>
      </c>
      <c r="J260" s="6">
        <f t="shared" si="88"/>
        <v>215.71030970480754</v>
      </c>
      <c r="K260" s="6">
        <f t="shared" si="80"/>
        <v>215.71030970480754</v>
      </c>
      <c r="L260" s="6">
        <f>MOD(K260-Settings!$B$32,Settings!$B$33)</f>
        <v>215.71030970480754</v>
      </c>
      <c r="M260" s="6">
        <f>IF(L260&lt;Settings!$B$30,IF(Settings!$B$30-L260&gt;=I260,K260,K260+(Settings!$B$30-L260)+Settings!$B$31),K260+(Settings!$B$33-L260))</f>
        <v>215.71030970480754</v>
      </c>
      <c r="N260" s="6">
        <f t="shared" si="81"/>
        <v>221.73030970480755</v>
      </c>
      <c r="O260" s="6">
        <f t="shared" si="82"/>
        <v>19.730309704807553</v>
      </c>
      <c r="P260" s="6">
        <f t="shared" si="83"/>
        <v>3.0156917948041269</v>
      </c>
      <c r="Q260" s="6">
        <f t="shared" si="84"/>
        <v>1.745719209187115</v>
      </c>
      <c r="R260" s="6">
        <f t="shared" si="85"/>
        <v>0</v>
      </c>
      <c r="S260" s="6">
        <f t="shared" si="86"/>
        <v>4.7614110039912418</v>
      </c>
      <c r="T260" s="6" t="str">
        <f>IF(MOD(C260-Settings!$B$32,Settings!$B$33)&lt;Settings!$B$30,"Up","Down")</f>
        <v>Up</v>
      </c>
      <c r="U260" s="6">
        <f>IF(OR(I260&gt;Settings!$B$30,O260&gt;Settings!$B$37),0,1)</f>
        <v>1</v>
      </c>
      <c r="V260" s="6">
        <f>IF(AND(U260=1,O260&lt;=Settings!$B$36),1,0)</f>
        <v>1</v>
      </c>
    </row>
    <row r="261" spans="1:22" x14ac:dyDescent="0.2">
      <c r="A261">
        <f>Arrivals!A261</f>
        <v>3</v>
      </c>
      <c r="B261">
        <f>Arrivals!B261</f>
        <v>16</v>
      </c>
      <c r="C261" s="6">
        <f>Arrivals!F261</f>
        <v>207</v>
      </c>
      <c r="D261" s="6">
        <f>Arrivals!J261</f>
        <v>0.68161069731961121</v>
      </c>
      <c r="E261" s="6">
        <f t="shared" si="87"/>
        <v>213.96459049562043</v>
      </c>
      <c r="F261" s="6">
        <f t="shared" si="78"/>
        <v>213.96459049562043</v>
      </c>
      <c r="G261" s="6">
        <f t="shared" si="79"/>
        <v>214.64620119294003</v>
      </c>
      <c r="H261" s="6">
        <f>Arrivals!L261</f>
        <v>75</v>
      </c>
      <c r="I261" s="6">
        <f>H261*8/ACE_Input!S21+ACE_Input!T21</f>
        <v>6.02</v>
      </c>
      <c r="J261" s="6">
        <f t="shared" si="88"/>
        <v>221.73030970480755</v>
      </c>
      <c r="K261" s="6">
        <f t="shared" si="80"/>
        <v>221.73030970480755</v>
      </c>
      <c r="L261" s="6">
        <f>MOD(K261-Settings!$B$32,Settings!$B$33)</f>
        <v>221.73030970480755</v>
      </c>
      <c r="M261" s="6">
        <f>IF(L261&lt;Settings!$B$30,IF(Settings!$B$30-L261&gt;=I261,K261,K261+(Settings!$B$30-L261)+Settings!$B$31),K261+(Settings!$B$33-L261))</f>
        <v>221.73030970480755</v>
      </c>
      <c r="N261" s="6">
        <f t="shared" si="81"/>
        <v>227.75030970480756</v>
      </c>
      <c r="O261" s="6">
        <f t="shared" si="82"/>
        <v>20.750309704807563</v>
      </c>
      <c r="P261" s="6">
        <f t="shared" si="83"/>
        <v>6.9645904956204276</v>
      </c>
      <c r="Q261" s="6">
        <f t="shared" si="84"/>
        <v>7.0841085118675267</v>
      </c>
      <c r="R261" s="6">
        <f t="shared" si="85"/>
        <v>0</v>
      </c>
      <c r="S261" s="6">
        <f t="shared" si="86"/>
        <v>14.048699007487954</v>
      </c>
      <c r="T261" s="6" t="str">
        <f>IF(MOD(C261-Settings!$B$32,Settings!$B$33)&lt;Settings!$B$30,"Up","Down")</f>
        <v>Up</v>
      </c>
      <c r="U261" s="6">
        <f>IF(OR(I261&gt;Settings!$B$30,O261&gt;Settings!$B$37),0,1)</f>
        <v>1</v>
      </c>
      <c r="V261" s="6">
        <f>IF(AND(U261=1,O261&lt;=Settings!$B$36),1,0)</f>
        <v>1</v>
      </c>
    </row>
    <row r="262" spans="1:22" x14ac:dyDescent="0.2">
      <c r="A262">
        <f>Arrivals!A262</f>
        <v>3</v>
      </c>
      <c r="B262">
        <f>Arrivals!B262</f>
        <v>17</v>
      </c>
      <c r="C262" s="6">
        <f>Arrivals!F262</f>
        <v>212</v>
      </c>
      <c r="D262" s="6">
        <f>Arrivals!J262</f>
        <v>0.56705301415478893</v>
      </c>
      <c r="E262" s="6">
        <f t="shared" si="87"/>
        <v>214.64620119294003</v>
      </c>
      <c r="F262" s="6">
        <f t="shared" si="78"/>
        <v>214.64620119294003</v>
      </c>
      <c r="G262" s="6">
        <f t="shared" si="79"/>
        <v>215.21325420709482</v>
      </c>
      <c r="H262" s="6">
        <f>Arrivals!L262</f>
        <v>75</v>
      </c>
      <c r="I262" s="6">
        <f>H262*8/ACE_Input!S22+ACE_Input!T22</f>
        <v>6.02</v>
      </c>
      <c r="J262" s="6">
        <f t="shared" si="88"/>
        <v>227.75030970480756</v>
      </c>
      <c r="K262" s="6">
        <f t="shared" si="80"/>
        <v>227.75030970480756</v>
      </c>
      <c r="L262" s="6">
        <f>MOD(K262-Settings!$B$32,Settings!$B$33)</f>
        <v>227.75030970480756</v>
      </c>
      <c r="M262" s="6">
        <f>IF(L262&lt;Settings!$B$30,IF(Settings!$B$30-L262&gt;=I262,K262,K262+(Settings!$B$30-L262)+Settings!$B$31),K262+(Settings!$B$33-L262))</f>
        <v>227.75030970480756</v>
      </c>
      <c r="N262" s="6">
        <f t="shared" si="81"/>
        <v>233.77030970480757</v>
      </c>
      <c r="O262" s="6">
        <f t="shared" si="82"/>
        <v>21.770309704807573</v>
      </c>
      <c r="P262" s="6">
        <f t="shared" si="83"/>
        <v>2.6462011929400262</v>
      </c>
      <c r="Q262" s="6">
        <f t="shared" si="84"/>
        <v>12.537055497712743</v>
      </c>
      <c r="R262" s="6">
        <f t="shared" si="85"/>
        <v>0</v>
      </c>
      <c r="S262" s="6">
        <f t="shared" si="86"/>
        <v>15.183256690652769</v>
      </c>
      <c r="T262" s="6" t="str">
        <f>IF(MOD(C262-Settings!$B$32,Settings!$B$33)&lt;Settings!$B$30,"Up","Down")</f>
        <v>Up</v>
      </c>
      <c r="U262" s="6">
        <f>IF(OR(I262&gt;Settings!$B$30,O262&gt;Settings!$B$37),0,1)</f>
        <v>1</v>
      </c>
      <c r="V262" s="6">
        <f>IF(AND(U262=1,O262&lt;=Settings!$B$36),1,0)</f>
        <v>1</v>
      </c>
    </row>
    <row r="263" spans="1:22" x14ac:dyDescent="0.2">
      <c r="A263">
        <f>Arrivals!A263</f>
        <v>3</v>
      </c>
      <c r="B263">
        <f>Arrivals!B263</f>
        <v>18</v>
      </c>
      <c r="C263" s="6">
        <f>Arrivals!F263</f>
        <v>217</v>
      </c>
      <c r="D263" s="6">
        <f>Arrivals!J263</f>
        <v>15.813234138305059</v>
      </c>
      <c r="E263" s="6">
        <f t="shared" si="87"/>
        <v>215.21325420709482</v>
      </c>
      <c r="F263" s="6">
        <f t="shared" si="78"/>
        <v>217</v>
      </c>
      <c r="G263" s="6">
        <f t="shared" si="79"/>
        <v>232.81323413830506</v>
      </c>
      <c r="H263" s="6">
        <f>Arrivals!L263</f>
        <v>75</v>
      </c>
      <c r="I263" s="6">
        <f>H263*8/ACE_Input!S23+ACE_Input!T23</f>
        <v>6.02</v>
      </c>
      <c r="J263" s="6">
        <f t="shared" si="88"/>
        <v>233.77030970480757</v>
      </c>
      <c r="K263" s="6">
        <f t="shared" si="80"/>
        <v>233.77030970480757</v>
      </c>
      <c r="L263" s="6">
        <f>MOD(K263-Settings!$B$32,Settings!$B$33)</f>
        <v>233.77030970480757</v>
      </c>
      <c r="M263" s="6">
        <f>IF(L263&lt;Settings!$B$30,IF(Settings!$B$30-L263&gt;=I263,K263,K263+(Settings!$B$30-L263)+Settings!$B$31),K263+(Settings!$B$33-L263))</f>
        <v>233.77030970480757</v>
      </c>
      <c r="N263" s="6">
        <f t="shared" si="81"/>
        <v>239.79030970480758</v>
      </c>
      <c r="O263" s="6">
        <f t="shared" si="82"/>
        <v>22.790309704807584</v>
      </c>
      <c r="P263" s="6">
        <f t="shared" si="83"/>
        <v>0</v>
      </c>
      <c r="Q263" s="6">
        <f t="shared" si="84"/>
        <v>0.95707556650251036</v>
      </c>
      <c r="R263" s="6">
        <f t="shared" si="85"/>
        <v>0</v>
      </c>
      <c r="S263" s="6">
        <f t="shared" si="86"/>
        <v>0.95707556650251036</v>
      </c>
      <c r="T263" s="6" t="str">
        <f>IF(MOD(C263-Settings!$B$32,Settings!$B$33)&lt;Settings!$B$30,"Up","Down")</f>
        <v>Up</v>
      </c>
      <c r="U263" s="6">
        <f>IF(OR(I263&gt;Settings!$B$30,O263&gt;Settings!$B$37),0,1)</f>
        <v>1</v>
      </c>
      <c r="V263" s="6">
        <f>IF(AND(U263=1,O263&lt;=Settings!$B$36),1,0)</f>
        <v>1</v>
      </c>
    </row>
    <row r="264" spans="1:22" x14ac:dyDescent="0.2">
      <c r="A264">
        <f>Arrivals!A264</f>
        <v>3</v>
      </c>
      <c r="B264">
        <f>Arrivals!B264</f>
        <v>19</v>
      </c>
      <c r="C264" s="6">
        <f>Arrivals!F264</f>
        <v>222</v>
      </c>
      <c r="D264" s="6">
        <f>Arrivals!J264</f>
        <v>3.159512371182589</v>
      </c>
      <c r="E264" s="6">
        <f t="shared" si="87"/>
        <v>232.81323413830506</v>
      </c>
      <c r="F264" s="6">
        <f t="shared" si="78"/>
        <v>232.81323413830506</v>
      </c>
      <c r="G264" s="6">
        <f t="shared" si="79"/>
        <v>235.97274650948765</v>
      </c>
      <c r="H264" s="6">
        <f>Arrivals!L264</f>
        <v>75</v>
      </c>
      <c r="I264" s="6">
        <f>H264*8/ACE_Input!S24+ACE_Input!T24</f>
        <v>6.02</v>
      </c>
      <c r="J264" s="6">
        <f t="shared" si="88"/>
        <v>239.79030970480758</v>
      </c>
      <c r="K264" s="6">
        <f t="shared" si="80"/>
        <v>239.79030970480758</v>
      </c>
      <c r="L264" s="6">
        <f>MOD(K264-Settings!$B$32,Settings!$B$33)</f>
        <v>239.79030970480758</v>
      </c>
      <c r="M264" s="6">
        <f>IF(L264&lt;Settings!$B$30,IF(Settings!$B$30-L264&gt;=I264,K264,K264+(Settings!$B$30-L264)+Settings!$B$31),K264+(Settings!$B$33-L264))</f>
        <v>239.79030970480758</v>
      </c>
      <c r="N264" s="6">
        <f t="shared" si="81"/>
        <v>245.81030970480759</v>
      </c>
      <c r="O264" s="6">
        <f t="shared" si="82"/>
        <v>23.810309704807594</v>
      </c>
      <c r="P264" s="6">
        <f t="shared" si="83"/>
        <v>10.813234138305063</v>
      </c>
      <c r="Q264" s="6">
        <f t="shared" si="84"/>
        <v>3.8175631953199343</v>
      </c>
      <c r="R264" s="6">
        <f t="shared" si="85"/>
        <v>0</v>
      </c>
      <c r="S264" s="6">
        <f t="shared" si="86"/>
        <v>14.630797333624997</v>
      </c>
      <c r="T264" s="6" t="str">
        <f>IF(MOD(C264-Settings!$B$32,Settings!$B$33)&lt;Settings!$B$30,"Up","Down")</f>
        <v>Up</v>
      </c>
      <c r="U264" s="6">
        <f>IF(OR(I264&gt;Settings!$B$30,O264&gt;Settings!$B$37),0,1)</f>
        <v>1</v>
      </c>
      <c r="V264" s="6">
        <f>IF(AND(U264=1,O264&lt;=Settings!$B$36),1,0)</f>
        <v>1</v>
      </c>
    </row>
    <row r="265" spans="1:22" x14ac:dyDescent="0.2">
      <c r="A265">
        <f>Arrivals!A265</f>
        <v>3</v>
      </c>
      <c r="B265">
        <f>Arrivals!B265</f>
        <v>20</v>
      </c>
      <c r="C265" s="6">
        <f>Arrivals!F265</f>
        <v>227</v>
      </c>
      <c r="D265" s="6">
        <f>Arrivals!J265</f>
        <v>9.2171179460450734</v>
      </c>
      <c r="E265" s="6">
        <f t="shared" si="87"/>
        <v>235.97274650948765</v>
      </c>
      <c r="F265" s="6">
        <f t="shared" si="78"/>
        <v>235.97274650948765</v>
      </c>
      <c r="G265" s="6">
        <f t="shared" si="79"/>
        <v>245.18986445553273</v>
      </c>
      <c r="H265" s="6">
        <f>Arrivals!L265</f>
        <v>75</v>
      </c>
      <c r="I265" s="6">
        <f>H265*8/ACE_Input!S25+ACE_Input!T25</f>
        <v>6.02</v>
      </c>
      <c r="J265" s="6">
        <f t="shared" si="88"/>
        <v>245.81030970480759</v>
      </c>
      <c r="K265" s="6">
        <f t="shared" si="80"/>
        <v>245.81030970480759</v>
      </c>
      <c r="L265" s="6">
        <f>MOD(K265-Settings!$B$32,Settings!$B$33)</f>
        <v>245.81030970480759</v>
      </c>
      <c r="M265" s="6">
        <f>IF(L265&lt;Settings!$B$30,IF(Settings!$B$30-L265&gt;=I265,K265,K265+(Settings!$B$30-L265)+Settings!$B$31),K265+(Settings!$B$33-L265))</f>
        <v>245.81030970480759</v>
      </c>
      <c r="N265" s="6">
        <f t="shared" si="81"/>
        <v>251.8303097048076</v>
      </c>
      <c r="O265" s="6">
        <f t="shared" si="82"/>
        <v>24.830309704807604</v>
      </c>
      <c r="P265" s="6">
        <f t="shared" si="83"/>
        <v>8.9727465094876493</v>
      </c>
      <c r="Q265" s="6">
        <f t="shared" si="84"/>
        <v>0.62044524927486577</v>
      </c>
      <c r="R265" s="6">
        <f t="shared" si="85"/>
        <v>0</v>
      </c>
      <c r="S265" s="6">
        <f t="shared" si="86"/>
        <v>9.5931917587625151</v>
      </c>
      <c r="T265" s="6" t="str">
        <f>IF(MOD(C265-Settings!$B$32,Settings!$B$33)&lt;Settings!$B$30,"Up","Down")</f>
        <v>Up</v>
      </c>
      <c r="U265" s="6">
        <f>IF(OR(I265&gt;Settings!$B$30,O265&gt;Settings!$B$37),0,1)</f>
        <v>1</v>
      </c>
      <c r="V265" s="6">
        <f>IF(AND(U265=1,O265&lt;=Settings!$B$36),1,0)</f>
        <v>1</v>
      </c>
    </row>
    <row r="266" spans="1:22" x14ac:dyDescent="0.2">
      <c r="A266">
        <f>Arrivals!A266</f>
        <v>3</v>
      </c>
      <c r="B266">
        <f>Arrivals!B266</f>
        <v>21</v>
      </c>
      <c r="C266" s="6">
        <f>Arrivals!F266</f>
        <v>232</v>
      </c>
      <c r="D266" s="6">
        <f>Arrivals!J266</f>
        <v>4.0501694984355225</v>
      </c>
      <c r="E266" s="6">
        <f t="shared" si="87"/>
        <v>245.18986445553273</v>
      </c>
      <c r="F266" s="6">
        <f t="shared" si="78"/>
        <v>245.18986445553273</v>
      </c>
      <c r="G266" s="6">
        <f t="shared" si="79"/>
        <v>249.24003395396824</v>
      </c>
      <c r="H266" s="6">
        <f>Arrivals!L266</f>
        <v>75</v>
      </c>
      <c r="I266" s="6">
        <f>H266*8/ACE_Input!S26+ACE_Input!T26</f>
        <v>6.02</v>
      </c>
      <c r="J266" s="6">
        <f t="shared" si="88"/>
        <v>251.8303097048076</v>
      </c>
      <c r="K266" s="6">
        <f t="shared" si="80"/>
        <v>251.8303097048076</v>
      </c>
      <c r="L266" s="6">
        <f>MOD(K266-Settings!$B$32,Settings!$B$33)</f>
        <v>251.8303097048076</v>
      </c>
      <c r="M266" s="6">
        <f>IF(L266&lt;Settings!$B$30,IF(Settings!$B$30-L266&gt;=I266,K266,K266+(Settings!$B$30-L266)+Settings!$B$31),K266+(Settings!$B$33-L266))</f>
        <v>251.8303097048076</v>
      </c>
      <c r="N266" s="6">
        <f t="shared" si="81"/>
        <v>257.85030970480761</v>
      </c>
      <c r="O266" s="6">
        <f t="shared" si="82"/>
        <v>25.850309704807614</v>
      </c>
      <c r="P266" s="6">
        <f t="shared" si="83"/>
        <v>13.189864455532728</v>
      </c>
      <c r="Q266" s="6">
        <f t="shared" si="84"/>
        <v>2.5902757508393677</v>
      </c>
      <c r="R266" s="6">
        <f t="shared" si="85"/>
        <v>0</v>
      </c>
      <c r="S266" s="6">
        <f t="shared" si="86"/>
        <v>15.780140206372096</v>
      </c>
      <c r="T266" s="6" t="str">
        <f>IF(MOD(C266-Settings!$B$32,Settings!$B$33)&lt;Settings!$B$30,"Up","Down")</f>
        <v>Up</v>
      </c>
      <c r="U266" s="6">
        <f>IF(OR(I266&gt;Settings!$B$30,O266&gt;Settings!$B$37),0,1)</f>
        <v>1</v>
      </c>
      <c r="V266" s="6">
        <f>IF(AND(U266=1,O266&lt;=Settings!$B$36),1,0)</f>
        <v>1</v>
      </c>
    </row>
    <row r="267" spans="1:22" x14ac:dyDescent="0.2">
      <c r="A267">
        <f>Arrivals!A267</f>
        <v>3</v>
      </c>
      <c r="B267">
        <f>Arrivals!B267</f>
        <v>22</v>
      </c>
      <c r="C267" s="6">
        <f>Arrivals!F267</f>
        <v>237</v>
      </c>
      <c r="D267" s="6">
        <f>Arrivals!J267</f>
        <v>8.3503251131715182</v>
      </c>
      <c r="E267" s="6">
        <f t="shared" si="87"/>
        <v>249.24003395396824</v>
      </c>
      <c r="F267" s="6">
        <f t="shared" si="78"/>
        <v>249.24003395396824</v>
      </c>
      <c r="G267" s="6">
        <f t="shared" si="79"/>
        <v>257.59035906713973</v>
      </c>
      <c r="H267" s="6">
        <f>Arrivals!L267</f>
        <v>75</v>
      </c>
      <c r="I267" s="6">
        <f>H267*8/ACE_Input!S27+ACE_Input!T27</f>
        <v>6.02</v>
      </c>
      <c r="J267" s="6">
        <f t="shared" si="88"/>
        <v>257.85030970480761</v>
      </c>
      <c r="K267" s="6">
        <f t="shared" si="80"/>
        <v>257.85030970480761</v>
      </c>
      <c r="L267" s="6">
        <f>MOD(K267-Settings!$B$32,Settings!$B$33)</f>
        <v>257.85030970480761</v>
      </c>
      <c r="M267" s="6">
        <f>IF(L267&lt;Settings!$B$30,IF(Settings!$B$30-L267&gt;=I267,K267,K267+(Settings!$B$30-L267)+Settings!$B$31),K267+(Settings!$B$33-L267))</f>
        <v>257.85030970480761</v>
      </c>
      <c r="N267" s="6">
        <f t="shared" si="81"/>
        <v>263.8703097048076</v>
      </c>
      <c r="O267" s="6">
        <f t="shared" si="82"/>
        <v>26.870309704807596</v>
      </c>
      <c r="P267" s="6">
        <f t="shared" si="83"/>
        <v>12.240033953968236</v>
      </c>
      <c r="Q267" s="6">
        <f t="shared" si="84"/>
        <v>0.25995063766788462</v>
      </c>
      <c r="R267" s="6">
        <f t="shared" si="85"/>
        <v>0</v>
      </c>
      <c r="S267" s="6">
        <f t="shared" si="86"/>
        <v>12.499984591636121</v>
      </c>
      <c r="T267" s="6" t="str">
        <f>IF(MOD(C267-Settings!$B$32,Settings!$B$33)&lt;Settings!$B$30,"Up","Down")</f>
        <v>Up</v>
      </c>
      <c r="U267" s="6">
        <f>IF(OR(I267&gt;Settings!$B$30,O267&gt;Settings!$B$37),0,1)</f>
        <v>1</v>
      </c>
      <c r="V267" s="6">
        <f>IF(AND(U267=1,O267&lt;=Settings!$B$36),1,0)</f>
        <v>1</v>
      </c>
    </row>
    <row r="268" spans="1:22" x14ac:dyDescent="0.2">
      <c r="A268">
        <f>Arrivals!A268</f>
        <v>3</v>
      </c>
      <c r="B268">
        <f>Arrivals!B268</f>
        <v>23</v>
      </c>
      <c r="C268" s="6">
        <f>Arrivals!F268</f>
        <v>242</v>
      </c>
      <c r="D268" s="6">
        <f>Arrivals!J268</f>
        <v>3.7741423868391113</v>
      </c>
      <c r="E268" s="6">
        <f t="shared" si="87"/>
        <v>257.59035906713973</v>
      </c>
      <c r="F268" s="6">
        <f t="shared" si="78"/>
        <v>257.59035906713973</v>
      </c>
      <c r="G268" s="6">
        <f t="shared" si="79"/>
        <v>261.36450145397885</v>
      </c>
      <c r="H268" s="6">
        <f>Arrivals!L268</f>
        <v>75</v>
      </c>
      <c r="I268" s="6">
        <f>H268*8/ACE_Input!S28+ACE_Input!T28</f>
        <v>6.02</v>
      </c>
      <c r="J268" s="6">
        <f t="shared" si="88"/>
        <v>263.8703097048076</v>
      </c>
      <c r="K268" s="6">
        <f t="shared" si="80"/>
        <v>263.8703097048076</v>
      </c>
      <c r="L268" s="6">
        <f>MOD(K268-Settings!$B$32,Settings!$B$33)</f>
        <v>263.8703097048076</v>
      </c>
      <c r="M268" s="6">
        <f>IF(L268&lt;Settings!$B$30,IF(Settings!$B$30-L268&gt;=I268,K268,K268+(Settings!$B$30-L268)+Settings!$B$31),K268+(Settings!$B$33-L268))</f>
        <v>263.8703097048076</v>
      </c>
      <c r="N268" s="6">
        <f t="shared" si="81"/>
        <v>269.89030970480758</v>
      </c>
      <c r="O268" s="6">
        <f t="shared" si="82"/>
        <v>27.890309704807578</v>
      </c>
      <c r="P268" s="6">
        <f t="shared" si="83"/>
        <v>15.59035906713973</v>
      </c>
      <c r="Q268" s="6">
        <f t="shared" si="84"/>
        <v>2.5058082508287498</v>
      </c>
      <c r="R268" s="6">
        <f t="shared" si="85"/>
        <v>0</v>
      </c>
      <c r="S268" s="6">
        <f t="shared" si="86"/>
        <v>18.096167317968479</v>
      </c>
      <c r="T268" s="6" t="str">
        <f>IF(MOD(C268-Settings!$B$32,Settings!$B$33)&lt;Settings!$B$30,"Up","Down")</f>
        <v>Up</v>
      </c>
      <c r="U268" s="6">
        <f>IF(OR(I268&gt;Settings!$B$30,O268&gt;Settings!$B$37),0,1)</f>
        <v>1</v>
      </c>
      <c r="V268" s="6">
        <f>IF(AND(U268=1,O268&lt;=Settings!$B$36),1,0)</f>
        <v>1</v>
      </c>
    </row>
    <row r="269" spans="1:22" x14ac:dyDescent="0.2">
      <c r="A269">
        <f>Arrivals!A269</f>
        <v>3</v>
      </c>
      <c r="B269">
        <f>Arrivals!B269</f>
        <v>24</v>
      </c>
      <c r="C269" s="6">
        <f>Arrivals!F269</f>
        <v>247</v>
      </c>
      <c r="D269" s="6">
        <f>Arrivals!J269</f>
        <v>7.1671886548911576</v>
      </c>
      <c r="E269" s="6">
        <f t="shared" si="87"/>
        <v>261.36450145397885</v>
      </c>
      <c r="F269" s="6">
        <f t="shared" si="78"/>
        <v>261.36450145397885</v>
      </c>
      <c r="G269" s="6">
        <f t="shared" si="79"/>
        <v>268.53169010887001</v>
      </c>
      <c r="H269" s="6">
        <f>Arrivals!L269</f>
        <v>75</v>
      </c>
      <c r="I269" s="6">
        <f>H269*8/ACE_Input!S29+ACE_Input!T29</f>
        <v>6.02</v>
      </c>
      <c r="J269" s="6">
        <f t="shared" si="88"/>
        <v>269.89030970480758</v>
      </c>
      <c r="K269" s="6">
        <f t="shared" si="80"/>
        <v>269.89030970480758</v>
      </c>
      <c r="L269" s="6">
        <f>MOD(K269-Settings!$B$32,Settings!$B$33)</f>
        <v>269.89030970480758</v>
      </c>
      <c r="M269" s="6">
        <f>IF(L269&lt;Settings!$B$30,IF(Settings!$B$30-L269&gt;=I269,K269,K269+(Settings!$B$30-L269)+Settings!$B$31),K269+(Settings!$B$33-L269))</f>
        <v>269.89030970480758</v>
      </c>
      <c r="N269" s="6">
        <f t="shared" si="81"/>
        <v>275.91030970480756</v>
      </c>
      <c r="O269" s="6">
        <f t="shared" si="82"/>
        <v>28.91030970480756</v>
      </c>
      <c r="P269" s="6">
        <f t="shared" si="83"/>
        <v>14.364501453978846</v>
      </c>
      <c r="Q269" s="6">
        <f t="shared" si="84"/>
        <v>1.3586195959375686</v>
      </c>
      <c r="R269" s="6">
        <f t="shared" si="85"/>
        <v>0</v>
      </c>
      <c r="S269" s="6">
        <f t="shared" si="86"/>
        <v>15.723121049916415</v>
      </c>
      <c r="T269" s="6" t="str">
        <f>IF(MOD(C269-Settings!$B$32,Settings!$B$33)&lt;Settings!$B$30,"Up","Down")</f>
        <v>Up</v>
      </c>
      <c r="U269" s="6">
        <f>IF(OR(I269&gt;Settings!$B$30,O269&gt;Settings!$B$37),0,1)</f>
        <v>1</v>
      </c>
      <c r="V269" s="6">
        <f>IF(AND(U269=1,O269&lt;=Settings!$B$36),1,0)</f>
        <v>1</v>
      </c>
    </row>
    <row r="270" spans="1:22" x14ac:dyDescent="0.2">
      <c r="A270">
        <f>Arrivals!A270</f>
        <v>3</v>
      </c>
      <c r="B270">
        <f>Arrivals!B270</f>
        <v>25</v>
      </c>
      <c r="C270" s="6">
        <f>Arrivals!F270</f>
        <v>252</v>
      </c>
      <c r="D270" s="6">
        <f>Arrivals!J270</f>
        <v>24.2694013680109</v>
      </c>
      <c r="E270" s="6">
        <f t="shared" si="87"/>
        <v>268.53169010887001</v>
      </c>
      <c r="F270" s="6">
        <f t="shared" si="78"/>
        <v>268.53169010887001</v>
      </c>
      <c r="G270" s="6">
        <f t="shared" si="79"/>
        <v>292.80109147688091</v>
      </c>
      <c r="H270" s="6">
        <f>Arrivals!L270</f>
        <v>75</v>
      </c>
      <c r="I270" s="6">
        <f>H270*8/ACE_Input!S30+ACE_Input!T30</f>
        <v>6.02</v>
      </c>
      <c r="J270" s="6">
        <f t="shared" si="88"/>
        <v>275.91030970480756</v>
      </c>
      <c r="K270" s="6">
        <f t="shared" si="80"/>
        <v>292.80109147688091</v>
      </c>
      <c r="L270" s="6">
        <f>MOD(K270-Settings!$B$32,Settings!$B$33)</f>
        <v>292.80109147688091</v>
      </c>
      <c r="M270" s="6">
        <f>IF(L270&lt;Settings!$B$30,IF(Settings!$B$30-L270&gt;=I270,K270,K270+(Settings!$B$30-L270)+Settings!$B$31),K270+(Settings!$B$33-L270))</f>
        <v>292.80109147688091</v>
      </c>
      <c r="N270" s="6">
        <f t="shared" si="81"/>
        <v>298.82109147688089</v>
      </c>
      <c r="O270" s="6">
        <f t="shared" si="82"/>
        <v>46.821091476880895</v>
      </c>
      <c r="P270" s="6">
        <f t="shared" si="83"/>
        <v>16.531690108870009</v>
      </c>
      <c r="Q270" s="6">
        <f t="shared" si="84"/>
        <v>0</v>
      </c>
      <c r="R270" s="6">
        <f t="shared" si="85"/>
        <v>0</v>
      </c>
      <c r="S270" s="6">
        <f t="shared" si="86"/>
        <v>16.531690108870009</v>
      </c>
      <c r="T270" s="6" t="str">
        <f>IF(MOD(C270-Settings!$B$32,Settings!$B$33)&lt;Settings!$B$30,"Up","Down")</f>
        <v>Up</v>
      </c>
      <c r="U270" s="6">
        <f>IF(OR(I270&gt;Settings!$B$30,O270&gt;Settings!$B$37),0,1)</f>
        <v>1</v>
      </c>
      <c r="V270" s="6">
        <f>IF(AND(U270=1,O270&lt;=Settings!$B$36),1,0)</f>
        <v>1</v>
      </c>
    </row>
    <row r="271" spans="1:22" x14ac:dyDescent="0.2">
      <c r="A271">
        <f>Arrivals!A271</f>
        <v>3</v>
      </c>
      <c r="B271">
        <f>Arrivals!B271</f>
        <v>26</v>
      </c>
      <c r="C271" s="6">
        <f>Arrivals!F271</f>
        <v>257</v>
      </c>
      <c r="D271" s="6">
        <f>Arrivals!J271</f>
        <v>29.657724360392841</v>
      </c>
      <c r="E271" s="6">
        <f t="shared" si="87"/>
        <v>292.80109147688091</v>
      </c>
      <c r="F271" s="6">
        <f t="shared" si="78"/>
        <v>292.80109147688091</v>
      </c>
      <c r="G271" s="6">
        <f t="shared" si="79"/>
        <v>322.45881583727373</v>
      </c>
      <c r="H271" s="6">
        <f>Arrivals!L271</f>
        <v>75</v>
      </c>
      <c r="I271" s="6">
        <f>H271*8/ACE_Input!S31+ACE_Input!T31</f>
        <v>6.02</v>
      </c>
      <c r="J271" s="6">
        <f t="shared" si="88"/>
        <v>298.82109147688089</v>
      </c>
      <c r="K271" s="6">
        <f t="shared" si="80"/>
        <v>322.45881583727373</v>
      </c>
      <c r="L271" s="6">
        <f>MOD(K271-Settings!$B$32,Settings!$B$33)</f>
        <v>322.45881583727373</v>
      </c>
      <c r="M271" s="6">
        <f>IF(L271&lt;Settings!$B$30,IF(Settings!$B$30-L271&gt;=I271,K271,K271+(Settings!$B$30-L271)+Settings!$B$31),K271+(Settings!$B$33-L271))</f>
        <v>322.45881583727373</v>
      </c>
      <c r="N271" s="6">
        <f t="shared" si="81"/>
        <v>328.47881583727371</v>
      </c>
      <c r="O271" s="6">
        <f t="shared" si="82"/>
        <v>71.478815837273714</v>
      </c>
      <c r="P271" s="6">
        <f t="shared" si="83"/>
        <v>35.801091476880913</v>
      </c>
      <c r="Q271" s="6">
        <f t="shared" si="84"/>
        <v>0</v>
      </c>
      <c r="R271" s="6">
        <f t="shared" si="85"/>
        <v>0</v>
      </c>
      <c r="S271" s="6">
        <f t="shared" si="86"/>
        <v>35.801091476880913</v>
      </c>
      <c r="T271" s="6" t="str">
        <f>IF(MOD(C271-Settings!$B$32,Settings!$B$33)&lt;Settings!$B$30,"Up","Down")</f>
        <v>Up</v>
      </c>
      <c r="U271" s="6">
        <f>IF(OR(I271&gt;Settings!$B$30,O271&gt;Settings!$B$37),0,1)</f>
        <v>1</v>
      </c>
      <c r="V271" s="6">
        <f>IF(AND(U271=1,O271&lt;=Settings!$B$36),1,0)</f>
        <v>1</v>
      </c>
    </row>
    <row r="272" spans="1:22" x14ac:dyDescent="0.2">
      <c r="A272">
        <f>Arrivals!A272</f>
        <v>3</v>
      </c>
      <c r="B272">
        <f>Arrivals!B272</f>
        <v>27</v>
      </c>
      <c r="C272" s="6">
        <f>Arrivals!F272</f>
        <v>262</v>
      </c>
      <c r="D272" s="6">
        <f>Arrivals!J272</f>
        <v>7.8585896895426917</v>
      </c>
      <c r="E272" s="6">
        <f t="shared" si="87"/>
        <v>322.45881583727373</v>
      </c>
      <c r="F272" s="6">
        <f t="shared" si="78"/>
        <v>322.45881583727373</v>
      </c>
      <c r="G272" s="6">
        <f t="shared" si="79"/>
        <v>330.3174055268164</v>
      </c>
      <c r="H272" s="6">
        <f>Arrivals!L272</f>
        <v>75</v>
      </c>
      <c r="I272" s="6">
        <f>H272*8/ACE_Input!S32+ACE_Input!T32</f>
        <v>6.02</v>
      </c>
      <c r="J272" s="6">
        <f t="shared" si="88"/>
        <v>328.47881583727371</v>
      </c>
      <c r="K272" s="6">
        <f t="shared" si="80"/>
        <v>330.3174055268164</v>
      </c>
      <c r="L272" s="6">
        <f>MOD(K272-Settings!$B$32,Settings!$B$33)</f>
        <v>330.3174055268164</v>
      </c>
      <c r="M272" s="6">
        <f>IF(L272&lt;Settings!$B$30,IF(Settings!$B$30-L272&gt;=I272,K272,K272+(Settings!$B$30-L272)+Settings!$B$31),K272+(Settings!$B$33-L272))</f>
        <v>330.3174055268164</v>
      </c>
      <c r="N272" s="6">
        <f t="shared" si="81"/>
        <v>336.33740552681638</v>
      </c>
      <c r="O272" s="6">
        <f t="shared" si="82"/>
        <v>74.337405526816383</v>
      </c>
      <c r="P272" s="6">
        <f t="shared" si="83"/>
        <v>60.458815837273733</v>
      </c>
      <c r="Q272" s="6">
        <f t="shared" si="84"/>
        <v>0</v>
      </c>
      <c r="R272" s="6">
        <f t="shared" si="85"/>
        <v>0</v>
      </c>
      <c r="S272" s="6">
        <f t="shared" si="86"/>
        <v>60.458815837273733</v>
      </c>
      <c r="T272" s="6" t="str">
        <f>IF(MOD(C272-Settings!$B$32,Settings!$B$33)&lt;Settings!$B$30,"Up","Down")</f>
        <v>Up</v>
      </c>
      <c r="U272" s="6">
        <f>IF(OR(I272&gt;Settings!$B$30,O272&gt;Settings!$B$37),0,1)</f>
        <v>1</v>
      </c>
      <c r="V272" s="6">
        <f>IF(AND(U272=1,O272&lt;=Settings!$B$36),1,0)</f>
        <v>1</v>
      </c>
    </row>
    <row r="273" spans="1:22" x14ac:dyDescent="0.2">
      <c r="A273">
        <f>Arrivals!A273</f>
        <v>3</v>
      </c>
      <c r="B273">
        <f>Arrivals!B273</f>
        <v>28</v>
      </c>
      <c r="C273" s="6">
        <f>Arrivals!F273</f>
        <v>268</v>
      </c>
      <c r="D273" s="6">
        <f>Arrivals!J273</f>
        <v>14.902674418154579</v>
      </c>
      <c r="E273" s="6">
        <f t="shared" si="87"/>
        <v>330.3174055268164</v>
      </c>
      <c r="F273" s="6">
        <f t="shared" si="78"/>
        <v>330.3174055268164</v>
      </c>
      <c r="G273" s="6">
        <f t="shared" si="79"/>
        <v>345.22007994497096</v>
      </c>
      <c r="H273" s="6">
        <f>Arrivals!L273</f>
        <v>75</v>
      </c>
      <c r="I273" s="6">
        <f>H273*8/ACE_Input!S33+ACE_Input!T33</f>
        <v>6.02</v>
      </c>
      <c r="J273" s="6">
        <f t="shared" si="88"/>
        <v>336.33740552681638</v>
      </c>
      <c r="K273" s="6">
        <f t="shared" si="80"/>
        <v>345.22007994497096</v>
      </c>
      <c r="L273" s="6">
        <f>MOD(K273-Settings!$B$32,Settings!$B$33)</f>
        <v>345.22007994497096</v>
      </c>
      <c r="M273" s="6">
        <f>IF(L273&lt;Settings!$B$30,IF(Settings!$B$30-L273&gt;=I273,K273,K273+(Settings!$B$30-L273)+Settings!$B$31),K273+(Settings!$B$33-L273))</f>
        <v>345.22007994497096</v>
      </c>
      <c r="N273" s="6">
        <f t="shared" si="81"/>
        <v>351.24007994497094</v>
      </c>
      <c r="O273" s="6">
        <f t="shared" si="82"/>
        <v>83.240079944970944</v>
      </c>
      <c r="P273" s="6">
        <f t="shared" si="83"/>
        <v>62.317405526816401</v>
      </c>
      <c r="Q273" s="6">
        <f t="shared" si="84"/>
        <v>0</v>
      </c>
      <c r="R273" s="6">
        <f t="shared" si="85"/>
        <v>0</v>
      </c>
      <c r="S273" s="6">
        <f t="shared" si="86"/>
        <v>62.317405526816401</v>
      </c>
      <c r="T273" s="6" t="str">
        <f>IF(MOD(C273-Settings!$B$32,Settings!$B$33)&lt;Settings!$B$30,"Up","Down")</f>
        <v>Up</v>
      </c>
      <c r="U273" s="6">
        <f>IF(OR(I273&gt;Settings!$B$30,O273&gt;Settings!$B$37),0,1)</f>
        <v>1</v>
      </c>
      <c r="V273" s="6">
        <f>IF(AND(U273=1,O273&lt;=Settings!$B$36),1,0)</f>
        <v>1</v>
      </c>
    </row>
    <row r="274" spans="1:22" x14ac:dyDescent="0.2">
      <c r="A274">
        <f>Arrivals!A274</f>
        <v>3</v>
      </c>
      <c r="B274">
        <f>Arrivals!B274</f>
        <v>29</v>
      </c>
      <c r="C274" s="6">
        <f>Arrivals!F274</f>
        <v>273</v>
      </c>
      <c r="D274" s="6">
        <f>Arrivals!J274</f>
        <v>8.3385668616450435</v>
      </c>
      <c r="E274" s="6">
        <f t="shared" si="87"/>
        <v>345.22007994497096</v>
      </c>
      <c r="F274" s="6">
        <f t="shared" si="78"/>
        <v>345.22007994497096</v>
      </c>
      <c r="G274" s="6">
        <f t="shared" si="79"/>
        <v>353.55864680661603</v>
      </c>
      <c r="H274" s="6">
        <f>Arrivals!L274</f>
        <v>75</v>
      </c>
      <c r="I274" s="6">
        <f>H274*8/ACE_Input!S34+ACE_Input!T34</f>
        <v>6.02</v>
      </c>
      <c r="J274" s="6">
        <f t="shared" si="88"/>
        <v>351.24007994497094</v>
      </c>
      <c r="K274" s="6">
        <f t="shared" si="80"/>
        <v>353.55864680661603</v>
      </c>
      <c r="L274" s="6">
        <f>MOD(K274-Settings!$B$32,Settings!$B$33)</f>
        <v>353.55864680661603</v>
      </c>
      <c r="M274" s="6">
        <f>IF(L274&lt;Settings!$B$30,IF(Settings!$B$30-L274&gt;=I274,K274,K274+(Settings!$B$30-L274)+Settings!$B$31),K274+(Settings!$B$33-L274))</f>
        <v>353.55864680661603</v>
      </c>
      <c r="N274" s="6">
        <f t="shared" si="81"/>
        <v>359.57864680661601</v>
      </c>
      <c r="O274" s="6">
        <f t="shared" si="82"/>
        <v>86.578646806616007</v>
      </c>
      <c r="P274" s="6">
        <f t="shared" si="83"/>
        <v>72.220079944970962</v>
      </c>
      <c r="Q274" s="6">
        <f t="shared" si="84"/>
        <v>0</v>
      </c>
      <c r="R274" s="6">
        <f t="shared" si="85"/>
        <v>0</v>
      </c>
      <c r="S274" s="6">
        <f t="shared" si="86"/>
        <v>72.220079944970962</v>
      </c>
      <c r="T274" s="6" t="str">
        <f>IF(MOD(C274-Settings!$B$32,Settings!$B$33)&lt;Settings!$B$30,"Up","Down")</f>
        <v>Up</v>
      </c>
      <c r="U274" s="6">
        <f>IF(OR(I274&gt;Settings!$B$30,O274&gt;Settings!$B$37),0,1)</f>
        <v>1</v>
      </c>
      <c r="V274" s="6">
        <f>IF(AND(U274=1,O274&lt;=Settings!$B$36),1,0)</f>
        <v>1</v>
      </c>
    </row>
    <row r="275" spans="1:22" x14ac:dyDescent="0.2">
      <c r="A275">
        <f>Arrivals!A275</f>
        <v>3</v>
      </c>
      <c r="B275">
        <f>Arrivals!B275</f>
        <v>30</v>
      </c>
      <c r="C275" s="6">
        <f>Arrivals!F275</f>
        <v>278</v>
      </c>
      <c r="D275" s="6">
        <f>Arrivals!J275</f>
        <v>0.66533868736532287</v>
      </c>
      <c r="E275" s="6">
        <f t="shared" si="87"/>
        <v>353.55864680661603</v>
      </c>
      <c r="F275" s="6">
        <f t="shared" si="78"/>
        <v>353.55864680661603</v>
      </c>
      <c r="G275" s="6">
        <f t="shared" si="79"/>
        <v>354.22398549398133</v>
      </c>
      <c r="H275" s="6">
        <f>Arrivals!L275</f>
        <v>75</v>
      </c>
      <c r="I275" s="6">
        <f>H275*8/ACE_Input!S35+ACE_Input!T35</f>
        <v>6.02</v>
      </c>
      <c r="J275" s="6">
        <f t="shared" si="88"/>
        <v>359.57864680661601</v>
      </c>
      <c r="K275" s="6">
        <f t="shared" si="80"/>
        <v>359.57864680661601</v>
      </c>
      <c r="L275" s="6">
        <f>MOD(K275-Settings!$B$32,Settings!$B$33)</f>
        <v>359.57864680661601</v>
      </c>
      <c r="M275" s="6">
        <f>IF(L275&lt;Settings!$B$30,IF(Settings!$B$30-L275&gt;=I275,K275,K275+(Settings!$B$30-L275)+Settings!$B$31),K275+(Settings!$B$33-L275))</f>
        <v>359.57864680661601</v>
      </c>
      <c r="N275" s="6">
        <f t="shared" si="81"/>
        <v>365.59864680661599</v>
      </c>
      <c r="O275" s="6">
        <f t="shared" si="82"/>
        <v>87.598646806615989</v>
      </c>
      <c r="P275" s="6">
        <f t="shared" si="83"/>
        <v>75.558646806616025</v>
      </c>
      <c r="Q275" s="6">
        <f t="shared" si="84"/>
        <v>5.3546613126346756</v>
      </c>
      <c r="R275" s="6">
        <f t="shared" si="85"/>
        <v>0</v>
      </c>
      <c r="S275" s="6">
        <f t="shared" si="86"/>
        <v>80.913308119250701</v>
      </c>
      <c r="T275" s="6" t="str">
        <f>IF(MOD(C275-Settings!$B$32,Settings!$B$33)&lt;Settings!$B$30,"Up","Down")</f>
        <v>Up</v>
      </c>
      <c r="U275" s="6">
        <f>IF(OR(I275&gt;Settings!$B$30,O275&gt;Settings!$B$37),0,1)</f>
        <v>1</v>
      </c>
      <c r="V275" s="6">
        <f>IF(AND(U275=1,O275&lt;=Settings!$B$36),1,0)</f>
        <v>1</v>
      </c>
    </row>
    <row r="276" spans="1:22" x14ac:dyDescent="0.2">
      <c r="A276">
        <f>Arrivals!A276</f>
        <v>3</v>
      </c>
      <c r="B276">
        <f>Arrivals!B276</f>
        <v>31</v>
      </c>
      <c r="C276" s="6">
        <f>Arrivals!F276</f>
        <v>283</v>
      </c>
      <c r="D276" s="6">
        <f>Arrivals!J276</f>
        <v>8.3099807480439818</v>
      </c>
      <c r="E276" s="6">
        <f t="shared" si="87"/>
        <v>354.22398549398133</v>
      </c>
      <c r="F276" s="6">
        <f t="shared" si="78"/>
        <v>354.22398549398133</v>
      </c>
      <c r="G276" s="6">
        <f t="shared" si="79"/>
        <v>362.53396624202531</v>
      </c>
      <c r="H276" s="6">
        <f>Arrivals!L276</f>
        <v>75</v>
      </c>
      <c r="I276" s="6">
        <f>H276*8/ACE_Input!S36+ACE_Input!T36</f>
        <v>6.02</v>
      </c>
      <c r="J276" s="6">
        <f t="shared" si="88"/>
        <v>365.59864680661599</v>
      </c>
      <c r="K276" s="6">
        <f t="shared" si="80"/>
        <v>365.59864680661599</v>
      </c>
      <c r="L276" s="6">
        <f>MOD(K276-Settings!$B$32,Settings!$B$33)</f>
        <v>365.59864680661599</v>
      </c>
      <c r="M276" s="6">
        <f>IF(L276&lt;Settings!$B$30,IF(Settings!$B$30-L276&gt;=I276,K276,K276+(Settings!$B$30-L276)+Settings!$B$31),K276+(Settings!$B$33-L276))</f>
        <v>365.59864680661599</v>
      </c>
      <c r="N276" s="6">
        <f t="shared" si="81"/>
        <v>371.61864680661597</v>
      </c>
      <c r="O276" s="6">
        <f t="shared" si="82"/>
        <v>88.61864680661597</v>
      </c>
      <c r="P276" s="6">
        <f t="shared" si="83"/>
        <v>71.223985493981331</v>
      </c>
      <c r="Q276" s="6">
        <f t="shared" si="84"/>
        <v>3.0646805645906738</v>
      </c>
      <c r="R276" s="6">
        <f t="shared" si="85"/>
        <v>0</v>
      </c>
      <c r="S276" s="6">
        <f t="shared" si="86"/>
        <v>74.288666058572005</v>
      </c>
      <c r="T276" s="6" t="str">
        <f>IF(MOD(C276-Settings!$B$32,Settings!$B$33)&lt;Settings!$B$30,"Up","Down")</f>
        <v>Up</v>
      </c>
      <c r="U276" s="6">
        <f>IF(OR(I276&gt;Settings!$B$30,O276&gt;Settings!$B$37),0,1)</f>
        <v>1</v>
      </c>
      <c r="V276" s="6">
        <f>IF(AND(U276=1,O276&lt;=Settings!$B$36),1,0)</f>
        <v>1</v>
      </c>
    </row>
    <row r="277" spans="1:22" x14ac:dyDescent="0.2">
      <c r="A277">
        <f>Arrivals!A277</f>
        <v>3</v>
      </c>
      <c r="B277">
        <f>Arrivals!B277</f>
        <v>32</v>
      </c>
      <c r="C277" s="6">
        <f>Arrivals!F277</f>
        <v>288</v>
      </c>
      <c r="D277" s="6">
        <f>Arrivals!J277</f>
        <v>0.56720248447658794</v>
      </c>
      <c r="E277" s="6">
        <f t="shared" si="87"/>
        <v>362.53396624202531</v>
      </c>
      <c r="F277" s="6">
        <f t="shared" si="78"/>
        <v>362.53396624202531</v>
      </c>
      <c r="G277" s="6">
        <f t="shared" si="79"/>
        <v>363.1011687265019</v>
      </c>
      <c r="H277" s="6">
        <f>Arrivals!L277</f>
        <v>75</v>
      </c>
      <c r="I277" s="6">
        <f>H277*8/ACE_Input!S37+ACE_Input!T37</f>
        <v>6.02</v>
      </c>
      <c r="J277" s="6">
        <f t="shared" si="88"/>
        <v>371.61864680661597</v>
      </c>
      <c r="K277" s="6">
        <f t="shared" si="80"/>
        <v>371.61864680661597</v>
      </c>
      <c r="L277" s="6">
        <f>MOD(K277-Settings!$B$32,Settings!$B$33)</f>
        <v>371.61864680661597</v>
      </c>
      <c r="M277" s="6">
        <f>IF(L277&lt;Settings!$B$30,IF(Settings!$B$30-L277&gt;=I277,K277,K277+(Settings!$B$30-L277)+Settings!$B$31),K277+(Settings!$B$33-L277))</f>
        <v>371.61864680661597</v>
      </c>
      <c r="N277" s="6">
        <f t="shared" si="81"/>
        <v>377.63864680661595</v>
      </c>
      <c r="O277" s="6">
        <f t="shared" si="82"/>
        <v>89.638646806615952</v>
      </c>
      <c r="P277" s="6">
        <f t="shared" si="83"/>
        <v>74.533966242025315</v>
      </c>
      <c r="Q277" s="6">
        <f t="shared" si="84"/>
        <v>8.5174780801140741</v>
      </c>
      <c r="R277" s="6">
        <f t="shared" si="85"/>
        <v>0</v>
      </c>
      <c r="S277" s="6">
        <f t="shared" si="86"/>
        <v>83.051444322139389</v>
      </c>
      <c r="T277" s="6" t="str">
        <f>IF(MOD(C277-Settings!$B$32,Settings!$B$33)&lt;Settings!$B$30,"Up","Down")</f>
        <v>Up</v>
      </c>
      <c r="U277" s="6">
        <f>IF(OR(I277&gt;Settings!$B$30,O277&gt;Settings!$B$37),0,1)</f>
        <v>1</v>
      </c>
      <c r="V277" s="6">
        <f>IF(AND(U277=1,O277&lt;=Settings!$B$36),1,0)</f>
        <v>1</v>
      </c>
    </row>
    <row r="278" spans="1:22" x14ac:dyDescent="0.2">
      <c r="A278">
        <f>Arrivals!A278</f>
        <v>3</v>
      </c>
      <c r="B278">
        <f>Arrivals!B278</f>
        <v>33</v>
      </c>
      <c r="C278" s="6">
        <f>Arrivals!F278</f>
        <v>293</v>
      </c>
      <c r="D278" s="6">
        <f>Arrivals!J278</f>
        <v>32.250181652825248</v>
      </c>
      <c r="E278" s="6">
        <f t="shared" si="87"/>
        <v>363.1011687265019</v>
      </c>
      <c r="F278" s="6">
        <f t="shared" ref="F278:F309" si="89">MAX(C278,E278)</f>
        <v>363.1011687265019</v>
      </c>
      <c r="G278" s="6">
        <f t="shared" ref="G278:G309" si="90">F278+D278</f>
        <v>395.35135037932713</v>
      </c>
      <c r="H278" s="6">
        <f>Arrivals!L278</f>
        <v>75</v>
      </c>
      <c r="I278" s="6">
        <f>H278*8/ACE_Input!S38+ACE_Input!T38</f>
        <v>6.02</v>
      </c>
      <c r="J278" s="6">
        <f t="shared" si="88"/>
        <v>377.63864680661595</v>
      </c>
      <c r="K278" s="6">
        <f t="shared" ref="K278:K309" si="91">MAX(G278,J278)</f>
        <v>395.35135037932713</v>
      </c>
      <c r="L278" s="6">
        <f>MOD(K278-Settings!$B$32,Settings!$B$33)</f>
        <v>395.35135037932713</v>
      </c>
      <c r="M278" s="6">
        <f>IF(L278&lt;Settings!$B$30,IF(Settings!$B$30-L278&gt;=I278,K278,K278+(Settings!$B$30-L278)+Settings!$B$31),K278+(Settings!$B$33-L278))</f>
        <v>395.35135037932713</v>
      </c>
      <c r="N278" s="6">
        <f t="shared" ref="N278:N309" si="92">M278+I278</f>
        <v>401.37135037932711</v>
      </c>
      <c r="O278" s="6">
        <f t="shared" ref="O278:O309" si="93">N278-C278</f>
        <v>108.37135037932711</v>
      </c>
      <c r="P278" s="6">
        <f t="shared" ref="P278:P309" si="94">F278-C278</f>
        <v>70.101168726501896</v>
      </c>
      <c r="Q278" s="6">
        <f t="shared" ref="Q278:Q309" si="95">K278-G278</f>
        <v>0</v>
      </c>
      <c r="R278" s="6">
        <f t="shared" ref="R278:R309" si="96">M278-K278</f>
        <v>0</v>
      </c>
      <c r="S278" s="6">
        <f t="shared" ref="S278:S309" si="97">P278+Q278+R278</f>
        <v>70.101168726501896</v>
      </c>
      <c r="T278" s="6" t="str">
        <f>IF(MOD(C278-Settings!$B$32,Settings!$B$33)&lt;Settings!$B$30,"Up","Down")</f>
        <v>Up</v>
      </c>
      <c r="U278" s="6">
        <f>IF(OR(I278&gt;Settings!$B$30,O278&gt;Settings!$B$37),0,1)</f>
        <v>1</v>
      </c>
      <c r="V278" s="6">
        <f>IF(AND(U278=1,O278&lt;=Settings!$B$36),1,0)</f>
        <v>1</v>
      </c>
    </row>
    <row r="279" spans="1:22" x14ac:dyDescent="0.2">
      <c r="A279">
        <f>Arrivals!A279</f>
        <v>3</v>
      </c>
      <c r="B279">
        <f>Arrivals!B279</f>
        <v>34</v>
      </c>
      <c r="C279" s="6">
        <f>Arrivals!F279</f>
        <v>298</v>
      </c>
      <c r="D279" s="6">
        <f>Arrivals!J279</f>
        <v>4.0527203027946381</v>
      </c>
      <c r="E279" s="6">
        <f t="shared" ref="E279:E310" si="98">G278</f>
        <v>395.35135037932713</v>
      </c>
      <c r="F279" s="6">
        <f t="shared" si="89"/>
        <v>395.35135037932713</v>
      </c>
      <c r="G279" s="6">
        <f t="shared" si="90"/>
        <v>399.40407068212176</v>
      </c>
      <c r="H279" s="6">
        <f>Arrivals!L279</f>
        <v>75</v>
      </c>
      <c r="I279" s="6">
        <f>H279*8/ACE_Input!S39+ACE_Input!T39</f>
        <v>6.02</v>
      </c>
      <c r="J279" s="6">
        <f t="shared" ref="J279:J310" si="99">N278</f>
        <v>401.37135037932711</v>
      </c>
      <c r="K279" s="6">
        <f t="shared" si="91"/>
        <v>401.37135037932711</v>
      </c>
      <c r="L279" s="6">
        <f>MOD(K279-Settings!$B$32,Settings!$B$33)</f>
        <v>401.37135037932711</v>
      </c>
      <c r="M279" s="6">
        <f>IF(L279&lt;Settings!$B$30,IF(Settings!$B$30-L279&gt;=I279,K279,K279+(Settings!$B$30-L279)+Settings!$B$31),K279+(Settings!$B$33-L279))</f>
        <v>401.37135037932711</v>
      </c>
      <c r="N279" s="6">
        <f t="shared" si="92"/>
        <v>407.39135037932709</v>
      </c>
      <c r="O279" s="6">
        <f t="shared" si="93"/>
        <v>109.39135037932709</v>
      </c>
      <c r="P279" s="6">
        <f t="shared" si="94"/>
        <v>97.35135037932713</v>
      </c>
      <c r="Q279" s="6">
        <f t="shared" si="95"/>
        <v>1.9672796972053561</v>
      </c>
      <c r="R279" s="6">
        <f t="shared" si="96"/>
        <v>0</v>
      </c>
      <c r="S279" s="6">
        <f t="shared" si="97"/>
        <v>99.318630076532486</v>
      </c>
      <c r="T279" s="6" t="str">
        <f>IF(MOD(C279-Settings!$B$32,Settings!$B$33)&lt;Settings!$B$30,"Up","Down")</f>
        <v>Up</v>
      </c>
      <c r="U279" s="6">
        <f>IF(OR(I279&gt;Settings!$B$30,O279&gt;Settings!$B$37),0,1)</f>
        <v>1</v>
      </c>
      <c r="V279" s="6">
        <f>IF(AND(U279=1,O279&lt;=Settings!$B$36),1,0)</f>
        <v>1</v>
      </c>
    </row>
    <row r="280" spans="1:22" x14ac:dyDescent="0.2">
      <c r="A280">
        <f>Arrivals!A280</f>
        <v>3</v>
      </c>
      <c r="B280">
        <f>Arrivals!B280</f>
        <v>35</v>
      </c>
      <c r="C280" s="6">
        <f>Arrivals!F280</f>
        <v>303</v>
      </c>
      <c r="D280" s="6">
        <f>Arrivals!J280</f>
        <v>0.6192297815263772</v>
      </c>
      <c r="E280" s="6">
        <f t="shared" si="98"/>
        <v>399.40407068212176</v>
      </c>
      <c r="F280" s="6">
        <f t="shared" si="89"/>
        <v>399.40407068212176</v>
      </c>
      <c r="G280" s="6">
        <f t="shared" si="90"/>
        <v>400.02330046364813</v>
      </c>
      <c r="H280" s="6">
        <f>Arrivals!L280</f>
        <v>75</v>
      </c>
      <c r="I280" s="6">
        <f>H280*8/ACE_Input!S40+ACE_Input!T40</f>
        <v>6.02</v>
      </c>
      <c r="J280" s="6">
        <f t="shared" si="99"/>
        <v>407.39135037932709</v>
      </c>
      <c r="K280" s="6">
        <f t="shared" si="91"/>
        <v>407.39135037932709</v>
      </c>
      <c r="L280" s="6">
        <f>MOD(K280-Settings!$B$32,Settings!$B$33)</f>
        <v>407.39135037932709</v>
      </c>
      <c r="M280" s="6">
        <f>IF(L280&lt;Settings!$B$30,IF(Settings!$B$30-L280&gt;=I280,K280,K280+(Settings!$B$30-L280)+Settings!$B$31),K280+(Settings!$B$33-L280))</f>
        <v>407.39135037932709</v>
      </c>
      <c r="N280" s="6">
        <f t="shared" si="92"/>
        <v>413.41135037932708</v>
      </c>
      <c r="O280" s="6">
        <f t="shared" si="93"/>
        <v>110.41135037932708</v>
      </c>
      <c r="P280" s="6">
        <f t="shared" si="94"/>
        <v>96.404070682121755</v>
      </c>
      <c r="Q280" s="6">
        <f t="shared" si="95"/>
        <v>7.3680499156789665</v>
      </c>
      <c r="R280" s="6">
        <f t="shared" si="96"/>
        <v>0</v>
      </c>
      <c r="S280" s="6">
        <f t="shared" si="97"/>
        <v>103.77212059780072</v>
      </c>
      <c r="T280" s="6" t="str">
        <f>IF(MOD(C280-Settings!$B$32,Settings!$B$33)&lt;Settings!$B$30,"Up","Down")</f>
        <v>Up</v>
      </c>
      <c r="U280" s="6">
        <f>IF(OR(I280&gt;Settings!$B$30,O280&gt;Settings!$B$37),0,1)</f>
        <v>1</v>
      </c>
      <c r="V280" s="6">
        <f>IF(AND(U280=1,O280&lt;=Settings!$B$36),1,0)</f>
        <v>1</v>
      </c>
    </row>
    <row r="281" spans="1:22" x14ac:dyDescent="0.2">
      <c r="A281">
        <f>Arrivals!A281</f>
        <v>3</v>
      </c>
      <c r="B281">
        <f>Arrivals!B281</f>
        <v>36</v>
      </c>
      <c r="C281" s="6">
        <f>Arrivals!F281</f>
        <v>308</v>
      </c>
      <c r="D281" s="6">
        <f>Arrivals!J281</f>
        <v>4.0411905388818621</v>
      </c>
      <c r="E281" s="6">
        <f t="shared" si="98"/>
        <v>400.02330046364813</v>
      </c>
      <c r="F281" s="6">
        <f t="shared" si="89"/>
        <v>400.02330046364813</v>
      </c>
      <c r="G281" s="6">
        <f t="shared" si="90"/>
        <v>404.06449100252996</v>
      </c>
      <c r="H281" s="6">
        <f>Arrivals!L281</f>
        <v>75</v>
      </c>
      <c r="I281" s="6">
        <f>H281*8/ACE_Input!S41+ACE_Input!T41</f>
        <v>6.02</v>
      </c>
      <c r="J281" s="6">
        <f t="shared" si="99"/>
        <v>413.41135037932708</v>
      </c>
      <c r="K281" s="6">
        <f t="shared" si="91"/>
        <v>413.41135037932708</v>
      </c>
      <c r="L281" s="6">
        <f>MOD(K281-Settings!$B$32,Settings!$B$33)</f>
        <v>413.41135037932708</v>
      </c>
      <c r="M281" s="6">
        <f>IF(L281&lt;Settings!$B$30,IF(Settings!$B$30-L281&gt;=I281,K281,K281+(Settings!$B$30-L281)+Settings!$B$31),K281+(Settings!$B$33-L281))</f>
        <v>413.41135037932708</v>
      </c>
      <c r="N281" s="6">
        <f t="shared" si="92"/>
        <v>419.43135037932706</v>
      </c>
      <c r="O281" s="6">
        <f t="shared" si="93"/>
        <v>111.43135037932706</v>
      </c>
      <c r="P281" s="6">
        <f t="shared" si="94"/>
        <v>92.023300463648127</v>
      </c>
      <c r="Q281" s="6">
        <f t="shared" si="95"/>
        <v>9.3468593767971129</v>
      </c>
      <c r="R281" s="6">
        <f t="shared" si="96"/>
        <v>0</v>
      </c>
      <c r="S281" s="6">
        <f t="shared" si="97"/>
        <v>101.37015984044524</v>
      </c>
      <c r="T281" s="6" t="str">
        <f>IF(MOD(C281-Settings!$B$32,Settings!$B$33)&lt;Settings!$B$30,"Up","Down")</f>
        <v>Up</v>
      </c>
      <c r="U281" s="6">
        <f>IF(OR(I281&gt;Settings!$B$30,O281&gt;Settings!$B$37),0,1)</f>
        <v>1</v>
      </c>
      <c r="V281" s="6">
        <f>IF(AND(U281=1,O281&lt;=Settings!$B$36),1,0)</f>
        <v>1</v>
      </c>
    </row>
    <row r="282" spans="1:22" x14ac:dyDescent="0.2">
      <c r="A282">
        <f>Arrivals!A282</f>
        <v>3</v>
      </c>
      <c r="B282">
        <f>Arrivals!B282</f>
        <v>37</v>
      </c>
      <c r="C282" s="6">
        <f>Arrivals!F282</f>
        <v>313</v>
      </c>
      <c r="D282" s="6">
        <f>Arrivals!J282</f>
        <v>8.9244498313152594</v>
      </c>
      <c r="E282" s="6">
        <f t="shared" si="98"/>
        <v>404.06449100252996</v>
      </c>
      <c r="F282" s="6">
        <f t="shared" si="89"/>
        <v>404.06449100252996</v>
      </c>
      <c r="G282" s="6">
        <f t="shared" si="90"/>
        <v>412.98894083384522</v>
      </c>
      <c r="H282" s="6">
        <f>Arrivals!L282</f>
        <v>75</v>
      </c>
      <c r="I282" s="6">
        <f>H282*8/ACE_Input!S42+ACE_Input!T42</f>
        <v>6.02</v>
      </c>
      <c r="J282" s="6">
        <f t="shared" si="99"/>
        <v>419.43135037932706</v>
      </c>
      <c r="K282" s="6">
        <f t="shared" si="91"/>
        <v>419.43135037932706</v>
      </c>
      <c r="L282" s="6">
        <f>MOD(K282-Settings!$B$32,Settings!$B$33)</f>
        <v>419.43135037932706</v>
      </c>
      <c r="M282" s="6">
        <f>IF(L282&lt;Settings!$B$30,IF(Settings!$B$30-L282&gt;=I282,K282,K282+(Settings!$B$30-L282)+Settings!$B$31),K282+(Settings!$B$33-L282))</f>
        <v>419.43135037932706</v>
      </c>
      <c r="N282" s="6">
        <f t="shared" si="92"/>
        <v>425.45135037932704</v>
      </c>
      <c r="O282" s="6">
        <f t="shared" si="93"/>
        <v>112.45135037932704</v>
      </c>
      <c r="P282" s="6">
        <f t="shared" si="94"/>
        <v>91.064491002529962</v>
      </c>
      <c r="Q282" s="6">
        <f t="shared" si="95"/>
        <v>6.4424095454818371</v>
      </c>
      <c r="R282" s="6">
        <f t="shared" si="96"/>
        <v>0</v>
      </c>
      <c r="S282" s="6">
        <f t="shared" si="97"/>
        <v>97.506900548011799</v>
      </c>
      <c r="T282" s="6" t="str">
        <f>IF(MOD(C282-Settings!$B$32,Settings!$B$33)&lt;Settings!$B$30,"Up","Down")</f>
        <v>Up</v>
      </c>
      <c r="U282" s="6">
        <f>IF(OR(I282&gt;Settings!$B$30,O282&gt;Settings!$B$37),0,1)</f>
        <v>1</v>
      </c>
      <c r="V282" s="6">
        <f>IF(AND(U282=1,O282&lt;=Settings!$B$36),1,0)</f>
        <v>1</v>
      </c>
    </row>
    <row r="283" spans="1:22" x14ac:dyDescent="0.2">
      <c r="A283">
        <f>Arrivals!A283</f>
        <v>3</v>
      </c>
      <c r="B283">
        <f>Arrivals!B283</f>
        <v>38</v>
      </c>
      <c r="C283" s="6">
        <f>Arrivals!F283</f>
        <v>318</v>
      </c>
      <c r="D283" s="6">
        <f>Arrivals!J283</f>
        <v>18.989741979131374</v>
      </c>
      <c r="E283" s="6">
        <f t="shared" si="98"/>
        <v>412.98894083384522</v>
      </c>
      <c r="F283" s="6">
        <f t="shared" si="89"/>
        <v>412.98894083384522</v>
      </c>
      <c r="G283" s="6">
        <f t="shared" si="90"/>
        <v>431.97868281297661</v>
      </c>
      <c r="H283" s="6">
        <f>Arrivals!L283</f>
        <v>75</v>
      </c>
      <c r="I283" s="6">
        <f>H283*8/ACE_Input!S43+ACE_Input!T43</f>
        <v>6.02</v>
      </c>
      <c r="J283" s="6">
        <f t="shared" si="99"/>
        <v>425.45135037932704</v>
      </c>
      <c r="K283" s="6">
        <f t="shared" si="91"/>
        <v>431.97868281297661</v>
      </c>
      <c r="L283" s="6">
        <f>MOD(K283-Settings!$B$32,Settings!$B$33)</f>
        <v>431.97868281297661</v>
      </c>
      <c r="M283" s="6">
        <f>IF(L283&lt;Settings!$B$30,IF(Settings!$B$30-L283&gt;=I283,K283,K283+(Settings!$B$30-L283)+Settings!$B$31),K283+(Settings!$B$33-L283))</f>
        <v>431.97868281297661</v>
      </c>
      <c r="N283" s="6">
        <f t="shared" si="92"/>
        <v>437.9986828129766</v>
      </c>
      <c r="O283" s="6">
        <f t="shared" si="93"/>
        <v>119.9986828129766</v>
      </c>
      <c r="P283" s="6">
        <f t="shared" si="94"/>
        <v>94.98894083384522</v>
      </c>
      <c r="Q283" s="6">
        <f t="shared" si="95"/>
        <v>0</v>
      </c>
      <c r="R283" s="6">
        <f t="shared" si="96"/>
        <v>0</v>
      </c>
      <c r="S283" s="6">
        <f t="shared" si="97"/>
        <v>94.98894083384522</v>
      </c>
      <c r="T283" s="6" t="str">
        <f>IF(MOD(C283-Settings!$B$32,Settings!$B$33)&lt;Settings!$B$30,"Up","Down")</f>
        <v>Up</v>
      </c>
      <c r="U283" s="6">
        <f>IF(OR(I283&gt;Settings!$B$30,O283&gt;Settings!$B$37),0,1)</f>
        <v>1</v>
      </c>
      <c r="V283" s="6">
        <f>IF(AND(U283=1,O283&lt;=Settings!$B$36),1,0)</f>
        <v>1</v>
      </c>
    </row>
    <row r="284" spans="1:22" x14ac:dyDescent="0.2">
      <c r="A284">
        <f>Arrivals!A284</f>
        <v>3</v>
      </c>
      <c r="B284">
        <f>Arrivals!B284</f>
        <v>39</v>
      </c>
      <c r="C284" s="6">
        <f>Arrivals!F284</f>
        <v>323</v>
      </c>
      <c r="D284" s="6">
        <f>Arrivals!J284</f>
        <v>16.446176742704026</v>
      </c>
      <c r="E284" s="6">
        <f t="shared" si="98"/>
        <v>431.97868281297661</v>
      </c>
      <c r="F284" s="6">
        <f t="shared" si="89"/>
        <v>431.97868281297661</v>
      </c>
      <c r="G284" s="6">
        <f t="shared" si="90"/>
        <v>448.42485955568065</v>
      </c>
      <c r="H284" s="6">
        <f>Arrivals!L284</f>
        <v>75</v>
      </c>
      <c r="I284" s="6">
        <f>H284*8/ACE_Input!S44+ACE_Input!T44</f>
        <v>6.02</v>
      </c>
      <c r="J284" s="6">
        <f t="shared" si="99"/>
        <v>437.9986828129766</v>
      </c>
      <c r="K284" s="6">
        <f t="shared" si="91"/>
        <v>448.42485955568065</v>
      </c>
      <c r="L284" s="6">
        <f>MOD(K284-Settings!$B$32,Settings!$B$33)</f>
        <v>448.42485955568065</v>
      </c>
      <c r="M284" s="6">
        <f>IF(L284&lt;Settings!$B$30,IF(Settings!$B$30-L284&gt;=I284,K284,K284+(Settings!$B$30-L284)+Settings!$B$31),K284+(Settings!$B$33-L284))</f>
        <v>448.42485955568065</v>
      </c>
      <c r="N284" s="6">
        <f t="shared" si="92"/>
        <v>454.44485955568064</v>
      </c>
      <c r="O284" s="6">
        <f t="shared" si="93"/>
        <v>131.44485955568064</v>
      </c>
      <c r="P284" s="6">
        <f t="shared" si="94"/>
        <v>108.97868281297661</v>
      </c>
      <c r="Q284" s="6">
        <f t="shared" si="95"/>
        <v>0</v>
      </c>
      <c r="R284" s="6">
        <f t="shared" si="96"/>
        <v>0</v>
      </c>
      <c r="S284" s="6">
        <f t="shared" si="97"/>
        <v>108.97868281297661</v>
      </c>
      <c r="T284" s="6" t="str">
        <f>IF(MOD(C284-Settings!$B$32,Settings!$B$33)&lt;Settings!$B$30,"Up","Down")</f>
        <v>Up</v>
      </c>
      <c r="U284" s="6">
        <f>IF(OR(I284&gt;Settings!$B$30,O284&gt;Settings!$B$37),0,1)</f>
        <v>1</v>
      </c>
      <c r="V284" s="6">
        <f>IF(AND(U284=1,O284&lt;=Settings!$B$36),1,0)</f>
        <v>0</v>
      </c>
    </row>
    <row r="285" spans="1:22" x14ac:dyDescent="0.2">
      <c r="A285">
        <f>Arrivals!A285</f>
        <v>3</v>
      </c>
      <c r="B285">
        <f>Arrivals!B285</f>
        <v>40</v>
      </c>
      <c r="C285" s="6">
        <f>Arrivals!F285</f>
        <v>328</v>
      </c>
      <c r="D285" s="6">
        <f>Arrivals!J285</f>
        <v>6.5793258308451374</v>
      </c>
      <c r="E285" s="6">
        <f t="shared" si="98"/>
        <v>448.42485955568065</v>
      </c>
      <c r="F285" s="6">
        <f t="shared" si="89"/>
        <v>448.42485955568065</v>
      </c>
      <c r="G285" s="6">
        <f t="shared" si="90"/>
        <v>455.00418538652582</v>
      </c>
      <c r="H285" s="6">
        <f>Arrivals!L285</f>
        <v>75</v>
      </c>
      <c r="I285" s="6">
        <f>H285*8/ACE_Input!S45+ACE_Input!T45</f>
        <v>6.02</v>
      </c>
      <c r="J285" s="6">
        <f t="shared" si="99"/>
        <v>454.44485955568064</v>
      </c>
      <c r="K285" s="6">
        <f t="shared" si="91"/>
        <v>455.00418538652582</v>
      </c>
      <c r="L285" s="6">
        <f>MOD(K285-Settings!$B$32,Settings!$B$33)</f>
        <v>455.00418538652582</v>
      </c>
      <c r="M285" s="6">
        <f>IF(L285&lt;Settings!$B$30,IF(Settings!$B$30-L285&gt;=I285,K285,K285+(Settings!$B$30-L285)+Settings!$B$31),K285+(Settings!$B$33-L285))</f>
        <v>455.00418538652582</v>
      </c>
      <c r="N285" s="6">
        <f t="shared" si="92"/>
        <v>461.0241853865258</v>
      </c>
      <c r="O285" s="6">
        <f t="shared" si="93"/>
        <v>133.0241853865258</v>
      </c>
      <c r="P285" s="6">
        <f t="shared" si="94"/>
        <v>120.42485955568065</v>
      </c>
      <c r="Q285" s="6">
        <f t="shared" si="95"/>
        <v>0</v>
      </c>
      <c r="R285" s="6">
        <f t="shared" si="96"/>
        <v>0</v>
      </c>
      <c r="S285" s="6">
        <f t="shared" si="97"/>
        <v>120.42485955568065</v>
      </c>
      <c r="T285" s="6" t="str">
        <f>IF(MOD(C285-Settings!$B$32,Settings!$B$33)&lt;Settings!$B$30,"Up","Down")</f>
        <v>Up</v>
      </c>
      <c r="U285" s="6">
        <f>IF(OR(I285&gt;Settings!$B$30,O285&gt;Settings!$B$37),0,1)</f>
        <v>1</v>
      </c>
      <c r="V285" s="6">
        <f>IF(AND(U285=1,O285&lt;=Settings!$B$36),1,0)</f>
        <v>0</v>
      </c>
    </row>
    <row r="286" spans="1:22" x14ac:dyDescent="0.2">
      <c r="A286">
        <f>Arrivals!A286</f>
        <v>3</v>
      </c>
      <c r="B286">
        <f>Arrivals!B286</f>
        <v>41</v>
      </c>
      <c r="C286" s="6">
        <f>Arrivals!F286</f>
        <v>333</v>
      </c>
      <c r="D286" s="6">
        <f>Arrivals!J286</f>
        <v>7.9406775088504951</v>
      </c>
      <c r="E286" s="6">
        <f t="shared" si="98"/>
        <v>455.00418538652582</v>
      </c>
      <c r="F286" s="6">
        <f t="shared" si="89"/>
        <v>455.00418538652582</v>
      </c>
      <c r="G286" s="6">
        <f t="shared" si="90"/>
        <v>462.94486289537633</v>
      </c>
      <c r="H286" s="6">
        <f>Arrivals!L286</f>
        <v>75</v>
      </c>
      <c r="I286" s="6">
        <f>H286*8/ACE_Input!S46+ACE_Input!T46</f>
        <v>6.02</v>
      </c>
      <c r="J286" s="6">
        <f t="shared" si="99"/>
        <v>461.0241853865258</v>
      </c>
      <c r="K286" s="6">
        <f t="shared" si="91"/>
        <v>462.94486289537633</v>
      </c>
      <c r="L286" s="6">
        <f>MOD(K286-Settings!$B$32,Settings!$B$33)</f>
        <v>462.94486289537633</v>
      </c>
      <c r="M286" s="6">
        <f>IF(L286&lt;Settings!$B$30,IF(Settings!$B$30-L286&gt;=I286,K286,K286+(Settings!$B$30-L286)+Settings!$B$31),K286+(Settings!$B$33-L286))</f>
        <v>462.94486289537633</v>
      </c>
      <c r="N286" s="6">
        <f t="shared" si="92"/>
        <v>468.96486289537631</v>
      </c>
      <c r="O286" s="6">
        <f t="shared" si="93"/>
        <v>135.96486289537631</v>
      </c>
      <c r="P286" s="6">
        <f t="shared" si="94"/>
        <v>122.00418538652582</v>
      </c>
      <c r="Q286" s="6">
        <f t="shared" si="95"/>
        <v>0</v>
      </c>
      <c r="R286" s="6">
        <f t="shared" si="96"/>
        <v>0</v>
      </c>
      <c r="S286" s="6">
        <f t="shared" si="97"/>
        <v>122.00418538652582</v>
      </c>
      <c r="T286" s="6" t="str">
        <f>IF(MOD(C286-Settings!$B$32,Settings!$B$33)&lt;Settings!$B$30,"Up","Down")</f>
        <v>Up</v>
      </c>
      <c r="U286" s="6">
        <f>IF(OR(I286&gt;Settings!$B$30,O286&gt;Settings!$B$37),0,1)</f>
        <v>1</v>
      </c>
      <c r="V286" s="6">
        <f>IF(AND(U286=1,O286&lt;=Settings!$B$36),1,0)</f>
        <v>0</v>
      </c>
    </row>
    <row r="287" spans="1:22" x14ac:dyDescent="0.2">
      <c r="A287">
        <f>Arrivals!A287</f>
        <v>3</v>
      </c>
      <c r="B287">
        <f>Arrivals!B287</f>
        <v>42</v>
      </c>
      <c r="C287" s="6">
        <f>Arrivals!F287</f>
        <v>338</v>
      </c>
      <c r="D287" s="6">
        <f>Arrivals!J287</f>
        <v>3.2152423062779647</v>
      </c>
      <c r="E287" s="6">
        <f t="shared" si="98"/>
        <v>462.94486289537633</v>
      </c>
      <c r="F287" s="6">
        <f t="shared" si="89"/>
        <v>462.94486289537633</v>
      </c>
      <c r="G287" s="6">
        <f t="shared" si="90"/>
        <v>466.16010520165429</v>
      </c>
      <c r="H287" s="6">
        <f>Arrivals!L287</f>
        <v>75</v>
      </c>
      <c r="I287" s="6">
        <f>H287*8/ACE_Input!S47+ACE_Input!T47</f>
        <v>6.02</v>
      </c>
      <c r="J287" s="6">
        <f t="shared" si="99"/>
        <v>468.96486289537631</v>
      </c>
      <c r="K287" s="6">
        <f t="shared" si="91"/>
        <v>468.96486289537631</v>
      </c>
      <c r="L287" s="6">
        <f>MOD(K287-Settings!$B$32,Settings!$B$33)</f>
        <v>468.96486289537631</v>
      </c>
      <c r="M287" s="6">
        <f>IF(L287&lt;Settings!$B$30,IF(Settings!$B$30-L287&gt;=I287,K287,K287+(Settings!$B$30-L287)+Settings!$B$31),K287+(Settings!$B$33-L287))</f>
        <v>468.96486289537631</v>
      </c>
      <c r="N287" s="6">
        <f t="shared" si="92"/>
        <v>474.9848628953763</v>
      </c>
      <c r="O287" s="6">
        <f t="shared" si="93"/>
        <v>136.9848628953763</v>
      </c>
      <c r="P287" s="6">
        <f t="shared" si="94"/>
        <v>124.94486289537633</v>
      </c>
      <c r="Q287" s="6">
        <f t="shared" si="95"/>
        <v>2.8047576937220242</v>
      </c>
      <c r="R287" s="6">
        <f t="shared" si="96"/>
        <v>0</v>
      </c>
      <c r="S287" s="6">
        <f t="shared" si="97"/>
        <v>127.74962058909836</v>
      </c>
      <c r="T287" s="6" t="str">
        <f>IF(MOD(C287-Settings!$B$32,Settings!$B$33)&lt;Settings!$B$30,"Up","Down")</f>
        <v>Up</v>
      </c>
      <c r="U287" s="6">
        <f>IF(OR(I287&gt;Settings!$B$30,O287&gt;Settings!$B$37),0,1)</f>
        <v>1</v>
      </c>
      <c r="V287" s="6">
        <f>IF(AND(U287=1,O287&lt;=Settings!$B$36),1,0)</f>
        <v>0</v>
      </c>
    </row>
    <row r="288" spans="1:22" x14ac:dyDescent="0.2">
      <c r="A288">
        <f>Arrivals!A288</f>
        <v>3</v>
      </c>
      <c r="B288">
        <f>Arrivals!B288</f>
        <v>43</v>
      </c>
      <c r="C288" s="6">
        <f>Arrivals!F288</f>
        <v>343</v>
      </c>
      <c r="D288" s="6">
        <f>Arrivals!J288</f>
        <v>5.7978862687139436</v>
      </c>
      <c r="E288" s="6">
        <f t="shared" si="98"/>
        <v>466.16010520165429</v>
      </c>
      <c r="F288" s="6">
        <f t="shared" si="89"/>
        <v>466.16010520165429</v>
      </c>
      <c r="G288" s="6">
        <f t="shared" si="90"/>
        <v>471.95799147036826</v>
      </c>
      <c r="H288" s="6">
        <f>Arrivals!L288</f>
        <v>75</v>
      </c>
      <c r="I288" s="6">
        <f>H288*8/ACE_Input!S48+ACE_Input!T48</f>
        <v>6.02</v>
      </c>
      <c r="J288" s="6">
        <f t="shared" si="99"/>
        <v>474.9848628953763</v>
      </c>
      <c r="K288" s="6">
        <f t="shared" si="91"/>
        <v>474.9848628953763</v>
      </c>
      <c r="L288" s="6">
        <f>MOD(K288-Settings!$B$32,Settings!$B$33)</f>
        <v>474.9848628953763</v>
      </c>
      <c r="M288" s="6">
        <f>IF(L288&lt;Settings!$B$30,IF(Settings!$B$30-L288&gt;=I288,K288,K288+(Settings!$B$30-L288)+Settings!$B$31),K288+(Settings!$B$33-L288))</f>
        <v>474.9848628953763</v>
      </c>
      <c r="N288" s="6">
        <f t="shared" si="92"/>
        <v>481.00486289537628</v>
      </c>
      <c r="O288" s="6">
        <f t="shared" si="93"/>
        <v>138.00486289537628</v>
      </c>
      <c r="P288" s="6">
        <f t="shared" si="94"/>
        <v>123.16010520165429</v>
      </c>
      <c r="Q288" s="6">
        <f t="shared" si="95"/>
        <v>3.0268714250080393</v>
      </c>
      <c r="R288" s="6">
        <f t="shared" si="96"/>
        <v>0</v>
      </c>
      <c r="S288" s="6">
        <f t="shared" si="97"/>
        <v>126.18697662666233</v>
      </c>
      <c r="T288" s="6" t="str">
        <f>IF(MOD(C288-Settings!$B$32,Settings!$B$33)&lt;Settings!$B$30,"Up","Down")</f>
        <v>Up</v>
      </c>
      <c r="U288" s="6">
        <f>IF(OR(I288&gt;Settings!$B$30,O288&gt;Settings!$B$37),0,1)</f>
        <v>1</v>
      </c>
      <c r="V288" s="6">
        <f>IF(AND(U288=1,O288&lt;=Settings!$B$36),1,0)</f>
        <v>0</v>
      </c>
    </row>
    <row r="289" spans="1:22" x14ac:dyDescent="0.2">
      <c r="A289">
        <f>Arrivals!A289</f>
        <v>3</v>
      </c>
      <c r="B289">
        <f>Arrivals!B289</f>
        <v>44</v>
      </c>
      <c r="C289" s="6">
        <f>Arrivals!F289</f>
        <v>348</v>
      </c>
      <c r="D289" s="6">
        <f>Arrivals!J289</f>
        <v>26.507266837206764</v>
      </c>
      <c r="E289" s="6">
        <f t="shared" si="98"/>
        <v>471.95799147036826</v>
      </c>
      <c r="F289" s="6">
        <f t="shared" si="89"/>
        <v>471.95799147036826</v>
      </c>
      <c r="G289" s="6">
        <f t="shared" si="90"/>
        <v>498.46525830757503</v>
      </c>
      <c r="H289" s="6">
        <f>Arrivals!L289</f>
        <v>75</v>
      </c>
      <c r="I289" s="6">
        <f>H289*8/ACE_Input!S49+ACE_Input!T49</f>
        <v>6.02</v>
      </c>
      <c r="J289" s="6">
        <f t="shared" si="99"/>
        <v>481.00486289537628</v>
      </c>
      <c r="K289" s="6">
        <f t="shared" si="91"/>
        <v>498.46525830757503</v>
      </c>
      <c r="L289" s="6">
        <f>MOD(K289-Settings!$B$32,Settings!$B$33)</f>
        <v>498.46525830757503</v>
      </c>
      <c r="M289" s="6">
        <f>IF(L289&lt;Settings!$B$30,IF(Settings!$B$30-L289&gt;=I289,K289,K289+(Settings!$B$30-L289)+Settings!$B$31),K289+(Settings!$B$33-L289))</f>
        <v>498.46525830757503</v>
      </c>
      <c r="N289" s="6">
        <f t="shared" si="92"/>
        <v>504.48525830757501</v>
      </c>
      <c r="O289" s="6">
        <f t="shared" si="93"/>
        <v>156.48525830757501</v>
      </c>
      <c r="P289" s="6">
        <f t="shared" si="94"/>
        <v>123.95799147036826</v>
      </c>
      <c r="Q289" s="6">
        <f t="shared" si="95"/>
        <v>0</v>
      </c>
      <c r="R289" s="6">
        <f t="shared" si="96"/>
        <v>0</v>
      </c>
      <c r="S289" s="6">
        <f t="shared" si="97"/>
        <v>123.95799147036826</v>
      </c>
      <c r="T289" s="6" t="str">
        <f>IF(MOD(C289-Settings!$B$32,Settings!$B$33)&lt;Settings!$B$30,"Up","Down")</f>
        <v>Up</v>
      </c>
      <c r="U289" s="6">
        <f>IF(OR(I289&gt;Settings!$B$30,O289&gt;Settings!$B$37),0,1)</f>
        <v>1</v>
      </c>
      <c r="V289" s="6">
        <f>IF(AND(U289=1,O289&lt;=Settings!$B$36),1,0)</f>
        <v>0</v>
      </c>
    </row>
    <row r="290" spans="1:22" x14ac:dyDescent="0.2">
      <c r="A290">
        <f>Arrivals!A290</f>
        <v>3</v>
      </c>
      <c r="B290">
        <f>Arrivals!B290</f>
        <v>45</v>
      </c>
      <c r="C290" s="6">
        <f>Arrivals!F290</f>
        <v>354</v>
      </c>
      <c r="D290" s="6">
        <f>Arrivals!J290</f>
        <v>4.3450154842230324</v>
      </c>
      <c r="E290" s="6">
        <f t="shared" si="98"/>
        <v>498.46525830757503</v>
      </c>
      <c r="F290" s="6">
        <f t="shared" si="89"/>
        <v>498.46525830757503</v>
      </c>
      <c r="G290" s="6">
        <f t="shared" si="90"/>
        <v>502.81027379179807</v>
      </c>
      <c r="H290" s="6">
        <f>Arrivals!L290</f>
        <v>75</v>
      </c>
      <c r="I290" s="6">
        <f>H290*8/ACE_Input!S50+ACE_Input!T50</f>
        <v>6.02</v>
      </c>
      <c r="J290" s="6">
        <f t="shared" si="99"/>
        <v>504.48525830757501</v>
      </c>
      <c r="K290" s="6">
        <f t="shared" si="91"/>
        <v>504.48525830757501</v>
      </c>
      <c r="L290" s="6">
        <f>MOD(K290-Settings!$B$32,Settings!$B$33)</f>
        <v>504.48525830757501</v>
      </c>
      <c r="M290" s="6">
        <f>IF(L290&lt;Settings!$B$30,IF(Settings!$B$30-L290&gt;=I290,K290,K290+(Settings!$B$30-L290)+Settings!$B$31),K290+(Settings!$B$33-L290))</f>
        <v>504.48525830757501</v>
      </c>
      <c r="N290" s="6">
        <f t="shared" si="92"/>
        <v>510.50525830757499</v>
      </c>
      <c r="O290" s="6">
        <f t="shared" si="93"/>
        <v>156.50525830757499</v>
      </c>
      <c r="P290" s="6">
        <f t="shared" si="94"/>
        <v>144.46525830757503</v>
      </c>
      <c r="Q290" s="6">
        <f t="shared" si="95"/>
        <v>1.6749845157769414</v>
      </c>
      <c r="R290" s="6">
        <f t="shared" si="96"/>
        <v>0</v>
      </c>
      <c r="S290" s="6">
        <f t="shared" si="97"/>
        <v>146.14024282335197</v>
      </c>
      <c r="T290" s="6" t="str">
        <f>IF(MOD(C290-Settings!$B$32,Settings!$B$33)&lt;Settings!$B$30,"Up","Down")</f>
        <v>Up</v>
      </c>
      <c r="U290" s="6">
        <f>IF(OR(I290&gt;Settings!$B$30,O290&gt;Settings!$B$37),0,1)</f>
        <v>1</v>
      </c>
      <c r="V290" s="6">
        <f>IF(AND(U290=1,O290&lt;=Settings!$B$36),1,0)</f>
        <v>0</v>
      </c>
    </row>
    <row r="291" spans="1:22" x14ac:dyDescent="0.2">
      <c r="A291">
        <f>Arrivals!A291</f>
        <v>3</v>
      </c>
      <c r="B291">
        <f>Arrivals!B291</f>
        <v>46</v>
      </c>
      <c r="C291" s="6">
        <f>Arrivals!F291</f>
        <v>359</v>
      </c>
      <c r="D291" s="6">
        <f>Arrivals!J291</f>
        <v>10.19771013196949</v>
      </c>
      <c r="E291" s="6">
        <f t="shared" si="98"/>
        <v>502.81027379179807</v>
      </c>
      <c r="F291" s="6">
        <f t="shared" si="89"/>
        <v>502.81027379179807</v>
      </c>
      <c r="G291" s="6">
        <f t="shared" si="90"/>
        <v>513.0079839237676</v>
      </c>
      <c r="H291" s="6">
        <f>Arrivals!L291</f>
        <v>75</v>
      </c>
      <c r="I291" s="6">
        <f>H291*8/ACE_Input!S51+ACE_Input!T51</f>
        <v>6.02</v>
      </c>
      <c r="J291" s="6">
        <f t="shared" si="99"/>
        <v>510.50525830757499</v>
      </c>
      <c r="K291" s="6">
        <f t="shared" si="91"/>
        <v>513.0079839237676</v>
      </c>
      <c r="L291" s="6">
        <f>MOD(K291-Settings!$B$32,Settings!$B$33)</f>
        <v>513.0079839237676</v>
      </c>
      <c r="M291" s="6">
        <f>IF(L291&lt;Settings!$B$30,IF(Settings!$B$30-L291&gt;=I291,K291,K291+(Settings!$B$30-L291)+Settings!$B$31),K291+(Settings!$B$33-L291))</f>
        <v>513.0079839237676</v>
      </c>
      <c r="N291" s="6">
        <f t="shared" si="92"/>
        <v>519.02798392376758</v>
      </c>
      <c r="O291" s="6">
        <f t="shared" si="93"/>
        <v>160.02798392376758</v>
      </c>
      <c r="P291" s="6">
        <f t="shared" si="94"/>
        <v>143.81027379179807</v>
      </c>
      <c r="Q291" s="6">
        <f t="shared" si="95"/>
        <v>0</v>
      </c>
      <c r="R291" s="6">
        <f t="shared" si="96"/>
        <v>0</v>
      </c>
      <c r="S291" s="6">
        <f t="shared" si="97"/>
        <v>143.81027379179807</v>
      </c>
      <c r="T291" s="6" t="str">
        <f>IF(MOD(C291-Settings!$B$32,Settings!$B$33)&lt;Settings!$B$30,"Up","Down")</f>
        <v>Up</v>
      </c>
      <c r="U291" s="6">
        <f>IF(OR(I291&gt;Settings!$B$30,O291&gt;Settings!$B$37),0,1)</f>
        <v>1</v>
      </c>
      <c r="V291" s="6">
        <f>IF(AND(U291=1,O291&lt;=Settings!$B$36),1,0)</f>
        <v>0</v>
      </c>
    </row>
    <row r="292" spans="1:22" x14ac:dyDescent="0.2">
      <c r="A292">
        <f>Arrivals!A292</f>
        <v>3</v>
      </c>
      <c r="B292">
        <f>Arrivals!B292</f>
        <v>47</v>
      </c>
      <c r="C292" s="6">
        <f>Arrivals!F292</f>
        <v>364</v>
      </c>
      <c r="D292" s="6">
        <f>Arrivals!J292</f>
        <v>0.82350589294848742</v>
      </c>
      <c r="E292" s="6">
        <f t="shared" si="98"/>
        <v>513.0079839237676</v>
      </c>
      <c r="F292" s="6">
        <f t="shared" si="89"/>
        <v>513.0079839237676</v>
      </c>
      <c r="G292" s="6">
        <f t="shared" si="90"/>
        <v>513.83148981671604</v>
      </c>
      <c r="H292" s="6">
        <f>Arrivals!L292</f>
        <v>75</v>
      </c>
      <c r="I292" s="6">
        <f>H292*8/ACE_Input!S52+ACE_Input!T52</f>
        <v>6.02</v>
      </c>
      <c r="J292" s="6">
        <f t="shared" si="99"/>
        <v>519.02798392376758</v>
      </c>
      <c r="K292" s="6">
        <f t="shared" si="91"/>
        <v>519.02798392376758</v>
      </c>
      <c r="L292" s="6">
        <f>MOD(K292-Settings!$B$32,Settings!$B$33)</f>
        <v>519.02798392376758</v>
      </c>
      <c r="M292" s="6">
        <f>IF(L292&lt;Settings!$B$30,IF(Settings!$B$30-L292&gt;=I292,K292,K292+(Settings!$B$30-L292)+Settings!$B$31),K292+(Settings!$B$33-L292))</f>
        <v>519.02798392376758</v>
      </c>
      <c r="N292" s="6">
        <f t="shared" si="92"/>
        <v>525.04798392376756</v>
      </c>
      <c r="O292" s="6">
        <f t="shared" si="93"/>
        <v>161.04798392376756</v>
      </c>
      <c r="P292" s="6">
        <f t="shared" si="94"/>
        <v>149.0079839237676</v>
      </c>
      <c r="Q292" s="6">
        <f t="shared" si="95"/>
        <v>5.1964941070515351</v>
      </c>
      <c r="R292" s="6">
        <f t="shared" si="96"/>
        <v>0</v>
      </c>
      <c r="S292" s="6">
        <f t="shared" si="97"/>
        <v>154.20447803081913</v>
      </c>
      <c r="T292" s="6" t="str">
        <f>IF(MOD(C292-Settings!$B$32,Settings!$B$33)&lt;Settings!$B$30,"Up","Down")</f>
        <v>Up</v>
      </c>
      <c r="U292" s="6">
        <f>IF(OR(I292&gt;Settings!$B$30,O292&gt;Settings!$B$37),0,1)</f>
        <v>1</v>
      </c>
      <c r="V292" s="6">
        <f>IF(AND(U292=1,O292&lt;=Settings!$B$36),1,0)</f>
        <v>0</v>
      </c>
    </row>
    <row r="293" spans="1:22" x14ac:dyDescent="0.2">
      <c r="A293">
        <f>Arrivals!A293</f>
        <v>3</v>
      </c>
      <c r="B293">
        <f>Arrivals!B293</f>
        <v>48</v>
      </c>
      <c r="C293" s="6">
        <f>Arrivals!F293</f>
        <v>369</v>
      </c>
      <c r="D293" s="6">
        <f>Arrivals!J293</f>
        <v>14.555473583934187</v>
      </c>
      <c r="E293" s="6">
        <f t="shared" si="98"/>
        <v>513.83148981671604</v>
      </c>
      <c r="F293" s="6">
        <f t="shared" si="89"/>
        <v>513.83148981671604</v>
      </c>
      <c r="G293" s="6">
        <f t="shared" si="90"/>
        <v>528.38696340065019</v>
      </c>
      <c r="H293" s="6">
        <f>Arrivals!L293</f>
        <v>75</v>
      </c>
      <c r="I293" s="6">
        <f>H293*8/ACE_Input!S53+ACE_Input!T53</f>
        <v>6.02</v>
      </c>
      <c r="J293" s="6">
        <f t="shared" si="99"/>
        <v>525.04798392376756</v>
      </c>
      <c r="K293" s="6">
        <f t="shared" si="91"/>
        <v>528.38696340065019</v>
      </c>
      <c r="L293" s="6">
        <f>MOD(K293-Settings!$B$32,Settings!$B$33)</f>
        <v>528.38696340065019</v>
      </c>
      <c r="M293" s="6">
        <f>IF(L293&lt;Settings!$B$30,IF(Settings!$B$30-L293&gt;=I293,K293,K293+(Settings!$B$30-L293)+Settings!$B$31),K293+(Settings!$B$33-L293))</f>
        <v>528.38696340065019</v>
      </c>
      <c r="N293" s="6">
        <f t="shared" si="92"/>
        <v>534.40696340065017</v>
      </c>
      <c r="O293" s="6">
        <f t="shared" si="93"/>
        <v>165.40696340065017</v>
      </c>
      <c r="P293" s="6">
        <f t="shared" si="94"/>
        <v>144.83148981671604</v>
      </c>
      <c r="Q293" s="6">
        <f t="shared" si="95"/>
        <v>0</v>
      </c>
      <c r="R293" s="6">
        <f t="shared" si="96"/>
        <v>0</v>
      </c>
      <c r="S293" s="6">
        <f t="shared" si="97"/>
        <v>144.83148981671604</v>
      </c>
      <c r="T293" s="6" t="str">
        <f>IF(MOD(C293-Settings!$B$32,Settings!$B$33)&lt;Settings!$B$30,"Up","Down")</f>
        <v>Up</v>
      </c>
      <c r="U293" s="6">
        <f>IF(OR(I293&gt;Settings!$B$30,O293&gt;Settings!$B$37),0,1)</f>
        <v>1</v>
      </c>
      <c r="V293" s="6">
        <f>IF(AND(U293=1,O293&lt;=Settings!$B$36),1,0)</f>
        <v>0</v>
      </c>
    </row>
    <row r="294" spans="1:22" x14ac:dyDescent="0.2">
      <c r="A294">
        <f>Arrivals!A294</f>
        <v>3</v>
      </c>
      <c r="B294">
        <f>Arrivals!B294</f>
        <v>49</v>
      </c>
      <c r="C294" s="6">
        <f>Arrivals!F294</f>
        <v>374</v>
      </c>
      <c r="D294" s="6">
        <f>Arrivals!J294</f>
        <v>57.932432347479718</v>
      </c>
      <c r="E294" s="6">
        <f t="shared" si="98"/>
        <v>528.38696340065019</v>
      </c>
      <c r="F294" s="6">
        <f t="shared" si="89"/>
        <v>528.38696340065019</v>
      </c>
      <c r="G294" s="6">
        <f t="shared" si="90"/>
        <v>586.31939574812986</v>
      </c>
      <c r="H294" s="6">
        <f>Arrivals!L294</f>
        <v>75</v>
      </c>
      <c r="I294" s="6">
        <f>H294*8/ACE_Input!S54+ACE_Input!T54</f>
        <v>6.02</v>
      </c>
      <c r="J294" s="6">
        <f t="shared" si="99"/>
        <v>534.40696340065017</v>
      </c>
      <c r="K294" s="6">
        <f t="shared" si="91"/>
        <v>586.31939574812986</v>
      </c>
      <c r="L294" s="6">
        <f>MOD(K294-Settings!$B$32,Settings!$B$33)</f>
        <v>586.31939574812986</v>
      </c>
      <c r="M294" s="6">
        <f>IF(L294&lt;Settings!$B$30,IF(Settings!$B$30-L294&gt;=I294,K294,K294+(Settings!$B$30-L294)+Settings!$B$31),K294+(Settings!$B$33-L294))</f>
        <v>586.31939574812986</v>
      </c>
      <c r="N294" s="6">
        <f t="shared" si="92"/>
        <v>592.33939574812985</v>
      </c>
      <c r="O294" s="6">
        <f t="shared" si="93"/>
        <v>218.33939574812985</v>
      </c>
      <c r="P294" s="6">
        <f t="shared" si="94"/>
        <v>154.38696340065019</v>
      </c>
      <c r="Q294" s="6">
        <f t="shared" si="95"/>
        <v>0</v>
      </c>
      <c r="R294" s="6">
        <f t="shared" si="96"/>
        <v>0</v>
      </c>
      <c r="S294" s="6">
        <f t="shared" si="97"/>
        <v>154.38696340065019</v>
      </c>
      <c r="T294" s="6" t="str">
        <f>IF(MOD(C294-Settings!$B$32,Settings!$B$33)&lt;Settings!$B$30,"Up","Down")</f>
        <v>Up</v>
      </c>
      <c r="U294" s="6">
        <f>IF(OR(I294&gt;Settings!$B$30,O294&gt;Settings!$B$37),0,1)</f>
        <v>1</v>
      </c>
      <c r="V294" s="6">
        <f>IF(AND(U294=1,O294&lt;=Settings!$B$36),1,0)</f>
        <v>0</v>
      </c>
    </row>
    <row r="295" spans="1:22" x14ac:dyDescent="0.2">
      <c r="A295">
        <f>Arrivals!A295</f>
        <v>3</v>
      </c>
      <c r="B295">
        <f>Arrivals!B295</f>
        <v>50</v>
      </c>
      <c r="C295" s="6">
        <f>Arrivals!F295</f>
        <v>379</v>
      </c>
      <c r="D295" s="6">
        <f>Arrivals!J295</f>
        <v>7.4346722632117999</v>
      </c>
      <c r="E295" s="6">
        <f t="shared" si="98"/>
        <v>586.31939574812986</v>
      </c>
      <c r="F295" s="6">
        <f t="shared" si="89"/>
        <v>586.31939574812986</v>
      </c>
      <c r="G295" s="6">
        <f t="shared" si="90"/>
        <v>593.7540680113417</v>
      </c>
      <c r="H295" s="6">
        <f>Arrivals!L295</f>
        <v>75</v>
      </c>
      <c r="I295" s="6">
        <f>H295*8/ACE_Input!S55+ACE_Input!T55</f>
        <v>6.02</v>
      </c>
      <c r="J295" s="6">
        <f t="shared" si="99"/>
        <v>592.33939574812985</v>
      </c>
      <c r="K295" s="6">
        <f t="shared" si="91"/>
        <v>593.7540680113417</v>
      </c>
      <c r="L295" s="6">
        <f>MOD(K295-Settings!$B$32,Settings!$B$33)</f>
        <v>593.7540680113417</v>
      </c>
      <c r="M295" s="6">
        <f>IF(L295&lt;Settings!$B$30,IF(Settings!$B$30-L295&gt;=I295,K295,K295+(Settings!$B$30-L295)+Settings!$B$31),K295+(Settings!$B$33-L295))</f>
        <v>593.7540680113417</v>
      </c>
      <c r="N295" s="6">
        <f t="shared" si="92"/>
        <v>599.77406801134168</v>
      </c>
      <c r="O295" s="6">
        <f t="shared" si="93"/>
        <v>220.77406801134168</v>
      </c>
      <c r="P295" s="6">
        <f t="shared" si="94"/>
        <v>207.31939574812986</v>
      </c>
      <c r="Q295" s="6">
        <f t="shared" si="95"/>
        <v>0</v>
      </c>
      <c r="R295" s="6">
        <f t="shared" si="96"/>
        <v>0</v>
      </c>
      <c r="S295" s="6">
        <f t="shared" si="97"/>
        <v>207.31939574812986</v>
      </c>
      <c r="T295" s="6" t="str">
        <f>IF(MOD(C295-Settings!$B$32,Settings!$B$33)&lt;Settings!$B$30,"Up","Down")</f>
        <v>Up</v>
      </c>
      <c r="U295" s="6">
        <f>IF(OR(I295&gt;Settings!$B$30,O295&gt;Settings!$B$37),0,1)</f>
        <v>1</v>
      </c>
      <c r="V295" s="6">
        <f>IF(AND(U295=1,O295&lt;=Settings!$B$36),1,0)</f>
        <v>0</v>
      </c>
    </row>
    <row r="296" spans="1:22" x14ac:dyDescent="0.2">
      <c r="A296">
        <f>Arrivals!A296</f>
        <v>3</v>
      </c>
      <c r="B296">
        <f>Arrivals!B296</f>
        <v>51</v>
      </c>
      <c r="C296" s="6">
        <f>Arrivals!F296</f>
        <v>384</v>
      </c>
      <c r="D296" s="6">
        <f>Arrivals!J296</f>
        <v>16.772504337279745</v>
      </c>
      <c r="E296" s="6">
        <f t="shared" si="98"/>
        <v>593.7540680113417</v>
      </c>
      <c r="F296" s="6">
        <f t="shared" si="89"/>
        <v>593.7540680113417</v>
      </c>
      <c r="G296" s="6">
        <f t="shared" si="90"/>
        <v>610.52657234862147</v>
      </c>
      <c r="H296" s="6">
        <f>Arrivals!L296</f>
        <v>75</v>
      </c>
      <c r="I296" s="6">
        <f>H296*8/ACE_Input!S56+ACE_Input!T56</f>
        <v>6.02</v>
      </c>
      <c r="J296" s="6">
        <f t="shared" si="99"/>
        <v>599.77406801134168</v>
      </c>
      <c r="K296" s="6">
        <f t="shared" si="91"/>
        <v>610.52657234862147</v>
      </c>
      <c r="L296" s="6">
        <f>MOD(K296-Settings!$B$32,Settings!$B$33)</f>
        <v>610.52657234862147</v>
      </c>
      <c r="M296" s="6">
        <f>IF(L296&lt;Settings!$B$30,IF(Settings!$B$30-L296&gt;=I296,K296,K296+(Settings!$B$30-L296)+Settings!$B$31),K296+(Settings!$B$33-L296))</f>
        <v>720</v>
      </c>
      <c r="N296" s="6">
        <f t="shared" si="92"/>
        <v>726.02</v>
      </c>
      <c r="O296" s="6">
        <f t="shared" si="93"/>
        <v>342.02</v>
      </c>
      <c r="P296" s="6">
        <f t="shared" si="94"/>
        <v>209.7540680113417</v>
      </c>
      <c r="Q296" s="6">
        <f t="shared" si="95"/>
        <v>0</v>
      </c>
      <c r="R296" s="6">
        <f t="shared" si="96"/>
        <v>109.47342765137853</v>
      </c>
      <c r="S296" s="6">
        <f t="shared" si="97"/>
        <v>319.22749566272023</v>
      </c>
      <c r="T296" s="6" t="str">
        <f>IF(MOD(C296-Settings!$B$32,Settings!$B$33)&lt;Settings!$B$30,"Up","Down")</f>
        <v>Up</v>
      </c>
      <c r="U296" s="6">
        <f>IF(OR(I296&gt;Settings!$B$30,O296&gt;Settings!$B$37),0,1)</f>
        <v>1</v>
      </c>
      <c r="V296" s="6">
        <f>IF(AND(U296=1,O296&lt;=Settings!$B$36),1,0)</f>
        <v>0</v>
      </c>
    </row>
    <row r="297" spans="1:22" x14ac:dyDescent="0.2">
      <c r="A297">
        <f>Arrivals!A297</f>
        <v>3</v>
      </c>
      <c r="B297">
        <f>Arrivals!B297</f>
        <v>52</v>
      </c>
      <c r="C297" s="6">
        <f>Arrivals!F297</f>
        <v>389</v>
      </c>
      <c r="D297" s="6">
        <f>Arrivals!J297</f>
        <v>33.270712671222142</v>
      </c>
      <c r="E297" s="6">
        <f t="shared" si="98"/>
        <v>610.52657234862147</v>
      </c>
      <c r="F297" s="6">
        <f t="shared" si="89"/>
        <v>610.52657234862147</v>
      </c>
      <c r="G297" s="6">
        <f t="shared" si="90"/>
        <v>643.79728501984357</v>
      </c>
      <c r="H297" s="6">
        <f>Arrivals!L297</f>
        <v>75</v>
      </c>
      <c r="I297" s="6">
        <f>H297*8/ACE_Input!S57+ACE_Input!T57</f>
        <v>6.02</v>
      </c>
      <c r="J297" s="6">
        <f t="shared" si="99"/>
        <v>726.02</v>
      </c>
      <c r="K297" s="6">
        <f t="shared" si="91"/>
        <v>726.02</v>
      </c>
      <c r="L297" s="6">
        <f>MOD(K297-Settings!$B$32,Settings!$B$33)</f>
        <v>6.0199999999999818</v>
      </c>
      <c r="M297" s="6">
        <f>IF(L297&lt;Settings!$B$30,IF(Settings!$B$30-L297&gt;=I297,K297,K297+(Settings!$B$30-L297)+Settings!$B$31),K297+(Settings!$B$33-L297))</f>
        <v>726.02</v>
      </c>
      <c r="N297" s="6">
        <f t="shared" si="92"/>
        <v>732.04</v>
      </c>
      <c r="O297" s="6">
        <f t="shared" si="93"/>
        <v>343.03999999999996</v>
      </c>
      <c r="P297" s="6">
        <f t="shared" si="94"/>
        <v>221.52657234862147</v>
      </c>
      <c r="Q297" s="6">
        <f t="shared" si="95"/>
        <v>82.222714980156411</v>
      </c>
      <c r="R297" s="6">
        <f t="shared" si="96"/>
        <v>0</v>
      </c>
      <c r="S297" s="6">
        <f t="shared" si="97"/>
        <v>303.74928732877788</v>
      </c>
      <c r="T297" s="6" t="str">
        <f>IF(MOD(C297-Settings!$B$32,Settings!$B$33)&lt;Settings!$B$30,"Up","Down")</f>
        <v>Up</v>
      </c>
      <c r="U297" s="6">
        <f>IF(OR(I297&gt;Settings!$B$30,O297&gt;Settings!$B$37),0,1)</f>
        <v>1</v>
      </c>
      <c r="V297" s="6">
        <f>IF(AND(U297=1,O297&lt;=Settings!$B$36),1,0)</f>
        <v>0</v>
      </c>
    </row>
    <row r="298" spans="1:22" x14ac:dyDescent="0.2">
      <c r="A298">
        <f>Arrivals!A298</f>
        <v>3</v>
      </c>
      <c r="B298">
        <f>Arrivals!B298</f>
        <v>53</v>
      </c>
      <c r="C298" s="6">
        <f>Arrivals!F298</f>
        <v>394</v>
      </c>
      <c r="D298" s="6">
        <f>Arrivals!J298</f>
        <v>9.1034232745973949</v>
      </c>
      <c r="E298" s="6">
        <f t="shared" si="98"/>
        <v>643.79728501984357</v>
      </c>
      <c r="F298" s="6">
        <f t="shared" si="89"/>
        <v>643.79728501984357</v>
      </c>
      <c r="G298" s="6">
        <f t="shared" si="90"/>
        <v>652.90070829444096</v>
      </c>
      <c r="H298" s="6">
        <f>Arrivals!L298</f>
        <v>75</v>
      </c>
      <c r="I298" s="6">
        <f>H298*8/ACE_Input!S58+ACE_Input!T58</f>
        <v>6.02</v>
      </c>
      <c r="J298" s="6">
        <f t="shared" si="99"/>
        <v>732.04</v>
      </c>
      <c r="K298" s="6">
        <f t="shared" si="91"/>
        <v>732.04</v>
      </c>
      <c r="L298" s="6">
        <f>MOD(K298-Settings!$B$32,Settings!$B$33)</f>
        <v>12.039999999999964</v>
      </c>
      <c r="M298" s="6">
        <f>IF(L298&lt;Settings!$B$30,IF(Settings!$B$30-L298&gt;=I298,K298,K298+(Settings!$B$30-L298)+Settings!$B$31),K298+(Settings!$B$33-L298))</f>
        <v>732.04</v>
      </c>
      <c r="N298" s="6">
        <f t="shared" si="92"/>
        <v>738.06</v>
      </c>
      <c r="O298" s="6">
        <f t="shared" si="93"/>
        <v>344.05999999999995</v>
      </c>
      <c r="P298" s="6">
        <f t="shared" si="94"/>
        <v>249.79728501984357</v>
      </c>
      <c r="Q298" s="6">
        <f t="shared" si="95"/>
        <v>79.139291705559003</v>
      </c>
      <c r="R298" s="6">
        <f t="shared" si="96"/>
        <v>0</v>
      </c>
      <c r="S298" s="6">
        <f t="shared" si="97"/>
        <v>328.93657672540257</v>
      </c>
      <c r="T298" s="6" t="str">
        <f>IF(MOD(C298-Settings!$B$32,Settings!$B$33)&lt;Settings!$B$30,"Up","Down")</f>
        <v>Up</v>
      </c>
      <c r="U298" s="6">
        <f>IF(OR(I298&gt;Settings!$B$30,O298&gt;Settings!$B$37),0,1)</f>
        <v>1</v>
      </c>
      <c r="V298" s="6">
        <f>IF(AND(U298=1,O298&lt;=Settings!$B$36),1,0)</f>
        <v>0</v>
      </c>
    </row>
    <row r="299" spans="1:22" x14ac:dyDescent="0.2">
      <c r="A299">
        <f>Arrivals!A299</f>
        <v>3</v>
      </c>
      <c r="B299">
        <f>Arrivals!B299</f>
        <v>54</v>
      </c>
      <c r="C299" s="6">
        <f>Arrivals!F299</f>
        <v>399</v>
      </c>
      <c r="D299" s="6">
        <f>Arrivals!J299</f>
        <v>0.80659443317519974</v>
      </c>
      <c r="E299" s="6">
        <f t="shared" si="98"/>
        <v>652.90070829444096</v>
      </c>
      <c r="F299" s="6">
        <f t="shared" si="89"/>
        <v>652.90070829444096</v>
      </c>
      <c r="G299" s="6">
        <f t="shared" si="90"/>
        <v>653.70730272761614</v>
      </c>
      <c r="H299" s="6">
        <f>Arrivals!L299</f>
        <v>75</v>
      </c>
      <c r="I299" s="6">
        <f>H299*8/ACE_Input!S59+ACE_Input!T59</f>
        <v>6.02</v>
      </c>
      <c r="J299" s="6">
        <f t="shared" si="99"/>
        <v>738.06</v>
      </c>
      <c r="K299" s="6">
        <f t="shared" si="91"/>
        <v>738.06</v>
      </c>
      <c r="L299" s="6">
        <f>MOD(K299-Settings!$B$32,Settings!$B$33)</f>
        <v>18.059999999999945</v>
      </c>
      <c r="M299" s="6">
        <f>IF(L299&lt;Settings!$B$30,IF(Settings!$B$30-L299&gt;=I299,K299,K299+(Settings!$B$30-L299)+Settings!$B$31),K299+(Settings!$B$33-L299))</f>
        <v>738.06</v>
      </c>
      <c r="N299" s="6">
        <f t="shared" si="92"/>
        <v>744.07999999999993</v>
      </c>
      <c r="O299" s="6">
        <f t="shared" si="93"/>
        <v>345.07999999999993</v>
      </c>
      <c r="P299" s="6">
        <f t="shared" si="94"/>
        <v>253.90070829444096</v>
      </c>
      <c r="Q299" s="6">
        <f t="shared" si="95"/>
        <v>84.352697272383807</v>
      </c>
      <c r="R299" s="6">
        <f t="shared" si="96"/>
        <v>0</v>
      </c>
      <c r="S299" s="6">
        <f t="shared" si="97"/>
        <v>338.25340556682477</v>
      </c>
      <c r="T299" s="6" t="str">
        <f>IF(MOD(C299-Settings!$B$32,Settings!$B$33)&lt;Settings!$B$30,"Up","Down")</f>
        <v>Up</v>
      </c>
      <c r="U299" s="6">
        <f>IF(OR(I299&gt;Settings!$B$30,O299&gt;Settings!$B$37),0,1)</f>
        <v>1</v>
      </c>
      <c r="V299" s="6">
        <f>IF(AND(U299=1,O299&lt;=Settings!$B$36),1,0)</f>
        <v>0</v>
      </c>
    </row>
    <row r="300" spans="1:22" x14ac:dyDescent="0.2">
      <c r="A300">
        <f>Arrivals!A300</f>
        <v>3</v>
      </c>
      <c r="B300">
        <f>Arrivals!B300</f>
        <v>55</v>
      </c>
      <c r="C300" s="6">
        <f>Arrivals!F300</f>
        <v>404</v>
      </c>
      <c r="D300" s="6">
        <f>Arrivals!J300</f>
        <v>10.186983206692696</v>
      </c>
      <c r="E300" s="6">
        <f t="shared" si="98"/>
        <v>653.70730272761614</v>
      </c>
      <c r="F300" s="6">
        <f t="shared" si="89"/>
        <v>653.70730272761614</v>
      </c>
      <c r="G300" s="6">
        <f t="shared" si="90"/>
        <v>663.89428593430887</v>
      </c>
      <c r="H300" s="6">
        <f>Arrivals!L300</f>
        <v>75</v>
      </c>
      <c r="I300" s="6">
        <f>H300*8/ACE_Input!S60+ACE_Input!T60</f>
        <v>6.02</v>
      </c>
      <c r="J300" s="6">
        <f t="shared" si="99"/>
        <v>744.07999999999993</v>
      </c>
      <c r="K300" s="6">
        <f t="shared" si="91"/>
        <v>744.07999999999993</v>
      </c>
      <c r="L300" s="6">
        <f>MOD(K300-Settings!$B$32,Settings!$B$33)</f>
        <v>24.079999999999927</v>
      </c>
      <c r="M300" s="6">
        <f>IF(L300&lt;Settings!$B$30,IF(Settings!$B$30-L300&gt;=I300,K300,K300+(Settings!$B$30-L300)+Settings!$B$31),K300+(Settings!$B$33-L300))</f>
        <v>744.07999999999993</v>
      </c>
      <c r="N300" s="6">
        <f t="shared" si="92"/>
        <v>750.09999999999991</v>
      </c>
      <c r="O300" s="6">
        <f t="shared" si="93"/>
        <v>346.09999999999991</v>
      </c>
      <c r="P300" s="6">
        <f t="shared" si="94"/>
        <v>249.70730272761614</v>
      </c>
      <c r="Q300" s="6">
        <f t="shared" si="95"/>
        <v>80.185714065691059</v>
      </c>
      <c r="R300" s="6">
        <f t="shared" si="96"/>
        <v>0</v>
      </c>
      <c r="S300" s="6">
        <f t="shared" si="97"/>
        <v>329.8930167933072</v>
      </c>
      <c r="T300" s="6" t="str">
        <f>IF(MOD(C300-Settings!$B$32,Settings!$B$33)&lt;Settings!$B$30,"Up","Down")</f>
        <v>Up</v>
      </c>
      <c r="U300" s="6">
        <f>IF(OR(I300&gt;Settings!$B$30,O300&gt;Settings!$B$37),0,1)</f>
        <v>1</v>
      </c>
      <c r="V300" s="6">
        <f>IF(AND(U300=1,O300&lt;=Settings!$B$36),1,0)</f>
        <v>0</v>
      </c>
    </row>
    <row r="301" spans="1:22" x14ac:dyDescent="0.2">
      <c r="A301">
        <f>Arrivals!A301</f>
        <v>3</v>
      </c>
      <c r="B301">
        <f>Arrivals!B301</f>
        <v>56</v>
      </c>
      <c r="C301" s="6">
        <f>Arrivals!F301</f>
        <v>409</v>
      </c>
      <c r="D301" s="6">
        <f>Arrivals!J301</f>
        <v>12.285341572616403</v>
      </c>
      <c r="E301" s="6">
        <f t="shared" si="98"/>
        <v>663.89428593430887</v>
      </c>
      <c r="F301" s="6">
        <f t="shared" si="89"/>
        <v>663.89428593430887</v>
      </c>
      <c r="G301" s="6">
        <f t="shared" si="90"/>
        <v>676.17962750692527</v>
      </c>
      <c r="H301" s="6">
        <f>Arrivals!L301</f>
        <v>75</v>
      </c>
      <c r="I301" s="6">
        <f>H301*8/ACE_Input!S61+ACE_Input!T61</f>
        <v>6.02</v>
      </c>
      <c r="J301" s="6">
        <f t="shared" si="99"/>
        <v>750.09999999999991</v>
      </c>
      <c r="K301" s="6">
        <f t="shared" si="91"/>
        <v>750.09999999999991</v>
      </c>
      <c r="L301" s="6">
        <f>MOD(K301-Settings!$B$32,Settings!$B$33)</f>
        <v>30.099999999999909</v>
      </c>
      <c r="M301" s="6">
        <f>IF(L301&lt;Settings!$B$30,IF(Settings!$B$30-L301&gt;=I301,K301,K301+(Settings!$B$30-L301)+Settings!$B$31),K301+(Settings!$B$33-L301))</f>
        <v>750.09999999999991</v>
      </c>
      <c r="N301" s="6">
        <f t="shared" si="92"/>
        <v>756.11999999999989</v>
      </c>
      <c r="O301" s="6">
        <f t="shared" si="93"/>
        <v>347.11999999999989</v>
      </c>
      <c r="P301" s="6">
        <f t="shared" si="94"/>
        <v>254.89428593430887</v>
      </c>
      <c r="Q301" s="6">
        <f t="shared" si="95"/>
        <v>73.920372493074638</v>
      </c>
      <c r="R301" s="6">
        <f t="shared" si="96"/>
        <v>0</v>
      </c>
      <c r="S301" s="6">
        <f t="shared" si="97"/>
        <v>328.81465842738351</v>
      </c>
      <c r="T301" s="6" t="str">
        <f>IF(MOD(C301-Settings!$B$32,Settings!$B$33)&lt;Settings!$B$30,"Up","Down")</f>
        <v>Up</v>
      </c>
      <c r="U301" s="6">
        <f>IF(OR(I301&gt;Settings!$B$30,O301&gt;Settings!$B$37),0,1)</f>
        <v>1</v>
      </c>
      <c r="V301" s="6">
        <f>IF(AND(U301=1,O301&lt;=Settings!$B$36),1,0)</f>
        <v>0</v>
      </c>
    </row>
    <row r="302" spans="1:22" x14ac:dyDescent="0.2">
      <c r="A302">
        <f>Arrivals!A302</f>
        <v>3</v>
      </c>
      <c r="B302">
        <f>Arrivals!B302</f>
        <v>57</v>
      </c>
      <c r="C302" s="6">
        <f>Arrivals!F302</f>
        <v>414</v>
      </c>
      <c r="D302" s="6">
        <f>Arrivals!J302</f>
        <v>4.9333627748675619</v>
      </c>
      <c r="E302" s="6">
        <f t="shared" si="98"/>
        <v>676.17962750692527</v>
      </c>
      <c r="F302" s="6">
        <f t="shared" si="89"/>
        <v>676.17962750692527</v>
      </c>
      <c r="G302" s="6">
        <f t="shared" si="90"/>
        <v>681.1129902817928</v>
      </c>
      <c r="H302" s="6">
        <f>Arrivals!L302</f>
        <v>75</v>
      </c>
      <c r="I302" s="6">
        <f>H302*8/ACE_Input!S62+ACE_Input!T62</f>
        <v>6.02</v>
      </c>
      <c r="J302" s="6">
        <f t="shared" si="99"/>
        <v>756.11999999999989</v>
      </c>
      <c r="K302" s="6">
        <f t="shared" si="91"/>
        <v>756.11999999999989</v>
      </c>
      <c r="L302" s="6">
        <f>MOD(K302-Settings!$B$32,Settings!$B$33)</f>
        <v>36.119999999999891</v>
      </c>
      <c r="M302" s="6">
        <f>IF(L302&lt;Settings!$B$30,IF(Settings!$B$30-L302&gt;=I302,K302,K302+(Settings!$B$30-L302)+Settings!$B$31),K302+(Settings!$B$33-L302))</f>
        <v>756.11999999999989</v>
      </c>
      <c r="N302" s="6">
        <f t="shared" si="92"/>
        <v>762.13999999999987</v>
      </c>
      <c r="O302" s="6">
        <f t="shared" si="93"/>
        <v>348.13999999999987</v>
      </c>
      <c r="P302" s="6">
        <f t="shared" si="94"/>
        <v>262.17962750692527</v>
      </c>
      <c r="Q302" s="6">
        <f t="shared" si="95"/>
        <v>75.007009718207087</v>
      </c>
      <c r="R302" s="6">
        <f t="shared" si="96"/>
        <v>0</v>
      </c>
      <c r="S302" s="6">
        <f t="shared" si="97"/>
        <v>337.18663722513236</v>
      </c>
      <c r="T302" s="6" t="str">
        <f>IF(MOD(C302-Settings!$B$32,Settings!$B$33)&lt;Settings!$B$30,"Up","Down")</f>
        <v>Up</v>
      </c>
      <c r="U302" s="6">
        <f>IF(OR(I302&gt;Settings!$B$30,O302&gt;Settings!$B$37),0,1)</f>
        <v>1</v>
      </c>
      <c r="V302" s="6">
        <f>IF(AND(U302=1,O302&lt;=Settings!$B$36),1,0)</f>
        <v>0</v>
      </c>
    </row>
    <row r="303" spans="1:22" x14ac:dyDescent="0.2">
      <c r="A303">
        <f>Arrivals!A303</f>
        <v>3</v>
      </c>
      <c r="B303">
        <f>Arrivals!B303</f>
        <v>58</v>
      </c>
      <c r="C303" s="6">
        <f>Arrivals!F303</f>
        <v>419</v>
      </c>
      <c r="D303" s="6">
        <f>Arrivals!J303</f>
        <v>7.0438109498335777</v>
      </c>
      <c r="E303" s="6">
        <f t="shared" si="98"/>
        <v>681.1129902817928</v>
      </c>
      <c r="F303" s="6">
        <f t="shared" si="89"/>
        <v>681.1129902817928</v>
      </c>
      <c r="G303" s="6">
        <f t="shared" si="90"/>
        <v>688.15680123162633</v>
      </c>
      <c r="H303" s="6">
        <f>Arrivals!L303</f>
        <v>75</v>
      </c>
      <c r="I303" s="6">
        <f>H303*8/ACE_Input!S63+ACE_Input!T63</f>
        <v>6.02</v>
      </c>
      <c r="J303" s="6">
        <f t="shared" si="99"/>
        <v>762.13999999999987</v>
      </c>
      <c r="K303" s="6">
        <f t="shared" si="91"/>
        <v>762.13999999999987</v>
      </c>
      <c r="L303" s="6">
        <f>MOD(K303-Settings!$B$32,Settings!$B$33)</f>
        <v>42.139999999999873</v>
      </c>
      <c r="M303" s="6">
        <f>IF(L303&lt;Settings!$B$30,IF(Settings!$B$30-L303&gt;=I303,K303,K303+(Settings!$B$30-L303)+Settings!$B$31),K303+(Settings!$B$33-L303))</f>
        <v>762.13999999999987</v>
      </c>
      <c r="N303" s="6">
        <f t="shared" si="92"/>
        <v>768.15999999999985</v>
      </c>
      <c r="O303" s="6">
        <f t="shared" si="93"/>
        <v>349.15999999999985</v>
      </c>
      <c r="P303" s="6">
        <f t="shared" si="94"/>
        <v>262.1129902817928</v>
      </c>
      <c r="Q303" s="6">
        <f t="shared" si="95"/>
        <v>73.983198768373541</v>
      </c>
      <c r="R303" s="6">
        <f t="shared" si="96"/>
        <v>0</v>
      </c>
      <c r="S303" s="6">
        <f t="shared" si="97"/>
        <v>336.09618905016634</v>
      </c>
      <c r="T303" s="6" t="str">
        <f>IF(MOD(C303-Settings!$B$32,Settings!$B$33)&lt;Settings!$B$30,"Up","Down")</f>
        <v>Up</v>
      </c>
      <c r="U303" s="6">
        <f>IF(OR(I303&gt;Settings!$B$30,O303&gt;Settings!$B$37),0,1)</f>
        <v>1</v>
      </c>
      <c r="V303" s="6">
        <f>IF(AND(U303=1,O303&lt;=Settings!$B$36),1,0)</f>
        <v>0</v>
      </c>
    </row>
    <row r="304" spans="1:22" x14ac:dyDescent="0.2">
      <c r="A304">
        <f>Arrivals!A304</f>
        <v>3</v>
      </c>
      <c r="B304">
        <f>Arrivals!B304</f>
        <v>59</v>
      </c>
      <c r="C304" s="6">
        <f>Arrivals!F304</f>
        <v>424</v>
      </c>
      <c r="D304" s="6">
        <f>Arrivals!J304</f>
        <v>3.9822105198064124</v>
      </c>
      <c r="E304" s="6">
        <f t="shared" si="98"/>
        <v>688.15680123162633</v>
      </c>
      <c r="F304" s="6">
        <f t="shared" si="89"/>
        <v>688.15680123162633</v>
      </c>
      <c r="G304" s="6">
        <f t="shared" si="90"/>
        <v>692.13901175143269</v>
      </c>
      <c r="H304" s="6">
        <f>Arrivals!L304</f>
        <v>75</v>
      </c>
      <c r="I304" s="6">
        <f>H304*8/ACE_Input!S64+ACE_Input!T64</f>
        <v>6.02</v>
      </c>
      <c r="J304" s="6">
        <f t="shared" si="99"/>
        <v>768.15999999999985</v>
      </c>
      <c r="K304" s="6">
        <f t="shared" si="91"/>
        <v>768.15999999999985</v>
      </c>
      <c r="L304" s="6">
        <f>MOD(K304-Settings!$B$32,Settings!$B$33)</f>
        <v>48.159999999999854</v>
      </c>
      <c r="M304" s="6">
        <f>IF(L304&lt;Settings!$B$30,IF(Settings!$B$30-L304&gt;=I304,K304,K304+(Settings!$B$30-L304)+Settings!$B$31),K304+(Settings!$B$33-L304))</f>
        <v>768.15999999999985</v>
      </c>
      <c r="N304" s="6">
        <f t="shared" si="92"/>
        <v>774.17999999999984</v>
      </c>
      <c r="O304" s="6">
        <f t="shared" si="93"/>
        <v>350.17999999999984</v>
      </c>
      <c r="P304" s="6">
        <f t="shared" si="94"/>
        <v>264.15680123162633</v>
      </c>
      <c r="Q304" s="6">
        <f t="shared" si="95"/>
        <v>76.020988248567164</v>
      </c>
      <c r="R304" s="6">
        <f t="shared" si="96"/>
        <v>0</v>
      </c>
      <c r="S304" s="6">
        <f t="shared" si="97"/>
        <v>340.1777894801935</v>
      </c>
      <c r="T304" s="6" t="str">
        <f>IF(MOD(C304-Settings!$B$32,Settings!$B$33)&lt;Settings!$B$30,"Up","Down")</f>
        <v>Up</v>
      </c>
      <c r="U304" s="6">
        <f>IF(OR(I304&gt;Settings!$B$30,O304&gt;Settings!$B$37),0,1)</f>
        <v>1</v>
      </c>
      <c r="V304" s="6">
        <f>IF(AND(U304=1,O304&lt;=Settings!$B$36),1,0)</f>
        <v>0</v>
      </c>
    </row>
    <row r="305" spans="1:22" x14ac:dyDescent="0.2">
      <c r="A305">
        <f>Arrivals!A305</f>
        <v>3</v>
      </c>
      <c r="B305">
        <f>Arrivals!B305</f>
        <v>60</v>
      </c>
      <c r="C305" s="6">
        <f>Arrivals!F305</f>
        <v>429</v>
      </c>
      <c r="D305" s="6">
        <f>Arrivals!J305</f>
        <v>5.9745306483743494</v>
      </c>
      <c r="E305" s="6">
        <f t="shared" si="98"/>
        <v>692.13901175143269</v>
      </c>
      <c r="F305" s="6">
        <f t="shared" si="89"/>
        <v>692.13901175143269</v>
      </c>
      <c r="G305" s="6">
        <f t="shared" si="90"/>
        <v>698.11354239980699</v>
      </c>
      <c r="H305" s="6">
        <f>Arrivals!L305</f>
        <v>75</v>
      </c>
      <c r="I305" s="6">
        <f>H305*8/ACE_Input!S65+ACE_Input!T65</f>
        <v>6.02</v>
      </c>
      <c r="J305" s="6">
        <f t="shared" si="99"/>
        <v>774.17999999999984</v>
      </c>
      <c r="K305" s="6">
        <f t="shared" si="91"/>
        <v>774.17999999999984</v>
      </c>
      <c r="L305" s="6">
        <f>MOD(K305-Settings!$B$32,Settings!$B$33)</f>
        <v>54.179999999999836</v>
      </c>
      <c r="M305" s="6">
        <f>IF(L305&lt;Settings!$B$30,IF(Settings!$B$30-L305&gt;=I305,K305,K305+(Settings!$B$30-L305)+Settings!$B$31),K305+(Settings!$B$33-L305))</f>
        <v>774.17999999999984</v>
      </c>
      <c r="N305" s="6">
        <f t="shared" si="92"/>
        <v>780.19999999999982</v>
      </c>
      <c r="O305" s="6">
        <f t="shared" si="93"/>
        <v>351.19999999999982</v>
      </c>
      <c r="P305" s="6">
        <f t="shared" si="94"/>
        <v>263.13901175143269</v>
      </c>
      <c r="Q305" s="6">
        <f t="shared" si="95"/>
        <v>76.066457600192848</v>
      </c>
      <c r="R305" s="6">
        <f t="shared" si="96"/>
        <v>0</v>
      </c>
      <c r="S305" s="6">
        <f t="shared" si="97"/>
        <v>339.20546935162554</v>
      </c>
      <c r="T305" s="6" t="str">
        <f>IF(MOD(C305-Settings!$B$32,Settings!$B$33)&lt;Settings!$B$30,"Up","Down")</f>
        <v>Up</v>
      </c>
      <c r="U305" s="6">
        <f>IF(OR(I305&gt;Settings!$B$30,O305&gt;Settings!$B$37),0,1)</f>
        <v>1</v>
      </c>
      <c r="V305" s="6">
        <f>IF(AND(U305=1,O305&lt;=Settings!$B$36),1,0)</f>
        <v>0</v>
      </c>
    </row>
    <row r="306" spans="1:22" x14ac:dyDescent="0.2">
      <c r="A306">
        <f>Arrivals!A306</f>
        <v>3</v>
      </c>
      <c r="B306">
        <f>Arrivals!B306</f>
        <v>61</v>
      </c>
      <c r="C306" s="6">
        <f>Arrivals!F306</f>
        <v>434</v>
      </c>
      <c r="D306" s="6">
        <f>Arrivals!J306</f>
        <v>5.7382528961419403</v>
      </c>
      <c r="E306" s="6">
        <f t="shared" si="98"/>
        <v>698.11354239980699</v>
      </c>
      <c r="F306" s="6">
        <f t="shared" si="89"/>
        <v>698.11354239980699</v>
      </c>
      <c r="G306" s="6">
        <f t="shared" si="90"/>
        <v>703.85179529594893</v>
      </c>
      <c r="H306" s="6">
        <f>Arrivals!L306</f>
        <v>75</v>
      </c>
      <c r="I306" s="6">
        <f>H306*8/ACE_Input!S66+ACE_Input!T66</f>
        <v>6.02</v>
      </c>
      <c r="J306" s="6">
        <f t="shared" si="99"/>
        <v>780.19999999999982</v>
      </c>
      <c r="K306" s="6">
        <f t="shared" si="91"/>
        <v>780.19999999999982</v>
      </c>
      <c r="L306" s="6">
        <f>MOD(K306-Settings!$B$32,Settings!$B$33)</f>
        <v>60.199999999999818</v>
      </c>
      <c r="M306" s="6">
        <f>IF(L306&lt;Settings!$B$30,IF(Settings!$B$30-L306&gt;=I306,K306,K306+(Settings!$B$30-L306)+Settings!$B$31),K306+(Settings!$B$33-L306))</f>
        <v>780.19999999999982</v>
      </c>
      <c r="N306" s="6">
        <f t="shared" si="92"/>
        <v>786.2199999999998</v>
      </c>
      <c r="O306" s="6">
        <f t="shared" si="93"/>
        <v>352.2199999999998</v>
      </c>
      <c r="P306" s="6">
        <f t="shared" si="94"/>
        <v>264.11354239980699</v>
      </c>
      <c r="Q306" s="6">
        <f t="shared" si="95"/>
        <v>76.348204704050886</v>
      </c>
      <c r="R306" s="6">
        <f t="shared" si="96"/>
        <v>0</v>
      </c>
      <c r="S306" s="6">
        <f t="shared" si="97"/>
        <v>340.46174710385787</v>
      </c>
      <c r="T306" s="6" t="str">
        <f>IF(MOD(C306-Settings!$B$32,Settings!$B$33)&lt;Settings!$B$30,"Up","Down")</f>
        <v>Up</v>
      </c>
      <c r="U306" s="6">
        <f>IF(OR(I306&gt;Settings!$B$30,O306&gt;Settings!$B$37),0,1)</f>
        <v>1</v>
      </c>
      <c r="V306" s="6">
        <f>IF(AND(U306=1,O306&lt;=Settings!$B$36),1,0)</f>
        <v>0</v>
      </c>
    </row>
    <row r="307" spans="1:22" x14ac:dyDescent="0.2">
      <c r="A307">
        <f>Arrivals!A307</f>
        <v>3</v>
      </c>
      <c r="B307">
        <f>Arrivals!B307</f>
        <v>62</v>
      </c>
      <c r="C307" s="6">
        <f>Arrivals!F307</f>
        <v>439</v>
      </c>
      <c r="D307" s="6">
        <f>Arrivals!J307</f>
        <v>3.3430882944307685</v>
      </c>
      <c r="E307" s="6">
        <f t="shared" si="98"/>
        <v>703.85179529594893</v>
      </c>
      <c r="F307" s="6">
        <f t="shared" si="89"/>
        <v>703.85179529594893</v>
      </c>
      <c r="G307" s="6">
        <f t="shared" si="90"/>
        <v>707.19488359037973</v>
      </c>
      <c r="H307" s="6">
        <f>Arrivals!L307</f>
        <v>75</v>
      </c>
      <c r="I307" s="6">
        <f>H307*8/ACE_Input!S67+ACE_Input!T67</f>
        <v>6.02</v>
      </c>
      <c r="J307" s="6">
        <f t="shared" si="99"/>
        <v>786.2199999999998</v>
      </c>
      <c r="K307" s="6">
        <f t="shared" si="91"/>
        <v>786.2199999999998</v>
      </c>
      <c r="L307" s="6">
        <f>MOD(K307-Settings!$B$32,Settings!$B$33)</f>
        <v>66.2199999999998</v>
      </c>
      <c r="M307" s="6">
        <f>IF(L307&lt;Settings!$B$30,IF(Settings!$B$30-L307&gt;=I307,K307,K307+(Settings!$B$30-L307)+Settings!$B$31),K307+(Settings!$B$33-L307))</f>
        <v>786.2199999999998</v>
      </c>
      <c r="N307" s="6">
        <f t="shared" si="92"/>
        <v>792.23999999999978</v>
      </c>
      <c r="O307" s="6">
        <f t="shared" si="93"/>
        <v>353.23999999999978</v>
      </c>
      <c r="P307" s="6">
        <f t="shared" si="94"/>
        <v>264.85179529594893</v>
      </c>
      <c r="Q307" s="6">
        <f t="shared" si="95"/>
        <v>79.025116409620068</v>
      </c>
      <c r="R307" s="6">
        <f t="shared" si="96"/>
        <v>0</v>
      </c>
      <c r="S307" s="6">
        <f t="shared" si="97"/>
        <v>343.876911705569</v>
      </c>
      <c r="T307" s="6" t="str">
        <f>IF(MOD(C307-Settings!$B$32,Settings!$B$33)&lt;Settings!$B$30,"Up","Down")</f>
        <v>Up</v>
      </c>
      <c r="U307" s="6">
        <f>IF(OR(I307&gt;Settings!$B$30,O307&gt;Settings!$B$37),0,1)</f>
        <v>1</v>
      </c>
      <c r="V307" s="6">
        <f>IF(AND(U307=1,O307&lt;=Settings!$B$36),1,0)</f>
        <v>0</v>
      </c>
    </row>
    <row r="308" spans="1:22" x14ac:dyDescent="0.2">
      <c r="A308">
        <f>Arrivals!A308</f>
        <v>3</v>
      </c>
      <c r="B308">
        <f>Arrivals!B308</f>
        <v>63</v>
      </c>
      <c r="C308" s="6">
        <f>Arrivals!F308</f>
        <v>444</v>
      </c>
      <c r="D308" s="6">
        <f>Arrivals!J308</f>
        <v>11.877698685646077</v>
      </c>
      <c r="E308" s="6">
        <f t="shared" si="98"/>
        <v>707.19488359037973</v>
      </c>
      <c r="F308" s="6">
        <f t="shared" si="89"/>
        <v>707.19488359037973</v>
      </c>
      <c r="G308" s="6">
        <f t="shared" si="90"/>
        <v>719.07258227602586</v>
      </c>
      <c r="H308" s="6">
        <f>Arrivals!L308</f>
        <v>75</v>
      </c>
      <c r="I308" s="6">
        <f>H308*8/ACE_Input!S68+ACE_Input!T68</f>
        <v>6.02</v>
      </c>
      <c r="J308" s="6">
        <f t="shared" si="99"/>
        <v>792.23999999999978</v>
      </c>
      <c r="K308" s="6">
        <f t="shared" si="91"/>
        <v>792.23999999999978</v>
      </c>
      <c r="L308" s="6">
        <f>MOD(K308-Settings!$B$32,Settings!$B$33)</f>
        <v>72.239999999999782</v>
      </c>
      <c r="M308" s="6">
        <f>IF(L308&lt;Settings!$B$30,IF(Settings!$B$30-L308&gt;=I308,K308,K308+(Settings!$B$30-L308)+Settings!$B$31),K308+(Settings!$B$33-L308))</f>
        <v>792.23999999999978</v>
      </c>
      <c r="N308" s="6">
        <f t="shared" si="92"/>
        <v>798.25999999999976</v>
      </c>
      <c r="O308" s="6">
        <f t="shared" si="93"/>
        <v>354.25999999999976</v>
      </c>
      <c r="P308" s="6">
        <f t="shared" si="94"/>
        <v>263.19488359037973</v>
      </c>
      <c r="Q308" s="6">
        <f t="shared" si="95"/>
        <v>73.167417723973927</v>
      </c>
      <c r="R308" s="6">
        <f t="shared" si="96"/>
        <v>0</v>
      </c>
      <c r="S308" s="6">
        <f t="shared" si="97"/>
        <v>336.36230131435366</v>
      </c>
      <c r="T308" s="6" t="str">
        <f>IF(MOD(C308-Settings!$B$32,Settings!$B$33)&lt;Settings!$B$30,"Up","Down")</f>
        <v>Up</v>
      </c>
      <c r="U308" s="6">
        <f>IF(OR(I308&gt;Settings!$B$30,O308&gt;Settings!$B$37),0,1)</f>
        <v>1</v>
      </c>
      <c r="V308" s="6">
        <f>IF(AND(U308=1,O308&lt;=Settings!$B$36),1,0)</f>
        <v>0</v>
      </c>
    </row>
    <row r="309" spans="1:22" x14ac:dyDescent="0.2">
      <c r="A309">
        <f>Arrivals!A309</f>
        <v>3</v>
      </c>
      <c r="B309">
        <f>Arrivals!B309</f>
        <v>64</v>
      </c>
      <c r="C309" s="6">
        <f>Arrivals!F309</f>
        <v>449</v>
      </c>
      <c r="D309" s="6">
        <f>Arrivals!J309</f>
        <v>14.97006685308553</v>
      </c>
      <c r="E309" s="6">
        <f t="shared" si="98"/>
        <v>719.07258227602586</v>
      </c>
      <c r="F309" s="6">
        <f t="shared" si="89"/>
        <v>719.07258227602586</v>
      </c>
      <c r="G309" s="6">
        <f t="shared" si="90"/>
        <v>734.0426491291114</v>
      </c>
      <c r="H309" s="6">
        <f>Arrivals!L309</f>
        <v>75</v>
      </c>
      <c r="I309" s="6">
        <f>H309*8/ACE_Input!S69+ACE_Input!T69</f>
        <v>6.02</v>
      </c>
      <c r="J309" s="6">
        <f t="shared" si="99"/>
        <v>798.25999999999976</v>
      </c>
      <c r="K309" s="6">
        <f t="shared" si="91"/>
        <v>798.25999999999976</v>
      </c>
      <c r="L309" s="6">
        <f>MOD(K309-Settings!$B$32,Settings!$B$33)</f>
        <v>78.259999999999764</v>
      </c>
      <c r="M309" s="6">
        <f>IF(L309&lt;Settings!$B$30,IF(Settings!$B$30-L309&gt;=I309,K309,K309+(Settings!$B$30-L309)+Settings!$B$31),K309+(Settings!$B$33-L309))</f>
        <v>798.25999999999976</v>
      </c>
      <c r="N309" s="6">
        <f t="shared" si="92"/>
        <v>804.27999999999975</v>
      </c>
      <c r="O309" s="6">
        <f t="shared" si="93"/>
        <v>355.27999999999975</v>
      </c>
      <c r="P309" s="6">
        <f t="shared" si="94"/>
        <v>270.07258227602586</v>
      </c>
      <c r="Q309" s="6">
        <f t="shared" si="95"/>
        <v>64.217350870888367</v>
      </c>
      <c r="R309" s="6">
        <f t="shared" si="96"/>
        <v>0</v>
      </c>
      <c r="S309" s="6">
        <f t="shared" si="97"/>
        <v>334.28993314691422</v>
      </c>
      <c r="T309" s="6" t="str">
        <f>IF(MOD(C309-Settings!$B$32,Settings!$B$33)&lt;Settings!$B$30,"Up","Down")</f>
        <v>Up</v>
      </c>
      <c r="U309" s="6">
        <f>IF(OR(I309&gt;Settings!$B$30,O309&gt;Settings!$B$37),0,1)</f>
        <v>1</v>
      </c>
      <c r="V309" s="6">
        <f>IF(AND(U309=1,O309&lt;=Settings!$B$36),1,0)</f>
        <v>0</v>
      </c>
    </row>
    <row r="310" spans="1:22" x14ac:dyDescent="0.2">
      <c r="A310">
        <f>Arrivals!A310</f>
        <v>3</v>
      </c>
      <c r="B310">
        <f>Arrivals!B310</f>
        <v>65</v>
      </c>
      <c r="C310" s="6">
        <f>Arrivals!F310</f>
        <v>454</v>
      </c>
      <c r="D310" s="6">
        <f>Arrivals!J310</f>
        <v>13.957695343232849</v>
      </c>
      <c r="E310" s="6">
        <f t="shared" si="98"/>
        <v>734.0426491291114</v>
      </c>
      <c r="F310" s="6">
        <f t="shared" ref="F310:F341" si="100">MAX(C310,E310)</f>
        <v>734.0426491291114</v>
      </c>
      <c r="G310" s="6">
        <f t="shared" ref="G310:G341" si="101">F310+D310</f>
        <v>748.0003444723443</v>
      </c>
      <c r="H310" s="6">
        <f>Arrivals!L310</f>
        <v>75</v>
      </c>
      <c r="I310" s="6">
        <f>H310*8/ACE_Input!S70+ACE_Input!T70</f>
        <v>6.02</v>
      </c>
      <c r="J310" s="6">
        <f t="shared" si="99"/>
        <v>804.27999999999975</v>
      </c>
      <c r="K310" s="6">
        <f t="shared" ref="K310:K341" si="102">MAX(G310,J310)</f>
        <v>804.27999999999975</v>
      </c>
      <c r="L310" s="6">
        <f>MOD(K310-Settings!$B$32,Settings!$B$33)</f>
        <v>84.279999999999745</v>
      </c>
      <c r="M310" s="6">
        <f>IF(L310&lt;Settings!$B$30,IF(Settings!$B$30-L310&gt;=I310,K310,K310+(Settings!$B$30-L310)+Settings!$B$31),K310+(Settings!$B$33-L310))</f>
        <v>804.27999999999975</v>
      </c>
      <c r="N310" s="6">
        <f t="shared" ref="N310:N341" si="103">M310+I310</f>
        <v>810.29999999999973</v>
      </c>
      <c r="O310" s="6">
        <f t="shared" ref="O310:O341" si="104">N310-C310</f>
        <v>356.29999999999973</v>
      </c>
      <c r="P310" s="6">
        <f t="shared" ref="P310:P345" si="105">F310-C310</f>
        <v>280.0426491291114</v>
      </c>
      <c r="Q310" s="6">
        <f t="shared" ref="Q310:Q345" si="106">K310-G310</f>
        <v>56.27965552765545</v>
      </c>
      <c r="R310" s="6">
        <f t="shared" ref="R310:R345" si="107">M310-K310</f>
        <v>0</v>
      </c>
      <c r="S310" s="6">
        <f t="shared" ref="S310:S341" si="108">P310+Q310+R310</f>
        <v>336.32230465676685</v>
      </c>
      <c r="T310" s="6" t="str">
        <f>IF(MOD(C310-Settings!$B$32,Settings!$B$33)&lt;Settings!$B$30,"Up","Down")</f>
        <v>Up</v>
      </c>
      <c r="U310" s="6">
        <f>IF(OR(I310&gt;Settings!$B$30,O310&gt;Settings!$B$37),0,1)</f>
        <v>1</v>
      </c>
      <c r="V310" s="6">
        <f>IF(AND(U310=1,O310&lt;=Settings!$B$36),1,0)</f>
        <v>0</v>
      </c>
    </row>
    <row r="311" spans="1:22" x14ac:dyDescent="0.2">
      <c r="A311">
        <f>Arrivals!A311</f>
        <v>3</v>
      </c>
      <c r="B311">
        <f>Arrivals!B311</f>
        <v>66</v>
      </c>
      <c r="C311" s="6">
        <f>Arrivals!F311</f>
        <v>459</v>
      </c>
      <c r="D311" s="6">
        <f>Arrivals!J311</f>
        <v>17.248025543376578</v>
      </c>
      <c r="E311" s="6">
        <f t="shared" ref="E311:E345" si="109">G310</f>
        <v>748.0003444723443</v>
      </c>
      <c r="F311" s="6">
        <f t="shared" si="100"/>
        <v>748.0003444723443</v>
      </c>
      <c r="G311" s="6">
        <f t="shared" si="101"/>
        <v>765.24837001572087</v>
      </c>
      <c r="H311" s="6">
        <f>Arrivals!L311</f>
        <v>75</v>
      </c>
      <c r="I311" s="6">
        <f>H311*8/ACE_Input!S71+ACE_Input!T71</f>
        <v>6.02</v>
      </c>
      <c r="J311" s="6">
        <f t="shared" ref="J311:J345" si="110">N310</f>
        <v>810.29999999999973</v>
      </c>
      <c r="K311" s="6">
        <f t="shared" si="102"/>
        <v>810.29999999999973</v>
      </c>
      <c r="L311" s="6">
        <f>MOD(K311-Settings!$B$32,Settings!$B$33)</f>
        <v>90.299999999999727</v>
      </c>
      <c r="M311" s="6">
        <f>IF(L311&lt;Settings!$B$30,IF(Settings!$B$30-L311&gt;=I311,K311,K311+(Settings!$B$30-L311)+Settings!$B$31),K311+(Settings!$B$33-L311))</f>
        <v>810.29999999999973</v>
      </c>
      <c r="N311" s="6">
        <f t="shared" si="103"/>
        <v>816.31999999999971</v>
      </c>
      <c r="O311" s="6">
        <f t="shared" si="104"/>
        <v>357.31999999999971</v>
      </c>
      <c r="P311" s="6">
        <f t="shared" si="105"/>
        <v>289.0003444723443</v>
      </c>
      <c r="Q311" s="6">
        <f t="shared" si="106"/>
        <v>45.051629984278861</v>
      </c>
      <c r="R311" s="6">
        <f t="shared" si="107"/>
        <v>0</v>
      </c>
      <c r="S311" s="6">
        <f t="shared" si="108"/>
        <v>334.05197445662316</v>
      </c>
      <c r="T311" s="6" t="str">
        <f>IF(MOD(C311-Settings!$B$32,Settings!$B$33)&lt;Settings!$B$30,"Up","Down")</f>
        <v>Up</v>
      </c>
      <c r="U311" s="6">
        <f>IF(OR(I311&gt;Settings!$B$30,O311&gt;Settings!$B$37),0,1)</f>
        <v>1</v>
      </c>
      <c r="V311" s="6">
        <f>IF(AND(U311=1,O311&lt;=Settings!$B$36),1,0)</f>
        <v>0</v>
      </c>
    </row>
    <row r="312" spans="1:22" x14ac:dyDescent="0.2">
      <c r="A312">
        <f>Arrivals!A312</f>
        <v>3</v>
      </c>
      <c r="B312">
        <f>Arrivals!B312</f>
        <v>67</v>
      </c>
      <c r="C312" s="6">
        <f>Arrivals!F312</f>
        <v>474</v>
      </c>
      <c r="D312" s="6">
        <f>Arrivals!J312</f>
        <v>4.8183011571493575</v>
      </c>
      <c r="E312" s="6">
        <f t="shared" si="109"/>
        <v>765.24837001572087</v>
      </c>
      <c r="F312" s="6">
        <f t="shared" si="100"/>
        <v>765.24837001572087</v>
      </c>
      <c r="G312" s="6">
        <f t="shared" si="101"/>
        <v>770.0666711728702</v>
      </c>
      <c r="H312" s="6">
        <f>Arrivals!L312</f>
        <v>75</v>
      </c>
      <c r="I312" s="6">
        <f>H312*8/ACE_Input!S72+ACE_Input!T72</f>
        <v>6.02</v>
      </c>
      <c r="J312" s="6">
        <f t="shared" si="110"/>
        <v>816.31999999999971</v>
      </c>
      <c r="K312" s="6">
        <f t="shared" si="102"/>
        <v>816.31999999999971</v>
      </c>
      <c r="L312" s="6">
        <f>MOD(K312-Settings!$B$32,Settings!$B$33)</f>
        <v>96.319999999999709</v>
      </c>
      <c r="M312" s="6">
        <f>IF(L312&lt;Settings!$B$30,IF(Settings!$B$30-L312&gt;=I312,K312,K312+(Settings!$B$30-L312)+Settings!$B$31),K312+(Settings!$B$33-L312))</f>
        <v>816.31999999999971</v>
      </c>
      <c r="N312" s="6">
        <f t="shared" si="103"/>
        <v>822.33999999999969</v>
      </c>
      <c r="O312" s="6">
        <f t="shared" si="104"/>
        <v>348.33999999999969</v>
      </c>
      <c r="P312" s="6">
        <f t="shared" si="105"/>
        <v>291.24837001572087</v>
      </c>
      <c r="Q312" s="6">
        <f t="shared" si="106"/>
        <v>46.253328827129508</v>
      </c>
      <c r="R312" s="6">
        <f t="shared" si="107"/>
        <v>0</v>
      </c>
      <c r="S312" s="6">
        <f t="shared" si="108"/>
        <v>337.50169884285037</v>
      </c>
      <c r="T312" s="6" t="str">
        <f>IF(MOD(C312-Settings!$B$32,Settings!$B$33)&lt;Settings!$B$30,"Up","Down")</f>
        <v>Up</v>
      </c>
      <c r="U312" s="6">
        <f>IF(OR(I312&gt;Settings!$B$30,O312&gt;Settings!$B$37),0,1)</f>
        <v>1</v>
      </c>
      <c r="V312" s="6">
        <f>IF(AND(U312=1,O312&lt;=Settings!$B$36),1,0)</f>
        <v>0</v>
      </c>
    </row>
    <row r="313" spans="1:22" x14ac:dyDescent="0.2">
      <c r="A313">
        <f>Arrivals!A313</f>
        <v>3</v>
      </c>
      <c r="B313">
        <f>Arrivals!B313</f>
        <v>68</v>
      </c>
      <c r="C313" s="6">
        <f>Arrivals!F313</f>
        <v>479</v>
      </c>
      <c r="D313" s="6">
        <f>Arrivals!J313</f>
        <v>1.260761082615764</v>
      </c>
      <c r="E313" s="6">
        <f t="shared" si="109"/>
        <v>770.0666711728702</v>
      </c>
      <c r="F313" s="6">
        <f t="shared" si="100"/>
        <v>770.0666711728702</v>
      </c>
      <c r="G313" s="6">
        <f t="shared" si="101"/>
        <v>771.32743225548597</v>
      </c>
      <c r="H313" s="6">
        <f>Arrivals!L313</f>
        <v>75</v>
      </c>
      <c r="I313" s="6">
        <f>H313*8/ACE_Input!S73+ACE_Input!T73</f>
        <v>6.02</v>
      </c>
      <c r="J313" s="6">
        <f t="shared" si="110"/>
        <v>822.33999999999969</v>
      </c>
      <c r="K313" s="6">
        <f t="shared" si="102"/>
        <v>822.33999999999969</v>
      </c>
      <c r="L313" s="6">
        <f>MOD(K313-Settings!$B$32,Settings!$B$33)</f>
        <v>102.33999999999969</v>
      </c>
      <c r="M313" s="6">
        <f>IF(L313&lt;Settings!$B$30,IF(Settings!$B$30-L313&gt;=I313,K313,K313+(Settings!$B$30-L313)+Settings!$B$31),K313+(Settings!$B$33-L313))</f>
        <v>822.33999999999969</v>
      </c>
      <c r="N313" s="6">
        <f t="shared" si="103"/>
        <v>828.35999999999967</v>
      </c>
      <c r="O313" s="6">
        <f t="shared" si="104"/>
        <v>349.35999999999967</v>
      </c>
      <c r="P313" s="6">
        <f t="shared" si="105"/>
        <v>291.0666711728702</v>
      </c>
      <c r="Q313" s="6">
        <f t="shared" si="106"/>
        <v>51.012567744513717</v>
      </c>
      <c r="R313" s="6">
        <f t="shared" si="107"/>
        <v>0</v>
      </c>
      <c r="S313" s="6">
        <f t="shared" si="108"/>
        <v>342.07923891738392</v>
      </c>
      <c r="T313" s="6" t="str">
        <f>IF(MOD(C313-Settings!$B$32,Settings!$B$33)&lt;Settings!$B$30,"Up","Down")</f>
        <v>Up</v>
      </c>
      <c r="U313" s="6">
        <f>IF(OR(I313&gt;Settings!$B$30,O313&gt;Settings!$B$37),0,1)</f>
        <v>1</v>
      </c>
      <c r="V313" s="6">
        <f>IF(AND(U313=1,O313&lt;=Settings!$B$36),1,0)</f>
        <v>0</v>
      </c>
    </row>
    <row r="314" spans="1:22" x14ac:dyDescent="0.2">
      <c r="A314">
        <f>Arrivals!A314</f>
        <v>3</v>
      </c>
      <c r="B314">
        <f>Arrivals!B314</f>
        <v>69</v>
      </c>
      <c r="C314" s="6">
        <f>Arrivals!F314</f>
        <v>494</v>
      </c>
      <c r="D314" s="6">
        <f>Arrivals!J314</f>
        <v>2.7594208650868008</v>
      </c>
      <c r="E314" s="6">
        <f t="shared" si="109"/>
        <v>771.32743225548597</v>
      </c>
      <c r="F314" s="6">
        <f t="shared" si="100"/>
        <v>771.32743225548597</v>
      </c>
      <c r="G314" s="6">
        <f t="shared" si="101"/>
        <v>774.08685312057275</v>
      </c>
      <c r="H314" s="6">
        <f>Arrivals!L314</f>
        <v>75</v>
      </c>
      <c r="I314" s="6">
        <f>H314*8/ACE_Input!S74+ACE_Input!T74</f>
        <v>6.02</v>
      </c>
      <c r="J314" s="6">
        <f t="shared" si="110"/>
        <v>828.35999999999967</v>
      </c>
      <c r="K314" s="6">
        <f t="shared" si="102"/>
        <v>828.35999999999967</v>
      </c>
      <c r="L314" s="6">
        <f>MOD(K314-Settings!$B$32,Settings!$B$33)</f>
        <v>108.35999999999967</v>
      </c>
      <c r="M314" s="6">
        <f>IF(L314&lt;Settings!$B$30,IF(Settings!$B$30-L314&gt;=I314,K314,K314+(Settings!$B$30-L314)+Settings!$B$31),K314+(Settings!$B$33-L314))</f>
        <v>828.35999999999967</v>
      </c>
      <c r="N314" s="6">
        <f t="shared" si="103"/>
        <v>834.37999999999965</v>
      </c>
      <c r="O314" s="6">
        <f t="shared" si="104"/>
        <v>340.37999999999965</v>
      </c>
      <c r="P314" s="6">
        <f t="shared" si="105"/>
        <v>277.32743225548597</v>
      </c>
      <c r="Q314" s="6">
        <f t="shared" si="106"/>
        <v>54.273146879426918</v>
      </c>
      <c r="R314" s="6">
        <f t="shared" si="107"/>
        <v>0</v>
      </c>
      <c r="S314" s="6">
        <f t="shared" si="108"/>
        <v>331.60057913491289</v>
      </c>
      <c r="T314" s="6" t="str">
        <f>IF(MOD(C314-Settings!$B$32,Settings!$B$33)&lt;Settings!$B$30,"Up","Down")</f>
        <v>Up</v>
      </c>
      <c r="U314" s="6">
        <f>IF(OR(I314&gt;Settings!$B$30,O314&gt;Settings!$B$37),0,1)</f>
        <v>1</v>
      </c>
      <c r="V314" s="6">
        <f>IF(AND(U314=1,O314&lt;=Settings!$B$36),1,0)</f>
        <v>0</v>
      </c>
    </row>
    <row r="315" spans="1:22" x14ac:dyDescent="0.2">
      <c r="A315">
        <f>Arrivals!A315</f>
        <v>3</v>
      </c>
      <c r="B315">
        <f>Arrivals!B315</f>
        <v>70</v>
      </c>
      <c r="C315" s="6">
        <f>Arrivals!F315</f>
        <v>499</v>
      </c>
      <c r="D315" s="6">
        <f>Arrivals!J315</f>
        <v>11.907043158659729</v>
      </c>
      <c r="E315" s="6">
        <f t="shared" si="109"/>
        <v>774.08685312057275</v>
      </c>
      <c r="F315" s="6">
        <f t="shared" si="100"/>
        <v>774.08685312057275</v>
      </c>
      <c r="G315" s="6">
        <f t="shared" si="101"/>
        <v>785.99389627923244</v>
      </c>
      <c r="H315" s="6">
        <f>Arrivals!L315</f>
        <v>75</v>
      </c>
      <c r="I315" s="6">
        <f>H315*8/ACE_Input!S75+ACE_Input!T75</f>
        <v>6.02</v>
      </c>
      <c r="J315" s="6">
        <f t="shared" si="110"/>
        <v>834.37999999999965</v>
      </c>
      <c r="K315" s="6">
        <f t="shared" si="102"/>
        <v>834.37999999999965</v>
      </c>
      <c r="L315" s="6">
        <f>MOD(K315-Settings!$B$32,Settings!$B$33)</f>
        <v>114.37999999999965</v>
      </c>
      <c r="M315" s="6">
        <f>IF(L315&lt;Settings!$B$30,IF(Settings!$B$30-L315&gt;=I315,K315,K315+(Settings!$B$30-L315)+Settings!$B$31),K315+(Settings!$B$33-L315))</f>
        <v>834.37999999999965</v>
      </c>
      <c r="N315" s="6">
        <f t="shared" si="103"/>
        <v>840.39999999999964</v>
      </c>
      <c r="O315" s="6">
        <f t="shared" si="104"/>
        <v>341.39999999999964</v>
      </c>
      <c r="P315" s="6">
        <f t="shared" si="105"/>
        <v>275.08685312057275</v>
      </c>
      <c r="Q315" s="6">
        <f t="shared" si="106"/>
        <v>48.38610372076721</v>
      </c>
      <c r="R315" s="6">
        <f t="shared" si="107"/>
        <v>0</v>
      </c>
      <c r="S315" s="6">
        <f t="shared" si="108"/>
        <v>323.47295684133996</v>
      </c>
      <c r="T315" s="6" t="str">
        <f>IF(MOD(C315-Settings!$B$32,Settings!$B$33)&lt;Settings!$B$30,"Up","Down")</f>
        <v>Up</v>
      </c>
      <c r="U315" s="6">
        <f>IF(OR(I315&gt;Settings!$B$30,O315&gt;Settings!$B$37),0,1)</f>
        <v>1</v>
      </c>
      <c r="V315" s="6">
        <f>IF(AND(U315=1,O315&lt;=Settings!$B$36),1,0)</f>
        <v>0</v>
      </c>
    </row>
    <row r="316" spans="1:22" x14ac:dyDescent="0.2">
      <c r="A316">
        <f>Arrivals!A316</f>
        <v>3</v>
      </c>
      <c r="B316">
        <f>Arrivals!B316</f>
        <v>71</v>
      </c>
      <c r="C316" s="6">
        <f>Arrivals!F316</f>
        <v>504</v>
      </c>
      <c r="D316" s="6">
        <f>Arrivals!J316</f>
        <v>41.538823103105841</v>
      </c>
      <c r="E316" s="6">
        <f t="shared" si="109"/>
        <v>785.99389627923244</v>
      </c>
      <c r="F316" s="6">
        <f t="shared" si="100"/>
        <v>785.99389627923244</v>
      </c>
      <c r="G316" s="6">
        <f t="shared" si="101"/>
        <v>827.53271938233831</v>
      </c>
      <c r="H316" s="6">
        <f>Arrivals!L316</f>
        <v>75</v>
      </c>
      <c r="I316" s="6">
        <f>H316*8/ACE_Input!S76+ACE_Input!T76</f>
        <v>6.02</v>
      </c>
      <c r="J316" s="6">
        <f t="shared" si="110"/>
        <v>840.39999999999964</v>
      </c>
      <c r="K316" s="6">
        <f t="shared" si="102"/>
        <v>840.39999999999964</v>
      </c>
      <c r="L316" s="6">
        <f>MOD(K316-Settings!$B$32,Settings!$B$33)</f>
        <v>120.39999999999964</v>
      </c>
      <c r="M316" s="6">
        <f>IF(L316&lt;Settings!$B$30,IF(Settings!$B$30-L316&gt;=I316,K316,K316+(Settings!$B$30-L316)+Settings!$B$31),K316+(Settings!$B$33-L316))</f>
        <v>840.39999999999964</v>
      </c>
      <c r="N316" s="6">
        <f t="shared" si="103"/>
        <v>846.41999999999962</v>
      </c>
      <c r="O316" s="6">
        <f t="shared" si="104"/>
        <v>342.41999999999962</v>
      </c>
      <c r="P316" s="6">
        <f t="shared" si="105"/>
        <v>281.99389627923244</v>
      </c>
      <c r="Q316" s="6">
        <f t="shared" si="106"/>
        <v>12.867280617661322</v>
      </c>
      <c r="R316" s="6">
        <f t="shared" si="107"/>
        <v>0</v>
      </c>
      <c r="S316" s="6">
        <f t="shared" si="108"/>
        <v>294.86117689689377</v>
      </c>
      <c r="T316" s="6" t="str">
        <f>IF(MOD(C316-Settings!$B$32,Settings!$B$33)&lt;Settings!$B$30,"Up","Down")</f>
        <v>Up</v>
      </c>
      <c r="U316" s="6">
        <f>IF(OR(I316&gt;Settings!$B$30,O316&gt;Settings!$B$37),0,1)</f>
        <v>1</v>
      </c>
      <c r="V316" s="6">
        <f>IF(AND(U316=1,O316&lt;=Settings!$B$36),1,0)</f>
        <v>0</v>
      </c>
    </row>
    <row r="317" spans="1:22" x14ac:dyDescent="0.2">
      <c r="A317">
        <f>Arrivals!A317</f>
        <v>3</v>
      </c>
      <c r="B317">
        <f>Arrivals!B317</f>
        <v>72</v>
      </c>
      <c r="C317" s="6">
        <f>Arrivals!F317</f>
        <v>509</v>
      </c>
      <c r="D317" s="6">
        <f>Arrivals!J317</f>
        <v>10.63883912606992</v>
      </c>
      <c r="E317" s="6">
        <f t="shared" si="109"/>
        <v>827.53271938233831</v>
      </c>
      <c r="F317" s="6">
        <f t="shared" si="100"/>
        <v>827.53271938233831</v>
      </c>
      <c r="G317" s="6">
        <f t="shared" si="101"/>
        <v>838.17155850840822</v>
      </c>
      <c r="H317" s="6">
        <f>Arrivals!L317</f>
        <v>75</v>
      </c>
      <c r="I317" s="6">
        <f>H317*8/ACE_Input!S77+ACE_Input!T77</f>
        <v>6.02</v>
      </c>
      <c r="J317" s="6">
        <f t="shared" si="110"/>
        <v>846.41999999999962</v>
      </c>
      <c r="K317" s="6">
        <f t="shared" si="102"/>
        <v>846.41999999999962</v>
      </c>
      <c r="L317" s="6">
        <f>MOD(K317-Settings!$B$32,Settings!$B$33)</f>
        <v>126.41999999999962</v>
      </c>
      <c r="M317" s="6">
        <f>IF(L317&lt;Settings!$B$30,IF(Settings!$B$30-L317&gt;=I317,K317,K317+(Settings!$B$30-L317)+Settings!$B$31),K317+(Settings!$B$33-L317))</f>
        <v>846.41999999999962</v>
      </c>
      <c r="N317" s="6">
        <f t="shared" si="103"/>
        <v>852.4399999999996</v>
      </c>
      <c r="O317" s="6">
        <f t="shared" si="104"/>
        <v>343.4399999999996</v>
      </c>
      <c r="P317" s="6">
        <f t="shared" si="105"/>
        <v>318.53271938233831</v>
      </c>
      <c r="Q317" s="6">
        <f t="shared" si="106"/>
        <v>8.2484414915913931</v>
      </c>
      <c r="R317" s="6">
        <f t="shared" si="107"/>
        <v>0</v>
      </c>
      <c r="S317" s="6">
        <f t="shared" si="108"/>
        <v>326.78116087392971</v>
      </c>
      <c r="T317" s="6" t="str">
        <f>IF(MOD(C317-Settings!$B$32,Settings!$B$33)&lt;Settings!$B$30,"Up","Down")</f>
        <v>Up</v>
      </c>
      <c r="U317" s="6">
        <f>IF(OR(I317&gt;Settings!$B$30,O317&gt;Settings!$B$37),0,1)</f>
        <v>1</v>
      </c>
      <c r="V317" s="6">
        <f>IF(AND(U317=1,O317&lt;=Settings!$B$36),1,0)</f>
        <v>0</v>
      </c>
    </row>
    <row r="318" spans="1:22" x14ac:dyDescent="0.2">
      <c r="A318">
        <f>Arrivals!A318</f>
        <v>3</v>
      </c>
      <c r="B318">
        <f>Arrivals!B318</f>
        <v>73</v>
      </c>
      <c r="C318" s="6">
        <f>Arrivals!F318</f>
        <v>514</v>
      </c>
      <c r="D318" s="6">
        <f>Arrivals!J318</f>
        <v>6.0129926089397907</v>
      </c>
      <c r="E318" s="6">
        <f t="shared" si="109"/>
        <v>838.17155850840822</v>
      </c>
      <c r="F318" s="6">
        <f t="shared" si="100"/>
        <v>838.17155850840822</v>
      </c>
      <c r="G318" s="6">
        <f t="shared" si="101"/>
        <v>844.18455111734806</v>
      </c>
      <c r="H318" s="6">
        <f>Arrivals!L318</f>
        <v>75</v>
      </c>
      <c r="I318" s="6">
        <f>H318*8/ACE_Input!S78+ACE_Input!T78</f>
        <v>6.02</v>
      </c>
      <c r="J318" s="6">
        <f t="shared" si="110"/>
        <v>852.4399999999996</v>
      </c>
      <c r="K318" s="6">
        <f t="shared" si="102"/>
        <v>852.4399999999996</v>
      </c>
      <c r="L318" s="6">
        <f>MOD(K318-Settings!$B$32,Settings!$B$33)</f>
        <v>132.4399999999996</v>
      </c>
      <c r="M318" s="6">
        <f>IF(L318&lt;Settings!$B$30,IF(Settings!$B$30-L318&gt;=I318,K318,K318+(Settings!$B$30-L318)+Settings!$B$31),K318+(Settings!$B$33-L318))</f>
        <v>852.4399999999996</v>
      </c>
      <c r="N318" s="6">
        <f t="shared" si="103"/>
        <v>858.45999999999958</v>
      </c>
      <c r="O318" s="6">
        <f t="shared" si="104"/>
        <v>344.45999999999958</v>
      </c>
      <c r="P318" s="6">
        <f t="shared" si="105"/>
        <v>324.17155850840822</v>
      </c>
      <c r="Q318" s="6">
        <f t="shared" si="106"/>
        <v>8.2554488826515353</v>
      </c>
      <c r="R318" s="6">
        <f t="shared" si="107"/>
        <v>0</v>
      </c>
      <c r="S318" s="6">
        <f t="shared" si="108"/>
        <v>332.42700739105976</v>
      </c>
      <c r="T318" s="6" t="str">
        <f>IF(MOD(C318-Settings!$B$32,Settings!$B$33)&lt;Settings!$B$30,"Up","Down")</f>
        <v>Up</v>
      </c>
      <c r="U318" s="6">
        <f>IF(OR(I318&gt;Settings!$B$30,O318&gt;Settings!$B$37),0,1)</f>
        <v>1</v>
      </c>
      <c r="V318" s="6">
        <f>IF(AND(U318=1,O318&lt;=Settings!$B$36),1,0)</f>
        <v>0</v>
      </c>
    </row>
    <row r="319" spans="1:22" x14ac:dyDescent="0.2">
      <c r="A319">
        <f>Arrivals!A319</f>
        <v>3</v>
      </c>
      <c r="B319">
        <f>Arrivals!B319</f>
        <v>74</v>
      </c>
      <c r="C319" s="6">
        <f>Arrivals!F319</f>
        <v>519</v>
      </c>
      <c r="D319" s="6">
        <f>Arrivals!J319</f>
        <v>0.876115820985373</v>
      </c>
      <c r="E319" s="6">
        <f t="shared" si="109"/>
        <v>844.18455111734806</v>
      </c>
      <c r="F319" s="6">
        <f t="shared" si="100"/>
        <v>844.18455111734806</v>
      </c>
      <c r="G319" s="6">
        <f t="shared" si="101"/>
        <v>845.06066693833338</v>
      </c>
      <c r="H319" s="6">
        <f>Arrivals!L319</f>
        <v>75</v>
      </c>
      <c r="I319" s="6">
        <f>H319*8/ACE_Input!S79+ACE_Input!T79</f>
        <v>6.02</v>
      </c>
      <c r="J319" s="6">
        <f t="shared" si="110"/>
        <v>858.45999999999958</v>
      </c>
      <c r="K319" s="6">
        <f t="shared" si="102"/>
        <v>858.45999999999958</v>
      </c>
      <c r="L319" s="6">
        <f>MOD(K319-Settings!$B$32,Settings!$B$33)</f>
        <v>138.45999999999958</v>
      </c>
      <c r="M319" s="6">
        <f>IF(L319&lt;Settings!$B$30,IF(Settings!$B$30-L319&gt;=I319,K319,K319+(Settings!$B$30-L319)+Settings!$B$31),K319+(Settings!$B$33-L319))</f>
        <v>858.45999999999958</v>
      </c>
      <c r="N319" s="6">
        <f t="shared" si="103"/>
        <v>864.47999999999956</v>
      </c>
      <c r="O319" s="6">
        <f t="shared" si="104"/>
        <v>345.47999999999956</v>
      </c>
      <c r="P319" s="6">
        <f t="shared" si="105"/>
        <v>325.18455111734806</v>
      </c>
      <c r="Q319" s="6">
        <f t="shared" si="106"/>
        <v>13.399333061666198</v>
      </c>
      <c r="R319" s="6">
        <f t="shared" si="107"/>
        <v>0</v>
      </c>
      <c r="S319" s="6">
        <f t="shared" si="108"/>
        <v>338.58388417901426</v>
      </c>
      <c r="T319" s="6" t="str">
        <f>IF(MOD(C319-Settings!$B$32,Settings!$B$33)&lt;Settings!$B$30,"Up","Down")</f>
        <v>Up</v>
      </c>
      <c r="U319" s="6">
        <f>IF(OR(I319&gt;Settings!$B$30,O319&gt;Settings!$B$37),0,1)</f>
        <v>1</v>
      </c>
      <c r="V319" s="6">
        <f>IF(AND(U319=1,O319&lt;=Settings!$B$36),1,0)</f>
        <v>0</v>
      </c>
    </row>
    <row r="320" spans="1:22" x14ac:dyDescent="0.2">
      <c r="A320">
        <f>Arrivals!A320</f>
        <v>3</v>
      </c>
      <c r="B320">
        <f>Arrivals!B320</f>
        <v>75</v>
      </c>
      <c r="C320" s="6">
        <f>Arrivals!F320</f>
        <v>524</v>
      </c>
      <c r="D320" s="6">
        <f>Arrivals!J320</f>
        <v>5.1628619868806123</v>
      </c>
      <c r="E320" s="6">
        <f t="shared" si="109"/>
        <v>845.06066693833338</v>
      </c>
      <c r="F320" s="6">
        <f t="shared" si="100"/>
        <v>845.06066693833338</v>
      </c>
      <c r="G320" s="6">
        <f t="shared" si="101"/>
        <v>850.22352892521394</v>
      </c>
      <c r="H320" s="6">
        <f>Arrivals!L320</f>
        <v>75</v>
      </c>
      <c r="I320" s="6">
        <f>H320*8/ACE_Input!S80+ACE_Input!T80</f>
        <v>6.02</v>
      </c>
      <c r="J320" s="6">
        <f t="shared" si="110"/>
        <v>864.47999999999956</v>
      </c>
      <c r="K320" s="6">
        <f t="shared" si="102"/>
        <v>864.47999999999956</v>
      </c>
      <c r="L320" s="6">
        <f>MOD(K320-Settings!$B$32,Settings!$B$33)</f>
        <v>144.47999999999956</v>
      </c>
      <c r="M320" s="6">
        <f>IF(L320&lt;Settings!$B$30,IF(Settings!$B$30-L320&gt;=I320,K320,K320+(Settings!$B$30-L320)+Settings!$B$31),K320+(Settings!$B$33-L320))</f>
        <v>864.47999999999956</v>
      </c>
      <c r="N320" s="6">
        <f t="shared" si="103"/>
        <v>870.49999999999955</v>
      </c>
      <c r="O320" s="6">
        <f t="shared" si="104"/>
        <v>346.49999999999955</v>
      </c>
      <c r="P320" s="6">
        <f t="shared" si="105"/>
        <v>321.06066693833338</v>
      </c>
      <c r="Q320" s="6">
        <f t="shared" si="106"/>
        <v>14.256471074785622</v>
      </c>
      <c r="R320" s="6">
        <f t="shared" si="107"/>
        <v>0</v>
      </c>
      <c r="S320" s="6">
        <f t="shared" si="108"/>
        <v>335.31713801311901</v>
      </c>
      <c r="T320" s="6" t="str">
        <f>IF(MOD(C320-Settings!$B$32,Settings!$B$33)&lt;Settings!$B$30,"Up","Down")</f>
        <v>Up</v>
      </c>
      <c r="U320" s="6">
        <f>IF(OR(I320&gt;Settings!$B$30,O320&gt;Settings!$B$37),0,1)</f>
        <v>1</v>
      </c>
      <c r="V320" s="6">
        <f>IF(AND(U320=1,O320&lt;=Settings!$B$36),1,0)</f>
        <v>0</v>
      </c>
    </row>
    <row r="321" spans="1:22" x14ac:dyDescent="0.2">
      <c r="A321">
        <f>Arrivals!A321</f>
        <v>3</v>
      </c>
      <c r="B321">
        <f>Arrivals!B321</f>
        <v>76</v>
      </c>
      <c r="C321" s="6">
        <f>Arrivals!F321</f>
        <v>529</v>
      </c>
      <c r="D321" s="6">
        <f>Arrivals!J321</f>
        <v>8.3386156842725967</v>
      </c>
      <c r="E321" s="6">
        <f t="shared" si="109"/>
        <v>850.22352892521394</v>
      </c>
      <c r="F321" s="6">
        <f t="shared" si="100"/>
        <v>850.22352892521394</v>
      </c>
      <c r="G321" s="6">
        <f t="shared" si="101"/>
        <v>858.5621446094865</v>
      </c>
      <c r="H321" s="6">
        <f>Arrivals!L321</f>
        <v>75</v>
      </c>
      <c r="I321" s="6">
        <f>H321*8/ACE_Input!S81+ACE_Input!T81</f>
        <v>6.02</v>
      </c>
      <c r="J321" s="6">
        <f t="shared" si="110"/>
        <v>870.49999999999955</v>
      </c>
      <c r="K321" s="6">
        <f t="shared" si="102"/>
        <v>870.49999999999955</v>
      </c>
      <c r="L321" s="6">
        <f>MOD(K321-Settings!$B$32,Settings!$B$33)</f>
        <v>150.49999999999955</v>
      </c>
      <c r="M321" s="6">
        <f>IF(L321&lt;Settings!$B$30,IF(Settings!$B$30-L321&gt;=I321,K321,K321+(Settings!$B$30-L321)+Settings!$B$31),K321+(Settings!$B$33-L321))</f>
        <v>870.49999999999955</v>
      </c>
      <c r="N321" s="6">
        <f t="shared" si="103"/>
        <v>876.51999999999953</v>
      </c>
      <c r="O321" s="6">
        <f t="shared" si="104"/>
        <v>347.51999999999953</v>
      </c>
      <c r="P321" s="6">
        <f t="shared" si="105"/>
        <v>321.22352892521394</v>
      </c>
      <c r="Q321" s="6">
        <f t="shared" si="106"/>
        <v>11.93785539051305</v>
      </c>
      <c r="R321" s="6">
        <f t="shared" si="107"/>
        <v>0</v>
      </c>
      <c r="S321" s="6">
        <f t="shared" si="108"/>
        <v>333.16138431572699</v>
      </c>
      <c r="T321" s="6" t="str">
        <f>IF(MOD(C321-Settings!$B$32,Settings!$B$33)&lt;Settings!$B$30,"Up","Down")</f>
        <v>Up</v>
      </c>
      <c r="U321" s="6">
        <f>IF(OR(I321&gt;Settings!$B$30,O321&gt;Settings!$B$37),0,1)</f>
        <v>1</v>
      </c>
      <c r="V321" s="6">
        <f>IF(AND(U321=1,O321&lt;=Settings!$B$36),1,0)</f>
        <v>0</v>
      </c>
    </row>
    <row r="322" spans="1:22" x14ac:dyDescent="0.2">
      <c r="A322">
        <f>Arrivals!A322</f>
        <v>3</v>
      </c>
      <c r="B322">
        <f>Arrivals!B322</f>
        <v>77</v>
      </c>
      <c r="C322" s="6">
        <f>Arrivals!F322</f>
        <v>534</v>
      </c>
      <c r="D322" s="6">
        <f>Arrivals!J322</f>
        <v>1.1062603027617461</v>
      </c>
      <c r="E322" s="6">
        <f t="shared" si="109"/>
        <v>858.5621446094865</v>
      </c>
      <c r="F322" s="6">
        <f t="shared" si="100"/>
        <v>858.5621446094865</v>
      </c>
      <c r="G322" s="6">
        <f t="shared" si="101"/>
        <v>859.66840491224821</v>
      </c>
      <c r="H322" s="6">
        <f>Arrivals!L322</f>
        <v>75</v>
      </c>
      <c r="I322" s="6">
        <f>H322*8/ACE_Input!S82+ACE_Input!T82</f>
        <v>6.02</v>
      </c>
      <c r="J322" s="6">
        <f t="shared" si="110"/>
        <v>876.51999999999953</v>
      </c>
      <c r="K322" s="6">
        <f t="shared" si="102"/>
        <v>876.51999999999953</v>
      </c>
      <c r="L322" s="6">
        <f>MOD(K322-Settings!$B$32,Settings!$B$33)</f>
        <v>156.51999999999953</v>
      </c>
      <c r="M322" s="6">
        <f>IF(L322&lt;Settings!$B$30,IF(Settings!$B$30-L322&gt;=I322,K322,K322+(Settings!$B$30-L322)+Settings!$B$31),K322+(Settings!$B$33-L322))</f>
        <v>876.51999999999953</v>
      </c>
      <c r="N322" s="6">
        <f t="shared" si="103"/>
        <v>882.53999999999951</v>
      </c>
      <c r="O322" s="6">
        <f t="shared" si="104"/>
        <v>348.53999999999951</v>
      </c>
      <c r="P322" s="6">
        <f t="shared" si="105"/>
        <v>324.5621446094865</v>
      </c>
      <c r="Q322" s="6">
        <f t="shared" si="106"/>
        <v>16.851595087751321</v>
      </c>
      <c r="R322" s="6">
        <f t="shared" si="107"/>
        <v>0</v>
      </c>
      <c r="S322" s="6">
        <f t="shared" si="108"/>
        <v>341.41373969723782</v>
      </c>
      <c r="T322" s="6" t="str">
        <f>IF(MOD(C322-Settings!$B$32,Settings!$B$33)&lt;Settings!$B$30,"Up","Down")</f>
        <v>Up</v>
      </c>
      <c r="U322" s="6">
        <f>IF(OR(I322&gt;Settings!$B$30,O322&gt;Settings!$B$37),0,1)</f>
        <v>1</v>
      </c>
      <c r="V322" s="6">
        <f>IF(AND(U322=1,O322&lt;=Settings!$B$36),1,0)</f>
        <v>0</v>
      </c>
    </row>
    <row r="323" spans="1:22" x14ac:dyDescent="0.2">
      <c r="A323">
        <f>Arrivals!A323</f>
        <v>3</v>
      </c>
      <c r="B323">
        <f>Arrivals!B323</f>
        <v>78</v>
      </c>
      <c r="C323" s="6">
        <f>Arrivals!F323</f>
        <v>539</v>
      </c>
      <c r="D323" s="6">
        <f>Arrivals!J323</f>
        <v>1.7537678330390176</v>
      </c>
      <c r="E323" s="6">
        <f t="shared" si="109"/>
        <v>859.66840491224821</v>
      </c>
      <c r="F323" s="6">
        <f t="shared" si="100"/>
        <v>859.66840491224821</v>
      </c>
      <c r="G323" s="6">
        <f t="shared" si="101"/>
        <v>861.42217274528718</v>
      </c>
      <c r="H323" s="6">
        <f>Arrivals!L323</f>
        <v>75</v>
      </c>
      <c r="I323" s="6">
        <f>H323*8/ACE_Input!S83+ACE_Input!T83</f>
        <v>6.02</v>
      </c>
      <c r="J323" s="6">
        <f t="shared" si="110"/>
        <v>882.53999999999951</v>
      </c>
      <c r="K323" s="6">
        <f t="shared" si="102"/>
        <v>882.53999999999951</v>
      </c>
      <c r="L323" s="6">
        <f>MOD(K323-Settings!$B$32,Settings!$B$33)</f>
        <v>162.53999999999951</v>
      </c>
      <c r="M323" s="6">
        <f>IF(L323&lt;Settings!$B$30,IF(Settings!$B$30-L323&gt;=I323,K323,K323+(Settings!$B$30-L323)+Settings!$B$31),K323+(Settings!$B$33-L323))</f>
        <v>882.53999999999951</v>
      </c>
      <c r="N323" s="6">
        <f t="shared" si="103"/>
        <v>888.55999999999949</v>
      </c>
      <c r="O323" s="6">
        <f t="shared" si="104"/>
        <v>349.55999999999949</v>
      </c>
      <c r="P323" s="6">
        <f t="shared" si="105"/>
        <v>320.66840491224821</v>
      </c>
      <c r="Q323" s="6">
        <f t="shared" si="106"/>
        <v>21.117827254712324</v>
      </c>
      <c r="R323" s="6">
        <f t="shared" si="107"/>
        <v>0</v>
      </c>
      <c r="S323" s="6">
        <f t="shared" si="108"/>
        <v>341.78623216696053</v>
      </c>
      <c r="T323" s="6" t="str">
        <f>IF(MOD(C323-Settings!$B$32,Settings!$B$33)&lt;Settings!$B$30,"Up","Down")</f>
        <v>Up</v>
      </c>
      <c r="U323" s="6">
        <f>IF(OR(I323&gt;Settings!$B$30,O323&gt;Settings!$B$37),0,1)</f>
        <v>1</v>
      </c>
      <c r="V323" s="6">
        <f>IF(AND(U323=1,O323&lt;=Settings!$B$36),1,0)</f>
        <v>0</v>
      </c>
    </row>
    <row r="324" spans="1:22" x14ac:dyDescent="0.2">
      <c r="A324">
        <f>Arrivals!A324</f>
        <v>3</v>
      </c>
      <c r="B324">
        <f>Arrivals!B324</f>
        <v>79</v>
      </c>
      <c r="C324" s="6">
        <f>Arrivals!F324</f>
        <v>544</v>
      </c>
      <c r="D324" s="6">
        <f>Arrivals!J324</f>
        <v>3.3086828436507227</v>
      </c>
      <c r="E324" s="6">
        <f t="shared" si="109"/>
        <v>861.42217274528718</v>
      </c>
      <c r="F324" s="6">
        <f t="shared" si="100"/>
        <v>861.42217274528718</v>
      </c>
      <c r="G324" s="6">
        <f t="shared" si="101"/>
        <v>864.73085558893786</v>
      </c>
      <c r="H324" s="6">
        <f>Arrivals!L324</f>
        <v>75</v>
      </c>
      <c r="I324" s="6">
        <f>H324*8/ACE_Input!S84+ACE_Input!T84</f>
        <v>6.02</v>
      </c>
      <c r="J324" s="6">
        <f t="shared" si="110"/>
        <v>888.55999999999949</v>
      </c>
      <c r="K324" s="6">
        <f t="shared" si="102"/>
        <v>888.55999999999949</v>
      </c>
      <c r="L324" s="6">
        <f>MOD(K324-Settings!$B$32,Settings!$B$33)</f>
        <v>168.55999999999949</v>
      </c>
      <c r="M324" s="6">
        <f>IF(L324&lt;Settings!$B$30,IF(Settings!$B$30-L324&gt;=I324,K324,K324+(Settings!$B$30-L324)+Settings!$B$31),K324+(Settings!$B$33-L324))</f>
        <v>888.55999999999949</v>
      </c>
      <c r="N324" s="6">
        <f t="shared" si="103"/>
        <v>894.57999999999947</v>
      </c>
      <c r="O324" s="6">
        <f t="shared" si="104"/>
        <v>350.57999999999947</v>
      </c>
      <c r="P324" s="6">
        <f t="shared" si="105"/>
        <v>317.42217274528718</v>
      </c>
      <c r="Q324" s="6">
        <f t="shared" si="106"/>
        <v>23.829144411061634</v>
      </c>
      <c r="R324" s="6">
        <f t="shared" si="107"/>
        <v>0</v>
      </c>
      <c r="S324" s="6">
        <f t="shared" si="108"/>
        <v>341.25131715634882</v>
      </c>
      <c r="T324" s="6" t="str">
        <f>IF(MOD(C324-Settings!$B$32,Settings!$B$33)&lt;Settings!$B$30,"Up","Down")</f>
        <v>Up</v>
      </c>
      <c r="U324" s="6">
        <f>IF(OR(I324&gt;Settings!$B$30,O324&gt;Settings!$B$37),0,1)</f>
        <v>1</v>
      </c>
      <c r="V324" s="6">
        <f>IF(AND(U324=1,O324&lt;=Settings!$B$36),1,0)</f>
        <v>0</v>
      </c>
    </row>
    <row r="325" spans="1:22" x14ac:dyDescent="0.2">
      <c r="A325">
        <f>Arrivals!A325</f>
        <v>3</v>
      </c>
      <c r="B325">
        <f>Arrivals!B325</f>
        <v>80</v>
      </c>
      <c r="C325" s="6">
        <f>Arrivals!F325</f>
        <v>549</v>
      </c>
      <c r="D325" s="6">
        <f>Arrivals!J325</f>
        <v>1.333531954945399</v>
      </c>
      <c r="E325" s="6">
        <f t="shared" si="109"/>
        <v>864.73085558893786</v>
      </c>
      <c r="F325" s="6">
        <f t="shared" si="100"/>
        <v>864.73085558893786</v>
      </c>
      <c r="G325" s="6">
        <f t="shared" si="101"/>
        <v>866.0643875438833</v>
      </c>
      <c r="H325" s="6">
        <f>Arrivals!L325</f>
        <v>75</v>
      </c>
      <c r="I325" s="6">
        <f>H325*8/ACE_Input!S85+ACE_Input!T85</f>
        <v>6.02</v>
      </c>
      <c r="J325" s="6">
        <f t="shared" si="110"/>
        <v>894.57999999999947</v>
      </c>
      <c r="K325" s="6">
        <f t="shared" si="102"/>
        <v>894.57999999999947</v>
      </c>
      <c r="L325" s="6">
        <f>MOD(K325-Settings!$B$32,Settings!$B$33)</f>
        <v>174.57999999999947</v>
      </c>
      <c r="M325" s="6">
        <f>IF(L325&lt;Settings!$B$30,IF(Settings!$B$30-L325&gt;=I325,K325,K325+(Settings!$B$30-L325)+Settings!$B$31),K325+(Settings!$B$33-L325))</f>
        <v>894.57999999999947</v>
      </c>
      <c r="N325" s="6">
        <f t="shared" si="103"/>
        <v>900.59999999999945</v>
      </c>
      <c r="O325" s="6">
        <f t="shared" si="104"/>
        <v>351.59999999999945</v>
      </c>
      <c r="P325" s="6">
        <f t="shared" si="105"/>
        <v>315.73085558893786</v>
      </c>
      <c r="Q325" s="6">
        <f t="shared" si="106"/>
        <v>28.515612456116173</v>
      </c>
      <c r="R325" s="6">
        <f t="shared" si="107"/>
        <v>0</v>
      </c>
      <c r="S325" s="6">
        <f t="shared" si="108"/>
        <v>344.24646804505403</v>
      </c>
      <c r="T325" s="6" t="str">
        <f>IF(MOD(C325-Settings!$B$32,Settings!$B$33)&lt;Settings!$B$30,"Up","Down")</f>
        <v>Up</v>
      </c>
      <c r="U325" s="6">
        <f>IF(OR(I325&gt;Settings!$B$30,O325&gt;Settings!$B$37),0,1)</f>
        <v>1</v>
      </c>
      <c r="V325" s="6">
        <f>IF(AND(U325=1,O325&lt;=Settings!$B$36),1,0)</f>
        <v>0</v>
      </c>
    </row>
    <row r="326" spans="1:22" x14ac:dyDescent="0.2">
      <c r="A326">
        <f>Arrivals!A326</f>
        <v>3</v>
      </c>
      <c r="B326">
        <f>Arrivals!B326</f>
        <v>81</v>
      </c>
      <c r="C326" s="6">
        <f>Arrivals!F326</f>
        <v>554</v>
      </c>
      <c r="D326" s="6">
        <f>Arrivals!J326</f>
        <v>13.844380825547102</v>
      </c>
      <c r="E326" s="6">
        <f t="shared" si="109"/>
        <v>866.0643875438833</v>
      </c>
      <c r="F326" s="6">
        <f t="shared" si="100"/>
        <v>866.0643875438833</v>
      </c>
      <c r="G326" s="6">
        <f t="shared" si="101"/>
        <v>879.90876836943039</v>
      </c>
      <c r="H326" s="6">
        <f>Arrivals!L326</f>
        <v>75</v>
      </c>
      <c r="I326" s="6">
        <f>H326*8/ACE_Input!S86+ACE_Input!T86</f>
        <v>6.02</v>
      </c>
      <c r="J326" s="6">
        <f t="shared" si="110"/>
        <v>900.59999999999945</v>
      </c>
      <c r="K326" s="6">
        <f t="shared" si="102"/>
        <v>900.59999999999945</v>
      </c>
      <c r="L326" s="6">
        <f>MOD(K326-Settings!$B$32,Settings!$B$33)</f>
        <v>180.59999999999945</v>
      </c>
      <c r="M326" s="6">
        <f>IF(L326&lt;Settings!$B$30,IF(Settings!$B$30-L326&gt;=I326,K326,K326+(Settings!$B$30-L326)+Settings!$B$31),K326+(Settings!$B$33-L326))</f>
        <v>900.59999999999945</v>
      </c>
      <c r="N326" s="6">
        <f t="shared" si="103"/>
        <v>906.61999999999944</v>
      </c>
      <c r="O326" s="6">
        <f t="shared" si="104"/>
        <v>352.61999999999944</v>
      </c>
      <c r="P326" s="6">
        <f t="shared" si="105"/>
        <v>312.0643875438833</v>
      </c>
      <c r="Q326" s="6">
        <f t="shared" si="106"/>
        <v>20.691231630569064</v>
      </c>
      <c r="R326" s="6">
        <f t="shared" si="107"/>
        <v>0</v>
      </c>
      <c r="S326" s="6">
        <f t="shared" si="108"/>
        <v>332.75561917445236</v>
      </c>
      <c r="T326" s="6" t="str">
        <f>IF(MOD(C326-Settings!$B$32,Settings!$B$33)&lt;Settings!$B$30,"Up","Down")</f>
        <v>Up</v>
      </c>
      <c r="U326" s="6">
        <f>IF(OR(I326&gt;Settings!$B$30,O326&gt;Settings!$B$37),0,1)</f>
        <v>1</v>
      </c>
      <c r="V326" s="6">
        <f>IF(AND(U326=1,O326&lt;=Settings!$B$36),1,0)</f>
        <v>0</v>
      </c>
    </row>
    <row r="327" spans="1:22" x14ac:dyDescent="0.2">
      <c r="A327">
        <f>Arrivals!A327</f>
        <v>3</v>
      </c>
      <c r="B327">
        <f>Arrivals!B327</f>
        <v>82</v>
      </c>
      <c r="C327" s="6">
        <f>Arrivals!F327</f>
        <v>559</v>
      </c>
      <c r="D327" s="6">
        <f>Arrivals!J327</f>
        <v>32.13699167067309</v>
      </c>
      <c r="E327" s="6">
        <f t="shared" si="109"/>
        <v>879.90876836943039</v>
      </c>
      <c r="F327" s="6">
        <f t="shared" si="100"/>
        <v>879.90876836943039</v>
      </c>
      <c r="G327" s="6">
        <f t="shared" si="101"/>
        <v>912.04576004010346</v>
      </c>
      <c r="H327" s="6">
        <f>Arrivals!L327</f>
        <v>75</v>
      </c>
      <c r="I327" s="6">
        <f>H327*8/ACE_Input!S87+ACE_Input!T87</f>
        <v>6.02</v>
      </c>
      <c r="J327" s="6">
        <f t="shared" si="110"/>
        <v>906.61999999999944</v>
      </c>
      <c r="K327" s="6">
        <f t="shared" si="102"/>
        <v>912.04576004010346</v>
      </c>
      <c r="L327" s="6">
        <f>MOD(K327-Settings!$B$32,Settings!$B$33)</f>
        <v>192.04576004010346</v>
      </c>
      <c r="M327" s="6">
        <f>IF(L327&lt;Settings!$B$30,IF(Settings!$B$30-L327&gt;=I327,K327,K327+(Settings!$B$30-L327)+Settings!$B$31),K327+(Settings!$B$33-L327))</f>
        <v>912.04576004010346</v>
      </c>
      <c r="N327" s="6">
        <f t="shared" si="103"/>
        <v>918.06576004010344</v>
      </c>
      <c r="O327" s="6">
        <f t="shared" si="104"/>
        <v>359.06576004010344</v>
      </c>
      <c r="P327" s="6">
        <f t="shared" si="105"/>
        <v>320.90876836943039</v>
      </c>
      <c r="Q327" s="6">
        <f t="shared" si="106"/>
        <v>0</v>
      </c>
      <c r="R327" s="6">
        <f t="shared" si="107"/>
        <v>0</v>
      </c>
      <c r="S327" s="6">
        <f t="shared" si="108"/>
        <v>320.90876836943039</v>
      </c>
      <c r="T327" s="6" t="str">
        <f>IF(MOD(C327-Settings!$B$32,Settings!$B$33)&lt;Settings!$B$30,"Up","Down")</f>
        <v>Up</v>
      </c>
      <c r="U327" s="6">
        <f>IF(OR(I327&gt;Settings!$B$30,O327&gt;Settings!$B$37),0,1)</f>
        <v>1</v>
      </c>
      <c r="V327" s="6">
        <f>IF(AND(U327=1,O327&lt;=Settings!$B$36),1,0)</f>
        <v>0</v>
      </c>
    </row>
    <row r="328" spans="1:22" x14ac:dyDescent="0.2">
      <c r="A328">
        <f>Arrivals!A328</f>
        <v>3</v>
      </c>
      <c r="B328">
        <f>Arrivals!B328</f>
        <v>83</v>
      </c>
      <c r="C328" s="6">
        <f>Arrivals!F328</f>
        <v>564</v>
      </c>
      <c r="D328" s="6">
        <f>Arrivals!J328</f>
        <v>7.1195202899955294</v>
      </c>
      <c r="E328" s="6">
        <f t="shared" si="109"/>
        <v>912.04576004010346</v>
      </c>
      <c r="F328" s="6">
        <f t="shared" si="100"/>
        <v>912.04576004010346</v>
      </c>
      <c r="G328" s="6">
        <f t="shared" si="101"/>
        <v>919.16528033009899</v>
      </c>
      <c r="H328" s="6">
        <f>Arrivals!L328</f>
        <v>75</v>
      </c>
      <c r="I328" s="6">
        <f>H328*8/ACE_Input!S88+ACE_Input!T88</f>
        <v>6.02</v>
      </c>
      <c r="J328" s="6">
        <f t="shared" si="110"/>
        <v>918.06576004010344</v>
      </c>
      <c r="K328" s="6">
        <f t="shared" si="102"/>
        <v>919.16528033009899</v>
      </c>
      <c r="L328" s="6">
        <f>MOD(K328-Settings!$B$32,Settings!$B$33)</f>
        <v>199.16528033009899</v>
      </c>
      <c r="M328" s="6">
        <f>IF(L328&lt;Settings!$B$30,IF(Settings!$B$30-L328&gt;=I328,K328,K328+(Settings!$B$30-L328)+Settings!$B$31),K328+(Settings!$B$33-L328))</f>
        <v>919.16528033009899</v>
      </c>
      <c r="N328" s="6">
        <f t="shared" si="103"/>
        <v>925.18528033009898</v>
      </c>
      <c r="O328" s="6">
        <f t="shared" si="104"/>
        <v>361.18528033009898</v>
      </c>
      <c r="P328" s="6">
        <f t="shared" si="105"/>
        <v>348.04576004010346</v>
      </c>
      <c r="Q328" s="6">
        <f t="shared" si="106"/>
        <v>0</v>
      </c>
      <c r="R328" s="6">
        <f t="shared" si="107"/>
        <v>0</v>
      </c>
      <c r="S328" s="6">
        <f t="shared" si="108"/>
        <v>348.04576004010346</v>
      </c>
      <c r="T328" s="6" t="str">
        <f>IF(MOD(C328-Settings!$B$32,Settings!$B$33)&lt;Settings!$B$30,"Up","Down")</f>
        <v>Up</v>
      </c>
      <c r="U328" s="6">
        <f>IF(OR(I328&gt;Settings!$B$30,O328&gt;Settings!$B$37),0,1)</f>
        <v>1</v>
      </c>
      <c r="V328" s="6">
        <f>IF(AND(U328=1,O328&lt;=Settings!$B$36),1,0)</f>
        <v>0</v>
      </c>
    </row>
    <row r="329" spans="1:22" x14ac:dyDescent="0.2">
      <c r="A329">
        <f>Arrivals!A329</f>
        <v>3</v>
      </c>
      <c r="B329">
        <f>Arrivals!B329</f>
        <v>84</v>
      </c>
      <c r="C329" s="6">
        <f>Arrivals!F329</f>
        <v>569</v>
      </c>
      <c r="D329" s="6">
        <f>Arrivals!J329</f>
        <v>0.66209883814459669</v>
      </c>
      <c r="E329" s="6">
        <f t="shared" si="109"/>
        <v>919.16528033009899</v>
      </c>
      <c r="F329" s="6">
        <f t="shared" si="100"/>
        <v>919.16528033009899</v>
      </c>
      <c r="G329" s="6">
        <f t="shared" si="101"/>
        <v>919.82737916824362</v>
      </c>
      <c r="H329" s="6">
        <f>Arrivals!L329</f>
        <v>75</v>
      </c>
      <c r="I329" s="6">
        <f>H329*8/ACE_Input!S89+ACE_Input!T89</f>
        <v>6.02</v>
      </c>
      <c r="J329" s="6">
        <f t="shared" si="110"/>
        <v>925.18528033009898</v>
      </c>
      <c r="K329" s="6">
        <f t="shared" si="102"/>
        <v>925.18528033009898</v>
      </c>
      <c r="L329" s="6">
        <f>MOD(K329-Settings!$B$32,Settings!$B$33)</f>
        <v>205.18528033009898</v>
      </c>
      <c r="M329" s="6">
        <f>IF(L329&lt;Settings!$B$30,IF(Settings!$B$30-L329&gt;=I329,K329,K329+(Settings!$B$30-L329)+Settings!$B$31),K329+(Settings!$B$33-L329))</f>
        <v>925.18528033009898</v>
      </c>
      <c r="N329" s="6">
        <f t="shared" si="103"/>
        <v>931.20528033009896</v>
      </c>
      <c r="O329" s="6">
        <f t="shared" si="104"/>
        <v>362.20528033009896</v>
      </c>
      <c r="P329" s="6">
        <f t="shared" si="105"/>
        <v>350.16528033009899</v>
      </c>
      <c r="Q329" s="6">
        <f t="shared" si="106"/>
        <v>5.3579011618553523</v>
      </c>
      <c r="R329" s="6">
        <f t="shared" si="107"/>
        <v>0</v>
      </c>
      <c r="S329" s="6">
        <f t="shared" si="108"/>
        <v>355.52318149195435</v>
      </c>
      <c r="T329" s="6" t="str">
        <f>IF(MOD(C329-Settings!$B$32,Settings!$B$33)&lt;Settings!$B$30,"Up","Down")</f>
        <v>Up</v>
      </c>
      <c r="U329" s="6">
        <f>IF(OR(I329&gt;Settings!$B$30,O329&gt;Settings!$B$37),0,1)</f>
        <v>1</v>
      </c>
      <c r="V329" s="6">
        <f>IF(AND(U329=1,O329&lt;=Settings!$B$36),1,0)</f>
        <v>0</v>
      </c>
    </row>
    <row r="330" spans="1:22" x14ac:dyDescent="0.2">
      <c r="A330">
        <f>Arrivals!A330</f>
        <v>3</v>
      </c>
      <c r="B330">
        <f>Arrivals!B330</f>
        <v>85</v>
      </c>
      <c r="C330" s="6">
        <f>Arrivals!F330</f>
        <v>574</v>
      </c>
      <c r="D330" s="6">
        <f>Arrivals!J330</f>
        <v>2.770489746958634</v>
      </c>
      <c r="E330" s="6">
        <f t="shared" si="109"/>
        <v>919.82737916824362</v>
      </c>
      <c r="F330" s="6">
        <f t="shared" si="100"/>
        <v>919.82737916824362</v>
      </c>
      <c r="G330" s="6">
        <f t="shared" si="101"/>
        <v>922.5978689152023</v>
      </c>
      <c r="H330" s="6">
        <f>Arrivals!L330</f>
        <v>75</v>
      </c>
      <c r="I330" s="6">
        <f>H330*8/ACE_Input!S90+ACE_Input!T90</f>
        <v>6.02</v>
      </c>
      <c r="J330" s="6">
        <f t="shared" si="110"/>
        <v>931.20528033009896</v>
      </c>
      <c r="K330" s="6">
        <f t="shared" si="102"/>
        <v>931.20528033009896</v>
      </c>
      <c r="L330" s="6">
        <f>MOD(K330-Settings!$B$32,Settings!$B$33)</f>
        <v>211.20528033009896</v>
      </c>
      <c r="M330" s="6">
        <f>IF(L330&lt;Settings!$B$30,IF(Settings!$B$30-L330&gt;=I330,K330,K330+(Settings!$B$30-L330)+Settings!$B$31),K330+(Settings!$B$33-L330))</f>
        <v>931.20528033009896</v>
      </c>
      <c r="N330" s="6">
        <f t="shared" si="103"/>
        <v>937.22528033009894</v>
      </c>
      <c r="O330" s="6">
        <f t="shared" si="104"/>
        <v>363.22528033009894</v>
      </c>
      <c r="P330" s="6">
        <f t="shared" si="105"/>
        <v>345.82737916824362</v>
      </c>
      <c r="Q330" s="6">
        <f t="shared" si="106"/>
        <v>8.6074114148966601</v>
      </c>
      <c r="R330" s="6">
        <f t="shared" si="107"/>
        <v>0</v>
      </c>
      <c r="S330" s="6">
        <f t="shared" si="108"/>
        <v>354.43479058314028</v>
      </c>
      <c r="T330" s="6" t="str">
        <f>IF(MOD(C330-Settings!$B$32,Settings!$B$33)&lt;Settings!$B$30,"Up","Down")</f>
        <v>Up</v>
      </c>
      <c r="U330" s="6">
        <f>IF(OR(I330&gt;Settings!$B$30,O330&gt;Settings!$B$37),0,1)</f>
        <v>1</v>
      </c>
      <c r="V330" s="6">
        <f>IF(AND(U330=1,O330&lt;=Settings!$B$36),1,0)</f>
        <v>0</v>
      </c>
    </row>
    <row r="331" spans="1:22" x14ac:dyDescent="0.2">
      <c r="A331">
        <f>Arrivals!A331</f>
        <v>3</v>
      </c>
      <c r="B331">
        <f>Arrivals!B331</f>
        <v>86</v>
      </c>
      <c r="C331" s="6">
        <f>Arrivals!F331</f>
        <v>579</v>
      </c>
      <c r="D331" s="6">
        <f>Arrivals!J331</f>
        <v>34.114692439877075</v>
      </c>
      <c r="E331" s="6">
        <f t="shared" si="109"/>
        <v>922.5978689152023</v>
      </c>
      <c r="F331" s="6">
        <f t="shared" si="100"/>
        <v>922.5978689152023</v>
      </c>
      <c r="G331" s="6">
        <f t="shared" si="101"/>
        <v>956.7125613550794</v>
      </c>
      <c r="H331" s="6">
        <f>Arrivals!L331</f>
        <v>75</v>
      </c>
      <c r="I331" s="6">
        <f>H331*8/ACE_Input!S91+ACE_Input!T91</f>
        <v>6.02</v>
      </c>
      <c r="J331" s="6">
        <f t="shared" si="110"/>
        <v>937.22528033009894</v>
      </c>
      <c r="K331" s="6">
        <f t="shared" si="102"/>
        <v>956.7125613550794</v>
      </c>
      <c r="L331" s="6">
        <f>MOD(K331-Settings!$B$32,Settings!$B$33)</f>
        <v>236.7125613550794</v>
      </c>
      <c r="M331" s="6">
        <f>IF(L331&lt;Settings!$B$30,IF(Settings!$B$30-L331&gt;=I331,K331,K331+(Settings!$B$30-L331)+Settings!$B$31),K331+(Settings!$B$33-L331))</f>
        <v>956.7125613550794</v>
      </c>
      <c r="N331" s="6">
        <f t="shared" si="103"/>
        <v>962.73256135507938</v>
      </c>
      <c r="O331" s="6">
        <f t="shared" si="104"/>
        <v>383.73256135507938</v>
      </c>
      <c r="P331" s="6">
        <f t="shared" si="105"/>
        <v>343.5978689152023</v>
      </c>
      <c r="Q331" s="6">
        <f t="shared" si="106"/>
        <v>0</v>
      </c>
      <c r="R331" s="6">
        <f t="shared" si="107"/>
        <v>0</v>
      </c>
      <c r="S331" s="6">
        <f t="shared" si="108"/>
        <v>343.5978689152023</v>
      </c>
      <c r="T331" s="6" t="str">
        <f>IF(MOD(C331-Settings!$B$32,Settings!$B$33)&lt;Settings!$B$30,"Up","Down")</f>
        <v>Up</v>
      </c>
      <c r="U331" s="6">
        <f>IF(OR(I331&gt;Settings!$B$30,O331&gt;Settings!$B$37),0,1)</f>
        <v>1</v>
      </c>
      <c r="V331" s="6">
        <f>IF(AND(U331=1,O331&lt;=Settings!$B$36),1,0)</f>
        <v>0</v>
      </c>
    </row>
    <row r="332" spans="1:22" x14ac:dyDescent="0.2">
      <c r="A332">
        <f>Arrivals!A332</f>
        <v>3</v>
      </c>
      <c r="B332">
        <f>Arrivals!B332</f>
        <v>87</v>
      </c>
      <c r="C332" s="6">
        <f>Arrivals!F332</f>
        <v>584</v>
      </c>
      <c r="D332" s="6">
        <f>Arrivals!J332</f>
        <v>24.916421109348782</v>
      </c>
      <c r="E332" s="6">
        <f t="shared" si="109"/>
        <v>956.7125613550794</v>
      </c>
      <c r="F332" s="6">
        <f t="shared" si="100"/>
        <v>956.7125613550794</v>
      </c>
      <c r="G332" s="6">
        <f t="shared" si="101"/>
        <v>981.62898246442819</v>
      </c>
      <c r="H332" s="6">
        <f>Arrivals!L332</f>
        <v>75</v>
      </c>
      <c r="I332" s="6">
        <f>H332*8/ACE_Input!S92+ACE_Input!T92</f>
        <v>6.02</v>
      </c>
      <c r="J332" s="6">
        <f t="shared" si="110"/>
        <v>962.73256135507938</v>
      </c>
      <c r="K332" s="6">
        <f t="shared" si="102"/>
        <v>981.62898246442819</v>
      </c>
      <c r="L332" s="6">
        <f>MOD(K332-Settings!$B$32,Settings!$B$33)</f>
        <v>261.62898246442819</v>
      </c>
      <c r="M332" s="6">
        <f>IF(L332&lt;Settings!$B$30,IF(Settings!$B$30-L332&gt;=I332,K332,K332+(Settings!$B$30-L332)+Settings!$B$31),K332+(Settings!$B$33-L332))</f>
        <v>981.62898246442819</v>
      </c>
      <c r="N332" s="6">
        <f t="shared" si="103"/>
        <v>987.64898246442817</v>
      </c>
      <c r="O332" s="6">
        <f t="shared" si="104"/>
        <v>403.64898246442817</v>
      </c>
      <c r="P332" s="6">
        <f t="shared" si="105"/>
        <v>372.7125613550794</v>
      </c>
      <c r="Q332" s="6">
        <f t="shared" si="106"/>
        <v>0</v>
      </c>
      <c r="R332" s="6">
        <f t="shared" si="107"/>
        <v>0</v>
      </c>
      <c r="S332" s="6">
        <f t="shared" si="108"/>
        <v>372.7125613550794</v>
      </c>
      <c r="T332" s="6" t="str">
        <f>IF(MOD(C332-Settings!$B$32,Settings!$B$33)&lt;Settings!$B$30,"Up","Down")</f>
        <v>Up</v>
      </c>
      <c r="U332" s="6">
        <f>IF(OR(I332&gt;Settings!$B$30,O332&gt;Settings!$B$37),0,1)</f>
        <v>1</v>
      </c>
      <c r="V332" s="6">
        <f>IF(AND(U332=1,O332&lt;=Settings!$B$36),1,0)</f>
        <v>0</v>
      </c>
    </row>
    <row r="333" spans="1:22" x14ac:dyDescent="0.2">
      <c r="A333">
        <f>Arrivals!A333</f>
        <v>3</v>
      </c>
      <c r="B333">
        <f>Arrivals!B333</f>
        <v>88</v>
      </c>
      <c r="C333" s="6">
        <f>Arrivals!F333</f>
        <v>589</v>
      </c>
      <c r="D333" s="6">
        <f>Arrivals!J333</f>
        <v>12.904741974570371</v>
      </c>
      <c r="E333" s="6">
        <f t="shared" si="109"/>
        <v>981.62898246442819</v>
      </c>
      <c r="F333" s="6">
        <f t="shared" si="100"/>
        <v>981.62898246442819</v>
      </c>
      <c r="G333" s="6">
        <f t="shared" si="101"/>
        <v>994.53372443899855</v>
      </c>
      <c r="H333" s="6">
        <f>Arrivals!L333</f>
        <v>75</v>
      </c>
      <c r="I333" s="6">
        <f>H333*8/ACE_Input!S93+ACE_Input!T93</f>
        <v>6.02</v>
      </c>
      <c r="J333" s="6">
        <f t="shared" si="110"/>
        <v>987.64898246442817</v>
      </c>
      <c r="K333" s="6">
        <f t="shared" si="102"/>
        <v>994.53372443899855</v>
      </c>
      <c r="L333" s="6">
        <f>MOD(K333-Settings!$B$32,Settings!$B$33)</f>
        <v>274.53372443899855</v>
      </c>
      <c r="M333" s="6">
        <f>IF(L333&lt;Settings!$B$30,IF(Settings!$B$30-L333&gt;=I333,K333,K333+(Settings!$B$30-L333)+Settings!$B$31),K333+(Settings!$B$33-L333))</f>
        <v>994.53372443899855</v>
      </c>
      <c r="N333" s="6">
        <f t="shared" si="103"/>
        <v>1000.5537244389985</v>
      </c>
      <c r="O333" s="6">
        <f t="shared" si="104"/>
        <v>411.55372443899853</v>
      </c>
      <c r="P333" s="6">
        <f t="shared" si="105"/>
        <v>392.62898246442819</v>
      </c>
      <c r="Q333" s="6">
        <f t="shared" si="106"/>
        <v>0</v>
      </c>
      <c r="R333" s="6">
        <f t="shared" si="107"/>
        <v>0</v>
      </c>
      <c r="S333" s="6">
        <f t="shared" si="108"/>
        <v>392.62898246442819</v>
      </c>
      <c r="T333" s="6" t="str">
        <f>IF(MOD(C333-Settings!$B$32,Settings!$B$33)&lt;Settings!$B$30,"Up","Down")</f>
        <v>Up</v>
      </c>
      <c r="U333" s="6">
        <f>IF(OR(I333&gt;Settings!$B$30,O333&gt;Settings!$B$37),0,1)</f>
        <v>1</v>
      </c>
      <c r="V333" s="6">
        <f>IF(AND(U333=1,O333&lt;=Settings!$B$36),1,0)</f>
        <v>0</v>
      </c>
    </row>
    <row r="334" spans="1:22" x14ac:dyDescent="0.2">
      <c r="A334">
        <f>Arrivals!A334</f>
        <v>3</v>
      </c>
      <c r="B334">
        <f>Arrivals!B334</f>
        <v>89</v>
      </c>
      <c r="C334" s="6">
        <f>Arrivals!F334</f>
        <v>594</v>
      </c>
      <c r="D334" s="6">
        <f>Arrivals!J334</f>
        <v>0.93447886329500052</v>
      </c>
      <c r="E334" s="6">
        <f t="shared" si="109"/>
        <v>994.53372443899855</v>
      </c>
      <c r="F334" s="6">
        <f t="shared" si="100"/>
        <v>994.53372443899855</v>
      </c>
      <c r="G334" s="6">
        <f t="shared" si="101"/>
        <v>995.46820330229355</v>
      </c>
      <c r="H334" s="6">
        <f>Arrivals!L334</f>
        <v>75</v>
      </c>
      <c r="I334" s="6">
        <f>H334*8/ACE_Input!S94+ACE_Input!T94</f>
        <v>6.02</v>
      </c>
      <c r="J334" s="6">
        <f t="shared" si="110"/>
        <v>1000.5537244389985</v>
      </c>
      <c r="K334" s="6">
        <f t="shared" si="102"/>
        <v>1000.5537244389985</v>
      </c>
      <c r="L334" s="6">
        <f>MOD(K334-Settings!$B$32,Settings!$B$33)</f>
        <v>280.55372443899853</v>
      </c>
      <c r="M334" s="6">
        <f>IF(L334&lt;Settings!$B$30,IF(Settings!$B$30-L334&gt;=I334,K334,K334+(Settings!$B$30-L334)+Settings!$B$31),K334+(Settings!$B$33-L334))</f>
        <v>1000.5537244389985</v>
      </c>
      <c r="N334" s="6">
        <f t="shared" si="103"/>
        <v>1006.5737244389985</v>
      </c>
      <c r="O334" s="6">
        <f t="shared" si="104"/>
        <v>412.57372443899851</v>
      </c>
      <c r="P334" s="6">
        <f t="shared" si="105"/>
        <v>400.53372443899855</v>
      </c>
      <c r="Q334" s="6">
        <f t="shared" si="106"/>
        <v>5.0855211367049833</v>
      </c>
      <c r="R334" s="6">
        <f t="shared" si="107"/>
        <v>0</v>
      </c>
      <c r="S334" s="6">
        <f t="shared" si="108"/>
        <v>405.61924557570353</v>
      </c>
      <c r="T334" s="6" t="str">
        <f>IF(MOD(C334-Settings!$B$32,Settings!$B$33)&lt;Settings!$B$30,"Up","Down")</f>
        <v>Up</v>
      </c>
      <c r="U334" s="6">
        <f>IF(OR(I334&gt;Settings!$B$30,O334&gt;Settings!$B$37),0,1)</f>
        <v>1</v>
      </c>
      <c r="V334" s="6">
        <f>IF(AND(U334=1,O334&lt;=Settings!$B$36),1,0)</f>
        <v>0</v>
      </c>
    </row>
    <row r="335" spans="1:22" x14ac:dyDescent="0.2">
      <c r="A335">
        <f>Arrivals!A335</f>
        <v>3</v>
      </c>
      <c r="B335">
        <f>Arrivals!B335</f>
        <v>90</v>
      </c>
      <c r="C335" s="6">
        <f>Arrivals!F335</f>
        <v>599</v>
      </c>
      <c r="D335" s="6">
        <f>Arrivals!J335</f>
        <v>1.9804933451570563</v>
      </c>
      <c r="E335" s="6">
        <f t="shared" si="109"/>
        <v>995.46820330229355</v>
      </c>
      <c r="F335" s="6">
        <f t="shared" si="100"/>
        <v>995.46820330229355</v>
      </c>
      <c r="G335" s="6">
        <f t="shared" si="101"/>
        <v>997.44869664745056</v>
      </c>
      <c r="H335" s="6">
        <f>Arrivals!L335</f>
        <v>75</v>
      </c>
      <c r="I335" s="6">
        <f>H335*8/ACE_Input!S95+ACE_Input!T95</f>
        <v>6.02</v>
      </c>
      <c r="J335" s="6">
        <f t="shared" si="110"/>
        <v>1006.5737244389985</v>
      </c>
      <c r="K335" s="6">
        <f t="shared" si="102"/>
        <v>1006.5737244389985</v>
      </c>
      <c r="L335" s="6">
        <f>MOD(K335-Settings!$B$32,Settings!$B$33)</f>
        <v>286.57372443899851</v>
      </c>
      <c r="M335" s="6">
        <f>IF(L335&lt;Settings!$B$30,IF(Settings!$B$30-L335&gt;=I335,K335,K335+(Settings!$B$30-L335)+Settings!$B$31),K335+(Settings!$B$33-L335))</f>
        <v>1006.5737244389985</v>
      </c>
      <c r="N335" s="6">
        <f t="shared" si="103"/>
        <v>1012.5937244389985</v>
      </c>
      <c r="O335" s="6">
        <f t="shared" si="104"/>
        <v>413.59372443899849</v>
      </c>
      <c r="P335" s="6">
        <f t="shared" si="105"/>
        <v>396.46820330229355</v>
      </c>
      <c r="Q335" s="6">
        <f t="shared" si="106"/>
        <v>9.1250277915479501</v>
      </c>
      <c r="R335" s="6">
        <f t="shared" si="107"/>
        <v>0</v>
      </c>
      <c r="S335" s="6">
        <f t="shared" si="108"/>
        <v>405.5932310938415</v>
      </c>
      <c r="T335" s="6" t="str">
        <f>IF(MOD(C335-Settings!$B$32,Settings!$B$33)&lt;Settings!$B$30,"Up","Down")</f>
        <v>Up</v>
      </c>
      <c r="U335" s="6">
        <f>IF(OR(I335&gt;Settings!$B$30,O335&gt;Settings!$B$37),0,1)</f>
        <v>1</v>
      </c>
      <c r="V335" s="6">
        <f>IF(AND(U335=1,O335&lt;=Settings!$B$36),1,0)</f>
        <v>0</v>
      </c>
    </row>
    <row r="336" spans="1:22" x14ac:dyDescent="0.2">
      <c r="A336">
        <f>Arrivals!A336</f>
        <v>3</v>
      </c>
      <c r="B336">
        <f>Arrivals!B336</f>
        <v>91</v>
      </c>
      <c r="C336" s="6">
        <f>Arrivals!F336</f>
        <v>604</v>
      </c>
      <c r="D336" s="6">
        <f>Arrivals!J336</f>
        <v>0.44461579791430972</v>
      </c>
      <c r="E336" s="6">
        <f t="shared" si="109"/>
        <v>997.44869664745056</v>
      </c>
      <c r="F336" s="6">
        <f t="shared" si="100"/>
        <v>997.44869664745056</v>
      </c>
      <c r="G336" s="6">
        <f t="shared" si="101"/>
        <v>997.89331244536493</v>
      </c>
      <c r="H336" s="6">
        <f>Arrivals!L336</f>
        <v>75</v>
      </c>
      <c r="I336" s="6">
        <f>H336*8/ACE_Input!S96+ACE_Input!T96</f>
        <v>6.02</v>
      </c>
      <c r="J336" s="6">
        <f t="shared" si="110"/>
        <v>1012.5937244389985</v>
      </c>
      <c r="K336" s="6">
        <f t="shared" si="102"/>
        <v>1012.5937244389985</v>
      </c>
      <c r="L336" s="6">
        <f>MOD(K336-Settings!$B$32,Settings!$B$33)</f>
        <v>292.59372443899849</v>
      </c>
      <c r="M336" s="6">
        <f>IF(L336&lt;Settings!$B$30,IF(Settings!$B$30-L336&gt;=I336,K336,K336+(Settings!$B$30-L336)+Settings!$B$31),K336+(Settings!$B$33-L336))</f>
        <v>1012.5937244389985</v>
      </c>
      <c r="N336" s="6">
        <f t="shared" si="103"/>
        <v>1018.6137244389985</v>
      </c>
      <c r="O336" s="6">
        <f t="shared" si="104"/>
        <v>414.61372443899847</v>
      </c>
      <c r="P336" s="6">
        <f t="shared" si="105"/>
        <v>393.44869664745056</v>
      </c>
      <c r="Q336" s="6">
        <f t="shared" si="106"/>
        <v>14.700411993633566</v>
      </c>
      <c r="R336" s="6">
        <f t="shared" si="107"/>
        <v>0</v>
      </c>
      <c r="S336" s="6">
        <f t="shared" si="108"/>
        <v>408.14910864108413</v>
      </c>
      <c r="T336" s="6" t="str">
        <f>IF(MOD(C336-Settings!$B$32,Settings!$B$33)&lt;Settings!$B$30,"Up","Down")</f>
        <v>Down</v>
      </c>
      <c r="U336" s="6">
        <f>IF(OR(I336&gt;Settings!$B$30,O336&gt;Settings!$B$37),0,1)</f>
        <v>1</v>
      </c>
      <c r="V336" s="6">
        <f>IF(AND(U336=1,O336&lt;=Settings!$B$36),1,0)</f>
        <v>0</v>
      </c>
    </row>
    <row r="337" spans="1:22" x14ac:dyDescent="0.2">
      <c r="A337">
        <f>Arrivals!A337</f>
        <v>3</v>
      </c>
      <c r="B337">
        <f>Arrivals!B337</f>
        <v>92</v>
      </c>
      <c r="C337" s="6">
        <f>Arrivals!F337</f>
        <v>609</v>
      </c>
      <c r="D337" s="6">
        <f>Arrivals!J337</f>
        <v>4.7399951111156708</v>
      </c>
      <c r="E337" s="6">
        <f t="shared" si="109"/>
        <v>997.89331244536493</v>
      </c>
      <c r="F337" s="6">
        <f t="shared" si="100"/>
        <v>997.89331244536493</v>
      </c>
      <c r="G337" s="6">
        <f t="shared" si="101"/>
        <v>1002.6333075564806</v>
      </c>
      <c r="H337" s="6">
        <f>Arrivals!L337</f>
        <v>75</v>
      </c>
      <c r="I337" s="6">
        <f>H337*8/ACE_Input!S97+ACE_Input!T97</f>
        <v>6.02</v>
      </c>
      <c r="J337" s="6">
        <f t="shared" si="110"/>
        <v>1018.6137244389985</v>
      </c>
      <c r="K337" s="6">
        <f t="shared" si="102"/>
        <v>1018.6137244389985</v>
      </c>
      <c r="L337" s="6">
        <f>MOD(K337-Settings!$B$32,Settings!$B$33)</f>
        <v>298.61372443899847</v>
      </c>
      <c r="M337" s="6">
        <f>IF(L337&lt;Settings!$B$30,IF(Settings!$B$30-L337&gt;=I337,K337,K337+(Settings!$B$30-L337)+Settings!$B$31),K337+(Settings!$B$33-L337))</f>
        <v>1018.6137244389985</v>
      </c>
      <c r="N337" s="6">
        <f t="shared" si="103"/>
        <v>1024.6337244389986</v>
      </c>
      <c r="O337" s="6">
        <f t="shared" si="104"/>
        <v>415.63372443899857</v>
      </c>
      <c r="P337" s="6">
        <f t="shared" si="105"/>
        <v>388.89331244536493</v>
      </c>
      <c r="Q337" s="6">
        <f t="shared" si="106"/>
        <v>15.980416882517829</v>
      </c>
      <c r="R337" s="6">
        <f t="shared" si="107"/>
        <v>0</v>
      </c>
      <c r="S337" s="6">
        <f t="shared" si="108"/>
        <v>404.87372932788276</v>
      </c>
      <c r="T337" s="6" t="str">
        <f>IF(MOD(C337-Settings!$B$32,Settings!$B$33)&lt;Settings!$B$30,"Up","Down")</f>
        <v>Down</v>
      </c>
      <c r="U337" s="6">
        <f>IF(OR(I337&gt;Settings!$B$30,O337&gt;Settings!$B$37),0,1)</f>
        <v>1</v>
      </c>
      <c r="V337" s="6">
        <f>IF(AND(U337=1,O337&lt;=Settings!$B$36),1,0)</f>
        <v>0</v>
      </c>
    </row>
    <row r="338" spans="1:22" x14ac:dyDescent="0.2">
      <c r="A338">
        <f>Arrivals!A338</f>
        <v>3</v>
      </c>
      <c r="B338">
        <f>Arrivals!B338</f>
        <v>93</v>
      </c>
      <c r="C338" s="6">
        <f>Arrivals!F338</f>
        <v>614</v>
      </c>
      <c r="D338" s="6">
        <f>Arrivals!J338</f>
        <v>7.2829173739170363</v>
      </c>
      <c r="E338" s="6">
        <f t="shared" si="109"/>
        <v>1002.6333075564806</v>
      </c>
      <c r="F338" s="6">
        <f t="shared" si="100"/>
        <v>1002.6333075564806</v>
      </c>
      <c r="G338" s="6">
        <f t="shared" si="101"/>
        <v>1009.9162249303977</v>
      </c>
      <c r="H338" s="6">
        <f>Arrivals!L338</f>
        <v>75</v>
      </c>
      <c r="I338" s="6">
        <f>H338*8/ACE_Input!S98+ACE_Input!T98</f>
        <v>6.02</v>
      </c>
      <c r="J338" s="6">
        <f t="shared" si="110"/>
        <v>1024.6337244389986</v>
      </c>
      <c r="K338" s="6">
        <f t="shared" si="102"/>
        <v>1024.6337244389986</v>
      </c>
      <c r="L338" s="6">
        <f>MOD(K338-Settings!$B$32,Settings!$B$33)</f>
        <v>304.63372443899857</v>
      </c>
      <c r="M338" s="6">
        <f>IF(L338&lt;Settings!$B$30,IF(Settings!$B$30-L338&gt;=I338,K338,K338+(Settings!$B$30-L338)+Settings!$B$31),K338+(Settings!$B$33-L338))</f>
        <v>1024.6337244389986</v>
      </c>
      <c r="N338" s="6">
        <f t="shared" si="103"/>
        <v>1030.6537244389986</v>
      </c>
      <c r="O338" s="6">
        <f t="shared" si="104"/>
        <v>416.65372443899855</v>
      </c>
      <c r="P338" s="6">
        <f t="shared" si="105"/>
        <v>388.63330755648064</v>
      </c>
      <c r="Q338" s="6">
        <f t="shared" si="106"/>
        <v>14.717499508600895</v>
      </c>
      <c r="R338" s="6">
        <f t="shared" si="107"/>
        <v>0</v>
      </c>
      <c r="S338" s="6">
        <f t="shared" si="108"/>
        <v>403.35080706508154</v>
      </c>
      <c r="T338" s="6" t="str">
        <f>IF(MOD(C338-Settings!$B$32,Settings!$B$33)&lt;Settings!$B$30,"Up","Down")</f>
        <v>Down</v>
      </c>
      <c r="U338" s="6">
        <f>IF(OR(I338&gt;Settings!$B$30,O338&gt;Settings!$B$37),0,1)</f>
        <v>1</v>
      </c>
      <c r="V338" s="6">
        <f>IF(AND(U338=1,O338&lt;=Settings!$B$36),1,0)</f>
        <v>0</v>
      </c>
    </row>
    <row r="339" spans="1:22" x14ac:dyDescent="0.2">
      <c r="A339">
        <f>Arrivals!A339</f>
        <v>3</v>
      </c>
      <c r="B339">
        <f>Arrivals!B339</f>
        <v>94</v>
      </c>
      <c r="C339" s="6">
        <f>Arrivals!F339</f>
        <v>619</v>
      </c>
      <c r="D339" s="6">
        <f>Arrivals!J339</f>
        <v>12.197105181315834</v>
      </c>
      <c r="E339" s="6">
        <f t="shared" si="109"/>
        <v>1009.9162249303977</v>
      </c>
      <c r="F339" s="6">
        <f t="shared" si="100"/>
        <v>1009.9162249303977</v>
      </c>
      <c r="G339" s="6">
        <f t="shared" si="101"/>
        <v>1022.1133301117135</v>
      </c>
      <c r="H339" s="6">
        <f>Arrivals!L339</f>
        <v>75</v>
      </c>
      <c r="I339" s="6">
        <f>H339*8/ACE_Input!S99+ACE_Input!T99</f>
        <v>6.02</v>
      </c>
      <c r="J339" s="6">
        <f t="shared" si="110"/>
        <v>1030.6537244389986</v>
      </c>
      <c r="K339" s="6">
        <f t="shared" si="102"/>
        <v>1030.6537244389986</v>
      </c>
      <c r="L339" s="6">
        <f>MOD(K339-Settings!$B$32,Settings!$B$33)</f>
        <v>310.65372443899855</v>
      </c>
      <c r="M339" s="6">
        <f>IF(L339&lt;Settings!$B$30,IF(Settings!$B$30-L339&gt;=I339,K339,K339+(Settings!$B$30-L339)+Settings!$B$31),K339+(Settings!$B$33-L339))</f>
        <v>1030.6537244389986</v>
      </c>
      <c r="N339" s="6">
        <f t="shared" si="103"/>
        <v>1036.6737244389985</v>
      </c>
      <c r="O339" s="6">
        <f t="shared" si="104"/>
        <v>417.67372443899853</v>
      </c>
      <c r="P339" s="6">
        <f t="shared" si="105"/>
        <v>390.91622493039768</v>
      </c>
      <c r="Q339" s="6">
        <f t="shared" si="106"/>
        <v>8.5403943272850711</v>
      </c>
      <c r="R339" s="6">
        <f t="shared" si="107"/>
        <v>0</v>
      </c>
      <c r="S339" s="6">
        <f t="shared" si="108"/>
        <v>399.45661925768275</v>
      </c>
      <c r="T339" s="6" t="str">
        <f>IF(MOD(C339-Settings!$B$32,Settings!$B$33)&lt;Settings!$B$30,"Up","Down")</f>
        <v>Down</v>
      </c>
      <c r="U339" s="6">
        <f>IF(OR(I339&gt;Settings!$B$30,O339&gt;Settings!$B$37),0,1)</f>
        <v>1</v>
      </c>
      <c r="V339" s="6">
        <f>IF(AND(U339=1,O339&lt;=Settings!$B$36),1,0)</f>
        <v>0</v>
      </c>
    </row>
    <row r="340" spans="1:22" x14ac:dyDescent="0.2">
      <c r="A340">
        <f>Arrivals!A340</f>
        <v>3</v>
      </c>
      <c r="B340">
        <f>Arrivals!B340</f>
        <v>95</v>
      </c>
      <c r="C340" s="6">
        <f>Arrivals!F340</f>
        <v>624</v>
      </c>
      <c r="D340" s="6">
        <f>Arrivals!J340</f>
        <v>18.079103731253852</v>
      </c>
      <c r="E340" s="6">
        <f t="shared" si="109"/>
        <v>1022.1133301117135</v>
      </c>
      <c r="F340" s="6">
        <f t="shared" si="100"/>
        <v>1022.1133301117135</v>
      </c>
      <c r="G340" s="6">
        <f t="shared" si="101"/>
        <v>1040.1924338429674</v>
      </c>
      <c r="H340" s="6">
        <f>Arrivals!L340</f>
        <v>75</v>
      </c>
      <c r="I340" s="6">
        <f>H340*8/ACE_Input!S100+ACE_Input!T100</f>
        <v>6.02</v>
      </c>
      <c r="J340" s="6">
        <f t="shared" si="110"/>
        <v>1036.6737244389985</v>
      </c>
      <c r="K340" s="6">
        <f t="shared" si="102"/>
        <v>1040.1924338429674</v>
      </c>
      <c r="L340" s="6">
        <f>MOD(K340-Settings!$B$32,Settings!$B$33)</f>
        <v>320.19243384296738</v>
      </c>
      <c r="M340" s="6">
        <f>IF(L340&lt;Settings!$B$30,IF(Settings!$B$30-L340&gt;=I340,K340,K340+(Settings!$B$30-L340)+Settings!$B$31),K340+(Settings!$B$33-L340))</f>
        <v>1040.1924338429674</v>
      </c>
      <c r="N340" s="6">
        <f t="shared" si="103"/>
        <v>1046.2124338429674</v>
      </c>
      <c r="O340" s="6">
        <f t="shared" si="104"/>
        <v>422.21243384296736</v>
      </c>
      <c r="P340" s="6">
        <f t="shared" si="105"/>
        <v>398.11333011171348</v>
      </c>
      <c r="Q340" s="6">
        <f t="shared" si="106"/>
        <v>0</v>
      </c>
      <c r="R340" s="6">
        <f t="shared" si="107"/>
        <v>0</v>
      </c>
      <c r="S340" s="6">
        <f t="shared" si="108"/>
        <v>398.11333011171348</v>
      </c>
      <c r="T340" s="6" t="str">
        <f>IF(MOD(C340-Settings!$B$32,Settings!$B$33)&lt;Settings!$B$30,"Up","Down")</f>
        <v>Down</v>
      </c>
      <c r="U340" s="6">
        <f>IF(OR(I340&gt;Settings!$B$30,O340&gt;Settings!$B$37),0,1)</f>
        <v>1</v>
      </c>
      <c r="V340" s="6">
        <f>IF(AND(U340=1,O340&lt;=Settings!$B$36),1,0)</f>
        <v>0</v>
      </c>
    </row>
    <row r="341" spans="1:22" x14ac:dyDescent="0.2">
      <c r="A341">
        <f>Arrivals!A341</f>
        <v>3</v>
      </c>
      <c r="B341">
        <f>Arrivals!B341</f>
        <v>96</v>
      </c>
      <c r="C341" s="6">
        <f>Arrivals!F341</f>
        <v>629</v>
      </c>
      <c r="D341" s="6">
        <f>Arrivals!J341</f>
        <v>8.1035204379938968</v>
      </c>
      <c r="E341" s="6">
        <f t="shared" si="109"/>
        <v>1040.1924338429674</v>
      </c>
      <c r="F341" s="6">
        <f t="shared" si="100"/>
        <v>1040.1924338429674</v>
      </c>
      <c r="G341" s="6">
        <f t="shared" si="101"/>
        <v>1048.2959542809613</v>
      </c>
      <c r="H341" s="6">
        <f>Arrivals!L341</f>
        <v>75</v>
      </c>
      <c r="I341" s="6">
        <f>H341*8/ACE_Input!S101+ACE_Input!T101</f>
        <v>6.02</v>
      </c>
      <c r="J341" s="6">
        <f t="shared" si="110"/>
        <v>1046.2124338429674</v>
      </c>
      <c r="K341" s="6">
        <f t="shared" si="102"/>
        <v>1048.2959542809613</v>
      </c>
      <c r="L341" s="6">
        <f>MOD(K341-Settings!$B$32,Settings!$B$33)</f>
        <v>328.29595428096127</v>
      </c>
      <c r="M341" s="6">
        <f>IF(L341&lt;Settings!$B$30,IF(Settings!$B$30-L341&gt;=I341,K341,K341+(Settings!$B$30-L341)+Settings!$B$31),K341+(Settings!$B$33-L341))</f>
        <v>1048.2959542809613</v>
      </c>
      <c r="N341" s="6">
        <f t="shared" si="103"/>
        <v>1054.3159542809613</v>
      </c>
      <c r="O341" s="6">
        <f t="shared" si="104"/>
        <v>425.31595428096125</v>
      </c>
      <c r="P341" s="6">
        <f t="shared" si="105"/>
        <v>411.19243384296738</v>
      </c>
      <c r="Q341" s="6">
        <f t="shared" si="106"/>
        <v>0</v>
      </c>
      <c r="R341" s="6">
        <f t="shared" si="107"/>
        <v>0</v>
      </c>
      <c r="S341" s="6">
        <f t="shared" si="108"/>
        <v>411.19243384296738</v>
      </c>
      <c r="T341" s="6" t="str">
        <f>IF(MOD(C341-Settings!$B$32,Settings!$B$33)&lt;Settings!$B$30,"Up","Down")</f>
        <v>Down</v>
      </c>
      <c r="U341" s="6">
        <f>IF(OR(I341&gt;Settings!$B$30,O341&gt;Settings!$B$37),0,1)</f>
        <v>1</v>
      </c>
      <c r="V341" s="6">
        <f>IF(AND(U341=1,O341&lt;=Settings!$B$36),1,0)</f>
        <v>0</v>
      </c>
    </row>
    <row r="342" spans="1:22" x14ac:dyDescent="0.2">
      <c r="A342">
        <f>Arrivals!A342</f>
        <v>3</v>
      </c>
      <c r="B342">
        <f>Arrivals!B342</f>
        <v>97</v>
      </c>
      <c r="C342" s="6">
        <f>Arrivals!F342</f>
        <v>634</v>
      </c>
      <c r="D342" s="6">
        <f>Arrivals!J342</f>
        <v>1.5088171426372128</v>
      </c>
      <c r="E342" s="6">
        <f t="shared" si="109"/>
        <v>1048.2959542809613</v>
      </c>
      <c r="F342" s="6">
        <f t="shared" ref="F342:F345" si="111">MAX(C342,E342)</f>
        <v>1048.2959542809613</v>
      </c>
      <c r="G342" s="6">
        <f t="shared" ref="G342:G345" si="112">F342+D342</f>
        <v>1049.8047714235986</v>
      </c>
      <c r="H342" s="6">
        <f>Arrivals!L342</f>
        <v>75</v>
      </c>
      <c r="I342" s="6">
        <f>H342*8/ACE_Input!S102+ACE_Input!T102</f>
        <v>6.02</v>
      </c>
      <c r="J342" s="6">
        <f t="shared" si="110"/>
        <v>1054.3159542809613</v>
      </c>
      <c r="K342" s="6">
        <f t="shared" ref="K342:K345" si="113">MAX(G342,J342)</f>
        <v>1054.3159542809613</v>
      </c>
      <c r="L342" s="6">
        <f>MOD(K342-Settings!$B$32,Settings!$B$33)</f>
        <v>334.31595428096125</v>
      </c>
      <c r="M342" s="6">
        <f>IF(L342&lt;Settings!$B$30,IF(Settings!$B$30-L342&gt;=I342,K342,K342+(Settings!$B$30-L342)+Settings!$B$31),K342+(Settings!$B$33-L342))</f>
        <v>1054.3159542809613</v>
      </c>
      <c r="N342" s="6">
        <f t="shared" ref="N342:N345" si="114">M342+I342</f>
        <v>1060.3359542809612</v>
      </c>
      <c r="O342" s="6">
        <f t="shared" ref="O342:O345" si="115">N342-C342</f>
        <v>426.33595428096123</v>
      </c>
      <c r="P342" s="6">
        <f t="shared" si="105"/>
        <v>414.29595428096127</v>
      </c>
      <c r="Q342" s="6">
        <f t="shared" si="106"/>
        <v>4.5111828573626553</v>
      </c>
      <c r="R342" s="6">
        <f t="shared" si="107"/>
        <v>0</v>
      </c>
      <c r="S342" s="6">
        <f t="shared" ref="S342:S345" si="116">P342+Q342+R342</f>
        <v>418.80713713832392</v>
      </c>
      <c r="T342" s="6" t="str">
        <f>IF(MOD(C342-Settings!$B$32,Settings!$B$33)&lt;Settings!$B$30,"Up","Down")</f>
        <v>Down</v>
      </c>
      <c r="U342" s="6">
        <f>IF(OR(I342&gt;Settings!$B$30,O342&gt;Settings!$B$37),0,1)</f>
        <v>1</v>
      </c>
      <c r="V342" s="6">
        <f>IF(AND(U342=1,O342&lt;=Settings!$B$36),1,0)</f>
        <v>0</v>
      </c>
    </row>
    <row r="343" spans="1:22" x14ac:dyDescent="0.2">
      <c r="A343">
        <f>Arrivals!A343</f>
        <v>3</v>
      </c>
      <c r="B343">
        <f>Arrivals!B343</f>
        <v>98</v>
      </c>
      <c r="C343" s="6">
        <f>Arrivals!F343</f>
        <v>639</v>
      </c>
      <c r="D343" s="6">
        <f>Arrivals!J343</f>
        <v>17.565154717220757</v>
      </c>
      <c r="E343" s="6">
        <f t="shared" si="109"/>
        <v>1049.8047714235986</v>
      </c>
      <c r="F343" s="6">
        <f t="shared" si="111"/>
        <v>1049.8047714235986</v>
      </c>
      <c r="G343" s="6">
        <f t="shared" si="112"/>
        <v>1067.3699261408194</v>
      </c>
      <c r="H343" s="6">
        <f>Arrivals!L343</f>
        <v>75</v>
      </c>
      <c r="I343" s="6">
        <f>H343*8/ACE_Input!S103+ACE_Input!T103</f>
        <v>6.02</v>
      </c>
      <c r="J343" s="6">
        <f t="shared" si="110"/>
        <v>1060.3359542809612</v>
      </c>
      <c r="K343" s="6">
        <f t="shared" si="113"/>
        <v>1067.3699261408194</v>
      </c>
      <c r="L343" s="6">
        <f>MOD(K343-Settings!$B$32,Settings!$B$33)</f>
        <v>347.36992614081942</v>
      </c>
      <c r="M343" s="6">
        <f>IF(L343&lt;Settings!$B$30,IF(Settings!$B$30-L343&gt;=I343,K343,K343+(Settings!$B$30-L343)+Settings!$B$31),K343+(Settings!$B$33-L343))</f>
        <v>1067.3699261408194</v>
      </c>
      <c r="N343" s="6">
        <f t="shared" si="114"/>
        <v>1073.3899261408194</v>
      </c>
      <c r="O343" s="6">
        <f t="shared" si="115"/>
        <v>434.3899261408194</v>
      </c>
      <c r="P343" s="6">
        <f t="shared" si="105"/>
        <v>410.80477142359859</v>
      </c>
      <c r="Q343" s="6">
        <f t="shared" si="106"/>
        <v>0</v>
      </c>
      <c r="R343" s="6">
        <f t="shared" si="107"/>
        <v>0</v>
      </c>
      <c r="S343" s="6">
        <f t="shared" si="116"/>
        <v>410.80477142359859</v>
      </c>
      <c r="T343" s="6" t="str">
        <f>IF(MOD(C343-Settings!$B$32,Settings!$B$33)&lt;Settings!$B$30,"Up","Down")</f>
        <v>Down</v>
      </c>
      <c r="U343" s="6">
        <f>IF(OR(I343&gt;Settings!$B$30,O343&gt;Settings!$B$37),0,1)</f>
        <v>1</v>
      </c>
      <c r="V343" s="6">
        <f>IF(AND(U343=1,O343&lt;=Settings!$B$36),1,0)</f>
        <v>0</v>
      </c>
    </row>
    <row r="344" spans="1:22" x14ac:dyDescent="0.2">
      <c r="A344">
        <f>Arrivals!A344</f>
        <v>3</v>
      </c>
      <c r="B344">
        <f>Arrivals!B344</f>
        <v>99</v>
      </c>
      <c r="C344" s="6">
        <f>Arrivals!F344</f>
        <v>684</v>
      </c>
      <c r="D344" s="6">
        <f>Arrivals!J344</f>
        <v>7.4977380023040725</v>
      </c>
      <c r="E344" s="6">
        <f t="shared" si="109"/>
        <v>1067.3699261408194</v>
      </c>
      <c r="F344" s="6">
        <f t="shared" si="111"/>
        <v>1067.3699261408194</v>
      </c>
      <c r="G344" s="6">
        <f t="shared" si="112"/>
        <v>1074.8676641431234</v>
      </c>
      <c r="H344" s="6">
        <f>Arrivals!L344</f>
        <v>75</v>
      </c>
      <c r="I344" s="6">
        <f>H344*8/ACE_Input!S104+ACE_Input!T104</f>
        <v>6.02</v>
      </c>
      <c r="J344" s="6">
        <f t="shared" si="110"/>
        <v>1073.3899261408194</v>
      </c>
      <c r="K344" s="6">
        <f t="shared" si="113"/>
        <v>1074.8676641431234</v>
      </c>
      <c r="L344" s="6">
        <f>MOD(K344-Settings!$B$32,Settings!$B$33)</f>
        <v>354.86766414312342</v>
      </c>
      <c r="M344" s="6">
        <f>IF(L344&lt;Settings!$B$30,IF(Settings!$B$30-L344&gt;=I344,K344,K344+(Settings!$B$30-L344)+Settings!$B$31),K344+(Settings!$B$33-L344))</f>
        <v>1074.8676641431234</v>
      </c>
      <c r="N344" s="6">
        <f t="shared" si="114"/>
        <v>1080.8876641431234</v>
      </c>
      <c r="O344" s="6">
        <f t="shared" si="115"/>
        <v>396.8876641431234</v>
      </c>
      <c r="P344" s="6">
        <f t="shared" si="105"/>
        <v>383.36992614081942</v>
      </c>
      <c r="Q344" s="6">
        <f t="shared" si="106"/>
        <v>0</v>
      </c>
      <c r="R344" s="6">
        <f t="shared" si="107"/>
        <v>0</v>
      </c>
      <c r="S344" s="6">
        <f t="shared" si="116"/>
        <v>383.36992614081942</v>
      </c>
      <c r="T344" s="6" t="str">
        <f>IF(MOD(C344-Settings!$B$32,Settings!$B$33)&lt;Settings!$B$30,"Up","Down")</f>
        <v>Down</v>
      </c>
      <c r="U344" s="6">
        <f>IF(OR(I344&gt;Settings!$B$30,O344&gt;Settings!$B$37),0,1)</f>
        <v>1</v>
      </c>
      <c r="V344" s="6">
        <f>IF(AND(U344=1,O344&lt;=Settings!$B$36),1,0)</f>
        <v>0</v>
      </c>
    </row>
    <row r="345" spans="1:22" x14ac:dyDescent="0.2">
      <c r="A345">
        <f>Arrivals!A345</f>
        <v>3</v>
      </c>
      <c r="B345">
        <f>Arrivals!B345</f>
        <v>100</v>
      </c>
      <c r="C345" s="6">
        <f>Arrivals!F345</f>
        <v>689</v>
      </c>
      <c r="D345" s="6">
        <f>Arrivals!J345</f>
        <v>2.1673409170960207</v>
      </c>
      <c r="E345" s="6">
        <f t="shared" si="109"/>
        <v>1074.8676641431234</v>
      </c>
      <c r="F345" s="6">
        <f t="shared" si="111"/>
        <v>1074.8676641431234</v>
      </c>
      <c r="G345" s="6">
        <f t="shared" si="112"/>
        <v>1077.0350050602194</v>
      </c>
      <c r="H345" s="6">
        <f>Arrivals!L345</f>
        <v>75</v>
      </c>
      <c r="I345" s="6">
        <f>H345*8/ACE_Input!S105+ACE_Input!T105</f>
        <v>6.02</v>
      </c>
      <c r="J345" s="6">
        <f t="shared" si="110"/>
        <v>1080.8876641431234</v>
      </c>
      <c r="K345" s="6">
        <f t="shared" si="113"/>
        <v>1080.8876641431234</v>
      </c>
      <c r="L345" s="6">
        <f>MOD(K345-Settings!$B$32,Settings!$B$33)</f>
        <v>360.8876641431234</v>
      </c>
      <c r="M345" s="6">
        <f>IF(L345&lt;Settings!$B$30,IF(Settings!$B$30-L345&gt;=I345,K345,K345+(Settings!$B$30-L345)+Settings!$B$31),K345+(Settings!$B$33-L345))</f>
        <v>1080.8876641431234</v>
      </c>
      <c r="N345" s="6">
        <f t="shared" si="114"/>
        <v>1086.9076641431234</v>
      </c>
      <c r="O345" s="6">
        <f t="shared" si="115"/>
        <v>397.90766414312338</v>
      </c>
      <c r="P345" s="6">
        <f t="shared" si="105"/>
        <v>385.86766414312342</v>
      </c>
      <c r="Q345" s="6">
        <f t="shared" si="106"/>
        <v>3.8526590829039833</v>
      </c>
      <c r="R345" s="6">
        <f t="shared" si="107"/>
        <v>0</v>
      </c>
      <c r="S345" s="6">
        <f t="shared" si="116"/>
        <v>389.7203232260274</v>
      </c>
      <c r="T345" s="6" t="str">
        <f>IF(MOD(C345-Settings!$B$32,Settings!$B$33)&lt;Settings!$B$30,"Up","Down")</f>
        <v>Down</v>
      </c>
      <c r="U345" s="6">
        <f>IF(OR(I345&gt;Settings!$B$30,O345&gt;Settings!$B$37),0,1)</f>
        <v>1</v>
      </c>
      <c r="V345" s="6">
        <f>IF(AND(U345=1,O345&lt;=Settings!$B$36),1,0)</f>
        <v>0</v>
      </c>
    </row>
    <row r="346" spans="1:22" x14ac:dyDescent="0.2">
      <c r="C346" s="6"/>
      <c r="D346" s="6"/>
      <c r="E346" s="6"/>
      <c r="F346" s="6"/>
      <c r="G346" s="6"/>
      <c r="H346" s="6"/>
      <c r="I346" s="6"/>
      <c r="J346" s="6"/>
      <c r="K346" s="6"/>
      <c r="L346" s="6"/>
      <c r="M346" s="6"/>
      <c r="N346" s="6"/>
      <c r="O346" s="6"/>
      <c r="P346" s="6"/>
      <c r="Q346" s="6"/>
      <c r="R346" s="6"/>
      <c r="S346" s="6"/>
      <c r="T346" s="6"/>
      <c r="U346" s="6"/>
      <c r="V346" s="6"/>
    </row>
    <row r="347" spans="1:22" x14ac:dyDescent="0.2">
      <c r="C347" s="6"/>
      <c r="D347" s="6"/>
      <c r="E347" s="6"/>
      <c r="F347" s="6"/>
      <c r="G347" s="6"/>
      <c r="H347" s="6"/>
      <c r="I347" s="6"/>
      <c r="J347" s="6"/>
      <c r="K347" s="6"/>
      <c r="L347" s="6"/>
      <c r="M347" s="6"/>
      <c r="N347" s="6"/>
      <c r="O347" s="6"/>
      <c r="P347" s="6"/>
      <c r="Q347" s="6"/>
      <c r="R347" s="6"/>
      <c r="S347" s="6"/>
      <c r="T347" s="6"/>
      <c r="U347" s="6"/>
      <c r="V347" s="6"/>
    </row>
    <row r="348" spans="1:22" x14ac:dyDescent="0.2">
      <c r="C348" s="6"/>
      <c r="D348" s="6"/>
      <c r="E348" s="6"/>
      <c r="F348" s="6"/>
      <c r="G348" s="6"/>
      <c r="H348" s="6"/>
      <c r="I348" s="6"/>
      <c r="J348" s="6"/>
      <c r="K348" s="6"/>
      <c r="L348" s="6"/>
      <c r="M348" s="6"/>
      <c r="N348" s="6"/>
      <c r="O348" s="6"/>
      <c r="P348" s="6"/>
      <c r="Q348" s="6"/>
      <c r="R348" s="6"/>
      <c r="S348" s="6"/>
      <c r="T348" s="6"/>
      <c r="U348" s="6"/>
      <c r="V348" s="6"/>
    </row>
    <row r="349" spans="1:22" x14ac:dyDescent="0.2">
      <c r="C349" s="6"/>
      <c r="D349" s="6"/>
      <c r="E349" s="6"/>
      <c r="F349" s="6"/>
      <c r="G349" s="6"/>
      <c r="H349" s="6"/>
      <c r="I349" s="6"/>
      <c r="J349" s="6"/>
      <c r="K349" s="6"/>
      <c r="L349" s="6"/>
      <c r="M349" s="6"/>
      <c r="N349" s="6"/>
      <c r="O349" s="6"/>
      <c r="P349" s="6"/>
      <c r="Q349" s="6"/>
      <c r="R349" s="6"/>
      <c r="S349" s="6"/>
      <c r="T349" s="6"/>
      <c r="U349" s="6"/>
      <c r="V349" s="6"/>
    </row>
    <row r="350" spans="1:22" x14ac:dyDescent="0.2">
      <c r="C350" s="6"/>
      <c r="D350" s="6"/>
      <c r="E350" s="6"/>
      <c r="F350" s="6"/>
      <c r="G350" s="6"/>
      <c r="H350" s="6"/>
      <c r="I350" s="6"/>
      <c r="J350" s="6"/>
      <c r="K350" s="6"/>
      <c r="L350" s="6"/>
      <c r="M350" s="6"/>
      <c r="N350" s="6"/>
      <c r="O350" s="6"/>
      <c r="P350" s="6"/>
      <c r="Q350" s="6"/>
      <c r="R350" s="6"/>
      <c r="S350" s="6"/>
      <c r="T350" s="6"/>
      <c r="U350" s="6"/>
      <c r="V350" s="6"/>
    </row>
    <row r="351" spans="1:22" x14ac:dyDescent="0.2">
      <c r="C351" s="6"/>
      <c r="D351" s="6"/>
      <c r="E351" s="6"/>
      <c r="F351" s="6"/>
      <c r="G351" s="6"/>
      <c r="H351" s="6"/>
      <c r="I351" s="6"/>
      <c r="J351" s="6"/>
      <c r="K351" s="6"/>
      <c r="L351" s="6"/>
      <c r="M351" s="6"/>
      <c r="N351" s="6"/>
      <c r="O351" s="6"/>
      <c r="P351" s="6"/>
      <c r="Q351" s="6"/>
      <c r="R351" s="6"/>
      <c r="S351" s="6"/>
      <c r="T351" s="6"/>
      <c r="U351" s="6"/>
      <c r="V351" s="6"/>
    </row>
    <row r="352" spans="1:22" x14ac:dyDescent="0.2">
      <c r="C352" s="6"/>
      <c r="D352" s="6"/>
      <c r="E352" s="6"/>
      <c r="F352" s="6"/>
      <c r="G352" s="6"/>
      <c r="H352" s="6"/>
      <c r="I352" s="6"/>
      <c r="J352" s="6"/>
      <c r="K352" s="6"/>
      <c r="L352" s="6"/>
      <c r="M352" s="6"/>
      <c r="N352" s="6"/>
      <c r="O352" s="6"/>
      <c r="P352" s="6"/>
      <c r="Q352" s="6"/>
      <c r="R352" s="6"/>
      <c r="S352" s="6"/>
      <c r="T352" s="6"/>
      <c r="U352" s="6"/>
      <c r="V352" s="6"/>
    </row>
    <row r="353" spans="1:22" x14ac:dyDescent="0.2">
      <c r="C353" s="6"/>
      <c r="D353" s="6"/>
      <c r="E353" s="6"/>
      <c r="F353" s="6"/>
      <c r="G353" s="6"/>
      <c r="H353" s="6"/>
      <c r="I353" s="6"/>
      <c r="J353" s="6"/>
      <c r="K353" s="6"/>
      <c r="L353" s="6"/>
      <c r="M353" s="6"/>
      <c r="N353" s="6"/>
      <c r="O353" s="6"/>
      <c r="P353" s="6"/>
      <c r="Q353" s="6"/>
      <c r="R353" s="6"/>
      <c r="S353" s="6"/>
      <c r="T353" s="6"/>
      <c r="U353" s="6"/>
      <c r="V353" s="6"/>
    </row>
    <row r="354" spans="1:22" x14ac:dyDescent="0.2">
      <c r="C354" s="6"/>
      <c r="D354" s="6"/>
      <c r="E354" s="6"/>
      <c r="F354" s="6"/>
      <c r="G354" s="6"/>
      <c r="H354" s="6"/>
      <c r="I354" s="6"/>
      <c r="J354" s="6"/>
      <c r="K354" s="6"/>
      <c r="L354" s="6"/>
      <c r="M354" s="6"/>
      <c r="N354" s="6"/>
      <c r="O354" s="6"/>
      <c r="P354" s="6"/>
      <c r="Q354" s="6"/>
      <c r="R354" s="6"/>
      <c r="S354" s="6"/>
      <c r="T354" s="6"/>
      <c r="U354" s="6"/>
      <c r="V354" s="6"/>
    </row>
    <row r="355" spans="1:22" x14ac:dyDescent="0.2">
      <c r="C355" s="6"/>
      <c r="D355" s="6"/>
      <c r="E355" s="6"/>
      <c r="F355" s="6"/>
      <c r="G355" s="6"/>
      <c r="H355" s="6"/>
      <c r="I355" s="6"/>
      <c r="J355" s="6"/>
      <c r="K355" s="6"/>
      <c r="L355" s="6"/>
      <c r="M355" s="6"/>
      <c r="N355" s="6"/>
      <c r="O355" s="6"/>
      <c r="P355" s="6"/>
      <c r="Q355" s="6"/>
      <c r="R355" s="6"/>
      <c r="S355" s="6"/>
      <c r="T355" s="6"/>
      <c r="U355" s="6"/>
      <c r="V355" s="6"/>
    </row>
    <row r="356" spans="1:22" x14ac:dyDescent="0.2">
      <c r="C356" s="6"/>
      <c r="D356" s="6"/>
      <c r="E356" s="6"/>
      <c r="F356" s="6"/>
      <c r="G356" s="6"/>
      <c r="H356" s="6"/>
      <c r="I356" s="6"/>
      <c r="J356" s="6"/>
      <c r="K356" s="6"/>
      <c r="L356" s="6"/>
      <c r="M356" s="6"/>
      <c r="N356" s="6"/>
      <c r="O356" s="6"/>
      <c r="P356" s="6"/>
      <c r="Q356" s="6"/>
      <c r="R356" s="6"/>
      <c r="S356" s="6"/>
      <c r="T356" s="6"/>
      <c r="U356" s="6"/>
      <c r="V356" s="6"/>
    </row>
    <row r="357" spans="1:22" x14ac:dyDescent="0.2">
      <c r="C357" s="6"/>
      <c r="D357" s="6"/>
      <c r="E357" s="6"/>
      <c r="F357" s="6"/>
      <c r="G357" s="6"/>
      <c r="H357" s="6"/>
      <c r="I357" s="6"/>
      <c r="J357" s="6"/>
      <c r="K357" s="6"/>
      <c r="L357" s="6"/>
      <c r="M357" s="6"/>
      <c r="N357" s="6"/>
      <c r="O357" s="6"/>
      <c r="P357" s="6"/>
      <c r="Q357" s="6"/>
      <c r="R357" s="6"/>
      <c r="S357" s="6"/>
      <c r="T357" s="6"/>
      <c r="U357" s="6"/>
      <c r="V357" s="6"/>
    </row>
    <row r="358" spans="1:22" x14ac:dyDescent="0.2">
      <c r="C358" s="6"/>
      <c r="D358" s="6"/>
      <c r="E358" s="6"/>
      <c r="F358" s="6"/>
      <c r="G358" s="6"/>
      <c r="H358" s="6"/>
      <c r="I358" s="6"/>
      <c r="J358" s="6"/>
      <c r="K358" s="6"/>
      <c r="L358" s="6"/>
      <c r="M358" s="6"/>
      <c r="N358" s="6"/>
      <c r="O358" s="6"/>
      <c r="P358" s="6"/>
      <c r="Q358" s="6"/>
      <c r="R358" s="6"/>
      <c r="S358" s="6"/>
      <c r="T358" s="6"/>
      <c r="U358" s="6"/>
      <c r="V358" s="6"/>
    </row>
    <row r="359" spans="1:22" x14ac:dyDescent="0.2">
      <c r="C359" s="6"/>
      <c r="D359" s="6"/>
      <c r="E359" s="6"/>
      <c r="F359" s="6"/>
      <c r="G359" s="6"/>
      <c r="H359" s="6"/>
      <c r="I359" s="6"/>
      <c r="J359" s="6"/>
      <c r="K359" s="6"/>
      <c r="L359" s="6"/>
      <c r="M359" s="6"/>
      <c r="N359" s="6"/>
      <c r="O359" s="6"/>
      <c r="P359" s="6"/>
      <c r="Q359" s="6"/>
      <c r="R359" s="6"/>
      <c r="S359" s="6"/>
      <c r="T359" s="6"/>
      <c r="U359" s="6"/>
      <c r="V359" s="6"/>
    </row>
    <row r="360" spans="1:22" x14ac:dyDescent="0.2">
      <c r="C360" s="6"/>
      <c r="D360" s="6"/>
      <c r="E360" s="6"/>
      <c r="F360" s="6"/>
      <c r="G360" s="6"/>
      <c r="H360" s="6"/>
      <c r="I360" s="6"/>
      <c r="J360" s="6"/>
      <c r="K360" s="6"/>
      <c r="L360" s="6"/>
      <c r="M360" s="6"/>
      <c r="N360" s="6"/>
      <c r="O360" s="6"/>
      <c r="P360" s="6"/>
      <c r="Q360" s="6"/>
      <c r="R360" s="6"/>
      <c r="S360" s="6"/>
      <c r="T360" s="6"/>
      <c r="U360" s="6"/>
      <c r="V360" s="6"/>
    </row>
    <row r="361" spans="1:22" x14ac:dyDescent="0.2">
      <c r="C361" s="6"/>
      <c r="D361" s="6"/>
      <c r="E361" s="6"/>
      <c r="F361" s="6"/>
      <c r="G361" s="6"/>
      <c r="H361" s="6"/>
      <c r="I361" s="6"/>
      <c r="J361" s="6"/>
      <c r="K361" s="6"/>
      <c r="L361" s="6"/>
      <c r="M361" s="6"/>
      <c r="N361" s="6"/>
      <c r="O361" s="6"/>
      <c r="P361" s="6"/>
      <c r="Q361" s="6"/>
      <c r="R361" s="6"/>
      <c r="S361" s="6"/>
      <c r="T361" s="6"/>
      <c r="U361" s="6"/>
      <c r="V361" s="6"/>
    </row>
    <row r="362" spans="1:22" x14ac:dyDescent="0.2">
      <c r="C362" s="6"/>
      <c r="D362" s="6"/>
      <c r="E362" s="6"/>
      <c r="F362" s="6"/>
      <c r="G362" s="6"/>
      <c r="H362" s="6"/>
      <c r="I362" s="6"/>
      <c r="J362" s="6"/>
      <c r="K362" s="6"/>
      <c r="L362" s="6"/>
      <c r="M362" s="6"/>
      <c r="N362" s="6"/>
      <c r="O362" s="6"/>
      <c r="P362" s="6"/>
      <c r="Q362" s="6"/>
      <c r="R362" s="6"/>
      <c r="S362" s="6"/>
      <c r="T362" s="6"/>
      <c r="U362" s="6"/>
      <c r="V362" s="6"/>
    </row>
    <row r="363" spans="1:22" x14ac:dyDescent="0.2">
      <c r="C363" s="6"/>
      <c r="D363" s="6"/>
      <c r="E363" s="6"/>
      <c r="F363" s="6"/>
      <c r="G363" s="6"/>
      <c r="H363" s="6"/>
      <c r="I363" s="6"/>
      <c r="J363" s="6"/>
      <c r="K363" s="6"/>
      <c r="L363" s="6"/>
      <c r="M363" s="6"/>
      <c r="N363" s="6"/>
      <c r="O363" s="6"/>
      <c r="P363" s="6"/>
      <c r="Q363" s="6"/>
      <c r="R363" s="6"/>
      <c r="S363" s="6"/>
      <c r="T363" s="6"/>
      <c r="U363" s="6"/>
      <c r="V363" s="6"/>
    </row>
    <row r="364" spans="1:22" x14ac:dyDescent="0.2">
      <c r="C364" s="6"/>
      <c r="D364" s="6"/>
      <c r="E364" s="6"/>
      <c r="F364" s="6"/>
      <c r="G364" s="6"/>
      <c r="H364" s="6"/>
      <c r="I364" s="6"/>
      <c r="J364" s="6"/>
      <c r="K364" s="6"/>
      <c r="L364" s="6"/>
      <c r="M364" s="6"/>
      <c r="N364" s="6"/>
      <c r="O364" s="6"/>
      <c r="P364" s="6"/>
      <c r="Q364" s="6"/>
      <c r="R364" s="6"/>
      <c r="S364" s="6"/>
      <c r="T364" s="6"/>
      <c r="U364" s="6"/>
      <c r="V364" s="6"/>
    </row>
    <row r="365" spans="1:22" x14ac:dyDescent="0.2">
      <c r="C365" s="6"/>
      <c r="D365" s="6"/>
      <c r="E365" s="6"/>
      <c r="F365" s="6"/>
      <c r="G365" s="6"/>
      <c r="H365" s="6"/>
      <c r="I365" s="6"/>
      <c r="J365" s="6"/>
      <c r="K365" s="6"/>
      <c r="L365" s="6"/>
      <c r="M365" s="6"/>
      <c r="N365" s="6"/>
      <c r="O365" s="6"/>
      <c r="P365" s="6"/>
      <c r="Q365" s="6"/>
      <c r="R365" s="6"/>
      <c r="S365" s="6"/>
      <c r="T365" s="6"/>
      <c r="U365" s="6"/>
      <c r="V365" s="6"/>
    </row>
    <row r="366" spans="1:22" x14ac:dyDescent="0.2">
      <c r="A366">
        <f>Arrivals!A366</f>
        <v>4</v>
      </c>
      <c r="B366">
        <f>Arrivals!B366</f>
        <v>1</v>
      </c>
      <c r="C366" s="6">
        <f>Arrivals!F366</f>
        <v>2</v>
      </c>
      <c r="D366" s="6">
        <f>Arrivals!J366</f>
        <v>9.4115320596496232</v>
      </c>
      <c r="E366" s="6">
        <f>0</f>
        <v>0</v>
      </c>
      <c r="F366" s="6">
        <f t="shared" ref="F366:F397" si="117">MAX(C366,E366)</f>
        <v>2</v>
      </c>
      <c r="G366" s="6">
        <f t="shared" ref="G366:G397" si="118">F366+D366</f>
        <v>11.411532059649623</v>
      </c>
      <c r="H366" s="6">
        <f>Arrivals!L366</f>
        <v>75</v>
      </c>
      <c r="I366" s="6">
        <f>H366*8/ACE_Input!S6+ACE_Input!T6</f>
        <v>6.02</v>
      </c>
      <c r="J366" s="6">
        <f>0</f>
        <v>0</v>
      </c>
      <c r="K366" s="6">
        <f t="shared" ref="K366:K397" si="119">MAX(G366,J366)</f>
        <v>11.411532059649623</v>
      </c>
      <c r="L366" s="6">
        <f>MOD(K366-Settings!$B$32,Settings!$B$33)</f>
        <v>11.411532059649623</v>
      </c>
      <c r="M366" s="6">
        <f>IF(L366&lt;Settings!$B$30,IF(Settings!$B$30-L366&gt;=I366,K366,K366+(Settings!$B$30-L366)+Settings!$B$31),K366+(Settings!$B$33-L366))</f>
        <v>11.411532059649623</v>
      </c>
      <c r="N366" s="6">
        <f t="shared" ref="N366:N397" si="120">M366+I366</f>
        <v>17.431532059649623</v>
      </c>
      <c r="O366" s="6">
        <f t="shared" ref="O366:O397" si="121">N366-C366</f>
        <v>15.431532059649623</v>
      </c>
      <c r="P366" s="6">
        <f t="shared" ref="P366:P397" si="122">F366-C366</f>
        <v>0</v>
      </c>
      <c r="Q366" s="6">
        <f t="shared" ref="Q366:Q397" si="123">K366-G366</f>
        <v>0</v>
      </c>
      <c r="R366" s="6">
        <f t="shared" ref="R366:R397" si="124">M366-K366</f>
        <v>0</v>
      </c>
      <c r="S366" s="6">
        <f t="shared" ref="S366:S397" si="125">P366+Q366+R366</f>
        <v>0</v>
      </c>
      <c r="T366" s="6" t="str">
        <f>IF(MOD(C366-Settings!$B$32,Settings!$B$33)&lt;Settings!$B$30,"Up","Down")</f>
        <v>Up</v>
      </c>
      <c r="U366" s="6">
        <f>IF(OR(I366&gt;Settings!$B$30,O366&gt;Settings!$B$37),0,1)</f>
        <v>1</v>
      </c>
      <c r="V366" s="6">
        <f>IF(AND(U366=1,O366&lt;=Settings!$B$36),1,0)</f>
        <v>1</v>
      </c>
    </row>
    <row r="367" spans="1:22" x14ac:dyDescent="0.2">
      <c r="A367">
        <f>Arrivals!A367</f>
        <v>4</v>
      </c>
      <c r="B367">
        <f>Arrivals!B367</f>
        <v>2</v>
      </c>
      <c r="C367" s="6">
        <f>Arrivals!F367</f>
        <v>7</v>
      </c>
      <c r="D367" s="6">
        <f>Arrivals!J367</f>
        <v>10.543827422796042</v>
      </c>
      <c r="E367" s="6">
        <f t="shared" ref="E367:E398" si="126">G366</f>
        <v>11.411532059649623</v>
      </c>
      <c r="F367" s="6">
        <f t="shared" si="117"/>
        <v>11.411532059649623</v>
      </c>
      <c r="G367" s="6">
        <f t="shared" si="118"/>
        <v>21.955359482445665</v>
      </c>
      <c r="H367" s="6">
        <f>Arrivals!L367</f>
        <v>75</v>
      </c>
      <c r="I367" s="6">
        <f>H367*8/ACE_Input!S7+ACE_Input!T7</f>
        <v>6.02</v>
      </c>
      <c r="J367" s="6">
        <f t="shared" ref="J367:J398" si="127">N366</f>
        <v>17.431532059649623</v>
      </c>
      <c r="K367" s="6">
        <f t="shared" si="119"/>
        <v>21.955359482445665</v>
      </c>
      <c r="L367" s="6">
        <f>MOD(K367-Settings!$B$32,Settings!$B$33)</f>
        <v>21.955359482445665</v>
      </c>
      <c r="M367" s="6">
        <f>IF(L367&lt;Settings!$B$30,IF(Settings!$B$30-L367&gt;=I367,K367,K367+(Settings!$B$30-L367)+Settings!$B$31),K367+(Settings!$B$33-L367))</f>
        <v>21.955359482445665</v>
      </c>
      <c r="N367" s="6">
        <f t="shared" si="120"/>
        <v>27.975359482445665</v>
      </c>
      <c r="O367" s="6">
        <f t="shared" si="121"/>
        <v>20.975359482445665</v>
      </c>
      <c r="P367" s="6">
        <f t="shared" si="122"/>
        <v>4.4115320596496232</v>
      </c>
      <c r="Q367" s="6">
        <f t="shared" si="123"/>
        <v>0</v>
      </c>
      <c r="R367" s="6">
        <f t="shared" si="124"/>
        <v>0</v>
      </c>
      <c r="S367" s="6">
        <f t="shared" si="125"/>
        <v>4.4115320596496232</v>
      </c>
      <c r="T367" s="6" t="str">
        <f>IF(MOD(C367-Settings!$B$32,Settings!$B$33)&lt;Settings!$B$30,"Up","Down")</f>
        <v>Up</v>
      </c>
      <c r="U367" s="6">
        <f>IF(OR(I367&gt;Settings!$B$30,O367&gt;Settings!$B$37),0,1)</f>
        <v>1</v>
      </c>
      <c r="V367" s="6">
        <f>IF(AND(U367=1,O367&lt;=Settings!$B$36),1,0)</f>
        <v>1</v>
      </c>
    </row>
    <row r="368" spans="1:22" x14ac:dyDescent="0.2">
      <c r="A368">
        <f>Arrivals!A368</f>
        <v>4</v>
      </c>
      <c r="B368">
        <f>Arrivals!B368</f>
        <v>3</v>
      </c>
      <c r="C368" s="6">
        <f>Arrivals!F368</f>
        <v>32</v>
      </c>
      <c r="D368" s="6">
        <f>Arrivals!J368</f>
        <v>5.0226819253341759</v>
      </c>
      <c r="E368" s="6">
        <f t="shared" si="126"/>
        <v>21.955359482445665</v>
      </c>
      <c r="F368" s="6">
        <f t="shared" si="117"/>
        <v>32</v>
      </c>
      <c r="G368" s="6">
        <f t="shared" si="118"/>
        <v>37.022681925334176</v>
      </c>
      <c r="H368" s="6">
        <f>Arrivals!L368</f>
        <v>75</v>
      </c>
      <c r="I368" s="6">
        <f>H368*8/ACE_Input!S8+ACE_Input!T8</f>
        <v>6.02</v>
      </c>
      <c r="J368" s="6">
        <f t="shared" si="127"/>
        <v>27.975359482445665</v>
      </c>
      <c r="K368" s="6">
        <f t="shared" si="119"/>
        <v>37.022681925334176</v>
      </c>
      <c r="L368" s="6">
        <f>MOD(K368-Settings!$B$32,Settings!$B$33)</f>
        <v>37.022681925334176</v>
      </c>
      <c r="M368" s="6">
        <f>IF(L368&lt;Settings!$B$30,IF(Settings!$B$30-L368&gt;=I368,K368,K368+(Settings!$B$30-L368)+Settings!$B$31),K368+(Settings!$B$33-L368))</f>
        <v>37.022681925334176</v>
      </c>
      <c r="N368" s="6">
        <f t="shared" si="120"/>
        <v>43.042681925334179</v>
      </c>
      <c r="O368" s="6">
        <f t="shared" si="121"/>
        <v>11.042681925334179</v>
      </c>
      <c r="P368" s="6">
        <f t="shared" si="122"/>
        <v>0</v>
      </c>
      <c r="Q368" s="6">
        <f t="shared" si="123"/>
        <v>0</v>
      </c>
      <c r="R368" s="6">
        <f t="shared" si="124"/>
        <v>0</v>
      </c>
      <c r="S368" s="6">
        <f t="shared" si="125"/>
        <v>0</v>
      </c>
      <c r="T368" s="6" t="str">
        <f>IF(MOD(C368-Settings!$B$32,Settings!$B$33)&lt;Settings!$B$30,"Up","Down")</f>
        <v>Up</v>
      </c>
      <c r="U368" s="6">
        <f>IF(OR(I368&gt;Settings!$B$30,O368&gt;Settings!$B$37),0,1)</f>
        <v>1</v>
      </c>
      <c r="V368" s="6">
        <f>IF(AND(U368=1,O368&lt;=Settings!$B$36),1,0)</f>
        <v>1</v>
      </c>
    </row>
    <row r="369" spans="1:22" x14ac:dyDescent="0.2">
      <c r="A369">
        <f>Arrivals!A369</f>
        <v>4</v>
      </c>
      <c r="B369">
        <f>Arrivals!B369</f>
        <v>4</v>
      </c>
      <c r="C369" s="6">
        <f>Arrivals!F369</f>
        <v>37</v>
      </c>
      <c r="D369" s="6">
        <f>Arrivals!J369</f>
        <v>0.81492839071259482</v>
      </c>
      <c r="E369" s="6">
        <f t="shared" si="126"/>
        <v>37.022681925334176</v>
      </c>
      <c r="F369" s="6">
        <f t="shared" si="117"/>
        <v>37.022681925334176</v>
      </c>
      <c r="G369" s="6">
        <f t="shared" si="118"/>
        <v>37.837610316046771</v>
      </c>
      <c r="H369" s="6">
        <f>Arrivals!L369</f>
        <v>75</v>
      </c>
      <c r="I369" s="6">
        <f>H369*8/ACE_Input!S9+ACE_Input!T9</f>
        <v>6.02</v>
      </c>
      <c r="J369" s="6">
        <f t="shared" si="127"/>
        <v>43.042681925334179</v>
      </c>
      <c r="K369" s="6">
        <f t="shared" si="119"/>
        <v>43.042681925334179</v>
      </c>
      <c r="L369" s="6">
        <f>MOD(K369-Settings!$B$32,Settings!$B$33)</f>
        <v>43.042681925334179</v>
      </c>
      <c r="M369" s="6">
        <f>IF(L369&lt;Settings!$B$30,IF(Settings!$B$30-L369&gt;=I369,K369,K369+(Settings!$B$30-L369)+Settings!$B$31),K369+(Settings!$B$33-L369))</f>
        <v>43.042681925334179</v>
      </c>
      <c r="N369" s="6">
        <f t="shared" si="120"/>
        <v>49.062681925334175</v>
      </c>
      <c r="O369" s="6">
        <f t="shared" si="121"/>
        <v>12.062681925334175</v>
      </c>
      <c r="P369" s="6">
        <f t="shared" si="122"/>
        <v>2.2681925334175901E-2</v>
      </c>
      <c r="Q369" s="6">
        <f t="shared" si="123"/>
        <v>5.2050716092874083</v>
      </c>
      <c r="R369" s="6">
        <f t="shared" si="124"/>
        <v>0</v>
      </c>
      <c r="S369" s="6">
        <f t="shared" si="125"/>
        <v>5.2277535346215842</v>
      </c>
      <c r="T369" s="6" t="str">
        <f>IF(MOD(C369-Settings!$B$32,Settings!$B$33)&lt;Settings!$B$30,"Up","Down")</f>
        <v>Up</v>
      </c>
      <c r="U369" s="6">
        <f>IF(OR(I369&gt;Settings!$B$30,O369&gt;Settings!$B$37),0,1)</f>
        <v>1</v>
      </c>
      <c r="V369" s="6">
        <f>IF(AND(U369=1,O369&lt;=Settings!$B$36),1,0)</f>
        <v>1</v>
      </c>
    </row>
    <row r="370" spans="1:22" x14ac:dyDescent="0.2">
      <c r="A370">
        <f>Arrivals!A370</f>
        <v>4</v>
      </c>
      <c r="B370">
        <f>Arrivals!B370</f>
        <v>5</v>
      </c>
      <c r="C370" s="6">
        <f>Arrivals!F370</f>
        <v>42</v>
      </c>
      <c r="D370" s="6">
        <f>Arrivals!J370</f>
        <v>7.8921300376266377</v>
      </c>
      <c r="E370" s="6">
        <f t="shared" si="126"/>
        <v>37.837610316046771</v>
      </c>
      <c r="F370" s="6">
        <f t="shared" si="117"/>
        <v>42</v>
      </c>
      <c r="G370" s="6">
        <f t="shared" si="118"/>
        <v>49.892130037626636</v>
      </c>
      <c r="H370" s="6">
        <f>Arrivals!L370</f>
        <v>75</v>
      </c>
      <c r="I370" s="6">
        <f>H370*8/ACE_Input!S10+ACE_Input!T10</f>
        <v>6.02</v>
      </c>
      <c r="J370" s="6">
        <f t="shared" si="127"/>
        <v>49.062681925334175</v>
      </c>
      <c r="K370" s="6">
        <f t="shared" si="119"/>
        <v>49.892130037626636</v>
      </c>
      <c r="L370" s="6">
        <f>MOD(K370-Settings!$B$32,Settings!$B$33)</f>
        <v>49.892130037626636</v>
      </c>
      <c r="M370" s="6">
        <f>IF(L370&lt;Settings!$B$30,IF(Settings!$B$30-L370&gt;=I370,K370,K370+(Settings!$B$30-L370)+Settings!$B$31),K370+(Settings!$B$33-L370))</f>
        <v>49.892130037626636</v>
      </c>
      <c r="N370" s="6">
        <f t="shared" si="120"/>
        <v>55.912130037626639</v>
      </c>
      <c r="O370" s="6">
        <f t="shared" si="121"/>
        <v>13.912130037626639</v>
      </c>
      <c r="P370" s="6">
        <f t="shared" si="122"/>
        <v>0</v>
      </c>
      <c r="Q370" s="6">
        <f t="shared" si="123"/>
        <v>0</v>
      </c>
      <c r="R370" s="6">
        <f t="shared" si="124"/>
        <v>0</v>
      </c>
      <c r="S370" s="6">
        <f t="shared" si="125"/>
        <v>0</v>
      </c>
      <c r="T370" s="6" t="str">
        <f>IF(MOD(C370-Settings!$B$32,Settings!$B$33)&lt;Settings!$B$30,"Up","Down")</f>
        <v>Up</v>
      </c>
      <c r="U370" s="6">
        <f>IF(OR(I370&gt;Settings!$B$30,O370&gt;Settings!$B$37),0,1)</f>
        <v>1</v>
      </c>
      <c r="V370" s="6">
        <f>IF(AND(U370=1,O370&lt;=Settings!$B$36),1,0)</f>
        <v>1</v>
      </c>
    </row>
    <row r="371" spans="1:22" x14ac:dyDescent="0.2">
      <c r="A371">
        <f>Arrivals!A371</f>
        <v>4</v>
      </c>
      <c r="B371">
        <f>Arrivals!B371</f>
        <v>6</v>
      </c>
      <c r="C371" s="6">
        <f>Arrivals!F371</f>
        <v>47</v>
      </c>
      <c r="D371" s="6">
        <f>Arrivals!J371</f>
        <v>1.0174715317184344</v>
      </c>
      <c r="E371" s="6">
        <f t="shared" si="126"/>
        <v>49.892130037626636</v>
      </c>
      <c r="F371" s="6">
        <f t="shared" si="117"/>
        <v>49.892130037626636</v>
      </c>
      <c r="G371" s="6">
        <f t="shared" si="118"/>
        <v>50.909601569345071</v>
      </c>
      <c r="H371" s="6">
        <f>Arrivals!L371</f>
        <v>75</v>
      </c>
      <c r="I371" s="6">
        <f>H371*8/ACE_Input!S11+ACE_Input!T11</f>
        <v>6.02</v>
      </c>
      <c r="J371" s="6">
        <f t="shared" si="127"/>
        <v>55.912130037626639</v>
      </c>
      <c r="K371" s="6">
        <f t="shared" si="119"/>
        <v>55.912130037626639</v>
      </c>
      <c r="L371" s="6">
        <f>MOD(K371-Settings!$B$32,Settings!$B$33)</f>
        <v>55.912130037626639</v>
      </c>
      <c r="M371" s="6">
        <f>IF(L371&lt;Settings!$B$30,IF(Settings!$B$30-L371&gt;=I371,K371,K371+(Settings!$B$30-L371)+Settings!$B$31),K371+(Settings!$B$33-L371))</f>
        <v>55.912130037626639</v>
      </c>
      <c r="N371" s="6">
        <f t="shared" si="120"/>
        <v>61.932130037626635</v>
      </c>
      <c r="O371" s="6">
        <f t="shared" si="121"/>
        <v>14.932130037626635</v>
      </c>
      <c r="P371" s="6">
        <f t="shared" si="122"/>
        <v>2.8921300376266359</v>
      </c>
      <c r="Q371" s="6">
        <f t="shared" si="123"/>
        <v>5.0025284682815681</v>
      </c>
      <c r="R371" s="6">
        <f t="shared" si="124"/>
        <v>0</v>
      </c>
      <c r="S371" s="6">
        <f t="shared" si="125"/>
        <v>7.8946585059082039</v>
      </c>
      <c r="T371" s="6" t="str">
        <f>IF(MOD(C371-Settings!$B$32,Settings!$B$33)&lt;Settings!$B$30,"Up","Down")</f>
        <v>Up</v>
      </c>
      <c r="U371" s="6">
        <f>IF(OR(I371&gt;Settings!$B$30,O371&gt;Settings!$B$37),0,1)</f>
        <v>1</v>
      </c>
      <c r="V371" s="6">
        <f>IF(AND(U371=1,O371&lt;=Settings!$B$36),1,0)</f>
        <v>1</v>
      </c>
    </row>
    <row r="372" spans="1:22" x14ac:dyDescent="0.2">
      <c r="A372">
        <f>Arrivals!A372</f>
        <v>4</v>
      </c>
      <c r="B372">
        <f>Arrivals!B372</f>
        <v>7</v>
      </c>
      <c r="C372" s="6">
        <f>Arrivals!F372</f>
        <v>52</v>
      </c>
      <c r="D372" s="6">
        <f>Arrivals!J372</f>
        <v>4.4690840509098031</v>
      </c>
      <c r="E372" s="6">
        <f t="shared" si="126"/>
        <v>50.909601569345071</v>
      </c>
      <c r="F372" s="6">
        <f t="shared" si="117"/>
        <v>52</v>
      </c>
      <c r="G372" s="6">
        <f t="shared" si="118"/>
        <v>56.4690840509098</v>
      </c>
      <c r="H372" s="6">
        <f>Arrivals!L372</f>
        <v>75</v>
      </c>
      <c r="I372" s="6">
        <f>H372*8/ACE_Input!S12+ACE_Input!T12</f>
        <v>6.02</v>
      </c>
      <c r="J372" s="6">
        <f t="shared" si="127"/>
        <v>61.932130037626635</v>
      </c>
      <c r="K372" s="6">
        <f t="shared" si="119"/>
        <v>61.932130037626635</v>
      </c>
      <c r="L372" s="6">
        <f>MOD(K372-Settings!$B$32,Settings!$B$33)</f>
        <v>61.932130037626635</v>
      </c>
      <c r="M372" s="6">
        <f>IF(L372&lt;Settings!$B$30,IF(Settings!$B$30-L372&gt;=I372,K372,K372+(Settings!$B$30-L372)+Settings!$B$31),K372+(Settings!$B$33-L372))</f>
        <v>61.932130037626635</v>
      </c>
      <c r="N372" s="6">
        <f t="shared" si="120"/>
        <v>67.952130037626631</v>
      </c>
      <c r="O372" s="6">
        <f t="shared" si="121"/>
        <v>15.952130037626631</v>
      </c>
      <c r="P372" s="6">
        <f t="shared" si="122"/>
        <v>0</v>
      </c>
      <c r="Q372" s="6">
        <f t="shared" si="123"/>
        <v>5.4630459867168355</v>
      </c>
      <c r="R372" s="6">
        <f t="shared" si="124"/>
        <v>0</v>
      </c>
      <c r="S372" s="6">
        <f t="shared" si="125"/>
        <v>5.4630459867168355</v>
      </c>
      <c r="T372" s="6" t="str">
        <f>IF(MOD(C372-Settings!$B$32,Settings!$B$33)&lt;Settings!$B$30,"Up","Down")</f>
        <v>Up</v>
      </c>
      <c r="U372" s="6">
        <f>IF(OR(I372&gt;Settings!$B$30,O372&gt;Settings!$B$37),0,1)</f>
        <v>1</v>
      </c>
      <c r="V372" s="6">
        <f>IF(AND(U372=1,O372&lt;=Settings!$B$36),1,0)</f>
        <v>1</v>
      </c>
    </row>
    <row r="373" spans="1:22" x14ac:dyDescent="0.2">
      <c r="A373">
        <f>Arrivals!A373</f>
        <v>4</v>
      </c>
      <c r="B373">
        <f>Arrivals!B373</f>
        <v>8</v>
      </c>
      <c r="C373" s="6">
        <f>Arrivals!F373</f>
        <v>57</v>
      </c>
      <c r="D373" s="6">
        <f>Arrivals!J373</f>
        <v>32.057296770164967</v>
      </c>
      <c r="E373" s="6">
        <f t="shared" si="126"/>
        <v>56.4690840509098</v>
      </c>
      <c r="F373" s="6">
        <f t="shared" si="117"/>
        <v>57</v>
      </c>
      <c r="G373" s="6">
        <f t="shared" si="118"/>
        <v>89.057296770164967</v>
      </c>
      <c r="H373" s="6">
        <f>Arrivals!L373</f>
        <v>75</v>
      </c>
      <c r="I373" s="6">
        <f>H373*8/ACE_Input!S13+ACE_Input!T13</f>
        <v>6.02</v>
      </c>
      <c r="J373" s="6">
        <f t="shared" si="127"/>
        <v>67.952130037626631</v>
      </c>
      <c r="K373" s="6">
        <f t="shared" si="119"/>
        <v>89.057296770164967</v>
      </c>
      <c r="L373" s="6">
        <f>MOD(K373-Settings!$B$32,Settings!$B$33)</f>
        <v>89.057296770164967</v>
      </c>
      <c r="M373" s="6">
        <f>IF(L373&lt;Settings!$B$30,IF(Settings!$B$30-L373&gt;=I373,K373,K373+(Settings!$B$30-L373)+Settings!$B$31),K373+(Settings!$B$33-L373))</f>
        <v>89.057296770164967</v>
      </c>
      <c r="N373" s="6">
        <f t="shared" si="120"/>
        <v>95.077296770164963</v>
      </c>
      <c r="O373" s="6">
        <f t="shared" si="121"/>
        <v>38.077296770164963</v>
      </c>
      <c r="P373" s="6">
        <f t="shared" si="122"/>
        <v>0</v>
      </c>
      <c r="Q373" s="6">
        <f t="shared" si="123"/>
        <v>0</v>
      </c>
      <c r="R373" s="6">
        <f t="shared" si="124"/>
        <v>0</v>
      </c>
      <c r="S373" s="6">
        <f t="shared" si="125"/>
        <v>0</v>
      </c>
      <c r="T373" s="6" t="str">
        <f>IF(MOD(C373-Settings!$B$32,Settings!$B$33)&lt;Settings!$B$30,"Up","Down")</f>
        <v>Up</v>
      </c>
      <c r="U373" s="6">
        <f>IF(OR(I373&gt;Settings!$B$30,O373&gt;Settings!$B$37),0,1)</f>
        <v>1</v>
      </c>
      <c r="V373" s="6">
        <f>IF(AND(U373=1,O373&lt;=Settings!$B$36),1,0)</f>
        <v>1</v>
      </c>
    </row>
    <row r="374" spans="1:22" x14ac:dyDescent="0.2">
      <c r="A374">
        <f>Arrivals!A374</f>
        <v>4</v>
      </c>
      <c r="B374">
        <f>Arrivals!B374</f>
        <v>9</v>
      </c>
      <c r="C374" s="6">
        <f>Arrivals!F374</f>
        <v>172</v>
      </c>
      <c r="D374" s="6">
        <f>Arrivals!J374</f>
        <v>16.844470528830094</v>
      </c>
      <c r="E374" s="6">
        <f t="shared" si="126"/>
        <v>89.057296770164967</v>
      </c>
      <c r="F374" s="6">
        <f t="shared" si="117"/>
        <v>172</v>
      </c>
      <c r="G374" s="6">
        <f t="shared" si="118"/>
        <v>188.8444705288301</v>
      </c>
      <c r="H374" s="6">
        <f>Arrivals!L374</f>
        <v>75</v>
      </c>
      <c r="I374" s="6">
        <f>H374*8/ACE_Input!S14+ACE_Input!T14</f>
        <v>6.02</v>
      </c>
      <c r="J374" s="6">
        <f t="shared" si="127"/>
        <v>95.077296770164963</v>
      </c>
      <c r="K374" s="6">
        <f t="shared" si="119"/>
        <v>188.8444705288301</v>
      </c>
      <c r="L374" s="6">
        <f>MOD(K374-Settings!$B$32,Settings!$B$33)</f>
        <v>188.8444705288301</v>
      </c>
      <c r="M374" s="6">
        <f>IF(L374&lt;Settings!$B$30,IF(Settings!$B$30-L374&gt;=I374,K374,K374+(Settings!$B$30-L374)+Settings!$B$31),K374+(Settings!$B$33-L374))</f>
        <v>188.8444705288301</v>
      </c>
      <c r="N374" s="6">
        <f t="shared" si="120"/>
        <v>194.86447052883011</v>
      </c>
      <c r="O374" s="6">
        <f t="shared" si="121"/>
        <v>22.864470528830111</v>
      </c>
      <c r="P374" s="6">
        <f t="shared" si="122"/>
        <v>0</v>
      </c>
      <c r="Q374" s="6">
        <f t="shared" si="123"/>
        <v>0</v>
      </c>
      <c r="R374" s="6">
        <f t="shared" si="124"/>
        <v>0</v>
      </c>
      <c r="S374" s="6">
        <f t="shared" si="125"/>
        <v>0</v>
      </c>
      <c r="T374" s="6" t="str">
        <f>IF(MOD(C374-Settings!$B$32,Settings!$B$33)&lt;Settings!$B$30,"Up","Down")</f>
        <v>Up</v>
      </c>
      <c r="U374" s="6">
        <f>IF(OR(I374&gt;Settings!$B$30,O374&gt;Settings!$B$37),0,1)</f>
        <v>1</v>
      </c>
      <c r="V374" s="6">
        <f>IF(AND(U374=1,O374&lt;=Settings!$B$36),1,0)</f>
        <v>1</v>
      </c>
    </row>
    <row r="375" spans="1:22" x14ac:dyDescent="0.2">
      <c r="A375">
        <f>Arrivals!A375</f>
        <v>4</v>
      </c>
      <c r="B375">
        <f>Arrivals!B375</f>
        <v>10</v>
      </c>
      <c r="C375" s="6">
        <f>Arrivals!F375</f>
        <v>177</v>
      </c>
      <c r="D375" s="6">
        <f>Arrivals!J375</f>
        <v>17.932748084908589</v>
      </c>
      <c r="E375" s="6">
        <f t="shared" si="126"/>
        <v>188.8444705288301</v>
      </c>
      <c r="F375" s="6">
        <f t="shared" si="117"/>
        <v>188.8444705288301</v>
      </c>
      <c r="G375" s="6">
        <f t="shared" si="118"/>
        <v>206.77721861373868</v>
      </c>
      <c r="H375" s="6">
        <f>Arrivals!L375</f>
        <v>75</v>
      </c>
      <c r="I375" s="6">
        <f>H375*8/ACE_Input!S15+ACE_Input!T15</f>
        <v>6.02</v>
      </c>
      <c r="J375" s="6">
        <f t="shared" si="127"/>
        <v>194.86447052883011</v>
      </c>
      <c r="K375" s="6">
        <f t="shared" si="119"/>
        <v>206.77721861373868</v>
      </c>
      <c r="L375" s="6">
        <f>MOD(K375-Settings!$B$32,Settings!$B$33)</f>
        <v>206.77721861373868</v>
      </c>
      <c r="M375" s="6">
        <f>IF(L375&lt;Settings!$B$30,IF(Settings!$B$30-L375&gt;=I375,K375,K375+(Settings!$B$30-L375)+Settings!$B$31),K375+(Settings!$B$33-L375))</f>
        <v>206.77721861373868</v>
      </c>
      <c r="N375" s="6">
        <f t="shared" si="120"/>
        <v>212.79721861373869</v>
      </c>
      <c r="O375" s="6">
        <f t="shared" si="121"/>
        <v>35.797218613738693</v>
      </c>
      <c r="P375" s="6">
        <f t="shared" si="122"/>
        <v>11.844470528830101</v>
      </c>
      <c r="Q375" s="6">
        <f t="shared" si="123"/>
        <v>0</v>
      </c>
      <c r="R375" s="6">
        <f t="shared" si="124"/>
        <v>0</v>
      </c>
      <c r="S375" s="6">
        <f t="shared" si="125"/>
        <v>11.844470528830101</v>
      </c>
      <c r="T375" s="6" t="str">
        <f>IF(MOD(C375-Settings!$B$32,Settings!$B$33)&lt;Settings!$B$30,"Up","Down")</f>
        <v>Up</v>
      </c>
      <c r="U375" s="6">
        <f>IF(OR(I375&gt;Settings!$B$30,O375&gt;Settings!$B$37),0,1)</f>
        <v>1</v>
      </c>
      <c r="V375" s="6">
        <f>IF(AND(U375=1,O375&lt;=Settings!$B$36),1,0)</f>
        <v>1</v>
      </c>
    </row>
    <row r="376" spans="1:22" x14ac:dyDescent="0.2">
      <c r="A376">
        <f>Arrivals!A376</f>
        <v>4</v>
      </c>
      <c r="B376">
        <f>Arrivals!B376</f>
        <v>11</v>
      </c>
      <c r="C376" s="6">
        <f>Arrivals!F376</f>
        <v>182</v>
      </c>
      <c r="D376" s="6">
        <f>Arrivals!J376</f>
        <v>17.91793687395591</v>
      </c>
      <c r="E376" s="6">
        <f t="shared" si="126"/>
        <v>206.77721861373868</v>
      </c>
      <c r="F376" s="6">
        <f t="shared" si="117"/>
        <v>206.77721861373868</v>
      </c>
      <c r="G376" s="6">
        <f t="shared" si="118"/>
        <v>224.69515548769459</v>
      </c>
      <c r="H376" s="6">
        <f>Arrivals!L376</f>
        <v>75</v>
      </c>
      <c r="I376" s="6">
        <f>H376*8/ACE_Input!S16+ACE_Input!T16</f>
        <v>6.02</v>
      </c>
      <c r="J376" s="6">
        <f t="shared" si="127"/>
        <v>212.79721861373869</v>
      </c>
      <c r="K376" s="6">
        <f t="shared" si="119"/>
        <v>224.69515548769459</v>
      </c>
      <c r="L376" s="6">
        <f>MOD(K376-Settings!$B$32,Settings!$B$33)</f>
        <v>224.69515548769459</v>
      </c>
      <c r="M376" s="6">
        <f>IF(L376&lt;Settings!$B$30,IF(Settings!$B$30-L376&gt;=I376,K376,K376+(Settings!$B$30-L376)+Settings!$B$31),K376+(Settings!$B$33-L376))</f>
        <v>224.69515548769459</v>
      </c>
      <c r="N376" s="6">
        <f t="shared" si="120"/>
        <v>230.7151554876946</v>
      </c>
      <c r="O376" s="6">
        <f t="shared" si="121"/>
        <v>48.715155487694602</v>
      </c>
      <c r="P376" s="6">
        <f t="shared" si="122"/>
        <v>24.777218613738683</v>
      </c>
      <c r="Q376" s="6">
        <f t="shared" si="123"/>
        <v>0</v>
      </c>
      <c r="R376" s="6">
        <f t="shared" si="124"/>
        <v>0</v>
      </c>
      <c r="S376" s="6">
        <f t="shared" si="125"/>
        <v>24.777218613738683</v>
      </c>
      <c r="T376" s="6" t="str">
        <f>IF(MOD(C376-Settings!$B$32,Settings!$B$33)&lt;Settings!$B$30,"Up","Down")</f>
        <v>Up</v>
      </c>
      <c r="U376" s="6">
        <f>IF(OR(I376&gt;Settings!$B$30,O376&gt;Settings!$B$37),0,1)</f>
        <v>1</v>
      </c>
      <c r="V376" s="6">
        <f>IF(AND(U376=1,O376&lt;=Settings!$B$36),1,0)</f>
        <v>1</v>
      </c>
    </row>
    <row r="377" spans="1:22" x14ac:dyDescent="0.2">
      <c r="A377">
        <f>Arrivals!A377</f>
        <v>4</v>
      </c>
      <c r="B377">
        <f>Arrivals!B377</f>
        <v>12</v>
      </c>
      <c r="C377" s="6">
        <f>Arrivals!F377</f>
        <v>187</v>
      </c>
      <c r="D377" s="6">
        <f>Arrivals!J377</f>
        <v>1.5035567195543398</v>
      </c>
      <c r="E377" s="6">
        <f t="shared" si="126"/>
        <v>224.69515548769459</v>
      </c>
      <c r="F377" s="6">
        <f t="shared" si="117"/>
        <v>224.69515548769459</v>
      </c>
      <c r="G377" s="6">
        <f t="shared" si="118"/>
        <v>226.19871220724895</v>
      </c>
      <c r="H377" s="6">
        <f>Arrivals!L377</f>
        <v>75</v>
      </c>
      <c r="I377" s="6">
        <f>H377*8/ACE_Input!S17+ACE_Input!T17</f>
        <v>6.02</v>
      </c>
      <c r="J377" s="6">
        <f t="shared" si="127"/>
        <v>230.7151554876946</v>
      </c>
      <c r="K377" s="6">
        <f t="shared" si="119"/>
        <v>230.7151554876946</v>
      </c>
      <c r="L377" s="6">
        <f>MOD(K377-Settings!$B$32,Settings!$B$33)</f>
        <v>230.7151554876946</v>
      </c>
      <c r="M377" s="6">
        <f>IF(L377&lt;Settings!$B$30,IF(Settings!$B$30-L377&gt;=I377,K377,K377+(Settings!$B$30-L377)+Settings!$B$31),K377+(Settings!$B$33-L377))</f>
        <v>230.7151554876946</v>
      </c>
      <c r="N377" s="6">
        <f t="shared" si="120"/>
        <v>236.73515548769461</v>
      </c>
      <c r="O377" s="6">
        <f t="shared" si="121"/>
        <v>49.735155487694612</v>
      </c>
      <c r="P377" s="6">
        <f t="shared" si="122"/>
        <v>37.695155487694592</v>
      </c>
      <c r="Q377" s="6">
        <f t="shared" si="123"/>
        <v>4.5164432804456567</v>
      </c>
      <c r="R377" s="6">
        <f t="shared" si="124"/>
        <v>0</v>
      </c>
      <c r="S377" s="6">
        <f t="shared" si="125"/>
        <v>42.211598768140249</v>
      </c>
      <c r="T377" s="6" t="str">
        <f>IF(MOD(C377-Settings!$B$32,Settings!$B$33)&lt;Settings!$B$30,"Up","Down")</f>
        <v>Up</v>
      </c>
      <c r="U377" s="6">
        <f>IF(OR(I377&gt;Settings!$B$30,O377&gt;Settings!$B$37),0,1)</f>
        <v>1</v>
      </c>
      <c r="V377" s="6">
        <f>IF(AND(U377=1,O377&lt;=Settings!$B$36),1,0)</f>
        <v>1</v>
      </c>
    </row>
    <row r="378" spans="1:22" x14ac:dyDescent="0.2">
      <c r="A378">
        <f>Arrivals!A378</f>
        <v>4</v>
      </c>
      <c r="B378">
        <f>Arrivals!B378</f>
        <v>13</v>
      </c>
      <c r="C378" s="6">
        <f>Arrivals!F378</f>
        <v>192</v>
      </c>
      <c r="D378" s="6">
        <f>Arrivals!J378</f>
        <v>3.777340703558818</v>
      </c>
      <c r="E378" s="6">
        <f t="shared" si="126"/>
        <v>226.19871220724895</v>
      </c>
      <c r="F378" s="6">
        <f t="shared" si="117"/>
        <v>226.19871220724895</v>
      </c>
      <c r="G378" s="6">
        <f t="shared" si="118"/>
        <v>229.97605291080777</v>
      </c>
      <c r="H378" s="6">
        <f>Arrivals!L378</f>
        <v>75</v>
      </c>
      <c r="I378" s="6">
        <f>H378*8/ACE_Input!S18+ACE_Input!T18</f>
        <v>6.02</v>
      </c>
      <c r="J378" s="6">
        <f t="shared" si="127"/>
        <v>236.73515548769461</v>
      </c>
      <c r="K378" s="6">
        <f t="shared" si="119"/>
        <v>236.73515548769461</v>
      </c>
      <c r="L378" s="6">
        <f>MOD(K378-Settings!$B$32,Settings!$B$33)</f>
        <v>236.73515548769461</v>
      </c>
      <c r="M378" s="6">
        <f>IF(L378&lt;Settings!$B$30,IF(Settings!$B$30-L378&gt;=I378,K378,K378+(Settings!$B$30-L378)+Settings!$B$31),K378+(Settings!$B$33-L378))</f>
        <v>236.73515548769461</v>
      </c>
      <c r="N378" s="6">
        <f t="shared" si="120"/>
        <v>242.75515548769462</v>
      </c>
      <c r="O378" s="6">
        <f t="shared" si="121"/>
        <v>50.755155487694623</v>
      </c>
      <c r="P378" s="6">
        <f t="shared" si="122"/>
        <v>34.198712207248946</v>
      </c>
      <c r="Q378" s="6">
        <f t="shared" si="123"/>
        <v>6.7591025768868462</v>
      </c>
      <c r="R378" s="6">
        <f t="shared" si="124"/>
        <v>0</v>
      </c>
      <c r="S378" s="6">
        <f t="shared" si="125"/>
        <v>40.957814784135792</v>
      </c>
      <c r="T378" s="6" t="str">
        <f>IF(MOD(C378-Settings!$B$32,Settings!$B$33)&lt;Settings!$B$30,"Up","Down")</f>
        <v>Up</v>
      </c>
      <c r="U378" s="6">
        <f>IF(OR(I378&gt;Settings!$B$30,O378&gt;Settings!$B$37),0,1)</f>
        <v>1</v>
      </c>
      <c r="V378" s="6">
        <f>IF(AND(U378=1,O378&lt;=Settings!$B$36),1,0)</f>
        <v>1</v>
      </c>
    </row>
    <row r="379" spans="1:22" x14ac:dyDescent="0.2">
      <c r="A379">
        <f>Arrivals!A379</f>
        <v>4</v>
      </c>
      <c r="B379">
        <f>Arrivals!B379</f>
        <v>14</v>
      </c>
      <c r="C379" s="6">
        <f>Arrivals!F379</f>
        <v>197</v>
      </c>
      <c r="D379" s="6">
        <f>Arrivals!J379</f>
        <v>15.273099564422516</v>
      </c>
      <c r="E379" s="6">
        <f t="shared" si="126"/>
        <v>229.97605291080777</v>
      </c>
      <c r="F379" s="6">
        <f t="shared" si="117"/>
        <v>229.97605291080777</v>
      </c>
      <c r="G379" s="6">
        <f t="shared" si="118"/>
        <v>245.24915247523029</v>
      </c>
      <c r="H379" s="6">
        <f>Arrivals!L379</f>
        <v>75</v>
      </c>
      <c r="I379" s="6">
        <f>H379*8/ACE_Input!S19+ACE_Input!T19</f>
        <v>6.02</v>
      </c>
      <c r="J379" s="6">
        <f t="shared" si="127"/>
        <v>242.75515548769462</v>
      </c>
      <c r="K379" s="6">
        <f t="shared" si="119"/>
        <v>245.24915247523029</v>
      </c>
      <c r="L379" s="6">
        <f>MOD(K379-Settings!$B$32,Settings!$B$33)</f>
        <v>245.24915247523029</v>
      </c>
      <c r="M379" s="6">
        <f>IF(L379&lt;Settings!$B$30,IF(Settings!$B$30-L379&gt;=I379,K379,K379+(Settings!$B$30-L379)+Settings!$B$31),K379+(Settings!$B$33-L379))</f>
        <v>245.24915247523029</v>
      </c>
      <c r="N379" s="6">
        <f t="shared" si="120"/>
        <v>251.2691524752303</v>
      </c>
      <c r="O379" s="6">
        <f t="shared" si="121"/>
        <v>54.2691524752303</v>
      </c>
      <c r="P379" s="6">
        <f t="shared" si="122"/>
        <v>32.976052910807766</v>
      </c>
      <c r="Q379" s="6">
        <f t="shared" si="123"/>
        <v>0</v>
      </c>
      <c r="R379" s="6">
        <f t="shared" si="124"/>
        <v>0</v>
      </c>
      <c r="S379" s="6">
        <f t="shared" si="125"/>
        <v>32.976052910807766</v>
      </c>
      <c r="T379" s="6" t="str">
        <f>IF(MOD(C379-Settings!$B$32,Settings!$B$33)&lt;Settings!$B$30,"Up","Down")</f>
        <v>Up</v>
      </c>
      <c r="U379" s="6">
        <f>IF(OR(I379&gt;Settings!$B$30,O379&gt;Settings!$B$37),0,1)</f>
        <v>1</v>
      </c>
      <c r="V379" s="6">
        <f>IF(AND(U379=1,O379&lt;=Settings!$B$36),1,0)</f>
        <v>1</v>
      </c>
    </row>
    <row r="380" spans="1:22" x14ac:dyDescent="0.2">
      <c r="A380">
        <f>Arrivals!A380</f>
        <v>4</v>
      </c>
      <c r="B380">
        <f>Arrivals!B380</f>
        <v>15</v>
      </c>
      <c r="C380" s="6">
        <f>Arrivals!F380</f>
        <v>202</v>
      </c>
      <c r="D380" s="6">
        <f>Arrivals!J380</f>
        <v>0.79345414810188064</v>
      </c>
      <c r="E380" s="6">
        <f t="shared" si="126"/>
        <v>245.24915247523029</v>
      </c>
      <c r="F380" s="6">
        <f t="shared" si="117"/>
        <v>245.24915247523029</v>
      </c>
      <c r="G380" s="6">
        <f t="shared" si="118"/>
        <v>246.04260662333218</v>
      </c>
      <c r="H380" s="6">
        <f>Arrivals!L380</f>
        <v>75</v>
      </c>
      <c r="I380" s="6">
        <f>H380*8/ACE_Input!S20+ACE_Input!T20</f>
        <v>6.02</v>
      </c>
      <c r="J380" s="6">
        <f t="shared" si="127"/>
        <v>251.2691524752303</v>
      </c>
      <c r="K380" s="6">
        <f t="shared" si="119"/>
        <v>251.2691524752303</v>
      </c>
      <c r="L380" s="6">
        <f>MOD(K380-Settings!$B$32,Settings!$B$33)</f>
        <v>251.2691524752303</v>
      </c>
      <c r="M380" s="6">
        <f>IF(L380&lt;Settings!$B$30,IF(Settings!$B$30-L380&gt;=I380,K380,K380+(Settings!$B$30-L380)+Settings!$B$31),K380+(Settings!$B$33-L380))</f>
        <v>251.2691524752303</v>
      </c>
      <c r="N380" s="6">
        <f t="shared" si="120"/>
        <v>257.28915247523031</v>
      </c>
      <c r="O380" s="6">
        <f t="shared" si="121"/>
        <v>55.28915247523031</v>
      </c>
      <c r="P380" s="6">
        <f t="shared" si="122"/>
        <v>43.249152475230289</v>
      </c>
      <c r="Q380" s="6">
        <f t="shared" si="123"/>
        <v>5.2265458518981234</v>
      </c>
      <c r="R380" s="6">
        <f t="shared" si="124"/>
        <v>0</v>
      </c>
      <c r="S380" s="6">
        <f t="shared" si="125"/>
        <v>48.475698327128413</v>
      </c>
      <c r="T380" s="6" t="str">
        <f>IF(MOD(C380-Settings!$B$32,Settings!$B$33)&lt;Settings!$B$30,"Up","Down")</f>
        <v>Up</v>
      </c>
      <c r="U380" s="6">
        <f>IF(OR(I380&gt;Settings!$B$30,O380&gt;Settings!$B$37),0,1)</f>
        <v>1</v>
      </c>
      <c r="V380" s="6">
        <f>IF(AND(U380=1,O380&lt;=Settings!$B$36),1,0)</f>
        <v>1</v>
      </c>
    </row>
    <row r="381" spans="1:22" x14ac:dyDescent="0.2">
      <c r="A381">
        <f>Arrivals!A381</f>
        <v>4</v>
      </c>
      <c r="B381">
        <f>Arrivals!B381</f>
        <v>16</v>
      </c>
      <c r="C381" s="6">
        <f>Arrivals!F381</f>
        <v>207</v>
      </c>
      <c r="D381" s="6">
        <f>Arrivals!J381</f>
        <v>5.2625153685494004</v>
      </c>
      <c r="E381" s="6">
        <f t="shared" si="126"/>
        <v>246.04260662333218</v>
      </c>
      <c r="F381" s="6">
        <f t="shared" si="117"/>
        <v>246.04260662333218</v>
      </c>
      <c r="G381" s="6">
        <f t="shared" si="118"/>
        <v>251.30512199188158</v>
      </c>
      <c r="H381" s="6">
        <f>Arrivals!L381</f>
        <v>75</v>
      </c>
      <c r="I381" s="6">
        <f>H381*8/ACE_Input!S21+ACE_Input!T21</f>
        <v>6.02</v>
      </c>
      <c r="J381" s="6">
        <f t="shared" si="127"/>
        <v>257.28915247523031</v>
      </c>
      <c r="K381" s="6">
        <f t="shared" si="119"/>
        <v>257.28915247523031</v>
      </c>
      <c r="L381" s="6">
        <f>MOD(K381-Settings!$B$32,Settings!$B$33)</f>
        <v>257.28915247523031</v>
      </c>
      <c r="M381" s="6">
        <f>IF(L381&lt;Settings!$B$30,IF(Settings!$B$30-L381&gt;=I381,K381,K381+(Settings!$B$30-L381)+Settings!$B$31),K381+(Settings!$B$33-L381))</f>
        <v>257.28915247523031</v>
      </c>
      <c r="N381" s="6">
        <f t="shared" si="120"/>
        <v>263.30915247523029</v>
      </c>
      <c r="O381" s="6">
        <f t="shared" si="121"/>
        <v>56.309152475230292</v>
      </c>
      <c r="P381" s="6">
        <f t="shared" si="122"/>
        <v>39.042606623332176</v>
      </c>
      <c r="Q381" s="6">
        <f t="shared" si="123"/>
        <v>5.9840304833487323</v>
      </c>
      <c r="R381" s="6">
        <f t="shared" si="124"/>
        <v>0</v>
      </c>
      <c r="S381" s="6">
        <f t="shared" si="125"/>
        <v>45.026637106680909</v>
      </c>
      <c r="T381" s="6" t="str">
        <f>IF(MOD(C381-Settings!$B$32,Settings!$B$33)&lt;Settings!$B$30,"Up","Down")</f>
        <v>Up</v>
      </c>
      <c r="U381" s="6">
        <f>IF(OR(I381&gt;Settings!$B$30,O381&gt;Settings!$B$37),0,1)</f>
        <v>1</v>
      </c>
      <c r="V381" s="6">
        <f>IF(AND(U381=1,O381&lt;=Settings!$B$36),1,0)</f>
        <v>1</v>
      </c>
    </row>
    <row r="382" spans="1:22" x14ac:dyDescent="0.2">
      <c r="A382">
        <f>Arrivals!A382</f>
        <v>4</v>
      </c>
      <c r="B382">
        <f>Arrivals!B382</f>
        <v>17</v>
      </c>
      <c r="C382" s="6">
        <f>Arrivals!F382</f>
        <v>212</v>
      </c>
      <c r="D382" s="6">
        <f>Arrivals!J382</f>
        <v>27.249692362570393</v>
      </c>
      <c r="E382" s="6">
        <f t="shared" si="126"/>
        <v>251.30512199188158</v>
      </c>
      <c r="F382" s="6">
        <f t="shared" si="117"/>
        <v>251.30512199188158</v>
      </c>
      <c r="G382" s="6">
        <f t="shared" si="118"/>
        <v>278.55481435445199</v>
      </c>
      <c r="H382" s="6">
        <f>Arrivals!L382</f>
        <v>75</v>
      </c>
      <c r="I382" s="6">
        <f>H382*8/ACE_Input!S22+ACE_Input!T22</f>
        <v>6.02</v>
      </c>
      <c r="J382" s="6">
        <f t="shared" si="127"/>
        <v>263.30915247523029</v>
      </c>
      <c r="K382" s="6">
        <f t="shared" si="119"/>
        <v>278.55481435445199</v>
      </c>
      <c r="L382" s="6">
        <f>MOD(K382-Settings!$B$32,Settings!$B$33)</f>
        <v>278.55481435445199</v>
      </c>
      <c r="M382" s="6">
        <f>IF(L382&lt;Settings!$B$30,IF(Settings!$B$30-L382&gt;=I382,K382,K382+(Settings!$B$30-L382)+Settings!$B$31),K382+(Settings!$B$33-L382))</f>
        <v>278.55481435445199</v>
      </c>
      <c r="N382" s="6">
        <f t="shared" si="120"/>
        <v>284.57481435445197</v>
      </c>
      <c r="O382" s="6">
        <f t="shared" si="121"/>
        <v>72.574814354451973</v>
      </c>
      <c r="P382" s="6">
        <f t="shared" si="122"/>
        <v>39.305121991881578</v>
      </c>
      <c r="Q382" s="6">
        <f t="shared" si="123"/>
        <v>0</v>
      </c>
      <c r="R382" s="6">
        <f t="shared" si="124"/>
        <v>0</v>
      </c>
      <c r="S382" s="6">
        <f t="shared" si="125"/>
        <v>39.305121991881578</v>
      </c>
      <c r="T382" s="6" t="str">
        <f>IF(MOD(C382-Settings!$B$32,Settings!$B$33)&lt;Settings!$B$30,"Up","Down")</f>
        <v>Up</v>
      </c>
      <c r="U382" s="6">
        <f>IF(OR(I382&gt;Settings!$B$30,O382&gt;Settings!$B$37),0,1)</f>
        <v>1</v>
      </c>
      <c r="V382" s="6">
        <f>IF(AND(U382=1,O382&lt;=Settings!$B$36),1,0)</f>
        <v>1</v>
      </c>
    </row>
    <row r="383" spans="1:22" x14ac:dyDescent="0.2">
      <c r="A383">
        <f>Arrivals!A383</f>
        <v>4</v>
      </c>
      <c r="B383">
        <f>Arrivals!B383</f>
        <v>18</v>
      </c>
      <c r="C383" s="6">
        <f>Arrivals!F383</f>
        <v>217</v>
      </c>
      <c r="D383" s="6">
        <f>Arrivals!J383</f>
        <v>0.41611576145161022</v>
      </c>
      <c r="E383" s="6">
        <f t="shared" si="126"/>
        <v>278.55481435445199</v>
      </c>
      <c r="F383" s="6">
        <f t="shared" si="117"/>
        <v>278.55481435445199</v>
      </c>
      <c r="G383" s="6">
        <f t="shared" si="118"/>
        <v>278.97093011590363</v>
      </c>
      <c r="H383" s="6">
        <f>Arrivals!L383</f>
        <v>75</v>
      </c>
      <c r="I383" s="6">
        <f>H383*8/ACE_Input!S23+ACE_Input!T23</f>
        <v>6.02</v>
      </c>
      <c r="J383" s="6">
        <f t="shared" si="127"/>
        <v>284.57481435445197</v>
      </c>
      <c r="K383" s="6">
        <f t="shared" si="119"/>
        <v>284.57481435445197</v>
      </c>
      <c r="L383" s="6">
        <f>MOD(K383-Settings!$B$32,Settings!$B$33)</f>
        <v>284.57481435445197</v>
      </c>
      <c r="M383" s="6">
        <f>IF(L383&lt;Settings!$B$30,IF(Settings!$B$30-L383&gt;=I383,K383,K383+(Settings!$B$30-L383)+Settings!$B$31),K383+(Settings!$B$33-L383))</f>
        <v>284.57481435445197</v>
      </c>
      <c r="N383" s="6">
        <f t="shared" si="120"/>
        <v>290.59481435445196</v>
      </c>
      <c r="O383" s="6">
        <f t="shared" si="121"/>
        <v>73.594814354451955</v>
      </c>
      <c r="P383" s="6">
        <f t="shared" si="122"/>
        <v>61.554814354451992</v>
      </c>
      <c r="Q383" s="6">
        <f t="shared" si="123"/>
        <v>5.6038842385483463</v>
      </c>
      <c r="R383" s="6">
        <f t="shared" si="124"/>
        <v>0</v>
      </c>
      <c r="S383" s="6">
        <f t="shared" si="125"/>
        <v>67.158698593000338</v>
      </c>
      <c r="T383" s="6" t="str">
        <f>IF(MOD(C383-Settings!$B$32,Settings!$B$33)&lt;Settings!$B$30,"Up","Down")</f>
        <v>Up</v>
      </c>
      <c r="U383" s="6">
        <f>IF(OR(I383&gt;Settings!$B$30,O383&gt;Settings!$B$37),0,1)</f>
        <v>1</v>
      </c>
      <c r="V383" s="6">
        <f>IF(AND(U383=1,O383&lt;=Settings!$B$36),1,0)</f>
        <v>1</v>
      </c>
    </row>
    <row r="384" spans="1:22" x14ac:dyDescent="0.2">
      <c r="A384">
        <f>Arrivals!A384</f>
        <v>4</v>
      </c>
      <c r="B384">
        <f>Arrivals!B384</f>
        <v>19</v>
      </c>
      <c r="C384" s="6">
        <f>Arrivals!F384</f>
        <v>222</v>
      </c>
      <c r="D384" s="6">
        <f>Arrivals!J384</f>
        <v>20.302903830078957</v>
      </c>
      <c r="E384" s="6">
        <f t="shared" si="126"/>
        <v>278.97093011590363</v>
      </c>
      <c r="F384" s="6">
        <f t="shared" si="117"/>
        <v>278.97093011590363</v>
      </c>
      <c r="G384" s="6">
        <f t="shared" si="118"/>
        <v>299.27383394598257</v>
      </c>
      <c r="H384" s="6">
        <f>Arrivals!L384</f>
        <v>75</v>
      </c>
      <c r="I384" s="6">
        <f>H384*8/ACE_Input!S24+ACE_Input!T24</f>
        <v>6.02</v>
      </c>
      <c r="J384" s="6">
        <f t="shared" si="127"/>
        <v>290.59481435445196</v>
      </c>
      <c r="K384" s="6">
        <f t="shared" si="119"/>
        <v>299.27383394598257</v>
      </c>
      <c r="L384" s="6">
        <f>MOD(K384-Settings!$B$32,Settings!$B$33)</f>
        <v>299.27383394598257</v>
      </c>
      <c r="M384" s="6">
        <f>IF(L384&lt;Settings!$B$30,IF(Settings!$B$30-L384&gt;=I384,K384,K384+(Settings!$B$30-L384)+Settings!$B$31),K384+(Settings!$B$33-L384))</f>
        <v>299.27383394598257</v>
      </c>
      <c r="N384" s="6">
        <f t="shared" si="120"/>
        <v>305.29383394598256</v>
      </c>
      <c r="O384" s="6">
        <f t="shared" si="121"/>
        <v>83.293833945982556</v>
      </c>
      <c r="P384" s="6">
        <f t="shared" si="122"/>
        <v>56.970930115903627</v>
      </c>
      <c r="Q384" s="6">
        <f t="shared" si="123"/>
        <v>0</v>
      </c>
      <c r="R384" s="6">
        <f t="shared" si="124"/>
        <v>0</v>
      </c>
      <c r="S384" s="6">
        <f t="shared" si="125"/>
        <v>56.970930115903627</v>
      </c>
      <c r="T384" s="6" t="str">
        <f>IF(MOD(C384-Settings!$B$32,Settings!$B$33)&lt;Settings!$B$30,"Up","Down")</f>
        <v>Up</v>
      </c>
      <c r="U384" s="6">
        <f>IF(OR(I384&gt;Settings!$B$30,O384&gt;Settings!$B$37),0,1)</f>
        <v>1</v>
      </c>
      <c r="V384" s="6">
        <f>IF(AND(U384=1,O384&lt;=Settings!$B$36),1,0)</f>
        <v>1</v>
      </c>
    </row>
    <row r="385" spans="1:22" x14ac:dyDescent="0.2">
      <c r="A385">
        <f>Arrivals!A385</f>
        <v>4</v>
      </c>
      <c r="B385">
        <f>Arrivals!B385</f>
        <v>20</v>
      </c>
      <c r="C385" s="6">
        <f>Arrivals!F385</f>
        <v>227</v>
      </c>
      <c r="D385" s="6">
        <f>Arrivals!J385</f>
        <v>14.204775828858164</v>
      </c>
      <c r="E385" s="6">
        <f t="shared" si="126"/>
        <v>299.27383394598257</v>
      </c>
      <c r="F385" s="6">
        <f t="shared" si="117"/>
        <v>299.27383394598257</v>
      </c>
      <c r="G385" s="6">
        <f t="shared" si="118"/>
        <v>313.47860977484072</v>
      </c>
      <c r="H385" s="6">
        <f>Arrivals!L385</f>
        <v>75</v>
      </c>
      <c r="I385" s="6">
        <f>H385*8/ACE_Input!S25+ACE_Input!T25</f>
        <v>6.02</v>
      </c>
      <c r="J385" s="6">
        <f t="shared" si="127"/>
        <v>305.29383394598256</v>
      </c>
      <c r="K385" s="6">
        <f t="shared" si="119"/>
        <v>313.47860977484072</v>
      </c>
      <c r="L385" s="6">
        <f>MOD(K385-Settings!$B$32,Settings!$B$33)</f>
        <v>313.47860977484072</v>
      </c>
      <c r="M385" s="6">
        <f>IF(L385&lt;Settings!$B$30,IF(Settings!$B$30-L385&gt;=I385,K385,K385+(Settings!$B$30-L385)+Settings!$B$31),K385+(Settings!$B$33-L385))</f>
        <v>313.47860977484072</v>
      </c>
      <c r="N385" s="6">
        <f t="shared" si="120"/>
        <v>319.4986097748407</v>
      </c>
      <c r="O385" s="6">
        <f t="shared" si="121"/>
        <v>92.498609774840702</v>
      </c>
      <c r="P385" s="6">
        <f t="shared" si="122"/>
        <v>72.273833945982574</v>
      </c>
      <c r="Q385" s="6">
        <f t="shared" si="123"/>
        <v>0</v>
      </c>
      <c r="R385" s="6">
        <f t="shared" si="124"/>
        <v>0</v>
      </c>
      <c r="S385" s="6">
        <f t="shared" si="125"/>
        <v>72.273833945982574</v>
      </c>
      <c r="T385" s="6" t="str">
        <f>IF(MOD(C385-Settings!$B$32,Settings!$B$33)&lt;Settings!$B$30,"Up","Down")</f>
        <v>Up</v>
      </c>
      <c r="U385" s="6">
        <f>IF(OR(I385&gt;Settings!$B$30,O385&gt;Settings!$B$37),0,1)</f>
        <v>1</v>
      </c>
      <c r="V385" s="6">
        <f>IF(AND(U385=1,O385&lt;=Settings!$B$36),1,0)</f>
        <v>1</v>
      </c>
    </row>
    <row r="386" spans="1:22" x14ac:dyDescent="0.2">
      <c r="A386">
        <f>Arrivals!A386</f>
        <v>4</v>
      </c>
      <c r="B386">
        <f>Arrivals!B386</f>
        <v>21</v>
      </c>
      <c r="C386" s="6">
        <f>Arrivals!F386</f>
        <v>232</v>
      </c>
      <c r="D386" s="6">
        <f>Arrivals!J386</f>
        <v>19.342308867573294</v>
      </c>
      <c r="E386" s="6">
        <f t="shared" si="126"/>
        <v>313.47860977484072</v>
      </c>
      <c r="F386" s="6">
        <f t="shared" si="117"/>
        <v>313.47860977484072</v>
      </c>
      <c r="G386" s="6">
        <f t="shared" si="118"/>
        <v>332.82091864241403</v>
      </c>
      <c r="H386" s="6">
        <f>Arrivals!L386</f>
        <v>75</v>
      </c>
      <c r="I386" s="6">
        <f>H386*8/ACE_Input!S26+ACE_Input!T26</f>
        <v>6.02</v>
      </c>
      <c r="J386" s="6">
        <f t="shared" si="127"/>
        <v>319.4986097748407</v>
      </c>
      <c r="K386" s="6">
        <f t="shared" si="119"/>
        <v>332.82091864241403</v>
      </c>
      <c r="L386" s="6">
        <f>MOD(K386-Settings!$B$32,Settings!$B$33)</f>
        <v>332.82091864241403</v>
      </c>
      <c r="M386" s="6">
        <f>IF(L386&lt;Settings!$B$30,IF(Settings!$B$30-L386&gt;=I386,K386,K386+(Settings!$B$30-L386)+Settings!$B$31),K386+(Settings!$B$33-L386))</f>
        <v>332.82091864241403</v>
      </c>
      <c r="N386" s="6">
        <f t="shared" si="120"/>
        <v>338.84091864241401</v>
      </c>
      <c r="O386" s="6">
        <f t="shared" si="121"/>
        <v>106.84091864241401</v>
      </c>
      <c r="P386" s="6">
        <f t="shared" si="122"/>
        <v>81.47860977484072</v>
      </c>
      <c r="Q386" s="6">
        <f t="shared" si="123"/>
        <v>0</v>
      </c>
      <c r="R386" s="6">
        <f t="shared" si="124"/>
        <v>0</v>
      </c>
      <c r="S386" s="6">
        <f t="shared" si="125"/>
        <v>81.47860977484072</v>
      </c>
      <c r="T386" s="6" t="str">
        <f>IF(MOD(C386-Settings!$B$32,Settings!$B$33)&lt;Settings!$B$30,"Up","Down")</f>
        <v>Up</v>
      </c>
      <c r="U386" s="6">
        <f>IF(OR(I386&gt;Settings!$B$30,O386&gt;Settings!$B$37),0,1)</f>
        <v>1</v>
      </c>
      <c r="V386" s="6">
        <f>IF(AND(U386=1,O386&lt;=Settings!$B$36),1,0)</f>
        <v>1</v>
      </c>
    </row>
    <row r="387" spans="1:22" x14ac:dyDescent="0.2">
      <c r="A387">
        <f>Arrivals!A387</f>
        <v>4</v>
      </c>
      <c r="B387">
        <f>Arrivals!B387</f>
        <v>22</v>
      </c>
      <c r="C387" s="6">
        <f>Arrivals!F387</f>
        <v>237</v>
      </c>
      <c r="D387" s="6">
        <f>Arrivals!J387</f>
        <v>15.651814288786973</v>
      </c>
      <c r="E387" s="6">
        <f t="shared" si="126"/>
        <v>332.82091864241403</v>
      </c>
      <c r="F387" s="6">
        <f t="shared" si="117"/>
        <v>332.82091864241403</v>
      </c>
      <c r="G387" s="6">
        <f t="shared" si="118"/>
        <v>348.47273293120099</v>
      </c>
      <c r="H387" s="6">
        <f>Arrivals!L387</f>
        <v>75</v>
      </c>
      <c r="I387" s="6">
        <f>H387*8/ACE_Input!S27+ACE_Input!T27</f>
        <v>6.02</v>
      </c>
      <c r="J387" s="6">
        <f t="shared" si="127"/>
        <v>338.84091864241401</v>
      </c>
      <c r="K387" s="6">
        <f t="shared" si="119"/>
        <v>348.47273293120099</v>
      </c>
      <c r="L387" s="6">
        <f>MOD(K387-Settings!$B$32,Settings!$B$33)</f>
        <v>348.47273293120099</v>
      </c>
      <c r="M387" s="6">
        <f>IF(L387&lt;Settings!$B$30,IF(Settings!$B$30-L387&gt;=I387,K387,K387+(Settings!$B$30-L387)+Settings!$B$31),K387+(Settings!$B$33-L387))</f>
        <v>348.47273293120099</v>
      </c>
      <c r="N387" s="6">
        <f t="shared" si="120"/>
        <v>354.49273293120098</v>
      </c>
      <c r="O387" s="6">
        <f t="shared" si="121"/>
        <v>117.49273293120098</v>
      </c>
      <c r="P387" s="6">
        <f t="shared" si="122"/>
        <v>95.820918642414028</v>
      </c>
      <c r="Q387" s="6">
        <f t="shared" si="123"/>
        <v>0</v>
      </c>
      <c r="R387" s="6">
        <f t="shared" si="124"/>
        <v>0</v>
      </c>
      <c r="S387" s="6">
        <f t="shared" si="125"/>
        <v>95.820918642414028</v>
      </c>
      <c r="T387" s="6" t="str">
        <f>IF(MOD(C387-Settings!$B$32,Settings!$B$33)&lt;Settings!$B$30,"Up","Down")</f>
        <v>Up</v>
      </c>
      <c r="U387" s="6">
        <f>IF(OR(I387&gt;Settings!$B$30,O387&gt;Settings!$B$37),0,1)</f>
        <v>1</v>
      </c>
      <c r="V387" s="6">
        <f>IF(AND(U387=1,O387&lt;=Settings!$B$36),1,0)</f>
        <v>1</v>
      </c>
    </row>
    <row r="388" spans="1:22" x14ac:dyDescent="0.2">
      <c r="A388">
        <f>Arrivals!A388</f>
        <v>4</v>
      </c>
      <c r="B388">
        <f>Arrivals!B388</f>
        <v>23</v>
      </c>
      <c r="C388" s="6">
        <f>Arrivals!F388</f>
        <v>242</v>
      </c>
      <c r="D388" s="6">
        <f>Arrivals!J388</f>
        <v>4.1642932971942708</v>
      </c>
      <c r="E388" s="6">
        <f t="shared" si="126"/>
        <v>348.47273293120099</v>
      </c>
      <c r="F388" s="6">
        <f t="shared" si="117"/>
        <v>348.47273293120099</v>
      </c>
      <c r="G388" s="6">
        <f t="shared" si="118"/>
        <v>352.63702622839526</v>
      </c>
      <c r="H388" s="6">
        <f>Arrivals!L388</f>
        <v>75</v>
      </c>
      <c r="I388" s="6">
        <f>H388*8/ACE_Input!S28+ACE_Input!T28</f>
        <v>6.02</v>
      </c>
      <c r="J388" s="6">
        <f t="shared" si="127"/>
        <v>354.49273293120098</v>
      </c>
      <c r="K388" s="6">
        <f t="shared" si="119"/>
        <v>354.49273293120098</v>
      </c>
      <c r="L388" s="6">
        <f>MOD(K388-Settings!$B$32,Settings!$B$33)</f>
        <v>354.49273293120098</v>
      </c>
      <c r="M388" s="6">
        <f>IF(L388&lt;Settings!$B$30,IF(Settings!$B$30-L388&gt;=I388,K388,K388+(Settings!$B$30-L388)+Settings!$B$31),K388+(Settings!$B$33-L388))</f>
        <v>354.49273293120098</v>
      </c>
      <c r="N388" s="6">
        <f t="shared" si="120"/>
        <v>360.51273293120096</v>
      </c>
      <c r="O388" s="6">
        <f t="shared" si="121"/>
        <v>118.51273293120096</v>
      </c>
      <c r="P388" s="6">
        <f t="shared" si="122"/>
        <v>106.47273293120099</v>
      </c>
      <c r="Q388" s="6">
        <f t="shared" si="123"/>
        <v>1.855706702805719</v>
      </c>
      <c r="R388" s="6">
        <f t="shared" si="124"/>
        <v>0</v>
      </c>
      <c r="S388" s="6">
        <f t="shared" si="125"/>
        <v>108.32843963400671</v>
      </c>
      <c r="T388" s="6" t="str">
        <f>IF(MOD(C388-Settings!$B$32,Settings!$B$33)&lt;Settings!$B$30,"Up","Down")</f>
        <v>Up</v>
      </c>
      <c r="U388" s="6">
        <f>IF(OR(I388&gt;Settings!$B$30,O388&gt;Settings!$B$37),0,1)</f>
        <v>1</v>
      </c>
      <c r="V388" s="6">
        <f>IF(AND(U388=1,O388&lt;=Settings!$B$36),1,0)</f>
        <v>1</v>
      </c>
    </row>
    <row r="389" spans="1:22" x14ac:dyDescent="0.2">
      <c r="A389">
        <f>Arrivals!A389</f>
        <v>4</v>
      </c>
      <c r="B389">
        <f>Arrivals!B389</f>
        <v>24</v>
      </c>
      <c r="C389" s="6">
        <f>Arrivals!F389</f>
        <v>247</v>
      </c>
      <c r="D389" s="6">
        <f>Arrivals!J389</f>
        <v>0.15934502847451162</v>
      </c>
      <c r="E389" s="6">
        <f t="shared" si="126"/>
        <v>352.63702622839526</v>
      </c>
      <c r="F389" s="6">
        <f t="shared" si="117"/>
        <v>352.63702622839526</v>
      </c>
      <c r="G389" s="6">
        <f t="shared" si="118"/>
        <v>352.79637125686975</v>
      </c>
      <c r="H389" s="6">
        <f>Arrivals!L389</f>
        <v>75</v>
      </c>
      <c r="I389" s="6">
        <f>H389*8/ACE_Input!S29+ACE_Input!T29</f>
        <v>6.02</v>
      </c>
      <c r="J389" s="6">
        <f t="shared" si="127"/>
        <v>360.51273293120096</v>
      </c>
      <c r="K389" s="6">
        <f t="shared" si="119"/>
        <v>360.51273293120096</v>
      </c>
      <c r="L389" s="6">
        <f>MOD(K389-Settings!$B$32,Settings!$B$33)</f>
        <v>360.51273293120096</v>
      </c>
      <c r="M389" s="6">
        <f>IF(L389&lt;Settings!$B$30,IF(Settings!$B$30-L389&gt;=I389,K389,K389+(Settings!$B$30-L389)+Settings!$B$31),K389+(Settings!$B$33-L389))</f>
        <v>360.51273293120096</v>
      </c>
      <c r="N389" s="6">
        <f t="shared" si="120"/>
        <v>366.53273293120094</v>
      </c>
      <c r="O389" s="6">
        <f t="shared" si="121"/>
        <v>119.53273293120094</v>
      </c>
      <c r="P389" s="6">
        <f t="shared" si="122"/>
        <v>105.63702622839526</v>
      </c>
      <c r="Q389" s="6">
        <f t="shared" si="123"/>
        <v>7.7163616743312105</v>
      </c>
      <c r="R389" s="6">
        <f t="shared" si="124"/>
        <v>0</v>
      </c>
      <c r="S389" s="6">
        <f t="shared" si="125"/>
        <v>113.35338790272647</v>
      </c>
      <c r="T389" s="6" t="str">
        <f>IF(MOD(C389-Settings!$B$32,Settings!$B$33)&lt;Settings!$B$30,"Up","Down")</f>
        <v>Up</v>
      </c>
      <c r="U389" s="6">
        <f>IF(OR(I389&gt;Settings!$B$30,O389&gt;Settings!$B$37),0,1)</f>
        <v>1</v>
      </c>
      <c r="V389" s="6">
        <f>IF(AND(U389=1,O389&lt;=Settings!$B$36),1,0)</f>
        <v>1</v>
      </c>
    </row>
    <row r="390" spans="1:22" x14ac:dyDescent="0.2">
      <c r="A390">
        <f>Arrivals!A390</f>
        <v>4</v>
      </c>
      <c r="B390">
        <f>Arrivals!B390</f>
        <v>25</v>
      </c>
      <c r="C390" s="6">
        <f>Arrivals!F390</f>
        <v>252</v>
      </c>
      <c r="D390" s="6">
        <f>Arrivals!J390</f>
        <v>14.478860122254403</v>
      </c>
      <c r="E390" s="6">
        <f t="shared" si="126"/>
        <v>352.79637125686975</v>
      </c>
      <c r="F390" s="6">
        <f t="shared" si="117"/>
        <v>352.79637125686975</v>
      </c>
      <c r="G390" s="6">
        <f t="shared" si="118"/>
        <v>367.27523137912414</v>
      </c>
      <c r="H390" s="6">
        <f>Arrivals!L390</f>
        <v>75</v>
      </c>
      <c r="I390" s="6">
        <f>H390*8/ACE_Input!S30+ACE_Input!T30</f>
        <v>6.02</v>
      </c>
      <c r="J390" s="6">
        <f t="shared" si="127"/>
        <v>366.53273293120094</v>
      </c>
      <c r="K390" s="6">
        <f t="shared" si="119"/>
        <v>367.27523137912414</v>
      </c>
      <c r="L390" s="6">
        <f>MOD(K390-Settings!$B$32,Settings!$B$33)</f>
        <v>367.27523137912414</v>
      </c>
      <c r="M390" s="6">
        <f>IF(L390&lt;Settings!$B$30,IF(Settings!$B$30-L390&gt;=I390,K390,K390+(Settings!$B$30-L390)+Settings!$B$31),K390+(Settings!$B$33-L390))</f>
        <v>367.27523137912414</v>
      </c>
      <c r="N390" s="6">
        <f t="shared" si="120"/>
        <v>373.29523137912412</v>
      </c>
      <c r="O390" s="6">
        <f t="shared" si="121"/>
        <v>121.29523137912412</v>
      </c>
      <c r="P390" s="6">
        <f t="shared" si="122"/>
        <v>100.79637125686975</v>
      </c>
      <c r="Q390" s="6">
        <f t="shared" si="123"/>
        <v>0</v>
      </c>
      <c r="R390" s="6">
        <f t="shared" si="124"/>
        <v>0</v>
      </c>
      <c r="S390" s="6">
        <f t="shared" si="125"/>
        <v>100.79637125686975</v>
      </c>
      <c r="T390" s="6" t="str">
        <f>IF(MOD(C390-Settings!$B$32,Settings!$B$33)&lt;Settings!$B$30,"Up","Down")</f>
        <v>Up</v>
      </c>
      <c r="U390" s="6">
        <f>IF(OR(I390&gt;Settings!$B$30,O390&gt;Settings!$B$37),0,1)</f>
        <v>1</v>
      </c>
      <c r="V390" s="6">
        <f>IF(AND(U390=1,O390&lt;=Settings!$B$36),1,0)</f>
        <v>0</v>
      </c>
    </row>
    <row r="391" spans="1:22" x14ac:dyDescent="0.2">
      <c r="A391">
        <f>Arrivals!A391</f>
        <v>4</v>
      </c>
      <c r="B391">
        <f>Arrivals!B391</f>
        <v>26</v>
      </c>
      <c r="C391" s="6">
        <f>Arrivals!F391</f>
        <v>257</v>
      </c>
      <c r="D391" s="6">
        <f>Arrivals!J391</f>
        <v>51.896325432396523</v>
      </c>
      <c r="E391" s="6">
        <f t="shared" si="126"/>
        <v>367.27523137912414</v>
      </c>
      <c r="F391" s="6">
        <f t="shared" si="117"/>
        <v>367.27523137912414</v>
      </c>
      <c r="G391" s="6">
        <f t="shared" si="118"/>
        <v>419.17155681152065</v>
      </c>
      <c r="H391" s="6">
        <f>Arrivals!L391</f>
        <v>75</v>
      </c>
      <c r="I391" s="6">
        <f>H391*8/ACE_Input!S31+ACE_Input!T31</f>
        <v>6.02</v>
      </c>
      <c r="J391" s="6">
        <f t="shared" si="127"/>
        <v>373.29523137912412</v>
      </c>
      <c r="K391" s="6">
        <f t="shared" si="119"/>
        <v>419.17155681152065</v>
      </c>
      <c r="L391" s="6">
        <f>MOD(K391-Settings!$B$32,Settings!$B$33)</f>
        <v>419.17155681152065</v>
      </c>
      <c r="M391" s="6">
        <f>IF(L391&lt;Settings!$B$30,IF(Settings!$B$30-L391&gt;=I391,K391,K391+(Settings!$B$30-L391)+Settings!$B$31),K391+(Settings!$B$33-L391))</f>
        <v>419.17155681152065</v>
      </c>
      <c r="N391" s="6">
        <f t="shared" si="120"/>
        <v>425.19155681152063</v>
      </c>
      <c r="O391" s="6">
        <f t="shared" si="121"/>
        <v>168.19155681152063</v>
      </c>
      <c r="P391" s="6">
        <f t="shared" si="122"/>
        <v>110.27523137912414</v>
      </c>
      <c r="Q391" s="6">
        <f t="shared" si="123"/>
        <v>0</v>
      </c>
      <c r="R391" s="6">
        <f t="shared" si="124"/>
        <v>0</v>
      </c>
      <c r="S391" s="6">
        <f t="shared" si="125"/>
        <v>110.27523137912414</v>
      </c>
      <c r="T391" s="6" t="str">
        <f>IF(MOD(C391-Settings!$B$32,Settings!$B$33)&lt;Settings!$B$30,"Up","Down")</f>
        <v>Up</v>
      </c>
      <c r="U391" s="6">
        <f>IF(OR(I391&gt;Settings!$B$30,O391&gt;Settings!$B$37),0,1)</f>
        <v>1</v>
      </c>
      <c r="V391" s="6">
        <f>IF(AND(U391=1,O391&lt;=Settings!$B$36),1,0)</f>
        <v>0</v>
      </c>
    </row>
    <row r="392" spans="1:22" x14ac:dyDescent="0.2">
      <c r="A392">
        <f>Arrivals!A392</f>
        <v>4</v>
      </c>
      <c r="B392">
        <f>Arrivals!B392</f>
        <v>27</v>
      </c>
      <c r="C392" s="6">
        <f>Arrivals!F392</f>
        <v>262</v>
      </c>
      <c r="D392" s="6">
        <f>Arrivals!J392</f>
        <v>8.6982830265617856</v>
      </c>
      <c r="E392" s="6">
        <f t="shared" si="126"/>
        <v>419.17155681152065</v>
      </c>
      <c r="F392" s="6">
        <f t="shared" si="117"/>
        <v>419.17155681152065</v>
      </c>
      <c r="G392" s="6">
        <f t="shared" si="118"/>
        <v>427.86983983808244</v>
      </c>
      <c r="H392" s="6">
        <f>Arrivals!L392</f>
        <v>75</v>
      </c>
      <c r="I392" s="6">
        <f>H392*8/ACE_Input!S32+ACE_Input!T32</f>
        <v>6.02</v>
      </c>
      <c r="J392" s="6">
        <f t="shared" si="127"/>
        <v>425.19155681152063</v>
      </c>
      <c r="K392" s="6">
        <f t="shared" si="119"/>
        <v>427.86983983808244</v>
      </c>
      <c r="L392" s="6">
        <f>MOD(K392-Settings!$B$32,Settings!$B$33)</f>
        <v>427.86983983808244</v>
      </c>
      <c r="M392" s="6">
        <f>IF(L392&lt;Settings!$B$30,IF(Settings!$B$30-L392&gt;=I392,K392,K392+(Settings!$B$30-L392)+Settings!$B$31),K392+(Settings!$B$33-L392))</f>
        <v>427.86983983808244</v>
      </c>
      <c r="N392" s="6">
        <f t="shared" si="120"/>
        <v>433.88983983808242</v>
      </c>
      <c r="O392" s="6">
        <f t="shared" si="121"/>
        <v>171.88983983808242</v>
      </c>
      <c r="P392" s="6">
        <f t="shared" si="122"/>
        <v>157.17155681152065</v>
      </c>
      <c r="Q392" s="6">
        <f t="shared" si="123"/>
        <v>0</v>
      </c>
      <c r="R392" s="6">
        <f t="shared" si="124"/>
        <v>0</v>
      </c>
      <c r="S392" s="6">
        <f t="shared" si="125"/>
        <v>157.17155681152065</v>
      </c>
      <c r="T392" s="6" t="str">
        <f>IF(MOD(C392-Settings!$B$32,Settings!$B$33)&lt;Settings!$B$30,"Up","Down")</f>
        <v>Up</v>
      </c>
      <c r="U392" s="6">
        <f>IF(OR(I392&gt;Settings!$B$30,O392&gt;Settings!$B$37),0,1)</f>
        <v>1</v>
      </c>
      <c r="V392" s="6">
        <f>IF(AND(U392=1,O392&lt;=Settings!$B$36),1,0)</f>
        <v>0</v>
      </c>
    </row>
    <row r="393" spans="1:22" x14ac:dyDescent="0.2">
      <c r="A393">
        <f>Arrivals!A393</f>
        <v>4</v>
      </c>
      <c r="B393">
        <f>Arrivals!B393</f>
        <v>28</v>
      </c>
      <c r="C393" s="6">
        <f>Arrivals!F393</f>
        <v>268</v>
      </c>
      <c r="D393" s="6">
        <f>Arrivals!J393</f>
        <v>18.854137034893821</v>
      </c>
      <c r="E393" s="6">
        <f t="shared" si="126"/>
        <v>427.86983983808244</v>
      </c>
      <c r="F393" s="6">
        <f t="shared" si="117"/>
        <v>427.86983983808244</v>
      </c>
      <c r="G393" s="6">
        <f t="shared" si="118"/>
        <v>446.72397687297627</v>
      </c>
      <c r="H393" s="6">
        <f>Arrivals!L393</f>
        <v>75</v>
      </c>
      <c r="I393" s="6">
        <f>H393*8/ACE_Input!S33+ACE_Input!T33</f>
        <v>6.02</v>
      </c>
      <c r="J393" s="6">
        <f t="shared" si="127"/>
        <v>433.88983983808242</v>
      </c>
      <c r="K393" s="6">
        <f t="shared" si="119"/>
        <v>446.72397687297627</v>
      </c>
      <c r="L393" s="6">
        <f>MOD(K393-Settings!$B$32,Settings!$B$33)</f>
        <v>446.72397687297627</v>
      </c>
      <c r="M393" s="6">
        <f>IF(L393&lt;Settings!$B$30,IF(Settings!$B$30-L393&gt;=I393,K393,K393+(Settings!$B$30-L393)+Settings!$B$31),K393+(Settings!$B$33-L393))</f>
        <v>446.72397687297627</v>
      </c>
      <c r="N393" s="6">
        <f t="shared" si="120"/>
        <v>452.74397687297625</v>
      </c>
      <c r="O393" s="6">
        <f t="shared" si="121"/>
        <v>184.74397687297625</v>
      </c>
      <c r="P393" s="6">
        <f t="shared" si="122"/>
        <v>159.86983983808244</v>
      </c>
      <c r="Q393" s="6">
        <f t="shared" si="123"/>
        <v>0</v>
      </c>
      <c r="R393" s="6">
        <f t="shared" si="124"/>
        <v>0</v>
      </c>
      <c r="S393" s="6">
        <f t="shared" si="125"/>
        <v>159.86983983808244</v>
      </c>
      <c r="T393" s="6" t="str">
        <f>IF(MOD(C393-Settings!$B$32,Settings!$B$33)&lt;Settings!$B$30,"Up","Down")</f>
        <v>Up</v>
      </c>
      <c r="U393" s="6">
        <f>IF(OR(I393&gt;Settings!$B$30,O393&gt;Settings!$B$37),0,1)</f>
        <v>1</v>
      </c>
      <c r="V393" s="6">
        <f>IF(AND(U393=1,O393&lt;=Settings!$B$36),1,0)</f>
        <v>0</v>
      </c>
    </row>
    <row r="394" spans="1:22" x14ac:dyDescent="0.2">
      <c r="A394">
        <f>Arrivals!A394</f>
        <v>4</v>
      </c>
      <c r="B394">
        <f>Arrivals!B394</f>
        <v>29</v>
      </c>
      <c r="C394" s="6">
        <f>Arrivals!F394</f>
        <v>273</v>
      </c>
      <c r="D394" s="6">
        <f>Arrivals!J394</f>
        <v>8.3540391876041351</v>
      </c>
      <c r="E394" s="6">
        <f t="shared" si="126"/>
        <v>446.72397687297627</v>
      </c>
      <c r="F394" s="6">
        <f t="shared" si="117"/>
        <v>446.72397687297627</v>
      </c>
      <c r="G394" s="6">
        <f t="shared" si="118"/>
        <v>455.07801606058041</v>
      </c>
      <c r="H394" s="6">
        <f>Arrivals!L394</f>
        <v>75</v>
      </c>
      <c r="I394" s="6">
        <f>H394*8/ACE_Input!S34+ACE_Input!T34</f>
        <v>6.02</v>
      </c>
      <c r="J394" s="6">
        <f t="shared" si="127"/>
        <v>452.74397687297625</v>
      </c>
      <c r="K394" s="6">
        <f t="shared" si="119"/>
        <v>455.07801606058041</v>
      </c>
      <c r="L394" s="6">
        <f>MOD(K394-Settings!$B$32,Settings!$B$33)</f>
        <v>455.07801606058041</v>
      </c>
      <c r="M394" s="6">
        <f>IF(L394&lt;Settings!$B$30,IF(Settings!$B$30-L394&gt;=I394,K394,K394+(Settings!$B$30-L394)+Settings!$B$31),K394+(Settings!$B$33-L394))</f>
        <v>455.07801606058041</v>
      </c>
      <c r="N394" s="6">
        <f t="shared" si="120"/>
        <v>461.09801606058039</v>
      </c>
      <c r="O394" s="6">
        <f t="shared" si="121"/>
        <v>188.09801606058039</v>
      </c>
      <c r="P394" s="6">
        <f t="shared" si="122"/>
        <v>173.72397687297627</v>
      </c>
      <c r="Q394" s="6">
        <f t="shared" si="123"/>
        <v>0</v>
      </c>
      <c r="R394" s="6">
        <f t="shared" si="124"/>
        <v>0</v>
      </c>
      <c r="S394" s="6">
        <f t="shared" si="125"/>
        <v>173.72397687297627</v>
      </c>
      <c r="T394" s="6" t="str">
        <f>IF(MOD(C394-Settings!$B$32,Settings!$B$33)&lt;Settings!$B$30,"Up","Down")</f>
        <v>Up</v>
      </c>
      <c r="U394" s="6">
        <f>IF(OR(I394&gt;Settings!$B$30,O394&gt;Settings!$B$37),0,1)</f>
        <v>1</v>
      </c>
      <c r="V394" s="6">
        <f>IF(AND(U394=1,O394&lt;=Settings!$B$36),1,0)</f>
        <v>0</v>
      </c>
    </row>
    <row r="395" spans="1:22" x14ac:dyDescent="0.2">
      <c r="A395">
        <f>Arrivals!A395</f>
        <v>4</v>
      </c>
      <c r="B395">
        <f>Arrivals!B395</f>
        <v>30</v>
      </c>
      <c r="C395" s="6">
        <f>Arrivals!F395</f>
        <v>278</v>
      </c>
      <c r="D395" s="6">
        <f>Arrivals!J395</f>
        <v>23.883232870520917</v>
      </c>
      <c r="E395" s="6">
        <f t="shared" si="126"/>
        <v>455.07801606058041</v>
      </c>
      <c r="F395" s="6">
        <f t="shared" si="117"/>
        <v>455.07801606058041</v>
      </c>
      <c r="G395" s="6">
        <f t="shared" si="118"/>
        <v>478.96124893110135</v>
      </c>
      <c r="H395" s="6">
        <f>Arrivals!L395</f>
        <v>75</v>
      </c>
      <c r="I395" s="6">
        <f>H395*8/ACE_Input!S35+ACE_Input!T35</f>
        <v>6.02</v>
      </c>
      <c r="J395" s="6">
        <f t="shared" si="127"/>
        <v>461.09801606058039</v>
      </c>
      <c r="K395" s="6">
        <f t="shared" si="119"/>
        <v>478.96124893110135</v>
      </c>
      <c r="L395" s="6">
        <f>MOD(K395-Settings!$B$32,Settings!$B$33)</f>
        <v>478.96124893110135</v>
      </c>
      <c r="M395" s="6">
        <f>IF(L395&lt;Settings!$B$30,IF(Settings!$B$30-L395&gt;=I395,K395,K395+(Settings!$B$30-L395)+Settings!$B$31),K395+(Settings!$B$33-L395))</f>
        <v>478.96124893110135</v>
      </c>
      <c r="N395" s="6">
        <f t="shared" si="120"/>
        <v>484.98124893110133</v>
      </c>
      <c r="O395" s="6">
        <f t="shared" si="121"/>
        <v>206.98124893110133</v>
      </c>
      <c r="P395" s="6">
        <f t="shared" si="122"/>
        <v>177.07801606058041</v>
      </c>
      <c r="Q395" s="6">
        <f t="shared" si="123"/>
        <v>0</v>
      </c>
      <c r="R395" s="6">
        <f t="shared" si="124"/>
        <v>0</v>
      </c>
      <c r="S395" s="6">
        <f t="shared" si="125"/>
        <v>177.07801606058041</v>
      </c>
      <c r="T395" s="6" t="str">
        <f>IF(MOD(C395-Settings!$B$32,Settings!$B$33)&lt;Settings!$B$30,"Up","Down")</f>
        <v>Up</v>
      </c>
      <c r="U395" s="6">
        <f>IF(OR(I395&gt;Settings!$B$30,O395&gt;Settings!$B$37),0,1)</f>
        <v>1</v>
      </c>
      <c r="V395" s="6">
        <f>IF(AND(U395=1,O395&lt;=Settings!$B$36),1,0)</f>
        <v>0</v>
      </c>
    </row>
    <row r="396" spans="1:22" x14ac:dyDescent="0.2">
      <c r="A396">
        <f>Arrivals!A396</f>
        <v>4</v>
      </c>
      <c r="B396">
        <f>Arrivals!B396</f>
        <v>31</v>
      </c>
      <c r="C396" s="6">
        <f>Arrivals!F396</f>
        <v>283</v>
      </c>
      <c r="D396" s="6">
        <f>Arrivals!J396</f>
        <v>2.3645209031178265</v>
      </c>
      <c r="E396" s="6">
        <f t="shared" si="126"/>
        <v>478.96124893110135</v>
      </c>
      <c r="F396" s="6">
        <f t="shared" si="117"/>
        <v>478.96124893110135</v>
      </c>
      <c r="G396" s="6">
        <f t="shared" si="118"/>
        <v>481.32576983421916</v>
      </c>
      <c r="H396" s="6">
        <f>Arrivals!L396</f>
        <v>75</v>
      </c>
      <c r="I396" s="6">
        <f>H396*8/ACE_Input!S36+ACE_Input!T36</f>
        <v>6.02</v>
      </c>
      <c r="J396" s="6">
        <f t="shared" si="127"/>
        <v>484.98124893110133</v>
      </c>
      <c r="K396" s="6">
        <f t="shared" si="119"/>
        <v>484.98124893110133</v>
      </c>
      <c r="L396" s="6">
        <f>MOD(K396-Settings!$B$32,Settings!$B$33)</f>
        <v>484.98124893110133</v>
      </c>
      <c r="M396" s="6">
        <f>IF(L396&lt;Settings!$B$30,IF(Settings!$B$30-L396&gt;=I396,K396,K396+(Settings!$B$30-L396)+Settings!$B$31),K396+(Settings!$B$33-L396))</f>
        <v>484.98124893110133</v>
      </c>
      <c r="N396" s="6">
        <f t="shared" si="120"/>
        <v>491.00124893110132</v>
      </c>
      <c r="O396" s="6">
        <f t="shared" si="121"/>
        <v>208.00124893110132</v>
      </c>
      <c r="P396" s="6">
        <f t="shared" si="122"/>
        <v>195.96124893110135</v>
      </c>
      <c r="Q396" s="6">
        <f t="shared" si="123"/>
        <v>3.6554790968821749</v>
      </c>
      <c r="R396" s="6">
        <f t="shared" si="124"/>
        <v>0</v>
      </c>
      <c r="S396" s="6">
        <f t="shared" si="125"/>
        <v>199.61672802798353</v>
      </c>
      <c r="T396" s="6" t="str">
        <f>IF(MOD(C396-Settings!$B$32,Settings!$B$33)&lt;Settings!$B$30,"Up","Down")</f>
        <v>Up</v>
      </c>
      <c r="U396" s="6">
        <f>IF(OR(I396&gt;Settings!$B$30,O396&gt;Settings!$B$37),0,1)</f>
        <v>1</v>
      </c>
      <c r="V396" s="6">
        <f>IF(AND(U396=1,O396&lt;=Settings!$B$36),1,0)</f>
        <v>0</v>
      </c>
    </row>
    <row r="397" spans="1:22" x14ac:dyDescent="0.2">
      <c r="A397">
        <f>Arrivals!A397</f>
        <v>4</v>
      </c>
      <c r="B397">
        <f>Arrivals!B397</f>
        <v>32</v>
      </c>
      <c r="C397" s="6">
        <f>Arrivals!F397</f>
        <v>288</v>
      </c>
      <c r="D397" s="6">
        <f>Arrivals!J397</f>
        <v>22.616567412072975</v>
      </c>
      <c r="E397" s="6">
        <f t="shared" si="126"/>
        <v>481.32576983421916</v>
      </c>
      <c r="F397" s="6">
        <f t="shared" si="117"/>
        <v>481.32576983421916</v>
      </c>
      <c r="G397" s="6">
        <f t="shared" si="118"/>
        <v>503.94233724629214</v>
      </c>
      <c r="H397" s="6">
        <f>Arrivals!L397</f>
        <v>75</v>
      </c>
      <c r="I397" s="6">
        <f>H397*8/ACE_Input!S37+ACE_Input!T37</f>
        <v>6.02</v>
      </c>
      <c r="J397" s="6">
        <f t="shared" si="127"/>
        <v>491.00124893110132</v>
      </c>
      <c r="K397" s="6">
        <f t="shared" si="119"/>
        <v>503.94233724629214</v>
      </c>
      <c r="L397" s="6">
        <f>MOD(K397-Settings!$B$32,Settings!$B$33)</f>
        <v>503.94233724629214</v>
      </c>
      <c r="M397" s="6">
        <f>IF(L397&lt;Settings!$B$30,IF(Settings!$B$30-L397&gt;=I397,K397,K397+(Settings!$B$30-L397)+Settings!$B$31),K397+(Settings!$B$33-L397))</f>
        <v>503.94233724629214</v>
      </c>
      <c r="N397" s="6">
        <f t="shared" si="120"/>
        <v>509.96233724629212</v>
      </c>
      <c r="O397" s="6">
        <f t="shared" si="121"/>
        <v>221.96233724629212</v>
      </c>
      <c r="P397" s="6">
        <f t="shared" si="122"/>
        <v>193.32576983421916</v>
      </c>
      <c r="Q397" s="6">
        <f t="shared" si="123"/>
        <v>0</v>
      </c>
      <c r="R397" s="6">
        <f t="shared" si="124"/>
        <v>0</v>
      </c>
      <c r="S397" s="6">
        <f t="shared" si="125"/>
        <v>193.32576983421916</v>
      </c>
      <c r="T397" s="6" t="str">
        <f>IF(MOD(C397-Settings!$B$32,Settings!$B$33)&lt;Settings!$B$30,"Up","Down")</f>
        <v>Up</v>
      </c>
      <c r="U397" s="6">
        <f>IF(OR(I397&gt;Settings!$B$30,O397&gt;Settings!$B$37),0,1)</f>
        <v>1</v>
      </c>
      <c r="V397" s="6">
        <f>IF(AND(U397=1,O397&lt;=Settings!$B$36),1,0)</f>
        <v>0</v>
      </c>
    </row>
    <row r="398" spans="1:22" x14ac:dyDescent="0.2">
      <c r="A398">
        <f>Arrivals!A398</f>
        <v>4</v>
      </c>
      <c r="B398">
        <f>Arrivals!B398</f>
        <v>33</v>
      </c>
      <c r="C398" s="6">
        <f>Arrivals!F398</f>
        <v>293</v>
      </c>
      <c r="D398" s="6">
        <f>Arrivals!J398</f>
        <v>7.8230612440063307</v>
      </c>
      <c r="E398" s="6">
        <f t="shared" si="126"/>
        <v>503.94233724629214</v>
      </c>
      <c r="F398" s="6">
        <f t="shared" ref="F398:F429" si="128">MAX(C398,E398)</f>
        <v>503.94233724629214</v>
      </c>
      <c r="G398" s="6">
        <f t="shared" ref="G398:G429" si="129">F398+D398</f>
        <v>511.76539849029848</v>
      </c>
      <c r="H398" s="6">
        <f>Arrivals!L398</f>
        <v>75</v>
      </c>
      <c r="I398" s="6">
        <f>H398*8/ACE_Input!S38+ACE_Input!T38</f>
        <v>6.02</v>
      </c>
      <c r="J398" s="6">
        <f t="shared" si="127"/>
        <v>509.96233724629212</v>
      </c>
      <c r="K398" s="6">
        <f t="shared" ref="K398:K429" si="130">MAX(G398,J398)</f>
        <v>511.76539849029848</v>
      </c>
      <c r="L398" s="6">
        <f>MOD(K398-Settings!$B$32,Settings!$B$33)</f>
        <v>511.76539849029848</v>
      </c>
      <c r="M398" s="6">
        <f>IF(L398&lt;Settings!$B$30,IF(Settings!$B$30-L398&gt;=I398,K398,K398+(Settings!$B$30-L398)+Settings!$B$31),K398+(Settings!$B$33-L398))</f>
        <v>511.76539849029848</v>
      </c>
      <c r="N398" s="6">
        <f t="shared" ref="N398:N429" si="131">M398+I398</f>
        <v>517.78539849029846</v>
      </c>
      <c r="O398" s="6">
        <f t="shared" ref="O398:O429" si="132">N398-C398</f>
        <v>224.78539849029846</v>
      </c>
      <c r="P398" s="6">
        <f t="shared" ref="P398:P429" si="133">F398-C398</f>
        <v>210.94233724629214</v>
      </c>
      <c r="Q398" s="6">
        <f t="shared" ref="Q398:Q429" si="134">K398-G398</f>
        <v>0</v>
      </c>
      <c r="R398" s="6">
        <f t="shared" ref="R398:R429" si="135">M398-K398</f>
        <v>0</v>
      </c>
      <c r="S398" s="6">
        <f t="shared" ref="S398:S429" si="136">P398+Q398+R398</f>
        <v>210.94233724629214</v>
      </c>
      <c r="T398" s="6" t="str">
        <f>IF(MOD(C398-Settings!$B$32,Settings!$B$33)&lt;Settings!$B$30,"Up","Down")</f>
        <v>Up</v>
      </c>
      <c r="U398" s="6">
        <f>IF(OR(I398&gt;Settings!$B$30,O398&gt;Settings!$B$37),0,1)</f>
        <v>1</v>
      </c>
      <c r="V398" s="6">
        <f>IF(AND(U398=1,O398&lt;=Settings!$B$36),1,0)</f>
        <v>0</v>
      </c>
    </row>
    <row r="399" spans="1:22" x14ac:dyDescent="0.2">
      <c r="A399">
        <f>Arrivals!A399</f>
        <v>4</v>
      </c>
      <c r="B399">
        <f>Arrivals!B399</f>
        <v>34</v>
      </c>
      <c r="C399" s="6">
        <f>Arrivals!F399</f>
        <v>298</v>
      </c>
      <c r="D399" s="6">
        <f>Arrivals!J399</f>
        <v>20.718138161140111</v>
      </c>
      <c r="E399" s="6">
        <f t="shared" ref="E399:E430" si="137">G398</f>
        <v>511.76539849029848</v>
      </c>
      <c r="F399" s="6">
        <f t="shared" si="128"/>
        <v>511.76539849029848</v>
      </c>
      <c r="G399" s="6">
        <f t="shared" si="129"/>
        <v>532.48353665143861</v>
      </c>
      <c r="H399" s="6">
        <f>Arrivals!L399</f>
        <v>75</v>
      </c>
      <c r="I399" s="6">
        <f>H399*8/ACE_Input!S39+ACE_Input!T39</f>
        <v>6.02</v>
      </c>
      <c r="J399" s="6">
        <f t="shared" ref="J399:J430" si="138">N398</f>
        <v>517.78539849029846</v>
      </c>
      <c r="K399" s="6">
        <f t="shared" si="130"/>
        <v>532.48353665143861</v>
      </c>
      <c r="L399" s="6">
        <f>MOD(K399-Settings!$B$32,Settings!$B$33)</f>
        <v>532.48353665143861</v>
      </c>
      <c r="M399" s="6">
        <f>IF(L399&lt;Settings!$B$30,IF(Settings!$B$30-L399&gt;=I399,K399,K399+(Settings!$B$30-L399)+Settings!$B$31),K399+(Settings!$B$33-L399))</f>
        <v>532.48353665143861</v>
      </c>
      <c r="N399" s="6">
        <f t="shared" si="131"/>
        <v>538.50353665143859</v>
      </c>
      <c r="O399" s="6">
        <f t="shared" si="132"/>
        <v>240.50353665143859</v>
      </c>
      <c r="P399" s="6">
        <f t="shared" si="133"/>
        <v>213.76539849029848</v>
      </c>
      <c r="Q399" s="6">
        <f t="shared" si="134"/>
        <v>0</v>
      </c>
      <c r="R399" s="6">
        <f t="shared" si="135"/>
        <v>0</v>
      </c>
      <c r="S399" s="6">
        <f t="shared" si="136"/>
        <v>213.76539849029848</v>
      </c>
      <c r="T399" s="6" t="str">
        <f>IF(MOD(C399-Settings!$B$32,Settings!$B$33)&lt;Settings!$B$30,"Up","Down")</f>
        <v>Up</v>
      </c>
      <c r="U399" s="6">
        <f>IF(OR(I399&gt;Settings!$B$30,O399&gt;Settings!$B$37),0,1)</f>
        <v>1</v>
      </c>
      <c r="V399" s="6">
        <f>IF(AND(U399=1,O399&lt;=Settings!$B$36),1,0)</f>
        <v>0</v>
      </c>
    </row>
    <row r="400" spans="1:22" x14ac:dyDescent="0.2">
      <c r="A400">
        <f>Arrivals!A400</f>
        <v>4</v>
      </c>
      <c r="B400">
        <f>Arrivals!B400</f>
        <v>35</v>
      </c>
      <c r="C400" s="6">
        <f>Arrivals!F400</f>
        <v>303</v>
      </c>
      <c r="D400" s="6">
        <f>Arrivals!J400</f>
        <v>41.458633058713367</v>
      </c>
      <c r="E400" s="6">
        <f t="shared" si="137"/>
        <v>532.48353665143861</v>
      </c>
      <c r="F400" s="6">
        <f t="shared" si="128"/>
        <v>532.48353665143861</v>
      </c>
      <c r="G400" s="6">
        <f t="shared" si="129"/>
        <v>573.94216971015203</v>
      </c>
      <c r="H400" s="6">
        <f>Arrivals!L400</f>
        <v>75</v>
      </c>
      <c r="I400" s="6">
        <f>H400*8/ACE_Input!S40+ACE_Input!T40</f>
        <v>6.02</v>
      </c>
      <c r="J400" s="6">
        <f t="shared" si="138"/>
        <v>538.50353665143859</v>
      </c>
      <c r="K400" s="6">
        <f t="shared" si="130"/>
        <v>573.94216971015203</v>
      </c>
      <c r="L400" s="6">
        <f>MOD(K400-Settings!$B$32,Settings!$B$33)</f>
        <v>573.94216971015203</v>
      </c>
      <c r="M400" s="6">
        <f>IF(L400&lt;Settings!$B$30,IF(Settings!$B$30-L400&gt;=I400,K400,K400+(Settings!$B$30-L400)+Settings!$B$31),K400+(Settings!$B$33-L400))</f>
        <v>573.94216971015203</v>
      </c>
      <c r="N400" s="6">
        <f t="shared" si="131"/>
        <v>579.96216971015201</v>
      </c>
      <c r="O400" s="6">
        <f t="shared" si="132"/>
        <v>276.96216971015201</v>
      </c>
      <c r="P400" s="6">
        <f t="shared" si="133"/>
        <v>229.48353665143861</v>
      </c>
      <c r="Q400" s="6">
        <f t="shared" si="134"/>
        <v>0</v>
      </c>
      <c r="R400" s="6">
        <f t="shared" si="135"/>
        <v>0</v>
      </c>
      <c r="S400" s="6">
        <f t="shared" si="136"/>
        <v>229.48353665143861</v>
      </c>
      <c r="T400" s="6" t="str">
        <f>IF(MOD(C400-Settings!$B$32,Settings!$B$33)&lt;Settings!$B$30,"Up","Down")</f>
        <v>Up</v>
      </c>
      <c r="U400" s="6">
        <f>IF(OR(I400&gt;Settings!$B$30,O400&gt;Settings!$B$37),0,1)</f>
        <v>1</v>
      </c>
      <c r="V400" s="6">
        <f>IF(AND(U400=1,O400&lt;=Settings!$B$36),1,0)</f>
        <v>0</v>
      </c>
    </row>
    <row r="401" spans="1:22" x14ac:dyDescent="0.2">
      <c r="A401">
        <f>Arrivals!A401</f>
        <v>4</v>
      </c>
      <c r="B401">
        <f>Arrivals!B401</f>
        <v>36</v>
      </c>
      <c r="C401" s="6">
        <f>Arrivals!F401</f>
        <v>308</v>
      </c>
      <c r="D401" s="6">
        <f>Arrivals!J401</f>
        <v>0.63698548544449485</v>
      </c>
      <c r="E401" s="6">
        <f t="shared" si="137"/>
        <v>573.94216971015203</v>
      </c>
      <c r="F401" s="6">
        <f t="shared" si="128"/>
        <v>573.94216971015203</v>
      </c>
      <c r="G401" s="6">
        <f t="shared" si="129"/>
        <v>574.57915519559651</v>
      </c>
      <c r="H401" s="6">
        <f>Arrivals!L401</f>
        <v>75</v>
      </c>
      <c r="I401" s="6">
        <f>H401*8/ACE_Input!S41+ACE_Input!T41</f>
        <v>6.02</v>
      </c>
      <c r="J401" s="6">
        <f t="shared" si="138"/>
        <v>579.96216971015201</v>
      </c>
      <c r="K401" s="6">
        <f t="shared" si="130"/>
        <v>579.96216971015201</v>
      </c>
      <c r="L401" s="6">
        <f>MOD(K401-Settings!$B$32,Settings!$B$33)</f>
        <v>579.96216971015201</v>
      </c>
      <c r="M401" s="6">
        <f>IF(L401&lt;Settings!$B$30,IF(Settings!$B$30-L401&gt;=I401,K401,K401+(Settings!$B$30-L401)+Settings!$B$31),K401+(Settings!$B$33-L401))</f>
        <v>579.96216971015201</v>
      </c>
      <c r="N401" s="6">
        <f t="shared" si="131"/>
        <v>585.98216971015199</v>
      </c>
      <c r="O401" s="6">
        <f t="shared" si="132"/>
        <v>277.98216971015199</v>
      </c>
      <c r="P401" s="6">
        <f t="shared" si="133"/>
        <v>265.94216971015203</v>
      </c>
      <c r="Q401" s="6">
        <f t="shared" si="134"/>
        <v>5.383014514555498</v>
      </c>
      <c r="R401" s="6">
        <f t="shared" si="135"/>
        <v>0</v>
      </c>
      <c r="S401" s="6">
        <f t="shared" si="136"/>
        <v>271.32518422470753</v>
      </c>
      <c r="T401" s="6" t="str">
        <f>IF(MOD(C401-Settings!$B$32,Settings!$B$33)&lt;Settings!$B$30,"Up","Down")</f>
        <v>Up</v>
      </c>
      <c r="U401" s="6">
        <f>IF(OR(I401&gt;Settings!$B$30,O401&gt;Settings!$B$37),0,1)</f>
        <v>1</v>
      </c>
      <c r="V401" s="6">
        <f>IF(AND(U401=1,O401&lt;=Settings!$B$36),1,0)</f>
        <v>0</v>
      </c>
    </row>
    <row r="402" spans="1:22" x14ac:dyDescent="0.2">
      <c r="A402">
        <f>Arrivals!A402</f>
        <v>4</v>
      </c>
      <c r="B402">
        <f>Arrivals!B402</f>
        <v>37</v>
      </c>
      <c r="C402" s="6">
        <f>Arrivals!F402</f>
        <v>313</v>
      </c>
      <c r="D402" s="6">
        <f>Arrivals!J402</f>
        <v>26.067340937575516</v>
      </c>
      <c r="E402" s="6">
        <f t="shared" si="137"/>
        <v>574.57915519559651</v>
      </c>
      <c r="F402" s="6">
        <f t="shared" si="128"/>
        <v>574.57915519559651</v>
      </c>
      <c r="G402" s="6">
        <f t="shared" si="129"/>
        <v>600.64649613317204</v>
      </c>
      <c r="H402" s="6">
        <f>Arrivals!L402</f>
        <v>75</v>
      </c>
      <c r="I402" s="6">
        <f>H402*8/ACE_Input!S42+ACE_Input!T42</f>
        <v>6.02</v>
      </c>
      <c r="J402" s="6">
        <f t="shared" si="138"/>
        <v>585.98216971015199</v>
      </c>
      <c r="K402" s="6">
        <f t="shared" si="130"/>
        <v>600.64649613317204</v>
      </c>
      <c r="L402" s="6">
        <f>MOD(K402-Settings!$B$32,Settings!$B$33)</f>
        <v>600.64649613317204</v>
      </c>
      <c r="M402" s="6">
        <f>IF(L402&lt;Settings!$B$30,IF(Settings!$B$30-L402&gt;=I402,K402,K402+(Settings!$B$30-L402)+Settings!$B$31),K402+(Settings!$B$33-L402))</f>
        <v>720</v>
      </c>
      <c r="N402" s="6">
        <f t="shared" si="131"/>
        <v>726.02</v>
      </c>
      <c r="O402" s="6">
        <f t="shared" si="132"/>
        <v>413.02</v>
      </c>
      <c r="P402" s="6">
        <f t="shared" si="133"/>
        <v>261.57915519559651</v>
      </c>
      <c r="Q402" s="6">
        <f t="shared" si="134"/>
        <v>0</v>
      </c>
      <c r="R402" s="6">
        <f t="shared" si="135"/>
        <v>119.35350386682796</v>
      </c>
      <c r="S402" s="6">
        <f t="shared" si="136"/>
        <v>380.93265906242448</v>
      </c>
      <c r="T402" s="6" t="str">
        <f>IF(MOD(C402-Settings!$B$32,Settings!$B$33)&lt;Settings!$B$30,"Up","Down")</f>
        <v>Up</v>
      </c>
      <c r="U402" s="6">
        <f>IF(OR(I402&gt;Settings!$B$30,O402&gt;Settings!$B$37),0,1)</f>
        <v>1</v>
      </c>
      <c r="V402" s="6">
        <f>IF(AND(U402=1,O402&lt;=Settings!$B$36),1,0)</f>
        <v>0</v>
      </c>
    </row>
    <row r="403" spans="1:22" x14ac:dyDescent="0.2">
      <c r="A403">
        <f>Arrivals!A403</f>
        <v>4</v>
      </c>
      <c r="B403">
        <f>Arrivals!B403</f>
        <v>38</v>
      </c>
      <c r="C403" s="6">
        <f>Arrivals!F403</f>
        <v>318</v>
      </c>
      <c r="D403" s="6">
        <f>Arrivals!J403</f>
        <v>5.8150510017455677</v>
      </c>
      <c r="E403" s="6">
        <f t="shared" si="137"/>
        <v>600.64649613317204</v>
      </c>
      <c r="F403" s="6">
        <f t="shared" si="128"/>
        <v>600.64649613317204</v>
      </c>
      <c r="G403" s="6">
        <f t="shared" si="129"/>
        <v>606.46154713491762</v>
      </c>
      <c r="H403" s="6">
        <f>Arrivals!L403</f>
        <v>75</v>
      </c>
      <c r="I403" s="6">
        <f>H403*8/ACE_Input!S43+ACE_Input!T43</f>
        <v>6.02</v>
      </c>
      <c r="J403" s="6">
        <f t="shared" si="138"/>
        <v>726.02</v>
      </c>
      <c r="K403" s="6">
        <f t="shared" si="130"/>
        <v>726.02</v>
      </c>
      <c r="L403" s="6">
        <f>MOD(K403-Settings!$B$32,Settings!$B$33)</f>
        <v>6.0199999999999818</v>
      </c>
      <c r="M403" s="6">
        <f>IF(L403&lt;Settings!$B$30,IF(Settings!$B$30-L403&gt;=I403,K403,K403+(Settings!$B$30-L403)+Settings!$B$31),K403+(Settings!$B$33-L403))</f>
        <v>726.02</v>
      </c>
      <c r="N403" s="6">
        <f t="shared" si="131"/>
        <v>732.04</v>
      </c>
      <c r="O403" s="6">
        <f t="shared" si="132"/>
        <v>414.03999999999996</v>
      </c>
      <c r="P403" s="6">
        <f t="shared" si="133"/>
        <v>282.64649613317204</v>
      </c>
      <c r="Q403" s="6">
        <f t="shared" si="134"/>
        <v>119.55845286508236</v>
      </c>
      <c r="R403" s="6">
        <f t="shared" si="135"/>
        <v>0</v>
      </c>
      <c r="S403" s="6">
        <f t="shared" si="136"/>
        <v>402.20494899825439</v>
      </c>
      <c r="T403" s="6" t="str">
        <f>IF(MOD(C403-Settings!$B$32,Settings!$B$33)&lt;Settings!$B$30,"Up","Down")</f>
        <v>Up</v>
      </c>
      <c r="U403" s="6">
        <f>IF(OR(I403&gt;Settings!$B$30,O403&gt;Settings!$B$37),0,1)</f>
        <v>1</v>
      </c>
      <c r="V403" s="6">
        <f>IF(AND(U403=1,O403&lt;=Settings!$B$36),1,0)</f>
        <v>0</v>
      </c>
    </row>
    <row r="404" spans="1:22" x14ac:dyDescent="0.2">
      <c r="A404">
        <f>Arrivals!A404</f>
        <v>4</v>
      </c>
      <c r="B404">
        <f>Arrivals!B404</f>
        <v>39</v>
      </c>
      <c r="C404" s="6">
        <f>Arrivals!F404</f>
        <v>323</v>
      </c>
      <c r="D404" s="6">
        <f>Arrivals!J404</f>
        <v>14.798276656942082</v>
      </c>
      <c r="E404" s="6">
        <f t="shared" si="137"/>
        <v>606.46154713491762</v>
      </c>
      <c r="F404" s="6">
        <f t="shared" si="128"/>
        <v>606.46154713491762</v>
      </c>
      <c r="G404" s="6">
        <f t="shared" si="129"/>
        <v>621.25982379185973</v>
      </c>
      <c r="H404" s="6">
        <f>Arrivals!L404</f>
        <v>75</v>
      </c>
      <c r="I404" s="6">
        <f>H404*8/ACE_Input!S44+ACE_Input!T44</f>
        <v>6.02</v>
      </c>
      <c r="J404" s="6">
        <f t="shared" si="138"/>
        <v>732.04</v>
      </c>
      <c r="K404" s="6">
        <f t="shared" si="130"/>
        <v>732.04</v>
      </c>
      <c r="L404" s="6">
        <f>MOD(K404-Settings!$B$32,Settings!$B$33)</f>
        <v>12.039999999999964</v>
      </c>
      <c r="M404" s="6">
        <f>IF(L404&lt;Settings!$B$30,IF(Settings!$B$30-L404&gt;=I404,K404,K404+(Settings!$B$30-L404)+Settings!$B$31),K404+(Settings!$B$33-L404))</f>
        <v>732.04</v>
      </c>
      <c r="N404" s="6">
        <f t="shared" si="131"/>
        <v>738.06</v>
      </c>
      <c r="O404" s="6">
        <f t="shared" si="132"/>
        <v>415.05999999999995</v>
      </c>
      <c r="P404" s="6">
        <f t="shared" si="133"/>
        <v>283.46154713491762</v>
      </c>
      <c r="Q404" s="6">
        <f t="shared" si="134"/>
        <v>110.78017620814023</v>
      </c>
      <c r="R404" s="6">
        <f t="shared" si="135"/>
        <v>0</v>
      </c>
      <c r="S404" s="6">
        <f t="shared" si="136"/>
        <v>394.24172334305786</v>
      </c>
      <c r="T404" s="6" t="str">
        <f>IF(MOD(C404-Settings!$B$32,Settings!$B$33)&lt;Settings!$B$30,"Up","Down")</f>
        <v>Up</v>
      </c>
      <c r="U404" s="6">
        <f>IF(OR(I404&gt;Settings!$B$30,O404&gt;Settings!$B$37),0,1)</f>
        <v>1</v>
      </c>
      <c r="V404" s="6">
        <f>IF(AND(U404=1,O404&lt;=Settings!$B$36),1,0)</f>
        <v>0</v>
      </c>
    </row>
    <row r="405" spans="1:22" x14ac:dyDescent="0.2">
      <c r="A405">
        <f>Arrivals!A405</f>
        <v>4</v>
      </c>
      <c r="B405">
        <f>Arrivals!B405</f>
        <v>40</v>
      </c>
      <c r="C405" s="6">
        <f>Arrivals!F405</f>
        <v>328</v>
      </c>
      <c r="D405" s="6">
        <f>Arrivals!J405</f>
        <v>1.0448078106690555</v>
      </c>
      <c r="E405" s="6">
        <f t="shared" si="137"/>
        <v>621.25982379185973</v>
      </c>
      <c r="F405" s="6">
        <f t="shared" si="128"/>
        <v>621.25982379185973</v>
      </c>
      <c r="G405" s="6">
        <f t="shared" si="129"/>
        <v>622.30463160252873</v>
      </c>
      <c r="H405" s="6">
        <f>Arrivals!L405</f>
        <v>75</v>
      </c>
      <c r="I405" s="6">
        <f>H405*8/ACE_Input!S45+ACE_Input!T45</f>
        <v>6.02</v>
      </c>
      <c r="J405" s="6">
        <f t="shared" si="138"/>
        <v>738.06</v>
      </c>
      <c r="K405" s="6">
        <f t="shared" si="130"/>
        <v>738.06</v>
      </c>
      <c r="L405" s="6">
        <f>MOD(K405-Settings!$B$32,Settings!$B$33)</f>
        <v>18.059999999999945</v>
      </c>
      <c r="M405" s="6">
        <f>IF(L405&lt;Settings!$B$30,IF(Settings!$B$30-L405&gt;=I405,K405,K405+(Settings!$B$30-L405)+Settings!$B$31),K405+(Settings!$B$33-L405))</f>
        <v>738.06</v>
      </c>
      <c r="N405" s="6">
        <f t="shared" si="131"/>
        <v>744.07999999999993</v>
      </c>
      <c r="O405" s="6">
        <f t="shared" si="132"/>
        <v>416.07999999999993</v>
      </c>
      <c r="P405" s="6">
        <f t="shared" si="133"/>
        <v>293.25982379185973</v>
      </c>
      <c r="Q405" s="6">
        <f t="shared" si="134"/>
        <v>115.75536839747122</v>
      </c>
      <c r="R405" s="6">
        <f t="shared" si="135"/>
        <v>0</v>
      </c>
      <c r="S405" s="6">
        <f t="shared" si="136"/>
        <v>409.01519218933095</v>
      </c>
      <c r="T405" s="6" t="str">
        <f>IF(MOD(C405-Settings!$B$32,Settings!$B$33)&lt;Settings!$B$30,"Up","Down")</f>
        <v>Up</v>
      </c>
      <c r="U405" s="6">
        <f>IF(OR(I405&gt;Settings!$B$30,O405&gt;Settings!$B$37),0,1)</f>
        <v>1</v>
      </c>
      <c r="V405" s="6">
        <f>IF(AND(U405=1,O405&lt;=Settings!$B$36),1,0)</f>
        <v>0</v>
      </c>
    </row>
    <row r="406" spans="1:22" x14ac:dyDescent="0.2">
      <c r="A406">
        <f>Arrivals!A406</f>
        <v>4</v>
      </c>
      <c r="B406">
        <f>Arrivals!B406</f>
        <v>41</v>
      </c>
      <c r="C406" s="6">
        <f>Arrivals!F406</f>
        <v>333</v>
      </c>
      <c r="D406" s="6">
        <f>Arrivals!J406</f>
        <v>7.0687523423021617</v>
      </c>
      <c r="E406" s="6">
        <f t="shared" si="137"/>
        <v>622.30463160252873</v>
      </c>
      <c r="F406" s="6">
        <f t="shared" si="128"/>
        <v>622.30463160252873</v>
      </c>
      <c r="G406" s="6">
        <f t="shared" si="129"/>
        <v>629.37338394483095</v>
      </c>
      <c r="H406" s="6">
        <f>Arrivals!L406</f>
        <v>75</v>
      </c>
      <c r="I406" s="6">
        <f>H406*8/ACE_Input!S46+ACE_Input!T46</f>
        <v>6.02</v>
      </c>
      <c r="J406" s="6">
        <f t="shared" si="138"/>
        <v>744.07999999999993</v>
      </c>
      <c r="K406" s="6">
        <f t="shared" si="130"/>
        <v>744.07999999999993</v>
      </c>
      <c r="L406" s="6">
        <f>MOD(K406-Settings!$B$32,Settings!$B$33)</f>
        <v>24.079999999999927</v>
      </c>
      <c r="M406" s="6">
        <f>IF(L406&lt;Settings!$B$30,IF(Settings!$B$30-L406&gt;=I406,K406,K406+(Settings!$B$30-L406)+Settings!$B$31),K406+(Settings!$B$33-L406))</f>
        <v>744.07999999999993</v>
      </c>
      <c r="N406" s="6">
        <f t="shared" si="131"/>
        <v>750.09999999999991</v>
      </c>
      <c r="O406" s="6">
        <f t="shared" si="132"/>
        <v>417.09999999999991</v>
      </c>
      <c r="P406" s="6">
        <f t="shared" si="133"/>
        <v>289.30463160252873</v>
      </c>
      <c r="Q406" s="6">
        <f t="shared" si="134"/>
        <v>114.70661605516898</v>
      </c>
      <c r="R406" s="6">
        <f t="shared" si="135"/>
        <v>0</v>
      </c>
      <c r="S406" s="6">
        <f t="shared" si="136"/>
        <v>404.01124765769771</v>
      </c>
      <c r="T406" s="6" t="str">
        <f>IF(MOD(C406-Settings!$B$32,Settings!$B$33)&lt;Settings!$B$30,"Up","Down")</f>
        <v>Up</v>
      </c>
      <c r="U406" s="6">
        <f>IF(OR(I406&gt;Settings!$B$30,O406&gt;Settings!$B$37),0,1)</f>
        <v>1</v>
      </c>
      <c r="V406" s="6">
        <f>IF(AND(U406=1,O406&lt;=Settings!$B$36),1,0)</f>
        <v>0</v>
      </c>
    </row>
    <row r="407" spans="1:22" x14ac:dyDescent="0.2">
      <c r="A407">
        <f>Arrivals!A407</f>
        <v>4</v>
      </c>
      <c r="B407">
        <f>Arrivals!B407</f>
        <v>42</v>
      </c>
      <c r="C407" s="6">
        <f>Arrivals!F407</f>
        <v>338</v>
      </c>
      <c r="D407" s="6">
        <f>Arrivals!J407</f>
        <v>13.852964986017156</v>
      </c>
      <c r="E407" s="6">
        <f t="shared" si="137"/>
        <v>629.37338394483095</v>
      </c>
      <c r="F407" s="6">
        <f t="shared" si="128"/>
        <v>629.37338394483095</v>
      </c>
      <c r="G407" s="6">
        <f t="shared" si="129"/>
        <v>643.22634893084808</v>
      </c>
      <c r="H407" s="6">
        <f>Arrivals!L407</f>
        <v>75</v>
      </c>
      <c r="I407" s="6">
        <f>H407*8/ACE_Input!S47+ACE_Input!T47</f>
        <v>6.02</v>
      </c>
      <c r="J407" s="6">
        <f t="shared" si="138"/>
        <v>750.09999999999991</v>
      </c>
      <c r="K407" s="6">
        <f t="shared" si="130"/>
        <v>750.09999999999991</v>
      </c>
      <c r="L407" s="6">
        <f>MOD(K407-Settings!$B$32,Settings!$B$33)</f>
        <v>30.099999999999909</v>
      </c>
      <c r="M407" s="6">
        <f>IF(L407&lt;Settings!$B$30,IF(Settings!$B$30-L407&gt;=I407,K407,K407+(Settings!$B$30-L407)+Settings!$B$31),K407+(Settings!$B$33-L407))</f>
        <v>750.09999999999991</v>
      </c>
      <c r="N407" s="6">
        <f t="shared" si="131"/>
        <v>756.11999999999989</v>
      </c>
      <c r="O407" s="6">
        <f t="shared" si="132"/>
        <v>418.11999999999989</v>
      </c>
      <c r="P407" s="6">
        <f t="shared" si="133"/>
        <v>291.37338394483095</v>
      </c>
      <c r="Q407" s="6">
        <f t="shared" si="134"/>
        <v>106.87365106915183</v>
      </c>
      <c r="R407" s="6">
        <f t="shared" si="135"/>
        <v>0</v>
      </c>
      <c r="S407" s="6">
        <f t="shared" si="136"/>
        <v>398.24703501398278</v>
      </c>
      <c r="T407" s="6" t="str">
        <f>IF(MOD(C407-Settings!$B$32,Settings!$B$33)&lt;Settings!$B$30,"Up","Down")</f>
        <v>Up</v>
      </c>
      <c r="U407" s="6">
        <f>IF(OR(I407&gt;Settings!$B$30,O407&gt;Settings!$B$37),0,1)</f>
        <v>1</v>
      </c>
      <c r="V407" s="6">
        <f>IF(AND(U407=1,O407&lt;=Settings!$B$36),1,0)</f>
        <v>0</v>
      </c>
    </row>
    <row r="408" spans="1:22" x14ac:dyDescent="0.2">
      <c r="A408">
        <f>Arrivals!A408</f>
        <v>4</v>
      </c>
      <c r="B408">
        <f>Arrivals!B408</f>
        <v>43</v>
      </c>
      <c r="C408" s="6">
        <f>Arrivals!F408</f>
        <v>343</v>
      </c>
      <c r="D408" s="6">
        <f>Arrivals!J408</f>
        <v>15.394736299962652</v>
      </c>
      <c r="E408" s="6">
        <f t="shared" si="137"/>
        <v>643.22634893084808</v>
      </c>
      <c r="F408" s="6">
        <f t="shared" si="128"/>
        <v>643.22634893084808</v>
      </c>
      <c r="G408" s="6">
        <f t="shared" si="129"/>
        <v>658.62108523081076</v>
      </c>
      <c r="H408" s="6">
        <f>Arrivals!L408</f>
        <v>75</v>
      </c>
      <c r="I408" s="6">
        <f>H408*8/ACE_Input!S48+ACE_Input!T48</f>
        <v>6.02</v>
      </c>
      <c r="J408" s="6">
        <f t="shared" si="138"/>
        <v>756.11999999999989</v>
      </c>
      <c r="K408" s="6">
        <f t="shared" si="130"/>
        <v>756.11999999999989</v>
      </c>
      <c r="L408" s="6">
        <f>MOD(K408-Settings!$B$32,Settings!$B$33)</f>
        <v>36.119999999999891</v>
      </c>
      <c r="M408" s="6">
        <f>IF(L408&lt;Settings!$B$30,IF(Settings!$B$30-L408&gt;=I408,K408,K408+(Settings!$B$30-L408)+Settings!$B$31),K408+(Settings!$B$33-L408))</f>
        <v>756.11999999999989</v>
      </c>
      <c r="N408" s="6">
        <f t="shared" si="131"/>
        <v>762.13999999999987</v>
      </c>
      <c r="O408" s="6">
        <f t="shared" si="132"/>
        <v>419.13999999999987</v>
      </c>
      <c r="P408" s="6">
        <f t="shared" si="133"/>
        <v>300.22634893084808</v>
      </c>
      <c r="Q408" s="6">
        <f t="shared" si="134"/>
        <v>97.498914769189128</v>
      </c>
      <c r="R408" s="6">
        <f t="shared" si="135"/>
        <v>0</v>
      </c>
      <c r="S408" s="6">
        <f t="shared" si="136"/>
        <v>397.7252637000372</v>
      </c>
      <c r="T408" s="6" t="str">
        <f>IF(MOD(C408-Settings!$B$32,Settings!$B$33)&lt;Settings!$B$30,"Up","Down")</f>
        <v>Up</v>
      </c>
      <c r="U408" s="6">
        <f>IF(OR(I408&gt;Settings!$B$30,O408&gt;Settings!$B$37),0,1)</f>
        <v>1</v>
      </c>
      <c r="V408" s="6">
        <f>IF(AND(U408=1,O408&lt;=Settings!$B$36),1,0)</f>
        <v>0</v>
      </c>
    </row>
    <row r="409" spans="1:22" x14ac:dyDescent="0.2">
      <c r="A409">
        <f>Arrivals!A409</f>
        <v>4</v>
      </c>
      <c r="B409">
        <f>Arrivals!B409</f>
        <v>44</v>
      </c>
      <c r="C409" s="6">
        <f>Arrivals!F409</f>
        <v>348</v>
      </c>
      <c r="D409" s="6">
        <f>Arrivals!J409</f>
        <v>9.1717979536918737</v>
      </c>
      <c r="E409" s="6">
        <f t="shared" si="137"/>
        <v>658.62108523081076</v>
      </c>
      <c r="F409" s="6">
        <f t="shared" si="128"/>
        <v>658.62108523081076</v>
      </c>
      <c r="G409" s="6">
        <f t="shared" si="129"/>
        <v>667.79288318450267</v>
      </c>
      <c r="H409" s="6">
        <f>Arrivals!L409</f>
        <v>75</v>
      </c>
      <c r="I409" s="6">
        <f>H409*8/ACE_Input!S49+ACE_Input!T49</f>
        <v>6.02</v>
      </c>
      <c r="J409" s="6">
        <f t="shared" si="138"/>
        <v>762.13999999999987</v>
      </c>
      <c r="K409" s="6">
        <f t="shared" si="130"/>
        <v>762.13999999999987</v>
      </c>
      <c r="L409" s="6">
        <f>MOD(K409-Settings!$B$32,Settings!$B$33)</f>
        <v>42.139999999999873</v>
      </c>
      <c r="M409" s="6">
        <f>IF(L409&lt;Settings!$B$30,IF(Settings!$B$30-L409&gt;=I409,K409,K409+(Settings!$B$30-L409)+Settings!$B$31),K409+(Settings!$B$33-L409))</f>
        <v>762.13999999999987</v>
      </c>
      <c r="N409" s="6">
        <f t="shared" si="131"/>
        <v>768.15999999999985</v>
      </c>
      <c r="O409" s="6">
        <f t="shared" si="132"/>
        <v>420.15999999999985</v>
      </c>
      <c r="P409" s="6">
        <f t="shared" si="133"/>
        <v>310.62108523081076</v>
      </c>
      <c r="Q409" s="6">
        <f t="shared" si="134"/>
        <v>94.347116815497202</v>
      </c>
      <c r="R409" s="6">
        <f t="shared" si="135"/>
        <v>0</v>
      </c>
      <c r="S409" s="6">
        <f t="shared" si="136"/>
        <v>404.96820204630797</v>
      </c>
      <c r="T409" s="6" t="str">
        <f>IF(MOD(C409-Settings!$B$32,Settings!$B$33)&lt;Settings!$B$30,"Up","Down")</f>
        <v>Up</v>
      </c>
      <c r="U409" s="6">
        <f>IF(OR(I409&gt;Settings!$B$30,O409&gt;Settings!$B$37),0,1)</f>
        <v>1</v>
      </c>
      <c r="V409" s="6">
        <f>IF(AND(U409=1,O409&lt;=Settings!$B$36),1,0)</f>
        <v>0</v>
      </c>
    </row>
    <row r="410" spans="1:22" x14ac:dyDescent="0.2">
      <c r="A410">
        <f>Arrivals!A410</f>
        <v>4</v>
      </c>
      <c r="B410">
        <f>Arrivals!B410</f>
        <v>45</v>
      </c>
      <c r="C410" s="6">
        <f>Arrivals!F410</f>
        <v>354</v>
      </c>
      <c r="D410" s="6">
        <f>Arrivals!J410</f>
        <v>18.456675448719938</v>
      </c>
      <c r="E410" s="6">
        <f t="shared" si="137"/>
        <v>667.79288318450267</v>
      </c>
      <c r="F410" s="6">
        <f t="shared" si="128"/>
        <v>667.79288318450267</v>
      </c>
      <c r="G410" s="6">
        <f t="shared" si="129"/>
        <v>686.24955863322259</v>
      </c>
      <c r="H410" s="6">
        <f>Arrivals!L410</f>
        <v>75</v>
      </c>
      <c r="I410" s="6">
        <f>H410*8/ACE_Input!S50+ACE_Input!T50</f>
        <v>6.02</v>
      </c>
      <c r="J410" s="6">
        <f t="shared" si="138"/>
        <v>768.15999999999985</v>
      </c>
      <c r="K410" s="6">
        <f t="shared" si="130"/>
        <v>768.15999999999985</v>
      </c>
      <c r="L410" s="6">
        <f>MOD(K410-Settings!$B$32,Settings!$B$33)</f>
        <v>48.159999999999854</v>
      </c>
      <c r="M410" s="6">
        <f>IF(L410&lt;Settings!$B$30,IF(Settings!$B$30-L410&gt;=I410,K410,K410+(Settings!$B$30-L410)+Settings!$B$31),K410+(Settings!$B$33-L410))</f>
        <v>768.15999999999985</v>
      </c>
      <c r="N410" s="6">
        <f t="shared" si="131"/>
        <v>774.17999999999984</v>
      </c>
      <c r="O410" s="6">
        <f t="shared" si="132"/>
        <v>420.17999999999984</v>
      </c>
      <c r="P410" s="6">
        <f t="shared" si="133"/>
        <v>313.79288318450267</v>
      </c>
      <c r="Q410" s="6">
        <f t="shared" si="134"/>
        <v>81.910441366777263</v>
      </c>
      <c r="R410" s="6">
        <f t="shared" si="135"/>
        <v>0</v>
      </c>
      <c r="S410" s="6">
        <f t="shared" si="136"/>
        <v>395.70332455127993</v>
      </c>
      <c r="T410" s="6" t="str">
        <f>IF(MOD(C410-Settings!$B$32,Settings!$B$33)&lt;Settings!$B$30,"Up","Down")</f>
        <v>Up</v>
      </c>
      <c r="U410" s="6">
        <f>IF(OR(I410&gt;Settings!$B$30,O410&gt;Settings!$B$37),0,1)</f>
        <v>1</v>
      </c>
      <c r="V410" s="6">
        <f>IF(AND(U410=1,O410&lt;=Settings!$B$36),1,0)</f>
        <v>0</v>
      </c>
    </row>
    <row r="411" spans="1:22" x14ac:dyDescent="0.2">
      <c r="A411">
        <f>Arrivals!A411</f>
        <v>4</v>
      </c>
      <c r="B411">
        <f>Arrivals!B411</f>
        <v>46</v>
      </c>
      <c r="C411" s="6">
        <f>Arrivals!F411</f>
        <v>359</v>
      </c>
      <c r="D411" s="6">
        <f>Arrivals!J411</f>
        <v>26.124181589552808</v>
      </c>
      <c r="E411" s="6">
        <f t="shared" si="137"/>
        <v>686.24955863322259</v>
      </c>
      <c r="F411" s="6">
        <f t="shared" si="128"/>
        <v>686.24955863322259</v>
      </c>
      <c r="G411" s="6">
        <f t="shared" si="129"/>
        <v>712.37374022277538</v>
      </c>
      <c r="H411" s="6">
        <f>Arrivals!L411</f>
        <v>75</v>
      </c>
      <c r="I411" s="6">
        <f>H411*8/ACE_Input!S51+ACE_Input!T51</f>
        <v>6.02</v>
      </c>
      <c r="J411" s="6">
        <f t="shared" si="138"/>
        <v>774.17999999999984</v>
      </c>
      <c r="K411" s="6">
        <f t="shared" si="130"/>
        <v>774.17999999999984</v>
      </c>
      <c r="L411" s="6">
        <f>MOD(K411-Settings!$B$32,Settings!$B$33)</f>
        <v>54.179999999999836</v>
      </c>
      <c r="M411" s="6">
        <f>IF(L411&lt;Settings!$B$30,IF(Settings!$B$30-L411&gt;=I411,K411,K411+(Settings!$B$30-L411)+Settings!$B$31),K411+(Settings!$B$33-L411))</f>
        <v>774.17999999999984</v>
      </c>
      <c r="N411" s="6">
        <f t="shared" si="131"/>
        <v>780.19999999999982</v>
      </c>
      <c r="O411" s="6">
        <f t="shared" si="132"/>
        <v>421.19999999999982</v>
      </c>
      <c r="P411" s="6">
        <f t="shared" si="133"/>
        <v>327.24955863322259</v>
      </c>
      <c r="Q411" s="6">
        <f t="shared" si="134"/>
        <v>61.806259777224454</v>
      </c>
      <c r="R411" s="6">
        <f t="shared" si="135"/>
        <v>0</v>
      </c>
      <c r="S411" s="6">
        <f t="shared" si="136"/>
        <v>389.05581841044705</v>
      </c>
      <c r="T411" s="6" t="str">
        <f>IF(MOD(C411-Settings!$B$32,Settings!$B$33)&lt;Settings!$B$30,"Up","Down")</f>
        <v>Up</v>
      </c>
      <c r="U411" s="6">
        <f>IF(OR(I411&gt;Settings!$B$30,O411&gt;Settings!$B$37),0,1)</f>
        <v>1</v>
      </c>
      <c r="V411" s="6">
        <f>IF(AND(U411=1,O411&lt;=Settings!$B$36),1,0)</f>
        <v>0</v>
      </c>
    </row>
    <row r="412" spans="1:22" x14ac:dyDescent="0.2">
      <c r="A412">
        <f>Arrivals!A412</f>
        <v>4</v>
      </c>
      <c r="B412">
        <f>Arrivals!B412</f>
        <v>47</v>
      </c>
      <c r="C412" s="6">
        <f>Arrivals!F412</f>
        <v>364</v>
      </c>
      <c r="D412" s="6">
        <f>Arrivals!J412</f>
        <v>6.779277115682266</v>
      </c>
      <c r="E412" s="6">
        <f t="shared" si="137"/>
        <v>712.37374022277538</v>
      </c>
      <c r="F412" s="6">
        <f t="shared" si="128"/>
        <v>712.37374022277538</v>
      </c>
      <c r="G412" s="6">
        <f t="shared" si="129"/>
        <v>719.15301733845763</v>
      </c>
      <c r="H412" s="6">
        <f>Arrivals!L412</f>
        <v>75</v>
      </c>
      <c r="I412" s="6">
        <f>H412*8/ACE_Input!S52+ACE_Input!T52</f>
        <v>6.02</v>
      </c>
      <c r="J412" s="6">
        <f t="shared" si="138"/>
        <v>780.19999999999982</v>
      </c>
      <c r="K412" s="6">
        <f t="shared" si="130"/>
        <v>780.19999999999982</v>
      </c>
      <c r="L412" s="6">
        <f>MOD(K412-Settings!$B$32,Settings!$B$33)</f>
        <v>60.199999999999818</v>
      </c>
      <c r="M412" s="6">
        <f>IF(L412&lt;Settings!$B$30,IF(Settings!$B$30-L412&gt;=I412,K412,K412+(Settings!$B$30-L412)+Settings!$B$31),K412+(Settings!$B$33-L412))</f>
        <v>780.19999999999982</v>
      </c>
      <c r="N412" s="6">
        <f t="shared" si="131"/>
        <v>786.2199999999998</v>
      </c>
      <c r="O412" s="6">
        <f t="shared" si="132"/>
        <v>422.2199999999998</v>
      </c>
      <c r="P412" s="6">
        <f t="shared" si="133"/>
        <v>348.37374022277538</v>
      </c>
      <c r="Q412" s="6">
        <f t="shared" si="134"/>
        <v>61.046982661542188</v>
      </c>
      <c r="R412" s="6">
        <f t="shared" si="135"/>
        <v>0</v>
      </c>
      <c r="S412" s="6">
        <f t="shared" si="136"/>
        <v>409.42072288431757</v>
      </c>
      <c r="T412" s="6" t="str">
        <f>IF(MOD(C412-Settings!$B$32,Settings!$B$33)&lt;Settings!$B$30,"Up","Down")</f>
        <v>Up</v>
      </c>
      <c r="U412" s="6">
        <f>IF(OR(I412&gt;Settings!$B$30,O412&gt;Settings!$B$37),0,1)</f>
        <v>1</v>
      </c>
      <c r="V412" s="6">
        <f>IF(AND(U412=1,O412&lt;=Settings!$B$36),1,0)</f>
        <v>0</v>
      </c>
    </row>
    <row r="413" spans="1:22" x14ac:dyDescent="0.2">
      <c r="A413">
        <f>Arrivals!A413</f>
        <v>4</v>
      </c>
      <c r="B413">
        <f>Arrivals!B413</f>
        <v>48</v>
      </c>
      <c r="C413" s="6">
        <f>Arrivals!F413</f>
        <v>369</v>
      </c>
      <c r="D413" s="6">
        <f>Arrivals!J413</f>
        <v>64.989961172190277</v>
      </c>
      <c r="E413" s="6">
        <f t="shared" si="137"/>
        <v>719.15301733845763</v>
      </c>
      <c r="F413" s="6">
        <f t="shared" si="128"/>
        <v>719.15301733845763</v>
      </c>
      <c r="G413" s="6">
        <f t="shared" si="129"/>
        <v>784.14297851064794</v>
      </c>
      <c r="H413" s="6">
        <f>Arrivals!L413</f>
        <v>75</v>
      </c>
      <c r="I413" s="6">
        <f>H413*8/ACE_Input!S53+ACE_Input!T53</f>
        <v>6.02</v>
      </c>
      <c r="J413" s="6">
        <f t="shared" si="138"/>
        <v>786.2199999999998</v>
      </c>
      <c r="K413" s="6">
        <f t="shared" si="130"/>
        <v>786.2199999999998</v>
      </c>
      <c r="L413" s="6">
        <f>MOD(K413-Settings!$B$32,Settings!$B$33)</f>
        <v>66.2199999999998</v>
      </c>
      <c r="M413" s="6">
        <f>IF(L413&lt;Settings!$B$30,IF(Settings!$B$30-L413&gt;=I413,K413,K413+(Settings!$B$30-L413)+Settings!$B$31),K413+(Settings!$B$33-L413))</f>
        <v>786.2199999999998</v>
      </c>
      <c r="N413" s="6">
        <f t="shared" si="131"/>
        <v>792.23999999999978</v>
      </c>
      <c r="O413" s="6">
        <f t="shared" si="132"/>
        <v>423.23999999999978</v>
      </c>
      <c r="P413" s="6">
        <f t="shared" si="133"/>
        <v>350.15301733845763</v>
      </c>
      <c r="Q413" s="6">
        <f t="shared" si="134"/>
        <v>2.0770214893518641</v>
      </c>
      <c r="R413" s="6">
        <f t="shared" si="135"/>
        <v>0</v>
      </c>
      <c r="S413" s="6">
        <f t="shared" si="136"/>
        <v>352.23003882780949</v>
      </c>
      <c r="T413" s="6" t="str">
        <f>IF(MOD(C413-Settings!$B$32,Settings!$B$33)&lt;Settings!$B$30,"Up","Down")</f>
        <v>Up</v>
      </c>
      <c r="U413" s="6">
        <f>IF(OR(I413&gt;Settings!$B$30,O413&gt;Settings!$B$37),0,1)</f>
        <v>1</v>
      </c>
      <c r="V413" s="6">
        <f>IF(AND(U413=1,O413&lt;=Settings!$B$36),1,0)</f>
        <v>0</v>
      </c>
    </row>
    <row r="414" spans="1:22" x14ac:dyDescent="0.2">
      <c r="A414">
        <f>Arrivals!A414</f>
        <v>4</v>
      </c>
      <c r="B414">
        <f>Arrivals!B414</f>
        <v>49</v>
      </c>
      <c r="C414" s="6">
        <f>Arrivals!F414</f>
        <v>374</v>
      </c>
      <c r="D414" s="6">
        <f>Arrivals!J414</f>
        <v>3.9759022776642858</v>
      </c>
      <c r="E414" s="6">
        <f t="shared" si="137"/>
        <v>784.14297851064794</v>
      </c>
      <c r="F414" s="6">
        <f t="shared" si="128"/>
        <v>784.14297851064794</v>
      </c>
      <c r="G414" s="6">
        <f t="shared" si="129"/>
        <v>788.11888078831225</v>
      </c>
      <c r="H414" s="6">
        <f>Arrivals!L414</f>
        <v>75</v>
      </c>
      <c r="I414" s="6">
        <f>H414*8/ACE_Input!S54+ACE_Input!T54</f>
        <v>6.02</v>
      </c>
      <c r="J414" s="6">
        <f t="shared" si="138"/>
        <v>792.23999999999978</v>
      </c>
      <c r="K414" s="6">
        <f t="shared" si="130"/>
        <v>792.23999999999978</v>
      </c>
      <c r="L414" s="6">
        <f>MOD(K414-Settings!$B$32,Settings!$B$33)</f>
        <v>72.239999999999782</v>
      </c>
      <c r="M414" s="6">
        <f>IF(L414&lt;Settings!$B$30,IF(Settings!$B$30-L414&gt;=I414,K414,K414+(Settings!$B$30-L414)+Settings!$B$31),K414+(Settings!$B$33-L414))</f>
        <v>792.23999999999978</v>
      </c>
      <c r="N414" s="6">
        <f t="shared" si="131"/>
        <v>798.25999999999976</v>
      </c>
      <c r="O414" s="6">
        <f t="shared" si="132"/>
        <v>424.25999999999976</v>
      </c>
      <c r="P414" s="6">
        <f t="shared" si="133"/>
        <v>410.14297851064794</v>
      </c>
      <c r="Q414" s="6">
        <f t="shared" si="134"/>
        <v>4.1211192116875281</v>
      </c>
      <c r="R414" s="6">
        <f t="shared" si="135"/>
        <v>0</v>
      </c>
      <c r="S414" s="6">
        <f t="shared" si="136"/>
        <v>414.26409772233546</v>
      </c>
      <c r="T414" s="6" t="str">
        <f>IF(MOD(C414-Settings!$B$32,Settings!$B$33)&lt;Settings!$B$30,"Up","Down")</f>
        <v>Up</v>
      </c>
      <c r="U414" s="6">
        <f>IF(OR(I414&gt;Settings!$B$30,O414&gt;Settings!$B$37),0,1)</f>
        <v>1</v>
      </c>
      <c r="V414" s="6">
        <f>IF(AND(U414=1,O414&lt;=Settings!$B$36),1,0)</f>
        <v>0</v>
      </c>
    </row>
    <row r="415" spans="1:22" x14ac:dyDescent="0.2">
      <c r="A415">
        <f>Arrivals!A415</f>
        <v>4</v>
      </c>
      <c r="B415">
        <f>Arrivals!B415</f>
        <v>50</v>
      </c>
      <c r="C415" s="6">
        <f>Arrivals!F415</f>
        <v>379</v>
      </c>
      <c r="D415" s="6">
        <f>Arrivals!J415</f>
        <v>0.62071252252843723</v>
      </c>
      <c r="E415" s="6">
        <f t="shared" si="137"/>
        <v>788.11888078831225</v>
      </c>
      <c r="F415" s="6">
        <f t="shared" si="128"/>
        <v>788.11888078831225</v>
      </c>
      <c r="G415" s="6">
        <f t="shared" si="129"/>
        <v>788.73959331084075</v>
      </c>
      <c r="H415" s="6">
        <f>Arrivals!L415</f>
        <v>75</v>
      </c>
      <c r="I415" s="6">
        <f>H415*8/ACE_Input!S55+ACE_Input!T55</f>
        <v>6.02</v>
      </c>
      <c r="J415" s="6">
        <f t="shared" si="138"/>
        <v>798.25999999999976</v>
      </c>
      <c r="K415" s="6">
        <f t="shared" si="130"/>
        <v>798.25999999999976</v>
      </c>
      <c r="L415" s="6">
        <f>MOD(K415-Settings!$B$32,Settings!$B$33)</f>
        <v>78.259999999999764</v>
      </c>
      <c r="M415" s="6">
        <f>IF(L415&lt;Settings!$B$30,IF(Settings!$B$30-L415&gt;=I415,K415,K415+(Settings!$B$30-L415)+Settings!$B$31),K415+(Settings!$B$33-L415))</f>
        <v>798.25999999999976</v>
      </c>
      <c r="N415" s="6">
        <f t="shared" si="131"/>
        <v>804.27999999999975</v>
      </c>
      <c r="O415" s="6">
        <f t="shared" si="132"/>
        <v>425.27999999999975</v>
      </c>
      <c r="P415" s="6">
        <f t="shared" si="133"/>
        <v>409.11888078831225</v>
      </c>
      <c r="Q415" s="6">
        <f t="shared" si="134"/>
        <v>9.5204066891590173</v>
      </c>
      <c r="R415" s="6">
        <f t="shared" si="135"/>
        <v>0</v>
      </c>
      <c r="S415" s="6">
        <f t="shared" si="136"/>
        <v>418.63928747747127</v>
      </c>
      <c r="T415" s="6" t="str">
        <f>IF(MOD(C415-Settings!$B$32,Settings!$B$33)&lt;Settings!$B$30,"Up","Down")</f>
        <v>Up</v>
      </c>
      <c r="U415" s="6">
        <f>IF(OR(I415&gt;Settings!$B$30,O415&gt;Settings!$B$37),0,1)</f>
        <v>1</v>
      </c>
      <c r="V415" s="6">
        <f>IF(AND(U415=1,O415&lt;=Settings!$B$36),1,0)</f>
        <v>0</v>
      </c>
    </row>
    <row r="416" spans="1:22" x14ac:dyDescent="0.2">
      <c r="A416">
        <f>Arrivals!A416</f>
        <v>4</v>
      </c>
      <c r="B416">
        <f>Arrivals!B416</f>
        <v>51</v>
      </c>
      <c r="C416" s="6">
        <f>Arrivals!F416</f>
        <v>384</v>
      </c>
      <c r="D416" s="6">
        <f>Arrivals!J416</f>
        <v>3.58183445984805</v>
      </c>
      <c r="E416" s="6">
        <f t="shared" si="137"/>
        <v>788.73959331084075</v>
      </c>
      <c r="F416" s="6">
        <f t="shared" si="128"/>
        <v>788.73959331084075</v>
      </c>
      <c r="G416" s="6">
        <f t="shared" si="129"/>
        <v>792.32142777068884</v>
      </c>
      <c r="H416" s="6">
        <f>Arrivals!L416</f>
        <v>75</v>
      </c>
      <c r="I416" s="6">
        <f>H416*8/ACE_Input!S56+ACE_Input!T56</f>
        <v>6.02</v>
      </c>
      <c r="J416" s="6">
        <f t="shared" si="138"/>
        <v>804.27999999999975</v>
      </c>
      <c r="K416" s="6">
        <f t="shared" si="130"/>
        <v>804.27999999999975</v>
      </c>
      <c r="L416" s="6">
        <f>MOD(K416-Settings!$B$32,Settings!$B$33)</f>
        <v>84.279999999999745</v>
      </c>
      <c r="M416" s="6">
        <f>IF(L416&lt;Settings!$B$30,IF(Settings!$B$30-L416&gt;=I416,K416,K416+(Settings!$B$30-L416)+Settings!$B$31),K416+(Settings!$B$33-L416))</f>
        <v>804.27999999999975</v>
      </c>
      <c r="N416" s="6">
        <f t="shared" si="131"/>
        <v>810.29999999999973</v>
      </c>
      <c r="O416" s="6">
        <f t="shared" si="132"/>
        <v>426.29999999999973</v>
      </c>
      <c r="P416" s="6">
        <f t="shared" si="133"/>
        <v>404.73959331084075</v>
      </c>
      <c r="Q416" s="6">
        <f t="shared" si="134"/>
        <v>11.958572229310903</v>
      </c>
      <c r="R416" s="6">
        <f t="shared" si="135"/>
        <v>0</v>
      </c>
      <c r="S416" s="6">
        <f t="shared" si="136"/>
        <v>416.69816554015165</v>
      </c>
      <c r="T416" s="6" t="str">
        <f>IF(MOD(C416-Settings!$B$32,Settings!$B$33)&lt;Settings!$B$30,"Up","Down")</f>
        <v>Up</v>
      </c>
      <c r="U416" s="6">
        <f>IF(OR(I416&gt;Settings!$B$30,O416&gt;Settings!$B$37),0,1)</f>
        <v>1</v>
      </c>
      <c r="V416" s="6">
        <f>IF(AND(U416=1,O416&lt;=Settings!$B$36),1,0)</f>
        <v>0</v>
      </c>
    </row>
    <row r="417" spans="1:22" x14ac:dyDescent="0.2">
      <c r="A417">
        <f>Arrivals!A417</f>
        <v>4</v>
      </c>
      <c r="B417">
        <f>Arrivals!B417</f>
        <v>52</v>
      </c>
      <c r="C417" s="6">
        <f>Arrivals!F417</f>
        <v>389</v>
      </c>
      <c r="D417" s="6">
        <f>Arrivals!J417</f>
        <v>2.7640296739119194</v>
      </c>
      <c r="E417" s="6">
        <f t="shared" si="137"/>
        <v>792.32142777068884</v>
      </c>
      <c r="F417" s="6">
        <f t="shared" si="128"/>
        <v>792.32142777068884</v>
      </c>
      <c r="G417" s="6">
        <f t="shared" si="129"/>
        <v>795.08545744460071</v>
      </c>
      <c r="H417" s="6">
        <f>Arrivals!L417</f>
        <v>75</v>
      </c>
      <c r="I417" s="6">
        <f>H417*8/ACE_Input!S57+ACE_Input!T57</f>
        <v>6.02</v>
      </c>
      <c r="J417" s="6">
        <f t="shared" si="138"/>
        <v>810.29999999999973</v>
      </c>
      <c r="K417" s="6">
        <f t="shared" si="130"/>
        <v>810.29999999999973</v>
      </c>
      <c r="L417" s="6">
        <f>MOD(K417-Settings!$B$32,Settings!$B$33)</f>
        <v>90.299999999999727</v>
      </c>
      <c r="M417" s="6">
        <f>IF(L417&lt;Settings!$B$30,IF(Settings!$B$30-L417&gt;=I417,K417,K417+(Settings!$B$30-L417)+Settings!$B$31),K417+(Settings!$B$33-L417))</f>
        <v>810.29999999999973</v>
      </c>
      <c r="N417" s="6">
        <f t="shared" si="131"/>
        <v>816.31999999999971</v>
      </c>
      <c r="O417" s="6">
        <f t="shared" si="132"/>
        <v>427.31999999999971</v>
      </c>
      <c r="P417" s="6">
        <f t="shared" si="133"/>
        <v>403.32142777068884</v>
      </c>
      <c r="Q417" s="6">
        <f t="shared" si="134"/>
        <v>15.214542555399021</v>
      </c>
      <c r="R417" s="6">
        <f t="shared" si="135"/>
        <v>0</v>
      </c>
      <c r="S417" s="6">
        <f t="shared" si="136"/>
        <v>418.53597032608786</v>
      </c>
      <c r="T417" s="6" t="str">
        <f>IF(MOD(C417-Settings!$B$32,Settings!$B$33)&lt;Settings!$B$30,"Up","Down")</f>
        <v>Up</v>
      </c>
      <c r="U417" s="6">
        <f>IF(OR(I417&gt;Settings!$B$30,O417&gt;Settings!$B$37),0,1)</f>
        <v>1</v>
      </c>
      <c r="V417" s="6">
        <f>IF(AND(U417=1,O417&lt;=Settings!$B$36),1,0)</f>
        <v>0</v>
      </c>
    </row>
    <row r="418" spans="1:22" x14ac:dyDescent="0.2">
      <c r="A418">
        <f>Arrivals!A418</f>
        <v>4</v>
      </c>
      <c r="B418">
        <f>Arrivals!B418</f>
        <v>53</v>
      </c>
      <c r="C418" s="6">
        <f>Arrivals!F418</f>
        <v>394</v>
      </c>
      <c r="D418" s="6">
        <f>Arrivals!J418</f>
        <v>16.98884693963161</v>
      </c>
      <c r="E418" s="6">
        <f t="shared" si="137"/>
        <v>795.08545744460071</v>
      </c>
      <c r="F418" s="6">
        <f t="shared" si="128"/>
        <v>795.08545744460071</v>
      </c>
      <c r="G418" s="6">
        <f t="shared" si="129"/>
        <v>812.07430438423228</v>
      </c>
      <c r="H418" s="6">
        <f>Arrivals!L418</f>
        <v>75</v>
      </c>
      <c r="I418" s="6">
        <f>H418*8/ACE_Input!S58+ACE_Input!T58</f>
        <v>6.02</v>
      </c>
      <c r="J418" s="6">
        <f t="shared" si="138"/>
        <v>816.31999999999971</v>
      </c>
      <c r="K418" s="6">
        <f t="shared" si="130"/>
        <v>816.31999999999971</v>
      </c>
      <c r="L418" s="6">
        <f>MOD(K418-Settings!$B$32,Settings!$B$33)</f>
        <v>96.319999999999709</v>
      </c>
      <c r="M418" s="6">
        <f>IF(L418&lt;Settings!$B$30,IF(Settings!$B$30-L418&gt;=I418,K418,K418+(Settings!$B$30-L418)+Settings!$B$31),K418+(Settings!$B$33-L418))</f>
        <v>816.31999999999971</v>
      </c>
      <c r="N418" s="6">
        <f t="shared" si="131"/>
        <v>822.33999999999969</v>
      </c>
      <c r="O418" s="6">
        <f t="shared" si="132"/>
        <v>428.33999999999969</v>
      </c>
      <c r="P418" s="6">
        <f t="shared" si="133"/>
        <v>401.08545744460071</v>
      </c>
      <c r="Q418" s="6">
        <f t="shared" si="134"/>
        <v>4.2456956157674313</v>
      </c>
      <c r="R418" s="6">
        <f t="shared" si="135"/>
        <v>0</v>
      </c>
      <c r="S418" s="6">
        <f t="shared" si="136"/>
        <v>405.33115306036814</v>
      </c>
      <c r="T418" s="6" t="str">
        <f>IF(MOD(C418-Settings!$B$32,Settings!$B$33)&lt;Settings!$B$30,"Up","Down")</f>
        <v>Up</v>
      </c>
      <c r="U418" s="6">
        <f>IF(OR(I418&gt;Settings!$B$30,O418&gt;Settings!$B$37),0,1)</f>
        <v>1</v>
      </c>
      <c r="V418" s="6">
        <f>IF(AND(U418=1,O418&lt;=Settings!$B$36),1,0)</f>
        <v>0</v>
      </c>
    </row>
    <row r="419" spans="1:22" x14ac:dyDescent="0.2">
      <c r="A419">
        <f>Arrivals!A419</f>
        <v>4</v>
      </c>
      <c r="B419">
        <f>Arrivals!B419</f>
        <v>54</v>
      </c>
      <c r="C419" s="6">
        <f>Arrivals!F419</f>
        <v>399</v>
      </c>
      <c r="D419" s="6">
        <f>Arrivals!J419</f>
        <v>2.0660786878826016</v>
      </c>
      <c r="E419" s="6">
        <f t="shared" si="137"/>
        <v>812.07430438423228</v>
      </c>
      <c r="F419" s="6">
        <f t="shared" si="128"/>
        <v>812.07430438423228</v>
      </c>
      <c r="G419" s="6">
        <f t="shared" si="129"/>
        <v>814.1403830721149</v>
      </c>
      <c r="H419" s="6">
        <f>Arrivals!L419</f>
        <v>75</v>
      </c>
      <c r="I419" s="6">
        <f>H419*8/ACE_Input!S59+ACE_Input!T59</f>
        <v>6.02</v>
      </c>
      <c r="J419" s="6">
        <f t="shared" si="138"/>
        <v>822.33999999999969</v>
      </c>
      <c r="K419" s="6">
        <f t="shared" si="130"/>
        <v>822.33999999999969</v>
      </c>
      <c r="L419" s="6">
        <f>MOD(K419-Settings!$B$32,Settings!$B$33)</f>
        <v>102.33999999999969</v>
      </c>
      <c r="M419" s="6">
        <f>IF(L419&lt;Settings!$B$30,IF(Settings!$B$30-L419&gt;=I419,K419,K419+(Settings!$B$30-L419)+Settings!$B$31),K419+(Settings!$B$33-L419))</f>
        <v>822.33999999999969</v>
      </c>
      <c r="N419" s="6">
        <f t="shared" si="131"/>
        <v>828.35999999999967</v>
      </c>
      <c r="O419" s="6">
        <f t="shared" si="132"/>
        <v>429.35999999999967</v>
      </c>
      <c r="P419" s="6">
        <f t="shared" si="133"/>
        <v>413.07430438423228</v>
      </c>
      <c r="Q419" s="6">
        <f t="shared" si="134"/>
        <v>8.1996169278847901</v>
      </c>
      <c r="R419" s="6">
        <f t="shared" si="135"/>
        <v>0</v>
      </c>
      <c r="S419" s="6">
        <f t="shared" si="136"/>
        <v>421.27392131211707</v>
      </c>
      <c r="T419" s="6" t="str">
        <f>IF(MOD(C419-Settings!$B$32,Settings!$B$33)&lt;Settings!$B$30,"Up","Down")</f>
        <v>Up</v>
      </c>
      <c r="U419" s="6">
        <f>IF(OR(I419&gt;Settings!$B$30,O419&gt;Settings!$B$37),0,1)</f>
        <v>1</v>
      </c>
      <c r="V419" s="6">
        <f>IF(AND(U419=1,O419&lt;=Settings!$B$36),1,0)</f>
        <v>0</v>
      </c>
    </row>
    <row r="420" spans="1:22" x14ac:dyDescent="0.2">
      <c r="A420">
        <f>Arrivals!A420</f>
        <v>4</v>
      </c>
      <c r="B420">
        <f>Arrivals!B420</f>
        <v>55</v>
      </c>
      <c r="C420" s="6">
        <f>Arrivals!F420</f>
        <v>404</v>
      </c>
      <c r="D420" s="6">
        <f>Arrivals!J420</f>
        <v>4.4031603925963045</v>
      </c>
      <c r="E420" s="6">
        <f t="shared" si="137"/>
        <v>814.1403830721149</v>
      </c>
      <c r="F420" s="6">
        <f t="shared" si="128"/>
        <v>814.1403830721149</v>
      </c>
      <c r="G420" s="6">
        <f t="shared" si="129"/>
        <v>818.54354346471121</v>
      </c>
      <c r="H420" s="6">
        <f>Arrivals!L420</f>
        <v>75</v>
      </c>
      <c r="I420" s="6">
        <f>H420*8/ACE_Input!S60+ACE_Input!T60</f>
        <v>6.02</v>
      </c>
      <c r="J420" s="6">
        <f t="shared" si="138"/>
        <v>828.35999999999967</v>
      </c>
      <c r="K420" s="6">
        <f t="shared" si="130"/>
        <v>828.35999999999967</v>
      </c>
      <c r="L420" s="6">
        <f>MOD(K420-Settings!$B$32,Settings!$B$33)</f>
        <v>108.35999999999967</v>
      </c>
      <c r="M420" s="6">
        <f>IF(L420&lt;Settings!$B$30,IF(Settings!$B$30-L420&gt;=I420,K420,K420+(Settings!$B$30-L420)+Settings!$B$31),K420+(Settings!$B$33-L420))</f>
        <v>828.35999999999967</v>
      </c>
      <c r="N420" s="6">
        <f t="shared" si="131"/>
        <v>834.37999999999965</v>
      </c>
      <c r="O420" s="6">
        <f t="shared" si="132"/>
        <v>430.37999999999965</v>
      </c>
      <c r="P420" s="6">
        <f t="shared" si="133"/>
        <v>410.1403830721149</v>
      </c>
      <c r="Q420" s="6">
        <f t="shared" si="134"/>
        <v>9.8164565352884665</v>
      </c>
      <c r="R420" s="6">
        <f t="shared" si="135"/>
        <v>0</v>
      </c>
      <c r="S420" s="6">
        <f t="shared" si="136"/>
        <v>419.95683960740337</v>
      </c>
      <c r="T420" s="6" t="str">
        <f>IF(MOD(C420-Settings!$B$32,Settings!$B$33)&lt;Settings!$B$30,"Up","Down")</f>
        <v>Up</v>
      </c>
      <c r="U420" s="6">
        <f>IF(OR(I420&gt;Settings!$B$30,O420&gt;Settings!$B$37),0,1)</f>
        <v>1</v>
      </c>
      <c r="V420" s="6">
        <f>IF(AND(U420=1,O420&lt;=Settings!$B$36),1,0)</f>
        <v>0</v>
      </c>
    </row>
    <row r="421" spans="1:22" x14ac:dyDescent="0.2">
      <c r="A421">
        <f>Arrivals!A421</f>
        <v>4</v>
      </c>
      <c r="B421">
        <f>Arrivals!B421</f>
        <v>56</v>
      </c>
      <c r="C421" s="6">
        <f>Arrivals!F421</f>
        <v>409</v>
      </c>
      <c r="D421" s="6">
        <f>Arrivals!J421</f>
        <v>1.7204122706942702</v>
      </c>
      <c r="E421" s="6">
        <f t="shared" si="137"/>
        <v>818.54354346471121</v>
      </c>
      <c r="F421" s="6">
        <f t="shared" si="128"/>
        <v>818.54354346471121</v>
      </c>
      <c r="G421" s="6">
        <f t="shared" si="129"/>
        <v>820.26395573540549</v>
      </c>
      <c r="H421" s="6">
        <f>Arrivals!L421</f>
        <v>75</v>
      </c>
      <c r="I421" s="6">
        <f>H421*8/ACE_Input!S61+ACE_Input!T61</f>
        <v>6.02</v>
      </c>
      <c r="J421" s="6">
        <f t="shared" si="138"/>
        <v>834.37999999999965</v>
      </c>
      <c r="K421" s="6">
        <f t="shared" si="130"/>
        <v>834.37999999999965</v>
      </c>
      <c r="L421" s="6">
        <f>MOD(K421-Settings!$B$32,Settings!$B$33)</f>
        <v>114.37999999999965</v>
      </c>
      <c r="M421" s="6">
        <f>IF(L421&lt;Settings!$B$30,IF(Settings!$B$30-L421&gt;=I421,K421,K421+(Settings!$B$30-L421)+Settings!$B$31),K421+(Settings!$B$33-L421))</f>
        <v>834.37999999999965</v>
      </c>
      <c r="N421" s="6">
        <f t="shared" si="131"/>
        <v>840.39999999999964</v>
      </c>
      <c r="O421" s="6">
        <f t="shared" si="132"/>
        <v>431.39999999999964</v>
      </c>
      <c r="P421" s="6">
        <f t="shared" si="133"/>
        <v>409.54354346471121</v>
      </c>
      <c r="Q421" s="6">
        <f t="shared" si="134"/>
        <v>14.116044264594166</v>
      </c>
      <c r="R421" s="6">
        <f t="shared" si="135"/>
        <v>0</v>
      </c>
      <c r="S421" s="6">
        <f t="shared" si="136"/>
        <v>423.65958772930537</v>
      </c>
      <c r="T421" s="6" t="str">
        <f>IF(MOD(C421-Settings!$B$32,Settings!$B$33)&lt;Settings!$B$30,"Up","Down")</f>
        <v>Up</v>
      </c>
      <c r="U421" s="6">
        <f>IF(OR(I421&gt;Settings!$B$30,O421&gt;Settings!$B$37),0,1)</f>
        <v>1</v>
      </c>
      <c r="V421" s="6">
        <f>IF(AND(U421=1,O421&lt;=Settings!$B$36),1,0)</f>
        <v>0</v>
      </c>
    </row>
    <row r="422" spans="1:22" x14ac:dyDescent="0.2">
      <c r="A422">
        <f>Arrivals!A422</f>
        <v>4</v>
      </c>
      <c r="B422">
        <f>Arrivals!B422</f>
        <v>57</v>
      </c>
      <c r="C422" s="6">
        <f>Arrivals!F422</f>
        <v>414</v>
      </c>
      <c r="D422" s="6">
        <f>Arrivals!J422</f>
        <v>20.557953445872542</v>
      </c>
      <c r="E422" s="6">
        <f t="shared" si="137"/>
        <v>820.26395573540549</v>
      </c>
      <c r="F422" s="6">
        <f t="shared" si="128"/>
        <v>820.26395573540549</v>
      </c>
      <c r="G422" s="6">
        <f t="shared" si="129"/>
        <v>840.82190918127799</v>
      </c>
      <c r="H422" s="6">
        <f>Arrivals!L422</f>
        <v>75</v>
      </c>
      <c r="I422" s="6">
        <f>H422*8/ACE_Input!S62+ACE_Input!T62</f>
        <v>6.02</v>
      </c>
      <c r="J422" s="6">
        <f t="shared" si="138"/>
        <v>840.39999999999964</v>
      </c>
      <c r="K422" s="6">
        <f t="shared" si="130"/>
        <v>840.82190918127799</v>
      </c>
      <c r="L422" s="6">
        <f>MOD(K422-Settings!$B$32,Settings!$B$33)</f>
        <v>120.82190918127799</v>
      </c>
      <c r="M422" s="6">
        <f>IF(L422&lt;Settings!$B$30,IF(Settings!$B$30-L422&gt;=I422,K422,K422+(Settings!$B$30-L422)+Settings!$B$31),K422+(Settings!$B$33-L422))</f>
        <v>840.82190918127799</v>
      </c>
      <c r="N422" s="6">
        <f t="shared" si="131"/>
        <v>846.84190918127797</v>
      </c>
      <c r="O422" s="6">
        <f t="shared" si="132"/>
        <v>432.84190918127797</v>
      </c>
      <c r="P422" s="6">
        <f t="shared" si="133"/>
        <v>406.26395573540549</v>
      </c>
      <c r="Q422" s="6">
        <f t="shared" si="134"/>
        <v>0</v>
      </c>
      <c r="R422" s="6">
        <f t="shared" si="135"/>
        <v>0</v>
      </c>
      <c r="S422" s="6">
        <f t="shared" si="136"/>
        <v>406.26395573540549</v>
      </c>
      <c r="T422" s="6" t="str">
        <f>IF(MOD(C422-Settings!$B$32,Settings!$B$33)&lt;Settings!$B$30,"Up","Down")</f>
        <v>Up</v>
      </c>
      <c r="U422" s="6">
        <f>IF(OR(I422&gt;Settings!$B$30,O422&gt;Settings!$B$37),0,1)</f>
        <v>1</v>
      </c>
      <c r="V422" s="6">
        <f>IF(AND(U422=1,O422&lt;=Settings!$B$36),1,0)</f>
        <v>0</v>
      </c>
    </row>
    <row r="423" spans="1:22" x14ac:dyDescent="0.2">
      <c r="A423">
        <f>Arrivals!A423</f>
        <v>4</v>
      </c>
      <c r="B423">
        <f>Arrivals!B423</f>
        <v>58</v>
      </c>
      <c r="C423" s="6">
        <f>Arrivals!F423</f>
        <v>419</v>
      </c>
      <c r="D423" s="6">
        <f>Arrivals!J423</f>
        <v>18.597732922972515</v>
      </c>
      <c r="E423" s="6">
        <f t="shared" si="137"/>
        <v>840.82190918127799</v>
      </c>
      <c r="F423" s="6">
        <f t="shared" si="128"/>
        <v>840.82190918127799</v>
      </c>
      <c r="G423" s="6">
        <f t="shared" si="129"/>
        <v>859.41964210425056</v>
      </c>
      <c r="H423" s="6">
        <f>Arrivals!L423</f>
        <v>75</v>
      </c>
      <c r="I423" s="6">
        <f>H423*8/ACE_Input!S63+ACE_Input!T63</f>
        <v>6.02</v>
      </c>
      <c r="J423" s="6">
        <f t="shared" si="138"/>
        <v>846.84190918127797</v>
      </c>
      <c r="K423" s="6">
        <f t="shared" si="130"/>
        <v>859.41964210425056</v>
      </c>
      <c r="L423" s="6">
        <f>MOD(K423-Settings!$B$32,Settings!$B$33)</f>
        <v>139.41964210425056</v>
      </c>
      <c r="M423" s="6">
        <f>IF(L423&lt;Settings!$B$30,IF(Settings!$B$30-L423&gt;=I423,K423,K423+(Settings!$B$30-L423)+Settings!$B$31),K423+(Settings!$B$33-L423))</f>
        <v>859.41964210425056</v>
      </c>
      <c r="N423" s="6">
        <f t="shared" si="131"/>
        <v>865.43964210425054</v>
      </c>
      <c r="O423" s="6">
        <f t="shared" si="132"/>
        <v>446.43964210425054</v>
      </c>
      <c r="P423" s="6">
        <f t="shared" si="133"/>
        <v>421.82190918127799</v>
      </c>
      <c r="Q423" s="6">
        <f t="shared" si="134"/>
        <v>0</v>
      </c>
      <c r="R423" s="6">
        <f t="shared" si="135"/>
        <v>0</v>
      </c>
      <c r="S423" s="6">
        <f t="shared" si="136"/>
        <v>421.82190918127799</v>
      </c>
      <c r="T423" s="6" t="str">
        <f>IF(MOD(C423-Settings!$B$32,Settings!$B$33)&lt;Settings!$B$30,"Up","Down")</f>
        <v>Up</v>
      </c>
      <c r="U423" s="6">
        <f>IF(OR(I423&gt;Settings!$B$30,O423&gt;Settings!$B$37),0,1)</f>
        <v>1</v>
      </c>
      <c r="V423" s="6">
        <f>IF(AND(U423=1,O423&lt;=Settings!$B$36),1,0)</f>
        <v>0</v>
      </c>
    </row>
    <row r="424" spans="1:22" x14ac:dyDescent="0.2">
      <c r="A424">
        <f>Arrivals!A424</f>
        <v>4</v>
      </c>
      <c r="B424">
        <f>Arrivals!B424</f>
        <v>59</v>
      </c>
      <c r="C424" s="6">
        <f>Arrivals!F424</f>
        <v>424</v>
      </c>
      <c r="D424" s="6">
        <f>Arrivals!J424</f>
        <v>0.92651310867845704</v>
      </c>
      <c r="E424" s="6">
        <f t="shared" si="137"/>
        <v>859.41964210425056</v>
      </c>
      <c r="F424" s="6">
        <f t="shared" si="128"/>
        <v>859.41964210425056</v>
      </c>
      <c r="G424" s="6">
        <f t="shared" si="129"/>
        <v>860.34615521292903</v>
      </c>
      <c r="H424" s="6">
        <f>Arrivals!L424</f>
        <v>75</v>
      </c>
      <c r="I424" s="6">
        <f>H424*8/ACE_Input!S64+ACE_Input!T64</f>
        <v>6.02</v>
      </c>
      <c r="J424" s="6">
        <f t="shared" si="138"/>
        <v>865.43964210425054</v>
      </c>
      <c r="K424" s="6">
        <f t="shared" si="130"/>
        <v>865.43964210425054</v>
      </c>
      <c r="L424" s="6">
        <f>MOD(K424-Settings!$B$32,Settings!$B$33)</f>
        <v>145.43964210425054</v>
      </c>
      <c r="M424" s="6">
        <f>IF(L424&lt;Settings!$B$30,IF(Settings!$B$30-L424&gt;=I424,K424,K424+(Settings!$B$30-L424)+Settings!$B$31),K424+(Settings!$B$33-L424))</f>
        <v>865.43964210425054</v>
      </c>
      <c r="N424" s="6">
        <f t="shared" si="131"/>
        <v>871.45964210425052</v>
      </c>
      <c r="O424" s="6">
        <f t="shared" si="132"/>
        <v>447.45964210425052</v>
      </c>
      <c r="P424" s="6">
        <f t="shared" si="133"/>
        <v>435.41964210425056</v>
      </c>
      <c r="Q424" s="6">
        <f t="shared" si="134"/>
        <v>5.0934868913215041</v>
      </c>
      <c r="R424" s="6">
        <f t="shared" si="135"/>
        <v>0</v>
      </c>
      <c r="S424" s="6">
        <f t="shared" si="136"/>
        <v>440.51312899557206</v>
      </c>
      <c r="T424" s="6" t="str">
        <f>IF(MOD(C424-Settings!$B$32,Settings!$B$33)&lt;Settings!$B$30,"Up","Down")</f>
        <v>Up</v>
      </c>
      <c r="U424" s="6">
        <f>IF(OR(I424&gt;Settings!$B$30,O424&gt;Settings!$B$37),0,1)</f>
        <v>1</v>
      </c>
      <c r="V424" s="6">
        <f>IF(AND(U424=1,O424&lt;=Settings!$B$36),1,0)</f>
        <v>0</v>
      </c>
    </row>
    <row r="425" spans="1:22" x14ac:dyDescent="0.2">
      <c r="A425">
        <f>Arrivals!A425</f>
        <v>4</v>
      </c>
      <c r="B425">
        <f>Arrivals!B425</f>
        <v>60</v>
      </c>
      <c r="C425" s="6">
        <f>Arrivals!F425</f>
        <v>429</v>
      </c>
      <c r="D425" s="6">
        <f>Arrivals!J425</f>
        <v>21.112884956220235</v>
      </c>
      <c r="E425" s="6">
        <f t="shared" si="137"/>
        <v>860.34615521292903</v>
      </c>
      <c r="F425" s="6">
        <f t="shared" si="128"/>
        <v>860.34615521292903</v>
      </c>
      <c r="G425" s="6">
        <f t="shared" si="129"/>
        <v>881.45904016914926</v>
      </c>
      <c r="H425" s="6">
        <f>Arrivals!L425</f>
        <v>75</v>
      </c>
      <c r="I425" s="6">
        <f>H425*8/ACE_Input!S65+ACE_Input!T65</f>
        <v>6.02</v>
      </c>
      <c r="J425" s="6">
        <f t="shared" si="138"/>
        <v>871.45964210425052</v>
      </c>
      <c r="K425" s="6">
        <f t="shared" si="130"/>
        <v>881.45904016914926</v>
      </c>
      <c r="L425" s="6">
        <f>MOD(K425-Settings!$B$32,Settings!$B$33)</f>
        <v>161.45904016914926</v>
      </c>
      <c r="M425" s="6">
        <f>IF(L425&lt;Settings!$B$30,IF(Settings!$B$30-L425&gt;=I425,K425,K425+(Settings!$B$30-L425)+Settings!$B$31),K425+(Settings!$B$33-L425))</f>
        <v>881.45904016914926</v>
      </c>
      <c r="N425" s="6">
        <f t="shared" si="131"/>
        <v>887.47904016914924</v>
      </c>
      <c r="O425" s="6">
        <f t="shared" si="132"/>
        <v>458.47904016914924</v>
      </c>
      <c r="P425" s="6">
        <f t="shared" si="133"/>
        <v>431.34615521292903</v>
      </c>
      <c r="Q425" s="6">
        <f t="shared" si="134"/>
        <v>0</v>
      </c>
      <c r="R425" s="6">
        <f t="shared" si="135"/>
        <v>0</v>
      </c>
      <c r="S425" s="6">
        <f t="shared" si="136"/>
        <v>431.34615521292903</v>
      </c>
      <c r="T425" s="6" t="str">
        <f>IF(MOD(C425-Settings!$B$32,Settings!$B$33)&lt;Settings!$B$30,"Up","Down")</f>
        <v>Up</v>
      </c>
      <c r="U425" s="6">
        <f>IF(OR(I425&gt;Settings!$B$30,O425&gt;Settings!$B$37),0,1)</f>
        <v>1</v>
      </c>
      <c r="V425" s="6">
        <f>IF(AND(U425=1,O425&lt;=Settings!$B$36),1,0)</f>
        <v>0</v>
      </c>
    </row>
    <row r="426" spans="1:22" x14ac:dyDescent="0.2">
      <c r="A426">
        <f>Arrivals!A426</f>
        <v>4</v>
      </c>
      <c r="B426">
        <f>Arrivals!B426</f>
        <v>61</v>
      </c>
      <c r="C426" s="6">
        <f>Arrivals!F426</f>
        <v>434</v>
      </c>
      <c r="D426" s="6">
        <f>Arrivals!J426</f>
        <v>15.57948354999195</v>
      </c>
      <c r="E426" s="6">
        <f t="shared" si="137"/>
        <v>881.45904016914926</v>
      </c>
      <c r="F426" s="6">
        <f t="shared" si="128"/>
        <v>881.45904016914926</v>
      </c>
      <c r="G426" s="6">
        <f t="shared" si="129"/>
        <v>897.03852371914127</v>
      </c>
      <c r="H426" s="6">
        <f>Arrivals!L426</f>
        <v>75</v>
      </c>
      <c r="I426" s="6">
        <f>H426*8/ACE_Input!S66+ACE_Input!T66</f>
        <v>6.02</v>
      </c>
      <c r="J426" s="6">
        <f t="shared" si="138"/>
        <v>887.47904016914924</v>
      </c>
      <c r="K426" s="6">
        <f t="shared" si="130"/>
        <v>897.03852371914127</v>
      </c>
      <c r="L426" s="6">
        <f>MOD(K426-Settings!$B$32,Settings!$B$33)</f>
        <v>177.03852371914127</v>
      </c>
      <c r="M426" s="6">
        <f>IF(L426&lt;Settings!$B$30,IF(Settings!$B$30-L426&gt;=I426,K426,K426+(Settings!$B$30-L426)+Settings!$B$31),K426+(Settings!$B$33-L426))</f>
        <v>897.03852371914127</v>
      </c>
      <c r="N426" s="6">
        <f t="shared" si="131"/>
        <v>903.05852371914125</v>
      </c>
      <c r="O426" s="6">
        <f t="shared" si="132"/>
        <v>469.05852371914125</v>
      </c>
      <c r="P426" s="6">
        <f t="shared" si="133"/>
        <v>447.45904016914926</v>
      </c>
      <c r="Q426" s="6">
        <f t="shared" si="134"/>
        <v>0</v>
      </c>
      <c r="R426" s="6">
        <f t="shared" si="135"/>
        <v>0</v>
      </c>
      <c r="S426" s="6">
        <f t="shared" si="136"/>
        <v>447.45904016914926</v>
      </c>
      <c r="T426" s="6" t="str">
        <f>IF(MOD(C426-Settings!$B$32,Settings!$B$33)&lt;Settings!$B$30,"Up","Down")</f>
        <v>Up</v>
      </c>
      <c r="U426" s="6">
        <f>IF(OR(I426&gt;Settings!$B$30,O426&gt;Settings!$B$37),0,1)</f>
        <v>1</v>
      </c>
      <c r="V426" s="6">
        <f>IF(AND(U426=1,O426&lt;=Settings!$B$36),1,0)</f>
        <v>0</v>
      </c>
    </row>
    <row r="427" spans="1:22" x14ac:dyDescent="0.2">
      <c r="A427">
        <f>Arrivals!A427</f>
        <v>4</v>
      </c>
      <c r="B427">
        <f>Arrivals!B427</f>
        <v>62</v>
      </c>
      <c r="C427" s="6">
        <f>Arrivals!F427</f>
        <v>439</v>
      </c>
      <c r="D427" s="6">
        <f>Arrivals!J427</f>
        <v>15.286548723510613</v>
      </c>
      <c r="E427" s="6">
        <f t="shared" si="137"/>
        <v>897.03852371914127</v>
      </c>
      <c r="F427" s="6">
        <f t="shared" si="128"/>
        <v>897.03852371914127</v>
      </c>
      <c r="G427" s="6">
        <f t="shared" si="129"/>
        <v>912.32507244265184</v>
      </c>
      <c r="H427" s="6">
        <f>Arrivals!L427</f>
        <v>75</v>
      </c>
      <c r="I427" s="6">
        <f>H427*8/ACE_Input!S67+ACE_Input!T67</f>
        <v>6.02</v>
      </c>
      <c r="J427" s="6">
        <f t="shared" si="138"/>
        <v>903.05852371914125</v>
      </c>
      <c r="K427" s="6">
        <f t="shared" si="130"/>
        <v>912.32507244265184</v>
      </c>
      <c r="L427" s="6">
        <f>MOD(K427-Settings!$B$32,Settings!$B$33)</f>
        <v>192.32507244265184</v>
      </c>
      <c r="M427" s="6">
        <f>IF(L427&lt;Settings!$B$30,IF(Settings!$B$30-L427&gt;=I427,K427,K427+(Settings!$B$30-L427)+Settings!$B$31),K427+(Settings!$B$33-L427))</f>
        <v>912.32507244265184</v>
      </c>
      <c r="N427" s="6">
        <f t="shared" si="131"/>
        <v>918.34507244265183</v>
      </c>
      <c r="O427" s="6">
        <f t="shared" si="132"/>
        <v>479.34507244265183</v>
      </c>
      <c r="P427" s="6">
        <f t="shared" si="133"/>
        <v>458.03852371914127</v>
      </c>
      <c r="Q427" s="6">
        <f t="shared" si="134"/>
        <v>0</v>
      </c>
      <c r="R427" s="6">
        <f t="shared" si="135"/>
        <v>0</v>
      </c>
      <c r="S427" s="6">
        <f t="shared" si="136"/>
        <v>458.03852371914127</v>
      </c>
      <c r="T427" s="6" t="str">
        <f>IF(MOD(C427-Settings!$B$32,Settings!$B$33)&lt;Settings!$B$30,"Up","Down")</f>
        <v>Up</v>
      </c>
      <c r="U427" s="6">
        <f>IF(OR(I427&gt;Settings!$B$30,O427&gt;Settings!$B$37),0,1)</f>
        <v>1</v>
      </c>
      <c r="V427" s="6">
        <f>IF(AND(U427=1,O427&lt;=Settings!$B$36),1,0)</f>
        <v>0</v>
      </c>
    </row>
    <row r="428" spans="1:22" x14ac:dyDescent="0.2">
      <c r="A428">
        <f>Arrivals!A428</f>
        <v>4</v>
      </c>
      <c r="B428">
        <f>Arrivals!B428</f>
        <v>63</v>
      </c>
      <c r="C428" s="6">
        <f>Arrivals!F428</f>
        <v>444</v>
      </c>
      <c r="D428" s="6">
        <f>Arrivals!J428</f>
        <v>4.9206988845639259</v>
      </c>
      <c r="E428" s="6">
        <f t="shared" si="137"/>
        <v>912.32507244265184</v>
      </c>
      <c r="F428" s="6">
        <f t="shared" si="128"/>
        <v>912.32507244265184</v>
      </c>
      <c r="G428" s="6">
        <f t="shared" si="129"/>
        <v>917.24577132721572</v>
      </c>
      <c r="H428" s="6">
        <f>Arrivals!L428</f>
        <v>75</v>
      </c>
      <c r="I428" s="6">
        <f>H428*8/ACE_Input!S68+ACE_Input!T68</f>
        <v>6.02</v>
      </c>
      <c r="J428" s="6">
        <f t="shared" si="138"/>
        <v>918.34507244265183</v>
      </c>
      <c r="K428" s="6">
        <f t="shared" si="130"/>
        <v>918.34507244265183</v>
      </c>
      <c r="L428" s="6">
        <f>MOD(K428-Settings!$B$32,Settings!$B$33)</f>
        <v>198.34507244265183</v>
      </c>
      <c r="M428" s="6">
        <f>IF(L428&lt;Settings!$B$30,IF(Settings!$B$30-L428&gt;=I428,K428,K428+(Settings!$B$30-L428)+Settings!$B$31),K428+(Settings!$B$33-L428))</f>
        <v>918.34507244265183</v>
      </c>
      <c r="N428" s="6">
        <f t="shared" si="131"/>
        <v>924.36507244265181</v>
      </c>
      <c r="O428" s="6">
        <f t="shared" si="132"/>
        <v>480.36507244265181</v>
      </c>
      <c r="P428" s="6">
        <f t="shared" si="133"/>
        <v>468.32507244265184</v>
      </c>
      <c r="Q428" s="6">
        <f t="shared" si="134"/>
        <v>1.0993011154361056</v>
      </c>
      <c r="R428" s="6">
        <f t="shared" si="135"/>
        <v>0</v>
      </c>
      <c r="S428" s="6">
        <f t="shared" si="136"/>
        <v>469.42437355808795</v>
      </c>
      <c r="T428" s="6" t="str">
        <f>IF(MOD(C428-Settings!$B$32,Settings!$B$33)&lt;Settings!$B$30,"Up","Down")</f>
        <v>Up</v>
      </c>
      <c r="U428" s="6">
        <f>IF(OR(I428&gt;Settings!$B$30,O428&gt;Settings!$B$37),0,1)</f>
        <v>1</v>
      </c>
      <c r="V428" s="6">
        <f>IF(AND(U428=1,O428&lt;=Settings!$B$36),1,0)</f>
        <v>0</v>
      </c>
    </row>
    <row r="429" spans="1:22" x14ac:dyDescent="0.2">
      <c r="A429">
        <f>Arrivals!A429</f>
        <v>4</v>
      </c>
      <c r="B429">
        <f>Arrivals!B429</f>
        <v>64</v>
      </c>
      <c r="C429" s="6">
        <f>Arrivals!F429</f>
        <v>449</v>
      </c>
      <c r="D429" s="6">
        <f>Arrivals!J429</f>
        <v>13.667156041551261</v>
      </c>
      <c r="E429" s="6">
        <f t="shared" si="137"/>
        <v>917.24577132721572</v>
      </c>
      <c r="F429" s="6">
        <f t="shared" si="128"/>
        <v>917.24577132721572</v>
      </c>
      <c r="G429" s="6">
        <f t="shared" si="129"/>
        <v>930.91292736876699</v>
      </c>
      <c r="H429" s="6">
        <f>Arrivals!L429</f>
        <v>75</v>
      </c>
      <c r="I429" s="6">
        <f>H429*8/ACE_Input!S69+ACE_Input!T69</f>
        <v>6.02</v>
      </c>
      <c r="J429" s="6">
        <f t="shared" si="138"/>
        <v>924.36507244265181</v>
      </c>
      <c r="K429" s="6">
        <f t="shared" si="130"/>
        <v>930.91292736876699</v>
      </c>
      <c r="L429" s="6">
        <f>MOD(K429-Settings!$B$32,Settings!$B$33)</f>
        <v>210.91292736876699</v>
      </c>
      <c r="M429" s="6">
        <f>IF(L429&lt;Settings!$B$30,IF(Settings!$B$30-L429&gt;=I429,K429,K429+(Settings!$B$30-L429)+Settings!$B$31),K429+(Settings!$B$33-L429))</f>
        <v>930.91292736876699</v>
      </c>
      <c r="N429" s="6">
        <f t="shared" si="131"/>
        <v>936.93292736876697</v>
      </c>
      <c r="O429" s="6">
        <f t="shared" si="132"/>
        <v>487.93292736876697</v>
      </c>
      <c r="P429" s="6">
        <f t="shared" si="133"/>
        <v>468.24577132721572</v>
      </c>
      <c r="Q429" s="6">
        <f t="shared" si="134"/>
        <v>0</v>
      </c>
      <c r="R429" s="6">
        <f t="shared" si="135"/>
        <v>0</v>
      </c>
      <c r="S429" s="6">
        <f t="shared" si="136"/>
        <v>468.24577132721572</v>
      </c>
      <c r="T429" s="6" t="str">
        <f>IF(MOD(C429-Settings!$B$32,Settings!$B$33)&lt;Settings!$B$30,"Up","Down")</f>
        <v>Up</v>
      </c>
      <c r="U429" s="6">
        <f>IF(OR(I429&gt;Settings!$B$30,O429&gt;Settings!$B$37),0,1)</f>
        <v>1</v>
      </c>
      <c r="V429" s="6">
        <f>IF(AND(U429=1,O429&lt;=Settings!$B$36),1,0)</f>
        <v>0</v>
      </c>
    </row>
    <row r="430" spans="1:22" x14ac:dyDescent="0.2">
      <c r="A430">
        <f>Arrivals!A430</f>
        <v>4</v>
      </c>
      <c r="B430">
        <f>Arrivals!B430</f>
        <v>65</v>
      </c>
      <c r="C430" s="6">
        <f>Arrivals!F430</f>
        <v>454</v>
      </c>
      <c r="D430" s="6">
        <f>Arrivals!J430</f>
        <v>0.55736597871281623</v>
      </c>
      <c r="E430" s="6">
        <f t="shared" si="137"/>
        <v>930.91292736876699</v>
      </c>
      <c r="F430" s="6">
        <f t="shared" ref="F430:F461" si="139">MAX(C430,E430)</f>
        <v>930.91292736876699</v>
      </c>
      <c r="G430" s="6">
        <f t="shared" ref="G430:G461" si="140">F430+D430</f>
        <v>931.47029334747981</v>
      </c>
      <c r="H430" s="6">
        <f>Arrivals!L430</f>
        <v>75</v>
      </c>
      <c r="I430" s="6">
        <f>H430*8/ACE_Input!S70+ACE_Input!T70</f>
        <v>6.02</v>
      </c>
      <c r="J430" s="6">
        <f t="shared" si="138"/>
        <v>936.93292736876697</v>
      </c>
      <c r="K430" s="6">
        <f t="shared" ref="K430:K461" si="141">MAX(G430,J430)</f>
        <v>936.93292736876697</v>
      </c>
      <c r="L430" s="6">
        <f>MOD(K430-Settings!$B$32,Settings!$B$33)</f>
        <v>216.93292736876697</v>
      </c>
      <c r="M430" s="6">
        <f>IF(L430&lt;Settings!$B$30,IF(Settings!$B$30-L430&gt;=I430,K430,K430+(Settings!$B$30-L430)+Settings!$B$31),K430+(Settings!$B$33-L430))</f>
        <v>936.93292736876697</v>
      </c>
      <c r="N430" s="6">
        <f t="shared" ref="N430:N461" si="142">M430+I430</f>
        <v>942.95292736876695</v>
      </c>
      <c r="O430" s="6">
        <f t="shared" ref="O430:O461" si="143">N430-C430</f>
        <v>488.95292736876695</v>
      </c>
      <c r="P430" s="6">
        <f t="shared" ref="P430:P465" si="144">F430-C430</f>
        <v>476.91292736876699</v>
      </c>
      <c r="Q430" s="6">
        <f t="shared" ref="Q430:Q465" si="145">K430-G430</f>
        <v>5.4626340212871582</v>
      </c>
      <c r="R430" s="6">
        <f t="shared" ref="R430:R465" si="146">M430-K430</f>
        <v>0</v>
      </c>
      <c r="S430" s="6">
        <f t="shared" ref="S430:S461" si="147">P430+Q430+R430</f>
        <v>482.37556139005414</v>
      </c>
      <c r="T430" s="6" t="str">
        <f>IF(MOD(C430-Settings!$B$32,Settings!$B$33)&lt;Settings!$B$30,"Up","Down")</f>
        <v>Up</v>
      </c>
      <c r="U430" s="6">
        <f>IF(OR(I430&gt;Settings!$B$30,O430&gt;Settings!$B$37),0,1)</f>
        <v>1</v>
      </c>
      <c r="V430" s="6">
        <f>IF(AND(U430=1,O430&lt;=Settings!$B$36),1,0)</f>
        <v>0</v>
      </c>
    </row>
    <row r="431" spans="1:22" x14ac:dyDescent="0.2">
      <c r="A431">
        <f>Arrivals!A431</f>
        <v>4</v>
      </c>
      <c r="B431">
        <f>Arrivals!B431</f>
        <v>66</v>
      </c>
      <c r="C431" s="6">
        <f>Arrivals!F431</f>
        <v>459</v>
      </c>
      <c r="D431" s="6">
        <f>Arrivals!J431</f>
        <v>18.487627070735321</v>
      </c>
      <c r="E431" s="6">
        <f t="shared" ref="E431:E465" si="148">G430</f>
        <v>931.47029334747981</v>
      </c>
      <c r="F431" s="6">
        <f t="shared" si="139"/>
        <v>931.47029334747981</v>
      </c>
      <c r="G431" s="6">
        <f t="shared" si="140"/>
        <v>949.95792041821517</v>
      </c>
      <c r="H431" s="6">
        <f>Arrivals!L431</f>
        <v>75</v>
      </c>
      <c r="I431" s="6">
        <f>H431*8/ACE_Input!S71+ACE_Input!T71</f>
        <v>6.02</v>
      </c>
      <c r="J431" s="6">
        <f t="shared" ref="J431:J465" si="149">N430</f>
        <v>942.95292736876695</v>
      </c>
      <c r="K431" s="6">
        <f t="shared" si="141"/>
        <v>949.95792041821517</v>
      </c>
      <c r="L431" s="6">
        <f>MOD(K431-Settings!$B$32,Settings!$B$33)</f>
        <v>229.95792041821517</v>
      </c>
      <c r="M431" s="6">
        <f>IF(L431&lt;Settings!$B$30,IF(Settings!$B$30-L431&gt;=I431,K431,K431+(Settings!$B$30-L431)+Settings!$B$31),K431+(Settings!$B$33-L431))</f>
        <v>949.95792041821517</v>
      </c>
      <c r="N431" s="6">
        <f t="shared" si="142"/>
        <v>955.97792041821515</v>
      </c>
      <c r="O431" s="6">
        <f t="shared" si="143"/>
        <v>496.97792041821515</v>
      </c>
      <c r="P431" s="6">
        <f t="shared" si="144"/>
        <v>472.47029334747981</v>
      </c>
      <c r="Q431" s="6">
        <f t="shared" si="145"/>
        <v>0</v>
      </c>
      <c r="R431" s="6">
        <f t="shared" si="146"/>
        <v>0</v>
      </c>
      <c r="S431" s="6">
        <f t="shared" si="147"/>
        <v>472.47029334747981</v>
      </c>
      <c r="T431" s="6" t="str">
        <f>IF(MOD(C431-Settings!$B$32,Settings!$B$33)&lt;Settings!$B$30,"Up","Down")</f>
        <v>Up</v>
      </c>
      <c r="U431" s="6">
        <f>IF(OR(I431&gt;Settings!$B$30,O431&gt;Settings!$B$37),0,1)</f>
        <v>1</v>
      </c>
      <c r="V431" s="6">
        <f>IF(AND(U431=1,O431&lt;=Settings!$B$36),1,0)</f>
        <v>0</v>
      </c>
    </row>
    <row r="432" spans="1:22" x14ac:dyDescent="0.2">
      <c r="A432">
        <f>Arrivals!A432</f>
        <v>4</v>
      </c>
      <c r="B432">
        <f>Arrivals!B432</f>
        <v>67</v>
      </c>
      <c r="C432" s="6">
        <f>Arrivals!F432</f>
        <v>474</v>
      </c>
      <c r="D432" s="6">
        <f>Arrivals!J432</f>
        <v>2.4724030022436834</v>
      </c>
      <c r="E432" s="6">
        <f t="shared" si="148"/>
        <v>949.95792041821517</v>
      </c>
      <c r="F432" s="6">
        <f t="shared" si="139"/>
        <v>949.95792041821517</v>
      </c>
      <c r="G432" s="6">
        <f t="shared" si="140"/>
        <v>952.43032342045888</v>
      </c>
      <c r="H432" s="6">
        <f>Arrivals!L432</f>
        <v>75</v>
      </c>
      <c r="I432" s="6">
        <f>H432*8/ACE_Input!S72+ACE_Input!T72</f>
        <v>6.02</v>
      </c>
      <c r="J432" s="6">
        <f t="shared" si="149"/>
        <v>955.97792041821515</v>
      </c>
      <c r="K432" s="6">
        <f t="shared" si="141"/>
        <v>955.97792041821515</v>
      </c>
      <c r="L432" s="6">
        <f>MOD(K432-Settings!$B$32,Settings!$B$33)</f>
        <v>235.97792041821515</v>
      </c>
      <c r="M432" s="6">
        <f>IF(L432&lt;Settings!$B$30,IF(Settings!$B$30-L432&gt;=I432,K432,K432+(Settings!$B$30-L432)+Settings!$B$31),K432+(Settings!$B$33-L432))</f>
        <v>955.97792041821515</v>
      </c>
      <c r="N432" s="6">
        <f t="shared" si="142"/>
        <v>961.99792041821513</v>
      </c>
      <c r="O432" s="6">
        <f t="shared" si="143"/>
        <v>487.99792041821513</v>
      </c>
      <c r="P432" s="6">
        <f t="shared" si="144"/>
        <v>475.95792041821517</v>
      </c>
      <c r="Q432" s="6">
        <f t="shared" si="145"/>
        <v>3.5475969977562727</v>
      </c>
      <c r="R432" s="6">
        <f t="shared" si="146"/>
        <v>0</v>
      </c>
      <c r="S432" s="6">
        <f t="shared" si="147"/>
        <v>479.50551741597144</v>
      </c>
      <c r="T432" s="6" t="str">
        <f>IF(MOD(C432-Settings!$B$32,Settings!$B$33)&lt;Settings!$B$30,"Up","Down")</f>
        <v>Up</v>
      </c>
      <c r="U432" s="6">
        <f>IF(OR(I432&gt;Settings!$B$30,O432&gt;Settings!$B$37),0,1)</f>
        <v>1</v>
      </c>
      <c r="V432" s="6">
        <f>IF(AND(U432=1,O432&lt;=Settings!$B$36),1,0)</f>
        <v>0</v>
      </c>
    </row>
    <row r="433" spans="1:22" x14ac:dyDescent="0.2">
      <c r="A433">
        <f>Arrivals!A433</f>
        <v>4</v>
      </c>
      <c r="B433">
        <f>Arrivals!B433</f>
        <v>68</v>
      </c>
      <c r="C433" s="6">
        <f>Arrivals!F433</f>
        <v>479</v>
      </c>
      <c r="D433" s="6">
        <f>Arrivals!J433</f>
        <v>5.4843418475207564</v>
      </c>
      <c r="E433" s="6">
        <f t="shared" si="148"/>
        <v>952.43032342045888</v>
      </c>
      <c r="F433" s="6">
        <f t="shared" si="139"/>
        <v>952.43032342045888</v>
      </c>
      <c r="G433" s="6">
        <f t="shared" si="140"/>
        <v>957.91466526797967</v>
      </c>
      <c r="H433" s="6">
        <f>Arrivals!L433</f>
        <v>75</v>
      </c>
      <c r="I433" s="6">
        <f>H433*8/ACE_Input!S73+ACE_Input!T73</f>
        <v>6.02</v>
      </c>
      <c r="J433" s="6">
        <f t="shared" si="149"/>
        <v>961.99792041821513</v>
      </c>
      <c r="K433" s="6">
        <f t="shared" si="141"/>
        <v>961.99792041821513</v>
      </c>
      <c r="L433" s="6">
        <f>MOD(K433-Settings!$B$32,Settings!$B$33)</f>
        <v>241.99792041821513</v>
      </c>
      <c r="M433" s="6">
        <f>IF(L433&lt;Settings!$B$30,IF(Settings!$B$30-L433&gt;=I433,K433,K433+(Settings!$B$30-L433)+Settings!$B$31),K433+(Settings!$B$33-L433))</f>
        <v>961.99792041821513</v>
      </c>
      <c r="N433" s="6">
        <f t="shared" si="142"/>
        <v>968.01792041821511</v>
      </c>
      <c r="O433" s="6">
        <f t="shared" si="143"/>
        <v>489.01792041821511</v>
      </c>
      <c r="P433" s="6">
        <f t="shared" si="144"/>
        <v>473.43032342045888</v>
      </c>
      <c r="Q433" s="6">
        <f t="shared" si="145"/>
        <v>4.083255150235459</v>
      </c>
      <c r="R433" s="6">
        <f t="shared" si="146"/>
        <v>0</v>
      </c>
      <c r="S433" s="6">
        <f t="shared" si="147"/>
        <v>477.51357857069434</v>
      </c>
      <c r="T433" s="6" t="str">
        <f>IF(MOD(C433-Settings!$B$32,Settings!$B$33)&lt;Settings!$B$30,"Up","Down")</f>
        <v>Up</v>
      </c>
      <c r="U433" s="6">
        <f>IF(OR(I433&gt;Settings!$B$30,O433&gt;Settings!$B$37),0,1)</f>
        <v>1</v>
      </c>
      <c r="V433" s="6">
        <f>IF(AND(U433=1,O433&lt;=Settings!$B$36),1,0)</f>
        <v>0</v>
      </c>
    </row>
    <row r="434" spans="1:22" x14ac:dyDescent="0.2">
      <c r="A434">
        <f>Arrivals!A434</f>
        <v>4</v>
      </c>
      <c r="B434">
        <f>Arrivals!B434</f>
        <v>69</v>
      </c>
      <c r="C434" s="6">
        <f>Arrivals!F434</f>
        <v>494</v>
      </c>
      <c r="D434" s="6">
        <f>Arrivals!J434</f>
        <v>6.9830933532852573</v>
      </c>
      <c r="E434" s="6">
        <f t="shared" si="148"/>
        <v>957.91466526797967</v>
      </c>
      <c r="F434" s="6">
        <f t="shared" si="139"/>
        <v>957.91466526797967</v>
      </c>
      <c r="G434" s="6">
        <f t="shared" si="140"/>
        <v>964.89775862126498</v>
      </c>
      <c r="H434" s="6">
        <f>Arrivals!L434</f>
        <v>75</v>
      </c>
      <c r="I434" s="6">
        <f>H434*8/ACE_Input!S74+ACE_Input!T74</f>
        <v>6.02</v>
      </c>
      <c r="J434" s="6">
        <f t="shared" si="149"/>
        <v>968.01792041821511</v>
      </c>
      <c r="K434" s="6">
        <f t="shared" si="141"/>
        <v>968.01792041821511</v>
      </c>
      <c r="L434" s="6">
        <f>MOD(K434-Settings!$B$32,Settings!$B$33)</f>
        <v>248.01792041821511</v>
      </c>
      <c r="M434" s="6">
        <f>IF(L434&lt;Settings!$B$30,IF(Settings!$B$30-L434&gt;=I434,K434,K434+(Settings!$B$30-L434)+Settings!$B$31),K434+(Settings!$B$33-L434))</f>
        <v>968.01792041821511</v>
      </c>
      <c r="N434" s="6">
        <f t="shared" si="142"/>
        <v>974.03792041821509</v>
      </c>
      <c r="O434" s="6">
        <f t="shared" si="143"/>
        <v>480.03792041821509</v>
      </c>
      <c r="P434" s="6">
        <f t="shared" si="144"/>
        <v>463.91466526797967</v>
      </c>
      <c r="Q434" s="6">
        <f t="shared" si="145"/>
        <v>3.1201617969501285</v>
      </c>
      <c r="R434" s="6">
        <f t="shared" si="146"/>
        <v>0</v>
      </c>
      <c r="S434" s="6">
        <f t="shared" si="147"/>
        <v>467.0348270649298</v>
      </c>
      <c r="T434" s="6" t="str">
        <f>IF(MOD(C434-Settings!$B$32,Settings!$B$33)&lt;Settings!$B$30,"Up","Down")</f>
        <v>Up</v>
      </c>
      <c r="U434" s="6">
        <f>IF(OR(I434&gt;Settings!$B$30,O434&gt;Settings!$B$37),0,1)</f>
        <v>1</v>
      </c>
      <c r="V434" s="6">
        <f>IF(AND(U434=1,O434&lt;=Settings!$B$36),1,0)</f>
        <v>0</v>
      </c>
    </row>
    <row r="435" spans="1:22" x14ac:dyDescent="0.2">
      <c r="A435">
        <f>Arrivals!A435</f>
        <v>4</v>
      </c>
      <c r="B435">
        <f>Arrivals!B435</f>
        <v>70</v>
      </c>
      <c r="C435" s="6">
        <f>Arrivals!F435</f>
        <v>499</v>
      </c>
      <c r="D435" s="6">
        <f>Arrivals!J435</f>
        <v>25.461630405727256</v>
      </c>
      <c r="E435" s="6">
        <f t="shared" si="148"/>
        <v>964.89775862126498</v>
      </c>
      <c r="F435" s="6">
        <f t="shared" si="139"/>
        <v>964.89775862126498</v>
      </c>
      <c r="G435" s="6">
        <f t="shared" si="140"/>
        <v>990.35938902699229</v>
      </c>
      <c r="H435" s="6">
        <f>Arrivals!L435</f>
        <v>75</v>
      </c>
      <c r="I435" s="6">
        <f>H435*8/ACE_Input!S75+ACE_Input!T75</f>
        <v>6.02</v>
      </c>
      <c r="J435" s="6">
        <f t="shared" si="149"/>
        <v>974.03792041821509</v>
      </c>
      <c r="K435" s="6">
        <f t="shared" si="141"/>
        <v>990.35938902699229</v>
      </c>
      <c r="L435" s="6">
        <f>MOD(K435-Settings!$B$32,Settings!$B$33)</f>
        <v>270.35938902699229</v>
      </c>
      <c r="M435" s="6">
        <f>IF(L435&lt;Settings!$B$30,IF(Settings!$B$30-L435&gt;=I435,K435,K435+(Settings!$B$30-L435)+Settings!$B$31),K435+(Settings!$B$33-L435))</f>
        <v>990.35938902699229</v>
      </c>
      <c r="N435" s="6">
        <f t="shared" si="142"/>
        <v>996.37938902699227</v>
      </c>
      <c r="O435" s="6">
        <f t="shared" si="143"/>
        <v>497.37938902699227</v>
      </c>
      <c r="P435" s="6">
        <f t="shared" si="144"/>
        <v>465.89775862126498</v>
      </c>
      <c r="Q435" s="6">
        <f t="shared" si="145"/>
        <v>0</v>
      </c>
      <c r="R435" s="6">
        <f t="shared" si="146"/>
        <v>0</v>
      </c>
      <c r="S435" s="6">
        <f t="shared" si="147"/>
        <v>465.89775862126498</v>
      </c>
      <c r="T435" s="6" t="str">
        <f>IF(MOD(C435-Settings!$B$32,Settings!$B$33)&lt;Settings!$B$30,"Up","Down")</f>
        <v>Up</v>
      </c>
      <c r="U435" s="6">
        <f>IF(OR(I435&gt;Settings!$B$30,O435&gt;Settings!$B$37),0,1)</f>
        <v>1</v>
      </c>
      <c r="V435" s="6">
        <f>IF(AND(U435=1,O435&lt;=Settings!$B$36),1,0)</f>
        <v>0</v>
      </c>
    </row>
    <row r="436" spans="1:22" x14ac:dyDescent="0.2">
      <c r="A436">
        <f>Arrivals!A436</f>
        <v>4</v>
      </c>
      <c r="B436">
        <f>Arrivals!B436</f>
        <v>71</v>
      </c>
      <c r="C436" s="6">
        <f>Arrivals!F436</f>
        <v>504</v>
      </c>
      <c r="D436" s="6">
        <f>Arrivals!J436</f>
        <v>3.6380116322134701</v>
      </c>
      <c r="E436" s="6">
        <f t="shared" si="148"/>
        <v>990.35938902699229</v>
      </c>
      <c r="F436" s="6">
        <f t="shared" si="139"/>
        <v>990.35938902699229</v>
      </c>
      <c r="G436" s="6">
        <f t="shared" si="140"/>
        <v>993.99740065920571</v>
      </c>
      <c r="H436" s="6">
        <f>Arrivals!L436</f>
        <v>75</v>
      </c>
      <c r="I436" s="6">
        <f>H436*8/ACE_Input!S76+ACE_Input!T76</f>
        <v>6.02</v>
      </c>
      <c r="J436" s="6">
        <f t="shared" si="149"/>
        <v>996.37938902699227</v>
      </c>
      <c r="K436" s="6">
        <f t="shared" si="141"/>
        <v>996.37938902699227</v>
      </c>
      <c r="L436" s="6">
        <f>MOD(K436-Settings!$B$32,Settings!$B$33)</f>
        <v>276.37938902699227</v>
      </c>
      <c r="M436" s="6">
        <f>IF(L436&lt;Settings!$B$30,IF(Settings!$B$30-L436&gt;=I436,K436,K436+(Settings!$B$30-L436)+Settings!$B$31),K436+(Settings!$B$33-L436))</f>
        <v>996.37938902699227</v>
      </c>
      <c r="N436" s="6">
        <f t="shared" si="142"/>
        <v>1002.3993890269923</v>
      </c>
      <c r="O436" s="6">
        <f t="shared" si="143"/>
        <v>498.39938902699225</v>
      </c>
      <c r="P436" s="6">
        <f t="shared" si="144"/>
        <v>486.35938902699229</v>
      </c>
      <c r="Q436" s="6">
        <f t="shared" si="145"/>
        <v>2.3819883677865619</v>
      </c>
      <c r="R436" s="6">
        <f t="shared" si="146"/>
        <v>0</v>
      </c>
      <c r="S436" s="6">
        <f t="shared" si="147"/>
        <v>488.74137739477885</v>
      </c>
      <c r="T436" s="6" t="str">
        <f>IF(MOD(C436-Settings!$B$32,Settings!$B$33)&lt;Settings!$B$30,"Up","Down")</f>
        <v>Up</v>
      </c>
      <c r="U436" s="6">
        <f>IF(OR(I436&gt;Settings!$B$30,O436&gt;Settings!$B$37),0,1)</f>
        <v>1</v>
      </c>
      <c r="V436" s="6">
        <f>IF(AND(U436=1,O436&lt;=Settings!$B$36),1,0)</f>
        <v>0</v>
      </c>
    </row>
    <row r="437" spans="1:22" x14ac:dyDescent="0.2">
      <c r="A437">
        <f>Arrivals!A437</f>
        <v>4</v>
      </c>
      <c r="B437">
        <f>Arrivals!B437</f>
        <v>72</v>
      </c>
      <c r="C437" s="6">
        <f>Arrivals!F437</f>
        <v>509</v>
      </c>
      <c r="D437" s="6">
        <f>Arrivals!J437</f>
        <v>7.0824359051955375</v>
      </c>
      <c r="E437" s="6">
        <f t="shared" si="148"/>
        <v>993.99740065920571</v>
      </c>
      <c r="F437" s="6">
        <f t="shared" si="139"/>
        <v>993.99740065920571</v>
      </c>
      <c r="G437" s="6">
        <f t="shared" si="140"/>
        <v>1001.0798365644013</v>
      </c>
      <c r="H437" s="6">
        <f>Arrivals!L437</f>
        <v>75</v>
      </c>
      <c r="I437" s="6">
        <f>H437*8/ACE_Input!S77+ACE_Input!T77</f>
        <v>6.02</v>
      </c>
      <c r="J437" s="6">
        <f t="shared" si="149"/>
        <v>1002.3993890269923</v>
      </c>
      <c r="K437" s="6">
        <f t="shared" si="141"/>
        <v>1002.3993890269923</v>
      </c>
      <c r="L437" s="6">
        <f>MOD(K437-Settings!$B$32,Settings!$B$33)</f>
        <v>282.39938902699225</v>
      </c>
      <c r="M437" s="6">
        <f>IF(L437&lt;Settings!$B$30,IF(Settings!$B$30-L437&gt;=I437,K437,K437+(Settings!$B$30-L437)+Settings!$B$31),K437+(Settings!$B$33-L437))</f>
        <v>1002.3993890269923</v>
      </c>
      <c r="N437" s="6">
        <f t="shared" si="142"/>
        <v>1008.4193890269922</v>
      </c>
      <c r="O437" s="6">
        <f t="shared" si="143"/>
        <v>499.41938902699223</v>
      </c>
      <c r="P437" s="6">
        <f t="shared" si="144"/>
        <v>484.99740065920571</v>
      </c>
      <c r="Q437" s="6">
        <f t="shared" si="145"/>
        <v>1.3195524625909911</v>
      </c>
      <c r="R437" s="6">
        <f t="shared" si="146"/>
        <v>0</v>
      </c>
      <c r="S437" s="6">
        <f t="shared" si="147"/>
        <v>486.3169531217967</v>
      </c>
      <c r="T437" s="6" t="str">
        <f>IF(MOD(C437-Settings!$B$32,Settings!$B$33)&lt;Settings!$B$30,"Up","Down")</f>
        <v>Up</v>
      </c>
      <c r="U437" s="6">
        <f>IF(OR(I437&gt;Settings!$B$30,O437&gt;Settings!$B$37),0,1)</f>
        <v>1</v>
      </c>
      <c r="V437" s="6">
        <f>IF(AND(U437=1,O437&lt;=Settings!$B$36),1,0)</f>
        <v>0</v>
      </c>
    </row>
    <row r="438" spans="1:22" x14ac:dyDescent="0.2">
      <c r="A438">
        <f>Arrivals!A438</f>
        <v>4</v>
      </c>
      <c r="B438">
        <f>Arrivals!B438</f>
        <v>73</v>
      </c>
      <c r="C438" s="6">
        <f>Arrivals!F438</f>
        <v>514</v>
      </c>
      <c r="D438" s="6">
        <f>Arrivals!J438</f>
        <v>4.4932741837296115</v>
      </c>
      <c r="E438" s="6">
        <f t="shared" si="148"/>
        <v>1001.0798365644013</v>
      </c>
      <c r="F438" s="6">
        <f t="shared" si="139"/>
        <v>1001.0798365644013</v>
      </c>
      <c r="G438" s="6">
        <f t="shared" si="140"/>
        <v>1005.5731107481308</v>
      </c>
      <c r="H438" s="6">
        <f>Arrivals!L438</f>
        <v>75</v>
      </c>
      <c r="I438" s="6">
        <f>H438*8/ACE_Input!S78+ACE_Input!T78</f>
        <v>6.02</v>
      </c>
      <c r="J438" s="6">
        <f t="shared" si="149"/>
        <v>1008.4193890269922</v>
      </c>
      <c r="K438" s="6">
        <f t="shared" si="141"/>
        <v>1008.4193890269922</v>
      </c>
      <c r="L438" s="6">
        <f>MOD(K438-Settings!$B$32,Settings!$B$33)</f>
        <v>288.41938902699223</v>
      </c>
      <c r="M438" s="6">
        <f>IF(L438&lt;Settings!$B$30,IF(Settings!$B$30-L438&gt;=I438,K438,K438+(Settings!$B$30-L438)+Settings!$B$31),K438+(Settings!$B$33-L438))</f>
        <v>1008.4193890269922</v>
      </c>
      <c r="N438" s="6">
        <f t="shared" si="142"/>
        <v>1014.4393890269922</v>
      </c>
      <c r="O438" s="6">
        <f t="shared" si="143"/>
        <v>500.43938902699222</v>
      </c>
      <c r="P438" s="6">
        <f t="shared" si="144"/>
        <v>487.07983656440126</v>
      </c>
      <c r="Q438" s="6">
        <f t="shared" si="145"/>
        <v>2.8462782788614049</v>
      </c>
      <c r="R438" s="6">
        <f t="shared" si="146"/>
        <v>0</v>
      </c>
      <c r="S438" s="6">
        <f t="shared" si="147"/>
        <v>489.92611484326267</v>
      </c>
      <c r="T438" s="6" t="str">
        <f>IF(MOD(C438-Settings!$B$32,Settings!$B$33)&lt;Settings!$B$30,"Up","Down")</f>
        <v>Up</v>
      </c>
      <c r="U438" s="6">
        <f>IF(OR(I438&gt;Settings!$B$30,O438&gt;Settings!$B$37),0,1)</f>
        <v>1</v>
      </c>
      <c r="V438" s="6">
        <f>IF(AND(U438=1,O438&lt;=Settings!$B$36),1,0)</f>
        <v>0</v>
      </c>
    </row>
    <row r="439" spans="1:22" x14ac:dyDescent="0.2">
      <c r="A439">
        <f>Arrivals!A439</f>
        <v>4</v>
      </c>
      <c r="B439">
        <f>Arrivals!B439</f>
        <v>74</v>
      </c>
      <c r="C439" s="6">
        <f>Arrivals!F439</f>
        <v>519</v>
      </c>
      <c r="D439" s="6">
        <f>Arrivals!J439</f>
        <v>3.4997375252108505</v>
      </c>
      <c r="E439" s="6">
        <f t="shared" si="148"/>
        <v>1005.5731107481308</v>
      </c>
      <c r="F439" s="6">
        <f t="shared" si="139"/>
        <v>1005.5731107481308</v>
      </c>
      <c r="G439" s="6">
        <f t="shared" si="140"/>
        <v>1009.0728482733417</v>
      </c>
      <c r="H439" s="6">
        <f>Arrivals!L439</f>
        <v>75</v>
      </c>
      <c r="I439" s="6">
        <f>H439*8/ACE_Input!S79+ACE_Input!T79</f>
        <v>6.02</v>
      </c>
      <c r="J439" s="6">
        <f t="shared" si="149"/>
        <v>1014.4393890269922</v>
      </c>
      <c r="K439" s="6">
        <f t="shared" si="141"/>
        <v>1014.4393890269922</v>
      </c>
      <c r="L439" s="6">
        <f>MOD(K439-Settings!$B$32,Settings!$B$33)</f>
        <v>294.43938902699222</v>
      </c>
      <c r="M439" s="6">
        <f>IF(L439&lt;Settings!$B$30,IF(Settings!$B$30-L439&gt;=I439,K439,K439+(Settings!$B$30-L439)+Settings!$B$31),K439+(Settings!$B$33-L439))</f>
        <v>1014.4393890269922</v>
      </c>
      <c r="N439" s="6">
        <f t="shared" si="142"/>
        <v>1020.4593890269922</v>
      </c>
      <c r="O439" s="6">
        <f t="shared" si="143"/>
        <v>501.4593890269922</v>
      </c>
      <c r="P439" s="6">
        <f t="shared" si="144"/>
        <v>486.57311074813083</v>
      </c>
      <c r="Q439" s="6">
        <f t="shared" si="145"/>
        <v>5.3665407536504972</v>
      </c>
      <c r="R439" s="6">
        <f t="shared" si="146"/>
        <v>0</v>
      </c>
      <c r="S439" s="6">
        <f t="shared" si="147"/>
        <v>491.93965150178133</v>
      </c>
      <c r="T439" s="6" t="str">
        <f>IF(MOD(C439-Settings!$B$32,Settings!$B$33)&lt;Settings!$B$30,"Up","Down")</f>
        <v>Up</v>
      </c>
      <c r="U439" s="6">
        <f>IF(OR(I439&gt;Settings!$B$30,O439&gt;Settings!$B$37),0,1)</f>
        <v>1</v>
      </c>
      <c r="V439" s="6">
        <f>IF(AND(U439=1,O439&lt;=Settings!$B$36),1,0)</f>
        <v>0</v>
      </c>
    </row>
    <row r="440" spans="1:22" x14ac:dyDescent="0.2">
      <c r="A440">
        <f>Arrivals!A440</f>
        <v>4</v>
      </c>
      <c r="B440">
        <f>Arrivals!B440</f>
        <v>75</v>
      </c>
      <c r="C440" s="6">
        <f>Arrivals!F440</f>
        <v>524</v>
      </c>
      <c r="D440" s="6">
        <f>Arrivals!J440</f>
        <v>11.063249875021402</v>
      </c>
      <c r="E440" s="6">
        <f t="shared" si="148"/>
        <v>1009.0728482733417</v>
      </c>
      <c r="F440" s="6">
        <f t="shared" si="139"/>
        <v>1009.0728482733417</v>
      </c>
      <c r="G440" s="6">
        <f t="shared" si="140"/>
        <v>1020.1360981483631</v>
      </c>
      <c r="H440" s="6">
        <f>Arrivals!L440</f>
        <v>75</v>
      </c>
      <c r="I440" s="6">
        <f>H440*8/ACE_Input!S80+ACE_Input!T80</f>
        <v>6.02</v>
      </c>
      <c r="J440" s="6">
        <f t="shared" si="149"/>
        <v>1020.4593890269922</v>
      </c>
      <c r="K440" s="6">
        <f t="shared" si="141"/>
        <v>1020.4593890269922</v>
      </c>
      <c r="L440" s="6">
        <f>MOD(K440-Settings!$B$32,Settings!$B$33)</f>
        <v>300.4593890269922</v>
      </c>
      <c r="M440" s="6">
        <f>IF(L440&lt;Settings!$B$30,IF(Settings!$B$30-L440&gt;=I440,K440,K440+(Settings!$B$30-L440)+Settings!$B$31),K440+(Settings!$B$33-L440))</f>
        <v>1020.4593890269922</v>
      </c>
      <c r="N440" s="6">
        <f t="shared" si="142"/>
        <v>1026.4793890269923</v>
      </c>
      <c r="O440" s="6">
        <f t="shared" si="143"/>
        <v>502.47938902699229</v>
      </c>
      <c r="P440" s="6">
        <f t="shared" si="144"/>
        <v>485.07284827334172</v>
      </c>
      <c r="Q440" s="6">
        <f t="shared" si="145"/>
        <v>0.3232908786291091</v>
      </c>
      <c r="R440" s="6">
        <f t="shared" si="146"/>
        <v>0</v>
      </c>
      <c r="S440" s="6">
        <f t="shared" si="147"/>
        <v>485.39613915197083</v>
      </c>
      <c r="T440" s="6" t="str">
        <f>IF(MOD(C440-Settings!$B$32,Settings!$B$33)&lt;Settings!$B$30,"Up","Down")</f>
        <v>Up</v>
      </c>
      <c r="U440" s="6">
        <f>IF(OR(I440&gt;Settings!$B$30,O440&gt;Settings!$B$37),0,1)</f>
        <v>1</v>
      </c>
      <c r="V440" s="6">
        <f>IF(AND(U440=1,O440&lt;=Settings!$B$36),1,0)</f>
        <v>0</v>
      </c>
    </row>
    <row r="441" spans="1:22" x14ac:dyDescent="0.2">
      <c r="A441">
        <f>Arrivals!A441</f>
        <v>4</v>
      </c>
      <c r="B441">
        <f>Arrivals!B441</f>
        <v>76</v>
      </c>
      <c r="C441" s="6">
        <f>Arrivals!F441</f>
        <v>529</v>
      </c>
      <c r="D441" s="6">
        <f>Arrivals!J441</f>
        <v>0.67939057318391638</v>
      </c>
      <c r="E441" s="6">
        <f t="shared" si="148"/>
        <v>1020.1360981483631</v>
      </c>
      <c r="F441" s="6">
        <f t="shared" si="139"/>
        <v>1020.1360981483631</v>
      </c>
      <c r="G441" s="6">
        <f t="shared" si="140"/>
        <v>1020.815488721547</v>
      </c>
      <c r="H441" s="6">
        <f>Arrivals!L441</f>
        <v>75</v>
      </c>
      <c r="I441" s="6">
        <f>H441*8/ACE_Input!S81+ACE_Input!T81</f>
        <v>6.02</v>
      </c>
      <c r="J441" s="6">
        <f t="shared" si="149"/>
        <v>1026.4793890269923</v>
      </c>
      <c r="K441" s="6">
        <f t="shared" si="141"/>
        <v>1026.4793890269923</v>
      </c>
      <c r="L441" s="6">
        <f>MOD(K441-Settings!$B$32,Settings!$B$33)</f>
        <v>306.47938902699229</v>
      </c>
      <c r="M441" s="6">
        <f>IF(L441&lt;Settings!$B$30,IF(Settings!$B$30-L441&gt;=I441,K441,K441+(Settings!$B$30-L441)+Settings!$B$31),K441+(Settings!$B$33-L441))</f>
        <v>1026.4793890269923</v>
      </c>
      <c r="N441" s="6">
        <f t="shared" si="142"/>
        <v>1032.4993890269923</v>
      </c>
      <c r="O441" s="6">
        <f t="shared" si="143"/>
        <v>503.49938902699228</v>
      </c>
      <c r="P441" s="6">
        <f t="shared" si="144"/>
        <v>491.13609814836309</v>
      </c>
      <c r="Q441" s="6">
        <f t="shared" si="145"/>
        <v>5.6639003054452814</v>
      </c>
      <c r="R441" s="6">
        <f t="shared" si="146"/>
        <v>0</v>
      </c>
      <c r="S441" s="6">
        <f t="shared" si="147"/>
        <v>496.79999845380837</v>
      </c>
      <c r="T441" s="6" t="str">
        <f>IF(MOD(C441-Settings!$B$32,Settings!$B$33)&lt;Settings!$B$30,"Up","Down")</f>
        <v>Up</v>
      </c>
      <c r="U441" s="6">
        <f>IF(OR(I441&gt;Settings!$B$30,O441&gt;Settings!$B$37),0,1)</f>
        <v>1</v>
      </c>
      <c r="V441" s="6">
        <f>IF(AND(U441=1,O441&lt;=Settings!$B$36),1,0)</f>
        <v>0</v>
      </c>
    </row>
    <row r="442" spans="1:22" x14ac:dyDescent="0.2">
      <c r="A442">
        <f>Arrivals!A442</f>
        <v>4</v>
      </c>
      <c r="B442">
        <f>Arrivals!B442</f>
        <v>77</v>
      </c>
      <c r="C442" s="6">
        <f>Arrivals!F442</f>
        <v>534</v>
      </c>
      <c r="D442" s="6">
        <f>Arrivals!J442</f>
        <v>1.3729874666809665</v>
      </c>
      <c r="E442" s="6">
        <f t="shared" si="148"/>
        <v>1020.815488721547</v>
      </c>
      <c r="F442" s="6">
        <f t="shared" si="139"/>
        <v>1020.815488721547</v>
      </c>
      <c r="G442" s="6">
        <f t="shared" si="140"/>
        <v>1022.1884761882279</v>
      </c>
      <c r="H442" s="6">
        <f>Arrivals!L442</f>
        <v>75</v>
      </c>
      <c r="I442" s="6">
        <f>H442*8/ACE_Input!S82+ACE_Input!T82</f>
        <v>6.02</v>
      </c>
      <c r="J442" s="6">
        <f t="shared" si="149"/>
        <v>1032.4993890269923</v>
      </c>
      <c r="K442" s="6">
        <f t="shared" si="141"/>
        <v>1032.4993890269923</v>
      </c>
      <c r="L442" s="6">
        <f>MOD(K442-Settings!$B$32,Settings!$B$33)</f>
        <v>312.49938902699228</v>
      </c>
      <c r="M442" s="6">
        <f>IF(L442&lt;Settings!$B$30,IF(Settings!$B$30-L442&gt;=I442,K442,K442+(Settings!$B$30-L442)+Settings!$B$31),K442+(Settings!$B$33-L442))</f>
        <v>1032.4993890269923</v>
      </c>
      <c r="N442" s="6">
        <f t="shared" si="142"/>
        <v>1038.5193890269923</v>
      </c>
      <c r="O442" s="6">
        <f t="shared" si="143"/>
        <v>504.51938902699226</v>
      </c>
      <c r="P442" s="6">
        <f t="shared" si="144"/>
        <v>486.81548872154701</v>
      </c>
      <c r="Q442" s="6">
        <f t="shared" si="145"/>
        <v>10.310912838764352</v>
      </c>
      <c r="R442" s="6">
        <f t="shared" si="146"/>
        <v>0</v>
      </c>
      <c r="S442" s="6">
        <f t="shared" si="147"/>
        <v>497.12640156031136</v>
      </c>
      <c r="T442" s="6" t="str">
        <f>IF(MOD(C442-Settings!$B$32,Settings!$B$33)&lt;Settings!$B$30,"Up","Down")</f>
        <v>Up</v>
      </c>
      <c r="U442" s="6">
        <f>IF(OR(I442&gt;Settings!$B$30,O442&gt;Settings!$B$37),0,1)</f>
        <v>1</v>
      </c>
      <c r="V442" s="6">
        <f>IF(AND(U442=1,O442&lt;=Settings!$B$36),1,0)</f>
        <v>0</v>
      </c>
    </row>
    <row r="443" spans="1:22" x14ac:dyDescent="0.2">
      <c r="A443">
        <f>Arrivals!A443</f>
        <v>4</v>
      </c>
      <c r="B443">
        <f>Arrivals!B443</f>
        <v>78</v>
      </c>
      <c r="C443" s="6">
        <f>Arrivals!F443</f>
        <v>539</v>
      </c>
      <c r="D443" s="6">
        <f>Arrivals!J443</f>
        <v>0.64063061042572111</v>
      </c>
      <c r="E443" s="6">
        <f t="shared" si="148"/>
        <v>1022.1884761882279</v>
      </c>
      <c r="F443" s="6">
        <f t="shared" si="139"/>
        <v>1022.1884761882279</v>
      </c>
      <c r="G443" s="6">
        <f t="shared" si="140"/>
        <v>1022.8291067986537</v>
      </c>
      <c r="H443" s="6">
        <f>Arrivals!L443</f>
        <v>75</v>
      </c>
      <c r="I443" s="6">
        <f>H443*8/ACE_Input!S83+ACE_Input!T83</f>
        <v>6.02</v>
      </c>
      <c r="J443" s="6">
        <f t="shared" si="149"/>
        <v>1038.5193890269923</v>
      </c>
      <c r="K443" s="6">
        <f t="shared" si="141"/>
        <v>1038.5193890269923</v>
      </c>
      <c r="L443" s="6">
        <f>MOD(K443-Settings!$B$32,Settings!$B$33)</f>
        <v>318.51938902699226</v>
      </c>
      <c r="M443" s="6">
        <f>IF(L443&lt;Settings!$B$30,IF(Settings!$B$30-L443&gt;=I443,K443,K443+(Settings!$B$30-L443)+Settings!$B$31),K443+(Settings!$B$33-L443))</f>
        <v>1038.5193890269923</v>
      </c>
      <c r="N443" s="6">
        <f t="shared" si="142"/>
        <v>1044.5393890269922</v>
      </c>
      <c r="O443" s="6">
        <f t="shared" si="143"/>
        <v>505.53938902699224</v>
      </c>
      <c r="P443" s="6">
        <f t="shared" si="144"/>
        <v>483.18847618822792</v>
      </c>
      <c r="Q443" s="6">
        <f t="shared" si="145"/>
        <v>15.69028222833856</v>
      </c>
      <c r="R443" s="6">
        <f t="shared" si="146"/>
        <v>0</v>
      </c>
      <c r="S443" s="6">
        <f t="shared" si="147"/>
        <v>498.87875841656648</v>
      </c>
      <c r="T443" s="6" t="str">
        <f>IF(MOD(C443-Settings!$B$32,Settings!$B$33)&lt;Settings!$B$30,"Up","Down")</f>
        <v>Up</v>
      </c>
      <c r="U443" s="6">
        <f>IF(OR(I443&gt;Settings!$B$30,O443&gt;Settings!$B$37),0,1)</f>
        <v>1</v>
      </c>
      <c r="V443" s="6">
        <f>IF(AND(U443=1,O443&lt;=Settings!$B$36),1,0)</f>
        <v>0</v>
      </c>
    </row>
    <row r="444" spans="1:22" x14ac:dyDescent="0.2">
      <c r="A444">
        <f>Arrivals!A444</f>
        <v>4</v>
      </c>
      <c r="B444">
        <f>Arrivals!B444</f>
        <v>79</v>
      </c>
      <c r="C444" s="6">
        <f>Arrivals!F444</f>
        <v>544</v>
      </c>
      <c r="D444" s="6">
        <f>Arrivals!J444</f>
        <v>15.566885109762961</v>
      </c>
      <c r="E444" s="6">
        <f t="shared" si="148"/>
        <v>1022.8291067986537</v>
      </c>
      <c r="F444" s="6">
        <f t="shared" si="139"/>
        <v>1022.8291067986537</v>
      </c>
      <c r="G444" s="6">
        <f t="shared" si="140"/>
        <v>1038.3959919084166</v>
      </c>
      <c r="H444" s="6">
        <f>Arrivals!L444</f>
        <v>75</v>
      </c>
      <c r="I444" s="6">
        <f>H444*8/ACE_Input!S84+ACE_Input!T84</f>
        <v>6.02</v>
      </c>
      <c r="J444" s="6">
        <f t="shared" si="149"/>
        <v>1044.5393890269922</v>
      </c>
      <c r="K444" s="6">
        <f t="shared" si="141"/>
        <v>1044.5393890269922</v>
      </c>
      <c r="L444" s="6">
        <f>MOD(K444-Settings!$B$32,Settings!$B$33)</f>
        <v>324.53938902699224</v>
      </c>
      <c r="M444" s="6">
        <f>IF(L444&lt;Settings!$B$30,IF(Settings!$B$30-L444&gt;=I444,K444,K444+(Settings!$B$30-L444)+Settings!$B$31),K444+(Settings!$B$33-L444))</f>
        <v>1044.5393890269922</v>
      </c>
      <c r="N444" s="6">
        <f t="shared" si="142"/>
        <v>1050.5593890269922</v>
      </c>
      <c r="O444" s="6">
        <f t="shared" si="143"/>
        <v>506.55938902699222</v>
      </c>
      <c r="P444" s="6">
        <f t="shared" si="144"/>
        <v>478.8291067986537</v>
      </c>
      <c r="Q444" s="6">
        <f t="shared" si="145"/>
        <v>6.1433971185756491</v>
      </c>
      <c r="R444" s="6">
        <f t="shared" si="146"/>
        <v>0</v>
      </c>
      <c r="S444" s="6">
        <f t="shared" si="147"/>
        <v>484.97250391722935</v>
      </c>
      <c r="T444" s="6" t="str">
        <f>IF(MOD(C444-Settings!$B$32,Settings!$B$33)&lt;Settings!$B$30,"Up","Down")</f>
        <v>Up</v>
      </c>
      <c r="U444" s="6">
        <f>IF(OR(I444&gt;Settings!$B$30,O444&gt;Settings!$B$37),0,1)</f>
        <v>1</v>
      </c>
      <c r="V444" s="6">
        <f>IF(AND(U444=1,O444&lt;=Settings!$B$36),1,0)</f>
        <v>0</v>
      </c>
    </row>
    <row r="445" spans="1:22" x14ac:dyDescent="0.2">
      <c r="A445">
        <f>Arrivals!A445</f>
        <v>4</v>
      </c>
      <c r="B445">
        <f>Arrivals!B445</f>
        <v>80</v>
      </c>
      <c r="C445" s="6">
        <f>Arrivals!F445</f>
        <v>549</v>
      </c>
      <c r="D445" s="6">
        <f>Arrivals!J445</f>
        <v>27.706708093772669</v>
      </c>
      <c r="E445" s="6">
        <f t="shared" si="148"/>
        <v>1038.3959919084166</v>
      </c>
      <c r="F445" s="6">
        <f t="shared" si="139"/>
        <v>1038.3959919084166</v>
      </c>
      <c r="G445" s="6">
        <f t="shared" si="140"/>
        <v>1066.1027000021893</v>
      </c>
      <c r="H445" s="6">
        <f>Arrivals!L445</f>
        <v>75</v>
      </c>
      <c r="I445" s="6">
        <f>H445*8/ACE_Input!S85+ACE_Input!T85</f>
        <v>6.02</v>
      </c>
      <c r="J445" s="6">
        <f t="shared" si="149"/>
        <v>1050.5593890269922</v>
      </c>
      <c r="K445" s="6">
        <f t="shared" si="141"/>
        <v>1066.1027000021893</v>
      </c>
      <c r="L445" s="6">
        <f>MOD(K445-Settings!$B$32,Settings!$B$33)</f>
        <v>346.10270000218929</v>
      </c>
      <c r="M445" s="6">
        <f>IF(L445&lt;Settings!$B$30,IF(Settings!$B$30-L445&gt;=I445,K445,K445+(Settings!$B$30-L445)+Settings!$B$31),K445+(Settings!$B$33-L445))</f>
        <v>1066.1027000021893</v>
      </c>
      <c r="N445" s="6">
        <f t="shared" si="142"/>
        <v>1072.1227000021893</v>
      </c>
      <c r="O445" s="6">
        <f t="shared" si="143"/>
        <v>523.12270000218928</v>
      </c>
      <c r="P445" s="6">
        <f t="shared" si="144"/>
        <v>489.39599190841659</v>
      </c>
      <c r="Q445" s="6">
        <f t="shared" si="145"/>
        <v>0</v>
      </c>
      <c r="R445" s="6">
        <f t="shared" si="146"/>
        <v>0</v>
      </c>
      <c r="S445" s="6">
        <f t="shared" si="147"/>
        <v>489.39599190841659</v>
      </c>
      <c r="T445" s="6" t="str">
        <f>IF(MOD(C445-Settings!$B$32,Settings!$B$33)&lt;Settings!$B$30,"Up","Down")</f>
        <v>Up</v>
      </c>
      <c r="U445" s="6">
        <f>IF(OR(I445&gt;Settings!$B$30,O445&gt;Settings!$B$37),0,1)</f>
        <v>1</v>
      </c>
      <c r="V445" s="6">
        <f>IF(AND(U445=1,O445&lt;=Settings!$B$36),1,0)</f>
        <v>0</v>
      </c>
    </row>
    <row r="446" spans="1:22" x14ac:dyDescent="0.2">
      <c r="A446">
        <f>Arrivals!A446</f>
        <v>4</v>
      </c>
      <c r="B446">
        <f>Arrivals!B446</f>
        <v>81</v>
      </c>
      <c r="C446" s="6">
        <f>Arrivals!F446</f>
        <v>554</v>
      </c>
      <c r="D446" s="6">
        <f>Arrivals!J446</f>
        <v>24.229812079683608</v>
      </c>
      <c r="E446" s="6">
        <f t="shared" si="148"/>
        <v>1066.1027000021893</v>
      </c>
      <c r="F446" s="6">
        <f t="shared" si="139"/>
        <v>1066.1027000021893</v>
      </c>
      <c r="G446" s="6">
        <f t="shared" si="140"/>
        <v>1090.3325120818729</v>
      </c>
      <c r="H446" s="6">
        <f>Arrivals!L446</f>
        <v>75</v>
      </c>
      <c r="I446" s="6">
        <f>H446*8/ACE_Input!S86+ACE_Input!T86</f>
        <v>6.02</v>
      </c>
      <c r="J446" s="6">
        <f t="shared" si="149"/>
        <v>1072.1227000021893</v>
      </c>
      <c r="K446" s="6">
        <f t="shared" si="141"/>
        <v>1090.3325120818729</v>
      </c>
      <c r="L446" s="6">
        <f>MOD(K446-Settings!$B$32,Settings!$B$33)</f>
        <v>370.33251208187289</v>
      </c>
      <c r="M446" s="6">
        <f>IF(L446&lt;Settings!$B$30,IF(Settings!$B$30-L446&gt;=I446,K446,K446+(Settings!$B$30-L446)+Settings!$B$31),K446+(Settings!$B$33-L446))</f>
        <v>1090.3325120818729</v>
      </c>
      <c r="N446" s="6">
        <f t="shared" si="142"/>
        <v>1096.3525120818729</v>
      </c>
      <c r="O446" s="6">
        <f t="shared" si="143"/>
        <v>542.35251208187287</v>
      </c>
      <c r="P446" s="6">
        <f t="shared" si="144"/>
        <v>512.10270000218929</v>
      </c>
      <c r="Q446" s="6">
        <f t="shared" si="145"/>
        <v>0</v>
      </c>
      <c r="R446" s="6">
        <f t="shared" si="146"/>
        <v>0</v>
      </c>
      <c r="S446" s="6">
        <f t="shared" si="147"/>
        <v>512.10270000218929</v>
      </c>
      <c r="T446" s="6" t="str">
        <f>IF(MOD(C446-Settings!$B$32,Settings!$B$33)&lt;Settings!$B$30,"Up","Down")</f>
        <v>Up</v>
      </c>
      <c r="U446" s="6">
        <f>IF(OR(I446&gt;Settings!$B$30,O446&gt;Settings!$B$37),0,1)</f>
        <v>1</v>
      </c>
      <c r="V446" s="6">
        <f>IF(AND(U446=1,O446&lt;=Settings!$B$36),1,0)</f>
        <v>0</v>
      </c>
    </row>
    <row r="447" spans="1:22" x14ac:dyDescent="0.2">
      <c r="A447">
        <f>Arrivals!A447</f>
        <v>4</v>
      </c>
      <c r="B447">
        <f>Arrivals!B447</f>
        <v>82</v>
      </c>
      <c r="C447" s="6">
        <f>Arrivals!F447</f>
        <v>559</v>
      </c>
      <c r="D447" s="6">
        <f>Arrivals!J447</f>
        <v>10.014584208774611</v>
      </c>
      <c r="E447" s="6">
        <f t="shared" si="148"/>
        <v>1090.3325120818729</v>
      </c>
      <c r="F447" s="6">
        <f t="shared" si="139"/>
        <v>1090.3325120818729</v>
      </c>
      <c r="G447" s="6">
        <f t="shared" si="140"/>
        <v>1100.3470962906474</v>
      </c>
      <c r="H447" s="6">
        <f>Arrivals!L447</f>
        <v>75</v>
      </c>
      <c r="I447" s="6">
        <f>H447*8/ACE_Input!S87+ACE_Input!T87</f>
        <v>6.02</v>
      </c>
      <c r="J447" s="6">
        <f t="shared" si="149"/>
        <v>1096.3525120818729</v>
      </c>
      <c r="K447" s="6">
        <f t="shared" si="141"/>
        <v>1100.3470962906474</v>
      </c>
      <c r="L447" s="6">
        <f>MOD(K447-Settings!$B$32,Settings!$B$33)</f>
        <v>380.34709629064741</v>
      </c>
      <c r="M447" s="6">
        <f>IF(L447&lt;Settings!$B$30,IF(Settings!$B$30-L447&gt;=I447,K447,K447+(Settings!$B$30-L447)+Settings!$B$31),K447+(Settings!$B$33-L447))</f>
        <v>1100.3470962906474</v>
      </c>
      <c r="N447" s="6">
        <f t="shared" si="142"/>
        <v>1106.3670962906474</v>
      </c>
      <c r="O447" s="6">
        <f t="shared" si="143"/>
        <v>547.3670962906474</v>
      </c>
      <c r="P447" s="6">
        <f t="shared" si="144"/>
        <v>531.33251208187289</v>
      </c>
      <c r="Q447" s="6">
        <f t="shared" si="145"/>
        <v>0</v>
      </c>
      <c r="R447" s="6">
        <f t="shared" si="146"/>
        <v>0</v>
      </c>
      <c r="S447" s="6">
        <f t="shared" si="147"/>
        <v>531.33251208187289</v>
      </c>
      <c r="T447" s="6" t="str">
        <f>IF(MOD(C447-Settings!$B$32,Settings!$B$33)&lt;Settings!$B$30,"Up","Down")</f>
        <v>Up</v>
      </c>
      <c r="U447" s="6">
        <f>IF(OR(I447&gt;Settings!$B$30,O447&gt;Settings!$B$37),0,1)</f>
        <v>1</v>
      </c>
      <c r="V447" s="6">
        <f>IF(AND(U447=1,O447&lt;=Settings!$B$36),1,0)</f>
        <v>0</v>
      </c>
    </row>
    <row r="448" spans="1:22" x14ac:dyDescent="0.2">
      <c r="A448">
        <f>Arrivals!A448</f>
        <v>4</v>
      </c>
      <c r="B448">
        <f>Arrivals!B448</f>
        <v>83</v>
      </c>
      <c r="C448" s="6">
        <f>Arrivals!F448</f>
        <v>564</v>
      </c>
      <c r="D448" s="6">
        <f>Arrivals!J448</f>
        <v>10.404123596586693</v>
      </c>
      <c r="E448" s="6">
        <f t="shared" si="148"/>
        <v>1100.3470962906474</v>
      </c>
      <c r="F448" s="6">
        <f t="shared" si="139"/>
        <v>1100.3470962906474</v>
      </c>
      <c r="G448" s="6">
        <f t="shared" si="140"/>
        <v>1110.7512198872341</v>
      </c>
      <c r="H448" s="6">
        <f>Arrivals!L448</f>
        <v>75</v>
      </c>
      <c r="I448" s="6">
        <f>H448*8/ACE_Input!S88+ACE_Input!T88</f>
        <v>6.02</v>
      </c>
      <c r="J448" s="6">
        <f t="shared" si="149"/>
        <v>1106.3670962906474</v>
      </c>
      <c r="K448" s="6">
        <f t="shared" si="141"/>
        <v>1110.7512198872341</v>
      </c>
      <c r="L448" s="6">
        <f>MOD(K448-Settings!$B$32,Settings!$B$33)</f>
        <v>390.75121988723413</v>
      </c>
      <c r="M448" s="6">
        <f>IF(L448&lt;Settings!$B$30,IF(Settings!$B$30-L448&gt;=I448,K448,K448+(Settings!$B$30-L448)+Settings!$B$31),K448+(Settings!$B$33-L448))</f>
        <v>1110.7512198872341</v>
      </c>
      <c r="N448" s="6">
        <f t="shared" si="142"/>
        <v>1116.7712198872341</v>
      </c>
      <c r="O448" s="6">
        <f t="shared" si="143"/>
        <v>552.77121988723411</v>
      </c>
      <c r="P448" s="6">
        <f t="shared" si="144"/>
        <v>536.34709629064741</v>
      </c>
      <c r="Q448" s="6">
        <f t="shared" si="145"/>
        <v>0</v>
      </c>
      <c r="R448" s="6">
        <f t="shared" si="146"/>
        <v>0</v>
      </c>
      <c r="S448" s="6">
        <f t="shared" si="147"/>
        <v>536.34709629064741</v>
      </c>
      <c r="T448" s="6" t="str">
        <f>IF(MOD(C448-Settings!$B$32,Settings!$B$33)&lt;Settings!$B$30,"Up","Down")</f>
        <v>Up</v>
      </c>
      <c r="U448" s="6">
        <f>IF(OR(I448&gt;Settings!$B$30,O448&gt;Settings!$B$37),0,1)</f>
        <v>1</v>
      </c>
      <c r="V448" s="6">
        <f>IF(AND(U448=1,O448&lt;=Settings!$B$36),1,0)</f>
        <v>0</v>
      </c>
    </row>
    <row r="449" spans="1:22" x14ac:dyDescent="0.2">
      <c r="A449">
        <f>Arrivals!A449</f>
        <v>4</v>
      </c>
      <c r="B449">
        <f>Arrivals!B449</f>
        <v>84</v>
      </c>
      <c r="C449" s="6">
        <f>Arrivals!F449</f>
        <v>569</v>
      </c>
      <c r="D449" s="6">
        <f>Arrivals!J449</f>
        <v>10.946962699587822</v>
      </c>
      <c r="E449" s="6">
        <f t="shared" si="148"/>
        <v>1110.7512198872341</v>
      </c>
      <c r="F449" s="6">
        <f t="shared" si="139"/>
        <v>1110.7512198872341</v>
      </c>
      <c r="G449" s="6">
        <f t="shared" si="140"/>
        <v>1121.698182586822</v>
      </c>
      <c r="H449" s="6">
        <f>Arrivals!L449</f>
        <v>75</v>
      </c>
      <c r="I449" s="6">
        <f>H449*8/ACE_Input!S89+ACE_Input!T89</f>
        <v>6.02</v>
      </c>
      <c r="J449" s="6">
        <f t="shared" si="149"/>
        <v>1116.7712198872341</v>
      </c>
      <c r="K449" s="6">
        <f t="shared" si="141"/>
        <v>1121.698182586822</v>
      </c>
      <c r="L449" s="6">
        <f>MOD(K449-Settings!$B$32,Settings!$B$33)</f>
        <v>401.69818258682199</v>
      </c>
      <c r="M449" s="6">
        <f>IF(L449&lt;Settings!$B$30,IF(Settings!$B$30-L449&gt;=I449,K449,K449+(Settings!$B$30-L449)+Settings!$B$31),K449+(Settings!$B$33-L449))</f>
        <v>1121.698182586822</v>
      </c>
      <c r="N449" s="6">
        <f t="shared" si="142"/>
        <v>1127.718182586822</v>
      </c>
      <c r="O449" s="6">
        <f t="shared" si="143"/>
        <v>558.71818258682197</v>
      </c>
      <c r="P449" s="6">
        <f t="shared" si="144"/>
        <v>541.75121988723413</v>
      </c>
      <c r="Q449" s="6">
        <f t="shared" si="145"/>
        <v>0</v>
      </c>
      <c r="R449" s="6">
        <f t="shared" si="146"/>
        <v>0</v>
      </c>
      <c r="S449" s="6">
        <f t="shared" si="147"/>
        <v>541.75121988723413</v>
      </c>
      <c r="T449" s="6" t="str">
        <f>IF(MOD(C449-Settings!$B$32,Settings!$B$33)&lt;Settings!$B$30,"Up","Down")</f>
        <v>Up</v>
      </c>
      <c r="U449" s="6">
        <f>IF(OR(I449&gt;Settings!$B$30,O449&gt;Settings!$B$37),0,1)</f>
        <v>1</v>
      </c>
      <c r="V449" s="6">
        <f>IF(AND(U449=1,O449&lt;=Settings!$B$36),1,0)</f>
        <v>0</v>
      </c>
    </row>
    <row r="450" spans="1:22" x14ac:dyDescent="0.2">
      <c r="A450">
        <f>Arrivals!A450</f>
        <v>4</v>
      </c>
      <c r="B450">
        <f>Arrivals!B450</f>
        <v>85</v>
      </c>
      <c r="C450" s="6">
        <f>Arrivals!F450</f>
        <v>574</v>
      </c>
      <c r="D450" s="6">
        <f>Arrivals!J450</f>
        <v>38.338653144734316</v>
      </c>
      <c r="E450" s="6">
        <f t="shared" si="148"/>
        <v>1121.698182586822</v>
      </c>
      <c r="F450" s="6">
        <f t="shared" si="139"/>
        <v>1121.698182586822</v>
      </c>
      <c r="G450" s="6">
        <f t="shared" si="140"/>
        <v>1160.0368357315563</v>
      </c>
      <c r="H450" s="6">
        <f>Arrivals!L450</f>
        <v>75</v>
      </c>
      <c r="I450" s="6">
        <f>H450*8/ACE_Input!S90+ACE_Input!T90</f>
        <v>6.02</v>
      </c>
      <c r="J450" s="6">
        <f t="shared" si="149"/>
        <v>1127.718182586822</v>
      </c>
      <c r="K450" s="6">
        <f t="shared" si="141"/>
        <v>1160.0368357315563</v>
      </c>
      <c r="L450" s="6">
        <f>MOD(K450-Settings!$B$32,Settings!$B$33)</f>
        <v>440.03683573155627</v>
      </c>
      <c r="M450" s="6">
        <f>IF(L450&lt;Settings!$B$30,IF(Settings!$B$30-L450&gt;=I450,K450,K450+(Settings!$B$30-L450)+Settings!$B$31),K450+(Settings!$B$33-L450))</f>
        <v>1160.0368357315563</v>
      </c>
      <c r="N450" s="6">
        <f t="shared" si="142"/>
        <v>1166.0568357315562</v>
      </c>
      <c r="O450" s="6">
        <f t="shared" si="143"/>
        <v>592.05683573155625</v>
      </c>
      <c r="P450" s="6">
        <f t="shared" si="144"/>
        <v>547.69818258682199</v>
      </c>
      <c r="Q450" s="6">
        <f t="shared" si="145"/>
        <v>0</v>
      </c>
      <c r="R450" s="6">
        <f t="shared" si="146"/>
        <v>0</v>
      </c>
      <c r="S450" s="6">
        <f t="shared" si="147"/>
        <v>547.69818258682199</v>
      </c>
      <c r="T450" s="6" t="str">
        <f>IF(MOD(C450-Settings!$B$32,Settings!$B$33)&lt;Settings!$B$30,"Up","Down")</f>
        <v>Up</v>
      </c>
      <c r="U450" s="6">
        <f>IF(OR(I450&gt;Settings!$B$30,O450&gt;Settings!$B$37),0,1)</f>
        <v>1</v>
      </c>
      <c r="V450" s="6">
        <f>IF(AND(U450=1,O450&lt;=Settings!$B$36),1,0)</f>
        <v>0</v>
      </c>
    </row>
    <row r="451" spans="1:22" x14ac:dyDescent="0.2">
      <c r="A451">
        <f>Arrivals!A451</f>
        <v>4</v>
      </c>
      <c r="B451">
        <f>Arrivals!B451</f>
        <v>86</v>
      </c>
      <c r="C451" s="6">
        <f>Arrivals!F451</f>
        <v>579</v>
      </c>
      <c r="D451" s="6">
        <f>Arrivals!J451</f>
        <v>6.0964563255720465</v>
      </c>
      <c r="E451" s="6">
        <f t="shared" si="148"/>
        <v>1160.0368357315563</v>
      </c>
      <c r="F451" s="6">
        <f t="shared" si="139"/>
        <v>1160.0368357315563</v>
      </c>
      <c r="G451" s="6">
        <f t="shared" si="140"/>
        <v>1166.1332920571283</v>
      </c>
      <c r="H451" s="6">
        <f>Arrivals!L451</f>
        <v>75</v>
      </c>
      <c r="I451" s="6">
        <f>H451*8/ACE_Input!S91+ACE_Input!T91</f>
        <v>6.02</v>
      </c>
      <c r="J451" s="6">
        <f t="shared" si="149"/>
        <v>1166.0568357315562</v>
      </c>
      <c r="K451" s="6">
        <f t="shared" si="141"/>
        <v>1166.1332920571283</v>
      </c>
      <c r="L451" s="6">
        <f>MOD(K451-Settings!$B$32,Settings!$B$33)</f>
        <v>446.1332920571283</v>
      </c>
      <c r="M451" s="6">
        <f>IF(L451&lt;Settings!$B$30,IF(Settings!$B$30-L451&gt;=I451,K451,K451+(Settings!$B$30-L451)+Settings!$B$31),K451+(Settings!$B$33-L451))</f>
        <v>1166.1332920571283</v>
      </c>
      <c r="N451" s="6">
        <f t="shared" si="142"/>
        <v>1172.1532920571283</v>
      </c>
      <c r="O451" s="6">
        <f t="shared" si="143"/>
        <v>593.15329205712828</v>
      </c>
      <c r="P451" s="6">
        <f t="shared" si="144"/>
        <v>581.03683573155627</v>
      </c>
      <c r="Q451" s="6">
        <f t="shared" si="145"/>
        <v>0</v>
      </c>
      <c r="R451" s="6">
        <f t="shared" si="146"/>
        <v>0</v>
      </c>
      <c r="S451" s="6">
        <f t="shared" si="147"/>
        <v>581.03683573155627</v>
      </c>
      <c r="T451" s="6" t="str">
        <f>IF(MOD(C451-Settings!$B$32,Settings!$B$33)&lt;Settings!$B$30,"Up","Down")</f>
        <v>Up</v>
      </c>
      <c r="U451" s="6">
        <f>IF(OR(I451&gt;Settings!$B$30,O451&gt;Settings!$B$37),0,1)</f>
        <v>1</v>
      </c>
      <c r="V451" s="6">
        <f>IF(AND(U451=1,O451&lt;=Settings!$B$36),1,0)</f>
        <v>0</v>
      </c>
    </row>
    <row r="452" spans="1:22" x14ac:dyDescent="0.2">
      <c r="A452">
        <f>Arrivals!A452</f>
        <v>4</v>
      </c>
      <c r="B452">
        <f>Arrivals!B452</f>
        <v>87</v>
      </c>
      <c r="C452" s="6">
        <f>Arrivals!F452</f>
        <v>584</v>
      </c>
      <c r="D452" s="6">
        <f>Arrivals!J452</f>
        <v>12.601327487040605</v>
      </c>
      <c r="E452" s="6">
        <f t="shared" si="148"/>
        <v>1166.1332920571283</v>
      </c>
      <c r="F452" s="6">
        <f t="shared" si="139"/>
        <v>1166.1332920571283</v>
      </c>
      <c r="G452" s="6">
        <f t="shared" si="140"/>
        <v>1178.7346195441689</v>
      </c>
      <c r="H452" s="6">
        <f>Arrivals!L452</f>
        <v>75</v>
      </c>
      <c r="I452" s="6">
        <f>H452*8/ACE_Input!S92+ACE_Input!T92</f>
        <v>6.02</v>
      </c>
      <c r="J452" s="6">
        <f t="shared" si="149"/>
        <v>1172.1532920571283</v>
      </c>
      <c r="K452" s="6">
        <f t="shared" si="141"/>
        <v>1178.7346195441689</v>
      </c>
      <c r="L452" s="6">
        <f>MOD(K452-Settings!$B$32,Settings!$B$33)</f>
        <v>458.73461954416894</v>
      </c>
      <c r="M452" s="6">
        <f>IF(L452&lt;Settings!$B$30,IF(Settings!$B$30-L452&gt;=I452,K452,K452+(Settings!$B$30-L452)+Settings!$B$31),K452+(Settings!$B$33-L452))</f>
        <v>1178.7346195441689</v>
      </c>
      <c r="N452" s="6">
        <f t="shared" si="142"/>
        <v>1184.7546195441689</v>
      </c>
      <c r="O452" s="6">
        <f t="shared" si="143"/>
        <v>600.75461954416892</v>
      </c>
      <c r="P452" s="6">
        <f t="shared" si="144"/>
        <v>582.1332920571283</v>
      </c>
      <c r="Q452" s="6">
        <f t="shared" si="145"/>
        <v>0</v>
      </c>
      <c r="R452" s="6">
        <f t="shared" si="146"/>
        <v>0</v>
      </c>
      <c r="S452" s="6">
        <f t="shared" si="147"/>
        <v>582.1332920571283</v>
      </c>
      <c r="T452" s="6" t="str">
        <f>IF(MOD(C452-Settings!$B$32,Settings!$B$33)&lt;Settings!$B$30,"Up","Down")</f>
        <v>Up</v>
      </c>
      <c r="U452" s="6">
        <f>IF(OR(I452&gt;Settings!$B$30,O452&gt;Settings!$B$37),0,1)</f>
        <v>1</v>
      </c>
      <c r="V452" s="6">
        <f>IF(AND(U452=1,O452&lt;=Settings!$B$36),1,0)</f>
        <v>0</v>
      </c>
    </row>
    <row r="453" spans="1:22" x14ac:dyDescent="0.2">
      <c r="A453">
        <f>Arrivals!A453</f>
        <v>4</v>
      </c>
      <c r="B453">
        <f>Arrivals!B453</f>
        <v>88</v>
      </c>
      <c r="C453" s="6">
        <f>Arrivals!F453</f>
        <v>589</v>
      </c>
      <c r="D453" s="6">
        <f>Arrivals!J453</f>
        <v>3.4017094315323684</v>
      </c>
      <c r="E453" s="6">
        <f t="shared" si="148"/>
        <v>1178.7346195441689</v>
      </c>
      <c r="F453" s="6">
        <f t="shared" si="139"/>
        <v>1178.7346195441689</v>
      </c>
      <c r="G453" s="6">
        <f t="shared" si="140"/>
        <v>1182.1363289757014</v>
      </c>
      <c r="H453" s="6">
        <f>Arrivals!L453</f>
        <v>75</v>
      </c>
      <c r="I453" s="6">
        <f>H453*8/ACE_Input!S93+ACE_Input!T93</f>
        <v>6.02</v>
      </c>
      <c r="J453" s="6">
        <f t="shared" si="149"/>
        <v>1184.7546195441689</v>
      </c>
      <c r="K453" s="6">
        <f t="shared" si="141"/>
        <v>1184.7546195441689</v>
      </c>
      <c r="L453" s="6">
        <f>MOD(K453-Settings!$B$32,Settings!$B$33)</f>
        <v>464.75461954416892</v>
      </c>
      <c r="M453" s="6">
        <f>IF(L453&lt;Settings!$B$30,IF(Settings!$B$30-L453&gt;=I453,K453,K453+(Settings!$B$30-L453)+Settings!$B$31),K453+(Settings!$B$33-L453))</f>
        <v>1184.7546195441689</v>
      </c>
      <c r="N453" s="6">
        <f t="shared" si="142"/>
        <v>1190.7746195441689</v>
      </c>
      <c r="O453" s="6">
        <f t="shared" si="143"/>
        <v>601.7746195441689</v>
      </c>
      <c r="P453" s="6">
        <f t="shared" si="144"/>
        <v>589.73461954416894</v>
      </c>
      <c r="Q453" s="6">
        <f t="shared" si="145"/>
        <v>2.6182905684675006</v>
      </c>
      <c r="R453" s="6">
        <f t="shared" si="146"/>
        <v>0</v>
      </c>
      <c r="S453" s="6">
        <f t="shared" si="147"/>
        <v>592.35291011263644</v>
      </c>
      <c r="T453" s="6" t="str">
        <f>IF(MOD(C453-Settings!$B$32,Settings!$B$33)&lt;Settings!$B$30,"Up","Down")</f>
        <v>Up</v>
      </c>
      <c r="U453" s="6">
        <f>IF(OR(I453&gt;Settings!$B$30,O453&gt;Settings!$B$37),0,1)</f>
        <v>1</v>
      </c>
      <c r="V453" s="6">
        <f>IF(AND(U453=1,O453&lt;=Settings!$B$36),1,0)</f>
        <v>0</v>
      </c>
    </row>
    <row r="454" spans="1:22" x14ac:dyDescent="0.2">
      <c r="A454">
        <f>Arrivals!A454</f>
        <v>4</v>
      </c>
      <c r="B454">
        <f>Arrivals!B454</f>
        <v>89</v>
      </c>
      <c r="C454" s="6">
        <f>Arrivals!F454</f>
        <v>594</v>
      </c>
      <c r="D454" s="6">
        <f>Arrivals!J454</f>
        <v>11.517875641263821</v>
      </c>
      <c r="E454" s="6">
        <f t="shared" si="148"/>
        <v>1182.1363289757014</v>
      </c>
      <c r="F454" s="6">
        <f t="shared" si="139"/>
        <v>1182.1363289757014</v>
      </c>
      <c r="G454" s="6">
        <f t="shared" si="140"/>
        <v>1193.6542046169652</v>
      </c>
      <c r="H454" s="6">
        <f>Arrivals!L454</f>
        <v>75</v>
      </c>
      <c r="I454" s="6">
        <f>H454*8/ACE_Input!S94+ACE_Input!T94</f>
        <v>6.02</v>
      </c>
      <c r="J454" s="6">
        <f t="shared" si="149"/>
        <v>1190.7746195441689</v>
      </c>
      <c r="K454" s="6">
        <f t="shared" si="141"/>
        <v>1193.6542046169652</v>
      </c>
      <c r="L454" s="6">
        <f>MOD(K454-Settings!$B$32,Settings!$B$33)</f>
        <v>473.65420461696522</v>
      </c>
      <c r="M454" s="6">
        <f>IF(L454&lt;Settings!$B$30,IF(Settings!$B$30-L454&gt;=I454,K454,K454+(Settings!$B$30-L454)+Settings!$B$31),K454+(Settings!$B$33-L454))</f>
        <v>1193.6542046169652</v>
      </c>
      <c r="N454" s="6">
        <f t="shared" si="142"/>
        <v>1199.6742046169652</v>
      </c>
      <c r="O454" s="6">
        <f t="shared" si="143"/>
        <v>605.6742046169652</v>
      </c>
      <c r="P454" s="6">
        <f t="shared" si="144"/>
        <v>588.13632897570142</v>
      </c>
      <c r="Q454" s="6">
        <f t="shared" si="145"/>
        <v>0</v>
      </c>
      <c r="R454" s="6">
        <f t="shared" si="146"/>
        <v>0</v>
      </c>
      <c r="S454" s="6">
        <f t="shared" si="147"/>
        <v>588.13632897570142</v>
      </c>
      <c r="T454" s="6" t="str">
        <f>IF(MOD(C454-Settings!$B$32,Settings!$B$33)&lt;Settings!$B$30,"Up","Down")</f>
        <v>Up</v>
      </c>
      <c r="U454" s="6">
        <f>IF(OR(I454&gt;Settings!$B$30,O454&gt;Settings!$B$37),0,1)</f>
        <v>1</v>
      </c>
      <c r="V454" s="6">
        <f>IF(AND(U454=1,O454&lt;=Settings!$B$36),1,0)</f>
        <v>0</v>
      </c>
    </row>
    <row r="455" spans="1:22" x14ac:dyDescent="0.2">
      <c r="A455">
        <f>Arrivals!A455</f>
        <v>4</v>
      </c>
      <c r="B455">
        <f>Arrivals!B455</f>
        <v>90</v>
      </c>
      <c r="C455" s="6">
        <f>Arrivals!F455</f>
        <v>599</v>
      </c>
      <c r="D455" s="6">
        <f>Arrivals!J455</f>
        <v>10.407935566698011</v>
      </c>
      <c r="E455" s="6">
        <f t="shared" si="148"/>
        <v>1193.6542046169652</v>
      </c>
      <c r="F455" s="6">
        <f t="shared" si="139"/>
        <v>1193.6542046169652</v>
      </c>
      <c r="G455" s="6">
        <f t="shared" si="140"/>
        <v>1204.0621401836631</v>
      </c>
      <c r="H455" s="6">
        <f>Arrivals!L455</f>
        <v>75</v>
      </c>
      <c r="I455" s="6">
        <f>H455*8/ACE_Input!S95+ACE_Input!T95</f>
        <v>6.02</v>
      </c>
      <c r="J455" s="6">
        <f t="shared" si="149"/>
        <v>1199.6742046169652</v>
      </c>
      <c r="K455" s="6">
        <f t="shared" si="141"/>
        <v>1204.0621401836631</v>
      </c>
      <c r="L455" s="6">
        <f>MOD(K455-Settings!$B$32,Settings!$B$33)</f>
        <v>484.06214018366313</v>
      </c>
      <c r="M455" s="6">
        <f>IF(L455&lt;Settings!$B$30,IF(Settings!$B$30-L455&gt;=I455,K455,K455+(Settings!$B$30-L455)+Settings!$B$31),K455+(Settings!$B$33-L455))</f>
        <v>1204.0621401836631</v>
      </c>
      <c r="N455" s="6">
        <f t="shared" si="142"/>
        <v>1210.0821401836631</v>
      </c>
      <c r="O455" s="6">
        <f t="shared" si="143"/>
        <v>611.08214018366311</v>
      </c>
      <c r="P455" s="6">
        <f t="shared" si="144"/>
        <v>594.65420461696522</v>
      </c>
      <c r="Q455" s="6">
        <f t="shared" si="145"/>
        <v>0</v>
      </c>
      <c r="R455" s="6">
        <f t="shared" si="146"/>
        <v>0</v>
      </c>
      <c r="S455" s="6">
        <f t="shared" si="147"/>
        <v>594.65420461696522</v>
      </c>
      <c r="T455" s="6" t="str">
        <f>IF(MOD(C455-Settings!$B$32,Settings!$B$33)&lt;Settings!$B$30,"Up","Down")</f>
        <v>Up</v>
      </c>
      <c r="U455" s="6">
        <f>IF(OR(I455&gt;Settings!$B$30,O455&gt;Settings!$B$37),0,1)</f>
        <v>1</v>
      </c>
      <c r="V455" s="6">
        <f>IF(AND(U455=1,O455&lt;=Settings!$B$36),1,0)</f>
        <v>0</v>
      </c>
    </row>
    <row r="456" spans="1:22" x14ac:dyDescent="0.2">
      <c r="A456">
        <f>Arrivals!A456</f>
        <v>4</v>
      </c>
      <c r="B456">
        <f>Arrivals!B456</f>
        <v>91</v>
      </c>
      <c r="C456" s="6">
        <f>Arrivals!F456</f>
        <v>604</v>
      </c>
      <c r="D456" s="6">
        <f>Arrivals!J456</f>
        <v>22.103620782282945</v>
      </c>
      <c r="E456" s="6">
        <f t="shared" si="148"/>
        <v>1204.0621401836631</v>
      </c>
      <c r="F456" s="6">
        <f t="shared" si="139"/>
        <v>1204.0621401836631</v>
      </c>
      <c r="G456" s="6">
        <f t="shared" si="140"/>
        <v>1226.165760965946</v>
      </c>
      <c r="H456" s="6">
        <f>Arrivals!L456</f>
        <v>75</v>
      </c>
      <c r="I456" s="6">
        <f>H456*8/ACE_Input!S96+ACE_Input!T96</f>
        <v>6.02</v>
      </c>
      <c r="J456" s="6">
        <f t="shared" si="149"/>
        <v>1210.0821401836631</v>
      </c>
      <c r="K456" s="6">
        <f t="shared" si="141"/>
        <v>1226.165760965946</v>
      </c>
      <c r="L456" s="6">
        <f>MOD(K456-Settings!$B$32,Settings!$B$33)</f>
        <v>506.16576096594599</v>
      </c>
      <c r="M456" s="6">
        <f>IF(L456&lt;Settings!$B$30,IF(Settings!$B$30-L456&gt;=I456,K456,K456+(Settings!$B$30-L456)+Settings!$B$31),K456+(Settings!$B$33-L456))</f>
        <v>1226.165760965946</v>
      </c>
      <c r="N456" s="6">
        <f t="shared" si="142"/>
        <v>1232.185760965946</v>
      </c>
      <c r="O456" s="6">
        <f t="shared" si="143"/>
        <v>628.18576096594597</v>
      </c>
      <c r="P456" s="6">
        <f t="shared" si="144"/>
        <v>600.06214018366313</v>
      </c>
      <c r="Q456" s="6">
        <f t="shared" si="145"/>
        <v>0</v>
      </c>
      <c r="R456" s="6">
        <f t="shared" si="146"/>
        <v>0</v>
      </c>
      <c r="S456" s="6">
        <f t="shared" si="147"/>
        <v>600.06214018366313</v>
      </c>
      <c r="T456" s="6" t="str">
        <f>IF(MOD(C456-Settings!$B$32,Settings!$B$33)&lt;Settings!$B$30,"Up","Down")</f>
        <v>Down</v>
      </c>
      <c r="U456" s="6">
        <f>IF(OR(I456&gt;Settings!$B$30,O456&gt;Settings!$B$37),0,1)</f>
        <v>1</v>
      </c>
      <c r="V456" s="6">
        <f>IF(AND(U456=1,O456&lt;=Settings!$B$36),1,0)</f>
        <v>0</v>
      </c>
    </row>
    <row r="457" spans="1:22" x14ac:dyDescent="0.2">
      <c r="A457">
        <f>Arrivals!A457</f>
        <v>4</v>
      </c>
      <c r="B457">
        <f>Arrivals!B457</f>
        <v>92</v>
      </c>
      <c r="C457" s="6">
        <f>Arrivals!F457</f>
        <v>609</v>
      </c>
      <c r="D457" s="6">
        <f>Arrivals!J457</f>
        <v>5.3984318487067515E-2</v>
      </c>
      <c r="E457" s="6">
        <f t="shared" si="148"/>
        <v>1226.165760965946</v>
      </c>
      <c r="F457" s="6">
        <f t="shared" si="139"/>
        <v>1226.165760965946</v>
      </c>
      <c r="G457" s="6">
        <f t="shared" si="140"/>
        <v>1226.219745284433</v>
      </c>
      <c r="H457" s="6">
        <f>Arrivals!L457</f>
        <v>75</v>
      </c>
      <c r="I457" s="6">
        <f>H457*8/ACE_Input!S97+ACE_Input!T97</f>
        <v>6.02</v>
      </c>
      <c r="J457" s="6">
        <f t="shared" si="149"/>
        <v>1232.185760965946</v>
      </c>
      <c r="K457" s="6">
        <f t="shared" si="141"/>
        <v>1232.185760965946</v>
      </c>
      <c r="L457" s="6">
        <f>MOD(K457-Settings!$B$32,Settings!$B$33)</f>
        <v>512.18576096594597</v>
      </c>
      <c r="M457" s="6">
        <f>IF(L457&lt;Settings!$B$30,IF(Settings!$B$30-L457&gt;=I457,K457,K457+(Settings!$B$30-L457)+Settings!$B$31),K457+(Settings!$B$33-L457))</f>
        <v>1232.185760965946</v>
      </c>
      <c r="N457" s="6">
        <f t="shared" si="142"/>
        <v>1238.205760965946</v>
      </c>
      <c r="O457" s="6">
        <f t="shared" si="143"/>
        <v>629.20576096594596</v>
      </c>
      <c r="P457" s="6">
        <f t="shared" si="144"/>
        <v>617.16576096594599</v>
      </c>
      <c r="Q457" s="6">
        <f t="shared" si="145"/>
        <v>5.9660156815129994</v>
      </c>
      <c r="R457" s="6">
        <f t="shared" si="146"/>
        <v>0</v>
      </c>
      <c r="S457" s="6">
        <f t="shared" si="147"/>
        <v>623.13177664745899</v>
      </c>
      <c r="T457" s="6" t="str">
        <f>IF(MOD(C457-Settings!$B$32,Settings!$B$33)&lt;Settings!$B$30,"Up","Down")</f>
        <v>Down</v>
      </c>
      <c r="U457" s="6">
        <f>IF(OR(I457&gt;Settings!$B$30,O457&gt;Settings!$B$37),0,1)</f>
        <v>1</v>
      </c>
      <c r="V457" s="6">
        <f>IF(AND(U457=1,O457&lt;=Settings!$B$36),1,0)</f>
        <v>0</v>
      </c>
    </row>
    <row r="458" spans="1:22" x14ac:dyDescent="0.2">
      <c r="A458">
        <f>Arrivals!A458</f>
        <v>4</v>
      </c>
      <c r="B458">
        <f>Arrivals!B458</f>
        <v>93</v>
      </c>
      <c r="C458" s="6">
        <f>Arrivals!F458</f>
        <v>614</v>
      </c>
      <c r="D458" s="6">
        <f>Arrivals!J458</f>
        <v>6.9518111725928389</v>
      </c>
      <c r="E458" s="6">
        <f t="shared" si="148"/>
        <v>1226.219745284433</v>
      </c>
      <c r="F458" s="6">
        <f t="shared" si="139"/>
        <v>1226.219745284433</v>
      </c>
      <c r="G458" s="6">
        <f t="shared" si="140"/>
        <v>1233.1715564570259</v>
      </c>
      <c r="H458" s="6">
        <f>Arrivals!L458</f>
        <v>75</v>
      </c>
      <c r="I458" s="6">
        <f>H458*8/ACE_Input!S98+ACE_Input!T98</f>
        <v>6.02</v>
      </c>
      <c r="J458" s="6">
        <f t="shared" si="149"/>
        <v>1238.205760965946</v>
      </c>
      <c r="K458" s="6">
        <f t="shared" si="141"/>
        <v>1238.205760965946</v>
      </c>
      <c r="L458" s="6">
        <f>MOD(K458-Settings!$B$32,Settings!$B$33)</f>
        <v>518.20576096594596</v>
      </c>
      <c r="M458" s="6">
        <f>IF(L458&lt;Settings!$B$30,IF(Settings!$B$30-L458&gt;=I458,K458,K458+(Settings!$B$30-L458)+Settings!$B$31),K458+(Settings!$B$33-L458))</f>
        <v>1238.205760965946</v>
      </c>
      <c r="N458" s="6">
        <f t="shared" si="142"/>
        <v>1244.2257609659459</v>
      </c>
      <c r="O458" s="6">
        <f t="shared" si="143"/>
        <v>630.22576096594594</v>
      </c>
      <c r="P458" s="6">
        <f t="shared" si="144"/>
        <v>612.21974528443297</v>
      </c>
      <c r="Q458" s="6">
        <f t="shared" si="145"/>
        <v>5.0342045089200838</v>
      </c>
      <c r="R458" s="6">
        <f t="shared" si="146"/>
        <v>0</v>
      </c>
      <c r="S458" s="6">
        <f t="shared" si="147"/>
        <v>617.25394979335306</v>
      </c>
      <c r="T458" s="6" t="str">
        <f>IF(MOD(C458-Settings!$B$32,Settings!$B$33)&lt;Settings!$B$30,"Up","Down")</f>
        <v>Down</v>
      </c>
      <c r="U458" s="6">
        <f>IF(OR(I458&gt;Settings!$B$30,O458&gt;Settings!$B$37),0,1)</f>
        <v>1</v>
      </c>
      <c r="V458" s="6">
        <f>IF(AND(U458=1,O458&lt;=Settings!$B$36),1,0)</f>
        <v>0</v>
      </c>
    </row>
    <row r="459" spans="1:22" x14ac:dyDescent="0.2">
      <c r="A459">
        <f>Arrivals!A459</f>
        <v>4</v>
      </c>
      <c r="B459">
        <f>Arrivals!B459</f>
        <v>94</v>
      </c>
      <c r="C459" s="6">
        <f>Arrivals!F459</f>
        <v>619</v>
      </c>
      <c r="D459" s="6">
        <f>Arrivals!J459</f>
        <v>5.4384480073210648</v>
      </c>
      <c r="E459" s="6">
        <f t="shared" si="148"/>
        <v>1233.1715564570259</v>
      </c>
      <c r="F459" s="6">
        <f t="shared" si="139"/>
        <v>1233.1715564570259</v>
      </c>
      <c r="G459" s="6">
        <f t="shared" si="140"/>
        <v>1238.610004464347</v>
      </c>
      <c r="H459" s="6">
        <f>Arrivals!L459</f>
        <v>75</v>
      </c>
      <c r="I459" s="6">
        <f>H459*8/ACE_Input!S99+ACE_Input!T99</f>
        <v>6.02</v>
      </c>
      <c r="J459" s="6">
        <f t="shared" si="149"/>
        <v>1244.2257609659459</v>
      </c>
      <c r="K459" s="6">
        <f t="shared" si="141"/>
        <v>1244.2257609659459</v>
      </c>
      <c r="L459" s="6">
        <f>MOD(K459-Settings!$B$32,Settings!$B$33)</f>
        <v>524.22576096594594</v>
      </c>
      <c r="M459" s="6">
        <f>IF(L459&lt;Settings!$B$30,IF(Settings!$B$30-L459&gt;=I459,K459,K459+(Settings!$B$30-L459)+Settings!$B$31),K459+(Settings!$B$33-L459))</f>
        <v>1244.2257609659459</v>
      </c>
      <c r="N459" s="6">
        <f t="shared" si="142"/>
        <v>1250.2457609659459</v>
      </c>
      <c r="O459" s="6">
        <f t="shared" si="143"/>
        <v>631.24576096594592</v>
      </c>
      <c r="P459" s="6">
        <f t="shared" si="144"/>
        <v>614.17155645702587</v>
      </c>
      <c r="Q459" s="6">
        <f t="shared" si="145"/>
        <v>5.6157565015989803</v>
      </c>
      <c r="R459" s="6">
        <f t="shared" si="146"/>
        <v>0</v>
      </c>
      <c r="S459" s="6">
        <f t="shared" si="147"/>
        <v>619.78731295862485</v>
      </c>
      <c r="T459" s="6" t="str">
        <f>IF(MOD(C459-Settings!$B$32,Settings!$B$33)&lt;Settings!$B$30,"Up","Down")</f>
        <v>Down</v>
      </c>
      <c r="U459" s="6">
        <f>IF(OR(I459&gt;Settings!$B$30,O459&gt;Settings!$B$37),0,1)</f>
        <v>1</v>
      </c>
      <c r="V459" s="6">
        <f>IF(AND(U459=1,O459&lt;=Settings!$B$36),1,0)</f>
        <v>0</v>
      </c>
    </row>
    <row r="460" spans="1:22" x14ac:dyDescent="0.2">
      <c r="A460">
        <f>Arrivals!A460</f>
        <v>4</v>
      </c>
      <c r="B460">
        <f>Arrivals!B460</f>
        <v>95</v>
      </c>
      <c r="C460" s="6">
        <f>Arrivals!F460</f>
        <v>624</v>
      </c>
      <c r="D460" s="6">
        <f>Arrivals!J460</f>
        <v>13.114664736044132</v>
      </c>
      <c r="E460" s="6">
        <f t="shared" si="148"/>
        <v>1238.610004464347</v>
      </c>
      <c r="F460" s="6">
        <f t="shared" si="139"/>
        <v>1238.610004464347</v>
      </c>
      <c r="G460" s="6">
        <f t="shared" si="140"/>
        <v>1251.7246692003912</v>
      </c>
      <c r="H460" s="6">
        <f>Arrivals!L460</f>
        <v>75</v>
      </c>
      <c r="I460" s="6">
        <f>H460*8/ACE_Input!S100+ACE_Input!T100</f>
        <v>6.02</v>
      </c>
      <c r="J460" s="6">
        <f t="shared" si="149"/>
        <v>1250.2457609659459</v>
      </c>
      <c r="K460" s="6">
        <f t="shared" si="141"/>
        <v>1251.7246692003912</v>
      </c>
      <c r="L460" s="6">
        <f>MOD(K460-Settings!$B$32,Settings!$B$33)</f>
        <v>531.72466920039119</v>
      </c>
      <c r="M460" s="6">
        <f>IF(L460&lt;Settings!$B$30,IF(Settings!$B$30-L460&gt;=I460,K460,K460+(Settings!$B$30-L460)+Settings!$B$31),K460+(Settings!$B$33-L460))</f>
        <v>1251.7246692003912</v>
      </c>
      <c r="N460" s="6">
        <f t="shared" si="142"/>
        <v>1257.7446692003912</v>
      </c>
      <c r="O460" s="6">
        <f t="shared" si="143"/>
        <v>633.74466920039117</v>
      </c>
      <c r="P460" s="6">
        <f t="shared" si="144"/>
        <v>614.61000446434696</v>
      </c>
      <c r="Q460" s="6">
        <f t="shared" si="145"/>
        <v>0</v>
      </c>
      <c r="R460" s="6">
        <f t="shared" si="146"/>
        <v>0</v>
      </c>
      <c r="S460" s="6">
        <f t="shared" si="147"/>
        <v>614.61000446434696</v>
      </c>
      <c r="T460" s="6" t="str">
        <f>IF(MOD(C460-Settings!$B$32,Settings!$B$33)&lt;Settings!$B$30,"Up","Down")</f>
        <v>Down</v>
      </c>
      <c r="U460" s="6">
        <f>IF(OR(I460&gt;Settings!$B$30,O460&gt;Settings!$B$37),0,1)</f>
        <v>1</v>
      </c>
      <c r="V460" s="6">
        <f>IF(AND(U460=1,O460&lt;=Settings!$B$36),1,0)</f>
        <v>0</v>
      </c>
    </row>
    <row r="461" spans="1:22" x14ac:dyDescent="0.2">
      <c r="A461">
        <f>Arrivals!A461</f>
        <v>4</v>
      </c>
      <c r="B461">
        <f>Arrivals!B461</f>
        <v>96</v>
      </c>
      <c r="C461" s="6">
        <f>Arrivals!F461</f>
        <v>629</v>
      </c>
      <c r="D461" s="6">
        <f>Arrivals!J461</f>
        <v>8.5463165284671749</v>
      </c>
      <c r="E461" s="6">
        <f t="shared" si="148"/>
        <v>1251.7246692003912</v>
      </c>
      <c r="F461" s="6">
        <f t="shared" si="139"/>
        <v>1251.7246692003912</v>
      </c>
      <c r="G461" s="6">
        <f t="shared" si="140"/>
        <v>1260.2709857288585</v>
      </c>
      <c r="H461" s="6">
        <f>Arrivals!L461</f>
        <v>75</v>
      </c>
      <c r="I461" s="6">
        <f>H461*8/ACE_Input!S101+ACE_Input!T101</f>
        <v>6.02</v>
      </c>
      <c r="J461" s="6">
        <f t="shared" si="149"/>
        <v>1257.7446692003912</v>
      </c>
      <c r="K461" s="6">
        <f t="shared" si="141"/>
        <v>1260.2709857288585</v>
      </c>
      <c r="L461" s="6">
        <f>MOD(K461-Settings!$B$32,Settings!$B$33)</f>
        <v>540.27098572885848</v>
      </c>
      <c r="M461" s="6">
        <f>IF(L461&lt;Settings!$B$30,IF(Settings!$B$30-L461&gt;=I461,K461,K461+(Settings!$B$30-L461)+Settings!$B$31),K461+(Settings!$B$33-L461))</f>
        <v>1260.2709857288585</v>
      </c>
      <c r="N461" s="6">
        <f t="shared" si="142"/>
        <v>1266.2909857288585</v>
      </c>
      <c r="O461" s="6">
        <f t="shared" si="143"/>
        <v>637.29098572885846</v>
      </c>
      <c r="P461" s="6">
        <f t="shared" si="144"/>
        <v>622.72466920039119</v>
      </c>
      <c r="Q461" s="6">
        <f t="shared" si="145"/>
        <v>0</v>
      </c>
      <c r="R461" s="6">
        <f t="shared" si="146"/>
        <v>0</v>
      </c>
      <c r="S461" s="6">
        <f t="shared" si="147"/>
        <v>622.72466920039119</v>
      </c>
      <c r="T461" s="6" t="str">
        <f>IF(MOD(C461-Settings!$B$32,Settings!$B$33)&lt;Settings!$B$30,"Up","Down")</f>
        <v>Down</v>
      </c>
      <c r="U461" s="6">
        <f>IF(OR(I461&gt;Settings!$B$30,O461&gt;Settings!$B$37),0,1)</f>
        <v>1</v>
      </c>
      <c r="V461" s="6">
        <f>IF(AND(U461=1,O461&lt;=Settings!$B$36),1,0)</f>
        <v>0</v>
      </c>
    </row>
    <row r="462" spans="1:22" x14ac:dyDescent="0.2">
      <c r="A462">
        <f>Arrivals!A462</f>
        <v>4</v>
      </c>
      <c r="B462">
        <f>Arrivals!B462</f>
        <v>97</v>
      </c>
      <c r="C462" s="6">
        <f>Arrivals!F462</f>
        <v>634</v>
      </c>
      <c r="D462" s="6">
        <f>Arrivals!J462</f>
        <v>0.45716769336221347</v>
      </c>
      <c r="E462" s="6">
        <f t="shared" si="148"/>
        <v>1260.2709857288585</v>
      </c>
      <c r="F462" s="6">
        <f t="shared" ref="F462:F465" si="150">MAX(C462,E462)</f>
        <v>1260.2709857288585</v>
      </c>
      <c r="G462" s="6">
        <f t="shared" ref="G462:G465" si="151">F462+D462</f>
        <v>1260.7281534222207</v>
      </c>
      <c r="H462" s="6">
        <f>Arrivals!L462</f>
        <v>75</v>
      </c>
      <c r="I462" s="6">
        <f>H462*8/ACE_Input!S102+ACE_Input!T102</f>
        <v>6.02</v>
      </c>
      <c r="J462" s="6">
        <f t="shared" si="149"/>
        <v>1266.2909857288585</v>
      </c>
      <c r="K462" s="6">
        <f t="shared" ref="K462:K465" si="152">MAX(G462,J462)</f>
        <v>1266.2909857288585</v>
      </c>
      <c r="L462" s="6">
        <f>MOD(K462-Settings!$B$32,Settings!$B$33)</f>
        <v>546.29098572885846</v>
      </c>
      <c r="M462" s="6">
        <f>IF(L462&lt;Settings!$B$30,IF(Settings!$B$30-L462&gt;=I462,K462,K462+(Settings!$B$30-L462)+Settings!$B$31),K462+(Settings!$B$33-L462))</f>
        <v>1266.2909857288585</v>
      </c>
      <c r="N462" s="6">
        <f t="shared" ref="N462:N465" si="153">M462+I462</f>
        <v>1272.3109857288584</v>
      </c>
      <c r="O462" s="6">
        <f t="shared" ref="O462:O465" si="154">N462-C462</f>
        <v>638.31098572885844</v>
      </c>
      <c r="P462" s="6">
        <f t="shared" si="144"/>
        <v>626.27098572885848</v>
      </c>
      <c r="Q462" s="6">
        <f t="shared" si="145"/>
        <v>5.5628323066378016</v>
      </c>
      <c r="R462" s="6">
        <f t="shared" si="146"/>
        <v>0</v>
      </c>
      <c r="S462" s="6">
        <f t="shared" ref="S462:S465" si="155">P462+Q462+R462</f>
        <v>631.83381803549628</v>
      </c>
      <c r="T462" s="6" t="str">
        <f>IF(MOD(C462-Settings!$B$32,Settings!$B$33)&lt;Settings!$B$30,"Up","Down")</f>
        <v>Down</v>
      </c>
      <c r="U462" s="6">
        <f>IF(OR(I462&gt;Settings!$B$30,O462&gt;Settings!$B$37),0,1)</f>
        <v>1</v>
      </c>
      <c r="V462" s="6">
        <f>IF(AND(U462=1,O462&lt;=Settings!$B$36),1,0)</f>
        <v>0</v>
      </c>
    </row>
    <row r="463" spans="1:22" x14ac:dyDescent="0.2">
      <c r="A463">
        <f>Arrivals!A463</f>
        <v>4</v>
      </c>
      <c r="B463">
        <f>Arrivals!B463</f>
        <v>98</v>
      </c>
      <c r="C463" s="6">
        <f>Arrivals!F463</f>
        <v>639</v>
      </c>
      <c r="D463" s="6">
        <f>Arrivals!J463</f>
        <v>3.5808160088869601</v>
      </c>
      <c r="E463" s="6">
        <f t="shared" si="148"/>
        <v>1260.7281534222207</v>
      </c>
      <c r="F463" s="6">
        <f t="shared" si="150"/>
        <v>1260.7281534222207</v>
      </c>
      <c r="G463" s="6">
        <f t="shared" si="151"/>
        <v>1264.3089694311077</v>
      </c>
      <c r="H463" s="6">
        <f>Arrivals!L463</f>
        <v>75</v>
      </c>
      <c r="I463" s="6">
        <f>H463*8/ACE_Input!S103+ACE_Input!T103</f>
        <v>6.02</v>
      </c>
      <c r="J463" s="6">
        <f t="shared" si="149"/>
        <v>1272.3109857288584</v>
      </c>
      <c r="K463" s="6">
        <f t="shared" si="152"/>
        <v>1272.3109857288584</v>
      </c>
      <c r="L463" s="6">
        <f>MOD(K463-Settings!$B$32,Settings!$B$33)</f>
        <v>552.31098572885844</v>
      </c>
      <c r="M463" s="6">
        <f>IF(L463&lt;Settings!$B$30,IF(Settings!$B$30-L463&gt;=I463,K463,K463+(Settings!$B$30-L463)+Settings!$B$31),K463+(Settings!$B$33-L463))</f>
        <v>1272.3109857288584</v>
      </c>
      <c r="N463" s="6">
        <f t="shared" si="153"/>
        <v>1278.3309857288584</v>
      </c>
      <c r="O463" s="6">
        <f t="shared" si="154"/>
        <v>639.33098572885842</v>
      </c>
      <c r="P463" s="6">
        <f t="shared" si="144"/>
        <v>621.72815342222066</v>
      </c>
      <c r="Q463" s="6">
        <f t="shared" si="145"/>
        <v>8.0020162977507425</v>
      </c>
      <c r="R463" s="6">
        <f t="shared" si="146"/>
        <v>0</v>
      </c>
      <c r="S463" s="6">
        <f t="shared" si="155"/>
        <v>629.7301697199714</v>
      </c>
      <c r="T463" s="6" t="str">
        <f>IF(MOD(C463-Settings!$B$32,Settings!$B$33)&lt;Settings!$B$30,"Up","Down")</f>
        <v>Down</v>
      </c>
      <c r="U463" s="6">
        <f>IF(OR(I463&gt;Settings!$B$30,O463&gt;Settings!$B$37),0,1)</f>
        <v>1</v>
      </c>
      <c r="V463" s="6">
        <f>IF(AND(U463=1,O463&lt;=Settings!$B$36),1,0)</f>
        <v>0</v>
      </c>
    </row>
    <row r="464" spans="1:22" x14ac:dyDescent="0.2">
      <c r="A464">
        <f>Arrivals!A464</f>
        <v>4</v>
      </c>
      <c r="B464">
        <f>Arrivals!B464</f>
        <v>99</v>
      </c>
      <c r="C464" s="6">
        <f>Arrivals!F464</f>
        <v>684</v>
      </c>
      <c r="D464" s="6">
        <f>Arrivals!J464</f>
        <v>1.9130906154592728</v>
      </c>
      <c r="E464" s="6">
        <f t="shared" si="148"/>
        <v>1264.3089694311077</v>
      </c>
      <c r="F464" s="6">
        <f t="shared" si="150"/>
        <v>1264.3089694311077</v>
      </c>
      <c r="G464" s="6">
        <f t="shared" si="151"/>
        <v>1266.2220600465669</v>
      </c>
      <c r="H464" s="6">
        <f>Arrivals!L464</f>
        <v>75</v>
      </c>
      <c r="I464" s="6">
        <f>H464*8/ACE_Input!S104+ACE_Input!T104</f>
        <v>6.02</v>
      </c>
      <c r="J464" s="6">
        <f t="shared" si="149"/>
        <v>1278.3309857288584</v>
      </c>
      <c r="K464" s="6">
        <f t="shared" si="152"/>
        <v>1278.3309857288584</v>
      </c>
      <c r="L464" s="6">
        <f>MOD(K464-Settings!$B$32,Settings!$B$33)</f>
        <v>558.33098572885842</v>
      </c>
      <c r="M464" s="6">
        <f>IF(L464&lt;Settings!$B$30,IF(Settings!$B$30-L464&gt;=I464,K464,K464+(Settings!$B$30-L464)+Settings!$B$31),K464+(Settings!$B$33-L464))</f>
        <v>1278.3309857288584</v>
      </c>
      <c r="N464" s="6">
        <f t="shared" si="153"/>
        <v>1284.3509857288584</v>
      </c>
      <c r="O464" s="6">
        <f t="shared" si="154"/>
        <v>600.3509857288584</v>
      </c>
      <c r="P464" s="6">
        <f t="shared" si="144"/>
        <v>580.3089694311077</v>
      </c>
      <c r="Q464" s="6">
        <f t="shared" si="145"/>
        <v>12.108925682291556</v>
      </c>
      <c r="R464" s="6">
        <f t="shared" si="146"/>
        <v>0</v>
      </c>
      <c r="S464" s="6">
        <f t="shared" si="155"/>
        <v>592.41789511339925</v>
      </c>
      <c r="T464" s="6" t="str">
        <f>IF(MOD(C464-Settings!$B$32,Settings!$B$33)&lt;Settings!$B$30,"Up","Down")</f>
        <v>Down</v>
      </c>
      <c r="U464" s="6">
        <f>IF(OR(I464&gt;Settings!$B$30,O464&gt;Settings!$B$37),0,1)</f>
        <v>1</v>
      </c>
      <c r="V464" s="6">
        <f>IF(AND(U464=1,O464&lt;=Settings!$B$36),1,0)</f>
        <v>0</v>
      </c>
    </row>
    <row r="465" spans="1:22" x14ac:dyDescent="0.2">
      <c r="A465">
        <f>Arrivals!A465</f>
        <v>4</v>
      </c>
      <c r="B465">
        <f>Arrivals!B465</f>
        <v>100</v>
      </c>
      <c r="C465" s="6">
        <f>Arrivals!F465</f>
        <v>689</v>
      </c>
      <c r="D465" s="6">
        <f>Arrivals!J465</f>
        <v>17.668766172339289</v>
      </c>
      <c r="E465" s="6">
        <f t="shared" si="148"/>
        <v>1266.2220600465669</v>
      </c>
      <c r="F465" s="6">
        <f t="shared" si="150"/>
        <v>1266.2220600465669</v>
      </c>
      <c r="G465" s="6">
        <f t="shared" si="151"/>
        <v>1283.8908262189061</v>
      </c>
      <c r="H465" s="6">
        <f>Arrivals!L465</f>
        <v>75</v>
      </c>
      <c r="I465" s="6">
        <f>H465*8/ACE_Input!S105+ACE_Input!T105</f>
        <v>6.02</v>
      </c>
      <c r="J465" s="6">
        <f t="shared" si="149"/>
        <v>1284.3509857288584</v>
      </c>
      <c r="K465" s="6">
        <f t="shared" si="152"/>
        <v>1284.3509857288584</v>
      </c>
      <c r="L465" s="6">
        <f>MOD(K465-Settings!$B$32,Settings!$B$33)</f>
        <v>564.3509857288584</v>
      </c>
      <c r="M465" s="6">
        <f>IF(L465&lt;Settings!$B$30,IF(Settings!$B$30-L465&gt;=I465,K465,K465+(Settings!$B$30-L465)+Settings!$B$31),K465+(Settings!$B$33-L465))</f>
        <v>1284.3509857288584</v>
      </c>
      <c r="N465" s="6">
        <f t="shared" si="153"/>
        <v>1290.3709857288584</v>
      </c>
      <c r="O465" s="6">
        <f t="shared" si="154"/>
        <v>601.37098572885839</v>
      </c>
      <c r="P465" s="6">
        <f t="shared" si="144"/>
        <v>577.22206004656687</v>
      </c>
      <c r="Q465" s="6">
        <f t="shared" si="145"/>
        <v>0.46015950995229105</v>
      </c>
      <c r="R465" s="6">
        <f t="shared" si="146"/>
        <v>0</v>
      </c>
      <c r="S465" s="6">
        <f t="shared" si="155"/>
        <v>577.68221955651916</v>
      </c>
      <c r="T465" s="6" t="str">
        <f>IF(MOD(C465-Settings!$B$32,Settings!$B$33)&lt;Settings!$B$30,"Up","Down")</f>
        <v>Down</v>
      </c>
      <c r="U465" s="6">
        <f>IF(OR(I465&gt;Settings!$B$30,O465&gt;Settings!$B$37),0,1)</f>
        <v>1</v>
      </c>
      <c r="V465" s="6">
        <f>IF(AND(U465=1,O465&lt;=Settings!$B$36),1,0)</f>
        <v>0</v>
      </c>
    </row>
    <row r="466" spans="1:22" x14ac:dyDescent="0.2">
      <c r="C466" s="6"/>
      <c r="D466" s="6"/>
      <c r="E466" s="6"/>
      <c r="F466" s="6"/>
      <c r="G466" s="6"/>
      <c r="H466" s="6"/>
      <c r="I466" s="6"/>
      <c r="J466" s="6"/>
      <c r="K466" s="6"/>
      <c r="L466" s="6"/>
      <c r="M466" s="6"/>
      <c r="N466" s="6"/>
      <c r="O466" s="6"/>
      <c r="P466" s="6"/>
      <c r="Q466" s="6"/>
      <c r="R466" s="6"/>
      <c r="S466" s="6"/>
      <c r="T466" s="6"/>
      <c r="U466" s="6"/>
      <c r="V466" s="6"/>
    </row>
    <row r="467" spans="1:22" x14ac:dyDescent="0.2">
      <c r="C467" s="6"/>
      <c r="D467" s="6"/>
      <c r="E467" s="6"/>
      <c r="F467" s="6"/>
      <c r="G467" s="6"/>
      <c r="H467" s="6"/>
      <c r="I467" s="6"/>
      <c r="J467" s="6"/>
      <c r="K467" s="6"/>
      <c r="L467" s="6"/>
      <c r="M467" s="6"/>
      <c r="N467" s="6"/>
      <c r="O467" s="6"/>
      <c r="P467" s="6"/>
      <c r="Q467" s="6"/>
      <c r="R467" s="6"/>
      <c r="S467" s="6"/>
      <c r="T467" s="6"/>
      <c r="U467" s="6"/>
      <c r="V467" s="6"/>
    </row>
    <row r="468" spans="1:22" x14ac:dyDescent="0.2">
      <c r="C468" s="6"/>
      <c r="D468" s="6"/>
      <c r="E468" s="6"/>
      <c r="F468" s="6"/>
      <c r="G468" s="6"/>
      <c r="H468" s="6"/>
      <c r="I468" s="6"/>
      <c r="J468" s="6"/>
      <c r="K468" s="6"/>
      <c r="L468" s="6"/>
      <c r="M468" s="6"/>
      <c r="N468" s="6"/>
      <c r="O468" s="6"/>
      <c r="P468" s="6"/>
      <c r="Q468" s="6"/>
      <c r="R468" s="6"/>
      <c r="S468" s="6"/>
      <c r="T468" s="6"/>
      <c r="U468" s="6"/>
      <c r="V468" s="6"/>
    </row>
    <row r="469" spans="1:22" x14ac:dyDescent="0.2">
      <c r="C469" s="6"/>
      <c r="D469" s="6"/>
      <c r="E469" s="6"/>
      <c r="F469" s="6"/>
      <c r="G469" s="6"/>
      <c r="H469" s="6"/>
      <c r="I469" s="6"/>
      <c r="J469" s="6"/>
      <c r="K469" s="6"/>
      <c r="L469" s="6"/>
      <c r="M469" s="6"/>
      <c r="N469" s="6"/>
      <c r="O469" s="6"/>
      <c r="P469" s="6"/>
      <c r="Q469" s="6"/>
      <c r="R469" s="6"/>
      <c r="S469" s="6"/>
      <c r="T469" s="6"/>
      <c r="U469" s="6"/>
      <c r="V469" s="6"/>
    </row>
    <row r="470" spans="1:22" x14ac:dyDescent="0.2">
      <c r="C470" s="6"/>
      <c r="D470" s="6"/>
      <c r="E470" s="6"/>
      <c r="F470" s="6"/>
      <c r="G470" s="6"/>
      <c r="H470" s="6"/>
      <c r="I470" s="6"/>
      <c r="J470" s="6"/>
      <c r="K470" s="6"/>
      <c r="L470" s="6"/>
      <c r="M470" s="6"/>
      <c r="N470" s="6"/>
      <c r="O470" s="6"/>
      <c r="P470" s="6"/>
      <c r="Q470" s="6"/>
      <c r="R470" s="6"/>
      <c r="S470" s="6"/>
      <c r="T470" s="6"/>
      <c r="U470" s="6"/>
      <c r="V470" s="6"/>
    </row>
    <row r="471" spans="1:22" x14ac:dyDescent="0.2">
      <c r="C471" s="6"/>
      <c r="D471" s="6"/>
      <c r="E471" s="6"/>
      <c r="F471" s="6"/>
      <c r="G471" s="6"/>
      <c r="H471" s="6"/>
      <c r="I471" s="6"/>
      <c r="J471" s="6"/>
      <c r="K471" s="6"/>
      <c r="L471" s="6"/>
      <c r="M471" s="6"/>
      <c r="N471" s="6"/>
      <c r="O471" s="6"/>
      <c r="P471" s="6"/>
      <c r="Q471" s="6"/>
      <c r="R471" s="6"/>
      <c r="S471" s="6"/>
      <c r="T471" s="6"/>
      <c r="U471" s="6"/>
      <c r="V471" s="6"/>
    </row>
    <row r="472" spans="1:22" x14ac:dyDescent="0.2">
      <c r="C472" s="6"/>
      <c r="D472" s="6"/>
      <c r="E472" s="6"/>
      <c r="F472" s="6"/>
      <c r="G472" s="6"/>
      <c r="H472" s="6"/>
      <c r="I472" s="6"/>
      <c r="J472" s="6"/>
      <c r="K472" s="6"/>
      <c r="L472" s="6"/>
      <c r="M472" s="6"/>
      <c r="N472" s="6"/>
      <c r="O472" s="6"/>
      <c r="P472" s="6"/>
      <c r="Q472" s="6"/>
      <c r="R472" s="6"/>
      <c r="S472" s="6"/>
      <c r="T472" s="6"/>
      <c r="U472" s="6"/>
      <c r="V472" s="6"/>
    </row>
    <row r="473" spans="1:22" x14ac:dyDescent="0.2">
      <c r="C473" s="6"/>
      <c r="D473" s="6"/>
      <c r="E473" s="6"/>
      <c r="F473" s="6"/>
      <c r="G473" s="6"/>
      <c r="H473" s="6"/>
      <c r="I473" s="6"/>
      <c r="J473" s="6"/>
      <c r="K473" s="6"/>
      <c r="L473" s="6"/>
      <c r="M473" s="6"/>
      <c r="N473" s="6"/>
      <c r="O473" s="6"/>
      <c r="P473" s="6"/>
      <c r="Q473" s="6"/>
      <c r="R473" s="6"/>
      <c r="S473" s="6"/>
      <c r="T473" s="6"/>
      <c r="U473" s="6"/>
      <c r="V473" s="6"/>
    </row>
    <row r="474" spans="1:22" x14ac:dyDescent="0.2">
      <c r="C474" s="6"/>
      <c r="D474" s="6"/>
      <c r="E474" s="6"/>
      <c r="F474" s="6"/>
      <c r="G474" s="6"/>
      <c r="H474" s="6"/>
      <c r="I474" s="6"/>
      <c r="J474" s="6"/>
      <c r="K474" s="6"/>
      <c r="L474" s="6"/>
      <c r="M474" s="6"/>
      <c r="N474" s="6"/>
      <c r="O474" s="6"/>
      <c r="P474" s="6"/>
      <c r="Q474" s="6"/>
      <c r="R474" s="6"/>
      <c r="S474" s="6"/>
      <c r="T474" s="6"/>
      <c r="U474" s="6"/>
      <c r="V474" s="6"/>
    </row>
    <row r="475" spans="1:22" x14ac:dyDescent="0.2">
      <c r="C475" s="6"/>
      <c r="D475" s="6"/>
      <c r="E475" s="6"/>
      <c r="F475" s="6"/>
      <c r="G475" s="6"/>
      <c r="H475" s="6"/>
      <c r="I475" s="6"/>
      <c r="J475" s="6"/>
      <c r="K475" s="6"/>
      <c r="L475" s="6"/>
      <c r="M475" s="6"/>
      <c r="N475" s="6"/>
      <c r="O475" s="6"/>
      <c r="P475" s="6"/>
      <c r="Q475" s="6"/>
      <c r="R475" s="6"/>
      <c r="S475" s="6"/>
      <c r="T475" s="6"/>
      <c r="U475" s="6"/>
      <c r="V475" s="6"/>
    </row>
    <row r="476" spans="1:22" x14ac:dyDescent="0.2">
      <c r="C476" s="6"/>
      <c r="D476" s="6"/>
      <c r="E476" s="6"/>
      <c r="F476" s="6"/>
      <c r="G476" s="6"/>
      <c r="H476" s="6"/>
      <c r="I476" s="6"/>
      <c r="J476" s="6"/>
      <c r="K476" s="6"/>
      <c r="L476" s="6"/>
      <c r="M476" s="6"/>
      <c r="N476" s="6"/>
      <c r="O476" s="6"/>
      <c r="P476" s="6"/>
      <c r="Q476" s="6"/>
      <c r="R476" s="6"/>
      <c r="S476" s="6"/>
      <c r="T476" s="6"/>
      <c r="U476" s="6"/>
      <c r="V476" s="6"/>
    </row>
    <row r="477" spans="1:22" x14ac:dyDescent="0.2">
      <c r="C477" s="6"/>
      <c r="D477" s="6"/>
      <c r="E477" s="6"/>
      <c r="F477" s="6"/>
      <c r="G477" s="6"/>
      <c r="H477" s="6"/>
      <c r="I477" s="6"/>
      <c r="J477" s="6"/>
      <c r="K477" s="6"/>
      <c r="L477" s="6"/>
      <c r="M477" s="6"/>
      <c r="N477" s="6"/>
      <c r="O477" s="6"/>
      <c r="P477" s="6"/>
      <c r="Q477" s="6"/>
      <c r="R477" s="6"/>
      <c r="S477" s="6"/>
      <c r="T477" s="6"/>
      <c r="U477" s="6"/>
      <c r="V477" s="6"/>
    </row>
    <row r="478" spans="1:22" x14ac:dyDescent="0.2">
      <c r="C478" s="6"/>
      <c r="D478" s="6"/>
      <c r="E478" s="6"/>
      <c r="F478" s="6"/>
      <c r="G478" s="6"/>
      <c r="H478" s="6"/>
      <c r="I478" s="6"/>
      <c r="J478" s="6"/>
      <c r="K478" s="6"/>
      <c r="L478" s="6"/>
      <c r="M478" s="6"/>
      <c r="N478" s="6"/>
      <c r="O478" s="6"/>
      <c r="P478" s="6"/>
      <c r="Q478" s="6"/>
      <c r="R478" s="6"/>
      <c r="S478" s="6"/>
      <c r="T478" s="6"/>
      <c r="U478" s="6"/>
      <c r="V478" s="6"/>
    </row>
    <row r="479" spans="1:22" x14ac:dyDescent="0.2">
      <c r="C479" s="6"/>
      <c r="D479" s="6"/>
      <c r="E479" s="6"/>
      <c r="F479" s="6"/>
      <c r="G479" s="6"/>
      <c r="H479" s="6"/>
      <c r="I479" s="6"/>
      <c r="J479" s="6"/>
      <c r="K479" s="6"/>
      <c r="L479" s="6"/>
      <c r="M479" s="6"/>
      <c r="N479" s="6"/>
      <c r="O479" s="6"/>
      <c r="P479" s="6"/>
      <c r="Q479" s="6"/>
      <c r="R479" s="6"/>
      <c r="S479" s="6"/>
      <c r="T479" s="6"/>
      <c r="U479" s="6"/>
      <c r="V479" s="6"/>
    </row>
    <row r="480" spans="1:22" x14ac:dyDescent="0.2">
      <c r="C480" s="6"/>
      <c r="D480" s="6"/>
      <c r="E480" s="6"/>
      <c r="F480" s="6"/>
      <c r="G480" s="6"/>
      <c r="H480" s="6"/>
      <c r="I480" s="6"/>
      <c r="J480" s="6"/>
      <c r="K480" s="6"/>
      <c r="L480" s="6"/>
      <c r="M480" s="6"/>
      <c r="N480" s="6"/>
      <c r="O480" s="6"/>
      <c r="P480" s="6"/>
      <c r="Q480" s="6"/>
      <c r="R480" s="6"/>
      <c r="S480" s="6"/>
      <c r="T480" s="6"/>
      <c r="U480" s="6"/>
      <c r="V480" s="6"/>
    </row>
    <row r="481" spans="1:22" x14ac:dyDescent="0.2">
      <c r="C481" s="6"/>
      <c r="D481" s="6"/>
      <c r="E481" s="6"/>
      <c r="F481" s="6"/>
      <c r="G481" s="6"/>
      <c r="H481" s="6"/>
      <c r="I481" s="6"/>
      <c r="J481" s="6"/>
      <c r="K481" s="6"/>
      <c r="L481" s="6"/>
      <c r="M481" s="6"/>
      <c r="N481" s="6"/>
      <c r="O481" s="6"/>
      <c r="P481" s="6"/>
      <c r="Q481" s="6"/>
      <c r="R481" s="6"/>
      <c r="S481" s="6"/>
      <c r="T481" s="6"/>
      <c r="U481" s="6"/>
      <c r="V481" s="6"/>
    </row>
    <row r="482" spans="1:22" x14ac:dyDescent="0.2">
      <c r="C482" s="6"/>
      <c r="D482" s="6"/>
      <c r="E482" s="6"/>
      <c r="F482" s="6"/>
      <c r="G482" s="6"/>
      <c r="H482" s="6"/>
      <c r="I482" s="6"/>
      <c r="J482" s="6"/>
      <c r="K482" s="6"/>
      <c r="L482" s="6"/>
      <c r="M482" s="6"/>
      <c r="N482" s="6"/>
      <c r="O482" s="6"/>
      <c r="P482" s="6"/>
      <c r="Q482" s="6"/>
      <c r="R482" s="6"/>
      <c r="S482" s="6"/>
      <c r="T482" s="6"/>
      <c r="U482" s="6"/>
      <c r="V482" s="6"/>
    </row>
    <row r="483" spans="1:22" x14ac:dyDescent="0.2">
      <c r="C483" s="6"/>
      <c r="D483" s="6"/>
      <c r="E483" s="6"/>
      <c r="F483" s="6"/>
      <c r="G483" s="6"/>
      <c r="H483" s="6"/>
      <c r="I483" s="6"/>
      <c r="J483" s="6"/>
      <c r="K483" s="6"/>
      <c r="L483" s="6"/>
      <c r="M483" s="6"/>
      <c r="N483" s="6"/>
      <c r="O483" s="6"/>
      <c r="P483" s="6"/>
      <c r="Q483" s="6"/>
      <c r="R483" s="6"/>
      <c r="S483" s="6"/>
      <c r="T483" s="6"/>
      <c r="U483" s="6"/>
      <c r="V483" s="6"/>
    </row>
    <row r="484" spans="1:22" x14ac:dyDescent="0.2">
      <c r="C484" s="6"/>
      <c r="D484" s="6"/>
      <c r="E484" s="6"/>
      <c r="F484" s="6"/>
      <c r="G484" s="6"/>
      <c r="H484" s="6"/>
      <c r="I484" s="6"/>
      <c r="J484" s="6"/>
      <c r="K484" s="6"/>
      <c r="L484" s="6"/>
      <c r="M484" s="6"/>
      <c r="N484" s="6"/>
      <c r="O484" s="6"/>
      <c r="P484" s="6"/>
      <c r="Q484" s="6"/>
      <c r="R484" s="6"/>
      <c r="S484" s="6"/>
      <c r="T484" s="6"/>
      <c r="U484" s="6"/>
      <c r="V484" s="6"/>
    </row>
    <row r="485" spans="1:22" x14ac:dyDescent="0.2">
      <c r="C485" s="6"/>
      <c r="D485" s="6"/>
      <c r="E485" s="6"/>
      <c r="F485" s="6"/>
      <c r="G485" s="6"/>
      <c r="H485" s="6"/>
      <c r="I485" s="6"/>
      <c r="J485" s="6"/>
      <c r="K485" s="6"/>
      <c r="L485" s="6"/>
      <c r="M485" s="6"/>
      <c r="N485" s="6"/>
      <c r="O485" s="6"/>
      <c r="P485" s="6"/>
      <c r="Q485" s="6"/>
      <c r="R485" s="6"/>
      <c r="S485" s="6"/>
      <c r="T485" s="6"/>
      <c r="U485" s="6"/>
      <c r="V485" s="6"/>
    </row>
    <row r="486" spans="1:22" x14ac:dyDescent="0.2">
      <c r="A486">
        <f>Arrivals!A486</f>
        <v>5</v>
      </c>
      <c r="B486">
        <f>Arrivals!B486</f>
        <v>1</v>
      </c>
      <c r="C486" s="6">
        <f>Arrivals!F486</f>
        <v>2</v>
      </c>
      <c r="D486" s="6">
        <f>Arrivals!J486</f>
        <v>9.2075183734255432</v>
      </c>
      <c r="E486" s="6">
        <f>0</f>
        <v>0</v>
      </c>
      <c r="F486" s="6">
        <f t="shared" ref="F486:F517" si="156">MAX(C486,E486)</f>
        <v>2</v>
      </c>
      <c r="G486" s="6">
        <f t="shared" ref="G486:G517" si="157">F486+D486</f>
        <v>11.207518373425543</v>
      </c>
      <c r="H486" s="6">
        <f>Arrivals!L486</f>
        <v>75</v>
      </c>
      <c r="I486" s="6">
        <f>H486*8/ACE_Input!S6+ACE_Input!T6</f>
        <v>6.02</v>
      </c>
      <c r="J486" s="6">
        <f>0</f>
        <v>0</v>
      </c>
      <c r="K486" s="6">
        <f t="shared" ref="K486:K517" si="158">MAX(G486,J486)</f>
        <v>11.207518373425543</v>
      </c>
      <c r="L486" s="6">
        <f>MOD(K486-Settings!$B$32,Settings!$B$33)</f>
        <v>11.207518373425543</v>
      </c>
      <c r="M486" s="6">
        <f>IF(L486&lt;Settings!$B$30,IF(Settings!$B$30-L486&gt;=I486,K486,K486+(Settings!$B$30-L486)+Settings!$B$31),K486+(Settings!$B$33-L486))</f>
        <v>11.207518373425543</v>
      </c>
      <c r="N486" s="6">
        <f t="shared" ref="N486:N517" si="159">M486+I486</f>
        <v>17.227518373425543</v>
      </c>
      <c r="O486" s="6">
        <f t="shared" ref="O486:O517" si="160">N486-C486</f>
        <v>15.227518373425543</v>
      </c>
      <c r="P486" s="6">
        <f t="shared" ref="P486:P517" si="161">F486-C486</f>
        <v>0</v>
      </c>
      <c r="Q486" s="6">
        <f t="shared" ref="Q486:Q517" si="162">K486-G486</f>
        <v>0</v>
      </c>
      <c r="R486" s="6">
        <f t="shared" ref="R486:R517" si="163">M486-K486</f>
        <v>0</v>
      </c>
      <c r="S486" s="6">
        <f t="shared" ref="S486:S517" si="164">P486+Q486+R486</f>
        <v>0</v>
      </c>
      <c r="T486" s="6" t="str">
        <f>IF(MOD(C486-Settings!$B$32,Settings!$B$33)&lt;Settings!$B$30,"Up","Down")</f>
        <v>Up</v>
      </c>
      <c r="U486" s="6">
        <f>IF(OR(I486&gt;Settings!$B$30,O486&gt;Settings!$B$37),0,1)</f>
        <v>1</v>
      </c>
      <c r="V486" s="6">
        <f>IF(AND(U486=1,O486&lt;=Settings!$B$36),1,0)</f>
        <v>1</v>
      </c>
    </row>
    <row r="487" spans="1:22" x14ac:dyDescent="0.2">
      <c r="A487">
        <f>Arrivals!A487</f>
        <v>5</v>
      </c>
      <c r="B487">
        <f>Arrivals!B487</f>
        <v>2</v>
      </c>
      <c r="C487" s="6">
        <f>Arrivals!F487</f>
        <v>7</v>
      </c>
      <c r="D487" s="6">
        <f>Arrivals!J487</f>
        <v>0.5760421303128952</v>
      </c>
      <c r="E487" s="6">
        <f t="shared" ref="E487:E518" si="165">G486</f>
        <v>11.207518373425543</v>
      </c>
      <c r="F487" s="6">
        <f t="shared" si="156"/>
        <v>11.207518373425543</v>
      </c>
      <c r="G487" s="6">
        <f t="shared" si="157"/>
        <v>11.783560503738439</v>
      </c>
      <c r="H487" s="6">
        <f>Arrivals!L487</f>
        <v>75</v>
      </c>
      <c r="I487" s="6">
        <f>H487*8/ACE_Input!S7+ACE_Input!T7</f>
        <v>6.02</v>
      </c>
      <c r="J487" s="6">
        <f t="shared" ref="J487:J518" si="166">N486</f>
        <v>17.227518373425543</v>
      </c>
      <c r="K487" s="6">
        <f t="shared" si="158"/>
        <v>17.227518373425543</v>
      </c>
      <c r="L487" s="6">
        <f>MOD(K487-Settings!$B$32,Settings!$B$33)</f>
        <v>17.227518373425543</v>
      </c>
      <c r="M487" s="6">
        <f>IF(L487&lt;Settings!$B$30,IF(Settings!$B$30-L487&gt;=I487,K487,K487+(Settings!$B$30-L487)+Settings!$B$31),K487+(Settings!$B$33-L487))</f>
        <v>17.227518373425543</v>
      </c>
      <c r="N487" s="6">
        <f t="shared" si="159"/>
        <v>23.247518373425542</v>
      </c>
      <c r="O487" s="6">
        <f t="shared" si="160"/>
        <v>16.247518373425542</v>
      </c>
      <c r="P487" s="6">
        <f t="shared" si="161"/>
        <v>4.2075183734255432</v>
      </c>
      <c r="Q487" s="6">
        <f t="shared" si="162"/>
        <v>5.4439578696871038</v>
      </c>
      <c r="R487" s="6">
        <f t="shared" si="163"/>
        <v>0</v>
      </c>
      <c r="S487" s="6">
        <f t="shared" si="164"/>
        <v>9.6514762431126471</v>
      </c>
      <c r="T487" s="6" t="str">
        <f>IF(MOD(C487-Settings!$B$32,Settings!$B$33)&lt;Settings!$B$30,"Up","Down")</f>
        <v>Up</v>
      </c>
      <c r="U487" s="6">
        <f>IF(OR(I487&gt;Settings!$B$30,O487&gt;Settings!$B$37),0,1)</f>
        <v>1</v>
      </c>
      <c r="V487" s="6">
        <f>IF(AND(U487=1,O487&lt;=Settings!$B$36),1,0)</f>
        <v>1</v>
      </c>
    </row>
    <row r="488" spans="1:22" x14ac:dyDescent="0.2">
      <c r="A488">
        <f>Arrivals!A488</f>
        <v>5</v>
      </c>
      <c r="B488">
        <f>Arrivals!B488</f>
        <v>3</v>
      </c>
      <c r="C488" s="6">
        <f>Arrivals!F488</f>
        <v>32</v>
      </c>
      <c r="D488" s="6">
        <f>Arrivals!J488</f>
        <v>16.012717339481263</v>
      </c>
      <c r="E488" s="6">
        <f t="shared" si="165"/>
        <v>11.783560503738439</v>
      </c>
      <c r="F488" s="6">
        <f t="shared" si="156"/>
        <v>32</v>
      </c>
      <c r="G488" s="6">
        <f t="shared" si="157"/>
        <v>48.012717339481263</v>
      </c>
      <c r="H488" s="6">
        <f>Arrivals!L488</f>
        <v>75</v>
      </c>
      <c r="I488" s="6">
        <f>H488*8/ACE_Input!S8+ACE_Input!T8</f>
        <v>6.02</v>
      </c>
      <c r="J488" s="6">
        <f t="shared" si="166"/>
        <v>23.247518373425542</v>
      </c>
      <c r="K488" s="6">
        <f t="shared" si="158"/>
        <v>48.012717339481263</v>
      </c>
      <c r="L488" s="6">
        <f>MOD(K488-Settings!$B$32,Settings!$B$33)</f>
        <v>48.012717339481263</v>
      </c>
      <c r="M488" s="6">
        <f>IF(L488&lt;Settings!$B$30,IF(Settings!$B$30-L488&gt;=I488,K488,K488+(Settings!$B$30-L488)+Settings!$B$31),K488+(Settings!$B$33-L488))</f>
        <v>48.012717339481263</v>
      </c>
      <c r="N488" s="6">
        <f t="shared" si="159"/>
        <v>54.032717339481266</v>
      </c>
      <c r="O488" s="6">
        <f t="shared" si="160"/>
        <v>22.032717339481266</v>
      </c>
      <c r="P488" s="6">
        <f t="shared" si="161"/>
        <v>0</v>
      </c>
      <c r="Q488" s="6">
        <f t="shared" si="162"/>
        <v>0</v>
      </c>
      <c r="R488" s="6">
        <f t="shared" si="163"/>
        <v>0</v>
      </c>
      <c r="S488" s="6">
        <f t="shared" si="164"/>
        <v>0</v>
      </c>
      <c r="T488" s="6" t="str">
        <f>IF(MOD(C488-Settings!$B$32,Settings!$B$33)&lt;Settings!$B$30,"Up","Down")</f>
        <v>Up</v>
      </c>
      <c r="U488" s="6">
        <f>IF(OR(I488&gt;Settings!$B$30,O488&gt;Settings!$B$37),0,1)</f>
        <v>1</v>
      </c>
      <c r="V488" s="6">
        <f>IF(AND(U488=1,O488&lt;=Settings!$B$36),1,0)</f>
        <v>1</v>
      </c>
    </row>
    <row r="489" spans="1:22" x14ac:dyDescent="0.2">
      <c r="A489">
        <f>Arrivals!A489</f>
        <v>5</v>
      </c>
      <c r="B489">
        <f>Arrivals!B489</f>
        <v>4</v>
      </c>
      <c r="C489" s="6">
        <f>Arrivals!F489</f>
        <v>37</v>
      </c>
      <c r="D489" s="6">
        <f>Arrivals!J489</f>
        <v>6.4444781868907199</v>
      </c>
      <c r="E489" s="6">
        <f t="shared" si="165"/>
        <v>48.012717339481263</v>
      </c>
      <c r="F489" s="6">
        <f t="shared" si="156"/>
        <v>48.012717339481263</v>
      </c>
      <c r="G489" s="6">
        <f t="shared" si="157"/>
        <v>54.457195526371983</v>
      </c>
      <c r="H489" s="6">
        <f>Arrivals!L489</f>
        <v>75</v>
      </c>
      <c r="I489" s="6">
        <f>H489*8/ACE_Input!S9+ACE_Input!T9</f>
        <v>6.02</v>
      </c>
      <c r="J489" s="6">
        <f t="shared" si="166"/>
        <v>54.032717339481266</v>
      </c>
      <c r="K489" s="6">
        <f t="shared" si="158"/>
        <v>54.457195526371983</v>
      </c>
      <c r="L489" s="6">
        <f>MOD(K489-Settings!$B$32,Settings!$B$33)</f>
        <v>54.457195526371983</v>
      </c>
      <c r="M489" s="6">
        <f>IF(L489&lt;Settings!$B$30,IF(Settings!$B$30-L489&gt;=I489,K489,K489+(Settings!$B$30-L489)+Settings!$B$31),K489+(Settings!$B$33-L489))</f>
        <v>54.457195526371983</v>
      </c>
      <c r="N489" s="6">
        <f t="shared" si="159"/>
        <v>60.477195526371986</v>
      </c>
      <c r="O489" s="6">
        <f t="shared" si="160"/>
        <v>23.477195526371986</v>
      </c>
      <c r="P489" s="6">
        <f t="shared" si="161"/>
        <v>11.012717339481263</v>
      </c>
      <c r="Q489" s="6">
        <f t="shared" si="162"/>
        <v>0</v>
      </c>
      <c r="R489" s="6">
        <f t="shared" si="163"/>
        <v>0</v>
      </c>
      <c r="S489" s="6">
        <f t="shared" si="164"/>
        <v>11.012717339481263</v>
      </c>
      <c r="T489" s="6" t="str">
        <f>IF(MOD(C489-Settings!$B$32,Settings!$B$33)&lt;Settings!$B$30,"Up","Down")</f>
        <v>Up</v>
      </c>
      <c r="U489" s="6">
        <f>IF(OR(I489&gt;Settings!$B$30,O489&gt;Settings!$B$37),0,1)</f>
        <v>1</v>
      </c>
      <c r="V489" s="6">
        <f>IF(AND(U489=1,O489&lt;=Settings!$B$36),1,0)</f>
        <v>1</v>
      </c>
    </row>
    <row r="490" spans="1:22" x14ac:dyDescent="0.2">
      <c r="A490">
        <f>Arrivals!A490</f>
        <v>5</v>
      </c>
      <c r="B490">
        <f>Arrivals!B490</f>
        <v>5</v>
      </c>
      <c r="C490" s="6">
        <f>Arrivals!F490</f>
        <v>42</v>
      </c>
      <c r="D490" s="6">
        <f>Arrivals!J490</f>
        <v>15.05096668729851</v>
      </c>
      <c r="E490" s="6">
        <f t="shared" si="165"/>
        <v>54.457195526371983</v>
      </c>
      <c r="F490" s="6">
        <f t="shared" si="156"/>
        <v>54.457195526371983</v>
      </c>
      <c r="G490" s="6">
        <f t="shared" si="157"/>
        <v>69.508162213670488</v>
      </c>
      <c r="H490" s="6">
        <f>Arrivals!L490</f>
        <v>75</v>
      </c>
      <c r="I490" s="6">
        <f>H490*8/ACE_Input!S10+ACE_Input!T10</f>
        <v>6.02</v>
      </c>
      <c r="J490" s="6">
        <f t="shared" si="166"/>
        <v>60.477195526371986</v>
      </c>
      <c r="K490" s="6">
        <f t="shared" si="158"/>
        <v>69.508162213670488</v>
      </c>
      <c r="L490" s="6">
        <f>MOD(K490-Settings!$B$32,Settings!$B$33)</f>
        <v>69.508162213670488</v>
      </c>
      <c r="M490" s="6">
        <f>IF(L490&lt;Settings!$B$30,IF(Settings!$B$30-L490&gt;=I490,K490,K490+(Settings!$B$30-L490)+Settings!$B$31),K490+(Settings!$B$33-L490))</f>
        <v>69.508162213670488</v>
      </c>
      <c r="N490" s="6">
        <f t="shared" si="159"/>
        <v>75.528162213670484</v>
      </c>
      <c r="O490" s="6">
        <f t="shared" si="160"/>
        <v>33.528162213670484</v>
      </c>
      <c r="P490" s="6">
        <f t="shared" si="161"/>
        <v>12.457195526371983</v>
      </c>
      <c r="Q490" s="6">
        <f t="shared" si="162"/>
        <v>0</v>
      </c>
      <c r="R490" s="6">
        <f t="shared" si="163"/>
        <v>0</v>
      </c>
      <c r="S490" s="6">
        <f t="shared" si="164"/>
        <v>12.457195526371983</v>
      </c>
      <c r="T490" s="6" t="str">
        <f>IF(MOD(C490-Settings!$B$32,Settings!$B$33)&lt;Settings!$B$30,"Up","Down")</f>
        <v>Up</v>
      </c>
      <c r="U490" s="6">
        <f>IF(OR(I490&gt;Settings!$B$30,O490&gt;Settings!$B$37),0,1)</f>
        <v>1</v>
      </c>
      <c r="V490" s="6">
        <f>IF(AND(U490=1,O490&lt;=Settings!$B$36),1,0)</f>
        <v>1</v>
      </c>
    </row>
    <row r="491" spans="1:22" x14ac:dyDescent="0.2">
      <c r="A491">
        <f>Arrivals!A491</f>
        <v>5</v>
      </c>
      <c r="B491">
        <f>Arrivals!B491</f>
        <v>6</v>
      </c>
      <c r="C491" s="6">
        <f>Arrivals!F491</f>
        <v>47</v>
      </c>
      <c r="D491" s="6">
        <f>Arrivals!J491</f>
        <v>1.5627780916989575</v>
      </c>
      <c r="E491" s="6">
        <f t="shared" si="165"/>
        <v>69.508162213670488</v>
      </c>
      <c r="F491" s="6">
        <f t="shared" si="156"/>
        <v>69.508162213670488</v>
      </c>
      <c r="G491" s="6">
        <f t="shared" si="157"/>
        <v>71.070940305369447</v>
      </c>
      <c r="H491" s="6">
        <f>Arrivals!L491</f>
        <v>75</v>
      </c>
      <c r="I491" s="6">
        <f>H491*8/ACE_Input!S11+ACE_Input!T11</f>
        <v>6.02</v>
      </c>
      <c r="J491" s="6">
        <f t="shared" si="166"/>
        <v>75.528162213670484</v>
      </c>
      <c r="K491" s="6">
        <f t="shared" si="158"/>
        <v>75.528162213670484</v>
      </c>
      <c r="L491" s="6">
        <f>MOD(K491-Settings!$B$32,Settings!$B$33)</f>
        <v>75.528162213670484</v>
      </c>
      <c r="M491" s="6">
        <f>IF(L491&lt;Settings!$B$30,IF(Settings!$B$30-L491&gt;=I491,K491,K491+(Settings!$B$30-L491)+Settings!$B$31),K491+(Settings!$B$33-L491))</f>
        <v>75.528162213670484</v>
      </c>
      <c r="N491" s="6">
        <f t="shared" si="159"/>
        <v>81.54816221367048</v>
      </c>
      <c r="O491" s="6">
        <f t="shared" si="160"/>
        <v>34.54816221367048</v>
      </c>
      <c r="P491" s="6">
        <f t="shared" si="161"/>
        <v>22.508162213670488</v>
      </c>
      <c r="Q491" s="6">
        <f t="shared" si="162"/>
        <v>4.4572219083010367</v>
      </c>
      <c r="R491" s="6">
        <f t="shared" si="163"/>
        <v>0</v>
      </c>
      <c r="S491" s="6">
        <f t="shared" si="164"/>
        <v>26.965384121971525</v>
      </c>
      <c r="T491" s="6" t="str">
        <f>IF(MOD(C491-Settings!$B$32,Settings!$B$33)&lt;Settings!$B$30,"Up","Down")</f>
        <v>Up</v>
      </c>
      <c r="U491" s="6">
        <f>IF(OR(I491&gt;Settings!$B$30,O491&gt;Settings!$B$37),0,1)</f>
        <v>1</v>
      </c>
      <c r="V491" s="6">
        <f>IF(AND(U491=1,O491&lt;=Settings!$B$36),1,0)</f>
        <v>1</v>
      </c>
    </row>
    <row r="492" spans="1:22" x14ac:dyDescent="0.2">
      <c r="A492">
        <f>Arrivals!A492</f>
        <v>5</v>
      </c>
      <c r="B492">
        <f>Arrivals!B492</f>
        <v>7</v>
      </c>
      <c r="C492" s="6">
        <f>Arrivals!F492</f>
        <v>52</v>
      </c>
      <c r="D492" s="6">
        <f>Arrivals!J492</f>
        <v>3.7162129485598361</v>
      </c>
      <c r="E492" s="6">
        <f t="shared" si="165"/>
        <v>71.070940305369447</v>
      </c>
      <c r="F492" s="6">
        <f t="shared" si="156"/>
        <v>71.070940305369447</v>
      </c>
      <c r="G492" s="6">
        <f t="shared" si="157"/>
        <v>74.78715325392929</v>
      </c>
      <c r="H492" s="6">
        <f>Arrivals!L492</f>
        <v>75</v>
      </c>
      <c r="I492" s="6">
        <f>H492*8/ACE_Input!S12+ACE_Input!T12</f>
        <v>6.02</v>
      </c>
      <c r="J492" s="6">
        <f t="shared" si="166"/>
        <v>81.54816221367048</v>
      </c>
      <c r="K492" s="6">
        <f t="shared" si="158"/>
        <v>81.54816221367048</v>
      </c>
      <c r="L492" s="6">
        <f>MOD(K492-Settings!$B$32,Settings!$B$33)</f>
        <v>81.54816221367048</v>
      </c>
      <c r="M492" s="6">
        <f>IF(L492&lt;Settings!$B$30,IF(Settings!$B$30-L492&gt;=I492,K492,K492+(Settings!$B$30-L492)+Settings!$B$31),K492+(Settings!$B$33-L492))</f>
        <v>81.54816221367048</v>
      </c>
      <c r="N492" s="6">
        <f t="shared" si="159"/>
        <v>87.568162213670476</v>
      </c>
      <c r="O492" s="6">
        <f t="shared" si="160"/>
        <v>35.568162213670476</v>
      </c>
      <c r="P492" s="6">
        <f t="shared" si="161"/>
        <v>19.070940305369447</v>
      </c>
      <c r="Q492" s="6">
        <f t="shared" si="162"/>
        <v>6.76100895974119</v>
      </c>
      <c r="R492" s="6">
        <f t="shared" si="163"/>
        <v>0</v>
      </c>
      <c r="S492" s="6">
        <f t="shared" si="164"/>
        <v>25.831949265110637</v>
      </c>
      <c r="T492" s="6" t="str">
        <f>IF(MOD(C492-Settings!$B$32,Settings!$B$33)&lt;Settings!$B$30,"Up","Down")</f>
        <v>Up</v>
      </c>
      <c r="U492" s="6">
        <f>IF(OR(I492&gt;Settings!$B$30,O492&gt;Settings!$B$37),0,1)</f>
        <v>1</v>
      </c>
      <c r="V492" s="6">
        <f>IF(AND(U492=1,O492&lt;=Settings!$B$36),1,0)</f>
        <v>1</v>
      </c>
    </row>
    <row r="493" spans="1:22" x14ac:dyDescent="0.2">
      <c r="A493">
        <f>Arrivals!A493</f>
        <v>5</v>
      </c>
      <c r="B493">
        <f>Arrivals!B493</f>
        <v>8</v>
      </c>
      <c r="C493" s="6">
        <f>Arrivals!F493</f>
        <v>57</v>
      </c>
      <c r="D493" s="6">
        <f>Arrivals!J493</f>
        <v>0.82102485037717288</v>
      </c>
      <c r="E493" s="6">
        <f t="shared" si="165"/>
        <v>74.78715325392929</v>
      </c>
      <c r="F493" s="6">
        <f t="shared" si="156"/>
        <v>74.78715325392929</v>
      </c>
      <c r="G493" s="6">
        <f t="shared" si="157"/>
        <v>75.608178104306461</v>
      </c>
      <c r="H493" s="6">
        <f>Arrivals!L493</f>
        <v>75</v>
      </c>
      <c r="I493" s="6">
        <f>H493*8/ACE_Input!S13+ACE_Input!T13</f>
        <v>6.02</v>
      </c>
      <c r="J493" s="6">
        <f t="shared" si="166"/>
        <v>87.568162213670476</v>
      </c>
      <c r="K493" s="6">
        <f t="shared" si="158"/>
        <v>87.568162213670476</v>
      </c>
      <c r="L493" s="6">
        <f>MOD(K493-Settings!$B$32,Settings!$B$33)</f>
        <v>87.568162213670476</v>
      </c>
      <c r="M493" s="6">
        <f>IF(L493&lt;Settings!$B$30,IF(Settings!$B$30-L493&gt;=I493,K493,K493+(Settings!$B$30-L493)+Settings!$B$31),K493+(Settings!$B$33-L493))</f>
        <v>87.568162213670476</v>
      </c>
      <c r="N493" s="6">
        <f t="shared" si="159"/>
        <v>93.588162213670472</v>
      </c>
      <c r="O493" s="6">
        <f t="shared" si="160"/>
        <v>36.588162213670472</v>
      </c>
      <c r="P493" s="6">
        <f t="shared" si="161"/>
        <v>17.78715325392929</v>
      </c>
      <c r="Q493" s="6">
        <f t="shared" si="162"/>
        <v>11.959984109364015</v>
      </c>
      <c r="R493" s="6">
        <f t="shared" si="163"/>
        <v>0</v>
      </c>
      <c r="S493" s="6">
        <f t="shared" si="164"/>
        <v>29.747137363293305</v>
      </c>
      <c r="T493" s="6" t="str">
        <f>IF(MOD(C493-Settings!$B$32,Settings!$B$33)&lt;Settings!$B$30,"Up","Down")</f>
        <v>Up</v>
      </c>
      <c r="U493" s="6">
        <f>IF(OR(I493&gt;Settings!$B$30,O493&gt;Settings!$B$37),0,1)</f>
        <v>1</v>
      </c>
      <c r="V493" s="6">
        <f>IF(AND(U493=1,O493&lt;=Settings!$B$36),1,0)</f>
        <v>1</v>
      </c>
    </row>
    <row r="494" spans="1:22" x14ac:dyDescent="0.2">
      <c r="A494">
        <f>Arrivals!A494</f>
        <v>5</v>
      </c>
      <c r="B494">
        <f>Arrivals!B494</f>
        <v>9</v>
      </c>
      <c r="C494" s="6">
        <f>Arrivals!F494</f>
        <v>172</v>
      </c>
      <c r="D494" s="6">
        <f>Arrivals!J494</f>
        <v>7.3478648487290243</v>
      </c>
      <c r="E494" s="6">
        <f t="shared" si="165"/>
        <v>75.608178104306461</v>
      </c>
      <c r="F494" s="6">
        <f t="shared" si="156"/>
        <v>172</v>
      </c>
      <c r="G494" s="6">
        <f t="shared" si="157"/>
        <v>179.34786484872902</v>
      </c>
      <c r="H494" s="6">
        <f>Arrivals!L494</f>
        <v>75</v>
      </c>
      <c r="I494" s="6">
        <f>H494*8/ACE_Input!S14+ACE_Input!T14</f>
        <v>6.02</v>
      </c>
      <c r="J494" s="6">
        <f t="shared" si="166"/>
        <v>93.588162213670472</v>
      </c>
      <c r="K494" s="6">
        <f t="shared" si="158"/>
        <v>179.34786484872902</v>
      </c>
      <c r="L494" s="6">
        <f>MOD(K494-Settings!$B$32,Settings!$B$33)</f>
        <v>179.34786484872902</v>
      </c>
      <c r="M494" s="6">
        <f>IF(L494&lt;Settings!$B$30,IF(Settings!$B$30-L494&gt;=I494,K494,K494+(Settings!$B$30-L494)+Settings!$B$31),K494+(Settings!$B$33-L494))</f>
        <v>179.34786484872902</v>
      </c>
      <c r="N494" s="6">
        <f t="shared" si="159"/>
        <v>185.36786484872903</v>
      </c>
      <c r="O494" s="6">
        <f t="shared" si="160"/>
        <v>13.367864848729027</v>
      </c>
      <c r="P494" s="6">
        <f t="shared" si="161"/>
        <v>0</v>
      </c>
      <c r="Q494" s="6">
        <f t="shared" si="162"/>
        <v>0</v>
      </c>
      <c r="R494" s="6">
        <f t="shared" si="163"/>
        <v>0</v>
      </c>
      <c r="S494" s="6">
        <f t="shared" si="164"/>
        <v>0</v>
      </c>
      <c r="T494" s="6" t="str">
        <f>IF(MOD(C494-Settings!$B$32,Settings!$B$33)&lt;Settings!$B$30,"Up","Down")</f>
        <v>Up</v>
      </c>
      <c r="U494" s="6">
        <f>IF(OR(I494&gt;Settings!$B$30,O494&gt;Settings!$B$37),0,1)</f>
        <v>1</v>
      </c>
      <c r="V494" s="6">
        <f>IF(AND(U494=1,O494&lt;=Settings!$B$36),1,0)</f>
        <v>1</v>
      </c>
    </row>
    <row r="495" spans="1:22" x14ac:dyDescent="0.2">
      <c r="A495">
        <f>Arrivals!A495</f>
        <v>5</v>
      </c>
      <c r="B495">
        <f>Arrivals!B495</f>
        <v>10</v>
      </c>
      <c r="C495" s="6">
        <f>Arrivals!F495</f>
        <v>177</v>
      </c>
      <c r="D495" s="6">
        <f>Arrivals!J495</f>
        <v>1.0361087333093462</v>
      </c>
      <c r="E495" s="6">
        <f t="shared" si="165"/>
        <v>179.34786484872902</v>
      </c>
      <c r="F495" s="6">
        <f t="shared" si="156"/>
        <v>179.34786484872902</v>
      </c>
      <c r="G495" s="6">
        <f t="shared" si="157"/>
        <v>180.38397358203835</v>
      </c>
      <c r="H495" s="6">
        <f>Arrivals!L495</f>
        <v>75</v>
      </c>
      <c r="I495" s="6">
        <f>H495*8/ACE_Input!S15+ACE_Input!T15</f>
        <v>6.02</v>
      </c>
      <c r="J495" s="6">
        <f t="shared" si="166"/>
        <v>185.36786484872903</v>
      </c>
      <c r="K495" s="6">
        <f t="shared" si="158"/>
        <v>185.36786484872903</v>
      </c>
      <c r="L495" s="6">
        <f>MOD(K495-Settings!$B$32,Settings!$B$33)</f>
        <v>185.36786484872903</v>
      </c>
      <c r="M495" s="6">
        <f>IF(L495&lt;Settings!$B$30,IF(Settings!$B$30-L495&gt;=I495,K495,K495+(Settings!$B$30-L495)+Settings!$B$31),K495+(Settings!$B$33-L495))</f>
        <v>185.36786484872903</v>
      </c>
      <c r="N495" s="6">
        <f t="shared" si="159"/>
        <v>191.38786484872904</v>
      </c>
      <c r="O495" s="6">
        <f t="shared" si="160"/>
        <v>14.387864848729038</v>
      </c>
      <c r="P495" s="6">
        <f t="shared" si="161"/>
        <v>2.3478648487290172</v>
      </c>
      <c r="Q495" s="6">
        <f t="shared" si="162"/>
        <v>4.9838912666906765</v>
      </c>
      <c r="R495" s="6">
        <f t="shared" si="163"/>
        <v>0</v>
      </c>
      <c r="S495" s="6">
        <f t="shared" si="164"/>
        <v>7.3317561154196937</v>
      </c>
      <c r="T495" s="6" t="str">
        <f>IF(MOD(C495-Settings!$B$32,Settings!$B$33)&lt;Settings!$B$30,"Up","Down")</f>
        <v>Up</v>
      </c>
      <c r="U495" s="6">
        <f>IF(OR(I495&gt;Settings!$B$30,O495&gt;Settings!$B$37),0,1)</f>
        <v>1</v>
      </c>
      <c r="V495" s="6">
        <f>IF(AND(U495=1,O495&lt;=Settings!$B$36),1,0)</f>
        <v>1</v>
      </c>
    </row>
    <row r="496" spans="1:22" x14ac:dyDescent="0.2">
      <c r="A496">
        <f>Arrivals!A496</f>
        <v>5</v>
      </c>
      <c r="B496">
        <f>Arrivals!B496</f>
        <v>11</v>
      </c>
      <c r="C496" s="6">
        <f>Arrivals!F496</f>
        <v>182</v>
      </c>
      <c r="D496" s="6">
        <f>Arrivals!J496</f>
        <v>3.8302582059293506</v>
      </c>
      <c r="E496" s="6">
        <f t="shared" si="165"/>
        <v>180.38397358203835</v>
      </c>
      <c r="F496" s="6">
        <f t="shared" si="156"/>
        <v>182</v>
      </c>
      <c r="G496" s="6">
        <f t="shared" si="157"/>
        <v>185.83025820592934</v>
      </c>
      <c r="H496" s="6">
        <f>Arrivals!L496</f>
        <v>75</v>
      </c>
      <c r="I496" s="6">
        <f>H496*8/ACE_Input!S16+ACE_Input!T16</f>
        <v>6.02</v>
      </c>
      <c r="J496" s="6">
        <f t="shared" si="166"/>
        <v>191.38786484872904</v>
      </c>
      <c r="K496" s="6">
        <f t="shared" si="158"/>
        <v>191.38786484872904</v>
      </c>
      <c r="L496" s="6">
        <f>MOD(K496-Settings!$B$32,Settings!$B$33)</f>
        <v>191.38786484872904</v>
      </c>
      <c r="M496" s="6">
        <f>IF(L496&lt;Settings!$B$30,IF(Settings!$B$30-L496&gt;=I496,K496,K496+(Settings!$B$30-L496)+Settings!$B$31),K496+(Settings!$B$33-L496))</f>
        <v>191.38786484872904</v>
      </c>
      <c r="N496" s="6">
        <f t="shared" si="159"/>
        <v>197.40786484872905</v>
      </c>
      <c r="O496" s="6">
        <f t="shared" si="160"/>
        <v>15.407864848729048</v>
      </c>
      <c r="P496" s="6">
        <f t="shared" si="161"/>
        <v>0</v>
      </c>
      <c r="Q496" s="6">
        <f t="shared" si="162"/>
        <v>5.5576066427996977</v>
      </c>
      <c r="R496" s="6">
        <f t="shared" si="163"/>
        <v>0</v>
      </c>
      <c r="S496" s="6">
        <f t="shared" si="164"/>
        <v>5.5576066427996977</v>
      </c>
      <c r="T496" s="6" t="str">
        <f>IF(MOD(C496-Settings!$B$32,Settings!$B$33)&lt;Settings!$B$30,"Up","Down")</f>
        <v>Up</v>
      </c>
      <c r="U496" s="6">
        <f>IF(OR(I496&gt;Settings!$B$30,O496&gt;Settings!$B$37),0,1)</f>
        <v>1</v>
      </c>
      <c r="V496" s="6">
        <f>IF(AND(U496=1,O496&lt;=Settings!$B$36),1,0)</f>
        <v>1</v>
      </c>
    </row>
    <row r="497" spans="1:22" x14ac:dyDescent="0.2">
      <c r="A497">
        <f>Arrivals!A497</f>
        <v>5</v>
      </c>
      <c r="B497">
        <f>Arrivals!B497</f>
        <v>12</v>
      </c>
      <c r="C497" s="6">
        <f>Arrivals!F497</f>
        <v>187</v>
      </c>
      <c r="D497" s="6">
        <f>Arrivals!J497</f>
        <v>14.503505609044771</v>
      </c>
      <c r="E497" s="6">
        <f t="shared" si="165"/>
        <v>185.83025820592934</v>
      </c>
      <c r="F497" s="6">
        <f t="shared" si="156"/>
        <v>187</v>
      </c>
      <c r="G497" s="6">
        <f t="shared" si="157"/>
        <v>201.50350560904477</v>
      </c>
      <c r="H497" s="6">
        <f>Arrivals!L497</f>
        <v>75</v>
      </c>
      <c r="I497" s="6">
        <f>H497*8/ACE_Input!S17+ACE_Input!T17</f>
        <v>6.02</v>
      </c>
      <c r="J497" s="6">
        <f t="shared" si="166"/>
        <v>197.40786484872905</v>
      </c>
      <c r="K497" s="6">
        <f t="shared" si="158"/>
        <v>201.50350560904477</v>
      </c>
      <c r="L497" s="6">
        <f>MOD(K497-Settings!$B$32,Settings!$B$33)</f>
        <v>201.50350560904477</v>
      </c>
      <c r="M497" s="6">
        <f>IF(L497&lt;Settings!$B$30,IF(Settings!$B$30-L497&gt;=I497,K497,K497+(Settings!$B$30-L497)+Settings!$B$31),K497+(Settings!$B$33-L497))</f>
        <v>201.50350560904477</v>
      </c>
      <c r="N497" s="6">
        <f t="shared" si="159"/>
        <v>207.52350560904478</v>
      </c>
      <c r="O497" s="6">
        <f t="shared" si="160"/>
        <v>20.523505609044776</v>
      </c>
      <c r="P497" s="6">
        <f t="shared" si="161"/>
        <v>0</v>
      </c>
      <c r="Q497" s="6">
        <f t="shared" si="162"/>
        <v>0</v>
      </c>
      <c r="R497" s="6">
        <f t="shared" si="163"/>
        <v>0</v>
      </c>
      <c r="S497" s="6">
        <f t="shared" si="164"/>
        <v>0</v>
      </c>
      <c r="T497" s="6" t="str">
        <f>IF(MOD(C497-Settings!$B$32,Settings!$B$33)&lt;Settings!$B$30,"Up","Down")</f>
        <v>Up</v>
      </c>
      <c r="U497" s="6">
        <f>IF(OR(I497&gt;Settings!$B$30,O497&gt;Settings!$B$37),0,1)</f>
        <v>1</v>
      </c>
      <c r="V497" s="6">
        <f>IF(AND(U497=1,O497&lt;=Settings!$B$36),1,0)</f>
        <v>1</v>
      </c>
    </row>
    <row r="498" spans="1:22" x14ac:dyDescent="0.2">
      <c r="A498">
        <f>Arrivals!A498</f>
        <v>5</v>
      </c>
      <c r="B498">
        <f>Arrivals!B498</f>
        <v>13</v>
      </c>
      <c r="C498" s="6">
        <f>Arrivals!F498</f>
        <v>192</v>
      </c>
      <c r="D498" s="6">
        <f>Arrivals!J498</f>
        <v>4.3609988705009144</v>
      </c>
      <c r="E498" s="6">
        <f t="shared" si="165"/>
        <v>201.50350560904477</v>
      </c>
      <c r="F498" s="6">
        <f t="shared" si="156"/>
        <v>201.50350560904477</v>
      </c>
      <c r="G498" s="6">
        <f t="shared" si="157"/>
        <v>205.86450447954567</v>
      </c>
      <c r="H498" s="6">
        <f>Arrivals!L498</f>
        <v>75</v>
      </c>
      <c r="I498" s="6">
        <f>H498*8/ACE_Input!S18+ACE_Input!T18</f>
        <v>6.02</v>
      </c>
      <c r="J498" s="6">
        <f t="shared" si="166"/>
        <v>207.52350560904478</v>
      </c>
      <c r="K498" s="6">
        <f t="shared" si="158"/>
        <v>207.52350560904478</v>
      </c>
      <c r="L498" s="6">
        <f>MOD(K498-Settings!$B$32,Settings!$B$33)</f>
        <v>207.52350560904478</v>
      </c>
      <c r="M498" s="6">
        <f>IF(L498&lt;Settings!$B$30,IF(Settings!$B$30-L498&gt;=I498,K498,K498+(Settings!$B$30-L498)+Settings!$B$31),K498+(Settings!$B$33-L498))</f>
        <v>207.52350560904478</v>
      </c>
      <c r="N498" s="6">
        <f t="shared" si="159"/>
        <v>213.54350560904479</v>
      </c>
      <c r="O498" s="6">
        <f t="shared" si="160"/>
        <v>21.543505609044786</v>
      </c>
      <c r="P498" s="6">
        <f t="shared" si="161"/>
        <v>9.5035056090447654</v>
      </c>
      <c r="Q498" s="6">
        <f t="shared" si="162"/>
        <v>1.6590011294991029</v>
      </c>
      <c r="R498" s="6">
        <f t="shared" si="163"/>
        <v>0</v>
      </c>
      <c r="S498" s="6">
        <f t="shared" si="164"/>
        <v>11.162506738543868</v>
      </c>
      <c r="T498" s="6" t="str">
        <f>IF(MOD(C498-Settings!$B$32,Settings!$B$33)&lt;Settings!$B$30,"Up","Down")</f>
        <v>Up</v>
      </c>
      <c r="U498" s="6">
        <f>IF(OR(I498&gt;Settings!$B$30,O498&gt;Settings!$B$37),0,1)</f>
        <v>1</v>
      </c>
      <c r="V498" s="6">
        <f>IF(AND(U498=1,O498&lt;=Settings!$B$36),1,0)</f>
        <v>1</v>
      </c>
    </row>
    <row r="499" spans="1:22" x14ac:dyDescent="0.2">
      <c r="A499">
        <f>Arrivals!A499</f>
        <v>5</v>
      </c>
      <c r="B499">
        <f>Arrivals!B499</f>
        <v>14</v>
      </c>
      <c r="C499" s="6">
        <f>Arrivals!F499</f>
        <v>197</v>
      </c>
      <c r="D499" s="6">
        <f>Arrivals!J499</f>
        <v>1.9196506193432059</v>
      </c>
      <c r="E499" s="6">
        <f t="shared" si="165"/>
        <v>205.86450447954567</v>
      </c>
      <c r="F499" s="6">
        <f t="shared" si="156"/>
        <v>205.86450447954567</v>
      </c>
      <c r="G499" s="6">
        <f t="shared" si="157"/>
        <v>207.78415509888887</v>
      </c>
      <c r="H499" s="6">
        <f>Arrivals!L499</f>
        <v>75</v>
      </c>
      <c r="I499" s="6">
        <f>H499*8/ACE_Input!S19+ACE_Input!T19</f>
        <v>6.02</v>
      </c>
      <c r="J499" s="6">
        <f t="shared" si="166"/>
        <v>213.54350560904479</v>
      </c>
      <c r="K499" s="6">
        <f t="shared" si="158"/>
        <v>213.54350560904479</v>
      </c>
      <c r="L499" s="6">
        <f>MOD(K499-Settings!$B$32,Settings!$B$33)</f>
        <v>213.54350560904479</v>
      </c>
      <c r="M499" s="6">
        <f>IF(L499&lt;Settings!$B$30,IF(Settings!$B$30-L499&gt;=I499,K499,K499+(Settings!$B$30-L499)+Settings!$B$31),K499+(Settings!$B$33-L499))</f>
        <v>213.54350560904479</v>
      </c>
      <c r="N499" s="6">
        <f t="shared" si="159"/>
        <v>219.5635056090448</v>
      </c>
      <c r="O499" s="6">
        <f t="shared" si="160"/>
        <v>22.563505609044796</v>
      </c>
      <c r="P499" s="6">
        <f t="shared" si="161"/>
        <v>8.8645044795456727</v>
      </c>
      <c r="Q499" s="6">
        <f t="shared" si="162"/>
        <v>5.7593505101559117</v>
      </c>
      <c r="R499" s="6">
        <f t="shared" si="163"/>
        <v>0</v>
      </c>
      <c r="S499" s="6">
        <f t="shared" si="164"/>
        <v>14.623854989701584</v>
      </c>
      <c r="T499" s="6" t="str">
        <f>IF(MOD(C499-Settings!$B$32,Settings!$B$33)&lt;Settings!$B$30,"Up","Down")</f>
        <v>Up</v>
      </c>
      <c r="U499" s="6">
        <f>IF(OR(I499&gt;Settings!$B$30,O499&gt;Settings!$B$37),0,1)</f>
        <v>1</v>
      </c>
      <c r="V499" s="6">
        <f>IF(AND(U499=1,O499&lt;=Settings!$B$36),1,0)</f>
        <v>1</v>
      </c>
    </row>
    <row r="500" spans="1:22" x14ac:dyDescent="0.2">
      <c r="A500">
        <f>Arrivals!A500</f>
        <v>5</v>
      </c>
      <c r="B500">
        <f>Arrivals!B500</f>
        <v>15</v>
      </c>
      <c r="C500" s="6">
        <f>Arrivals!F500</f>
        <v>202</v>
      </c>
      <c r="D500" s="6">
        <f>Arrivals!J500</f>
        <v>11.066121963761967</v>
      </c>
      <c r="E500" s="6">
        <f t="shared" si="165"/>
        <v>207.78415509888887</v>
      </c>
      <c r="F500" s="6">
        <f t="shared" si="156"/>
        <v>207.78415509888887</v>
      </c>
      <c r="G500" s="6">
        <f t="shared" si="157"/>
        <v>218.85027706265083</v>
      </c>
      <c r="H500" s="6">
        <f>Arrivals!L500</f>
        <v>75</v>
      </c>
      <c r="I500" s="6">
        <f>H500*8/ACE_Input!S20+ACE_Input!T20</f>
        <v>6.02</v>
      </c>
      <c r="J500" s="6">
        <f t="shared" si="166"/>
        <v>219.5635056090448</v>
      </c>
      <c r="K500" s="6">
        <f t="shared" si="158"/>
        <v>219.5635056090448</v>
      </c>
      <c r="L500" s="6">
        <f>MOD(K500-Settings!$B$32,Settings!$B$33)</f>
        <v>219.5635056090448</v>
      </c>
      <c r="M500" s="6">
        <f>IF(L500&lt;Settings!$B$30,IF(Settings!$B$30-L500&gt;=I500,K500,K500+(Settings!$B$30-L500)+Settings!$B$31),K500+(Settings!$B$33-L500))</f>
        <v>219.5635056090448</v>
      </c>
      <c r="N500" s="6">
        <f t="shared" si="159"/>
        <v>225.58350560904481</v>
      </c>
      <c r="O500" s="6">
        <f t="shared" si="160"/>
        <v>23.583505609044806</v>
      </c>
      <c r="P500" s="6">
        <f t="shared" si="161"/>
        <v>5.7841550988888741</v>
      </c>
      <c r="Q500" s="6">
        <f t="shared" si="162"/>
        <v>0.71322854639396382</v>
      </c>
      <c r="R500" s="6">
        <f t="shared" si="163"/>
        <v>0</v>
      </c>
      <c r="S500" s="6">
        <f t="shared" si="164"/>
        <v>6.497383645282838</v>
      </c>
      <c r="T500" s="6" t="str">
        <f>IF(MOD(C500-Settings!$B$32,Settings!$B$33)&lt;Settings!$B$30,"Up","Down")</f>
        <v>Up</v>
      </c>
      <c r="U500" s="6">
        <f>IF(OR(I500&gt;Settings!$B$30,O500&gt;Settings!$B$37),0,1)</f>
        <v>1</v>
      </c>
      <c r="V500" s="6">
        <f>IF(AND(U500=1,O500&lt;=Settings!$B$36),1,0)</f>
        <v>1</v>
      </c>
    </row>
    <row r="501" spans="1:22" x14ac:dyDescent="0.2">
      <c r="A501">
        <f>Arrivals!A501</f>
        <v>5</v>
      </c>
      <c r="B501">
        <f>Arrivals!B501</f>
        <v>16</v>
      </c>
      <c r="C501" s="6">
        <f>Arrivals!F501</f>
        <v>207</v>
      </c>
      <c r="D501" s="6">
        <f>Arrivals!J501</f>
        <v>12.764659251931739</v>
      </c>
      <c r="E501" s="6">
        <f t="shared" si="165"/>
        <v>218.85027706265083</v>
      </c>
      <c r="F501" s="6">
        <f t="shared" si="156"/>
        <v>218.85027706265083</v>
      </c>
      <c r="G501" s="6">
        <f t="shared" si="157"/>
        <v>231.61493631458256</v>
      </c>
      <c r="H501" s="6">
        <f>Arrivals!L501</f>
        <v>75</v>
      </c>
      <c r="I501" s="6">
        <f>H501*8/ACE_Input!S21+ACE_Input!T21</f>
        <v>6.02</v>
      </c>
      <c r="J501" s="6">
        <f t="shared" si="166"/>
        <v>225.58350560904481</v>
      </c>
      <c r="K501" s="6">
        <f t="shared" si="158"/>
        <v>231.61493631458256</v>
      </c>
      <c r="L501" s="6">
        <f>MOD(K501-Settings!$B$32,Settings!$B$33)</f>
        <v>231.61493631458256</v>
      </c>
      <c r="M501" s="6">
        <f>IF(L501&lt;Settings!$B$30,IF(Settings!$B$30-L501&gt;=I501,K501,K501+(Settings!$B$30-L501)+Settings!$B$31),K501+(Settings!$B$33-L501))</f>
        <v>231.61493631458256</v>
      </c>
      <c r="N501" s="6">
        <f t="shared" si="159"/>
        <v>237.63493631458257</v>
      </c>
      <c r="O501" s="6">
        <f t="shared" si="160"/>
        <v>30.634936314582575</v>
      </c>
      <c r="P501" s="6">
        <f t="shared" si="161"/>
        <v>11.850277062650832</v>
      </c>
      <c r="Q501" s="6">
        <f t="shared" si="162"/>
        <v>0</v>
      </c>
      <c r="R501" s="6">
        <f t="shared" si="163"/>
        <v>0</v>
      </c>
      <c r="S501" s="6">
        <f t="shared" si="164"/>
        <v>11.850277062650832</v>
      </c>
      <c r="T501" s="6" t="str">
        <f>IF(MOD(C501-Settings!$B$32,Settings!$B$33)&lt;Settings!$B$30,"Up","Down")</f>
        <v>Up</v>
      </c>
      <c r="U501" s="6">
        <f>IF(OR(I501&gt;Settings!$B$30,O501&gt;Settings!$B$37),0,1)</f>
        <v>1</v>
      </c>
      <c r="V501" s="6">
        <f>IF(AND(U501=1,O501&lt;=Settings!$B$36),1,0)</f>
        <v>1</v>
      </c>
    </row>
    <row r="502" spans="1:22" x14ac:dyDescent="0.2">
      <c r="A502">
        <f>Arrivals!A502</f>
        <v>5</v>
      </c>
      <c r="B502">
        <f>Arrivals!B502</f>
        <v>17</v>
      </c>
      <c r="C502" s="6">
        <f>Arrivals!F502</f>
        <v>212</v>
      </c>
      <c r="D502" s="6">
        <f>Arrivals!J502</f>
        <v>16.510766578756815</v>
      </c>
      <c r="E502" s="6">
        <f t="shared" si="165"/>
        <v>231.61493631458256</v>
      </c>
      <c r="F502" s="6">
        <f t="shared" si="156"/>
        <v>231.61493631458256</v>
      </c>
      <c r="G502" s="6">
        <f t="shared" si="157"/>
        <v>248.12570289333939</v>
      </c>
      <c r="H502" s="6">
        <f>Arrivals!L502</f>
        <v>75</v>
      </c>
      <c r="I502" s="6">
        <f>H502*8/ACE_Input!S22+ACE_Input!T22</f>
        <v>6.02</v>
      </c>
      <c r="J502" s="6">
        <f t="shared" si="166"/>
        <v>237.63493631458257</v>
      </c>
      <c r="K502" s="6">
        <f t="shared" si="158"/>
        <v>248.12570289333939</v>
      </c>
      <c r="L502" s="6">
        <f>MOD(K502-Settings!$B$32,Settings!$B$33)</f>
        <v>248.12570289333939</v>
      </c>
      <c r="M502" s="6">
        <f>IF(L502&lt;Settings!$B$30,IF(Settings!$B$30-L502&gt;=I502,K502,K502+(Settings!$B$30-L502)+Settings!$B$31),K502+(Settings!$B$33-L502))</f>
        <v>248.12570289333939</v>
      </c>
      <c r="N502" s="6">
        <f t="shared" si="159"/>
        <v>254.1457028933394</v>
      </c>
      <c r="O502" s="6">
        <f t="shared" si="160"/>
        <v>42.145702893339404</v>
      </c>
      <c r="P502" s="6">
        <f t="shared" si="161"/>
        <v>19.614936314582565</v>
      </c>
      <c r="Q502" s="6">
        <f t="shared" si="162"/>
        <v>0</v>
      </c>
      <c r="R502" s="6">
        <f t="shared" si="163"/>
        <v>0</v>
      </c>
      <c r="S502" s="6">
        <f t="shared" si="164"/>
        <v>19.614936314582565</v>
      </c>
      <c r="T502" s="6" t="str">
        <f>IF(MOD(C502-Settings!$B$32,Settings!$B$33)&lt;Settings!$B$30,"Up","Down")</f>
        <v>Up</v>
      </c>
      <c r="U502" s="6">
        <f>IF(OR(I502&gt;Settings!$B$30,O502&gt;Settings!$B$37),0,1)</f>
        <v>1</v>
      </c>
      <c r="V502" s="6">
        <f>IF(AND(U502=1,O502&lt;=Settings!$B$36),1,0)</f>
        <v>1</v>
      </c>
    </row>
    <row r="503" spans="1:22" x14ac:dyDescent="0.2">
      <c r="A503">
        <f>Arrivals!A503</f>
        <v>5</v>
      </c>
      <c r="B503">
        <f>Arrivals!B503</f>
        <v>18</v>
      </c>
      <c r="C503" s="6">
        <f>Arrivals!F503</f>
        <v>217</v>
      </c>
      <c r="D503" s="6">
        <f>Arrivals!J503</f>
        <v>4.9117940005115548</v>
      </c>
      <c r="E503" s="6">
        <f t="shared" si="165"/>
        <v>248.12570289333939</v>
      </c>
      <c r="F503" s="6">
        <f t="shared" si="156"/>
        <v>248.12570289333939</v>
      </c>
      <c r="G503" s="6">
        <f t="shared" si="157"/>
        <v>253.03749689385094</v>
      </c>
      <c r="H503" s="6">
        <f>Arrivals!L503</f>
        <v>75</v>
      </c>
      <c r="I503" s="6">
        <f>H503*8/ACE_Input!S23+ACE_Input!T23</f>
        <v>6.02</v>
      </c>
      <c r="J503" s="6">
        <f t="shared" si="166"/>
        <v>254.1457028933394</v>
      </c>
      <c r="K503" s="6">
        <f t="shared" si="158"/>
        <v>254.1457028933394</v>
      </c>
      <c r="L503" s="6">
        <f>MOD(K503-Settings!$B$32,Settings!$B$33)</f>
        <v>254.1457028933394</v>
      </c>
      <c r="M503" s="6">
        <f>IF(L503&lt;Settings!$B$30,IF(Settings!$B$30-L503&gt;=I503,K503,K503+(Settings!$B$30-L503)+Settings!$B$31),K503+(Settings!$B$33-L503))</f>
        <v>254.1457028933394</v>
      </c>
      <c r="N503" s="6">
        <f t="shared" si="159"/>
        <v>260.16570289333941</v>
      </c>
      <c r="O503" s="6">
        <f t="shared" si="160"/>
        <v>43.165702893339414</v>
      </c>
      <c r="P503" s="6">
        <f t="shared" si="161"/>
        <v>31.125702893339394</v>
      </c>
      <c r="Q503" s="6">
        <f t="shared" si="162"/>
        <v>1.1082059994884617</v>
      </c>
      <c r="R503" s="6">
        <f t="shared" si="163"/>
        <v>0</v>
      </c>
      <c r="S503" s="6">
        <f t="shared" si="164"/>
        <v>32.233908892827856</v>
      </c>
      <c r="T503" s="6" t="str">
        <f>IF(MOD(C503-Settings!$B$32,Settings!$B$33)&lt;Settings!$B$30,"Up","Down")</f>
        <v>Up</v>
      </c>
      <c r="U503" s="6">
        <f>IF(OR(I503&gt;Settings!$B$30,O503&gt;Settings!$B$37),0,1)</f>
        <v>1</v>
      </c>
      <c r="V503" s="6">
        <f>IF(AND(U503=1,O503&lt;=Settings!$B$36),1,0)</f>
        <v>1</v>
      </c>
    </row>
    <row r="504" spans="1:22" x14ac:dyDescent="0.2">
      <c r="A504">
        <f>Arrivals!A504</f>
        <v>5</v>
      </c>
      <c r="B504">
        <f>Arrivals!B504</f>
        <v>19</v>
      </c>
      <c r="C504" s="6">
        <f>Arrivals!F504</f>
        <v>222</v>
      </c>
      <c r="D504" s="6">
        <f>Arrivals!J504</f>
        <v>6.1335394123514364</v>
      </c>
      <c r="E504" s="6">
        <f t="shared" si="165"/>
        <v>253.03749689385094</v>
      </c>
      <c r="F504" s="6">
        <f t="shared" si="156"/>
        <v>253.03749689385094</v>
      </c>
      <c r="G504" s="6">
        <f t="shared" si="157"/>
        <v>259.17103630620238</v>
      </c>
      <c r="H504" s="6">
        <f>Arrivals!L504</f>
        <v>75</v>
      </c>
      <c r="I504" s="6">
        <f>H504*8/ACE_Input!S24+ACE_Input!T24</f>
        <v>6.02</v>
      </c>
      <c r="J504" s="6">
        <f t="shared" si="166"/>
        <v>260.16570289333941</v>
      </c>
      <c r="K504" s="6">
        <f t="shared" si="158"/>
        <v>260.16570289333941</v>
      </c>
      <c r="L504" s="6">
        <f>MOD(K504-Settings!$B$32,Settings!$B$33)</f>
        <v>260.16570289333941</v>
      </c>
      <c r="M504" s="6">
        <f>IF(L504&lt;Settings!$B$30,IF(Settings!$B$30-L504&gt;=I504,K504,K504+(Settings!$B$30-L504)+Settings!$B$31),K504+(Settings!$B$33-L504))</f>
        <v>260.16570289333941</v>
      </c>
      <c r="N504" s="6">
        <f t="shared" si="159"/>
        <v>266.1857028933394</v>
      </c>
      <c r="O504" s="6">
        <f t="shared" si="160"/>
        <v>44.185702893339396</v>
      </c>
      <c r="P504" s="6">
        <f t="shared" si="161"/>
        <v>31.037496893850943</v>
      </c>
      <c r="Q504" s="6">
        <f t="shared" si="162"/>
        <v>0.99466658713703282</v>
      </c>
      <c r="R504" s="6">
        <f t="shared" si="163"/>
        <v>0</v>
      </c>
      <c r="S504" s="6">
        <f t="shared" si="164"/>
        <v>32.032163480987975</v>
      </c>
      <c r="T504" s="6" t="str">
        <f>IF(MOD(C504-Settings!$B$32,Settings!$B$33)&lt;Settings!$B$30,"Up","Down")</f>
        <v>Up</v>
      </c>
      <c r="U504" s="6">
        <f>IF(OR(I504&gt;Settings!$B$30,O504&gt;Settings!$B$37),0,1)</f>
        <v>1</v>
      </c>
      <c r="V504" s="6">
        <f>IF(AND(U504=1,O504&lt;=Settings!$B$36),1,0)</f>
        <v>1</v>
      </c>
    </row>
    <row r="505" spans="1:22" x14ac:dyDescent="0.2">
      <c r="A505">
        <f>Arrivals!A505</f>
        <v>5</v>
      </c>
      <c r="B505">
        <f>Arrivals!B505</f>
        <v>20</v>
      </c>
      <c r="C505" s="6">
        <f>Arrivals!F505</f>
        <v>227</v>
      </c>
      <c r="D505" s="6">
        <f>Arrivals!J505</f>
        <v>22.896404799830698</v>
      </c>
      <c r="E505" s="6">
        <f t="shared" si="165"/>
        <v>259.17103630620238</v>
      </c>
      <c r="F505" s="6">
        <f t="shared" si="156"/>
        <v>259.17103630620238</v>
      </c>
      <c r="G505" s="6">
        <f t="shared" si="157"/>
        <v>282.06744110603307</v>
      </c>
      <c r="H505" s="6">
        <f>Arrivals!L505</f>
        <v>75</v>
      </c>
      <c r="I505" s="6">
        <f>H505*8/ACE_Input!S25+ACE_Input!T25</f>
        <v>6.02</v>
      </c>
      <c r="J505" s="6">
        <f t="shared" si="166"/>
        <v>266.1857028933394</v>
      </c>
      <c r="K505" s="6">
        <f t="shared" si="158"/>
        <v>282.06744110603307</v>
      </c>
      <c r="L505" s="6">
        <f>MOD(K505-Settings!$B$32,Settings!$B$33)</f>
        <v>282.06744110603307</v>
      </c>
      <c r="M505" s="6">
        <f>IF(L505&lt;Settings!$B$30,IF(Settings!$B$30-L505&gt;=I505,K505,K505+(Settings!$B$30-L505)+Settings!$B$31),K505+(Settings!$B$33-L505))</f>
        <v>282.06744110603307</v>
      </c>
      <c r="N505" s="6">
        <f t="shared" si="159"/>
        <v>288.08744110603305</v>
      </c>
      <c r="O505" s="6">
        <f t="shared" si="160"/>
        <v>61.087441106033054</v>
      </c>
      <c r="P505" s="6">
        <f t="shared" si="161"/>
        <v>32.171036306202382</v>
      </c>
      <c r="Q505" s="6">
        <f t="shared" si="162"/>
        <v>0</v>
      </c>
      <c r="R505" s="6">
        <f t="shared" si="163"/>
        <v>0</v>
      </c>
      <c r="S505" s="6">
        <f t="shared" si="164"/>
        <v>32.171036306202382</v>
      </c>
      <c r="T505" s="6" t="str">
        <f>IF(MOD(C505-Settings!$B$32,Settings!$B$33)&lt;Settings!$B$30,"Up","Down")</f>
        <v>Up</v>
      </c>
      <c r="U505" s="6">
        <f>IF(OR(I505&gt;Settings!$B$30,O505&gt;Settings!$B$37),0,1)</f>
        <v>1</v>
      </c>
      <c r="V505" s="6">
        <f>IF(AND(U505=1,O505&lt;=Settings!$B$36),1,0)</f>
        <v>1</v>
      </c>
    </row>
    <row r="506" spans="1:22" x14ac:dyDescent="0.2">
      <c r="A506">
        <f>Arrivals!A506</f>
        <v>5</v>
      </c>
      <c r="B506">
        <f>Arrivals!B506</f>
        <v>21</v>
      </c>
      <c r="C506" s="6">
        <f>Arrivals!F506</f>
        <v>232</v>
      </c>
      <c r="D506" s="6">
        <f>Arrivals!J506</f>
        <v>4.5314422087501534</v>
      </c>
      <c r="E506" s="6">
        <f t="shared" si="165"/>
        <v>282.06744110603307</v>
      </c>
      <c r="F506" s="6">
        <f t="shared" si="156"/>
        <v>282.06744110603307</v>
      </c>
      <c r="G506" s="6">
        <f t="shared" si="157"/>
        <v>286.59888331478322</v>
      </c>
      <c r="H506" s="6">
        <f>Arrivals!L506</f>
        <v>75</v>
      </c>
      <c r="I506" s="6">
        <f>H506*8/ACE_Input!S26+ACE_Input!T26</f>
        <v>6.02</v>
      </c>
      <c r="J506" s="6">
        <f t="shared" si="166"/>
        <v>288.08744110603305</v>
      </c>
      <c r="K506" s="6">
        <f t="shared" si="158"/>
        <v>288.08744110603305</v>
      </c>
      <c r="L506" s="6">
        <f>MOD(K506-Settings!$B$32,Settings!$B$33)</f>
        <v>288.08744110603305</v>
      </c>
      <c r="M506" s="6">
        <f>IF(L506&lt;Settings!$B$30,IF(Settings!$B$30-L506&gt;=I506,K506,K506+(Settings!$B$30-L506)+Settings!$B$31),K506+(Settings!$B$33-L506))</f>
        <v>288.08744110603305</v>
      </c>
      <c r="N506" s="6">
        <f t="shared" si="159"/>
        <v>294.10744110603304</v>
      </c>
      <c r="O506" s="6">
        <f t="shared" si="160"/>
        <v>62.107441106033036</v>
      </c>
      <c r="P506" s="6">
        <f t="shared" si="161"/>
        <v>50.067441106033073</v>
      </c>
      <c r="Q506" s="6">
        <f t="shared" si="162"/>
        <v>1.488557791249832</v>
      </c>
      <c r="R506" s="6">
        <f t="shared" si="163"/>
        <v>0</v>
      </c>
      <c r="S506" s="6">
        <f t="shared" si="164"/>
        <v>51.555998897282905</v>
      </c>
      <c r="T506" s="6" t="str">
        <f>IF(MOD(C506-Settings!$B$32,Settings!$B$33)&lt;Settings!$B$30,"Up","Down")</f>
        <v>Up</v>
      </c>
      <c r="U506" s="6">
        <f>IF(OR(I506&gt;Settings!$B$30,O506&gt;Settings!$B$37),0,1)</f>
        <v>1</v>
      </c>
      <c r="V506" s="6">
        <f>IF(AND(U506=1,O506&lt;=Settings!$B$36),1,0)</f>
        <v>1</v>
      </c>
    </row>
    <row r="507" spans="1:22" x14ac:dyDescent="0.2">
      <c r="A507">
        <f>Arrivals!A507</f>
        <v>5</v>
      </c>
      <c r="B507">
        <f>Arrivals!B507</f>
        <v>22</v>
      </c>
      <c r="C507" s="6">
        <f>Arrivals!F507</f>
        <v>237</v>
      </c>
      <c r="D507" s="6">
        <f>Arrivals!J507</f>
        <v>37.463729160112763</v>
      </c>
      <c r="E507" s="6">
        <f t="shared" si="165"/>
        <v>286.59888331478322</v>
      </c>
      <c r="F507" s="6">
        <f t="shared" si="156"/>
        <v>286.59888331478322</v>
      </c>
      <c r="G507" s="6">
        <f t="shared" si="157"/>
        <v>324.06261247489601</v>
      </c>
      <c r="H507" s="6">
        <f>Arrivals!L507</f>
        <v>75</v>
      </c>
      <c r="I507" s="6">
        <f>H507*8/ACE_Input!S27+ACE_Input!T27</f>
        <v>6.02</v>
      </c>
      <c r="J507" s="6">
        <f t="shared" si="166"/>
        <v>294.10744110603304</v>
      </c>
      <c r="K507" s="6">
        <f t="shared" si="158"/>
        <v>324.06261247489601</v>
      </c>
      <c r="L507" s="6">
        <f>MOD(K507-Settings!$B$32,Settings!$B$33)</f>
        <v>324.06261247489601</v>
      </c>
      <c r="M507" s="6">
        <f>IF(L507&lt;Settings!$B$30,IF(Settings!$B$30-L507&gt;=I507,K507,K507+(Settings!$B$30-L507)+Settings!$B$31),K507+(Settings!$B$33-L507))</f>
        <v>324.06261247489601</v>
      </c>
      <c r="N507" s="6">
        <f t="shared" si="159"/>
        <v>330.082612474896</v>
      </c>
      <c r="O507" s="6">
        <f t="shared" si="160"/>
        <v>93.082612474895996</v>
      </c>
      <c r="P507" s="6">
        <f t="shared" si="161"/>
        <v>49.598883314783222</v>
      </c>
      <c r="Q507" s="6">
        <f t="shared" si="162"/>
        <v>0</v>
      </c>
      <c r="R507" s="6">
        <f t="shared" si="163"/>
        <v>0</v>
      </c>
      <c r="S507" s="6">
        <f t="shared" si="164"/>
        <v>49.598883314783222</v>
      </c>
      <c r="T507" s="6" t="str">
        <f>IF(MOD(C507-Settings!$B$32,Settings!$B$33)&lt;Settings!$B$30,"Up","Down")</f>
        <v>Up</v>
      </c>
      <c r="U507" s="6">
        <f>IF(OR(I507&gt;Settings!$B$30,O507&gt;Settings!$B$37),0,1)</f>
        <v>1</v>
      </c>
      <c r="V507" s="6">
        <f>IF(AND(U507=1,O507&lt;=Settings!$B$36),1,0)</f>
        <v>1</v>
      </c>
    </row>
    <row r="508" spans="1:22" x14ac:dyDescent="0.2">
      <c r="A508">
        <f>Arrivals!A508</f>
        <v>5</v>
      </c>
      <c r="B508">
        <f>Arrivals!B508</f>
        <v>23</v>
      </c>
      <c r="C508" s="6">
        <f>Arrivals!F508</f>
        <v>242</v>
      </c>
      <c r="D508" s="6">
        <f>Arrivals!J508</f>
        <v>4.5675565277297512</v>
      </c>
      <c r="E508" s="6">
        <f t="shared" si="165"/>
        <v>324.06261247489601</v>
      </c>
      <c r="F508" s="6">
        <f t="shared" si="156"/>
        <v>324.06261247489601</v>
      </c>
      <c r="G508" s="6">
        <f t="shared" si="157"/>
        <v>328.63016900262579</v>
      </c>
      <c r="H508" s="6">
        <f>Arrivals!L508</f>
        <v>75</v>
      </c>
      <c r="I508" s="6">
        <f>H508*8/ACE_Input!S28+ACE_Input!T28</f>
        <v>6.02</v>
      </c>
      <c r="J508" s="6">
        <f t="shared" si="166"/>
        <v>330.082612474896</v>
      </c>
      <c r="K508" s="6">
        <f t="shared" si="158"/>
        <v>330.082612474896</v>
      </c>
      <c r="L508" s="6">
        <f>MOD(K508-Settings!$B$32,Settings!$B$33)</f>
        <v>330.082612474896</v>
      </c>
      <c r="M508" s="6">
        <f>IF(L508&lt;Settings!$B$30,IF(Settings!$B$30-L508&gt;=I508,K508,K508+(Settings!$B$30-L508)+Settings!$B$31),K508+(Settings!$B$33-L508))</f>
        <v>330.082612474896</v>
      </c>
      <c r="N508" s="6">
        <f t="shared" si="159"/>
        <v>336.10261247489598</v>
      </c>
      <c r="O508" s="6">
        <f t="shared" si="160"/>
        <v>94.102612474895977</v>
      </c>
      <c r="P508" s="6">
        <f t="shared" si="161"/>
        <v>82.062612474896014</v>
      </c>
      <c r="Q508" s="6">
        <f t="shared" si="162"/>
        <v>1.452443472270204</v>
      </c>
      <c r="R508" s="6">
        <f t="shared" si="163"/>
        <v>0</v>
      </c>
      <c r="S508" s="6">
        <f t="shared" si="164"/>
        <v>83.515055947166218</v>
      </c>
      <c r="T508" s="6" t="str">
        <f>IF(MOD(C508-Settings!$B$32,Settings!$B$33)&lt;Settings!$B$30,"Up","Down")</f>
        <v>Up</v>
      </c>
      <c r="U508" s="6">
        <f>IF(OR(I508&gt;Settings!$B$30,O508&gt;Settings!$B$37),0,1)</f>
        <v>1</v>
      </c>
      <c r="V508" s="6">
        <f>IF(AND(U508=1,O508&lt;=Settings!$B$36),1,0)</f>
        <v>1</v>
      </c>
    </row>
    <row r="509" spans="1:22" x14ac:dyDescent="0.2">
      <c r="A509">
        <f>Arrivals!A509</f>
        <v>5</v>
      </c>
      <c r="B509">
        <f>Arrivals!B509</f>
        <v>24</v>
      </c>
      <c r="C509" s="6">
        <f>Arrivals!F509</f>
        <v>247</v>
      </c>
      <c r="D509" s="6">
        <f>Arrivals!J509</f>
        <v>10.315983294623981</v>
      </c>
      <c r="E509" s="6">
        <f t="shared" si="165"/>
        <v>328.63016900262579</v>
      </c>
      <c r="F509" s="6">
        <f t="shared" si="156"/>
        <v>328.63016900262579</v>
      </c>
      <c r="G509" s="6">
        <f t="shared" si="157"/>
        <v>338.9461522972498</v>
      </c>
      <c r="H509" s="6">
        <f>Arrivals!L509</f>
        <v>75</v>
      </c>
      <c r="I509" s="6">
        <f>H509*8/ACE_Input!S29+ACE_Input!T29</f>
        <v>6.02</v>
      </c>
      <c r="J509" s="6">
        <f t="shared" si="166"/>
        <v>336.10261247489598</v>
      </c>
      <c r="K509" s="6">
        <f t="shared" si="158"/>
        <v>338.9461522972498</v>
      </c>
      <c r="L509" s="6">
        <f>MOD(K509-Settings!$B$32,Settings!$B$33)</f>
        <v>338.9461522972498</v>
      </c>
      <c r="M509" s="6">
        <f>IF(L509&lt;Settings!$B$30,IF(Settings!$B$30-L509&gt;=I509,K509,K509+(Settings!$B$30-L509)+Settings!$B$31),K509+(Settings!$B$33-L509))</f>
        <v>338.9461522972498</v>
      </c>
      <c r="N509" s="6">
        <f t="shared" si="159"/>
        <v>344.96615229724978</v>
      </c>
      <c r="O509" s="6">
        <f t="shared" si="160"/>
        <v>97.966152297249778</v>
      </c>
      <c r="P509" s="6">
        <f t="shared" si="161"/>
        <v>81.630169002625792</v>
      </c>
      <c r="Q509" s="6">
        <f t="shared" si="162"/>
        <v>0</v>
      </c>
      <c r="R509" s="6">
        <f t="shared" si="163"/>
        <v>0</v>
      </c>
      <c r="S509" s="6">
        <f t="shared" si="164"/>
        <v>81.630169002625792</v>
      </c>
      <c r="T509" s="6" t="str">
        <f>IF(MOD(C509-Settings!$B$32,Settings!$B$33)&lt;Settings!$B$30,"Up","Down")</f>
        <v>Up</v>
      </c>
      <c r="U509" s="6">
        <f>IF(OR(I509&gt;Settings!$B$30,O509&gt;Settings!$B$37),0,1)</f>
        <v>1</v>
      </c>
      <c r="V509" s="6">
        <f>IF(AND(U509=1,O509&lt;=Settings!$B$36),1,0)</f>
        <v>1</v>
      </c>
    </row>
    <row r="510" spans="1:22" x14ac:dyDescent="0.2">
      <c r="A510">
        <f>Arrivals!A510</f>
        <v>5</v>
      </c>
      <c r="B510">
        <f>Arrivals!B510</f>
        <v>25</v>
      </c>
      <c r="C510" s="6">
        <f>Arrivals!F510</f>
        <v>252</v>
      </c>
      <c r="D510" s="6">
        <f>Arrivals!J510</f>
        <v>9.1599555931743133</v>
      </c>
      <c r="E510" s="6">
        <f t="shared" si="165"/>
        <v>338.9461522972498</v>
      </c>
      <c r="F510" s="6">
        <f t="shared" si="156"/>
        <v>338.9461522972498</v>
      </c>
      <c r="G510" s="6">
        <f t="shared" si="157"/>
        <v>348.10610789042408</v>
      </c>
      <c r="H510" s="6">
        <f>Arrivals!L510</f>
        <v>75</v>
      </c>
      <c r="I510" s="6">
        <f>H510*8/ACE_Input!S30+ACE_Input!T30</f>
        <v>6.02</v>
      </c>
      <c r="J510" s="6">
        <f t="shared" si="166"/>
        <v>344.96615229724978</v>
      </c>
      <c r="K510" s="6">
        <f t="shared" si="158"/>
        <v>348.10610789042408</v>
      </c>
      <c r="L510" s="6">
        <f>MOD(K510-Settings!$B$32,Settings!$B$33)</f>
        <v>348.10610789042408</v>
      </c>
      <c r="M510" s="6">
        <f>IF(L510&lt;Settings!$B$30,IF(Settings!$B$30-L510&gt;=I510,K510,K510+(Settings!$B$30-L510)+Settings!$B$31),K510+(Settings!$B$33-L510))</f>
        <v>348.10610789042408</v>
      </c>
      <c r="N510" s="6">
        <f t="shared" si="159"/>
        <v>354.12610789042407</v>
      </c>
      <c r="O510" s="6">
        <f t="shared" si="160"/>
        <v>102.12610789042407</v>
      </c>
      <c r="P510" s="6">
        <f t="shared" si="161"/>
        <v>86.946152297249796</v>
      </c>
      <c r="Q510" s="6">
        <f t="shared" si="162"/>
        <v>0</v>
      </c>
      <c r="R510" s="6">
        <f t="shared" si="163"/>
        <v>0</v>
      </c>
      <c r="S510" s="6">
        <f t="shared" si="164"/>
        <v>86.946152297249796</v>
      </c>
      <c r="T510" s="6" t="str">
        <f>IF(MOD(C510-Settings!$B$32,Settings!$B$33)&lt;Settings!$B$30,"Up","Down")</f>
        <v>Up</v>
      </c>
      <c r="U510" s="6">
        <f>IF(OR(I510&gt;Settings!$B$30,O510&gt;Settings!$B$37),0,1)</f>
        <v>1</v>
      </c>
      <c r="V510" s="6">
        <f>IF(AND(U510=1,O510&lt;=Settings!$B$36),1,0)</f>
        <v>1</v>
      </c>
    </row>
    <row r="511" spans="1:22" x14ac:dyDescent="0.2">
      <c r="A511">
        <f>Arrivals!A511</f>
        <v>5</v>
      </c>
      <c r="B511">
        <f>Arrivals!B511</f>
        <v>26</v>
      </c>
      <c r="C511" s="6">
        <f>Arrivals!F511</f>
        <v>257</v>
      </c>
      <c r="D511" s="6">
        <f>Arrivals!J511</f>
        <v>0.71680656162906664</v>
      </c>
      <c r="E511" s="6">
        <f t="shared" si="165"/>
        <v>348.10610789042408</v>
      </c>
      <c r="F511" s="6">
        <f t="shared" si="156"/>
        <v>348.10610789042408</v>
      </c>
      <c r="G511" s="6">
        <f t="shared" si="157"/>
        <v>348.82291445205317</v>
      </c>
      <c r="H511" s="6">
        <f>Arrivals!L511</f>
        <v>75</v>
      </c>
      <c r="I511" s="6">
        <f>H511*8/ACE_Input!S31+ACE_Input!T31</f>
        <v>6.02</v>
      </c>
      <c r="J511" s="6">
        <f t="shared" si="166"/>
        <v>354.12610789042407</v>
      </c>
      <c r="K511" s="6">
        <f t="shared" si="158"/>
        <v>354.12610789042407</v>
      </c>
      <c r="L511" s="6">
        <f>MOD(K511-Settings!$B$32,Settings!$B$33)</f>
        <v>354.12610789042407</v>
      </c>
      <c r="M511" s="6">
        <f>IF(L511&lt;Settings!$B$30,IF(Settings!$B$30-L511&gt;=I511,K511,K511+(Settings!$B$30-L511)+Settings!$B$31),K511+(Settings!$B$33-L511))</f>
        <v>354.12610789042407</v>
      </c>
      <c r="N511" s="6">
        <f t="shared" si="159"/>
        <v>360.14610789042405</v>
      </c>
      <c r="O511" s="6">
        <f t="shared" si="160"/>
        <v>103.14610789042405</v>
      </c>
      <c r="P511" s="6">
        <f t="shared" si="161"/>
        <v>91.106107890424084</v>
      </c>
      <c r="Q511" s="6">
        <f t="shared" si="162"/>
        <v>5.3031934383708972</v>
      </c>
      <c r="R511" s="6">
        <f t="shared" si="163"/>
        <v>0</v>
      </c>
      <c r="S511" s="6">
        <f t="shared" si="164"/>
        <v>96.409301328794982</v>
      </c>
      <c r="T511" s="6" t="str">
        <f>IF(MOD(C511-Settings!$B$32,Settings!$B$33)&lt;Settings!$B$30,"Up","Down")</f>
        <v>Up</v>
      </c>
      <c r="U511" s="6">
        <f>IF(OR(I511&gt;Settings!$B$30,O511&gt;Settings!$B$37),0,1)</f>
        <v>1</v>
      </c>
      <c r="V511" s="6">
        <f>IF(AND(U511=1,O511&lt;=Settings!$B$36),1,0)</f>
        <v>1</v>
      </c>
    </row>
    <row r="512" spans="1:22" x14ac:dyDescent="0.2">
      <c r="A512">
        <f>Arrivals!A512</f>
        <v>5</v>
      </c>
      <c r="B512">
        <f>Arrivals!B512</f>
        <v>27</v>
      </c>
      <c r="C512" s="6">
        <f>Arrivals!F512</f>
        <v>262</v>
      </c>
      <c r="D512" s="6">
        <f>Arrivals!J512</f>
        <v>9.6011840891812934</v>
      </c>
      <c r="E512" s="6">
        <f t="shared" si="165"/>
        <v>348.82291445205317</v>
      </c>
      <c r="F512" s="6">
        <f t="shared" si="156"/>
        <v>348.82291445205317</v>
      </c>
      <c r="G512" s="6">
        <f t="shared" si="157"/>
        <v>358.42409854123446</v>
      </c>
      <c r="H512" s="6">
        <f>Arrivals!L512</f>
        <v>75</v>
      </c>
      <c r="I512" s="6">
        <f>H512*8/ACE_Input!S32+ACE_Input!T32</f>
        <v>6.02</v>
      </c>
      <c r="J512" s="6">
        <f t="shared" si="166"/>
        <v>360.14610789042405</v>
      </c>
      <c r="K512" s="6">
        <f t="shared" si="158"/>
        <v>360.14610789042405</v>
      </c>
      <c r="L512" s="6">
        <f>MOD(K512-Settings!$B$32,Settings!$B$33)</f>
        <v>360.14610789042405</v>
      </c>
      <c r="M512" s="6">
        <f>IF(L512&lt;Settings!$B$30,IF(Settings!$B$30-L512&gt;=I512,K512,K512+(Settings!$B$30-L512)+Settings!$B$31),K512+(Settings!$B$33-L512))</f>
        <v>360.14610789042405</v>
      </c>
      <c r="N512" s="6">
        <f t="shared" si="159"/>
        <v>366.16610789042403</v>
      </c>
      <c r="O512" s="6">
        <f t="shared" si="160"/>
        <v>104.16610789042403</v>
      </c>
      <c r="P512" s="6">
        <f t="shared" si="161"/>
        <v>86.822914452053169</v>
      </c>
      <c r="Q512" s="6">
        <f t="shared" si="162"/>
        <v>1.7220093491895909</v>
      </c>
      <c r="R512" s="6">
        <f t="shared" si="163"/>
        <v>0</v>
      </c>
      <c r="S512" s="6">
        <f t="shared" si="164"/>
        <v>88.54492380124276</v>
      </c>
      <c r="T512" s="6" t="str">
        <f>IF(MOD(C512-Settings!$B$32,Settings!$B$33)&lt;Settings!$B$30,"Up","Down")</f>
        <v>Up</v>
      </c>
      <c r="U512" s="6">
        <f>IF(OR(I512&gt;Settings!$B$30,O512&gt;Settings!$B$37),0,1)</f>
        <v>1</v>
      </c>
      <c r="V512" s="6">
        <f>IF(AND(U512=1,O512&lt;=Settings!$B$36),1,0)</f>
        <v>1</v>
      </c>
    </row>
    <row r="513" spans="1:22" x14ac:dyDescent="0.2">
      <c r="A513">
        <f>Arrivals!A513</f>
        <v>5</v>
      </c>
      <c r="B513">
        <f>Arrivals!B513</f>
        <v>28</v>
      </c>
      <c r="C513" s="6">
        <f>Arrivals!F513</f>
        <v>268</v>
      </c>
      <c r="D513" s="6">
        <f>Arrivals!J513</f>
        <v>24.785277390511965</v>
      </c>
      <c r="E513" s="6">
        <f t="shared" si="165"/>
        <v>358.42409854123446</v>
      </c>
      <c r="F513" s="6">
        <f t="shared" si="156"/>
        <v>358.42409854123446</v>
      </c>
      <c r="G513" s="6">
        <f t="shared" si="157"/>
        <v>383.20937593174642</v>
      </c>
      <c r="H513" s="6">
        <f>Arrivals!L513</f>
        <v>75</v>
      </c>
      <c r="I513" s="6">
        <f>H513*8/ACE_Input!S33+ACE_Input!T33</f>
        <v>6.02</v>
      </c>
      <c r="J513" s="6">
        <f t="shared" si="166"/>
        <v>366.16610789042403</v>
      </c>
      <c r="K513" s="6">
        <f t="shared" si="158"/>
        <v>383.20937593174642</v>
      </c>
      <c r="L513" s="6">
        <f>MOD(K513-Settings!$B$32,Settings!$B$33)</f>
        <v>383.20937593174642</v>
      </c>
      <c r="M513" s="6">
        <f>IF(L513&lt;Settings!$B$30,IF(Settings!$B$30-L513&gt;=I513,K513,K513+(Settings!$B$30-L513)+Settings!$B$31),K513+(Settings!$B$33-L513))</f>
        <v>383.20937593174642</v>
      </c>
      <c r="N513" s="6">
        <f t="shared" si="159"/>
        <v>389.2293759317464</v>
      </c>
      <c r="O513" s="6">
        <f t="shared" si="160"/>
        <v>121.2293759317464</v>
      </c>
      <c r="P513" s="6">
        <f t="shared" si="161"/>
        <v>90.424098541234457</v>
      </c>
      <c r="Q513" s="6">
        <f t="shared" si="162"/>
        <v>0</v>
      </c>
      <c r="R513" s="6">
        <f t="shared" si="163"/>
        <v>0</v>
      </c>
      <c r="S513" s="6">
        <f t="shared" si="164"/>
        <v>90.424098541234457</v>
      </c>
      <c r="T513" s="6" t="str">
        <f>IF(MOD(C513-Settings!$B$32,Settings!$B$33)&lt;Settings!$B$30,"Up","Down")</f>
        <v>Up</v>
      </c>
      <c r="U513" s="6">
        <f>IF(OR(I513&gt;Settings!$B$30,O513&gt;Settings!$B$37),0,1)</f>
        <v>1</v>
      </c>
      <c r="V513" s="6">
        <f>IF(AND(U513=1,O513&lt;=Settings!$B$36),1,0)</f>
        <v>0</v>
      </c>
    </row>
    <row r="514" spans="1:22" x14ac:dyDescent="0.2">
      <c r="A514">
        <f>Arrivals!A514</f>
        <v>5</v>
      </c>
      <c r="B514">
        <f>Arrivals!B514</f>
        <v>29</v>
      </c>
      <c r="C514" s="6">
        <f>Arrivals!F514</f>
        <v>273</v>
      </c>
      <c r="D514" s="6">
        <f>Arrivals!J514</f>
        <v>8.3695314887270698</v>
      </c>
      <c r="E514" s="6">
        <f t="shared" si="165"/>
        <v>383.20937593174642</v>
      </c>
      <c r="F514" s="6">
        <f t="shared" si="156"/>
        <v>383.20937593174642</v>
      </c>
      <c r="G514" s="6">
        <f t="shared" si="157"/>
        <v>391.57890742047351</v>
      </c>
      <c r="H514" s="6">
        <f>Arrivals!L514</f>
        <v>75</v>
      </c>
      <c r="I514" s="6">
        <f>H514*8/ACE_Input!S34+ACE_Input!T34</f>
        <v>6.02</v>
      </c>
      <c r="J514" s="6">
        <f t="shared" si="166"/>
        <v>389.2293759317464</v>
      </c>
      <c r="K514" s="6">
        <f t="shared" si="158"/>
        <v>391.57890742047351</v>
      </c>
      <c r="L514" s="6">
        <f>MOD(K514-Settings!$B$32,Settings!$B$33)</f>
        <v>391.57890742047351</v>
      </c>
      <c r="M514" s="6">
        <f>IF(L514&lt;Settings!$B$30,IF(Settings!$B$30-L514&gt;=I514,K514,K514+(Settings!$B$30-L514)+Settings!$B$31),K514+(Settings!$B$33-L514))</f>
        <v>391.57890742047351</v>
      </c>
      <c r="N514" s="6">
        <f t="shared" si="159"/>
        <v>397.59890742047349</v>
      </c>
      <c r="O514" s="6">
        <f t="shared" si="160"/>
        <v>124.59890742047349</v>
      </c>
      <c r="P514" s="6">
        <f t="shared" si="161"/>
        <v>110.20937593174642</v>
      </c>
      <c r="Q514" s="6">
        <f t="shared" si="162"/>
        <v>0</v>
      </c>
      <c r="R514" s="6">
        <f t="shared" si="163"/>
        <v>0</v>
      </c>
      <c r="S514" s="6">
        <f t="shared" si="164"/>
        <v>110.20937593174642</v>
      </c>
      <c r="T514" s="6" t="str">
        <f>IF(MOD(C514-Settings!$B$32,Settings!$B$33)&lt;Settings!$B$30,"Up","Down")</f>
        <v>Up</v>
      </c>
      <c r="U514" s="6">
        <f>IF(OR(I514&gt;Settings!$B$30,O514&gt;Settings!$B$37),0,1)</f>
        <v>1</v>
      </c>
      <c r="V514" s="6">
        <f>IF(AND(U514=1,O514&lt;=Settings!$B$36),1,0)</f>
        <v>0</v>
      </c>
    </row>
    <row r="515" spans="1:22" x14ac:dyDescent="0.2">
      <c r="A515">
        <f>Arrivals!A515</f>
        <v>5</v>
      </c>
      <c r="B515">
        <f>Arrivals!B515</f>
        <v>30</v>
      </c>
      <c r="C515" s="6">
        <f>Arrivals!F515</f>
        <v>278</v>
      </c>
      <c r="D515" s="6">
        <f>Arrivals!J515</f>
        <v>13.40425870617533</v>
      </c>
      <c r="E515" s="6">
        <f t="shared" si="165"/>
        <v>391.57890742047351</v>
      </c>
      <c r="F515" s="6">
        <f t="shared" si="156"/>
        <v>391.57890742047351</v>
      </c>
      <c r="G515" s="6">
        <f t="shared" si="157"/>
        <v>404.98316612664883</v>
      </c>
      <c r="H515" s="6">
        <f>Arrivals!L515</f>
        <v>75</v>
      </c>
      <c r="I515" s="6">
        <f>H515*8/ACE_Input!S35+ACE_Input!T35</f>
        <v>6.02</v>
      </c>
      <c r="J515" s="6">
        <f t="shared" si="166"/>
        <v>397.59890742047349</v>
      </c>
      <c r="K515" s="6">
        <f t="shared" si="158"/>
        <v>404.98316612664883</v>
      </c>
      <c r="L515" s="6">
        <f>MOD(K515-Settings!$B$32,Settings!$B$33)</f>
        <v>404.98316612664883</v>
      </c>
      <c r="M515" s="6">
        <f>IF(L515&lt;Settings!$B$30,IF(Settings!$B$30-L515&gt;=I515,K515,K515+(Settings!$B$30-L515)+Settings!$B$31),K515+(Settings!$B$33-L515))</f>
        <v>404.98316612664883</v>
      </c>
      <c r="N515" s="6">
        <f t="shared" si="159"/>
        <v>411.00316612664881</v>
      </c>
      <c r="O515" s="6">
        <f t="shared" si="160"/>
        <v>133.00316612664881</v>
      </c>
      <c r="P515" s="6">
        <f t="shared" si="161"/>
        <v>113.57890742047351</v>
      </c>
      <c r="Q515" s="6">
        <f t="shared" si="162"/>
        <v>0</v>
      </c>
      <c r="R515" s="6">
        <f t="shared" si="163"/>
        <v>0</v>
      </c>
      <c r="S515" s="6">
        <f t="shared" si="164"/>
        <v>113.57890742047351</v>
      </c>
      <c r="T515" s="6" t="str">
        <f>IF(MOD(C515-Settings!$B$32,Settings!$B$33)&lt;Settings!$B$30,"Up","Down")</f>
        <v>Up</v>
      </c>
      <c r="U515" s="6">
        <f>IF(OR(I515&gt;Settings!$B$30,O515&gt;Settings!$B$37),0,1)</f>
        <v>1</v>
      </c>
      <c r="V515" s="6">
        <f>IF(AND(U515=1,O515&lt;=Settings!$B$36),1,0)</f>
        <v>0</v>
      </c>
    </row>
    <row r="516" spans="1:22" x14ac:dyDescent="0.2">
      <c r="A516">
        <f>Arrivals!A516</f>
        <v>5</v>
      </c>
      <c r="B516">
        <f>Arrivals!B516</f>
        <v>31</v>
      </c>
      <c r="C516" s="6">
        <f>Arrivals!F516</f>
        <v>283</v>
      </c>
      <c r="D516" s="6">
        <f>Arrivals!J516</f>
        <v>23.424366013889827</v>
      </c>
      <c r="E516" s="6">
        <f t="shared" si="165"/>
        <v>404.98316612664883</v>
      </c>
      <c r="F516" s="6">
        <f t="shared" si="156"/>
        <v>404.98316612664883</v>
      </c>
      <c r="G516" s="6">
        <f t="shared" si="157"/>
        <v>428.40753214053865</v>
      </c>
      <c r="H516" s="6">
        <f>Arrivals!L516</f>
        <v>75</v>
      </c>
      <c r="I516" s="6">
        <f>H516*8/ACE_Input!S36+ACE_Input!T36</f>
        <v>6.02</v>
      </c>
      <c r="J516" s="6">
        <f t="shared" si="166"/>
        <v>411.00316612664881</v>
      </c>
      <c r="K516" s="6">
        <f t="shared" si="158"/>
        <v>428.40753214053865</v>
      </c>
      <c r="L516" s="6">
        <f>MOD(K516-Settings!$B$32,Settings!$B$33)</f>
        <v>428.40753214053865</v>
      </c>
      <c r="M516" s="6">
        <f>IF(L516&lt;Settings!$B$30,IF(Settings!$B$30-L516&gt;=I516,K516,K516+(Settings!$B$30-L516)+Settings!$B$31),K516+(Settings!$B$33-L516))</f>
        <v>428.40753214053865</v>
      </c>
      <c r="N516" s="6">
        <f t="shared" si="159"/>
        <v>434.42753214053863</v>
      </c>
      <c r="O516" s="6">
        <f t="shared" si="160"/>
        <v>151.42753214053863</v>
      </c>
      <c r="P516" s="6">
        <f t="shared" si="161"/>
        <v>121.98316612664883</v>
      </c>
      <c r="Q516" s="6">
        <f t="shared" si="162"/>
        <v>0</v>
      </c>
      <c r="R516" s="6">
        <f t="shared" si="163"/>
        <v>0</v>
      </c>
      <c r="S516" s="6">
        <f t="shared" si="164"/>
        <v>121.98316612664883</v>
      </c>
      <c r="T516" s="6" t="str">
        <f>IF(MOD(C516-Settings!$B$32,Settings!$B$33)&lt;Settings!$B$30,"Up","Down")</f>
        <v>Up</v>
      </c>
      <c r="U516" s="6">
        <f>IF(OR(I516&gt;Settings!$B$30,O516&gt;Settings!$B$37),0,1)</f>
        <v>1</v>
      </c>
      <c r="V516" s="6">
        <f>IF(AND(U516=1,O516&lt;=Settings!$B$36),1,0)</f>
        <v>0</v>
      </c>
    </row>
    <row r="517" spans="1:22" x14ac:dyDescent="0.2">
      <c r="A517">
        <f>Arrivals!A517</f>
        <v>5</v>
      </c>
      <c r="B517">
        <f>Arrivals!B517</f>
        <v>32</v>
      </c>
      <c r="C517" s="6">
        <f>Arrivals!F517</f>
        <v>288</v>
      </c>
      <c r="D517" s="6">
        <f>Arrivals!J517</f>
        <v>12.60087678631027</v>
      </c>
      <c r="E517" s="6">
        <f t="shared" si="165"/>
        <v>428.40753214053865</v>
      </c>
      <c r="F517" s="6">
        <f t="shared" si="156"/>
        <v>428.40753214053865</v>
      </c>
      <c r="G517" s="6">
        <f t="shared" si="157"/>
        <v>441.00840892684892</v>
      </c>
      <c r="H517" s="6">
        <f>Arrivals!L517</f>
        <v>75</v>
      </c>
      <c r="I517" s="6">
        <f>H517*8/ACE_Input!S37+ACE_Input!T37</f>
        <v>6.02</v>
      </c>
      <c r="J517" s="6">
        <f t="shared" si="166"/>
        <v>434.42753214053863</v>
      </c>
      <c r="K517" s="6">
        <f t="shared" si="158"/>
        <v>441.00840892684892</v>
      </c>
      <c r="L517" s="6">
        <f>MOD(K517-Settings!$B$32,Settings!$B$33)</f>
        <v>441.00840892684892</v>
      </c>
      <c r="M517" s="6">
        <f>IF(L517&lt;Settings!$B$30,IF(Settings!$B$30-L517&gt;=I517,K517,K517+(Settings!$B$30-L517)+Settings!$B$31),K517+(Settings!$B$33-L517))</f>
        <v>441.00840892684892</v>
      </c>
      <c r="N517" s="6">
        <f t="shared" si="159"/>
        <v>447.0284089268489</v>
      </c>
      <c r="O517" s="6">
        <f t="shared" si="160"/>
        <v>159.0284089268489</v>
      </c>
      <c r="P517" s="6">
        <f t="shared" si="161"/>
        <v>140.40753214053865</v>
      </c>
      <c r="Q517" s="6">
        <f t="shared" si="162"/>
        <v>0</v>
      </c>
      <c r="R517" s="6">
        <f t="shared" si="163"/>
        <v>0</v>
      </c>
      <c r="S517" s="6">
        <f t="shared" si="164"/>
        <v>140.40753214053865</v>
      </c>
      <c r="T517" s="6" t="str">
        <f>IF(MOD(C517-Settings!$B$32,Settings!$B$33)&lt;Settings!$B$30,"Up","Down")</f>
        <v>Up</v>
      </c>
      <c r="U517" s="6">
        <f>IF(OR(I517&gt;Settings!$B$30,O517&gt;Settings!$B$37),0,1)</f>
        <v>1</v>
      </c>
      <c r="V517" s="6">
        <f>IF(AND(U517=1,O517&lt;=Settings!$B$36),1,0)</f>
        <v>0</v>
      </c>
    </row>
    <row r="518" spans="1:22" x14ac:dyDescent="0.2">
      <c r="A518">
        <f>Arrivals!A518</f>
        <v>5</v>
      </c>
      <c r="B518">
        <f>Arrivals!B518</f>
        <v>33</v>
      </c>
      <c r="C518" s="6">
        <f>Arrivals!F518</f>
        <v>293</v>
      </c>
      <c r="D518" s="6">
        <f>Arrivals!J518</f>
        <v>0.3156699850354649</v>
      </c>
      <c r="E518" s="6">
        <f t="shared" si="165"/>
        <v>441.00840892684892</v>
      </c>
      <c r="F518" s="6">
        <f t="shared" ref="F518:F549" si="167">MAX(C518,E518)</f>
        <v>441.00840892684892</v>
      </c>
      <c r="G518" s="6">
        <f t="shared" ref="G518:G549" si="168">F518+D518</f>
        <v>441.32407891188438</v>
      </c>
      <c r="H518" s="6">
        <f>Arrivals!L518</f>
        <v>75</v>
      </c>
      <c r="I518" s="6">
        <f>H518*8/ACE_Input!S38+ACE_Input!T38</f>
        <v>6.02</v>
      </c>
      <c r="J518" s="6">
        <f t="shared" si="166"/>
        <v>447.0284089268489</v>
      </c>
      <c r="K518" s="6">
        <f t="shared" ref="K518:K549" si="169">MAX(G518,J518)</f>
        <v>447.0284089268489</v>
      </c>
      <c r="L518" s="6">
        <f>MOD(K518-Settings!$B$32,Settings!$B$33)</f>
        <v>447.0284089268489</v>
      </c>
      <c r="M518" s="6">
        <f>IF(L518&lt;Settings!$B$30,IF(Settings!$B$30-L518&gt;=I518,K518,K518+(Settings!$B$30-L518)+Settings!$B$31),K518+(Settings!$B$33-L518))</f>
        <v>447.0284089268489</v>
      </c>
      <c r="N518" s="6">
        <f t="shared" ref="N518:N549" si="170">M518+I518</f>
        <v>453.04840892684888</v>
      </c>
      <c r="O518" s="6">
        <f t="shared" ref="O518:O549" si="171">N518-C518</f>
        <v>160.04840892684888</v>
      </c>
      <c r="P518" s="6">
        <f t="shared" ref="P518:P549" si="172">F518-C518</f>
        <v>148.00840892684892</v>
      </c>
      <c r="Q518" s="6">
        <f t="shared" ref="Q518:Q549" si="173">K518-G518</f>
        <v>5.704330014964512</v>
      </c>
      <c r="R518" s="6">
        <f t="shared" ref="R518:R549" si="174">M518-K518</f>
        <v>0</v>
      </c>
      <c r="S518" s="6">
        <f t="shared" ref="S518:S549" si="175">P518+Q518+R518</f>
        <v>153.71273894181343</v>
      </c>
      <c r="T518" s="6" t="str">
        <f>IF(MOD(C518-Settings!$B$32,Settings!$B$33)&lt;Settings!$B$30,"Up","Down")</f>
        <v>Up</v>
      </c>
      <c r="U518" s="6">
        <f>IF(OR(I518&gt;Settings!$B$30,O518&gt;Settings!$B$37),0,1)</f>
        <v>1</v>
      </c>
      <c r="V518" s="6">
        <f>IF(AND(U518=1,O518&lt;=Settings!$B$36),1,0)</f>
        <v>0</v>
      </c>
    </row>
    <row r="519" spans="1:22" x14ac:dyDescent="0.2">
      <c r="A519">
        <f>Arrivals!A519</f>
        <v>5</v>
      </c>
      <c r="B519">
        <f>Arrivals!B519</f>
        <v>34</v>
      </c>
      <c r="C519" s="6">
        <f>Arrivals!F519</f>
        <v>298</v>
      </c>
      <c r="D519" s="6">
        <f>Arrivals!J519</f>
        <v>5.3101996641071763</v>
      </c>
      <c r="E519" s="6">
        <f t="shared" ref="E519:E550" si="176">G518</f>
        <v>441.32407891188438</v>
      </c>
      <c r="F519" s="6">
        <f t="shared" si="167"/>
        <v>441.32407891188438</v>
      </c>
      <c r="G519" s="6">
        <f t="shared" si="168"/>
        <v>446.63427857599157</v>
      </c>
      <c r="H519" s="6">
        <f>Arrivals!L519</f>
        <v>75</v>
      </c>
      <c r="I519" s="6">
        <f>H519*8/ACE_Input!S39+ACE_Input!T39</f>
        <v>6.02</v>
      </c>
      <c r="J519" s="6">
        <f t="shared" ref="J519:J550" si="177">N518</f>
        <v>453.04840892684888</v>
      </c>
      <c r="K519" s="6">
        <f t="shared" si="169"/>
        <v>453.04840892684888</v>
      </c>
      <c r="L519" s="6">
        <f>MOD(K519-Settings!$B$32,Settings!$B$33)</f>
        <v>453.04840892684888</v>
      </c>
      <c r="M519" s="6">
        <f>IF(L519&lt;Settings!$B$30,IF(Settings!$B$30-L519&gt;=I519,K519,K519+(Settings!$B$30-L519)+Settings!$B$31),K519+(Settings!$B$33-L519))</f>
        <v>453.04840892684888</v>
      </c>
      <c r="N519" s="6">
        <f t="shared" si="170"/>
        <v>459.06840892684886</v>
      </c>
      <c r="O519" s="6">
        <f t="shared" si="171"/>
        <v>161.06840892684886</v>
      </c>
      <c r="P519" s="6">
        <f t="shared" si="172"/>
        <v>143.32407891188438</v>
      </c>
      <c r="Q519" s="6">
        <f t="shared" si="173"/>
        <v>6.414130350857306</v>
      </c>
      <c r="R519" s="6">
        <f t="shared" si="174"/>
        <v>0</v>
      </c>
      <c r="S519" s="6">
        <f t="shared" si="175"/>
        <v>149.73820926274169</v>
      </c>
      <c r="T519" s="6" t="str">
        <f>IF(MOD(C519-Settings!$B$32,Settings!$B$33)&lt;Settings!$B$30,"Up","Down")</f>
        <v>Up</v>
      </c>
      <c r="U519" s="6">
        <f>IF(OR(I519&gt;Settings!$B$30,O519&gt;Settings!$B$37),0,1)</f>
        <v>1</v>
      </c>
      <c r="V519" s="6">
        <f>IF(AND(U519=1,O519&lt;=Settings!$B$36),1,0)</f>
        <v>0</v>
      </c>
    </row>
    <row r="520" spans="1:22" x14ac:dyDescent="0.2">
      <c r="A520">
        <f>Arrivals!A520</f>
        <v>5</v>
      </c>
      <c r="B520">
        <f>Arrivals!B520</f>
        <v>35</v>
      </c>
      <c r="C520" s="6">
        <f>Arrivals!F520</f>
        <v>303</v>
      </c>
      <c r="D520" s="6">
        <f>Arrivals!J520</f>
        <v>26.114021152612544</v>
      </c>
      <c r="E520" s="6">
        <f t="shared" si="176"/>
        <v>446.63427857599157</v>
      </c>
      <c r="F520" s="6">
        <f t="shared" si="167"/>
        <v>446.63427857599157</v>
      </c>
      <c r="G520" s="6">
        <f t="shared" si="168"/>
        <v>472.74829972860414</v>
      </c>
      <c r="H520" s="6">
        <f>Arrivals!L520</f>
        <v>75</v>
      </c>
      <c r="I520" s="6">
        <f>H520*8/ACE_Input!S40+ACE_Input!T40</f>
        <v>6.02</v>
      </c>
      <c r="J520" s="6">
        <f t="shared" si="177"/>
        <v>459.06840892684886</v>
      </c>
      <c r="K520" s="6">
        <f t="shared" si="169"/>
        <v>472.74829972860414</v>
      </c>
      <c r="L520" s="6">
        <f>MOD(K520-Settings!$B$32,Settings!$B$33)</f>
        <v>472.74829972860414</v>
      </c>
      <c r="M520" s="6">
        <f>IF(L520&lt;Settings!$B$30,IF(Settings!$B$30-L520&gt;=I520,K520,K520+(Settings!$B$30-L520)+Settings!$B$31),K520+(Settings!$B$33-L520))</f>
        <v>472.74829972860414</v>
      </c>
      <c r="N520" s="6">
        <f t="shared" si="170"/>
        <v>478.76829972860412</v>
      </c>
      <c r="O520" s="6">
        <f t="shared" si="171"/>
        <v>175.76829972860412</v>
      </c>
      <c r="P520" s="6">
        <f t="shared" si="172"/>
        <v>143.63427857599157</v>
      </c>
      <c r="Q520" s="6">
        <f t="shared" si="173"/>
        <v>0</v>
      </c>
      <c r="R520" s="6">
        <f t="shared" si="174"/>
        <v>0</v>
      </c>
      <c r="S520" s="6">
        <f t="shared" si="175"/>
        <v>143.63427857599157</v>
      </c>
      <c r="T520" s="6" t="str">
        <f>IF(MOD(C520-Settings!$B$32,Settings!$B$33)&lt;Settings!$B$30,"Up","Down")</f>
        <v>Up</v>
      </c>
      <c r="U520" s="6">
        <f>IF(OR(I520&gt;Settings!$B$30,O520&gt;Settings!$B$37),0,1)</f>
        <v>1</v>
      </c>
      <c r="V520" s="6">
        <f>IF(AND(U520=1,O520&lt;=Settings!$B$36),1,0)</f>
        <v>0</v>
      </c>
    </row>
    <row r="521" spans="1:22" x14ac:dyDescent="0.2">
      <c r="A521">
        <f>Arrivals!A521</f>
        <v>5</v>
      </c>
      <c r="B521">
        <f>Arrivals!B521</f>
        <v>36</v>
      </c>
      <c r="C521" s="6">
        <f>Arrivals!F521</f>
        <v>308</v>
      </c>
      <c r="D521" s="6">
        <f>Arrivals!J521</f>
        <v>20.41020314599373</v>
      </c>
      <c r="E521" s="6">
        <f t="shared" si="176"/>
        <v>472.74829972860414</v>
      </c>
      <c r="F521" s="6">
        <f t="shared" si="167"/>
        <v>472.74829972860414</v>
      </c>
      <c r="G521" s="6">
        <f t="shared" si="168"/>
        <v>493.15850287459784</v>
      </c>
      <c r="H521" s="6">
        <f>Arrivals!L521</f>
        <v>75</v>
      </c>
      <c r="I521" s="6">
        <f>H521*8/ACE_Input!S41+ACE_Input!T41</f>
        <v>6.02</v>
      </c>
      <c r="J521" s="6">
        <f t="shared" si="177"/>
        <v>478.76829972860412</v>
      </c>
      <c r="K521" s="6">
        <f t="shared" si="169"/>
        <v>493.15850287459784</v>
      </c>
      <c r="L521" s="6">
        <f>MOD(K521-Settings!$B$32,Settings!$B$33)</f>
        <v>493.15850287459784</v>
      </c>
      <c r="M521" s="6">
        <f>IF(L521&lt;Settings!$B$30,IF(Settings!$B$30-L521&gt;=I521,K521,K521+(Settings!$B$30-L521)+Settings!$B$31),K521+(Settings!$B$33-L521))</f>
        <v>493.15850287459784</v>
      </c>
      <c r="N521" s="6">
        <f t="shared" si="170"/>
        <v>499.17850287459783</v>
      </c>
      <c r="O521" s="6">
        <f t="shared" si="171"/>
        <v>191.17850287459783</v>
      </c>
      <c r="P521" s="6">
        <f t="shared" si="172"/>
        <v>164.74829972860414</v>
      </c>
      <c r="Q521" s="6">
        <f t="shared" si="173"/>
        <v>0</v>
      </c>
      <c r="R521" s="6">
        <f t="shared" si="174"/>
        <v>0</v>
      </c>
      <c r="S521" s="6">
        <f t="shared" si="175"/>
        <v>164.74829972860414</v>
      </c>
      <c r="T521" s="6" t="str">
        <f>IF(MOD(C521-Settings!$B$32,Settings!$B$33)&lt;Settings!$B$30,"Up","Down")</f>
        <v>Up</v>
      </c>
      <c r="U521" s="6">
        <f>IF(OR(I521&gt;Settings!$B$30,O521&gt;Settings!$B$37),0,1)</f>
        <v>1</v>
      </c>
      <c r="V521" s="6">
        <f>IF(AND(U521=1,O521&lt;=Settings!$B$36),1,0)</f>
        <v>0</v>
      </c>
    </row>
    <row r="522" spans="1:22" x14ac:dyDescent="0.2">
      <c r="A522">
        <f>Arrivals!A522</f>
        <v>5</v>
      </c>
      <c r="B522">
        <f>Arrivals!B522</f>
        <v>37</v>
      </c>
      <c r="C522" s="6">
        <f>Arrivals!F522</f>
        <v>313</v>
      </c>
      <c r="D522" s="6">
        <f>Arrivals!J522</f>
        <v>3.4124801161414315</v>
      </c>
      <c r="E522" s="6">
        <f t="shared" si="176"/>
        <v>493.15850287459784</v>
      </c>
      <c r="F522" s="6">
        <f t="shared" si="167"/>
        <v>493.15850287459784</v>
      </c>
      <c r="G522" s="6">
        <f t="shared" si="168"/>
        <v>496.57098299073925</v>
      </c>
      <c r="H522" s="6">
        <f>Arrivals!L522</f>
        <v>75</v>
      </c>
      <c r="I522" s="6">
        <f>H522*8/ACE_Input!S42+ACE_Input!T42</f>
        <v>6.02</v>
      </c>
      <c r="J522" s="6">
        <f t="shared" si="177"/>
        <v>499.17850287459783</v>
      </c>
      <c r="K522" s="6">
        <f t="shared" si="169"/>
        <v>499.17850287459783</v>
      </c>
      <c r="L522" s="6">
        <f>MOD(K522-Settings!$B$32,Settings!$B$33)</f>
        <v>499.17850287459783</v>
      </c>
      <c r="M522" s="6">
        <f>IF(L522&lt;Settings!$B$30,IF(Settings!$B$30-L522&gt;=I522,K522,K522+(Settings!$B$30-L522)+Settings!$B$31),K522+(Settings!$B$33-L522))</f>
        <v>499.17850287459783</v>
      </c>
      <c r="N522" s="6">
        <f t="shared" si="170"/>
        <v>505.19850287459781</v>
      </c>
      <c r="O522" s="6">
        <f t="shared" si="171"/>
        <v>192.19850287459781</v>
      </c>
      <c r="P522" s="6">
        <f t="shared" si="172"/>
        <v>180.15850287459784</v>
      </c>
      <c r="Q522" s="6">
        <f t="shared" si="173"/>
        <v>2.607519883858572</v>
      </c>
      <c r="R522" s="6">
        <f t="shared" si="174"/>
        <v>0</v>
      </c>
      <c r="S522" s="6">
        <f t="shared" si="175"/>
        <v>182.76602275845642</v>
      </c>
      <c r="T522" s="6" t="str">
        <f>IF(MOD(C522-Settings!$B$32,Settings!$B$33)&lt;Settings!$B$30,"Up","Down")</f>
        <v>Up</v>
      </c>
      <c r="U522" s="6">
        <f>IF(OR(I522&gt;Settings!$B$30,O522&gt;Settings!$B$37),0,1)</f>
        <v>1</v>
      </c>
      <c r="V522" s="6">
        <f>IF(AND(U522=1,O522&lt;=Settings!$B$36),1,0)</f>
        <v>0</v>
      </c>
    </row>
    <row r="523" spans="1:22" x14ac:dyDescent="0.2">
      <c r="A523">
        <f>Arrivals!A523</f>
        <v>5</v>
      </c>
      <c r="B523">
        <f>Arrivals!B523</f>
        <v>38</v>
      </c>
      <c r="C523" s="6">
        <f>Arrivals!F523</f>
        <v>318</v>
      </c>
      <c r="D523" s="6">
        <f>Arrivals!J523</f>
        <v>43.595832420634245</v>
      </c>
      <c r="E523" s="6">
        <f t="shared" si="176"/>
        <v>496.57098299073925</v>
      </c>
      <c r="F523" s="6">
        <f t="shared" si="167"/>
        <v>496.57098299073925</v>
      </c>
      <c r="G523" s="6">
        <f t="shared" si="168"/>
        <v>540.16681541137348</v>
      </c>
      <c r="H523" s="6">
        <f>Arrivals!L523</f>
        <v>75</v>
      </c>
      <c r="I523" s="6">
        <f>H523*8/ACE_Input!S43+ACE_Input!T43</f>
        <v>6.02</v>
      </c>
      <c r="J523" s="6">
        <f t="shared" si="177"/>
        <v>505.19850287459781</v>
      </c>
      <c r="K523" s="6">
        <f t="shared" si="169"/>
        <v>540.16681541137348</v>
      </c>
      <c r="L523" s="6">
        <f>MOD(K523-Settings!$B$32,Settings!$B$33)</f>
        <v>540.16681541137348</v>
      </c>
      <c r="M523" s="6">
        <f>IF(L523&lt;Settings!$B$30,IF(Settings!$B$30-L523&gt;=I523,K523,K523+(Settings!$B$30-L523)+Settings!$B$31),K523+(Settings!$B$33-L523))</f>
        <v>540.16681541137348</v>
      </c>
      <c r="N523" s="6">
        <f t="shared" si="170"/>
        <v>546.18681541137346</v>
      </c>
      <c r="O523" s="6">
        <f t="shared" si="171"/>
        <v>228.18681541137346</v>
      </c>
      <c r="P523" s="6">
        <f t="shared" si="172"/>
        <v>178.57098299073925</v>
      </c>
      <c r="Q523" s="6">
        <f t="shared" si="173"/>
        <v>0</v>
      </c>
      <c r="R523" s="6">
        <f t="shared" si="174"/>
        <v>0</v>
      </c>
      <c r="S523" s="6">
        <f t="shared" si="175"/>
        <v>178.57098299073925</v>
      </c>
      <c r="T523" s="6" t="str">
        <f>IF(MOD(C523-Settings!$B$32,Settings!$B$33)&lt;Settings!$B$30,"Up","Down")</f>
        <v>Up</v>
      </c>
      <c r="U523" s="6">
        <f>IF(OR(I523&gt;Settings!$B$30,O523&gt;Settings!$B$37),0,1)</f>
        <v>1</v>
      </c>
      <c r="V523" s="6">
        <f>IF(AND(U523=1,O523&lt;=Settings!$B$36),1,0)</f>
        <v>0</v>
      </c>
    </row>
    <row r="524" spans="1:22" x14ac:dyDescent="0.2">
      <c r="A524">
        <f>Arrivals!A524</f>
        <v>5</v>
      </c>
      <c r="B524">
        <f>Arrivals!B524</f>
        <v>39</v>
      </c>
      <c r="C524" s="6">
        <f>Arrivals!F524</f>
        <v>323</v>
      </c>
      <c r="D524" s="6">
        <f>Arrivals!J524</f>
        <v>13.349592171916903</v>
      </c>
      <c r="E524" s="6">
        <f t="shared" si="176"/>
        <v>540.16681541137348</v>
      </c>
      <c r="F524" s="6">
        <f t="shared" si="167"/>
        <v>540.16681541137348</v>
      </c>
      <c r="G524" s="6">
        <f t="shared" si="168"/>
        <v>553.5164075832904</v>
      </c>
      <c r="H524" s="6">
        <f>Arrivals!L524</f>
        <v>75</v>
      </c>
      <c r="I524" s="6">
        <f>H524*8/ACE_Input!S44+ACE_Input!T44</f>
        <v>6.02</v>
      </c>
      <c r="J524" s="6">
        <f t="shared" si="177"/>
        <v>546.18681541137346</v>
      </c>
      <c r="K524" s="6">
        <f t="shared" si="169"/>
        <v>553.5164075832904</v>
      </c>
      <c r="L524" s="6">
        <f>MOD(K524-Settings!$B$32,Settings!$B$33)</f>
        <v>553.5164075832904</v>
      </c>
      <c r="M524" s="6">
        <f>IF(L524&lt;Settings!$B$30,IF(Settings!$B$30-L524&gt;=I524,K524,K524+(Settings!$B$30-L524)+Settings!$B$31),K524+(Settings!$B$33-L524))</f>
        <v>553.5164075832904</v>
      </c>
      <c r="N524" s="6">
        <f t="shared" si="170"/>
        <v>559.53640758329038</v>
      </c>
      <c r="O524" s="6">
        <f t="shared" si="171"/>
        <v>236.53640758329038</v>
      </c>
      <c r="P524" s="6">
        <f t="shared" si="172"/>
        <v>217.16681541137348</v>
      </c>
      <c r="Q524" s="6">
        <f t="shared" si="173"/>
        <v>0</v>
      </c>
      <c r="R524" s="6">
        <f t="shared" si="174"/>
        <v>0</v>
      </c>
      <c r="S524" s="6">
        <f t="shared" si="175"/>
        <v>217.16681541137348</v>
      </c>
      <c r="T524" s="6" t="str">
        <f>IF(MOD(C524-Settings!$B$32,Settings!$B$33)&lt;Settings!$B$30,"Up","Down")</f>
        <v>Up</v>
      </c>
      <c r="U524" s="6">
        <f>IF(OR(I524&gt;Settings!$B$30,O524&gt;Settings!$B$37),0,1)</f>
        <v>1</v>
      </c>
      <c r="V524" s="6">
        <f>IF(AND(U524=1,O524&lt;=Settings!$B$36),1,0)</f>
        <v>0</v>
      </c>
    </row>
    <row r="525" spans="1:22" x14ac:dyDescent="0.2">
      <c r="A525">
        <f>Arrivals!A525</f>
        <v>5</v>
      </c>
      <c r="B525">
        <f>Arrivals!B525</f>
        <v>40</v>
      </c>
      <c r="C525" s="6">
        <f>Arrivals!F525</f>
        <v>328</v>
      </c>
      <c r="D525" s="6">
        <f>Arrivals!J525</f>
        <v>16.384444124393703</v>
      </c>
      <c r="E525" s="6">
        <f t="shared" si="176"/>
        <v>553.5164075832904</v>
      </c>
      <c r="F525" s="6">
        <f t="shared" si="167"/>
        <v>553.5164075832904</v>
      </c>
      <c r="G525" s="6">
        <f t="shared" si="168"/>
        <v>569.90085170768407</v>
      </c>
      <c r="H525" s="6">
        <f>Arrivals!L525</f>
        <v>75</v>
      </c>
      <c r="I525" s="6">
        <f>H525*8/ACE_Input!S45+ACE_Input!T45</f>
        <v>6.02</v>
      </c>
      <c r="J525" s="6">
        <f t="shared" si="177"/>
        <v>559.53640758329038</v>
      </c>
      <c r="K525" s="6">
        <f t="shared" si="169"/>
        <v>569.90085170768407</v>
      </c>
      <c r="L525" s="6">
        <f>MOD(K525-Settings!$B$32,Settings!$B$33)</f>
        <v>569.90085170768407</v>
      </c>
      <c r="M525" s="6">
        <f>IF(L525&lt;Settings!$B$30,IF(Settings!$B$30-L525&gt;=I525,K525,K525+(Settings!$B$30-L525)+Settings!$B$31),K525+(Settings!$B$33-L525))</f>
        <v>569.90085170768407</v>
      </c>
      <c r="N525" s="6">
        <f t="shared" si="170"/>
        <v>575.92085170768405</v>
      </c>
      <c r="O525" s="6">
        <f t="shared" si="171"/>
        <v>247.92085170768405</v>
      </c>
      <c r="P525" s="6">
        <f t="shared" si="172"/>
        <v>225.5164075832904</v>
      </c>
      <c r="Q525" s="6">
        <f t="shared" si="173"/>
        <v>0</v>
      </c>
      <c r="R525" s="6">
        <f t="shared" si="174"/>
        <v>0</v>
      </c>
      <c r="S525" s="6">
        <f t="shared" si="175"/>
        <v>225.5164075832904</v>
      </c>
      <c r="T525" s="6" t="str">
        <f>IF(MOD(C525-Settings!$B$32,Settings!$B$33)&lt;Settings!$B$30,"Up","Down")</f>
        <v>Up</v>
      </c>
      <c r="U525" s="6">
        <f>IF(OR(I525&gt;Settings!$B$30,O525&gt;Settings!$B$37),0,1)</f>
        <v>1</v>
      </c>
      <c r="V525" s="6">
        <f>IF(AND(U525=1,O525&lt;=Settings!$B$36),1,0)</f>
        <v>0</v>
      </c>
    </row>
    <row r="526" spans="1:22" x14ac:dyDescent="0.2">
      <c r="A526">
        <f>Arrivals!A526</f>
        <v>5</v>
      </c>
      <c r="B526">
        <f>Arrivals!B526</f>
        <v>41</v>
      </c>
      <c r="C526" s="6">
        <f>Arrivals!F526</f>
        <v>333</v>
      </c>
      <c r="D526" s="6">
        <f>Arrivals!J526</f>
        <v>6.2559126831682335</v>
      </c>
      <c r="E526" s="6">
        <f t="shared" si="176"/>
        <v>569.90085170768407</v>
      </c>
      <c r="F526" s="6">
        <f t="shared" si="167"/>
        <v>569.90085170768407</v>
      </c>
      <c r="G526" s="6">
        <f t="shared" si="168"/>
        <v>576.15676439085235</v>
      </c>
      <c r="H526" s="6">
        <f>Arrivals!L526</f>
        <v>75</v>
      </c>
      <c r="I526" s="6">
        <f>H526*8/ACE_Input!S46+ACE_Input!T46</f>
        <v>6.02</v>
      </c>
      <c r="J526" s="6">
        <f t="shared" si="177"/>
        <v>575.92085170768405</v>
      </c>
      <c r="K526" s="6">
        <f t="shared" si="169"/>
        <v>576.15676439085235</v>
      </c>
      <c r="L526" s="6">
        <f>MOD(K526-Settings!$B$32,Settings!$B$33)</f>
        <v>576.15676439085235</v>
      </c>
      <c r="M526" s="6">
        <f>IF(L526&lt;Settings!$B$30,IF(Settings!$B$30-L526&gt;=I526,K526,K526+(Settings!$B$30-L526)+Settings!$B$31),K526+(Settings!$B$33-L526))</f>
        <v>576.15676439085235</v>
      </c>
      <c r="N526" s="6">
        <f t="shared" si="170"/>
        <v>582.17676439085233</v>
      </c>
      <c r="O526" s="6">
        <f t="shared" si="171"/>
        <v>249.17676439085233</v>
      </c>
      <c r="P526" s="6">
        <f t="shared" si="172"/>
        <v>236.90085170768407</v>
      </c>
      <c r="Q526" s="6">
        <f t="shared" si="173"/>
        <v>0</v>
      </c>
      <c r="R526" s="6">
        <f t="shared" si="174"/>
        <v>0</v>
      </c>
      <c r="S526" s="6">
        <f t="shared" si="175"/>
        <v>236.90085170768407</v>
      </c>
      <c r="T526" s="6" t="str">
        <f>IF(MOD(C526-Settings!$B$32,Settings!$B$33)&lt;Settings!$B$30,"Up","Down")</f>
        <v>Up</v>
      </c>
      <c r="U526" s="6">
        <f>IF(OR(I526&gt;Settings!$B$30,O526&gt;Settings!$B$37),0,1)</f>
        <v>1</v>
      </c>
      <c r="V526" s="6">
        <f>IF(AND(U526=1,O526&lt;=Settings!$B$36),1,0)</f>
        <v>0</v>
      </c>
    </row>
    <row r="527" spans="1:22" x14ac:dyDescent="0.2">
      <c r="A527">
        <f>Arrivals!A527</f>
        <v>5</v>
      </c>
      <c r="B527">
        <f>Arrivals!B527</f>
        <v>42</v>
      </c>
      <c r="C527" s="6">
        <f>Arrivals!F527</f>
        <v>338</v>
      </c>
      <c r="D527" s="6">
        <f>Arrivals!J527</f>
        <v>1.7329796002951818</v>
      </c>
      <c r="E527" s="6">
        <f t="shared" si="176"/>
        <v>576.15676439085235</v>
      </c>
      <c r="F527" s="6">
        <f t="shared" si="167"/>
        <v>576.15676439085235</v>
      </c>
      <c r="G527" s="6">
        <f t="shared" si="168"/>
        <v>577.8897439911475</v>
      </c>
      <c r="H527" s="6">
        <f>Arrivals!L527</f>
        <v>75</v>
      </c>
      <c r="I527" s="6">
        <f>H527*8/ACE_Input!S47+ACE_Input!T47</f>
        <v>6.02</v>
      </c>
      <c r="J527" s="6">
        <f t="shared" si="177"/>
        <v>582.17676439085233</v>
      </c>
      <c r="K527" s="6">
        <f t="shared" si="169"/>
        <v>582.17676439085233</v>
      </c>
      <c r="L527" s="6">
        <f>MOD(K527-Settings!$B$32,Settings!$B$33)</f>
        <v>582.17676439085233</v>
      </c>
      <c r="M527" s="6">
        <f>IF(L527&lt;Settings!$B$30,IF(Settings!$B$30-L527&gt;=I527,K527,K527+(Settings!$B$30-L527)+Settings!$B$31),K527+(Settings!$B$33-L527))</f>
        <v>582.17676439085233</v>
      </c>
      <c r="N527" s="6">
        <f t="shared" si="170"/>
        <v>588.19676439085231</v>
      </c>
      <c r="O527" s="6">
        <f t="shared" si="171"/>
        <v>250.19676439085231</v>
      </c>
      <c r="P527" s="6">
        <f t="shared" si="172"/>
        <v>238.15676439085235</v>
      </c>
      <c r="Q527" s="6">
        <f t="shared" si="173"/>
        <v>4.2870203997048293</v>
      </c>
      <c r="R527" s="6">
        <f t="shared" si="174"/>
        <v>0</v>
      </c>
      <c r="S527" s="6">
        <f t="shared" si="175"/>
        <v>242.44378479055717</v>
      </c>
      <c r="T527" s="6" t="str">
        <f>IF(MOD(C527-Settings!$B$32,Settings!$B$33)&lt;Settings!$B$30,"Up","Down")</f>
        <v>Up</v>
      </c>
      <c r="U527" s="6">
        <f>IF(OR(I527&gt;Settings!$B$30,O527&gt;Settings!$B$37),0,1)</f>
        <v>1</v>
      </c>
      <c r="V527" s="6">
        <f>IF(AND(U527=1,O527&lt;=Settings!$B$36),1,0)</f>
        <v>0</v>
      </c>
    </row>
    <row r="528" spans="1:22" x14ac:dyDescent="0.2">
      <c r="A528">
        <f>Arrivals!A528</f>
        <v>5</v>
      </c>
      <c r="B528">
        <f>Arrivals!B528</f>
        <v>43</v>
      </c>
      <c r="C528" s="6">
        <f>Arrivals!F528</f>
        <v>343</v>
      </c>
      <c r="D528" s="6">
        <f>Arrivals!J528</f>
        <v>0.77274196079125312</v>
      </c>
      <c r="E528" s="6">
        <f t="shared" si="176"/>
        <v>577.8897439911475</v>
      </c>
      <c r="F528" s="6">
        <f t="shared" si="167"/>
        <v>577.8897439911475</v>
      </c>
      <c r="G528" s="6">
        <f t="shared" si="168"/>
        <v>578.66248595193872</v>
      </c>
      <c r="H528" s="6">
        <f>Arrivals!L528</f>
        <v>75</v>
      </c>
      <c r="I528" s="6">
        <f>H528*8/ACE_Input!S48+ACE_Input!T48</f>
        <v>6.02</v>
      </c>
      <c r="J528" s="6">
        <f t="shared" si="177"/>
        <v>588.19676439085231</v>
      </c>
      <c r="K528" s="6">
        <f t="shared" si="169"/>
        <v>588.19676439085231</v>
      </c>
      <c r="L528" s="6">
        <f>MOD(K528-Settings!$B$32,Settings!$B$33)</f>
        <v>588.19676439085231</v>
      </c>
      <c r="M528" s="6">
        <f>IF(L528&lt;Settings!$B$30,IF(Settings!$B$30-L528&gt;=I528,K528,K528+(Settings!$B$30-L528)+Settings!$B$31),K528+(Settings!$B$33-L528))</f>
        <v>588.19676439085231</v>
      </c>
      <c r="N528" s="6">
        <f t="shared" si="170"/>
        <v>594.21676439085229</v>
      </c>
      <c r="O528" s="6">
        <f t="shared" si="171"/>
        <v>251.21676439085229</v>
      </c>
      <c r="P528" s="6">
        <f t="shared" si="172"/>
        <v>234.8897439911475</v>
      </c>
      <c r="Q528" s="6">
        <f t="shared" si="173"/>
        <v>9.5342784389135886</v>
      </c>
      <c r="R528" s="6">
        <f t="shared" si="174"/>
        <v>0</v>
      </c>
      <c r="S528" s="6">
        <f t="shared" si="175"/>
        <v>244.42402243006109</v>
      </c>
      <c r="T528" s="6" t="str">
        <f>IF(MOD(C528-Settings!$B$32,Settings!$B$33)&lt;Settings!$B$30,"Up","Down")</f>
        <v>Up</v>
      </c>
      <c r="U528" s="6">
        <f>IF(OR(I528&gt;Settings!$B$30,O528&gt;Settings!$B$37),0,1)</f>
        <v>1</v>
      </c>
      <c r="V528" s="6">
        <f>IF(AND(U528=1,O528&lt;=Settings!$B$36),1,0)</f>
        <v>0</v>
      </c>
    </row>
    <row r="529" spans="1:22" x14ac:dyDescent="0.2">
      <c r="A529">
        <f>Arrivals!A529</f>
        <v>5</v>
      </c>
      <c r="B529">
        <f>Arrivals!B529</f>
        <v>44</v>
      </c>
      <c r="C529" s="6">
        <f>Arrivals!F529</f>
        <v>348</v>
      </c>
      <c r="D529" s="6">
        <f>Arrivals!J529</f>
        <v>2.3596688106211894</v>
      </c>
      <c r="E529" s="6">
        <f t="shared" si="176"/>
        <v>578.66248595193872</v>
      </c>
      <c r="F529" s="6">
        <f t="shared" si="167"/>
        <v>578.66248595193872</v>
      </c>
      <c r="G529" s="6">
        <f t="shared" si="168"/>
        <v>581.02215476255992</v>
      </c>
      <c r="H529" s="6">
        <f>Arrivals!L529</f>
        <v>75</v>
      </c>
      <c r="I529" s="6">
        <f>H529*8/ACE_Input!S49+ACE_Input!T49</f>
        <v>6.02</v>
      </c>
      <c r="J529" s="6">
        <f t="shared" si="177"/>
        <v>594.21676439085229</v>
      </c>
      <c r="K529" s="6">
        <f t="shared" si="169"/>
        <v>594.21676439085229</v>
      </c>
      <c r="L529" s="6">
        <f>MOD(K529-Settings!$B$32,Settings!$B$33)</f>
        <v>594.21676439085229</v>
      </c>
      <c r="M529" s="6">
        <f>IF(L529&lt;Settings!$B$30,IF(Settings!$B$30-L529&gt;=I529,K529,K529+(Settings!$B$30-L529)+Settings!$B$31),K529+(Settings!$B$33-L529))</f>
        <v>720</v>
      </c>
      <c r="N529" s="6">
        <f t="shared" si="170"/>
        <v>726.02</v>
      </c>
      <c r="O529" s="6">
        <f t="shared" si="171"/>
        <v>378.02</v>
      </c>
      <c r="P529" s="6">
        <f t="shared" si="172"/>
        <v>230.66248595193872</v>
      </c>
      <c r="Q529" s="6">
        <f t="shared" si="173"/>
        <v>13.194609628292369</v>
      </c>
      <c r="R529" s="6">
        <f t="shared" si="174"/>
        <v>125.78323560914771</v>
      </c>
      <c r="S529" s="6">
        <f t="shared" si="175"/>
        <v>369.6403311893788</v>
      </c>
      <c r="T529" s="6" t="str">
        <f>IF(MOD(C529-Settings!$B$32,Settings!$B$33)&lt;Settings!$B$30,"Up","Down")</f>
        <v>Up</v>
      </c>
      <c r="U529" s="6">
        <f>IF(OR(I529&gt;Settings!$B$30,O529&gt;Settings!$B$37),0,1)</f>
        <v>1</v>
      </c>
      <c r="V529" s="6">
        <f>IF(AND(U529=1,O529&lt;=Settings!$B$36),1,0)</f>
        <v>0</v>
      </c>
    </row>
    <row r="530" spans="1:22" x14ac:dyDescent="0.2">
      <c r="A530">
        <f>Arrivals!A530</f>
        <v>5</v>
      </c>
      <c r="B530">
        <f>Arrivals!B530</f>
        <v>45</v>
      </c>
      <c r="C530" s="6">
        <f>Arrivals!F530</f>
        <v>354</v>
      </c>
      <c r="D530" s="6">
        <f>Arrivals!J530</f>
        <v>3.7212107951066318</v>
      </c>
      <c r="E530" s="6">
        <f t="shared" si="176"/>
        <v>581.02215476255992</v>
      </c>
      <c r="F530" s="6">
        <f t="shared" si="167"/>
        <v>581.02215476255992</v>
      </c>
      <c r="G530" s="6">
        <f t="shared" si="168"/>
        <v>584.74336555766661</v>
      </c>
      <c r="H530" s="6">
        <f>Arrivals!L530</f>
        <v>75</v>
      </c>
      <c r="I530" s="6">
        <f>H530*8/ACE_Input!S50+ACE_Input!T50</f>
        <v>6.02</v>
      </c>
      <c r="J530" s="6">
        <f t="shared" si="177"/>
        <v>726.02</v>
      </c>
      <c r="K530" s="6">
        <f t="shared" si="169"/>
        <v>726.02</v>
      </c>
      <c r="L530" s="6">
        <f>MOD(K530-Settings!$B$32,Settings!$B$33)</f>
        <v>6.0199999999999818</v>
      </c>
      <c r="M530" s="6">
        <f>IF(L530&lt;Settings!$B$30,IF(Settings!$B$30-L530&gt;=I530,K530,K530+(Settings!$B$30-L530)+Settings!$B$31),K530+(Settings!$B$33-L530))</f>
        <v>726.02</v>
      </c>
      <c r="N530" s="6">
        <f t="shared" si="170"/>
        <v>732.04</v>
      </c>
      <c r="O530" s="6">
        <f t="shared" si="171"/>
        <v>378.03999999999996</v>
      </c>
      <c r="P530" s="6">
        <f t="shared" si="172"/>
        <v>227.02215476255992</v>
      </c>
      <c r="Q530" s="6">
        <f t="shared" si="173"/>
        <v>141.27663444233337</v>
      </c>
      <c r="R530" s="6">
        <f t="shared" si="174"/>
        <v>0</v>
      </c>
      <c r="S530" s="6">
        <f t="shared" si="175"/>
        <v>368.2987892048933</v>
      </c>
      <c r="T530" s="6" t="str">
        <f>IF(MOD(C530-Settings!$B$32,Settings!$B$33)&lt;Settings!$B$30,"Up","Down")</f>
        <v>Up</v>
      </c>
      <c r="U530" s="6">
        <f>IF(OR(I530&gt;Settings!$B$30,O530&gt;Settings!$B$37),0,1)</f>
        <v>1</v>
      </c>
      <c r="V530" s="6">
        <f>IF(AND(U530=1,O530&lt;=Settings!$B$36),1,0)</f>
        <v>0</v>
      </c>
    </row>
    <row r="531" spans="1:22" x14ac:dyDescent="0.2">
      <c r="A531">
        <f>Arrivals!A531</f>
        <v>5</v>
      </c>
      <c r="B531">
        <f>Arrivals!B531</f>
        <v>46</v>
      </c>
      <c r="C531" s="6">
        <f>Arrivals!F531</f>
        <v>359</v>
      </c>
      <c r="D531" s="6">
        <f>Arrivals!J531</f>
        <v>2.6887917589967181</v>
      </c>
      <c r="E531" s="6">
        <f t="shared" si="176"/>
        <v>584.74336555766661</v>
      </c>
      <c r="F531" s="6">
        <f t="shared" si="167"/>
        <v>584.74336555766661</v>
      </c>
      <c r="G531" s="6">
        <f t="shared" si="168"/>
        <v>587.43215731666328</v>
      </c>
      <c r="H531" s="6">
        <f>Arrivals!L531</f>
        <v>75</v>
      </c>
      <c r="I531" s="6">
        <f>H531*8/ACE_Input!S51+ACE_Input!T51</f>
        <v>6.02</v>
      </c>
      <c r="J531" s="6">
        <f t="shared" si="177"/>
        <v>732.04</v>
      </c>
      <c r="K531" s="6">
        <f t="shared" si="169"/>
        <v>732.04</v>
      </c>
      <c r="L531" s="6">
        <f>MOD(K531-Settings!$B$32,Settings!$B$33)</f>
        <v>12.039999999999964</v>
      </c>
      <c r="M531" s="6">
        <f>IF(L531&lt;Settings!$B$30,IF(Settings!$B$30-L531&gt;=I531,K531,K531+(Settings!$B$30-L531)+Settings!$B$31),K531+(Settings!$B$33-L531))</f>
        <v>732.04</v>
      </c>
      <c r="N531" s="6">
        <f t="shared" si="170"/>
        <v>738.06</v>
      </c>
      <c r="O531" s="6">
        <f t="shared" si="171"/>
        <v>379.05999999999995</v>
      </c>
      <c r="P531" s="6">
        <f t="shared" si="172"/>
        <v>225.74336555766661</v>
      </c>
      <c r="Q531" s="6">
        <f t="shared" si="173"/>
        <v>144.60784268333668</v>
      </c>
      <c r="R531" s="6">
        <f t="shared" si="174"/>
        <v>0</v>
      </c>
      <c r="S531" s="6">
        <f t="shared" si="175"/>
        <v>370.35120824100329</v>
      </c>
      <c r="T531" s="6" t="str">
        <f>IF(MOD(C531-Settings!$B$32,Settings!$B$33)&lt;Settings!$B$30,"Up","Down")</f>
        <v>Up</v>
      </c>
      <c r="U531" s="6">
        <f>IF(OR(I531&gt;Settings!$B$30,O531&gt;Settings!$B$37),0,1)</f>
        <v>1</v>
      </c>
      <c r="V531" s="6">
        <f>IF(AND(U531=1,O531&lt;=Settings!$B$36),1,0)</f>
        <v>0</v>
      </c>
    </row>
    <row r="532" spans="1:22" x14ac:dyDescent="0.2">
      <c r="A532">
        <f>Arrivals!A532</f>
        <v>5</v>
      </c>
      <c r="B532">
        <f>Arrivals!B532</f>
        <v>47</v>
      </c>
      <c r="C532" s="6">
        <f>Arrivals!F532</f>
        <v>364</v>
      </c>
      <c r="D532" s="6">
        <f>Arrivals!J532</f>
        <v>19.127943944763523</v>
      </c>
      <c r="E532" s="6">
        <f t="shared" si="176"/>
        <v>587.43215731666328</v>
      </c>
      <c r="F532" s="6">
        <f t="shared" si="167"/>
        <v>587.43215731666328</v>
      </c>
      <c r="G532" s="6">
        <f t="shared" si="168"/>
        <v>606.56010126142678</v>
      </c>
      <c r="H532" s="6">
        <f>Arrivals!L532</f>
        <v>75</v>
      </c>
      <c r="I532" s="6">
        <f>H532*8/ACE_Input!S52+ACE_Input!T52</f>
        <v>6.02</v>
      </c>
      <c r="J532" s="6">
        <f t="shared" si="177"/>
        <v>738.06</v>
      </c>
      <c r="K532" s="6">
        <f t="shared" si="169"/>
        <v>738.06</v>
      </c>
      <c r="L532" s="6">
        <f>MOD(K532-Settings!$B$32,Settings!$B$33)</f>
        <v>18.059999999999945</v>
      </c>
      <c r="M532" s="6">
        <f>IF(L532&lt;Settings!$B$30,IF(Settings!$B$30-L532&gt;=I532,K532,K532+(Settings!$B$30-L532)+Settings!$B$31),K532+(Settings!$B$33-L532))</f>
        <v>738.06</v>
      </c>
      <c r="N532" s="6">
        <f t="shared" si="170"/>
        <v>744.07999999999993</v>
      </c>
      <c r="O532" s="6">
        <f t="shared" si="171"/>
        <v>380.07999999999993</v>
      </c>
      <c r="P532" s="6">
        <f t="shared" si="172"/>
        <v>223.43215731666328</v>
      </c>
      <c r="Q532" s="6">
        <f t="shared" si="173"/>
        <v>131.49989873857317</v>
      </c>
      <c r="R532" s="6">
        <f t="shared" si="174"/>
        <v>0</v>
      </c>
      <c r="S532" s="6">
        <f t="shared" si="175"/>
        <v>354.93205605523644</v>
      </c>
      <c r="T532" s="6" t="str">
        <f>IF(MOD(C532-Settings!$B$32,Settings!$B$33)&lt;Settings!$B$30,"Up","Down")</f>
        <v>Up</v>
      </c>
      <c r="U532" s="6">
        <f>IF(OR(I532&gt;Settings!$B$30,O532&gt;Settings!$B$37),0,1)</f>
        <v>1</v>
      </c>
      <c r="V532" s="6">
        <f>IF(AND(U532=1,O532&lt;=Settings!$B$36),1,0)</f>
        <v>0</v>
      </c>
    </row>
    <row r="533" spans="1:22" x14ac:dyDescent="0.2">
      <c r="A533">
        <f>Arrivals!A533</f>
        <v>5</v>
      </c>
      <c r="B533">
        <f>Arrivals!B533</f>
        <v>48</v>
      </c>
      <c r="C533" s="6">
        <f>Arrivals!F533</f>
        <v>369</v>
      </c>
      <c r="D533" s="6">
        <f>Arrivals!J533</f>
        <v>4.0833066018219668</v>
      </c>
      <c r="E533" s="6">
        <f t="shared" si="176"/>
        <v>606.56010126142678</v>
      </c>
      <c r="F533" s="6">
        <f t="shared" si="167"/>
        <v>606.56010126142678</v>
      </c>
      <c r="G533" s="6">
        <f t="shared" si="168"/>
        <v>610.64340786324874</v>
      </c>
      <c r="H533" s="6">
        <f>Arrivals!L533</f>
        <v>75</v>
      </c>
      <c r="I533" s="6">
        <f>H533*8/ACE_Input!S53+ACE_Input!T53</f>
        <v>6.02</v>
      </c>
      <c r="J533" s="6">
        <f t="shared" si="177"/>
        <v>744.07999999999993</v>
      </c>
      <c r="K533" s="6">
        <f t="shared" si="169"/>
        <v>744.07999999999993</v>
      </c>
      <c r="L533" s="6">
        <f>MOD(K533-Settings!$B$32,Settings!$B$33)</f>
        <v>24.079999999999927</v>
      </c>
      <c r="M533" s="6">
        <f>IF(L533&lt;Settings!$B$30,IF(Settings!$B$30-L533&gt;=I533,K533,K533+(Settings!$B$30-L533)+Settings!$B$31),K533+(Settings!$B$33-L533))</f>
        <v>744.07999999999993</v>
      </c>
      <c r="N533" s="6">
        <f t="shared" si="170"/>
        <v>750.09999999999991</v>
      </c>
      <c r="O533" s="6">
        <f t="shared" si="171"/>
        <v>381.09999999999991</v>
      </c>
      <c r="P533" s="6">
        <f t="shared" si="172"/>
        <v>237.56010126142678</v>
      </c>
      <c r="Q533" s="6">
        <f t="shared" si="173"/>
        <v>133.43659213675119</v>
      </c>
      <c r="R533" s="6">
        <f t="shared" si="174"/>
        <v>0</v>
      </c>
      <c r="S533" s="6">
        <f t="shared" si="175"/>
        <v>370.99669339817797</v>
      </c>
      <c r="T533" s="6" t="str">
        <f>IF(MOD(C533-Settings!$B$32,Settings!$B$33)&lt;Settings!$B$30,"Up","Down")</f>
        <v>Up</v>
      </c>
      <c r="U533" s="6">
        <f>IF(OR(I533&gt;Settings!$B$30,O533&gt;Settings!$B$37),0,1)</f>
        <v>1</v>
      </c>
      <c r="V533" s="6">
        <f>IF(AND(U533=1,O533&lt;=Settings!$B$36),1,0)</f>
        <v>0</v>
      </c>
    </row>
    <row r="534" spans="1:22" x14ac:dyDescent="0.2">
      <c r="A534">
        <f>Arrivals!A534</f>
        <v>5</v>
      </c>
      <c r="B534">
        <f>Arrivals!B534</f>
        <v>49</v>
      </c>
      <c r="C534" s="6">
        <f>Arrivals!F534</f>
        <v>374</v>
      </c>
      <c r="D534" s="6">
        <f>Arrivals!J534</f>
        <v>10.185311717651318</v>
      </c>
      <c r="E534" s="6">
        <f t="shared" si="176"/>
        <v>610.64340786324874</v>
      </c>
      <c r="F534" s="6">
        <f t="shared" si="167"/>
        <v>610.64340786324874</v>
      </c>
      <c r="G534" s="6">
        <f t="shared" si="168"/>
        <v>620.82871958090004</v>
      </c>
      <c r="H534" s="6">
        <f>Arrivals!L534</f>
        <v>75</v>
      </c>
      <c r="I534" s="6">
        <f>H534*8/ACE_Input!S54+ACE_Input!T54</f>
        <v>6.02</v>
      </c>
      <c r="J534" s="6">
        <f t="shared" si="177"/>
        <v>750.09999999999991</v>
      </c>
      <c r="K534" s="6">
        <f t="shared" si="169"/>
        <v>750.09999999999991</v>
      </c>
      <c r="L534" s="6">
        <f>MOD(K534-Settings!$B$32,Settings!$B$33)</f>
        <v>30.099999999999909</v>
      </c>
      <c r="M534" s="6">
        <f>IF(L534&lt;Settings!$B$30,IF(Settings!$B$30-L534&gt;=I534,K534,K534+(Settings!$B$30-L534)+Settings!$B$31),K534+(Settings!$B$33-L534))</f>
        <v>750.09999999999991</v>
      </c>
      <c r="N534" s="6">
        <f t="shared" si="170"/>
        <v>756.11999999999989</v>
      </c>
      <c r="O534" s="6">
        <f t="shared" si="171"/>
        <v>382.11999999999989</v>
      </c>
      <c r="P534" s="6">
        <f t="shared" si="172"/>
        <v>236.64340786324874</v>
      </c>
      <c r="Q534" s="6">
        <f t="shared" si="173"/>
        <v>129.27128041909987</v>
      </c>
      <c r="R534" s="6">
        <f t="shared" si="174"/>
        <v>0</v>
      </c>
      <c r="S534" s="6">
        <f t="shared" si="175"/>
        <v>365.91468828234861</v>
      </c>
      <c r="T534" s="6" t="str">
        <f>IF(MOD(C534-Settings!$B$32,Settings!$B$33)&lt;Settings!$B$30,"Up","Down")</f>
        <v>Up</v>
      </c>
      <c r="U534" s="6">
        <f>IF(OR(I534&gt;Settings!$B$30,O534&gt;Settings!$B$37),0,1)</f>
        <v>1</v>
      </c>
      <c r="V534" s="6">
        <f>IF(AND(U534=1,O534&lt;=Settings!$B$36),1,0)</f>
        <v>0</v>
      </c>
    </row>
    <row r="535" spans="1:22" x14ac:dyDescent="0.2">
      <c r="A535">
        <f>Arrivals!A535</f>
        <v>5</v>
      </c>
      <c r="B535">
        <f>Arrivals!B535</f>
        <v>50</v>
      </c>
      <c r="C535" s="6">
        <f>Arrivals!F535</f>
        <v>379</v>
      </c>
      <c r="D535" s="6">
        <f>Arrivals!J535</f>
        <v>12.226706408686823</v>
      </c>
      <c r="E535" s="6">
        <f t="shared" si="176"/>
        <v>620.82871958090004</v>
      </c>
      <c r="F535" s="6">
        <f t="shared" si="167"/>
        <v>620.82871958090004</v>
      </c>
      <c r="G535" s="6">
        <f t="shared" si="168"/>
        <v>633.05542598958687</v>
      </c>
      <c r="H535" s="6">
        <f>Arrivals!L535</f>
        <v>75</v>
      </c>
      <c r="I535" s="6">
        <f>H535*8/ACE_Input!S55+ACE_Input!T55</f>
        <v>6.02</v>
      </c>
      <c r="J535" s="6">
        <f t="shared" si="177"/>
        <v>756.11999999999989</v>
      </c>
      <c r="K535" s="6">
        <f t="shared" si="169"/>
        <v>756.11999999999989</v>
      </c>
      <c r="L535" s="6">
        <f>MOD(K535-Settings!$B$32,Settings!$B$33)</f>
        <v>36.119999999999891</v>
      </c>
      <c r="M535" s="6">
        <f>IF(L535&lt;Settings!$B$30,IF(Settings!$B$30-L535&gt;=I535,K535,K535+(Settings!$B$30-L535)+Settings!$B$31),K535+(Settings!$B$33-L535))</f>
        <v>756.11999999999989</v>
      </c>
      <c r="N535" s="6">
        <f t="shared" si="170"/>
        <v>762.13999999999987</v>
      </c>
      <c r="O535" s="6">
        <f t="shared" si="171"/>
        <v>383.13999999999987</v>
      </c>
      <c r="P535" s="6">
        <f t="shared" si="172"/>
        <v>241.82871958090004</v>
      </c>
      <c r="Q535" s="6">
        <f t="shared" si="173"/>
        <v>123.06457401041303</v>
      </c>
      <c r="R535" s="6">
        <f t="shared" si="174"/>
        <v>0</v>
      </c>
      <c r="S535" s="6">
        <f t="shared" si="175"/>
        <v>364.89329359131307</v>
      </c>
      <c r="T535" s="6" t="str">
        <f>IF(MOD(C535-Settings!$B$32,Settings!$B$33)&lt;Settings!$B$30,"Up","Down")</f>
        <v>Up</v>
      </c>
      <c r="U535" s="6">
        <f>IF(OR(I535&gt;Settings!$B$30,O535&gt;Settings!$B$37),0,1)</f>
        <v>1</v>
      </c>
      <c r="V535" s="6">
        <f>IF(AND(U535=1,O535&lt;=Settings!$B$36),1,0)</f>
        <v>0</v>
      </c>
    </row>
    <row r="536" spans="1:22" x14ac:dyDescent="0.2">
      <c r="A536">
        <f>Arrivals!A536</f>
        <v>5</v>
      </c>
      <c r="B536">
        <f>Arrivals!B536</f>
        <v>51</v>
      </c>
      <c r="C536" s="6">
        <f>Arrivals!F536</f>
        <v>384</v>
      </c>
      <c r="D536" s="6">
        <f>Arrivals!J536</f>
        <v>17.290608712204612</v>
      </c>
      <c r="E536" s="6">
        <f t="shared" si="176"/>
        <v>633.05542598958687</v>
      </c>
      <c r="F536" s="6">
        <f t="shared" si="167"/>
        <v>633.05542598958687</v>
      </c>
      <c r="G536" s="6">
        <f t="shared" si="168"/>
        <v>650.3460347017915</v>
      </c>
      <c r="H536" s="6">
        <f>Arrivals!L536</f>
        <v>75</v>
      </c>
      <c r="I536" s="6">
        <f>H536*8/ACE_Input!S56+ACE_Input!T56</f>
        <v>6.02</v>
      </c>
      <c r="J536" s="6">
        <f t="shared" si="177"/>
        <v>762.13999999999987</v>
      </c>
      <c r="K536" s="6">
        <f t="shared" si="169"/>
        <v>762.13999999999987</v>
      </c>
      <c r="L536" s="6">
        <f>MOD(K536-Settings!$B$32,Settings!$B$33)</f>
        <v>42.139999999999873</v>
      </c>
      <c r="M536" s="6">
        <f>IF(L536&lt;Settings!$B$30,IF(Settings!$B$30-L536&gt;=I536,K536,K536+(Settings!$B$30-L536)+Settings!$B$31),K536+(Settings!$B$33-L536))</f>
        <v>762.13999999999987</v>
      </c>
      <c r="N536" s="6">
        <f t="shared" si="170"/>
        <v>768.15999999999985</v>
      </c>
      <c r="O536" s="6">
        <f t="shared" si="171"/>
        <v>384.15999999999985</v>
      </c>
      <c r="P536" s="6">
        <f t="shared" si="172"/>
        <v>249.05542598958687</v>
      </c>
      <c r="Q536" s="6">
        <f t="shared" si="173"/>
        <v>111.79396529820838</v>
      </c>
      <c r="R536" s="6">
        <f t="shared" si="174"/>
        <v>0</v>
      </c>
      <c r="S536" s="6">
        <f t="shared" si="175"/>
        <v>360.84939128779524</v>
      </c>
      <c r="T536" s="6" t="str">
        <f>IF(MOD(C536-Settings!$B$32,Settings!$B$33)&lt;Settings!$B$30,"Up","Down")</f>
        <v>Up</v>
      </c>
      <c r="U536" s="6">
        <f>IF(OR(I536&gt;Settings!$B$30,O536&gt;Settings!$B$37),0,1)</f>
        <v>1</v>
      </c>
      <c r="V536" s="6">
        <f>IF(AND(U536=1,O536&lt;=Settings!$B$36),1,0)</f>
        <v>0</v>
      </c>
    </row>
    <row r="537" spans="1:22" x14ac:dyDescent="0.2">
      <c r="A537">
        <f>Arrivals!A537</f>
        <v>5</v>
      </c>
      <c r="B537">
        <f>Arrivals!B537</f>
        <v>52</v>
      </c>
      <c r="C537" s="6">
        <f>Arrivals!F537</f>
        <v>389</v>
      </c>
      <c r="D537" s="6">
        <f>Arrivals!J537</f>
        <v>7.7087223674862493</v>
      </c>
      <c r="E537" s="6">
        <f t="shared" si="176"/>
        <v>650.3460347017915</v>
      </c>
      <c r="F537" s="6">
        <f t="shared" si="167"/>
        <v>650.3460347017915</v>
      </c>
      <c r="G537" s="6">
        <f t="shared" si="168"/>
        <v>658.0547570692778</v>
      </c>
      <c r="H537" s="6">
        <f>Arrivals!L537</f>
        <v>75</v>
      </c>
      <c r="I537" s="6">
        <f>H537*8/ACE_Input!S57+ACE_Input!T57</f>
        <v>6.02</v>
      </c>
      <c r="J537" s="6">
        <f t="shared" si="177"/>
        <v>768.15999999999985</v>
      </c>
      <c r="K537" s="6">
        <f t="shared" si="169"/>
        <v>768.15999999999985</v>
      </c>
      <c r="L537" s="6">
        <f>MOD(K537-Settings!$B$32,Settings!$B$33)</f>
        <v>48.159999999999854</v>
      </c>
      <c r="M537" s="6">
        <f>IF(L537&lt;Settings!$B$30,IF(Settings!$B$30-L537&gt;=I537,K537,K537+(Settings!$B$30-L537)+Settings!$B$31),K537+(Settings!$B$33-L537))</f>
        <v>768.15999999999985</v>
      </c>
      <c r="N537" s="6">
        <f t="shared" si="170"/>
        <v>774.17999999999984</v>
      </c>
      <c r="O537" s="6">
        <f t="shared" si="171"/>
        <v>385.17999999999984</v>
      </c>
      <c r="P537" s="6">
        <f t="shared" si="172"/>
        <v>261.3460347017915</v>
      </c>
      <c r="Q537" s="6">
        <f t="shared" si="173"/>
        <v>110.10524293072206</v>
      </c>
      <c r="R537" s="6">
        <f t="shared" si="174"/>
        <v>0</v>
      </c>
      <c r="S537" s="6">
        <f t="shared" si="175"/>
        <v>371.45127763251355</v>
      </c>
      <c r="T537" s="6" t="str">
        <f>IF(MOD(C537-Settings!$B$32,Settings!$B$33)&lt;Settings!$B$30,"Up","Down")</f>
        <v>Up</v>
      </c>
      <c r="U537" s="6">
        <f>IF(OR(I537&gt;Settings!$B$30,O537&gt;Settings!$B$37),0,1)</f>
        <v>1</v>
      </c>
      <c r="V537" s="6">
        <f>IF(AND(U537=1,O537&lt;=Settings!$B$36),1,0)</f>
        <v>0</v>
      </c>
    </row>
    <row r="538" spans="1:22" x14ac:dyDescent="0.2">
      <c r="A538">
        <f>Arrivals!A538</f>
        <v>5</v>
      </c>
      <c r="B538">
        <f>Arrivals!B538</f>
        <v>53</v>
      </c>
      <c r="C538" s="6">
        <f>Arrivals!F538</f>
        <v>394</v>
      </c>
      <c r="D538" s="6">
        <f>Arrivals!J538</f>
        <v>48.767928922942218</v>
      </c>
      <c r="E538" s="6">
        <f t="shared" si="176"/>
        <v>658.0547570692778</v>
      </c>
      <c r="F538" s="6">
        <f t="shared" si="167"/>
        <v>658.0547570692778</v>
      </c>
      <c r="G538" s="6">
        <f t="shared" si="168"/>
        <v>706.82268599222004</v>
      </c>
      <c r="H538" s="6">
        <f>Arrivals!L538</f>
        <v>75</v>
      </c>
      <c r="I538" s="6">
        <f>H538*8/ACE_Input!S58+ACE_Input!T58</f>
        <v>6.02</v>
      </c>
      <c r="J538" s="6">
        <f t="shared" si="177"/>
        <v>774.17999999999984</v>
      </c>
      <c r="K538" s="6">
        <f t="shared" si="169"/>
        <v>774.17999999999984</v>
      </c>
      <c r="L538" s="6">
        <f>MOD(K538-Settings!$B$32,Settings!$B$33)</f>
        <v>54.179999999999836</v>
      </c>
      <c r="M538" s="6">
        <f>IF(L538&lt;Settings!$B$30,IF(Settings!$B$30-L538&gt;=I538,K538,K538+(Settings!$B$30-L538)+Settings!$B$31),K538+(Settings!$B$33-L538))</f>
        <v>774.17999999999984</v>
      </c>
      <c r="N538" s="6">
        <f t="shared" si="170"/>
        <v>780.19999999999982</v>
      </c>
      <c r="O538" s="6">
        <f t="shared" si="171"/>
        <v>386.19999999999982</v>
      </c>
      <c r="P538" s="6">
        <f t="shared" si="172"/>
        <v>264.0547570692778</v>
      </c>
      <c r="Q538" s="6">
        <f t="shared" si="173"/>
        <v>67.357314007779792</v>
      </c>
      <c r="R538" s="6">
        <f t="shared" si="174"/>
        <v>0</v>
      </c>
      <c r="S538" s="6">
        <f t="shared" si="175"/>
        <v>331.41207107705759</v>
      </c>
      <c r="T538" s="6" t="str">
        <f>IF(MOD(C538-Settings!$B$32,Settings!$B$33)&lt;Settings!$B$30,"Up","Down")</f>
        <v>Up</v>
      </c>
      <c r="U538" s="6">
        <f>IF(OR(I538&gt;Settings!$B$30,O538&gt;Settings!$B$37),0,1)</f>
        <v>1</v>
      </c>
      <c r="V538" s="6">
        <f>IF(AND(U538=1,O538&lt;=Settings!$B$36),1,0)</f>
        <v>0</v>
      </c>
    </row>
    <row r="539" spans="1:22" x14ac:dyDescent="0.2">
      <c r="A539">
        <f>Arrivals!A539</f>
        <v>5</v>
      </c>
      <c r="B539">
        <f>Arrivals!B539</f>
        <v>54</v>
      </c>
      <c r="C539" s="6">
        <f>Arrivals!F539</f>
        <v>399</v>
      </c>
      <c r="D539" s="6">
        <f>Arrivals!J539</f>
        <v>3.4734254453643114</v>
      </c>
      <c r="E539" s="6">
        <f t="shared" si="176"/>
        <v>706.82268599222004</v>
      </c>
      <c r="F539" s="6">
        <f t="shared" si="167"/>
        <v>706.82268599222004</v>
      </c>
      <c r="G539" s="6">
        <f t="shared" si="168"/>
        <v>710.29611143758439</v>
      </c>
      <c r="H539" s="6">
        <f>Arrivals!L539</f>
        <v>75</v>
      </c>
      <c r="I539" s="6">
        <f>H539*8/ACE_Input!S59+ACE_Input!T59</f>
        <v>6.02</v>
      </c>
      <c r="J539" s="6">
        <f t="shared" si="177"/>
        <v>780.19999999999982</v>
      </c>
      <c r="K539" s="6">
        <f t="shared" si="169"/>
        <v>780.19999999999982</v>
      </c>
      <c r="L539" s="6">
        <f>MOD(K539-Settings!$B$32,Settings!$B$33)</f>
        <v>60.199999999999818</v>
      </c>
      <c r="M539" s="6">
        <f>IF(L539&lt;Settings!$B$30,IF(Settings!$B$30-L539&gt;=I539,K539,K539+(Settings!$B$30-L539)+Settings!$B$31),K539+(Settings!$B$33-L539))</f>
        <v>780.19999999999982</v>
      </c>
      <c r="N539" s="6">
        <f t="shared" si="170"/>
        <v>786.2199999999998</v>
      </c>
      <c r="O539" s="6">
        <f t="shared" si="171"/>
        <v>387.2199999999998</v>
      </c>
      <c r="P539" s="6">
        <f t="shared" si="172"/>
        <v>307.82268599222004</v>
      </c>
      <c r="Q539" s="6">
        <f t="shared" si="173"/>
        <v>69.903888562415432</v>
      </c>
      <c r="R539" s="6">
        <f t="shared" si="174"/>
        <v>0</v>
      </c>
      <c r="S539" s="6">
        <f t="shared" si="175"/>
        <v>377.72657455463548</v>
      </c>
      <c r="T539" s="6" t="str">
        <f>IF(MOD(C539-Settings!$B$32,Settings!$B$33)&lt;Settings!$B$30,"Up","Down")</f>
        <v>Up</v>
      </c>
      <c r="U539" s="6">
        <f>IF(OR(I539&gt;Settings!$B$30,O539&gt;Settings!$B$37),0,1)</f>
        <v>1</v>
      </c>
      <c r="V539" s="6">
        <f>IF(AND(U539=1,O539&lt;=Settings!$B$36),1,0)</f>
        <v>0</v>
      </c>
    </row>
    <row r="540" spans="1:22" x14ac:dyDescent="0.2">
      <c r="A540">
        <f>Arrivals!A540</f>
        <v>5</v>
      </c>
      <c r="B540">
        <f>Arrivals!B540</f>
        <v>55</v>
      </c>
      <c r="C540" s="6">
        <f>Arrivals!F540</f>
        <v>404</v>
      </c>
      <c r="D540" s="6">
        <f>Arrivals!J540</f>
        <v>0.51692658976250727</v>
      </c>
      <c r="E540" s="6">
        <f t="shared" si="176"/>
        <v>710.29611143758439</v>
      </c>
      <c r="F540" s="6">
        <f t="shared" si="167"/>
        <v>710.29611143758439</v>
      </c>
      <c r="G540" s="6">
        <f t="shared" si="168"/>
        <v>710.81303802734692</v>
      </c>
      <c r="H540" s="6">
        <f>Arrivals!L540</f>
        <v>75</v>
      </c>
      <c r="I540" s="6">
        <f>H540*8/ACE_Input!S60+ACE_Input!T60</f>
        <v>6.02</v>
      </c>
      <c r="J540" s="6">
        <f t="shared" si="177"/>
        <v>786.2199999999998</v>
      </c>
      <c r="K540" s="6">
        <f t="shared" si="169"/>
        <v>786.2199999999998</v>
      </c>
      <c r="L540" s="6">
        <f>MOD(K540-Settings!$B$32,Settings!$B$33)</f>
        <v>66.2199999999998</v>
      </c>
      <c r="M540" s="6">
        <f>IF(L540&lt;Settings!$B$30,IF(Settings!$B$30-L540&gt;=I540,K540,K540+(Settings!$B$30-L540)+Settings!$B$31),K540+(Settings!$B$33-L540))</f>
        <v>786.2199999999998</v>
      </c>
      <c r="N540" s="6">
        <f t="shared" si="170"/>
        <v>792.23999999999978</v>
      </c>
      <c r="O540" s="6">
        <f t="shared" si="171"/>
        <v>388.23999999999978</v>
      </c>
      <c r="P540" s="6">
        <f t="shared" si="172"/>
        <v>306.29611143758439</v>
      </c>
      <c r="Q540" s="6">
        <f t="shared" si="173"/>
        <v>75.40696197265288</v>
      </c>
      <c r="R540" s="6">
        <f t="shared" si="174"/>
        <v>0</v>
      </c>
      <c r="S540" s="6">
        <f t="shared" si="175"/>
        <v>381.70307341023727</v>
      </c>
      <c r="T540" s="6" t="str">
        <f>IF(MOD(C540-Settings!$B$32,Settings!$B$33)&lt;Settings!$B$30,"Up","Down")</f>
        <v>Up</v>
      </c>
      <c r="U540" s="6">
        <f>IF(OR(I540&gt;Settings!$B$30,O540&gt;Settings!$B$37),0,1)</f>
        <v>1</v>
      </c>
      <c r="V540" s="6">
        <f>IF(AND(U540=1,O540&lt;=Settings!$B$36),1,0)</f>
        <v>0</v>
      </c>
    </row>
    <row r="541" spans="1:22" x14ac:dyDescent="0.2">
      <c r="A541">
        <f>Arrivals!A541</f>
        <v>5</v>
      </c>
      <c r="B541">
        <f>Arrivals!B541</f>
        <v>56</v>
      </c>
      <c r="C541" s="6">
        <f>Arrivals!F541</f>
        <v>409</v>
      </c>
      <c r="D541" s="6">
        <f>Arrivals!J541</f>
        <v>11.813683529661098</v>
      </c>
      <c r="E541" s="6">
        <f t="shared" si="176"/>
        <v>710.81303802734692</v>
      </c>
      <c r="F541" s="6">
        <f t="shared" si="167"/>
        <v>710.81303802734692</v>
      </c>
      <c r="G541" s="6">
        <f t="shared" si="168"/>
        <v>722.62672155700807</v>
      </c>
      <c r="H541" s="6">
        <f>Arrivals!L541</f>
        <v>75</v>
      </c>
      <c r="I541" s="6">
        <f>H541*8/ACE_Input!S61+ACE_Input!T61</f>
        <v>6.02</v>
      </c>
      <c r="J541" s="6">
        <f t="shared" si="177"/>
        <v>792.23999999999978</v>
      </c>
      <c r="K541" s="6">
        <f t="shared" si="169"/>
        <v>792.23999999999978</v>
      </c>
      <c r="L541" s="6">
        <f>MOD(K541-Settings!$B$32,Settings!$B$33)</f>
        <v>72.239999999999782</v>
      </c>
      <c r="M541" s="6">
        <f>IF(L541&lt;Settings!$B$30,IF(Settings!$B$30-L541&gt;=I541,K541,K541+(Settings!$B$30-L541)+Settings!$B$31),K541+(Settings!$B$33-L541))</f>
        <v>792.23999999999978</v>
      </c>
      <c r="N541" s="6">
        <f t="shared" si="170"/>
        <v>798.25999999999976</v>
      </c>
      <c r="O541" s="6">
        <f t="shared" si="171"/>
        <v>389.25999999999976</v>
      </c>
      <c r="P541" s="6">
        <f t="shared" si="172"/>
        <v>301.81303802734692</v>
      </c>
      <c r="Q541" s="6">
        <f t="shared" si="173"/>
        <v>69.613278442991714</v>
      </c>
      <c r="R541" s="6">
        <f t="shared" si="174"/>
        <v>0</v>
      </c>
      <c r="S541" s="6">
        <f t="shared" si="175"/>
        <v>371.42631647033863</v>
      </c>
      <c r="T541" s="6" t="str">
        <f>IF(MOD(C541-Settings!$B$32,Settings!$B$33)&lt;Settings!$B$30,"Up","Down")</f>
        <v>Up</v>
      </c>
      <c r="U541" s="6">
        <f>IF(OR(I541&gt;Settings!$B$30,O541&gt;Settings!$B$37),0,1)</f>
        <v>1</v>
      </c>
      <c r="V541" s="6">
        <f>IF(AND(U541=1,O541&lt;=Settings!$B$36),1,0)</f>
        <v>0</v>
      </c>
    </row>
    <row r="542" spans="1:22" x14ac:dyDescent="0.2">
      <c r="A542">
        <f>Arrivals!A542</f>
        <v>5</v>
      </c>
      <c r="B542">
        <f>Arrivals!B542</f>
        <v>57</v>
      </c>
      <c r="C542" s="6">
        <f>Arrivals!F542</f>
        <v>414</v>
      </c>
      <c r="D542" s="6">
        <f>Arrivals!J542</f>
        <v>4.3199769101535939</v>
      </c>
      <c r="E542" s="6">
        <f t="shared" si="176"/>
        <v>722.62672155700807</v>
      </c>
      <c r="F542" s="6">
        <f t="shared" si="167"/>
        <v>722.62672155700807</v>
      </c>
      <c r="G542" s="6">
        <f t="shared" si="168"/>
        <v>726.9466984671617</v>
      </c>
      <c r="H542" s="6">
        <f>Arrivals!L542</f>
        <v>75</v>
      </c>
      <c r="I542" s="6">
        <f>H542*8/ACE_Input!S62+ACE_Input!T62</f>
        <v>6.02</v>
      </c>
      <c r="J542" s="6">
        <f t="shared" si="177"/>
        <v>798.25999999999976</v>
      </c>
      <c r="K542" s="6">
        <f t="shared" si="169"/>
        <v>798.25999999999976</v>
      </c>
      <c r="L542" s="6">
        <f>MOD(K542-Settings!$B$32,Settings!$B$33)</f>
        <v>78.259999999999764</v>
      </c>
      <c r="M542" s="6">
        <f>IF(L542&lt;Settings!$B$30,IF(Settings!$B$30-L542&gt;=I542,K542,K542+(Settings!$B$30-L542)+Settings!$B$31),K542+(Settings!$B$33-L542))</f>
        <v>798.25999999999976</v>
      </c>
      <c r="N542" s="6">
        <f t="shared" si="170"/>
        <v>804.27999999999975</v>
      </c>
      <c r="O542" s="6">
        <f t="shared" si="171"/>
        <v>390.27999999999975</v>
      </c>
      <c r="P542" s="6">
        <f t="shared" si="172"/>
        <v>308.62672155700807</v>
      </c>
      <c r="Q542" s="6">
        <f t="shared" si="173"/>
        <v>71.313301532838068</v>
      </c>
      <c r="R542" s="6">
        <f t="shared" si="174"/>
        <v>0</v>
      </c>
      <c r="S542" s="6">
        <f t="shared" si="175"/>
        <v>379.94002308984614</v>
      </c>
      <c r="T542" s="6" t="str">
        <f>IF(MOD(C542-Settings!$B$32,Settings!$B$33)&lt;Settings!$B$30,"Up","Down")</f>
        <v>Up</v>
      </c>
      <c r="U542" s="6">
        <f>IF(OR(I542&gt;Settings!$B$30,O542&gt;Settings!$B$37),0,1)</f>
        <v>1</v>
      </c>
      <c r="V542" s="6">
        <f>IF(AND(U542=1,O542&lt;=Settings!$B$36),1,0)</f>
        <v>0</v>
      </c>
    </row>
    <row r="543" spans="1:22" x14ac:dyDescent="0.2">
      <c r="A543">
        <f>Arrivals!A543</f>
        <v>5</v>
      </c>
      <c r="B543">
        <f>Arrivals!B543</f>
        <v>58</v>
      </c>
      <c r="C543" s="6">
        <f>Arrivals!F543</f>
        <v>419</v>
      </c>
      <c r="D543" s="6">
        <f>Arrivals!J543</f>
        <v>1.6908212139768963</v>
      </c>
      <c r="E543" s="6">
        <f t="shared" si="176"/>
        <v>726.9466984671617</v>
      </c>
      <c r="F543" s="6">
        <f t="shared" si="167"/>
        <v>726.9466984671617</v>
      </c>
      <c r="G543" s="6">
        <f t="shared" si="168"/>
        <v>728.63751968113854</v>
      </c>
      <c r="H543" s="6">
        <f>Arrivals!L543</f>
        <v>75</v>
      </c>
      <c r="I543" s="6">
        <f>H543*8/ACE_Input!S63+ACE_Input!T63</f>
        <v>6.02</v>
      </c>
      <c r="J543" s="6">
        <f t="shared" si="177"/>
        <v>804.27999999999975</v>
      </c>
      <c r="K543" s="6">
        <f t="shared" si="169"/>
        <v>804.27999999999975</v>
      </c>
      <c r="L543" s="6">
        <f>MOD(K543-Settings!$B$32,Settings!$B$33)</f>
        <v>84.279999999999745</v>
      </c>
      <c r="M543" s="6">
        <f>IF(L543&lt;Settings!$B$30,IF(Settings!$B$30-L543&gt;=I543,K543,K543+(Settings!$B$30-L543)+Settings!$B$31),K543+(Settings!$B$33-L543))</f>
        <v>804.27999999999975</v>
      </c>
      <c r="N543" s="6">
        <f t="shared" si="170"/>
        <v>810.29999999999973</v>
      </c>
      <c r="O543" s="6">
        <f t="shared" si="171"/>
        <v>391.29999999999973</v>
      </c>
      <c r="P543" s="6">
        <f t="shared" si="172"/>
        <v>307.9466984671617</v>
      </c>
      <c r="Q543" s="6">
        <f t="shared" si="173"/>
        <v>75.642480318861203</v>
      </c>
      <c r="R543" s="6">
        <f t="shared" si="174"/>
        <v>0</v>
      </c>
      <c r="S543" s="6">
        <f t="shared" si="175"/>
        <v>383.5891787860229</v>
      </c>
      <c r="T543" s="6" t="str">
        <f>IF(MOD(C543-Settings!$B$32,Settings!$B$33)&lt;Settings!$B$30,"Up","Down")</f>
        <v>Up</v>
      </c>
      <c r="U543" s="6">
        <f>IF(OR(I543&gt;Settings!$B$30,O543&gt;Settings!$B$37),0,1)</f>
        <v>1</v>
      </c>
      <c r="V543" s="6">
        <f>IF(AND(U543=1,O543&lt;=Settings!$B$36),1,0)</f>
        <v>0</v>
      </c>
    </row>
    <row r="544" spans="1:22" x14ac:dyDescent="0.2">
      <c r="A544">
        <f>Arrivals!A544</f>
        <v>5</v>
      </c>
      <c r="B544">
        <f>Arrivals!B544</f>
        <v>59</v>
      </c>
      <c r="C544" s="6">
        <f>Arrivals!F544</f>
        <v>424</v>
      </c>
      <c r="D544" s="6">
        <f>Arrivals!J544</f>
        <v>24.137123696720629</v>
      </c>
      <c r="E544" s="6">
        <f t="shared" si="176"/>
        <v>728.63751968113854</v>
      </c>
      <c r="F544" s="6">
        <f t="shared" si="167"/>
        <v>728.63751968113854</v>
      </c>
      <c r="G544" s="6">
        <f t="shared" si="168"/>
        <v>752.77464337785921</v>
      </c>
      <c r="H544" s="6">
        <f>Arrivals!L544</f>
        <v>75</v>
      </c>
      <c r="I544" s="6">
        <f>H544*8/ACE_Input!S64+ACE_Input!T64</f>
        <v>6.02</v>
      </c>
      <c r="J544" s="6">
        <f t="shared" si="177"/>
        <v>810.29999999999973</v>
      </c>
      <c r="K544" s="6">
        <f t="shared" si="169"/>
        <v>810.29999999999973</v>
      </c>
      <c r="L544" s="6">
        <f>MOD(K544-Settings!$B$32,Settings!$B$33)</f>
        <v>90.299999999999727</v>
      </c>
      <c r="M544" s="6">
        <f>IF(L544&lt;Settings!$B$30,IF(Settings!$B$30-L544&gt;=I544,K544,K544+(Settings!$B$30-L544)+Settings!$B$31),K544+(Settings!$B$33-L544))</f>
        <v>810.29999999999973</v>
      </c>
      <c r="N544" s="6">
        <f t="shared" si="170"/>
        <v>816.31999999999971</v>
      </c>
      <c r="O544" s="6">
        <f t="shared" si="171"/>
        <v>392.31999999999971</v>
      </c>
      <c r="P544" s="6">
        <f t="shared" si="172"/>
        <v>304.63751968113854</v>
      </c>
      <c r="Q544" s="6">
        <f t="shared" si="173"/>
        <v>57.525356622140521</v>
      </c>
      <c r="R544" s="6">
        <f t="shared" si="174"/>
        <v>0</v>
      </c>
      <c r="S544" s="6">
        <f t="shared" si="175"/>
        <v>362.16287630327906</v>
      </c>
      <c r="T544" s="6" t="str">
        <f>IF(MOD(C544-Settings!$B$32,Settings!$B$33)&lt;Settings!$B$30,"Up","Down")</f>
        <v>Up</v>
      </c>
      <c r="U544" s="6">
        <f>IF(OR(I544&gt;Settings!$B$30,O544&gt;Settings!$B$37),0,1)</f>
        <v>1</v>
      </c>
      <c r="V544" s="6">
        <f>IF(AND(U544=1,O544&lt;=Settings!$B$36),1,0)</f>
        <v>0</v>
      </c>
    </row>
    <row r="545" spans="1:22" x14ac:dyDescent="0.2">
      <c r="A545">
        <f>Arrivals!A545</f>
        <v>5</v>
      </c>
      <c r="B545">
        <f>Arrivals!B545</f>
        <v>60</v>
      </c>
      <c r="C545" s="6">
        <f>Arrivals!F545</f>
        <v>429</v>
      </c>
      <c r="D545" s="6">
        <f>Arrivals!J545</f>
        <v>3.6705688084116774</v>
      </c>
      <c r="E545" s="6">
        <f t="shared" si="176"/>
        <v>752.77464337785921</v>
      </c>
      <c r="F545" s="6">
        <f t="shared" si="167"/>
        <v>752.77464337785921</v>
      </c>
      <c r="G545" s="6">
        <f t="shared" si="168"/>
        <v>756.44521218627085</v>
      </c>
      <c r="H545" s="6">
        <f>Arrivals!L545</f>
        <v>75</v>
      </c>
      <c r="I545" s="6">
        <f>H545*8/ACE_Input!S65+ACE_Input!T65</f>
        <v>6.02</v>
      </c>
      <c r="J545" s="6">
        <f t="shared" si="177"/>
        <v>816.31999999999971</v>
      </c>
      <c r="K545" s="6">
        <f t="shared" si="169"/>
        <v>816.31999999999971</v>
      </c>
      <c r="L545" s="6">
        <f>MOD(K545-Settings!$B$32,Settings!$B$33)</f>
        <v>96.319999999999709</v>
      </c>
      <c r="M545" s="6">
        <f>IF(L545&lt;Settings!$B$30,IF(Settings!$B$30-L545&gt;=I545,K545,K545+(Settings!$B$30-L545)+Settings!$B$31),K545+(Settings!$B$33-L545))</f>
        <v>816.31999999999971</v>
      </c>
      <c r="N545" s="6">
        <f t="shared" si="170"/>
        <v>822.33999999999969</v>
      </c>
      <c r="O545" s="6">
        <f t="shared" si="171"/>
        <v>393.33999999999969</v>
      </c>
      <c r="P545" s="6">
        <f t="shared" si="172"/>
        <v>323.77464337785921</v>
      </c>
      <c r="Q545" s="6">
        <f t="shared" si="173"/>
        <v>59.874787813728858</v>
      </c>
      <c r="R545" s="6">
        <f t="shared" si="174"/>
        <v>0</v>
      </c>
      <c r="S545" s="6">
        <f t="shared" si="175"/>
        <v>383.64943119158806</v>
      </c>
      <c r="T545" s="6" t="str">
        <f>IF(MOD(C545-Settings!$B$32,Settings!$B$33)&lt;Settings!$B$30,"Up","Down")</f>
        <v>Up</v>
      </c>
      <c r="U545" s="6">
        <f>IF(OR(I545&gt;Settings!$B$30,O545&gt;Settings!$B$37),0,1)</f>
        <v>1</v>
      </c>
      <c r="V545" s="6">
        <f>IF(AND(U545=1,O545&lt;=Settings!$B$36),1,0)</f>
        <v>0</v>
      </c>
    </row>
    <row r="546" spans="1:22" x14ac:dyDescent="0.2">
      <c r="A546">
        <f>Arrivals!A546</f>
        <v>5</v>
      </c>
      <c r="B546">
        <f>Arrivals!B546</f>
        <v>61</v>
      </c>
      <c r="C546" s="6">
        <f>Arrivals!F546</f>
        <v>434</v>
      </c>
      <c r="D546" s="6">
        <f>Arrivals!J546</f>
        <v>0.92140010722063381</v>
      </c>
      <c r="E546" s="6">
        <f t="shared" si="176"/>
        <v>756.44521218627085</v>
      </c>
      <c r="F546" s="6">
        <f t="shared" si="167"/>
        <v>756.44521218627085</v>
      </c>
      <c r="G546" s="6">
        <f t="shared" si="168"/>
        <v>757.36661229349147</v>
      </c>
      <c r="H546" s="6">
        <f>Arrivals!L546</f>
        <v>75</v>
      </c>
      <c r="I546" s="6">
        <f>H546*8/ACE_Input!S66+ACE_Input!T66</f>
        <v>6.02</v>
      </c>
      <c r="J546" s="6">
        <f t="shared" si="177"/>
        <v>822.33999999999969</v>
      </c>
      <c r="K546" s="6">
        <f t="shared" si="169"/>
        <v>822.33999999999969</v>
      </c>
      <c r="L546" s="6">
        <f>MOD(K546-Settings!$B$32,Settings!$B$33)</f>
        <v>102.33999999999969</v>
      </c>
      <c r="M546" s="6">
        <f>IF(L546&lt;Settings!$B$30,IF(Settings!$B$30-L546&gt;=I546,K546,K546+(Settings!$B$30-L546)+Settings!$B$31),K546+(Settings!$B$33-L546))</f>
        <v>822.33999999999969</v>
      </c>
      <c r="N546" s="6">
        <f t="shared" si="170"/>
        <v>828.35999999999967</v>
      </c>
      <c r="O546" s="6">
        <f t="shared" si="171"/>
        <v>394.35999999999967</v>
      </c>
      <c r="P546" s="6">
        <f t="shared" si="172"/>
        <v>322.44521218627085</v>
      </c>
      <c r="Q546" s="6">
        <f t="shared" si="173"/>
        <v>64.97338770650822</v>
      </c>
      <c r="R546" s="6">
        <f t="shared" si="174"/>
        <v>0</v>
      </c>
      <c r="S546" s="6">
        <f t="shared" si="175"/>
        <v>387.41859989277907</v>
      </c>
      <c r="T546" s="6" t="str">
        <f>IF(MOD(C546-Settings!$B$32,Settings!$B$33)&lt;Settings!$B$30,"Up","Down")</f>
        <v>Up</v>
      </c>
      <c r="U546" s="6">
        <f>IF(OR(I546&gt;Settings!$B$30,O546&gt;Settings!$B$37),0,1)</f>
        <v>1</v>
      </c>
      <c r="V546" s="6">
        <f>IF(AND(U546=1,O546&lt;=Settings!$B$36),1,0)</f>
        <v>0</v>
      </c>
    </row>
    <row r="547" spans="1:22" x14ac:dyDescent="0.2">
      <c r="A547">
        <f>Arrivals!A547</f>
        <v>5</v>
      </c>
      <c r="B547">
        <f>Arrivals!B547</f>
        <v>62</v>
      </c>
      <c r="C547" s="6">
        <f>Arrivals!F547</f>
        <v>439</v>
      </c>
      <c r="D547" s="6">
        <f>Arrivals!J547</f>
        <v>2.638201070908031</v>
      </c>
      <c r="E547" s="6">
        <f t="shared" si="176"/>
        <v>757.36661229349147</v>
      </c>
      <c r="F547" s="6">
        <f t="shared" si="167"/>
        <v>757.36661229349147</v>
      </c>
      <c r="G547" s="6">
        <f t="shared" si="168"/>
        <v>760.00481336439952</v>
      </c>
      <c r="H547" s="6">
        <f>Arrivals!L547</f>
        <v>75</v>
      </c>
      <c r="I547" s="6">
        <f>H547*8/ACE_Input!S67+ACE_Input!T67</f>
        <v>6.02</v>
      </c>
      <c r="J547" s="6">
        <f t="shared" si="177"/>
        <v>828.35999999999967</v>
      </c>
      <c r="K547" s="6">
        <f t="shared" si="169"/>
        <v>828.35999999999967</v>
      </c>
      <c r="L547" s="6">
        <f>MOD(K547-Settings!$B$32,Settings!$B$33)</f>
        <v>108.35999999999967</v>
      </c>
      <c r="M547" s="6">
        <f>IF(L547&lt;Settings!$B$30,IF(Settings!$B$30-L547&gt;=I547,K547,K547+(Settings!$B$30-L547)+Settings!$B$31),K547+(Settings!$B$33-L547))</f>
        <v>828.35999999999967</v>
      </c>
      <c r="N547" s="6">
        <f t="shared" si="170"/>
        <v>834.37999999999965</v>
      </c>
      <c r="O547" s="6">
        <f t="shared" si="171"/>
        <v>395.37999999999965</v>
      </c>
      <c r="P547" s="6">
        <f t="shared" si="172"/>
        <v>318.36661229349147</v>
      </c>
      <c r="Q547" s="6">
        <f t="shared" si="173"/>
        <v>68.355186635600148</v>
      </c>
      <c r="R547" s="6">
        <f t="shared" si="174"/>
        <v>0</v>
      </c>
      <c r="S547" s="6">
        <f t="shared" si="175"/>
        <v>386.72179892909162</v>
      </c>
      <c r="T547" s="6" t="str">
        <f>IF(MOD(C547-Settings!$B$32,Settings!$B$33)&lt;Settings!$B$30,"Up","Down")</f>
        <v>Up</v>
      </c>
      <c r="U547" s="6">
        <f>IF(OR(I547&gt;Settings!$B$30,O547&gt;Settings!$B$37),0,1)</f>
        <v>1</v>
      </c>
      <c r="V547" s="6">
        <f>IF(AND(U547=1,O547&lt;=Settings!$B$36),1,0)</f>
        <v>0</v>
      </c>
    </row>
    <row r="548" spans="1:22" x14ac:dyDescent="0.2">
      <c r="A548">
        <f>Arrivals!A548</f>
        <v>5</v>
      </c>
      <c r="B548">
        <f>Arrivals!B548</f>
        <v>63</v>
      </c>
      <c r="C548" s="6">
        <f>Arrivals!F548</f>
        <v>444</v>
      </c>
      <c r="D548" s="6">
        <f>Arrivals!J548</f>
        <v>0.54530125859192358</v>
      </c>
      <c r="E548" s="6">
        <f t="shared" si="176"/>
        <v>760.00481336439952</v>
      </c>
      <c r="F548" s="6">
        <f t="shared" si="167"/>
        <v>760.00481336439952</v>
      </c>
      <c r="G548" s="6">
        <f t="shared" si="168"/>
        <v>760.55011462299149</v>
      </c>
      <c r="H548" s="6">
        <f>Arrivals!L548</f>
        <v>75</v>
      </c>
      <c r="I548" s="6">
        <f>H548*8/ACE_Input!S68+ACE_Input!T68</f>
        <v>6.02</v>
      </c>
      <c r="J548" s="6">
        <f t="shared" si="177"/>
        <v>834.37999999999965</v>
      </c>
      <c r="K548" s="6">
        <f t="shared" si="169"/>
        <v>834.37999999999965</v>
      </c>
      <c r="L548" s="6">
        <f>MOD(K548-Settings!$B$32,Settings!$B$33)</f>
        <v>114.37999999999965</v>
      </c>
      <c r="M548" s="6">
        <f>IF(L548&lt;Settings!$B$30,IF(Settings!$B$30-L548&gt;=I548,K548,K548+(Settings!$B$30-L548)+Settings!$B$31),K548+(Settings!$B$33-L548))</f>
        <v>834.37999999999965</v>
      </c>
      <c r="N548" s="6">
        <f t="shared" si="170"/>
        <v>840.39999999999964</v>
      </c>
      <c r="O548" s="6">
        <f t="shared" si="171"/>
        <v>396.39999999999964</v>
      </c>
      <c r="P548" s="6">
        <f t="shared" si="172"/>
        <v>316.00481336439952</v>
      </c>
      <c r="Q548" s="6">
        <f t="shared" si="173"/>
        <v>73.829885377008168</v>
      </c>
      <c r="R548" s="6">
        <f t="shared" si="174"/>
        <v>0</v>
      </c>
      <c r="S548" s="6">
        <f t="shared" si="175"/>
        <v>389.83469874140769</v>
      </c>
      <c r="T548" s="6" t="str">
        <f>IF(MOD(C548-Settings!$B$32,Settings!$B$33)&lt;Settings!$B$30,"Up","Down")</f>
        <v>Up</v>
      </c>
      <c r="U548" s="6">
        <f>IF(OR(I548&gt;Settings!$B$30,O548&gt;Settings!$B$37),0,1)</f>
        <v>1</v>
      </c>
      <c r="V548" s="6">
        <f>IF(AND(U548=1,O548&lt;=Settings!$B$36),1,0)</f>
        <v>0</v>
      </c>
    </row>
    <row r="549" spans="1:22" x14ac:dyDescent="0.2">
      <c r="A549">
        <f>Arrivals!A549</f>
        <v>5</v>
      </c>
      <c r="B549">
        <f>Arrivals!B549</f>
        <v>64</v>
      </c>
      <c r="C549" s="6">
        <f>Arrivals!F549</f>
        <v>449</v>
      </c>
      <c r="D549" s="6">
        <f>Arrivals!J549</f>
        <v>12.491956665743144</v>
      </c>
      <c r="E549" s="6">
        <f t="shared" si="176"/>
        <v>760.55011462299149</v>
      </c>
      <c r="F549" s="6">
        <f t="shared" si="167"/>
        <v>760.55011462299149</v>
      </c>
      <c r="G549" s="6">
        <f t="shared" si="168"/>
        <v>773.04207128873463</v>
      </c>
      <c r="H549" s="6">
        <f>Arrivals!L549</f>
        <v>75</v>
      </c>
      <c r="I549" s="6">
        <f>H549*8/ACE_Input!S69+ACE_Input!T69</f>
        <v>6.02</v>
      </c>
      <c r="J549" s="6">
        <f t="shared" si="177"/>
        <v>840.39999999999964</v>
      </c>
      <c r="K549" s="6">
        <f t="shared" si="169"/>
        <v>840.39999999999964</v>
      </c>
      <c r="L549" s="6">
        <f>MOD(K549-Settings!$B$32,Settings!$B$33)</f>
        <v>120.39999999999964</v>
      </c>
      <c r="M549" s="6">
        <f>IF(L549&lt;Settings!$B$30,IF(Settings!$B$30-L549&gt;=I549,K549,K549+(Settings!$B$30-L549)+Settings!$B$31),K549+(Settings!$B$33-L549))</f>
        <v>840.39999999999964</v>
      </c>
      <c r="N549" s="6">
        <f t="shared" si="170"/>
        <v>846.41999999999962</v>
      </c>
      <c r="O549" s="6">
        <f t="shared" si="171"/>
        <v>397.41999999999962</v>
      </c>
      <c r="P549" s="6">
        <f t="shared" si="172"/>
        <v>311.55011462299149</v>
      </c>
      <c r="Q549" s="6">
        <f t="shared" si="173"/>
        <v>67.357928711265004</v>
      </c>
      <c r="R549" s="6">
        <f t="shared" si="174"/>
        <v>0</v>
      </c>
      <c r="S549" s="6">
        <f t="shared" si="175"/>
        <v>378.90804333425649</v>
      </c>
      <c r="T549" s="6" t="str">
        <f>IF(MOD(C549-Settings!$B$32,Settings!$B$33)&lt;Settings!$B$30,"Up","Down")</f>
        <v>Up</v>
      </c>
      <c r="U549" s="6">
        <f>IF(OR(I549&gt;Settings!$B$30,O549&gt;Settings!$B$37),0,1)</f>
        <v>1</v>
      </c>
      <c r="V549" s="6">
        <f>IF(AND(U549=1,O549&lt;=Settings!$B$36),1,0)</f>
        <v>0</v>
      </c>
    </row>
    <row r="550" spans="1:22" x14ac:dyDescent="0.2">
      <c r="A550">
        <f>Arrivals!A550</f>
        <v>5</v>
      </c>
      <c r="B550">
        <f>Arrivals!B550</f>
        <v>65</v>
      </c>
      <c r="C550" s="6">
        <f>Arrivals!F550</f>
        <v>454</v>
      </c>
      <c r="D550" s="6">
        <f>Arrivals!J550</f>
        <v>6.1955463911064097</v>
      </c>
      <c r="E550" s="6">
        <f t="shared" si="176"/>
        <v>773.04207128873463</v>
      </c>
      <c r="F550" s="6">
        <f t="shared" ref="F550:F581" si="178">MAX(C550,E550)</f>
        <v>773.04207128873463</v>
      </c>
      <c r="G550" s="6">
        <f t="shared" ref="G550:G581" si="179">F550+D550</f>
        <v>779.23761767984104</v>
      </c>
      <c r="H550" s="6">
        <f>Arrivals!L550</f>
        <v>75</v>
      </c>
      <c r="I550" s="6">
        <f>H550*8/ACE_Input!S70+ACE_Input!T70</f>
        <v>6.02</v>
      </c>
      <c r="J550" s="6">
        <f t="shared" si="177"/>
        <v>846.41999999999962</v>
      </c>
      <c r="K550" s="6">
        <f t="shared" ref="K550:K581" si="180">MAX(G550,J550)</f>
        <v>846.41999999999962</v>
      </c>
      <c r="L550" s="6">
        <f>MOD(K550-Settings!$B$32,Settings!$B$33)</f>
        <v>126.41999999999962</v>
      </c>
      <c r="M550" s="6">
        <f>IF(L550&lt;Settings!$B$30,IF(Settings!$B$30-L550&gt;=I550,K550,K550+(Settings!$B$30-L550)+Settings!$B$31),K550+(Settings!$B$33-L550))</f>
        <v>846.41999999999962</v>
      </c>
      <c r="N550" s="6">
        <f t="shared" ref="N550:N581" si="181">M550+I550</f>
        <v>852.4399999999996</v>
      </c>
      <c r="O550" s="6">
        <f t="shared" ref="O550:O581" si="182">N550-C550</f>
        <v>398.4399999999996</v>
      </c>
      <c r="P550" s="6">
        <f t="shared" ref="P550:P585" si="183">F550-C550</f>
        <v>319.04207128873463</v>
      </c>
      <c r="Q550" s="6">
        <f t="shared" ref="Q550:Q585" si="184">K550-G550</f>
        <v>67.182382320158581</v>
      </c>
      <c r="R550" s="6">
        <f t="shared" ref="R550:R585" si="185">M550-K550</f>
        <v>0</v>
      </c>
      <c r="S550" s="6">
        <f t="shared" ref="S550:S581" si="186">P550+Q550+R550</f>
        <v>386.22445360889321</v>
      </c>
      <c r="T550" s="6" t="str">
        <f>IF(MOD(C550-Settings!$B$32,Settings!$B$33)&lt;Settings!$B$30,"Up","Down")</f>
        <v>Up</v>
      </c>
      <c r="U550" s="6">
        <f>IF(OR(I550&gt;Settings!$B$30,O550&gt;Settings!$B$37),0,1)</f>
        <v>1</v>
      </c>
      <c r="V550" s="6">
        <f>IF(AND(U550=1,O550&lt;=Settings!$B$36),1,0)</f>
        <v>0</v>
      </c>
    </row>
    <row r="551" spans="1:22" x14ac:dyDescent="0.2">
      <c r="A551">
        <f>Arrivals!A551</f>
        <v>5</v>
      </c>
      <c r="B551">
        <f>Arrivals!B551</f>
        <v>66</v>
      </c>
      <c r="C551" s="6">
        <f>Arrivals!F551</f>
        <v>459</v>
      </c>
      <c r="D551" s="6">
        <f>Arrivals!J551</f>
        <v>19.87018913894736</v>
      </c>
      <c r="E551" s="6">
        <f t="shared" ref="E551:E585" si="187">G550</f>
        <v>779.23761767984104</v>
      </c>
      <c r="F551" s="6">
        <f t="shared" si="178"/>
        <v>779.23761767984104</v>
      </c>
      <c r="G551" s="6">
        <f t="shared" si="179"/>
        <v>799.10780681878839</v>
      </c>
      <c r="H551" s="6">
        <f>Arrivals!L551</f>
        <v>75</v>
      </c>
      <c r="I551" s="6">
        <f>H551*8/ACE_Input!S71+ACE_Input!T71</f>
        <v>6.02</v>
      </c>
      <c r="J551" s="6">
        <f t="shared" ref="J551:J585" si="188">N550</f>
        <v>852.4399999999996</v>
      </c>
      <c r="K551" s="6">
        <f t="shared" si="180"/>
        <v>852.4399999999996</v>
      </c>
      <c r="L551" s="6">
        <f>MOD(K551-Settings!$B$32,Settings!$B$33)</f>
        <v>132.4399999999996</v>
      </c>
      <c r="M551" s="6">
        <f>IF(L551&lt;Settings!$B$30,IF(Settings!$B$30-L551&gt;=I551,K551,K551+(Settings!$B$30-L551)+Settings!$B$31),K551+(Settings!$B$33-L551))</f>
        <v>852.4399999999996</v>
      </c>
      <c r="N551" s="6">
        <f t="shared" si="181"/>
        <v>858.45999999999958</v>
      </c>
      <c r="O551" s="6">
        <f t="shared" si="182"/>
        <v>399.45999999999958</v>
      </c>
      <c r="P551" s="6">
        <f t="shared" si="183"/>
        <v>320.23761767984104</v>
      </c>
      <c r="Q551" s="6">
        <f t="shared" si="184"/>
        <v>53.33219318121121</v>
      </c>
      <c r="R551" s="6">
        <f t="shared" si="185"/>
        <v>0</v>
      </c>
      <c r="S551" s="6">
        <f t="shared" si="186"/>
        <v>373.56981086105225</v>
      </c>
      <c r="T551" s="6" t="str">
        <f>IF(MOD(C551-Settings!$B$32,Settings!$B$33)&lt;Settings!$B$30,"Up","Down")</f>
        <v>Up</v>
      </c>
      <c r="U551" s="6">
        <f>IF(OR(I551&gt;Settings!$B$30,O551&gt;Settings!$B$37),0,1)</f>
        <v>1</v>
      </c>
      <c r="V551" s="6">
        <f>IF(AND(U551=1,O551&lt;=Settings!$B$36),1,0)</f>
        <v>0</v>
      </c>
    </row>
    <row r="552" spans="1:22" x14ac:dyDescent="0.2">
      <c r="A552">
        <f>Arrivals!A552</f>
        <v>5</v>
      </c>
      <c r="B552">
        <f>Arrivals!B552</f>
        <v>67</v>
      </c>
      <c r="C552" s="6">
        <f>Arrivals!F552</f>
        <v>474</v>
      </c>
      <c r="D552" s="6">
        <f>Arrivals!J552</f>
        <v>0.51097038214118962</v>
      </c>
      <c r="E552" s="6">
        <f t="shared" si="187"/>
        <v>799.10780681878839</v>
      </c>
      <c r="F552" s="6">
        <f t="shared" si="178"/>
        <v>799.10780681878839</v>
      </c>
      <c r="G552" s="6">
        <f t="shared" si="179"/>
        <v>799.61877720092957</v>
      </c>
      <c r="H552" s="6">
        <f>Arrivals!L552</f>
        <v>75</v>
      </c>
      <c r="I552" s="6">
        <f>H552*8/ACE_Input!S72+ACE_Input!T72</f>
        <v>6.02</v>
      </c>
      <c r="J552" s="6">
        <f t="shared" si="188"/>
        <v>858.45999999999958</v>
      </c>
      <c r="K552" s="6">
        <f t="shared" si="180"/>
        <v>858.45999999999958</v>
      </c>
      <c r="L552" s="6">
        <f>MOD(K552-Settings!$B$32,Settings!$B$33)</f>
        <v>138.45999999999958</v>
      </c>
      <c r="M552" s="6">
        <f>IF(L552&lt;Settings!$B$30,IF(Settings!$B$30-L552&gt;=I552,K552,K552+(Settings!$B$30-L552)+Settings!$B$31),K552+(Settings!$B$33-L552))</f>
        <v>858.45999999999958</v>
      </c>
      <c r="N552" s="6">
        <f t="shared" si="181"/>
        <v>864.47999999999956</v>
      </c>
      <c r="O552" s="6">
        <f t="shared" si="182"/>
        <v>390.47999999999956</v>
      </c>
      <c r="P552" s="6">
        <f t="shared" si="183"/>
        <v>325.10780681878839</v>
      </c>
      <c r="Q552" s="6">
        <f t="shared" si="184"/>
        <v>58.84122279907001</v>
      </c>
      <c r="R552" s="6">
        <f t="shared" si="185"/>
        <v>0</v>
      </c>
      <c r="S552" s="6">
        <f t="shared" si="186"/>
        <v>383.9490296178584</v>
      </c>
      <c r="T552" s="6" t="str">
        <f>IF(MOD(C552-Settings!$B$32,Settings!$B$33)&lt;Settings!$B$30,"Up","Down")</f>
        <v>Up</v>
      </c>
      <c r="U552" s="6">
        <f>IF(OR(I552&gt;Settings!$B$30,O552&gt;Settings!$B$37),0,1)</f>
        <v>1</v>
      </c>
      <c r="V552" s="6">
        <f>IF(AND(U552=1,O552&lt;=Settings!$B$36),1,0)</f>
        <v>0</v>
      </c>
    </row>
    <row r="553" spans="1:22" x14ac:dyDescent="0.2">
      <c r="A553">
        <f>Arrivals!A553</f>
        <v>5</v>
      </c>
      <c r="B553">
        <f>Arrivals!B553</f>
        <v>68</v>
      </c>
      <c r="C553" s="6">
        <f>Arrivals!F553</f>
        <v>479</v>
      </c>
      <c r="D553" s="6">
        <f>Arrivals!J553</f>
        <v>12.059588646442409</v>
      </c>
      <c r="E553" s="6">
        <f t="shared" si="187"/>
        <v>799.61877720092957</v>
      </c>
      <c r="F553" s="6">
        <f t="shared" si="178"/>
        <v>799.61877720092957</v>
      </c>
      <c r="G553" s="6">
        <f t="shared" si="179"/>
        <v>811.67836584737199</v>
      </c>
      <c r="H553" s="6">
        <f>Arrivals!L553</f>
        <v>75</v>
      </c>
      <c r="I553" s="6">
        <f>H553*8/ACE_Input!S73+ACE_Input!T73</f>
        <v>6.02</v>
      </c>
      <c r="J553" s="6">
        <f t="shared" si="188"/>
        <v>864.47999999999956</v>
      </c>
      <c r="K553" s="6">
        <f t="shared" si="180"/>
        <v>864.47999999999956</v>
      </c>
      <c r="L553" s="6">
        <f>MOD(K553-Settings!$B$32,Settings!$B$33)</f>
        <v>144.47999999999956</v>
      </c>
      <c r="M553" s="6">
        <f>IF(L553&lt;Settings!$B$30,IF(Settings!$B$30-L553&gt;=I553,K553,K553+(Settings!$B$30-L553)+Settings!$B$31),K553+(Settings!$B$33-L553))</f>
        <v>864.47999999999956</v>
      </c>
      <c r="N553" s="6">
        <f t="shared" si="181"/>
        <v>870.49999999999955</v>
      </c>
      <c r="O553" s="6">
        <f t="shared" si="182"/>
        <v>391.49999999999955</v>
      </c>
      <c r="P553" s="6">
        <f t="shared" si="183"/>
        <v>320.61877720092957</v>
      </c>
      <c r="Q553" s="6">
        <f t="shared" si="184"/>
        <v>52.801634152627571</v>
      </c>
      <c r="R553" s="6">
        <f t="shared" si="185"/>
        <v>0</v>
      </c>
      <c r="S553" s="6">
        <f t="shared" si="186"/>
        <v>373.42041135355714</v>
      </c>
      <c r="T553" s="6" t="str">
        <f>IF(MOD(C553-Settings!$B$32,Settings!$B$33)&lt;Settings!$B$30,"Up","Down")</f>
        <v>Up</v>
      </c>
      <c r="U553" s="6">
        <f>IF(OR(I553&gt;Settings!$B$30,O553&gt;Settings!$B$37),0,1)</f>
        <v>1</v>
      </c>
      <c r="V553" s="6">
        <f>IF(AND(U553=1,O553&lt;=Settings!$B$36),1,0)</f>
        <v>0</v>
      </c>
    </row>
    <row r="554" spans="1:22" x14ac:dyDescent="0.2">
      <c r="A554">
        <f>Arrivals!A554</f>
        <v>5</v>
      </c>
      <c r="B554">
        <f>Arrivals!B554</f>
        <v>69</v>
      </c>
      <c r="C554" s="6">
        <f>Arrivals!F554</f>
        <v>494</v>
      </c>
      <c r="D554" s="6">
        <f>Arrivals!J554</f>
        <v>13.558565736046326</v>
      </c>
      <c r="E554" s="6">
        <f t="shared" si="187"/>
        <v>811.67836584737199</v>
      </c>
      <c r="F554" s="6">
        <f t="shared" si="178"/>
        <v>811.67836584737199</v>
      </c>
      <c r="G554" s="6">
        <f t="shared" si="179"/>
        <v>825.23693158341837</v>
      </c>
      <c r="H554" s="6">
        <f>Arrivals!L554</f>
        <v>75</v>
      </c>
      <c r="I554" s="6">
        <f>H554*8/ACE_Input!S74+ACE_Input!T74</f>
        <v>6.02</v>
      </c>
      <c r="J554" s="6">
        <f t="shared" si="188"/>
        <v>870.49999999999955</v>
      </c>
      <c r="K554" s="6">
        <f t="shared" si="180"/>
        <v>870.49999999999955</v>
      </c>
      <c r="L554" s="6">
        <f>MOD(K554-Settings!$B$32,Settings!$B$33)</f>
        <v>150.49999999999955</v>
      </c>
      <c r="M554" s="6">
        <f>IF(L554&lt;Settings!$B$30,IF(Settings!$B$30-L554&gt;=I554,K554,K554+(Settings!$B$30-L554)+Settings!$B$31),K554+(Settings!$B$33-L554))</f>
        <v>870.49999999999955</v>
      </c>
      <c r="N554" s="6">
        <f t="shared" si="181"/>
        <v>876.51999999999953</v>
      </c>
      <c r="O554" s="6">
        <f t="shared" si="182"/>
        <v>382.51999999999953</v>
      </c>
      <c r="P554" s="6">
        <f t="shared" si="183"/>
        <v>317.67836584737199</v>
      </c>
      <c r="Q554" s="6">
        <f t="shared" si="184"/>
        <v>45.263068416581177</v>
      </c>
      <c r="R554" s="6">
        <f t="shared" si="185"/>
        <v>0</v>
      </c>
      <c r="S554" s="6">
        <f t="shared" si="186"/>
        <v>362.94143426395317</v>
      </c>
      <c r="T554" s="6" t="str">
        <f>IF(MOD(C554-Settings!$B$32,Settings!$B$33)&lt;Settings!$B$30,"Up","Down")</f>
        <v>Up</v>
      </c>
      <c r="U554" s="6">
        <f>IF(OR(I554&gt;Settings!$B$30,O554&gt;Settings!$B$37),0,1)</f>
        <v>1</v>
      </c>
      <c r="V554" s="6">
        <f>IF(AND(U554=1,O554&lt;=Settings!$B$36),1,0)</f>
        <v>0</v>
      </c>
    </row>
    <row r="555" spans="1:22" x14ac:dyDescent="0.2">
      <c r="A555">
        <f>Arrivals!A555</f>
        <v>5</v>
      </c>
      <c r="B555">
        <f>Arrivals!B555</f>
        <v>70</v>
      </c>
      <c r="C555" s="6">
        <f>Arrivals!F555</f>
        <v>499</v>
      </c>
      <c r="D555" s="6">
        <f>Arrivals!J555</f>
        <v>1.6864556096696945</v>
      </c>
      <c r="E555" s="6">
        <f t="shared" si="187"/>
        <v>825.23693158341837</v>
      </c>
      <c r="F555" s="6">
        <f t="shared" si="178"/>
        <v>825.23693158341837</v>
      </c>
      <c r="G555" s="6">
        <f t="shared" si="179"/>
        <v>826.92338719308805</v>
      </c>
      <c r="H555" s="6">
        <f>Arrivals!L555</f>
        <v>75</v>
      </c>
      <c r="I555" s="6">
        <f>H555*8/ACE_Input!S75+ACE_Input!T75</f>
        <v>6.02</v>
      </c>
      <c r="J555" s="6">
        <f t="shared" si="188"/>
        <v>876.51999999999953</v>
      </c>
      <c r="K555" s="6">
        <f t="shared" si="180"/>
        <v>876.51999999999953</v>
      </c>
      <c r="L555" s="6">
        <f>MOD(K555-Settings!$B$32,Settings!$B$33)</f>
        <v>156.51999999999953</v>
      </c>
      <c r="M555" s="6">
        <f>IF(L555&lt;Settings!$B$30,IF(Settings!$B$30-L555&gt;=I555,K555,K555+(Settings!$B$30-L555)+Settings!$B$31),K555+(Settings!$B$33-L555))</f>
        <v>876.51999999999953</v>
      </c>
      <c r="N555" s="6">
        <f t="shared" si="181"/>
        <v>882.53999999999951</v>
      </c>
      <c r="O555" s="6">
        <f t="shared" si="182"/>
        <v>383.53999999999951</v>
      </c>
      <c r="P555" s="6">
        <f t="shared" si="183"/>
        <v>326.23693158341837</v>
      </c>
      <c r="Q555" s="6">
        <f t="shared" si="184"/>
        <v>49.59661280691148</v>
      </c>
      <c r="R555" s="6">
        <f t="shared" si="185"/>
        <v>0</v>
      </c>
      <c r="S555" s="6">
        <f t="shared" si="186"/>
        <v>375.83354439032985</v>
      </c>
      <c r="T555" s="6" t="str">
        <f>IF(MOD(C555-Settings!$B$32,Settings!$B$33)&lt;Settings!$B$30,"Up","Down")</f>
        <v>Up</v>
      </c>
      <c r="U555" s="6">
        <f>IF(OR(I555&gt;Settings!$B$30,O555&gt;Settings!$B$37),0,1)</f>
        <v>1</v>
      </c>
      <c r="V555" s="6">
        <f>IF(AND(U555=1,O555&lt;=Settings!$B$36),1,0)</f>
        <v>0</v>
      </c>
    </row>
    <row r="556" spans="1:22" x14ac:dyDescent="0.2">
      <c r="A556">
        <f>Arrivals!A556</f>
        <v>5</v>
      </c>
      <c r="B556">
        <f>Arrivals!B556</f>
        <v>71</v>
      </c>
      <c r="C556" s="6">
        <f>Arrivals!F556</f>
        <v>504</v>
      </c>
      <c r="D556" s="6">
        <f>Arrivals!J556</f>
        <v>9.7008088113016289</v>
      </c>
      <c r="E556" s="6">
        <f t="shared" si="187"/>
        <v>826.92338719308805</v>
      </c>
      <c r="F556" s="6">
        <f t="shared" si="178"/>
        <v>826.92338719308805</v>
      </c>
      <c r="G556" s="6">
        <f t="shared" si="179"/>
        <v>836.62419600438966</v>
      </c>
      <c r="H556" s="6">
        <f>Arrivals!L556</f>
        <v>75</v>
      </c>
      <c r="I556" s="6">
        <f>H556*8/ACE_Input!S76+ACE_Input!T76</f>
        <v>6.02</v>
      </c>
      <c r="J556" s="6">
        <f t="shared" si="188"/>
        <v>882.53999999999951</v>
      </c>
      <c r="K556" s="6">
        <f t="shared" si="180"/>
        <v>882.53999999999951</v>
      </c>
      <c r="L556" s="6">
        <f>MOD(K556-Settings!$B$32,Settings!$B$33)</f>
        <v>162.53999999999951</v>
      </c>
      <c r="M556" s="6">
        <f>IF(L556&lt;Settings!$B$30,IF(Settings!$B$30-L556&gt;=I556,K556,K556+(Settings!$B$30-L556)+Settings!$B$31),K556+(Settings!$B$33-L556))</f>
        <v>882.53999999999951</v>
      </c>
      <c r="N556" s="6">
        <f t="shared" si="181"/>
        <v>888.55999999999949</v>
      </c>
      <c r="O556" s="6">
        <f t="shared" si="182"/>
        <v>384.55999999999949</v>
      </c>
      <c r="P556" s="6">
        <f t="shared" si="183"/>
        <v>322.92338719308805</v>
      </c>
      <c r="Q556" s="6">
        <f t="shared" si="184"/>
        <v>45.915803995609849</v>
      </c>
      <c r="R556" s="6">
        <f t="shared" si="185"/>
        <v>0</v>
      </c>
      <c r="S556" s="6">
        <f t="shared" si="186"/>
        <v>368.8391911886979</v>
      </c>
      <c r="T556" s="6" t="str">
        <f>IF(MOD(C556-Settings!$B$32,Settings!$B$33)&lt;Settings!$B$30,"Up","Down")</f>
        <v>Up</v>
      </c>
      <c r="U556" s="6">
        <f>IF(OR(I556&gt;Settings!$B$30,O556&gt;Settings!$B$37),0,1)</f>
        <v>1</v>
      </c>
      <c r="V556" s="6">
        <f>IF(AND(U556=1,O556&lt;=Settings!$B$36),1,0)</f>
        <v>0</v>
      </c>
    </row>
    <row r="557" spans="1:22" x14ac:dyDescent="0.2">
      <c r="A557">
        <f>Arrivals!A557</f>
        <v>5</v>
      </c>
      <c r="B557">
        <f>Arrivals!B557</f>
        <v>72</v>
      </c>
      <c r="C557" s="6">
        <f>Arrivals!F557</f>
        <v>509</v>
      </c>
      <c r="D557" s="6">
        <f>Arrivals!J557</f>
        <v>4.3426139884520474</v>
      </c>
      <c r="E557" s="6">
        <f t="shared" si="187"/>
        <v>836.62419600438966</v>
      </c>
      <c r="F557" s="6">
        <f t="shared" si="178"/>
        <v>836.62419600438966</v>
      </c>
      <c r="G557" s="6">
        <f t="shared" si="179"/>
        <v>840.96680999284172</v>
      </c>
      <c r="H557" s="6">
        <f>Arrivals!L557</f>
        <v>75</v>
      </c>
      <c r="I557" s="6">
        <f>H557*8/ACE_Input!S77+ACE_Input!T77</f>
        <v>6.02</v>
      </c>
      <c r="J557" s="6">
        <f t="shared" si="188"/>
        <v>888.55999999999949</v>
      </c>
      <c r="K557" s="6">
        <f t="shared" si="180"/>
        <v>888.55999999999949</v>
      </c>
      <c r="L557" s="6">
        <f>MOD(K557-Settings!$B$32,Settings!$B$33)</f>
        <v>168.55999999999949</v>
      </c>
      <c r="M557" s="6">
        <f>IF(L557&lt;Settings!$B$30,IF(Settings!$B$30-L557&gt;=I557,K557,K557+(Settings!$B$30-L557)+Settings!$B$31),K557+(Settings!$B$33-L557))</f>
        <v>888.55999999999949</v>
      </c>
      <c r="N557" s="6">
        <f t="shared" si="181"/>
        <v>894.57999999999947</v>
      </c>
      <c r="O557" s="6">
        <f t="shared" si="182"/>
        <v>385.57999999999947</v>
      </c>
      <c r="P557" s="6">
        <f t="shared" si="183"/>
        <v>327.62419600438966</v>
      </c>
      <c r="Q557" s="6">
        <f t="shared" si="184"/>
        <v>47.593190007157773</v>
      </c>
      <c r="R557" s="6">
        <f t="shared" si="185"/>
        <v>0</v>
      </c>
      <c r="S557" s="6">
        <f t="shared" si="186"/>
        <v>375.21738601154743</v>
      </c>
      <c r="T557" s="6" t="str">
        <f>IF(MOD(C557-Settings!$B$32,Settings!$B$33)&lt;Settings!$B$30,"Up","Down")</f>
        <v>Up</v>
      </c>
      <c r="U557" s="6">
        <f>IF(OR(I557&gt;Settings!$B$30,O557&gt;Settings!$B$37),0,1)</f>
        <v>1</v>
      </c>
      <c r="V557" s="6">
        <f>IF(AND(U557=1,O557&lt;=Settings!$B$36),1,0)</f>
        <v>0</v>
      </c>
    </row>
    <row r="558" spans="1:22" x14ac:dyDescent="0.2">
      <c r="A558">
        <f>Arrivals!A558</f>
        <v>5</v>
      </c>
      <c r="B558">
        <f>Arrivals!B558</f>
        <v>73</v>
      </c>
      <c r="C558" s="6">
        <f>Arrivals!F558</f>
        <v>514</v>
      </c>
      <c r="D558" s="6">
        <f>Arrivals!J558</f>
        <v>3.1445634941533878</v>
      </c>
      <c r="E558" s="6">
        <f t="shared" si="187"/>
        <v>840.96680999284172</v>
      </c>
      <c r="F558" s="6">
        <f t="shared" si="178"/>
        <v>840.96680999284172</v>
      </c>
      <c r="G558" s="6">
        <f t="shared" si="179"/>
        <v>844.11137348699515</v>
      </c>
      <c r="H558" s="6">
        <f>Arrivals!L558</f>
        <v>75</v>
      </c>
      <c r="I558" s="6">
        <f>H558*8/ACE_Input!S78+ACE_Input!T78</f>
        <v>6.02</v>
      </c>
      <c r="J558" s="6">
        <f t="shared" si="188"/>
        <v>894.57999999999947</v>
      </c>
      <c r="K558" s="6">
        <f t="shared" si="180"/>
        <v>894.57999999999947</v>
      </c>
      <c r="L558" s="6">
        <f>MOD(K558-Settings!$B$32,Settings!$B$33)</f>
        <v>174.57999999999947</v>
      </c>
      <c r="M558" s="6">
        <f>IF(L558&lt;Settings!$B$30,IF(Settings!$B$30-L558&gt;=I558,K558,K558+(Settings!$B$30-L558)+Settings!$B$31),K558+(Settings!$B$33-L558))</f>
        <v>894.57999999999947</v>
      </c>
      <c r="N558" s="6">
        <f t="shared" si="181"/>
        <v>900.59999999999945</v>
      </c>
      <c r="O558" s="6">
        <f t="shared" si="182"/>
        <v>386.59999999999945</v>
      </c>
      <c r="P558" s="6">
        <f t="shared" si="183"/>
        <v>326.96680999284172</v>
      </c>
      <c r="Q558" s="6">
        <f t="shared" si="184"/>
        <v>50.468626513004324</v>
      </c>
      <c r="R558" s="6">
        <f t="shared" si="185"/>
        <v>0</v>
      </c>
      <c r="S558" s="6">
        <f t="shared" si="186"/>
        <v>377.43543650584604</v>
      </c>
      <c r="T558" s="6" t="str">
        <f>IF(MOD(C558-Settings!$B$32,Settings!$B$33)&lt;Settings!$B$30,"Up","Down")</f>
        <v>Up</v>
      </c>
      <c r="U558" s="6">
        <f>IF(OR(I558&gt;Settings!$B$30,O558&gt;Settings!$B$37),0,1)</f>
        <v>1</v>
      </c>
      <c r="V558" s="6">
        <f>IF(AND(U558=1,O558&lt;=Settings!$B$36),1,0)</f>
        <v>0</v>
      </c>
    </row>
    <row r="559" spans="1:22" x14ac:dyDescent="0.2">
      <c r="A559">
        <f>Arrivals!A559</f>
        <v>5</v>
      </c>
      <c r="B559">
        <f>Arrivals!B559</f>
        <v>74</v>
      </c>
      <c r="C559" s="6">
        <f>Arrivals!F559</f>
        <v>519</v>
      </c>
      <c r="D559" s="6">
        <f>Arrivals!J559</f>
        <v>6.8622927243328142</v>
      </c>
      <c r="E559" s="6">
        <f t="shared" si="187"/>
        <v>844.11137348699515</v>
      </c>
      <c r="F559" s="6">
        <f t="shared" si="178"/>
        <v>844.11137348699515</v>
      </c>
      <c r="G559" s="6">
        <f t="shared" si="179"/>
        <v>850.97366621132801</v>
      </c>
      <c r="H559" s="6">
        <f>Arrivals!L559</f>
        <v>75</v>
      </c>
      <c r="I559" s="6">
        <f>H559*8/ACE_Input!S79+ACE_Input!T79</f>
        <v>6.02</v>
      </c>
      <c r="J559" s="6">
        <f t="shared" si="188"/>
        <v>900.59999999999945</v>
      </c>
      <c r="K559" s="6">
        <f t="shared" si="180"/>
        <v>900.59999999999945</v>
      </c>
      <c r="L559" s="6">
        <f>MOD(K559-Settings!$B$32,Settings!$B$33)</f>
        <v>180.59999999999945</v>
      </c>
      <c r="M559" s="6">
        <f>IF(L559&lt;Settings!$B$30,IF(Settings!$B$30-L559&gt;=I559,K559,K559+(Settings!$B$30-L559)+Settings!$B$31),K559+(Settings!$B$33-L559))</f>
        <v>900.59999999999945</v>
      </c>
      <c r="N559" s="6">
        <f t="shared" si="181"/>
        <v>906.61999999999944</v>
      </c>
      <c r="O559" s="6">
        <f t="shared" si="182"/>
        <v>387.61999999999944</v>
      </c>
      <c r="P559" s="6">
        <f t="shared" si="183"/>
        <v>325.11137348699515</v>
      </c>
      <c r="Q559" s="6">
        <f t="shared" si="184"/>
        <v>49.626333788671445</v>
      </c>
      <c r="R559" s="6">
        <f t="shared" si="185"/>
        <v>0</v>
      </c>
      <c r="S559" s="6">
        <f t="shared" si="186"/>
        <v>374.73770727566659</v>
      </c>
      <c r="T559" s="6" t="str">
        <f>IF(MOD(C559-Settings!$B$32,Settings!$B$33)&lt;Settings!$B$30,"Up","Down")</f>
        <v>Up</v>
      </c>
      <c r="U559" s="6">
        <f>IF(OR(I559&gt;Settings!$B$30,O559&gt;Settings!$B$37),0,1)</f>
        <v>1</v>
      </c>
      <c r="V559" s="6">
        <f>IF(AND(U559=1,O559&lt;=Settings!$B$36),1,0)</f>
        <v>0</v>
      </c>
    </row>
    <row r="560" spans="1:22" x14ac:dyDescent="0.2">
      <c r="A560">
        <f>Arrivals!A560</f>
        <v>5</v>
      </c>
      <c r="B560">
        <f>Arrivals!B560</f>
        <v>75</v>
      </c>
      <c r="C560" s="6">
        <f>Arrivals!F560</f>
        <v>524</v>
      </c>
      <c r="D560" s="6">
        <f>Arrivals!J560</f>
        <v>23.160565652432481</v>
      </c>
      <c r="E560" s="6">
        <f t="shared" si="187"/>
        <v>850.97366621132801</v>
      </c>
      <c r="F560" s="6">
        <f t="shared" si="178"/>
        <v>850.97366621132801</v>
      </c>
      <c r="G560" s="6">
        <f t="shared" si="179"/>
        <v>874.13423186376053</v>
      </c>
      <c r="H560" s="6">
        <f>Arrivals!L560</f>
        <v>75</v>
      </c>
      <c r="I560" s="6">
        <f>H560*8/ACE_Input!S80+ACE_Input!T80</f>
        <v>6.02</v>
      </c>
      <c r="J560" s="6">
        <f t="shared" si="188"/>
        <v>906.61999999999944</v>
      </c>
      <c r="K560" s="6">
        <f t="shared" si="180"/>
        <v>906.61999999999944</v>
      </c>
      <c r="L560" s="6">
        <f>MOD(K560-Settings!$B$32,Settings!$B$33)</f>
        <v>186.61999999999944</v>
      </c>
      <c r="M560" s="6">
        <f>IF(L560&lt;Settings!$B$30,IF(Settings!$B$30-L560&gt;=I560,K560,K560+(Settings!$B$30-L560)+Settings!$B$31),K560+(Settings!$B$33-L560))</f>
        <v>906.61999999999944</v>
      </c>
      <c r="N560" s="6">
        <f t="shared" si="181"/>
        <v>912.63999999999942</v>
      </c>
      <c r="O560" s="6">
        <f t="shared" si="182"/>
        <v>388.63999999999942</v>
      </c>
      <c r="P560" s="6">
        <f t="shared" si="183"/>
        <v>326.97366621132801</v>
      </c>
      <c r="Q560" s="6">
        <f t="shared" si="184"/>
        <v>32.485768136238903</v>
      </c>
      <c r="R560" s="6">
        <f t="shared" si="185"/>
        <v>0</v>
      </c>
      <c r="S560" s="6">
        <f t="shared" si="186"/>
        <v>359.45943434756691</v>
      </c>
      <c r="T560" s="6" t="str">
        <f>IF(MOD(C560-Settings!$B$32,Settings!$B$33)&lt;Settings!$B$30,"Up","Down")</f>
        <v>Up</v>
      </c>
      <c r="U560" s="6">
        <f>IF(OR(I560&gt;Settings!$B$30,O560&gt;Settings!$B$37),0,1)</f>
        <v>1</v>
      </c>
      <c r="V560" s="6">
        <f>IF(AND(U560=1,O560&lt;=Settings!$B$36),1,0)</f>
        <v>0</v>
      </c>
    </row>
    <row r="561" spans="1:22" x14ac:dyDescent="0.2">
      <c r="A561">
        <f>Arrivals!A561</f>
        <v>5</v>
      </c>
      <c r="B561">
        <f>Arrivals!B561</f>
        <v>76</v>
      </c>
      <c r="C561" s="6">
        <f>Arrivals!F561</f>
        <v>529</v>
      </c>
      <c r="D561" s="6">
        <f>Arrivals!J561</f>
        <v>11.275267283626663</v>
      </c>
      <c r="E561" s="6">
        <f t="shared" si="187"/>
        <v>874.13423186376053</v>
      </c>
      <c r="F561" s="6">
        <f t="shared" si="178"/>
        <v>874.13423186376053</v>
      </c>
      <c r="G561" s="6">
        <f t="shared" si="179"/>
        <v>885.40949914738724</v>
      </c>
      <c r="H561" s="6">
        <f>Arrivals!L561</f>
        <v>75</v>
      </c>
      <c r="I561" s="6">
        <f>H561*8/ACE_Input!S81+ACE_Input!T81</f>
        <v>6.02</v>
      </c>
      <c r="J561" s="6">
        <f t="shared" si="188"/>
        <v>912.63999999999942</v>
      </c>
      <c r="K561" s="6">
        <f t="shared" si="180"/>
        <v>912.63999999999942</v>
      </c>
      <c r="L561" s="6">
        <f>MOD(K561-Settings!$B$32,Settings!$B$33)</f>
        <v>192.63999999999942</v>
      </c>
      <c r="M561" s="6">
        <f>IF(L561&lt;Settings!$B$30,IF(Settings!$B$30-L561&gt;=I561,K561,K561+(Settings!$B$30-L561)+Settings!$B$31),K561+(Settings!$B$33-L561))</f>
        <v>912.63999999999942</v>
      </c>
      <c r="N561" s="6">
        <f t="shared" si="181"/>
        <v>918.6599999999994</v>
      </c>
      <c r="O561" s="6">
        <f t="shared" si="182"/>
        <v>389.6599999999994</v>
      </c>
      <c r="P561" s="6">
        <f t="shared" si="183"/>
        <v>345.13423186376053</v>
      </c>
      <c r="Q561" s="6">
        <f t="shared" si="184"/>
        <v>27.230500852612181</v>
      </c>
      <c r="R561" s="6">
        <f t="shared" si="185"/>
        <v>0</v>
      </c>
      <c r="S561" s="6">
        <f t="shared" si="186"/>
        <v>372.36473271637271</v>
      </c>
      <c r="T561" s="6" t="str">
        <f>IF(MOD(C561-Settings!$B$32,Settings!$B$33)&lt;Settings!$B$30,"Up","Down")</f>
        <v>Up</v>
      </c>
      <c r="U561" s="6">
        <f>IF(OR(I561&gt;Settings!$B$30,O561&gt;Settings!$B$37),0,1)</f>
        <v>1</v>
      </c>
      <c r="V561" s="6">
        <f>IF(AND(U561=1,O561&lt;=Settings!$B$36),1,0)</f>
        <v>0</v>
      </c>
    </row>
    <row r="562" spans="1:22" x14ac:dyDescent="0.2">
      <c r="A562">
        <f>Arrivals!A562</f>
        <v>5</v>
      </c>
      <c r="B562">
        <f>Arrivals!B562</f>
        <v>77</v>
      </c>
      <c r="C562" s="6">
        <f>Arrivals!F562</f>
        <v>534</v>
      </c>
      <c r="D562" s="6">
        <f>Arrivals!J562</f>
        <v>1.645778279229698</v>
      </c>
      <c r="E562" s="6">
        <f t="shared" si="187"/>
        <v>885.40949914738724</v>
      </c>
      <c r="F562" s="6">
        <f t="shared" si="178"/>
        <v>885.40949914738724</v>
      </c>
      <c r="G562" s="6">
        <f t="shared" si="179"/>
        <v>887.05527742661695</v>
      </c>
      <c r="H562" s="6">
        <f>Arrivals!L562</f>
        <v>75</v>
      </c>
      <c r="I562" s="6">
        <f>H562*8/ACE_Input!S82+ACE_Input!T82</f>
        <v>6.02</v>
      </c>
      <c r="J562" s="6">
        <f t="shared" si="188"/>
        <v>918.6599999999994</v>
      </c>
      <c r="K562" s="6">
        <f t="shared" si="180"/>
        <v>918.6599999999994</v>
      </c>
      <c r="L562" s="6">
        <f>MOD(K562-Settings!$B$32,Settings!$B$33)</f>
        <v>198.6599999999994</v>
      </c>
      <c r="M562" s="6">
        <f>IF(L562&lt;Settings!$B$30,IF(Settings!$B$30-L562&gt;=I562,K562,K562+(Settings!$B$30-L562)+Settings!$B$31),K562+(Settings!$B$33-L562))</f>
        <v>918.6599999999994</v>
      </c>
      <c r="N562" s="6">
        <f t="shared" si="181"/>
        <v>924.67999999999938</v>
      </c>
      <c r="O562" s="6">
        <f t="shared" si="182"/>
        <v>390.67999999999938</v>
      </c>
      <c r="P562" s="6">
        <f t="shared" si="183"/>
        <v>351.40949914738724</v>
      </c>
      <c r="Q562" s="6">
        <f t="shared" si="184"/>
        <v>31.604722573382446</v>
      </c>
      <c r="R562" s="6">
        <f t="shared" si="185"/>
        <v>0</v>
      </c>
      <c r="S562" s="6">
        <f t="shared" si="186"/>
        <v>383.01422172076968</v>
      </c>
      <c r="T562" s="6" t="str">
        <f>IF(MOD(C562-Settings!$B$32,Settings!$B$33)&lt;Settings!$B$30,"Up","Down")</f>
        <v>Up</v>
      </c>
      <c r="U562" s="6">
        <f>IF(OR(I562&gt;Settings!$B$30,O562&gt;Settings!$B$37),0,1)</f>
        <v>1</v>
      </c>
      <c r="V562" s="6">
        <f>IF(AND(U562=1,O562&lt;=Settings!$B$36),1,0)</f>
        <v>0</v>
      </c>
    </row>
    <row r="563" spans="1:22" x14ac:dyDescent="0.2">
      <c r="A563">
        <f>Arrivals!A563</f>
        <v>5</v>
      </c>
      <c r="B563">
        <f>Arrivals!B563</f>
        <v>78</v>
      </c>
      <c r="C563" s="6">
        <f>Arrivals!F563</f>
        <v>539</v>
      </c>
      <c r="D563" s="6">
        <f>Arrivals!J563</f>
        <v>41.305045883919313</v>
      </c>
      <c r="E563" s="6">
        <f t="shared" si="187"/>
        <v>887.05527742661695</v>
      </c>
      <c r="F563" s="6">
        <f t="shared" si="178"/>
        <v>887.05527742661695</v>
      </c>
      <c r="G563" s="6">
        <f t="shared" si="179"/>
        <v>928.36032331053627</v>
      </c>
      <c r="H563" s="6">
        <f>Arrivals!L563</f>
        <v>75</v>
      </c>
      <c r="I563" s="6">
        <f>H563*8/ACE_Input!S83+ACE_Input!T83</f>
        <v>6.02</v>
      </c>
      <c r="J563" s="6">
        <f t="shared" si="188"/>
        <v>924.67999999999938</v>
      </c>
      <c r="K563" s="6">
        <f t="shared" si="180"/>
        <v>928.36032331053627</v>
      </c>
      <c r="L563" s="6">
        <f>MOD(K563-Settings!$B$32,Settings!$B$33)</f>
        <v>208.36032331053627</v>
      </c>
      <c r="M563" s="6">
        <f>IF(L563&lt;Settings!$B$30,IF(Settings!$B$30-L563&gt;=I563,K563,K563+(Settings!$B$30-L563)+Settings!$B$31),K563+(Settings!$B$33-L563))</f>
        <v>928.36032331053627</v>
      </c>
      <c r="N563" s="6">
        <f t="shared" si="181"/>
        <v>934.38032331053626</v>
      </c>
      <c r="O563" s="6">
        <f t="shared" si="182"/>
        <v>395.38032331053626</v>
      </c>
      <c r="P563" s="6">
        <f t="shared" si="183"/>
        <v>348.05527742661695</v>
      </c>
      <c r="Q563" s="6">
        <f t="shared" si="184"/>
        <v>0</v>
      </c>
      <c r="R563" s="6">
        <f t="shared" si="185"/>
        <v>0</v>
      </c>
      <c r="S563" s="6">
        <f t="shared" si="186"/>
        <v>348.05527742661695</v>
      </c>
      <c r="T563" s="6" t="str">
        <f>IF(MOD(C563-Settings!$B$32,Settings!$B$33)&lt;Settings!$B$30,"Up","Down")</f>
        <v>Up</v>
      </c>
      <c r="U563" s="6">
        <f>IF(OR(I563&gt;Settings!$B$30,O563&gt;Settings!$B$37),0,1)</f>
        <v>1</v>
      </c>
      <c r="V563" s="6">
        <f>IF(AND(U563=1,O563&lt;=Settings!$B$36),1,0)</f>
        <v>0</v>
      </c>
    </row>
    <row r="564" spans="1:22" x14ac:dyDescent="0.2">
      <c r="A564">
        <f>Arrivals!A564</f>
        <v>5</v>
      </c>
      <c r="B564">
        <f>Arrivals!B564</f>
        <v>79</v>
      </c>
      <c r="C564" s="6">
        <f>Arrivals!F564</f>
        <v>544</v>
      </c>
      <c r="D564" s="6">
        <f>Arrivals!J564</f>
        <v>2.8659853803463555</v>
      </c>
      <c r="E564" s="6">
        <f t="shared" si="187"/>
        <v>928.36032331053627</v>
      </c>
      <c r="F564" s="6">
        <f t="shared" si="178"/>
        <v>928.36032331053627</v>
      </c>
      <c r="G564" s="6">
        <f t="shared" si="179"/>
        <v>931.22630869088266</v>
      </c>
      <c r="H564" s="6">
        <f>Arrivals!L564</f>
        <v>75</v>
      </c>
      <c r="I564" s="6">
        <f>H564*8/ACE_Input!S84+ACE_Input!T84</f>
        <v>6.02</v>
      </c>
      <c r="J564" s="6">
        <f t="shared" si="188"/>
        <v>934.38032331053626</v>
      </c>
      <c r="K564" s="6">
        <f t="shared" si="180"/>
        <v>934.38032331053626</v>
      </c>
      <c r="L564" s="6">
        <f>MOD(K564-Settings!$B$32,Settings!$B$33)</f>
        <v>214.38032331053626</v>
      </c>
      <c r="M564" s="6">
        <f>IF(L564&lt;Settings!$B$30,IF(Settings!$B$30-L564&gt;=I564,K564,K564+(Settings!$B$30-L564)+Settings!$B$31),K564+(Settings!$B$33-L564))</f>
        <v>934.38032331053626</v>
      </c>
      <c r="N564" s="6">
        <f t="shared" si="181"/>
        <v>940.40032331053624</v>
      </c>
      <c r="O564" s="6">
        <f t="shared" si="182"/>
        <v>396.40032331053624</v>
      </c>
      <c r="P564" s="6">
        <f t="shared" si="183"/>
        <v>384.36032331053627</v>
      </c>
      <c r="Q564" s="6">
        <f t="shared" si="184"/>
        <v>3.1540146196535943</v>
      </c>
      <c r="R564" s="6">
        <f t="shared" si="185"/>
        <v>0</v>
      </c>
      <c r="S564" s="6">
        <f t="shared" si="186"/>
        <v>387.51433793018987</v>
      </c>
      <c r="T564" s="6" t="str">
        <f>IF(MOD(C564-Settings!$B$32,Settings!$B$33)&lt;Settings!$B$30,"Up","Down")</f>
        <v>Up</v>
      </c>
      <c r="U564" s="6">
        <f>IF(OR(I564&gt;Settings!$B$30,O564&gt;Settings!$B$37),0,1)</f>
        <v>1</v>
      </c>
      <c r="V564" s="6">
        <f>IF(AND(U564=1,O564&lt;=Settings!$B$36),1,0)</f>
        <v>0</v>
      </c>
    </row>
    <row r="565" spans="1:22" x14ac:dyDescent="0.2">
      <c r="A565">
        <f>Arrivals!A565</f>
        <v>5</v>
      </c>
      <c r="B565">
        <f>Arrivals!B565</f>
        <v>80</v>
      </c>
      <c r="C565" s="6">
        <f>Arrivals!F565</f>
        <v>549</v>
      </c>
      <c r="D565" s="6">
        <f>Arrivals!J565</f>
        <v>14.291967640198667</v>
      </c>
      <c r="E565" s="6">
        <f t="shared" si="187"/>
        <v>931.22630869088266</v>
      </c>
      <c r="F565" s="6">
        <f t="shared" si="178"/>
        <v>931.22630869088266</v>
      </c>
      <c r="G565" s="6">
        <f t="shared" si="179"/>
        <v>945.51827633108132</v>
      </c>
      <c r="H565" s="6">
        <f>Arrivals!L565</f>
        <v>75</v>
      </c>
      <c r="I565" s="6">
        <f>H565*8/ACE_Input!S85+ACE_Input!T85</f>
        <v>6.02</v>
      </c>
      <c r="J565" s="6">
        <f t="shared" si="188"/>
        <v>940.40032331053624</v>
      </c>
      <c r="K565" s="6">
        <f t="shared" si="180"/>
        <v>945.51827633108132</v>
      </c>
      <c r="L565" s="6">
        <f>MOD(K565-Settings!$B$32,Settings!$B$33)</f>
        <v>225.51827633108132</v>
      </c>
      <c r="M565" s="6">
        <f>IF(L565&lt;Settings!$B$30,IF(Settings!$B$30-L565&gt;=I565,K565,K565+(Settings!$B$30-L565)+Settings!$B$31),K565+(Settings!$B$33-L565))</f>
        <v>945.51827633108132</v>
      </c>
      <c r="N565" s="6">
        <f t="shared" si="181"/>
        <v>951.53827633108131</v>
      </c>
      <c r="O565" s="6">
        <f t="shared" si="182"/>
        <v>402.53827633108131</v>
      </c>
      <c r="P565" s="6">
        <f t="shared" si="183"/>
        <v>382.22630869088266</v>
      </c>
      <c r="Q565" s="6">
        <f t="shared" si="184"/>
        <v>0</v>
      </c>
      <c r="R565" s="6">
        <f t="shared" si="185"/>
        <v>0</v>
      </c>
      <c r="S565" s="6">
        <f t="shared" si="186"/>
        <v>382.22630869088266</v>
      </c>
      <c r="T565" s="6" t="str">
        <f>IF(MOD(C565-Settings!$B$32,Settings!$B$33)&lt;Settings!$B$30,"Up","Down")</f>
        <v>Up</v>
      </c>
      <c r="U565" s="6">
        <f>IF(OR(I565&gt;Settings!$B$30,O565&gt;Settings!$B$37),0,1)</f>
        <v>1</v>
      </c>
      <c r="V565" s="6">
        <f>IF(AND(U565=1,O565&lt;=Settings!$B$36),1,0)</f>
        <v>0</v>
      </c>
    </row>
    <row r="566" spans="1:22" x14ac:dyDescent="0.2">
      <c r="A566">
        <f>Arrivals!A566</f>
        <v>5</v>
      </c>
      <c r="B566">
        <f>Arrivals!B566</f>
        <v>81</v>
      </c>
      <c r="C566" s="6">
        <f>Arrivals!F566</f>
        <v>554</v>
      </c>
      <c r="D566" s="6">
        <f>Arrivals!J566</f>
        <v>0.61465567862958836</v>
      </c>
      <c r="E566" s="6">
        <f t="shared" si="187"/>
        <v>945.51827633108132</v>
      </c>
      <c r="F566" s="6">
        <f t="shared" si="178"/>
        <v>945.51827633108132</v>
      </c>
      <c r="G566" s="6">
        <f t="shared" si="179"/>
        <v>946.13293200971088</v>
      </c>
      <c r="H566" s="6">
        <f>Arrivals!L566</f>
        <v>75</v>
      </c>
      <c r="I566" s="6">
        <f>H566*8/ACE_Input!S86+ACE_Input!T86</f>
        <v>6.02</v>
      </c>
      <c r="J566" s="6">
        <f t="shared" si="188"/>
        <v>951.53827633108131</v>
      </c>
      <c r="K566" s="6">
        <f t="shared" si="180"/>
        <v>951.53827633108131</v>
      </c>
      <c r="L566" s="6">
        <f>MOD(K566-Settings!$B$32,Settings!$B$33)</f>
        <v>231.53827633108131</v>
      </c>
      <c r="M566" s="6">
        <f>IF(L566&lt;Settings!$B$30,IF(Settings!$B$30-L566&gt;=I566,K566,K566+(Settings!$B$30-L566)+Settings!$B$31),K566+(Settings!$B$33-L566))</f>
        <v>951.53827633108131</v>
      </c>
      <c r="N566" s="6">
        <f t="shared" si="181"/>
        <v>957.55827633108129</v>
      </c>
      <c r="O566" s="6">
        <f t="shared" si="182"/>
        <v>403.55827633108129</v>
      </c>
      <c r="P566" s="6">
        <f t="shared" si="183"/>
        <v>391.51827633108132</v>
      </c>
      <c r="Q566" s="6">
        <f t="shared" si="184"/>
        <v>5.4053443213704213</v>
      </c>
      <c r="R566" s="6">
        <f t="shared" si="185"/>
        <v>0</v>
      </c>
      <c r="S566" s="6">
        <f t="shared" si="186"/>
        <v>396.92362065245175</v>
      </c>
      <c r="T566" s="6" t="str">
        <f>IF(MOD(C566-Settings!$B$32,Settings!$B$33)&lt;Settings!$B$30,"Up","Down")</f>
        <v>Up</v>
      </c>
      <c r="U566" s="6">
        <f>IF(OR(I566&gt;Settings!$B$30,O566&gt;Settings!$B$37),0,1)</f>
        <v>1</v>
      </c>
      <c r="V566" s="6">
        <f>IF(AND(U566=1,O566&lt;=Settings!$B$36),1,0)</f>
        <v>0</v>
      </c>
    </row>
    <row r="567" spans="1:22" x14ac:dyDescent="0.2">
      <c r="A567">
        <f>Arrivals!A567</f>
        <v>5</v>
      </c>
      <c r="B567">
        <f>Arrivals!B567</f>
        <v>82</v>
      </c>
      <c r="C567" s="6">
        <f>Arrivals!F567</f>
        <v>559</v>
      </c>
      <c r="D567" s="6">
        <f>Arrivals!J567</f>
        <v>2.6860364007262967</v>
      </c>
      <c r="E567" s="6">
        <f t="shared" si="187"/>
        <v>946.13293200971088</v>
      </c>
      <c r="F567" s="6">
        <f t="shared" si="178"/>
        <v>946.13293200971088</v>
      </c>
      <c r="G567" s="6">
        <f t="shared" si="179"/>
        <v>948.81896841043715</v>
      </c>
      <c r="H567" s="6">
        <f>Arrivals!L567</f>
        <v>75</v>
      </c>
      <c r="I567" s="6">
        <f>H567*8/ACE_Input!S87+ACE_Input!T87</f>
        <v>6.02</v>
      </c>
      <c r="J567" s="6">
        <f t="shared" si="188"/>
        <v>957.55827633108129</v>
      </c>
      <c r="K567" s="6">
        <f t="shared" si="180"/>
        <v>957.55827633108129</v>
      </c>
      <c r="L567" s="6">
        <f>MOD(K567-Settings!$B$32,Settings!$B$33)</f>
        <v>237.55827633108129</v>
      </c>
      <c r="M567" s="6">
        <f>IF(L567&lt;Settings!$B$30,IF(Settings!$B$30-L567&gt;=I567,K567,K567+(Settings!$B$30-L567)+Settings!$B$31),K567+(Settings!$B$33-L567))</f>
        <v>957.55827633108129</v>
      </c>
      <c r="N567" s="6">
        <f t="shared" si="181"/>
        <v>963.57827633108127</v>
      </c>
      <c r="O567" s="6">
        <f t="shared" si="182"/>
        <v>404.57827633108127</v>
      </c>
      <c r="P567" s="6">
        <f t="shared" si="183"/>
        <v>387.13293200971088</v>
      </c>
      <c r="Q567" s="6">
        <f t="shared" si="184"/>
        <v>8.7393079206441371</v>
      </c>
      <c r="R567" s="6">
        <f t="shared" si="185"/>
        <v>0</v>
      </c>
      <c r="S567" s="6">
        <f t="shared" si="186"/>
        <v>395.87223993035502</v>
      </c>
      <c r="T567" s="6" t="str">
        <f>IF(MOD(C567-Settings!$B$32,Settings!$B$33)&lt;Settings!$B$30,"Up","Down")</f>
        <v>Up</v>
      </c>
      <c r="U567" s="6">
        <f>IF(OR(I567&gt;Settings!$B$30,O567&gt;Settings!$B$37),0,1)</f>
        <v>1</v>
      </c>
      <c r="V567" s="6">
        <f>IF(AND(U567=1,O567&lt;=Settings!$B$36),1,0)</f>
        <v>0</v>
      </c>
    </row>
    <row r="568" spans="1:22" x14ac:dyDescent="0.2">
      <c r="A568">
        <f>Arrivals!A568</f>
        <v>5</v>
      </c>
      <c r="B568">
        <f>Arrivals!B568</f>
        <v>83</v>
      </c>
      <c r="C568" s="6">
        <f>Arrivals!F568</f>
        <v>564</v>
      </c>
      <c r="D568" s="6">
        <f>Arrivals!J568</f>
        <v>14.941403359188623</v>
      </c>
      <c r="E568" s="6">
        <f t="shared" si="187"/>
        <v>948.81896841043715</v>
      </c>
      <c r="F568" s="6">
        <f t="shared" si="178"/>
        <v>948.81896841043715</v>
      </c>
      <c r="G568" s="6">
        <f t="shared" si="179"/>
        <v>963.76037176962575</v>
      </c>
      <c r="H568" s="6">
        <f>Arrivals!L568</f>
        <v>75</v>
      </c>
      <c r="I568" s="6">
        <f>H568*8/ACE_Input!S88+ACE_Input!T88</f>
        <v>6.02</v>
      </c>
      <c r="J568" s="6">
        <f t="shared" si="188"/>
        <v>963.57827633108127</v>
      </c>
      <c r="K568" s="6">
        <f t="shared" si="180"/>
        <v>963.76037176962575</v>
      </c>
      <c r="L568" s="6">
        <f>MOD(K568-Settings!$B$32,Settings!$B$33)</f>
        <v>243.76037176962575</v>
      </c>
      <c r="M568" s="6">
        <f>IF(L568&lt;Settings!$B$30,IF(Settings!$B$30-L568&gt;=I568,K568,K568+(Settings!$B$30-L568)+Settings!$B$31),K568+(Settings!$B$33-L568))</f>
        <v>963.76037176962575</v>
      </c>
      <c r="N568" s="6">
        <f t="shared" si="181"/>
        <v>969.78037176962573</v>
      </c>
      <c r="O568" s="6">
        <f t="shared" si="182"/>
        <v>405.78037176962573</v>
      </c>
      <c r="P568" s="6">
        <f t="shared" si="183"/>
        <v>384.81896841043715</v>
      </c>
      <c r="Q568" s="6">
        <f t="shared" si="184"/>
        <v>0</v>
      </c>
      <c r="R568" s="6">
        <f t="shared" si="185"/>
        <v>0</v>
      </c>
      <c r="S568" s="6">
        <f t="shared" si="186"/>
        <v>384.81896841043715</v>
      </c>
      <c r="T568" s="6" t="str">
        <f>IF(MOD(C568-Settings!$B$32,Settings!$B$33)&lt;Settings!$B$30,"Up","Down")</f>
        <v>Up</v>
      </c>
      <c r="U568" s="6">
        <f>IF(OR(I568&gt;Settings!$B$30,O568&gt;Settings!$B$37),0,1)</f>
        <v>1</v>
      </c>
      <c r="V568" s="6">
        <f>IF(AND(U568=1,O568&lt;=Settings!$B$36),1,0)</f>
        <v>0</v>
      </c>
    </row>
    <row r="569" spans="1:22" x14ac:dyDescent="0.2">
      <c r="A569">
        <f>Arrivals!A569</f>
        <v>5</v>
      </c>
      <c r="B569">
        <f>Arrivals!B569</f>
        <v>84</v>
      </c>
      <c r="C569" s="6">
        <f>Arrivals!F569</f>
        <v>569</v>
      </c>
      <c r="D569" s="6">
        <f>Arrivals!J569</f>
        <v>1.8529005156219103</v>
      </c>
      <c r="E569" s="6">
        <f t="shared" si="187"/>
        <v>963.76037176962575</v>
      </c>
      <c r="F569" s="6">
        <f t="shared" si="178"/>
        <v>963.76037176962575</v>
      </c>
      <c r="G569" s="6">
        <f t="shared" si="179"/>
        <v>965.6132722852476</v>
      </c>
      <c r="H569" s="6">
        <f>Arrivals!L569</f>
        <v>75</v>
      </c>
      <c r="I569" s="6">
        <f>H569*8/ACE_Input!S89+ACE_Input!T89</f>
        <v>6.02</v>
      </c>
      <c r="J569" s="6">
        <f t="shared" si="188"/>
        <v>969.78037176962573</v>
      </c>
      <c r="K569" s="6">
        <f t="shared" si="180"/>
        <v>969.78037176962573</v>
      </c>
      <c r="L569" s="6">
        <f>MOD(K569-Settings!$B$32,Settings!$B$33)</f>
        <v>249.78037176962573</v>
      </c>
      <c r="M569" s="6">
        <f>IF(L569&lt;Settings!$B$30,IF(Settings!$B$30-L569&gt;=I569,K569,K569+(Settings!$B$30-L569)+Settings!$B$31),K569+(Settings!$B$33-L569))</f>
        <v>969.78037176962573</v>
      </c>
      <c r="N569" s="6">
        <f t="shared" si="181"/>
        <v>975.80037176962571</v>
      </c>
      <c r="O569" s="6">
        <f t="shared" si="182"/>
        <v>406.80037176962571</v>
      </c>
      <c r="P569" s="6">
        <f t="shared" si="183"/>
        <v>394.76037176962575</v>
      </c>
      <c r="Q569" s="6">
        <f t="shared" si="184"/>
        <v>4.1670994843781273</v>
      </c>
      <c r="R569" s="6">
        <f t="shared" si="185"/>
        <v>0</v>
      </c>
      <c r="S569" s="6">
        <f t="shared" si="186"/>
        <v>398.92747125400388</v>
      </c>
      <c r="T569" s="6" t="str">
        <f>IF(MOD(C569-Settings!$B$32,Settings!$B$33)&lt;Settings!$B$30,"Up","Down")</f>
        <v>Up</v>
      </c>
      <c r="U569" s="6">
        <f>IF(OR(I569&gt;Settings!$B$30,O569&gt;Settings!$B$37),0,1)</f>
        <v>1</v>
      </c>
      <c r="V569" s="6">
        <f>IF(AND(U569=1,O569&lt;=Settings!$B$36),1,0)</f>
        <v>0</v>
      </c>
    </row>
    <row r="570" spans="1:22" x14ac:dyDescent="0.2">
      <c r="A570">
        <f>Arrivals!A570</f>
        <v>5</v>
      </c>
      <c r="B570">
        <f>Arrivals!B570</f>
        <v>85</v>
      </c>
      <c r="C570" s="6">
        <f>Arrivals!F570</f>
        <v>574</v>
      </c>
      <c r="D570" s="6">
        <f>Arrivals!J570</f>
        <v>14.933251713145182</v>
      </c>
      <c r="E570" s="6">
        <f t="shared" si="187"/>
        <v>965.6132722852476</v>
      </c>
      <c r="F570" s="6">
        <f t="shared" si="178"/>
        <v>965.6132722852476</v>
      </c>
      <c r="G570" s="6">
        <f t="shared" si="179"/>
        <v>980.54652399839279</v>
      </c>
      <c r="H570" s="6">
        <f>Arrivals!L570</f>
        <v>75</v>
      </c>
      <c r="I570" s="6">
        <f>H570*8/ACE_Input!S90+ACE_Input!T90</f>
        <v>6.02</v>
      </c>
      <c r="J570" s="6">
        <f t="shared" si="188"/>
        <v>975.80037176962571</v>
      </c>
      <c r="K570" s="6">
        <f t="shared" si="180"/>
        <v>980.54652399839279</v>
      </c>
      <c r="L570" s="6">
        <f>MOD(K570-Settings!$B$32,Settings!$B$33)</f>
        <v>260.54652399839279</v>
      </c>
      <c r="M570" s="6">
        <f>IF(L570&lt;Settings!$B$30,IF(Settings!$B$30-L570&gt;=I570,K570,K570+(Settings!$B$30-L570)+Settings!$B$31),K570+(Settings!$B$33-L570))</f>
        <v>980.54652399839279</v>
      </c>
      <c r="N570" s="6">
        <f t="shared" si="181"/>
        <v>986.56652399839277</v>
      </c>
      <c r="O570" s="6">
        <f t="shared" si="182"/>
        <v>412.56652399839277</v>
      </c>
      <c r="P570" s="6">
        <f t="shared" si="183"/>
        <v>391.6132722852476</v>
      </c>
      <c r="Q570" s="6">
        <f t="shared" si="184"/>
        <v>0</v>
      </c>
      <c r="R570" s="6">
        <f t="shared" si="185"/>
        <v>0</v>
      </c>
      <c r="S570" s="6">
        <f t="shared" si="186"/>
        <v>391.6132722852476</v>
      </c>
      <c r="T570" s="6" t="str">
        <f>IF(MOD(C570-Settings!$B$32,Settings!$B$33)&lt;Settings!$B$30,"Up","Down")</f>
        <v>Up</v>
      </c>
      <c r="U570" s="6">
        <f>IF(OR(I570&gt;Settings!$B$30,O570&gt;Settings!$B$37),0,1)</f>
        <v>1</v>
      </c>
      <c r="V570" s="6">
        <f>IF(AND(U570=1,O570&lt;=Settings!$B$36),1,0)</f>
        <v>0</v>
      </c>
    </row>
    <row r="571" spans="1:22" x14ac:dyDescent="0.2">
      <c r="A571">
        <f>Arrivals!A571</f>
        <v>5</v>
      </c>
      <c r="B571">
        <f>Arrivals!B571</f>
        <v>86</v>
      </c>
      <c r="C571" s="6">
        <f>Arrivals!F571</f>
        <v>579</v>
      </c>
      <c r="D571" s="6">
        <f>Arrivals!J571</f>
        <v>23.164582254695393</v>
      </c>
      <c r="E571" s="6">
        <f t="shared" si="187"/>
        <v>980.54652399839279</v>
      </c>
      <c r="F571" s="6">
        <f t="shared" si="178"/>
        <v>980.54652399839279</v>
      </c>
      <c r="G571" s="6">
        <f t="shared" si="179"/>
        <v>1003.7111062530881</v>
      </c>
      <c r="H571" s="6">
        <f>Arrivals!L571</f>
        <v>75</v>
      </c>
      <c r="I571" s="6">
        <f>H571*8/ACE_Input!S91+ACE_Input!T91</f>
        <v>6.02</v>
      </c>
      <c r="J571" s="6">
        <f t="shared" si="188"/>
        <v>986.56652399839277</v>
      </c>
      <c r="K571" s="6">
        <f t="shared" si="180"/>
        <v>1003.7111062530881</v>
      </c>
      <c r="L571" s="6">
        <f>MOD(K571-Settings!$B$32,Settings!$B$33)</f>
        <v>283.71110625308813</v>
      </c>
      <c r="M571" s="6">
        <f>IF(L571&lt;Settings!$B$30,IF(Settings!$B$30-L571&gt;=I571,K571,K571+(Settings!$B$30-L571)+Settings!$B$31),K571+(Settings!$B$33-L571))</f>
        <v>1003.7111062530881</v>
      </c>
      <c r="N571" s="6">
        <f t="shared" si="181"/>
        <v>1009.7311062530881</v>
      </c>
      <c r="O571" s="6">
        <f t="shared" si="182"/>
        <v>430.73110625308811</v>
      </c>
      <c r="P571" s="6">
        <f t="shared" si="183"/>
        <v>401.54652399839279</v>
      </c>
      <c r="Q571" s="6">
        <f t="shared" si="184"/>
        <v>0</v>
      </c>
      <c r="R571" s="6">
        <f t="shared" si="185"/>
        <v>0</v>
      </c>
      <c r="S571" s="6">
        <f t="shared" si="186"/>
        <v>401.54652399839279</v>
      </c>
      <c r="T571" s="6" t="str">
        <f>IF(MOD(C571-Settings!$B$32,Settings!$B$33)&lt;Settings!$B$30,"Up","Down")</f>
        <v>Up</v>
      </c>
      <c r="U571" s="6">
        <f>IF(OR(I571&gt;Settings!$B$30,O571&gt;Settings!$B$37),0,1)</f>
        <v>1</v>
      </c>
      <c r="V571" s="6">
        <f>IF(AND(U571=1,O571&lt;=Settings!$B$36),1,0)</f>
        <v>0</v>
      </c>
    </row>
    <row r="572" spans="1:22" x14ac:dyDescent="0.2">
      <c r="A572">
        <f>Arrivals!A572</f>
        <v>5</v>
      </c>
      <c r="B572">
        <f>Arrivals!B572</f>
        <v>87</v>
      </c>
      <c r="C572" s="6">
        <f>Arrivals!F572</f>
        <v>584</v>
      </c>
      <c r="D572" s="6">
        <f>Arrivals!J572</f>
        <v>6.6528722554577921</v>
      </c>
      <c r="E572" s="6">
        <f t="shared" si="187"/>
        <v>1003.7111062530881</v>
      </c>
      <c r="F572" s="6">
        <f t="shared" si="178"/>
        <v>1003.7111062530881</v>
      </c>
      <c r="G572" s="6">
        <f t="shared" si="179"/>
        <v>1010.3639785085459</v>
      </c>
      <c r="H572" s="6">
        <f>Arrivals!L572</f>
        <v>75</v>
      </c>
      <c r="I572" s="6">
        <f>H572*8/ACE_Input!S92+ACE_Input!T92</f>
        <v>6.02</v>
      </c>
      <c r="J572" s="6">
        <f t="shared" si="188"/>
        <v>1009.7311062530881</v>
      </c>
      <c r="K572" s="6">
        <f t="shared" si="180"/>
        <v>1010.3639785085459</v>
      </c>
      <c r="L572" s="6">
        <f>MOD(K572-Settings!$B$32,Settings!$B$33)</f>
        <v>290.36397850854587</v>
      </c>
      <c r="M572" s="6">
        <f>IF(L572&lt;Settings!$B$30,IF(Settings!$B$30-L572&gt;=I572,K572,K572+(Settings!$B$30-L572)+Settings!$B$31),K572+(Settings!$B$33-L572))</f>
        <v>1010.3639785085459</v>
      </c>
      <c r="N572" s="6">
        <f t="shared" si="181"/>
        <v>1016.3839785085459</v>
      </c>
      <c r="O572" s="6">
        <f t="shared" si="182"/>
        <v>432.38397850854585</v>
      </c>
      <c r="P572" s="6">
        <f t="shared" si="183"/>
        <v>419.71110625308813</v>
      </c>
      <c r="Q572" s="6">
        <f t="shared" si="184"/>
        <v>0</v>
      </c>
      <c r="R572" s="6">
        <f t="shared" si="185"/>
        <v>0</v>
      </c>
      <c r="S572" s="6">
        <f t="shared" si="186"/>
        <v>419.71110625308813</v>
      </c>
      <c r="T572" s="6" t="str">
        <f>IF(MOD(C572-Settings!$B$32,Settings!$B$33)&lt;Settings!$B$30,"Up","Down")</f>
        <v>Up</v>
      </c>
      <c r="U572" s="6">
        <f>IF(OR(I572&gt;Settings!$B$30,O572&gt;Settings!$B$37),0,1)</f>
        <v>1</v>
      </c>
      <c r="V572" s="6">
        <f>IF(AND(U572=1,O572&lt;=Settings!$B$36),1,0)</f>
        <v>0</v>
      </c>
    </row>
    <row r="573" spans="1:22" x14ac:dyDescent="0.2">
      <c r="A573">
        <f>Arrivals!A573</f>
        <v>5</v>
      </c>
      <c r="B573">
        <f>Arrivals!B573</f>
        <v>88</v>
      </c>
      <c r="C573" s="6">
        <f>Arrivals!F573</f>
        <v>589</v>
      </c>
      <c r="D573" s="6">
        <f>Arrivals!J573</f>
        <v>21.610101116488735</v>
      </c>
      <c r="E573" s="6">
        <f t="shared" si="187"/>
        <v>1010.3639785085459</v>
      </c>
      <c r="F573" s="6">
        <f t="shared" si="178"/>
        <v>1010.3639785085459</v>
      </c>
      <c r="G573" s="6">
        <f t="shared" si="179"/>
        <v>1031.9740796250346</v>
      </c>
      <c r="H573" s="6">
        <f>Arrivals!L573</f>
        <v>75</v>
      </c>
      <c r="I573" s="6">
        <f>H573*8/ACE_Input!S93+ACE_Input!T93</f>
        <v>6.02</v>
      </c>
      <c r="J573" s="6">
        <f t="shared" si="188"/>
        <v>1016.3839785085459</v>
      </c>
      <c r="K573" s="6">
        <f t="shared" si="180"/>
        <v>1031.9740796250346</v>
      </c>
      <c r="L573" s="6">
        <f>MOD(K573-Settings!$B$32,Settings!$B$33)</f>
        <v>311.97407962503462</v>
      </c>
      <c r="M573" s="6">
        <f>IF(L573&lt;Settings!$B$30,IF(Settings!$B$30-L573&gt;=I573,K573,K573+(Settings!$B$30-L573)+Settings!$B$31),K573+(Settings!$B$33-L573))</f>
        <v>1031.9740796250346</v>
      </c>
      <c r="N573" s="6">
        <f t="shared" si="181"/>
        <v>1037.9940796250346</v>
      </c>
      <c r="O573" s="6">
        <f t="shared" si="182"/>
        <v>448.9940796250346</v>
      </c>
      <c r="P573" s="6">
        <f t="shared" si="183"/>
        <v>421.36397850854587</v>
      </c>
      <c r="Q573" s="6">
        <f t="shared" si="184"/>
        <v>0</v>
      </c>
      <c r="R573" s="6">
        <f t="shared" si="185"/>
        <v>0</v>
      </c>
      <c r="S573" s="6">
        <f t="shared" si="186"/>
        <v>421.36397850854587</v>
      </c>
      <c r="T573" s="6" t="str">
        <f>IF(MOD(C573-Settings!$B$32,Settings!$B$33)&lt;Settings!$B$30,"Up","Down")</f>
        <v>Up</v>
      </c>
      <c r="U573" s="6">
        <f>IF(OR(I573&gt;Settings!$B$30,O573&gt;Settings!$B$37),0,1)</f>
        <v>1</v>
      </c>
      <c r="V573" s="6">
        <f>IF(AND(U573=1,O573&lt;=Settings!$B$36),1,0)</f>
        <v>0</v>
      </c>
    </row>
    <row r="574" spans="1:22" x14ac:dyDescent="0.2">
      <c r="A574">
        <f>Arrivals!A574</f>
        <v>5</v>
      </c>
      <c r="B574">
        <f>Arrivals!B574</f>
        <v>89</v>
      </c>
      <c r="C574" s="6">
        <f>Arrivals!F574</f>
        <v>594</v>
      </c>
      <c r="D574" s="6">
        <f>Arrivals!J574</f>
        <v>2.0802513916823178</v>
      </c>
      <c r="E574" s="6">
        <f t="shared" si="187"/>
        <v>1031.9740796250346</v>
      </c>
      <c r="F574" s="6">
        <f t="shared" si="178"/>
        <v>1031.9740796250346</v>
      </c>
      <c r="G574" s="6">
        <f t="shared" si="179"/>
        <v>1034.054331016717</v>
      </c>
      <c r="H574" s="6">
        <f>Arrivals!L574</f>
        <v>75</v>
      </c>
      <c r="I574" s="6">
        <f>H574*8/ACE_Input!S94+ACE_Input!T94</f>
        <v>6.02</v>
      </c>
      <c r="J574" s="6">
        <f t="shared" si="188"/>
        <v>1037.9940796250346</v>
      </c>
      <c r="K574" s="6">
        <f t="shared" si="180"/>
        <v>1037.9940796250346</v>
      </c>
      <c r="L574" s="6">
        <f>MOD(K574-Settings!$B$32,Settings!$B$33)</f>
        <v>317.9940796250346</v>
      </c>
      <c r="M574" s="6">
        <f>IF(L574&lt;Settings!$B$30,IF(Settings!$B$30-L574&gt;=I574,K574,K574+(Settings!$B$30-L574)+Settings!$B$31),K574+(Settings!$B$33-L574))</f>
        <v>1037.9940796250346</v>
      </c>
      <c r="N574" s="6">
        <f t="shared" si="181"/>
        <v>1044.0140796250346</v>
      </c>
      <c r="O574" s="6">
        <f t="shared" si="182"/>
        <v>450.01407962503458</v>
      </c>
      <c r="P574" s="6">
        <f t="shared" si="183"/>
        <v>437.97407962503462</v>
      </c>
      <c r="Q574" s="6">
        <f t="shared" si="184"/>
        <v>3.9397486083175863</v>
      </c>
      <c r="R574" s="6">
        <f t="shared" si="185"/>
        <v>0</v>
      </c>
      <c r="S574" s="6">
        <f t="shared" si="186"/>
        <v>441.91382823335221</v>
      </c>
      <c r="T574" s="6" t="str">
        <f>IF(MOD(C574-Settings!$B$32,Settings!$B$33)&lt;Settings!$B$30,"Up","Down")</f>
        <v>Up</v>
      </c>
      <c r="U574" s="6">
        <f>IF(OR(I574&gt;Settings!$B$30,O574&gt;Settings!$B$37),0,1)</f>
        <v>1</v>
      </c>
      <c r="V574" s="6">
        <f>IF(AND(U574=1,O574&lt;=Settings!$B$36),1,0)</f>
        <v>0</v>
      </c>
    </row>
    <row r="575" spans="1:22" x14ac:dyDescent="0.2">
      <c r="A575">
        <f>Arrivals!A575</f>
        <v>5</v>
      </c>
      <c r="B575">
        <f>Arrivals!B575</f>
        <v>90</v>
      </c>
      <c r="C575" s="6">
        <f>Arrivals!F575</f>
        <v>599</v>
      </c>
      <c r="D575" s="6">
        <f>Arrivals!J575</f>
        <v>9.2925024049790972E-2</v>
      </c>
      <c r="E575" s="6">
        <f t="shared" si="187"/>
        <v>1034.054331016717</v>
      </c>
      <c r="F575" s="6">
        <f t="shared" si="178"/>
        <v>1034.054331016717</v>
      </c>
      <c r="G575" s="6">
        <f t="shared" si="179"/>
        <v>1034.1472560407667</v>
      </c>
      <c r="H575" s="6">
        <f>Arrivals!L575</f>
        <v>75</v>
      </c>
      <c r="I575" s="6">
        <f>H575*8/ACE_Input!S95+ACE_Input!T95</f>
        <v>6.02</v>
      </c>
      <c r="J575" s="6">
        <f t="shared" si="188"/>
        <v>1044.0140796250346</v>
      </c>
      <c r="K575" s="6">
        <f t="shared" si="180"/>
        <v>1044.0140796250346</v>
      </c>
      <c r="L575" s="6">
        <f>MOD(K575-Settings!$B$32,Settings!$B$33)</f>
        <v>324.01407962503458</v>
      </c>
      <c r="M575" s="6">
        <f>IF(L575&lt;Settings!$B$30,IF(Settings!$B$30-L575&gt;=I575,K575,K575+(Settings!$B$30-L575)+Settings!$B$31),K575+(Settings!$B$33-L575))</f>
        <v>1044.0140796250346</v>
      </c>
      <c r="N575" s="6">
        <f t="shared" si="181"/>
        <v>1050.0340796250346</v>
      </c>
      <c r="O575" s="6">
        <f t="shared" si="182"/>
        <v>451.03407962503456</v>
      </c>
      <c r="P575" s="6">
        <f t="shared" si="183"/>
        <v>435.05433101671701</v>
      </c>
      <c r="Q575" s="6">
        <f t="shared" si="184"/>
        <v>9.8668235842678769</v>
      </c>
      <c r="R575" s="6">
        <f t="shared" si="185"/>
        <v>0</v>
      </c>
      <c r="S575" s="6">
        <f t="shared" si="186"/>
        <v>444.92115460098489</v>
      </c>
      <c r="T575" s="6" t="str">
        <f>IF(MOD(C575-Settings!$B$32,Settings!$B$33)&lt;Settings!$B$30,"Up","Down")</f>
        <v>Up</v>
      </c>
      <c r="U575" s="6">
        <f>IF(OR(I575&gt;Settings!$B$30,O575&gt;Settings!$B$37),0,1)</f>
        <v>1</v>
      </c>
      <c r="V575" s="6">
        <f>IF(AND(U575=1,O575&lt;=Settings!$B$36),1,0)</f>
        <v>0</v>
      </c>
    </row>
    <row r="576" spans="1:22" x14ac:dyDescent="0.2">
      <c r="A576">
        <f>Arrivals!A576</f>
        <v>5</v>
      </c>
      <c r="B576">
        <f>Arrivals!B576</f>
        <v>91</v>
      </c>
      <c r="C576" s="6">
        <f>Arrivals!F576</f>
        <v>604</v>
      </c>
      <c r="D576" s="6">
        <f>Arrivals!J576</f>
        <v>12.482415180336659</v>
      </c>
      <c r="E576" s="6">
        <f t="shared" si="187"/>
        <v>1034.1472560407667</v>
      </c>
      <c r="F576" s="6">
        <f t="shared" si="178"/>
        <v>1034.1472560407667</v>
      </c>
      <c r="G576" s="6">
        <f t="shared" si="179"/>
        <v>1046.6296712211033</v>
      </c>
      <c r="H576" s="6">
        <f>Arrivals!L576</f>
        <v>75</v>
      </c>
      <c r="I576" s="6">
        <f>H576*8/ACE_Input!S96+ACE_Input!T96</f>
        <v>6.02</v>
      </c>
      <c r="J576" s="6">
        <f t="shared" si="188"/>
        <v>1050.0340796250346</v>
      </c>
      <c r="K576" s="6">
        <f t="shared" si="180"/>
        <v>1050.0340796250346</v>
      </c>
      <c r="L576" s="6">
        <f>MOD(K576-Settings!$B$32,Settings!$B$33)</f>
        <v>330.03407962503456</v>
      </c>
      <c r="M576" s="6">
        <f>IF(L576&lt;Settings!$B$30,IF(Settings!$B$30-L576&gt;=I576,K576,K576+(Settings!$B$30-L576)+Settings!$B$31),K576+(Settings!$B$33-L576))</f>
        <v>1050.0340796250346</v>
      </c>
      <c r="N576" s="6">
        <f t="shared" si="181"/>
        <v>1056.0540796250345</v>
      </c>
      <c r="O576" s="6">
        <f t="shared" si="182"/>
        <v>452.05407962503455</v>
      </c>
      <c r="P576" s="6">
        <f t="shared" si="183"/>
        <v>430.14725604076671</v>
      </c>
      <c r="Q576" s="6">
        <f t="shared" si="184"/>
        <v>3.4044084039312565</v>
      </c>
      <c r="R576" s="6">
        <f t="shared" si="185"/>
        <v>0</v>
      </c>
      <c r="S576" s="6">
        <f t="shared" si="186"/>
        <v>433.55166444469796</v>
      </c>
      <c r="T576" s="6" t="str">
        <f>IF(MOD(C576-Settings!$B$32,Settings!$B$33)&lt;Settings!$B$30,"Up","Down")</f>
        <v>Down</v>
      </c>
      <c r="U576" s="6">
        <f>IF(OR(I576&gt;Settings!$B$30,O576&gt;Settings!$B$37),0,1)</f>
        <v>1</v>
      </c>
      <c r="V576" s="6">
        <f>IF(AND(U576=1,O576&lt;=Settings!$B$36),1,0)</f>
        <v>0</v>
      </c>
    </row>
    <row r="577" spans="1:22" x14ac:dyDescent="0.2">
      <c r="A577">
        <f>Arrivals!A577</f>
        <v>5</v>
      </c>
      <c r="B577">
        <f>Arrivals!B577</f>
        <v>92</v>
      </c>
      <c r="C577" s="6">
        <f>Arrivals!F577</f>
        <v>609</v>
      </c>
      <c r="D577" s="6">
        <f>Arrivals!J577</f>
        <v>13.773283465681217</v>
      </c>
      <c r="E577" s="6">
        <f t="shared" si="187"/>
        <v>1046.6296712211033</v>
      </c>
      <c r="F577" s="6">
        <f t="shared" si="178"/>
        <v>1046.6296712211033</v>
      </c>
      <c r="G577" s="6">
        <f t="shared" si="179"/>
        <v>1060.4029546867846</v>
      </c>
      <c r="H577" s="6">
        <f>Arrivals!L577</f>
        <v>75</v>
      </c>
      <c r="I577" s="6">
        <f>H577*8/ACE_Input!S97+ACE_Input!T97</f>
        <v>6.02</v>
      </c>
      <c r="J577" s="6">
        <f t="shared" si="188"/>
        <v>1056.0540796250345</v>
      </c>
      <c r="K577" s="6">
        <f t="shared" si="180"/>
        <v>1060.4029546867846</v>
      </c>
      <c r="L577" s="6">
        <f>MOD(K577-Settings!$B$32,Settings!$B$33)</f>
        <v>340.4029546867846</v>
      </c>
      <c r="M577" s="6">
        <f>IF(L577&lt;Settings!$B$30,IF(Settings!$B$30-L577&gt;=I577,K577,K577+(Settings!$B$30-L577)+Settings!$B$31),K577+(Settings!$B$33-L577))</f>
        <v>1060.4029546867846</v>
      </c>
      <c r="N577" s="6">
        <f t="shared" si="181"/>
        <v>1066.4229546867846</v>
      </c>
      <c r="O577" s="6">
        <f t="shared" si="182"/>
        <v>457.42295468678458</v>
      </c>
      <c r="P577" s="6">
        <f t="shared" si="183"/>
        <v>437.62967122110331</v>
      </c>
      <c r="Q577" s="6">
        <f t="shared" si="184"/>
        <v>0</v>
      </c>
      <c r="R577" s="6">
        <f t="shared" si="185"/>
        <v>0</v>
      </c>
      <c r="S577" s="6">
        <f t="shared" si="186"/>
        <v>437.62967122110331</v>
      </c>
      <c r="T577" s="6" t="str">
        <f>IF(MOD(C577-Settings!$B$32,Settings!$B$33)&lt;Settings!$B$30,"Up","Down")</f>
        <v>Down</v>
      </c>
      <c r="U577" s="6">
        <f>IF(OR(I577&gt;Settings!$B$30,O577&gt;Settings!$B$37),0,1)</f>
        <v>1</v>
      </c>
      <c r="V577" s="6">
        <f>IF(AND(U577=1,O577&lt;=Settings!$B$36),1,0)</f>
        <v>0</v>
      </c>
    </row>
    <row r="578" spans="1:22" x14ac:dyDescent="0.2">
      <c r="A578">
        <f>Arrivals!A578</f>
        <v>5</v>
      </c>
      <c r="B578">
        <f>Arrivals!B578</f>
        <v>93</v>
      </c>
      <c r="C578" s="6">
        <f>Arrivals!F578</f>
        <v>614</v>
      </c>
      <c r="D578" s="6">
        <f>Arrivals!J578</f>
        <v>6.6295961365744605</v>
      </c>
      <c r="E578" s="6">
        <f t="shared" si="187"/>
        <v>1060.4029546867846</v>
      </c>
      <c r="F578" s="6">
        <f t="shared" si="178"/>
        <v>1060.4029546867846</v>
      </c>
      <c r="G578" s="6">
        <f t="shared" si="179"/>
        <v>1067.0325508233591</v>
      </c>
      <c r="H578" s="6">
        <f>Arrivals!L578</f>
        <v>75</v>
      </c>
      <c r="I578" s="6">
        <f>H578*8/ACE_Input!S98+ACE_Input!T98</f>
        <v>6.02</v>
      </c>
      <c r="J578" s="6">
        <f t="shared" si="188"/>
        <v>1066.4229546867846</v>
      </c>
      <c r="K578" s="6">
        <f t="shared" si="180"/>
        <v>1067.0325508233591</v>
      </c>
      <c r="L578" s="6">
        <f>MOD(K578-Settings!$B$32,Settings!$B$33)</f>
        <v>347.03255082335909</v>
      </c>
      <c r="M578" s="6">
        <f>IF(L578&lt;Settings!$B$30,IF(Settings!$B$30-L578&gt;=I578,K578,K578+(Settings!$B$30-L578)+Settings!$B$31),K578+(Settings!$B$33-L578))</f>
        <v>1067.0325508233591</v>
      </c>
      <c r="N578" s="6">
        <f t="shared" si="181"/>
        <v>1073.0525508233591</v>
      </c>
      <c r="O578" s="6">
        <f t="shared" si="182"/>
        <v>459.05255082335907</v>
      </c>
      <c r="P578" s="6">
        <f t="shared" si="183"/>
        <v>446.4029546867846</v>
      </c>
      <c r="Q578" s="6">
        <f t="shared" si="184"/>
        <v>0</v>
      </c>
      <c r="R578" s="6">
        <f t="shared" si="185"/>
        <v>0</v>
      </c>
      <c r="S578" s="6">
        <f t="shared" si="186"/>
        <v>446.4029546867846</v>
      </c>
      <c r="T578" s="6" t="str">
        <f>IF(MOD(C578-Settings!$B$32,Settings!$B$33)&lt;Settings!$B$30,"Up","Down")</f>
        <v>Down</v>
      </c>
      <c r="U578" s="6">
        <f>IF(OR(I578&gt;Settings!$B$30,O578&gt;Settings!$B$37),0,1)</f>
        <v>1</v>
      </c>
      <c r="V578" s="6">
        <f>IF(AND(U578=1,O578&lt;=Settings!$B$36),1,0)</f>
        <v>0</v>
      </c>
    </row>
    <row r="579" spans="1:22" x14ac:dyDescent="0.2">
      <c r="A579">
        <f>Arrivals!A579</f>
        <v>5</v>
      </c>
      <c r="B579">
        <f>Arrivals!B579</f>
        <v>94</v>
      </c>
      <c r="C579" s="6">
        <f>Arrivals!F579</f>
        <v>619</v>
      </c>
      <c r="D579" s="6">
        <f>Arrivals!J579</f>
        <v>1.1410851804807849</v>
      </c>
      <c r="E579" s="6">
        <f t="shared" si="187"/>
        <v>1067.0325508233591</v>
      </c>
      <c r="F579" s="6">
        <f t="shared" si="178"/>
        <v>1067.0325508233591</v>
      </c>
      <c r="G579" s="6">
        <f t="shared" si="179"/>
        <v>1068.1736360038399</v>
      </c>
      <c r="H579" s="6">
        <f>Arrivals!L579</f>
        <v>75</v>
      </c>
      <c r="I579" s="6">
        <f>H579*8/ACE_Input!S99+ACE_Input!T99</f>
        <v>6.02</v>
      </c>
      <c r="J579" s="6">
        <f t="shared" si="188"/>
        <v>1073.0525508233591</v>
      </c>
      <c r="K579" s="6">
        <f t="shared" si="180"/>
        <v>1073.0525508233591</v>
      </c>
      <c r="L579" s="6">
        <f>MOD(K579-Settings!$B$32,Settings!$B$33)</f>
        <v>353.05255082335907</v>
      </c>
      <c r="M579" s="6">
        <f>IF(L579&lt;Settings!$B$30,IF(Settings!$B$30-L579&gt;=I579,K579,K579+(Settings!$B$30-L579)+Settings!$B$31),K579+(Settings!$B$33-L579))</f>
        <v>1073.0525508233591</v>
      </c>
      <c r="N579" s="6">
        <f t="shared" si="181"/>
        <v>1079.0725508233591</v>
      </c>
      <c r="O579" s="6">
        <f t="shared" si="182"/>
        <v>460.07255082335905</v>
      </c>
      <c r="P579" s="6">
        <f t="shared" si="183"/>
        <v>448.03255082335909</v>
      </c>
      <c r="Q579" s="6">
        <f t="shared" si="184"/>
        <v>4.8789148195191956</v>
      </c>
      <c r="R579" s="6">
        <f t="shared" si="185"/>
        <v>0</v>
      </c>
      <c r="S579" s="6">
        <f t="shared" si="186"/>
        <v>452.91146564287828</v>
      </c>
      <c r="T579" s="6" t="str">
        <f>IF(MOD(C579-Settings!$B$32,Settings!$B$33)&lt;Settings!$B$30,"Up","Down")</f>
        <v>Down</v>
      </c>
      <c r="U579" s="6">
        <f>IF(OR(I579&gt;Settings!$B$30,O579&gt;Settings!$B$37),0,1)</f>
        <v>1</v>
      </c>
      <c r="V579" s="6">
        <f>IF(AND(U579=1,O579&lt;=Settings!$B$36),1,0)</f>
        <v>0</v>
      </c>
    </row>
    <row r="580" spans="1:22" x14ac:dyDescent="0.2">
      <c r="A580">
        <f>Arrivals!A580</f>
        <v>5</v>
      </c>
      <c r="B580">
        <f>Arrivals!B580</f>
        <v>95</v>
      </c>
      <c r="C580" s="6">
        <f>Arrivals!F580</f>
        <v>624</v>
      </c>
      <c r="D580" s="6">
        <f>Arrivals!J580</f>
        <v>9.6133547512054491</v>
      </c>
      <c r="E580" s="6">
        <f t="shared" si="187"/>
        <v>1068.1736360038399</v>
      </c>
      <c r="F580" s="6">
        <f t="shared" si="178"/>
        <v>1068.1736360038399</v>
      </c>
      <c r="G580" s="6">
        <f t="shared" si="179"/>
        <v>1077.7869907550453</v>
      </c>
      <c r="H580" s="6">
        <f>Arrivals!L580</f>
        <v>75</v>
      </c>
      <c r="I580" s="6">
        <f>H580*8/ACE_Input!S100+ACE_Input!T100</f>
        <v>6.02</v>
      </c>
      <c r="J580" s="6">
        <f t="shared" si="188"/>
        <v>1079.0725508233591</v>
      </c>
      <c r="K580" s="6">
        <f t="shared" si="180"/>
        <v>1079.0725508233591</v>
      </c>
      <c r="L580" s="6">
        <f>MOD(K580-Settings!$B$32,Settings!$B$33)</f>
        <v>359.07255082335905</v>
      </c>
      <c r="M580" s="6">
        <f>IF(L580&lt;Settings!$B$30,IF(Settings!$B$30-L580&gt;=I580,K580,K580+(Settings!$B$30-L580)+Settings!$B$31),K580+(Settings!$B$33-L580))</f>
        <v>1079.0725508233591</v>
      </c>
      <c r="N580" s="6">
        <f t="shared" si="181"/>
        <v>1085.092550823359</v>
      </c>
      <c r="O580" s="6">
        <f t="shared" si="182"/>
        <v>461.09255082335903</v>
      </c>
      <c r="P580" s="6">
        <f t="shared" si="183"/>
        <v>444.17363600383987</v>
      </c>
      <c r="Q580" s="6">
        <f t="shared" si="184"/>
        <v>1.2855600683137709</v>
      </c>
      <c r="R580" s="6">
        <f t="shared" si="185"/>
        <v>0</v>
      </c>
      <c r="S580" s="6">
        <f t="shared" si="186"/>
        <v>445.45919607215365</v>
      </c>
      <c r="T580" s="6" t="str">
        <f>IF(MOD(C580-Settings!$B$32,Settings!$B$33)&lt;Settings!$B$30,"Up","Down")</f>
        <v>Down</v>
      </c>
      <c r="U580" s="6">
        <f>IF(OR(I580&gt;Settings!$B$30,O580&gt;Settings!$B$37),0,1)</f>
        <v>1</v>
      </c>
      <c r="V580" s="6">
        <f>IF(AND(U580=1,O580&lt;=Settings!$B$36),1,0)</f>
        <v>0</v>
      </c>
    </row>
    <row r="581" spans="1:22" x14ac:dyDescent="0.2">
      <c r="A581">
        <f>Arrivals!A581</f>
        <v>5</v>
      </c>
      <c r="B581">
        <f>Arrivals!B581</f>
        <v>96</v>
      </c>
      <c r="C581" s="6">
        <f>Arrivals!F581</f>
        <v>629</v>
      </c>
      <c r="D581" s="6">
        <f>Arrivals!J581</f>
        <v>9.0060797301024138</v>
      </c>
      <c r="E581" s="6">
        <f t="shared" si="187"/>
        <v>1077.7869907550453</v>
      </c>
      <c r="F581" s="6">
        <f t="shared" si="178"/>
        <v>1077.7869907550453</v>
      </c>
      <c r="G581" s="6">
        <f t="shared" si="179"/>
        <v>1086.7930704851476</v>
      </c>
      <c r="H581" s="6">
        <f>Arrivals!L581</f>
        <v>75</v>
      </c>
      <c r="I581" s="6">
        <f>H581*8/ACE_Input!S101+ACE_Input!T101</f>
        <v>6.02</v>
      </c>
      <c r="J581" s="6">
        <f t="shared" si="188"/>
        <v>1085.092550823359</v>
      </c>
      <c r="K581" s="6">
        <f t="shared" si="180"/>
        <v>1086.7930704851476</v>
      </c>
      <c r="L581" s="6">
        <f>MOD(K581-Settings!$B$32,Settings!$B$33)</f>
        <v>366.79307048514761</v>
      </c>
      <c r="M581" s="6">
        <f>IF(L581&lt;Settings!$B$30,IF(Settings!$B$30-L581&gt;=I581,K581,K581+(Settings!$B$30-L581)+Settings!$B$31),K581+(Settings!$B$33-L581))</f>
        <v>1086.7930704851476</v>
      </c>
      <c r="N581" s="6">
        <f t="shared" si="181"/>
        <v>1092.8130704851476</v>
      </c>
      <c r="O581" s="6">
        <f t="shared" si="182"/>
        <v>463.81307048514759</v>
      </c>
      <c r="P581" s="6">
        <f t="shared" si="183"/>
        <v>448.78699075504528</v>
      </c>
      <c r="Q581" s="6">
        <f t="shared" si="184"/>
        <v>0</v>
      </c>
      <c r="R581" s="6">
        <f t="shared" si="185"/>
        <v>0</v>
      </c>
      <c r="S581" s="6">
        <f t="shared" si="186"/>
        <v>448.78699075504528</v>
      </c>
      <c r="T581" s="6" t="str">
        <f>IF(MOD(C581-Settings!$B$32,Settings!$B$33)&lt;Settings!$B$30,"Up","Down")</f>
        <v>Down</v>
      </c>
      <c r="U581" s="6">
        <f>IF(OR(I581&gt;Settings!$B$30,O581&gt;Settings!$B$37),0,1)</f>
        <v>1</v>
      </c>
      <c r="V581" s="6">
        <f>IF(AND(U581=1,O581&lt;=Settings!$B$36),1,0)</f>
        <v>0</v>
      </c>
    </row>
    <row r="582" spans="1:22" x14ac:dyDescent="0.2">
      <c r="A582">
        <f>Arrivals!A582</f>
        <v>5</v>
      </c>
      <c r="B582">
        <f>Arrivals!B582</f>
        <v>97</v>
      </c>
      <c r="C582" s="6">
        <f>Arrivals!F582</f>
        <v>634</v>
      </c>
      <c r="D582" s="6">
        <f>Arrivals!J582</f>
        <v>37.650366148138865</v>
      </c>
      <c r="E582" s="6">
        <f t="shared" si="187"/>
        <v>1086.7930704851476</v>
      </c>
      <c r="F582" s="6">
        <f t="shared" ref="F582:F585" si="189">MAX(C582,E582)</f>
        <v>1086.7930704851476</v>
      </c>
      <c r="G582" s="6">
        <f t="shared" ref="G582:G585" si="190">F582+D582</f>
        <v>1124.4434366332864</v>
      </c>
      <c r="H582" s="6">
        <f>Arrivals!L582</f>
        <v>75</v>
      </c>
      <c r="I582" s="6">
        <f>H582*8/ACE_Input!S102+ACE_Input!T102</f>
        <v>6.02</v>
      </c>
      <c r="J582" s="6">
        <f t="shared" si="188"/>
        <v>1092.8130704851476</v>
      </c>
      <c r="K582" s="6">
        <f t="shared" ref="K582:K585" si="191">MAX(G582,J582)</f>
        <v>1124.4434366332864</v>
      </c>
      <c r="L582" s="6">
        <f>MOD(K582-Settings!$B$32,Settings!$B$33)</f>
        <v>404.44343663328641</v>
      </c>
      <c r="M582" s="6">
        <f>IF(L582&lt;Settings!$B$30,IF(Settings!$B$30-L582&gt;=I582,K582,K582+(Settings!$B$30-L582)+Settings!$B$31),K582+(Settings!$B$33-L582))</f>
        <v>1124.4434366332864</v>
      </c>
      <c r="N582" s="6">
        <f t="shared" ref="N582:N585" si="192">M582+I582</f>
        <v>1130.4634366332864</v>
      </c>
      <c r="O582" s="6">
        <f t="shared" ref="O582:O585" si="193">N582-C582</f>
        <v>496.46343663328639</v>
      </c>
      <c r="P582" s="6">
        <f t="shared" si="183"/>
        <v>452.79307048514761</v>
      </c>
      <c r="Q582" s="6">
        <f t="shared" si="184"/>
        <v>0</v>
      </c>
      <c r="R582" s="6">
        <f t="shared" si="185"/>
        <v>0</v>
      </c>
      <c r="S582" s="6">
        <f t="shared" ref="S582:S585" si="194">P582+Q582+R582</f>
        <v>452.79307048514761</v>
      </c>
      <c r="T582" s="6" t="str">
        <f>IF(MOD(C582-Settings!$B$32,Settings!$B$33)&lt;Settings!$B$30,"Up","Down")</f>
        <v>Down</v>
      </c>
      <c r="U582" s="6">
        <f>IF(OR(I582&gt;Settings!$B$30,O582&gt;Settings!$B$37),0,1)</f>
        <v>1</v>
      </c>
      <c r="V582" s="6">
        <f>IF(AND(U582=1,O582&lt;=Settings!$B$36),1,0)</f>
        <v>0</v>
      </c>
    </row>
    <row r="583" spans="1:22" x14ac:dyDescent="0.2">
      <c r="A583">
        <f>Arrivals!A583</f>
        <v>5</v>
      </c>
      <c r="B583">
        <f>Arrivals!B583</f>
        <v>98</v>
      </c>
      <c r="C583" s="6">
        <f>Arrivals!F583</f>
        <v>639</v>
      </c>
      <c r="D583" s="6">
        <f>Arrivals!J583</f>
        <v>16.509337056910475</v>
      </c>
      <c r="E583" s="6">
        <f t="shared" si="187"/>
        <v>1124.4434366332864</v>
      </c>
      <c r="F583" s="6">
        <f t="shared" si="189"/>
        <v>1124.4434366332864</v>
      </c>
      <c r="G583" s="6">
        <f t="shared" si="190"/>
        <v>1140.9527736901969</v>
      </c>
      <c r="H583" s="6">
        <f>Arrivals!L583</f>
        <v>75</v>
      </c>
      <c r="I583" s="6">
        <f>H583*8/ACE_Input!S103+ACE_Input!T103</f>
        <v>6.02</v>
      </c>
      <c r="J583" s="6">
        <f t="shared" si="188"/>
        <v>1130.4634366332864</v>
      </c>
      <c r="K583" s="6">
        <f t="shared" si="191"/>
        <v>1140.9527736901969</v>
      </c>
      <c r="L583" s="6">
        <f>MOD(K583-Settings!$B$32,Settings!$B$33)</f>
        <v>420.95277369019686</v>
      </c>
      <c r="M583" s="6">
        <f>IF(L583&lt;Settings!$B$30,IF(Settings!$B$30-L583&gt;=I583,K583,K583+(Settings!$B$30-L583)+Settings!$B$31),K583+(Settings!$B$33-L583))</f>
        <v>1140.9527736901969</v>
      </c>
      <c r="N583" s="6">
        <f t="shared" si="192"/>
        <v>1146.9727736901968</v>
      </c>
      <c r="O583" s="6">
        <f t="shared" si="193"/>
        <v>507.97277369019685</v>
      </c>
      <c r="P583" s="6">
        <f t="shared" si="183"/>
        <v>485.44343663328641</v>
      </c>
      <c r="Q583" s="6">
        <f t="shared" si="184"/>
        <v>0</v>
      </c>
      <c r="R583" s="6">
        <f t="shared" si="185"/>
        <v>0</v>
      </c>
      <c r="S583" s="6">
        <f t="shared" si="194"/>
        <v>485.44343663328641</v>
      </c>
      <c r="T583" s="6" t="str">
        <f>IF(MOD(C583-Settings!$B$32,Settings!$B$33)&lt;Settings!$B$30,"Up","Down")</f>
        <v>Down</v>
      </c>
      <c r="U583" s="6">
        <f>IF(OR(I583&gt;Settings!$B$30,O583&gt;Settings!$B$37),0,1)</f>
        <v>1</v>
      </c>
      <c r="V583" s="6">
        <f>IF(AND(U583=1,O583&lt;=Settings!$B$36),1,0)</f>
        <v>0</v>
      </c>
    </row>
    <row r="584" spans="1:22" x14ac:dyDescent="0.2">
      <c r="A584">
        <f>Arrivals!A584</f>
        <v>5</v>
      </c>
      <c r="B584">
        <f>Arrivals!B584</f>
        <v>99</v>
      </c>
      <c r="C584" s="6">
        <f>Arrivals!F584</f>
        <v>684</v>
      </c>
      <c r="D584" s="6">
        <f>Arrivals!J584</f>
        <v>21.270061037462447</v>
      </c>
      <c r="E584" s="6">
        <f t="shared" si="187"/>
        <v>1140.9527736901969</v>
      </c>
      <c r="F584" s="6">
        <f t="shared" si="189"/>
        <v>1140.9527736901969</v>
      </c>
      <c r="G584" s="6">
        <f t="shared" si="190"/>
        <v>1162.2228347276593</v>
      </c>
      <c r="H584" s="6">
        <f>Arrivals!L584</f>
        <v>75</v>
      </c>
      <c r="I584" s="6">
        <f>H584*8/ACE_Input!S104+ACE_Input!T104</f>
        <v>6.02</v>
      </c>
      <c r="J584" s="6">
        <f t="shared" si="188"/>
        <v>1146.9727736901968</v>
      </c>
      <c r="K584" s="6">
        <f t="shared" si="191"/>
        <v>1162.2228347276593</v>
      </c>
      <c r="L584" s="6">
        <f>MOD(K584-Settings!$B$32,Settings!$B$33)</f>
        <v>442.22283472765935</v>
      </c>
      <c r="M584" s="6">
        <f>IF(L584&lt;Settings!$B$30,IF(Settings!$B$30-L584&gt;=I584,K584,K584+(Settings!$B$30-L584)+Settings!$B$31),K584+(Settings!$B$33-L584))</f>
        <v>1162.2228347276593</v>
      </c>
      <c r="N584" s="6">
        <f t="shared" si="192"/>
        <v>1168.2428347276593</v>
      </c>
      <c r="O584" s="6">
        <f t="shared" si="193"/>
        <v>484.24283472765933</v>
      </c>
      <c r="P584" s="6">
        <f t="shared" si="183"/>
        <v>456.95277369019686</v>
      </c>
      <c r="Q584" s="6">
        <f t="shared" si="184"/>
        <v>0</v>
      </c>
      <c r="R584" s="6">
        <f t="shared" si="185"/>
        <v>0</v>
      </c>
      <c r="S584" s="6">
        <f t="shared" si="194"/>
        <v>456.95277369019686</v>
      </c>
      <c r="T584" s="6" t="str">
        <f>IF(MOD(C584-Settings!$B$32,Settings!$B$33)&lt;Settings!$B$30,"Up","Down")</f>
        <v>Down</v>
      </c>
      <c r="U584" s="6">
        <f>IF(OR(I584&gt;Settings!$B$30,O584&gt;Settings!$B$37),0,1)</f>
        <v>1</v>
      </c>
      <c r="V584" s="6">
        <f>IF(AND(U584=1,O584&lt;=Settings!$B$36),1,0)</f>
        <v>0</v>
      </c>
    </row>
    <row r="585" spans="1:22" x14ac:dyDescent="0.2">
      <c r="A585">
        <f>Arrivals!A585</f>
        <v>5</v>
      </c>
      <c r="B585">
        <f>Arrivals!B585</f>
        <v>100</v>
      </c>
      <c r="C585" s="6">
        <f>Arrivals!F585</f>
        <v>689</v>
      </c>
      <c r="D585" s="6">
        <f>Arrivals!J585</f>
        <v>5.6594407043411303</v>
      </c>
      <c r="E585" s="6">
        <f t="shared" si="187"/>
        <v>1162.2228347276593</v>
      </c>
      <c r="F585" s="6">
        <f t="shared" si="189"/>
        <v>1162.2228347276593</v>
      </c>
      <c r="G585" s="6">
        <f t="shared" si="190"/>
        <v>1167.8822754320004</v>
      </c>
      <c r="H585" s="6">
        <f>Arrivals!L585</f>
        <v>75</v>
      </c>
      <c r="I585" s="6">
        <f>H585*8/ACE_Input!S105+ACE_Input!T105</f>
        <v>6.02</v>
      </c>
      <c r="J585" s="6">
        <f t="shared" si="188"/>
        <v>1168.2428347276593</v>
      </c>
      <c r="K585" s="6">
        <f t="shared" si="191"/>
        <v>1168.2428347276593</v>
      </c>
      <c r="L585" s="6">
        <f>MOD(K585-Settings!$B$32,Settings!$B$33)</f>
        <v>448.24283472765933</v>
      </c>
      <c r="M585" s="6">
        <f>IF(L585&lt;Settings!$B$30,IF(Settings!$B$30-L585&gt;=I585,K585,K585+(Settings!$B$30-L585)+Settings!$B$31),K585+(Settings!$B$33-L585))</f>
        <v>1168.2428347276593</v>
      </c>
      <c r="N585" s="6">
        <f t="shared" si="192"/>
        <v>1174.2628347276593</v>
      </c>
      <c r="O585" s="6">
        <f t="shared" si="193"/>
        <v>485.26283472765931</v>
      </c>
      <c r="P585" s="6">
        <f t="shared" si="183"/>
        <v>473.22283472765935</v>
      </c>
      <c r="Q585" s="6">
        <f t="shared" si="184"/>
        <v>0.36055929565895894</v>
      </c>
      <c r="R585" s="6">
        <f t="shared" si="185"/>
        <v>0</v>
      </c>
      <c r="S585" s="6">
        <f t="shared" si="194"/>
        <v>473.58339402331831</v>
      </c>
      <c r="T585" s="6" t="str">
        <f>IF(MOD(C585-Settings!$B$32,Settings!$B$33)&lt;Settings!$B$30,"Up","Down")</f>
        <v>Down</v>
      </c>
      <c r="U585" s="6">
        <f>IF(OR(I585&gt;Settings!$B$30,O585&gt;Settings!$B$37),0,1)</f>
        <v>1</v>
      </c>
      <c r="V585" s="6">
        <f>IF(AND(U585=1,O585&lt;=Settings!$B$36),1,0)</f>
        <v>0</v>
      </c>
    </row>
    <row r="586" spans="1:22" x14ac:dyDescent="0.2">
      <c r="C586" s="6"/>
      <c r="D586" s="6"/>
      <c r="E586" s="6"/>
      <c r="F586" s="6"/>
      <c r="G586" s="6"/>
      <c r="H586" s="6"/>
      <c r="I586" s="6"/>
      <c r="J586" s="6"/>
      <c r="K586" s="6"/>
      <c r="L586" s="6"/>
      <c r="M586" s="6"/>
      <c r="N586" s="6"/>
      <c r="O586" s="6"/>
      <c r="P586" s="6"/>
      <c r="Q586" s="6"/>
      <c r="R586" s="6"/>
      <c r="S586" s="6"/>
      <c r="T586" s="6"/>
      <c r="U586" s="6"/>
      <c r="V586" s="6"/>
    </row>
    <row r="587" spans="1:22" x14ac:dyDescent="0.2">
      <c r="C587" s="6"/>
      <c r="D587" s="6"/>
      <c r="E587" s="6"/>
      <c r="F587" s="6"/>
      <c r="G587" s="6"/>
      <c r="H587" s="6"/>
      <c r="I587" s="6"/>
      <c r="J587" s="6"/>
      <c r="K587" s="6"/>
      <c r="L587" s="6"/>
      <c r="M587" s="6"/>
      <c r="N587" s="6"/>
      <c r="O587" s="6"/>
      <c r="P587" s="6"/>
      <c r="Q587" s="6"/>
      <c r="R587" s="6"/>
      <c r="S587" s="6"/>
      <c r="T587" s="6"/>
      <c r="U587" s="6"/>
      <c r="V587" s="6"/>
    </row>
    <row r="588" spans="1:22" x14ac:dyDescent="0.2">
      <c r="C588" s="6"/>
      <c r="D588" s="6"/>
      <c r="E588" s="6"/>
      <c r="F588" s="6"/>
      <c r="G588" s="6"/>
      <c r="H588" s="6"/>
      <c r="I588" s="6"/>
      <c r="J588" s="6"/>
      <c r="K588" s="6"/>
      <c r="L588" s="6"/>
      <c r="M588" s="6"/>
      <c r="N588" s="6"/>
      <c r="O588" s="6"/>
      <c r="P588" s="6"/>
      <c r="Q588" s="6"/>
      <c r="R588" s="6"/>
      <c r="S588" s="6"/>
      <c r="T588" s="6"/>
      <c r="U588" s="6"/>
      <c r="V588" s="6"/>
    </row>
    <row r="589" spans="1:22" x14ac:dyDescent="0.2">
      <c r="C589" s="6"/>
      <c r="D589" s="6"/>
      <c r="E589" s="6"/>
      <c r="F589" s="6"/>
      <c r="G589" s="6"/>
      <c r="H589" s="6"/>
      <c r="I589" s="6"/>
      <c r="J589" s="6"/>
      <c r="K589" s="6"/>
      <c r="L589" s="6"/>
      <c r="M589" s="6"/>
      <c r="N589" s="6"/>
      <c r="O589" s="6"/>
      <c r="P589" s="6"/>
      <c r="Q589" s="6"/>
      <c r="R589" s="6"/>
      <c r="S589" s="6"/>
      <c r="T589" s="6"/>
      <c r="U589" s="6"/>
      <c r="V589" s="6"/>
    </row>
    <row r="590" spans="1:22" x14ac:dyDescent="0.2">
      <c r="C590" s="6"/>
      <c r="D590" s="6"/>
      <c r="E590" s="6"/>
      <c r="F590" s="6"/>
      <c r="G590" s="6"/>
      <c r="H590" s="6"/>
      <c r="I590" s="6"/>
      <c r="J590" s="6"/>
      <c r="K590" s="6"/>
      <c r="L590" s="6"/>
      <c r="M590" s="6"/>
      <c r="N590" s="6"/>
      <c r="O590" s="6"/>
      <c r="P590" s="6"/>
      <c r="Q590" s="6"/>
      <c r="R590" s="6"/>
      <c r="S590" s="6"/>
      <c r="T590" s="6"/>
      <c r="U590" s="6"/>
      <c r="V590" s="6"/>
    </row>
    <row r="591" spans="1:22" x14ac:dyDescent="0.2">
      <c r="C591" s="6"/>
      <c r="D591" s="6"/>
      <c r="E591" s="6"/>
      <c r="F591" s="6"/>
      <c r="G591" s="6"/>
      <c r="H591" s="6"/>
      <c r="I591" s="6"/>
      <c r="J591" s="6"/>
      <c r="K591" s="6"/>
      <c r="L591" s="6"/>
      <c r="M591" s="6"/>
      <c r="N591" s="6"/>
      <c r="O591" s="6"/>
      <c r="P591" s="6"/>
      <c r="Q591" s="6"/>
      <c r="R591" s="6"/>
      <c r="S591" s="6"/>
      <c r="T591" s="6"/>
      <c r="U591" s="6"/>
      <c r="V591" s="6"/>
    </row>
    <row r="592" spans="1:22" x14ac:dyDescent="0.2">
      <c r="C592" s="6"/>
      <c r="D592" s="6"/>
      <c r="E592" s="6"/>
      <c r="F592" s="6"/>
      <c r="G592" s="6"/>
      <c r="H592" s="6"/>
      <c r="I592" s="6"/>
      <c r="J592" s="6"/>
      <c r="K592" s="6"/>
      <c r="L592" s="6"/>
      <c r="M592" s="6"/>
      <c r="N592" s="6"/>
      <c r="O592" s="6"/>
      <c r="P592" s="6"/>
      <c r="Q592" s="6"/>
      <c r="R592" s="6"/>
      <c r="S592" s="6"/>
      <c r="T592" s="6"/>
      <c r="U592" s="6"/>
      <c r="V592" s="6"/>
    </row>
    <row r="593" spans="1:22" x14ac:dyDescent="0.2">
      <c r="C593" s="6"/>
      <c r="D593" s="6"/>
      <c r="E593" s="6"/>
      <c r="F593" s="6"/>
      <c r="G593" s="6"/>
      <c r="H593" s="6"/>
      <c r="I593" s="6"/>
      <c r="J593" s="6"/>
      <c r="K593" s="6"/>
      <c r="L593" s="6"/>
      <c r="M593" s="6"/>
      <c r="N593" s="6"/>
      <c r="O593" s="6"/>
      <c r="P593" s="6"/>
      <c r="Q593" s="6"/>
      <c r="R593" s="6"/>
      <c r="S593" s="6"/>
      <c r="T593" s="6"/>
      <c r="U593" s="6"/>
      <c r="V593" s="6"/>
    </row>
    <row r="594" spans="1:22" x14ac:dyDescent="0.2">
      <c r="C594" s="6"/>
      <c r="D594" s="6"/>
      <c r="E594" s="6"/>
      <c r="F594" s="6"/>
      <c r="G594" s="6"/>
      <c r="H594" s="6"/>
      <c r="I594" s="6"/>
      <c r="J594" s="6"/>
      <c r="K594" s="6"/>
      <c r="L594" s="6"/>
      <c r="M594" s="6"/>
      <c r="N594" s="6"/>
      <c r="O594" s="6"/>
      <c r="P594" s="6"/>
      <c r="Q594" s="6"/>
      <c r="R594" s="6"/>
      <c r="S594" s="6"/>
      <c r="T594" s="6"/>
      <c r="U594" s="6"/>
      <c r="V594" s="6"/>
    </row>
    <row r="595" spans="1:22" x14ac:dyDescent="0.2">
      <c r="C595" s="6"/>
      <c r="D595" s="6"/>
      <c r="E595" s="6"/>
      <c r="F595" s="6"/>
      <c r="G595" s="6"/>
      <c r="H595" s="6"/>
      <c r="I595" s="6"/>
      <c r="J595" s="6"/>
      <c r="K595" s="6"/>
      <c r="L595" s="6"/>
      <c r="M595" s="6"/>
      <c r="N595" s="6"/>
      <c r="O595" s="6"/>
      <c r="P595" s="6"/>
      <c r="Q595" s="6"/>
      <c r="R595" s="6"/>
      <c r="S595" s="6"/>
      <c r="T595" s="6"/>
      <c r="U595" s="6"/>
      <c r="V595" s="6"/>
    </row>
    <row r="596" spans="1:22" x14ac:dyDescent="0.2">
      <c r="C596" s="6"/>
      <c r="D596" s="6"/>
      <c r="E596" s="6"/>
      <c r="F596" s="6"/>
      <c r="G596" s="6"/>
      <c r="H596" s="6"/>
      <c r="I596" s="6"/>
      <c r="J596" s="6"/>
      <c r="K596" s="6"/>
      <c r="L596" s="6"/>
      <c r="M596" s="6"/>
      <c r="N596" s="6"/>
      <c r="O596" s="6"/>
      <c r="P596" s="6"/>
      <c r="Q596" s="6"/>
      <c r="R596" s="6"/>
      <c r="S596" s="6"/>
      <c r="T596" s="6"/>
      <c r="U596" s="6"/>
      <c r="V596" s="6"/>
    </row>
    <row r="597" spans="1:22" x14ac:dyDescent="0.2">
      <c r="C597" s="6"/>
      <c r="D597" s="6"/>
      <c r="E597" s="6"/>
      <c r="F597" s="6"/>
      <c r="G597" s="6"/>
      <c r="H597" s="6"/>
      <c r="I597" s="6"/>
      <c r="J597" s="6"/>
      <c r="K597" s="6"/>
      <c r="L597" s="6"/>
      <c r="M597" s="6"/>
      <c r="N597" s="6"/>
      <c r="O597" s="6"/>
      <c r="P597" s="6"/>
      <c r="Q597" s="6"/>
      <c r="R597" s="6"/>
      <c r="S597" s="6"/>
      <c r="T597" s="6"/>
      <c r="U597" s="6"/>
      <c r="V597" s="6"/>
    </row>
    <row r="598" spans="1:22" x14ac:dyDescent="0.2">
      <c r="C598" s="6"/>
      <c r="D598" s="6"/>
      <c r="E598" s="6"/>
      <c r="F598" s="6"/>
      <c r="G598" s="6"/>
      <c r="H598" s="6"/>
      <c r="I598" s="6"/>
      <c r="J598" s="6"/>
      <c r="K598" s="6"/>
      <c r="L598" s="6"/>
      <c r="M598" s="6"/>
      <c r="N598" s="6"/>
      <c r="O598" s="6"/>
      <c r="P598" s="6"/>
      <c r="Q598" s="6"/>
      <c r="R598" s="6"/>
      <c r="S598" s="6"/>
      <c r="T598" s="6"/>
      <c r="U598" s="6"/>
      <c r="V598" s="6"/>
    </row>
    <row r="599" spans="1:22" x14ac:dyDescent="0.2">
      <c r="C599" s="6"/>
      <c r="D599" s="6"/>
      <c r="E599" s="6"/>
      <c r="F599" s="6"/>
      <c r="G599" s="6"/>
      <c r="H599" s="6"/>
      <c r="I599" s="6"/>
      <c r="J599" s="6"/>
      <c r="K599" s="6"/>
      <c r="L599" s="6"/>
      <c r="M599" s="6"/>
      <c r="N599" s="6"/>
      <c r="O599" s="6"/>
      <c r="P599" s="6"/>
      <c r="Q599" s="6"/>
      <c r="R599" s="6"/>
      <c r="S599" s="6"/>
      <c r="T599" s="6"/>
      <c r="U599" s="6"/>
      <c r="V599" s="6"/>
    </row>
    <row r="600" spans="1:22" x14ac:dyDescent="0.2">
      <c r="C600" s="6"/>
      <c r="D600" s="6"/>
      <c r="E600" s="6"/>
      <c r="F600" s="6"/>
      <c r="G600" s="6"/>
      <c r="H600" s="6"/>
      <c r="I600" s="6"/>
      <c r="J600" s="6"/>
      <c r="K600" s="6"/>
      <c r="L600" s="6"/>
      <c r="M600" s="6"/>
      <c r="N600" s="6"/>
      <c r="O600" s="6"/>
      <c r="P600" s="6"/>
      <c r="Q600" s="6"/>
      <c r="R600" s="6"/>
      <c r="S600" s="6"/>
      <c r="T600" s="6"/>
      <c r="U600" s="6"/>
      <c r="V600" s="6"/>
    </row>
    <row r="601" spans="1:22" x14ac:dyDescent="0.2">
      <c r="C601" s="6"/>
      <c r="D601" s="6"/>
      <c r="E601" s="6"/>
      <c r="F601" s="6"/>
      <c r="G601" s="6"/>
      <c r="H601" s="6"/>
      <c r="I601" s="6"/>
      <c r="J601" s="6"/>
      <c r="K601" s="6"/>
      <c r="L601" s="6"/>
      <c r="M601" s="6"/>
      <c r="N601" s="6"/>
      <c r="O601" s="6"/>
      <c r="P601" s="6"/>
      <c r="Q601" s="6"/>
      <c r="R601" s="6"/>
      <c r="S601" s="6"/>
      <c r="T601" s="6"/>
      <c r="U601" s="6"/>
      <c r="V601" s="6"/>
    </row>
    <row r="602" spans="1:22" x14ac:dyDescent="0.2">
      <c r="C602" s="6"/>
      <c r="D602" s="6"/>
      <c r="E602" s="6"/>
      <c r="F602" s="6"/>
      <c r="G602" s="6"/>
      <c r="H602" s="6"/>
      <c r="I602" s="6"/>
      <c r="J602" s="6"/>
      <c r="K602" s="6"/>
      <c r="L602" s="6"/>
      <c r="M602" s="6"/>
      <c r="N602" s="6"/>
      <c r="O602" s="6"/>
      <c r="P602" s="6"/>
      <c r="Q602" s="6"/>
      <c r="R602" s="6"/>
      <c r="S602" s="6"/>
      <c r="T602" s="6"/>
      <c r="U602" s="6"/>
      <c r="V602" s="6"/>
    </row>
    <row r="603" spans="1:22" x14ac:dyDescent="0.2">
      <c r="C603" s="6"/>
      <c r="D603" s="6"/>
      <c r="E603" s="6"/>
      <c r="F603" s="6"/>
      <c r="G603" s="6"/>
      <c r="H603" s="6"/>
      <c r="I603" s="6"/>
      <c r="J603" s="6"/>
      <c r="K603" s="6"/>
      <c r="L603" s="6"/>
      <c r="M603" s="6"/>
      <c r="N603" s="6"/>
      <c r="O603" s="6"/>
      <c r="P603" s="6"/>
      <c r="Q603" s="6"/>
      <c r="R603" s="6"/>
      <c r="S603" s="6"/>
      <c r="T603" s="6"/>
      <c r="U603" s="6"/>
      <c r="V603" s="6"/>
    </row>
    <row r="604" spans="1:22" x14ac:dyDescent="0.2">
      <c r="C604" s="6"/>
      <c r="D604" s="6"/>
      <c r="E604" s="6"/>
      <c r="F604" s="6"/>
      <c r="G604" s="6"/>
      <c r="H604" s="6"/>
      <c r="I604" s="6"/>
      <c r="J604" s="6"/>
      <c r="K604" s="6"/>
      <c r="L604" s="6"/>
      <c r="M604" s="6"/>
      <c r="N604" s="6"/>
      <c r="O604" s="6"/>
      <c r="P604" s="6"/>
      <c r="Q604" s="6"/>
      <c r="R604" s="6"/>
      <c r="S604" s="6"/>
      <c r="T604" s="6"/>
      <c r="U604" s="6"/>
      <c r="V604" s="6"/>
    </row>
    <row r="605" spans="1:22" x14ac:dyDescent="0.2">
      <c r="C605" s="6"/>
      <c r="D605" s="6"/>
      <c r="E605" s="6"/>
      <c r="F605" s="6"/>
      <c r="G605" s="6"/>
      <c r="H605" s="6"/>
      <c r="I605" s="6"/>
      <c r="J605" s="6"/>
      <c r="K605" s="6"/>
      <c r="L605" s="6"/>
      <c r="M605" s="6"/>
      <c r="N605" s="6"/>
      <c r="O605" s="6"/>
      <c r="P605" s="6"/>
      <c r="Q605" s="6"/>
      <c r="R605" s="6"/>
      <c r="S605" s="6"/>
      <c r="T605" s="6"/>
      <c r="U605" s="6"/>
      <c r="V605" s="6"/>
    </row>
    <row r="606" spans="1:22" x14ac:dyDescent="0.2">
      <c r="A606">
        <f>Arrivals!A606</f>
        <v>6</v>
      </c>
      <c r="B606">
        <f>Arrivals!B606</f>
        <v>1</v>
      </c>
      <c r="C606" s="6">
        <f>Arrivals!F606</f>
        <v>2</v>
      </c>
      <c r="D606" s="6">
        <f>Arrivals!J606</f>
        <v>9.0069152498678395</v>
      </c>
      <c r="E606" s="6">
        <f>0</f>
        <v>0</v>
      </c>
      <c r="F606" s="6">
        <f t="shared" ref="F606:F637" si="195">MAX(C606,E606)</f>
        <v>2</v>
      </c>
      <c r="G606" s="6">
        <f t="shared" ref="G606:G637" si="196">F606+D606</f>
        <v>11.00691524986784</v>
      </c>
      <c r="H606" s="6">
        <f>Arrivals!L606</f>
        <v>75</v>
      </c>
      <c r="I606" s="6">
        <f>H606*8/ACE_Input!S6+ACE_Input!T6</f>
        <v>6.02</v>
      </c>
      <c r="J606" s="6">
        <f>0</f>
        <v>0</v>
      </c>
      <c r="K606" s="6">
        <f t="shared" ref="K606:K637" si="197">MAX(G606,J606)</f>
        <v>11.00691524986784</v>
      </c>
      <c r="L606" s="6">
        <f>MOD(K606-Settings!$B$32,Settings!$B$33)</f>
        <v>11.00691524986784</v>
      </c>
      <c r="M606" s="6">
        <f>IF(L606&lt;Settings!$B$30,IF(Settings!$B$30-L606&gt;=I606,K606,K606+(Settings!$B$30-L606)+Settings!$B$31),K606+(Settings!$B$33-L606))</f>
        <v>11.00691524986784</v>
      </c>
      <c r="N606" s="6">
        <f t="shared" ref="N606:N637" si="198">M606+I606</f>
        <v>17.026915249867841</v>
      </c>
      <c r="O606" s="6">
        <f t="shared" ref="O606:O637" si="199">N606-C606</f>
        <v>15.026915249867841</v>
      </c>
      <c r="P606" s="6">
        <f t="shared" ref="P606:P637" si="200">F606-C606</f>
        <v>0</v>
      </c>
      <c r="Q606" s="6">
        <f t="shared" ref="Q606:Q637" si="201">K606-G606</f>
        <v>0</v>
      </c>
      <c r="R606" s="6">
        <f t="shared" ref="R606:R637" si="202">M606-K606</f>
        <v>0</v>
      </c>
      <c r="S606" s="6">
        <f t="shared" ref="S606:S637" si="203">P606+Q606+R606</f>
        <v>0</v>
      </c>
      <c r="T606" s="6" t="str">
        <f>IF(MOD(C606-Settings!$B$32,Settings!$B$33)&lt;Settings!$B$30,"Up","Down")</f>
        <v>Up</v>
      </c>
      <c r="U606" s="6">
        <f>IF(OR(I606&gt;Settings!$B$30,O606&gt;Settings!$B$37),0,1)</f>
        <v>1</v>
      </c>
      <c r="V606" s="6">
        <f>IF(AND(U606=1,O606&lt;=Settings!$B$36),1,0)</f>
        <v>1</v>
      </c>
    </row>
    <row r="607" spans="1:22" x14ac:dyDescent="0.2">
      <c r="A607">
        <f>Arrivals!A607</f>
        <v>6</v>
      </c>
      <c r="B607">
        <f>Arrivals!B607</f>
        <v>2</v>
      </c>
      <c r="C607" s="6">
        <f>Arrivals!F607</f>
        <v>7</v>
      </c>
      <c r="D607" s="6">
        <f>Arrivals!J607</f>
        <v>8.5377237813371707</v>
      </c>
      <c r="E607" s="6">
        <f t="shared" ref="E607:E638" si="204">G606</f>
        <v>11.00691524986784</v>
      </c>
      <c r="F607" s="6">
        <f t="shared" si="195"/>
        <v>11.00691524986784</v>
      </c>
      <c r="G607" s="6">
        <f t="shared" si="196"/>
        <v>19.544639031205008</v>
      </c>
      <c r="H607" s="6">
        <f>Arrivals!L607</f>
        <v>75</v>
      </c>
      <c r="I607" s="6">
        <f>H607*8/ACE_Input!S7+ACE_Input!T7</f>
        <v>6.02</v>
      </c>
      <c r="J607" s="6">
        <f t="shared" ref="J607:J638" si="205">N606</f>
        <v>17.026915249867841</v>
      </c>
      <c r="K607" s="6">
        <f t="shared" si="197"/>
        <v>19.544639031205008</v>
      </c>
      <c r="L607" s="6">
        <f>MOD(K607-Settings!$B$32,Settings!$B$33)</f>
        <v>19.544639031205008</v>
      </c>
      <c r="M607" s="6">
        <f>IF(L607&lt;Settings!$B$30,IF(Settings!$B$30-L607&gt;=I607,K607,K607+(Settings!$B$30-L607)+Settings!$B$31),K607+(Settings!$B$33-L607))</f>
        <v>19.544639031205008</v>
      </c>
      <c r="N607" s="6">
        <f t="shared" si="198"/>
        <v>25.564639031205008</v>
      </c>
      <c r="O607" s="6">
        <f t="shared" si="199"/>
        <v>18.564639031205008</v>
      </c>
      <c r="P607" s="6">
        <f t="shared" si="200"/>
        <v>4.0069152498678395</v>
      </c>
      <c r="Q607" s="6">
        <f t="shared" si="201"/>
        <v>0</v>
      </c>
      <c r="R607" s="6">
        <f t="shared" si="202"/>
        <v>0</v>
      </c>
      <c r="S607" s="6">
        <f t="shared" si="203"/>
        <v>4.0069152498678395</v>
      </c>
      <c r="T607" s="6" t="str">
        <f>IF(MOD(C607-Settings!$B$32,Settings!$B$33)&lt;Settings!$B$30,"Up","Down")</f>
        <v>Up</v>
      </c>
      <c r="U607" s="6">
        <f>IF(OR(I607&gt;Settings!$B$30,O607&gt;Settings!$B$37),0,1)</f>
        <v>1</v>
      </c>
      <c r="V607" s="6">
        <f>IF(AND(U607=1,O607&lt;=Settings!$B$36),1,0)</f>
        <v>1</v>
      </c>
    </row>
    <row r="608" spans="1:22" x14ac:dyDescent="0.2">
      <c r="A608">
        <f>Arrivals!A608</f>
        <v>6</v>
      </c>
      <c r="B608">
        <f>Arrivals!B608</f>
        <v>3</v>
      </c>
      <c r="C608" s="6">
        <f>Arrivals!F608</f>
        <v>32</v>
      </c>
      <c r="D608" s="6">
        <f>Arrivals!J608</f>
        <v>1.6899163569689191</v>
      </c>
      <c r="E608" s="6">
        <f t="shared" si="204"/>
        <v>19.544639031205008</v>
      </c>
      <c r="F608" s="6">
        <f t="shared" si="195"/>
        <v>32</v>
      </c>
      <c r="G608" s="6">
        <f t="shared" si="196"/>
        <v>33.689916356968922</v>
      </c>
      <c r="H608" s="6">
        <f>Arrivals!L608</f>
        <v>75</v>
      </c>
      <c r="I608" s="6">
        <f>H608*8/ACE_Input!S8+ACE_Input!T8</f>
        <v>6.02</v>
      </c>
      <c r="J608" s="6">
        <f t="shared" si="205"/>
        <v>25.564639031205008</v>
      </c>
      <c r="K608" s="6">
        <f t="shared" si="197"/>
        <v>33.689916356968922</v>
      </c>
      <c r="L608" s="6">
        <f>MOD(K608-Settings!$B$32,Settings!$B$33)</f>
        <v>33.689916356968922</v>
      </c>
      <c r="M608" s="6">
        <f>IF(L608&lt;Settings!$B$30,IF(Settings!$B$30-L608&gt;=I608,K608,K608+(Settings!$B$30-L608)+Settings!$B$31),K608+(Settings!$B$33-L608))</f>
        <v>33.689916356968922</v>
      </c>
      <c r="N608" s="6">
        <f t="shared" si="198"/>
        <v>39.709916356968918</v>
      </c>
      <c r="O608" s="6">
        <f t="shared" si="199"/>
        <v>7.7099163569689182</v>
      </c>
      <c r="P608" s="6">
        <f t="shared" si="200"/>
        <v>0</v>
      </c>
      <c r="Q608" s="6">
        <f t="shared" si="201"/>
        <v>0</v>
      </c>
      <c r="R608" s="6">
        <f t="shared" si="202"/>
        <v>0</v>
      </c>
      <c r="S608" s="6">
        <f t="shared" si="203"/>
        <v>0</v>
      </c>
      <c r="T608" s="6" t="str">
        <f>IF(MOD(C608-Settings!$B$32,Settings!$B$33)&lt;Settings!$B$30,"Up","Down")</f>
        <v>Up</v>
      </c>
      <c r="U608" s="6">
        <f>IF(OR(I608&gt;Settings!$B$30,O608&gt;Settings!$B$37),0,1)</f>
        <v>1</v>
      </c>
      <c r="V608" s="6">
        <f>IF(AND(U608=1,O608&lt;=Settings!$B$36),1,0)</f>
        <v>1</v>
      </c>
    </row>
    <row r="609" spans="1:22" x14ac:dyDescent="0.2">
      <c r="A609">
        <f>Arrivals!A609</f>
        <v>6</v>
      </c>
      <c r="B609">
        <f>Arrivals!B609</f>
        <v>4</v>
      </c>
      <c r="C609" s="6">
        <f>Arrivals!F609</f>
        <v>37</v>
      </c>
      <c r="D609" s="6">
        <f>Arrivals!J609</f>
        <v>17.398083476002348</v>
      </c>
      <c r="E609" s="6">
        <f t="shared" si="204"/>
        <v>33.689916356968922</v>
      </c>
      <c r="F609" s="6">
        <f t="shared" si="195"/>
        <v>37</v>
      </c>
      <c r="G609" s="6">
        <f t="shared" si="196"/>
        <v>54.398083476002348</v>
      </c>
      <c r="H609" s="6">
        <f>Arrivals!L609</f>
        <v>75</v>
      </c>
      <c r="I609" s="6">
        <f>H609*8/ACE_Input!S9+ACE_Input!T9</f>
        <v>6.02</v>
      </c>
      <c r="J609" s="6">
        <f t="shared" si="205"/>
        <v>39.709916356968918</v>
      </c>
      <c r="K609" s="6">
        <f t="shared" si="197"/>
        <v>54.398083476002348</v>
      </c>
      <c r="L609" s="6">
        <f>MOD(K609-Settings!$B$32,Settings!$B$33)</f>
        <v>54.398083476002348</v>
      </c>
      <c r="M609" s="6">
        <f>IF(L609&lt;Settings!$B$30,IF(Settings!$B$30-L609&gt;=I609,K609,K609+(Settings!$B$30-L609)+Settings!$B$31),K609+(Settings!$B$33-L609))</f>
        <v>54.398083476002348</v>
      </c>
      <c r="N609" s="6">
        <f t="shared" si="198"/>
        <v>60.418083476002352</v>
      </c>
      <c r="O609" s="6">
        <f t="shared" si="199"/>
        <v>23.418083476002352</v>
      </c>
      <c r="P609" s="6">
        <f t="shared" si="200"/>
        <v>0</v>
      </c>
      <c r="Q609" s="6">
        <f t="shared" si="201"/>
        <v>0</v>
      </c>
      <c r="R609" s="6">
        <f t="shared" si="202"/>
        <v>0</v>
      </c>
      <c r="S609" s="6">
        <f t="shared" si="203"/>
        <v>0</v>
      </c>
      <c r="T609" s="6" t="str">
        <f>IF(MOD(C609-Settings!$B$32,Settings!$B$33)&lt;Settings!$B$30,"Up","Down")</f>
        <v>Up</v>
      </c>
      <c r="U609" s="6">
        <f>IF(OR(I609&gt;Settings!$B$30,O609&gt;Settings!$B$37),0,1)</f>
        <v>1</v>
      </c>
      <c r="V609" s="6">
        <f>IF(AND(U609=1,O609&lt;=Settings!$B$36),1,0)</f>
        <v>1</v>
      </c>
    </row>
    <row r="610" spans="1:22" x14ac:dyDescent="0.2">
      <c r="A610">
        <f>Arrivals!A610</f>
        <v>6</v>
      </c>
      <c r="B610">
        <f>Arrivals!B610</f>
        <v>5</v>
      </c>
      <c r="C610" s="6">
        <f>Arrivals!F610</f>
        <v>42</v>
      </c>
      <c r="D610" s="6">
        <f>Arrivals!J610</f>
        <v>35.356920849122574</v>
      </c>
      <c r="E610" s="6">
        <f t="shared" si="204"/>
        <v>54.398083476002348</v>
      </c>
      <c r="F610" s="6">
        <f t="shared" si="195"/>
        <v>54.398083476002348</v>
      </c>
      <c r="G610" s="6">
        <f t="shared" si="196"/>
        <v>89.755004325124929</v>
      </c>
      <c r="H610" s="6">
        <f>Arrivals!L610</f>
        <v>75</v>
      </c>
      <c r="I610" s="6">
        <f>H610*8/ACE_Input!S10+ACE_Input!T10</f>
        <v>6.02</v>
      </c>
      <c r="J610" s="6">
        <f t="shared" si="205"/>
        <v>60.418083476002352</v>
      </c>
      <c r="K610" s="6">
        <f t="shared" si="197"/>
        <v>89.755004325124929</v>
      </c>
      <c r="L610" s="6">
        <f>MOD(K610-Settings!$B$32,Settings!$B$33)</f>
        <v>89.755004325124929</v>
      </c>
      <c r="M610" s="6">
        <f>IF(L610&lt;Settings!$B$30,IF(Settings!$B$30-L610&gt;=I610,K610,K610+(Settings!$B$30-L610)+Settings!$B$31),K610+(Settings!$B$33-L610))</f>
        <v>89.755004325124929</v>
      </c>
      <c r="N610" s="6">
        <f t="shared" si="198"/>
        <v>95.775004325124925</v>
      </c>
      <c r="O610" s="6">
        <f t="shared" si="199"/>
        <v>53.775004325124925</v>
      </c>
      <c r="P610" s="6">
        <f t="shared" si="200"/>
        <v>12.398083476002348</v>
      </c>
      <c r="Q610" s="6">
        <f t="shared" si="201"/>
        <v>0</v>
      </c>
      <c r="R610" s="6">
        <f t="shared" si="202"/>
        <v>0</v>
      </c>
      <c r="S610" s="6">
        <f t="shared" si="203"/>
        <v>12.398083476002348</v>
      </c>
      <c r="T610" s="6" t="str">
        <f>IF(MOD(C610-Settings!$B$32,Settings!$B$33)&lt;Settings!$B$30,"Up","Down")</f>
        <v>Up</v>
      </c>
      <c r="U610" s="6">
        <f>IF(OR(I610&gt;Settings!$B$30,O610&gt;Settings!$B$37),0,1)</f>
        <v>1</v>
      </c>
      <c r="V610" s="6">
        <f>IF(AND(U610=1,O610&lt;=Settings!$B$36),1,0)</f>
        <v>1</v>
      </c>
    </row>
    <row r="611" spans="1:22" x14ac:dyDescent="0.2">
      <c r="A611">
        <f>Arrivals!A611</f>
        <v>6</v>
      </c>
      <c r="B611">
        <f>Arrivals!B611</f>
        <v>6</v>
      </c>
      <c r="C611" s="6">
        <f>Arrivals!F611</f>
        <v>47</v>
      </c>
      <c r="D611" s="6">
        <f>Arrivals!J611</f>
        <v>2.134049153420313</v>
      </c>
      <c r="E611" s="6">
        <f t="shared" si="204"/>
        <v>89.755004325124929</v>
      </c>
      <c r="F611" s="6">
        <f t="shared" si="195"/>
        <v>89.755004325124929</v>
      </c>
      <c r="G611" s="6">
        <f t="shared" si="196"/>
        <v>91.889053478545236</v>
      </c>
      <c r="H611" s="6">
        <f>Arrivals!L611</f>
        <v>75</v>
      </c>
      <c r="I611" s="6">
        <f>H611*8/ACE_Input!S11+ACE_Input!T11</f>
        <v>6.02</v>
      </c>
      <c r="J611" s="6">
        <f t="shared" si="205"/>
        <v>95.775004325124925</v>
      </c>
      <c r="K611" s="6">
        <f t="shared" si="197"/>
        <v>95.775004325124925</v>
      </c>
      <c r="L611" s="6">
        <f>MOD(K611-Settings!$B$32,Settings!$B$33)</f>
        <v>95.775004325124925</v>
      </c>
      <c r="M611" s="6">
        <f>IF(L611&lt;Settings!$B$30,IF(Settings!$B$30-L611&gt;=I611,K611,K611+(Settings!$B$30-L611)+Settings!$B$31),K611+(Settings!$B$33-L611))</f>
        <v>95.775004325124925</v>
      </c>
      <c r="N611" s="6">
        <f t="shared" si="198"/>
        <v>101.79500432512492</v>
      </c>
      <c r="O611" s="6">
        <f t="shared" si="199"/>
        <v>54.795004325124921</v>
      </c>
      <c r="P611" s="6">
        <f t="shared" si="200"/>
        <v>42.755004325124929</v>
      </c>
      <c r="Q611" s="6">
        <f t="shared" si="201"/>
        <v>3.8859508465796893</v>
      </c>
      <c r="R611" s="6">
        <f t="shared" si="202"/>
        <v>0</v>
      </c>
      <c r="S611" s="6">
        <f t="shared" si="203"/>
        <v>46.640955171704618</v>
      </c>
      <c r="T611" s="6" t="str">
        <f>IF(MOD(C611-Settings!$B$32,Settings!$B$33)&lt;Settings!$B$30,"Up","Down")</f>
        <v>Up</v>
      </c>
      <c r="U611" s="6">
        <f>IF(OR(I611&gt;Settings!$B$30,O611&gt;Settings!$B$37),0,1)</f>
        <v>1</v>
      </c>
      <c r="V611" s="6">
        <f>IF(AND(U611=1,O611&lt;=Settings!$B$36),1,0)</f>
        <v>1</v>
      </c>
    </row>
    <row r="612" spans="1:22" x14ac:dyDescent="0.2">
      <c r="A612">
        <f>Arrivals!A612</f>
        <v>6</v>
      </c>
      <c r="B612">
        <f>Arrivals!B612</f>
        <v>7</v>
      </c>
      <c r="C612" s="6">
        <f>Arrivals!F612</f>
        <v>52</v>
      </c>
      <c r="D612" s="6">
        <f>Arrivals!J612</f>
        <v>3.0078008176465216</v>
      </c>
      <c r="E612" s="6">
        <f t="shared" si="204"/>
        <v>91.889053478545236</v>
      </c>
      <c r="F612" s="6">
        <f t="shared" si="195"/>
        <v>91.889053478545236</v>
      </c>
      <c r="G612" s="6">
        <f t="shared" si="196"/>
        <v>94.896854296191762</v>
      </c>
      <c r="H612" s="6">
        <f>Arrivals!L612</f>
        <v>75</v>
      </c>
      <c r="I612" s="6">
        <f>H612*8/ACE_Input!S12+ACE_Input!T12</f>
        <v>6.02</v>
      </c>
      <c r="J612" s="6">
        <f t="shared" si="205"/>
        <v>101.79500432512492</v>
      </c>
      <c r="K612" s="6">
        <f t="shared" si="197"/>
        <v>101.79500432512492</v>
      </c>
      <c r="L612" s="6">
        <f>MOD(K612-Settings!$B$32,Settings!$B$33)</f>
        <v>101.79500432512492</v>
      </c>
      <c r="M612" s="6">
        <f>IF(L612&lt;Settings!$B$30,IF(Settings!$B$30-L612&gt;=I612,K612,K612+(Settings!$B$30-L612)+Settings!$B$31),K612+(Settings!$B$33-L612))</f>
        <v>101.79500432512492</v>
      </c>
      <c r="N612" s="6">
        <f t="shared" si="198"/>
        <v>107.81500432512492</v>
      </c>
      <c r="O612" s="6">
        <f t="shared" si="199"/>
        <v>55.815004325124917</v>
      </c>
      <c r="P612" s="6">
        <f t="shared" si="200"/>
        <v>39.889053478545236</v>
      </c>
      <c r="Q612" s="6">
        <f t="shared" si="201"/>
        <v>6.8981500289331592</v>
      </c>
      <c r="R612" s="6">
        <f t="shared" si="202"/>
        <v>0</v>
      </c>
      <c r="S612" s="6">
        <f t="shared" si="203"/>
        <v>46.787203507478395</v>
      </c>
      <c r="T612" s="6" t="str">
        <f>IF(MOD(C612-Settings!$B$32,Settings!$B$33)&lt;Settings!$B$30,"Up","Down")</f>
        <v>Up</v>
      </c>
      <c r="U612" s="6">
        <f>IF(OR(I612&gt;Settings!$B$30,O612&gt;Settings!$B$37),0,1)</f>
        <v>1</v>
      </c>
      <c r="V612" s="6">
        <f>IF(AND(U612=1,O612&lt;=Settings!$B$36),1,0)</f>
        <v>1</v>
      </c>
    </row>
    <row r="613" spans="1:22" x14ac:dyDescent="0.2">
      <c r="A613">
        <f>Arrivals!A613</f>
        <v>6</v>
      </c>
      <c r="B613">
        <f>Arrivals!B613</f>
        <v>8</v>
      </c>
      <c r="C613" s="6">
        <f>Arrivals!F613</f>
        <v>57</v>
      </c>
      <c r="D613" s="6">
        <f>Arrivals!J613</f>
        <v>2.6989481685328505</v>
      </c>
      <c r="E613" s="6">
        <f t="shared" si="204"/>
        <v>94.896854296191762</v>
      </c>
      <c r="F613" s="6">
        <f t="shared" si="195"/>
        <v>94.896854296191762</v>
      </c>
      <c r="G613" s="6">
        <f t="shared" si="196"/>
        <v>97.595802464724613</v>
      </c>
      <c r="H613" s="6">
        <f>Arrivals!L613</f>
        <v>75</v>
      </c>
      <c r="I613" s="6">
        <f>H613*8/ACE_Input!S13+ACE_Input!T13</f>
        <v>6.02</v>
      </c>
      <c r="J613" s="6">
        <f t="shared" si="205"/>
        <v>107.81500432512492</v>
      </c>
      <c r="K613" s="6">
        <f t="shared" si="197"/>
        <v>107.81500432512492</v>
      </c>
      <c r="L613" s="6">
        <f>MOD(K613-Settings!$B$32,Settings!$B$33)</f>
        <v>107.81500432512492</v>
      </c>
      <c r="M613" s="6">
        <f>IF(L613&lt;Settings!$B$30,IF(Settings!$B$30-L613&gt;=I613,K613,K613+(Settings!$B$30-L613)+Settings!$B$31),K613+(Settings!$B$33-L613))</f>
        <v>107.81500432512492</v>
      </c>
      <c r="N613" s="6">
        <f t="shared" si="198"/>
        <v>113.83500432512491</v>
      </c>
      <c r="O613" s="6">
        <f t="shared" si="199"/>
        <v>56.835004325124913</v>
      </c>
      <c r="P613" s="6">
        <f t="shared" si="200"/>
        <v>37.896854296191762</v>
      </c>
      <c r="Q613" s="6">
        <f t="shared" si="201"/>
        <v>10.219201860400304</v>
      </c>
      <c r="R613" s="6">
        <f t="shared" si="202"/>
        <v>0</v>
      </c>
      <c r="S613" s="6">
        <f t="shared" si="203"/>
        <v>48.116056156592066</v>
      </c>
      <c r="T613" s="6" t="str">
        <f>IF(MOD(C613-Settings!$B$32,Settings!$B$33)&lt;Settings!$B$30,"Up","Down")</f>
        <v>Up</v>
      </c>
      <c r="U613" s="6">
        <f>IF(OR(I613&gt;Settings!$B$30,O613&gt;Settings!$B$37),0,1)</f>
        <v>1</v>
      </c>
      <c r="V613" s="6">
        <f>IF(AND(U613=1,O613&lt;=Settings!$B$36),1,0)</f>
        <v>1</v>
      </c>
    </row>
    <row r="614" spans="1:22" x14ac:dyDescent="0.2">
      <c r="A614">
        <f>Arrivals!A614</f>
        <v>6</v>
      </c>
      <c r="B614">
        <f>Arrivals!B614</f>
        <v>9</v>
      </c>
      <c r="C614" s="6">
        <f>Arrivals!F614</f>
        <v>172</v>
      </c>
      <c r="D614" s="6">
        <f>Arrivals!J614</f>
        <v>2.1137388874660172</v>
      </c>
      <c r="E614" s="6">
        <f t="shared" si="204"/>
        <v>97.595802464724613</v>
      </c>
      <c r="F614" s="6">
        <f t="shared" si="195"/>
        <v>172</v>
      </c>
      <c r="G614" s="6">
        <f t="shared" si="196"/>
        <v>174.11373888746601</v>
      </c>
      <c r="H614" s="6">
        <f>Arrivals!L614</f>
        <v>75</v>
      </c>
      <c r="I614" s="6">
        <f>H614*8/ACE_Input!S14+ACE_Input!T14</f>
        <v>6.02</v>
      </c>
      <c r="J614" s="6">
        <f t="shared" si="205"/>
        <v>113.83500432512491</v>
      </c>
      <c r="K614" s="6">
        <f t="shared" si="197"/>
        <v>174.11373888746601</v>
      </c>
      <c r="L614" s="6">
        <f>MOD(K614-Settings!$B$32,Settings!$B$33)</f>
        <v>174.11373888746601</v>
      </c>
      <c r="M614" s="6">
        <f>IF(L614&lt;Settings!$B$30,IF(Settings!$B$30-L614&gt;=I614,K614,K614+(Settings!$B$30-L614)+Settings!$B$31),K614+(Settings!$B$33-L614))</f>
        <v>174.11373888746601</v>
      </c>
      <c r="N614" s="6">
        <f t="shared" si="198"/>
        <v>180.13373888746602</v>
      </c>
      <c r="O614" s="6">
        <f t="shared" si="199"/>
        <v>8.1337388874660235</v>
      </c>
      <c r="P614" s="6">
        <f t="shared" si="200"/>
        <v>0</v>
      </c>
      <c r="Q614" s="6">
        <f t="shared" si="201"/>
        <v>0</v>
      </c>
      <c r="R614" s="6">
        <f t="shared" si="202"/>
        <v>0</v>
      </c>
      <c r="S614" s="6">
        <f t="shared" si="203"/>
        <v>0</v>
      </c>
      <c r="T614" s="6" t="str">
        <f>IF(MOD(C614-Settings!$B$32,Settings!$B$33)&lt;Settings!$B$30,"Up","Down")</f>
        <v>Up</v>
      </c>
      <c r="U614" s="6">
        <f>IF(OR(I614&gt;Settings!$B$30,O614&gt;Settings!$B$37),0,1)</f>
        <v>1</v>
      </c>
      <c r="V614" s="6">
        <f>IF(AND(U614=1,O614&lt;=Settings!$B$36),1,0)</f>
        <v>1</v>
      </c>
    </row>
    <row r="615" spans="1:22" x14ac:dyDescent="0.2">
      <c r="A615">
        <f>Arrivals!A615</f>
        <v>6</v>
      </c>
      <c r="B615">
        <f>Arrivals!B615</f>
        <v>10</v>
      </c>
      <c r="C615" s="6">
        <f>Arrivals!F615</f>
        <v>177</v>
      </c>
      <c r="D615" s="6">
        <f>Arrivals!J615</f>
        <v>5.9280931483812287</v>
      </c>
      <c r="E615" s="6">
        <f t="shared" si="204"/>
        <v>174.11373888746601</v>
      </c>
      <c r="F615" s="6">
        <f t="shared" si="195"/>
        <v>177</v>
      </c>
      <c r="G615" s="6">
        <f t="shared" si="196"/>
        <v>182.92809314838124</v>
      </c>
      <c r="H615" s="6">
        <f>Arrivals!L615</f>
        <v>75</v>
      </c>
      <c r="I615" s="6">
        <f>H615*8/ACE_Input!S15+ACE_Input!T15</f>
        <v>6.02</v>
      </c>
      <c r="J615" s="6">
        <f t="shared" si="205"/>
        <v>180.13373888746602</v>
      </c>
      <c r="K615" s="6">
        <f t="shared" si="197"/>
        <v>182.92809314838124</v>
      </c>
      <c r="L615" s="6">
        <f>MOD(K615-Settings!$B$32,Settings!$B$33)</f>
        <v>182.92809314838124</v>
      </c>
      <c r="M615" s="6">
        <f>IF(L615&lt;Settings!$B$30,IF(Settings!$B$30-L615&gt;=I615,K615,K615+(Settings!$B$30-L615)+Settings!$B$31),K615+(Settings!$B$33-L615))</f>
        <v>182.92809314838124</v>
      </c>
      <c r="N615" s="6">
        <f t="shared" si="198"/>
        <v>188.94809314838125</v>
      </c>
      <c r="O615" s="6">
        <f t="shared" si="199"/>
        <v>11.948093148381247</v>
      </c>
      <c r="P615" s="6">
        <f t="shared" si="200"/>
        <v>0</v>
      </c>
      <c r="Q615" s="6">
        <f t="shared" si="201"/>
        <v>0</v>
      </c>
      <c r="R615" s="6">
        <f t="shared" si="202"/>
        <v>0</v>
      </c>
      <c r="S615" s="6">
        <f t="shared" si="203"/>
        <v>0</v>
      </c>
      <c r="T615" s="6" t="str">
        <f>IF(MOD(C615-Settings!$B$32,Settings!$B$33)&lt;Settings!$B$30,"Up","Down")</f>
        <v>Up</v>
      </c>
      <c r="U615" s="6">
        <f>IF(OR(I615&gt;Settings!$B$30,O615&gt;Settings!$B$37),0,1)</f>
        <v>1</v>
      </c>
      <c r="V615" s="6">
        <f>IF(AND(U615=1,O615&lt;=Settings!$B$36),1,0)</f>
        <v>1</v>
      </c>
    </row>
    <row r="616" spans="1:22" x14ac:dyDescent="0.2">
      <c r="A616">
        <f>Arrivals!A616</f>
        <v>6</v>
      </c>
      <c r="B616">
        <f>Arrivals!B616</f>
        <v>11</v>
      </c>
      <c r="C616" s="6">
        <f>Arrivals!F616</f>
        <v>182</v>
      </c>
      <c r="D616" s="6">
        <f>Arrivals!J616</f>
        <v>17.698031161985345</v>
      </c>
      <c r="E616" s="6">
        <f t="shared" si="204"/>
        <v>182.92809314838124</v>
      </c>
      <c r="F616" s="6">
        <f t="shared" si="195"/>
        <v>182.92809314838124</v>
      </c>
      <c r="G616" s="6">
        <f t="shared" si="196"/>
        <v>200.62612431036658</v>
      </c>
      <c r="H616" s="6">
        <f>Arrivals!L616</f>
        <v>75</v>
      </c>
      <c r="I616" s="6">
        <f>H616*8/ACE_Input!S16+ACE_Input!T16</f>
        <v>6.02</v>
      </c>
      <c r="J616" s="6">
        <f t="shared" si="205"/>
        <v>188.94809314838125</v>
      </c>
      <c r="K616" s="6">
        <f t="shared" si="197"/>
        <v>200.62612431036658</v>
      </c>
      <c r="L616" s="6">
        <f>MOD(K616-Settings!$B$32,Settings!$B$33)</f>
        <v>200.62612431036658</v>
      </c>
      <c r="M616" s="6">
        <f>IF(L616&lt;Settings!$B$30,IF(Settings!$B$30-L616&gt;=I616,K616,K616+(Settings!$B$30-L616)+Settings!$B$31),K616+(Settings!$B$33-L616))</f>
        <v>200.62612431036658</v>
      </c>
      <c r="N616" s="6">
        <f t="shared" si="198"/>
        <v>206.64612431036659</v>
      </c>
      <c r="O616" s="6">
        <f t="shared" si="199"/>
        <v>24.646124310366588</v>
      </c>
      <c r="P616" s="6">
        <f t="shared" si="200"/>
        <v>0.92809314838123669</v>
      </c>
      <c r="Q616" s="6">
        <f t="shared" si="201"/>
        <v>0</v>
      </c>
      <c r="R616" s="6">
        <f t="shared" si="202"/>
        <v>0</v>
      </c>
      <c r="S616" s="6">
        <f t="shared" si="203"/>
        <v>0.92809314838123669</v>
      </c>
      <c r="T616" s="6" t="str">
        <f>IF(MOD(C616-Settings!$B$32,Settings!$B$33)&lt;Settings!$B$30,"Up","Down")</f>
        <v>Up</v>
      </c>
      <c r="U616" s="6">
        <f>IF(OR(I616&gt;Settings!$B$30,O616&gt;Settings!$B$37),0,1)</f>
        <v>1</v>
      </c>
      <c r="V616" s="6">
        <f>IF(AND(U616=1,O616&lt;=Settings!$B$36),1,0)</f>
        <v>1</v>
      </c>
    </row>
    <row r="617" spans="1:22" x14ac:dyDescent="0.2">
      <c r="A617">
        <f>Arrivals!A617</f>
        <v>6</v>
      </c>
      <c r="B617">
        <f>Arrivals!B617</f>
        <v>12</v>
      </c>
      <c r="C617" s="6">
        <f>Arrivals!F617</f>
        <v>187</v>
      </c>
      <c r="D617" s="6">
        <f>Arrivals!J617</f>
        <v>4.0260167102483306</v>
      </c>
      <c r="E617" s="6">
        <f t="shared" si="204"/>
        <v>200.62612431036658</v>
      </c>
      <c r="F617" s="6">
        <f t="shared" si="195"/>
        <v>200.62612431036658</v>
      </c>
      <c r="G617" s="6">
        <f t="shared" si="196"/>
        <v>204.65214102061492</v>
      </c>
      <c r="H617" s="6">
        <f>Arrivals!L617</f>
        <v>75</v>
      </c>
      <c r="I617" s="6">
        <f>H617*8/ACE_Input!S17+ACE_Input!T17</f>
        <v>6.02</v>
      </c>
      <c r="J617" s="6">
        <f t="shared" si="205"/>
        <v>206.64612431036659</v>
      </c>
      <c r="K617" s="6">
        <f t="shared" si="197"/>
        <v>206.64612431036659</v>
      </c>
      <c r="L617" s="6">
        <f>MOD(K617-Settings!$B$32,Settings!$B$33)</f>
        <v>206.64612431036659</v>
      </c>
      <c r="M617" s="6">
        <f>IF(L617&lt;Settings!$B$30,IF(Settings!$B$30-L617&gt;=I617,K617,K617+(Settings!$B$30-L617)+Settings!$B$31),K617+(Settings!$B$33-L617))</f>
        <v>206.64612431036659</v>
      </c>
      <c r="N617" s="6">
        <f t="shared" si="198"/>
        <v>212.6661243103666</v>
      </c>
      <c r="O617" s="6">
        <f t="shared" si="199"/>
        <v>25.666124310366598</v>
      </c>
      <c r="P617" s="6">
        <f t="shared" si="200"/>
        <v>13.626124310366578</v>
      </c>
      <c r="Q617" s="6">
        <f t="shared" si="201"/>
        <v>1.9939832897516681</v>
      </c>
      <c r="R617" s="6">
        <f t="shared" si="202"/>
        <v>0</v>
      </c>
      <c r="S617" s="6">
        <f t="shared" si="203"/>
        <v>15.620107600118246</v>
      </c>
      <c r="T617" s="6" t="str">
        <f>IF(MOD(C617-Settings!$B$32,Settings!$B$33)&lt;Settings!$B$30,"Up","Down")</f>
        <v>Up</v>
      </c>
      <c r="U617" s="6">
        <f>IF(OR(I617&gt;Settings!$B$30,O617&gt;Settings!$B$37),0,1)</f>
        <v>1</v>
      </c>
      <c r="V617" s="6">
        <f>IF(AND(U617=1,O617&lt;=Settings!$B$36),1,0)</f>
        <v>1</v>
      </c>
    </row>
    <row r="618" spans="1:22" x14ac:dyDescent="0.2">
      <c r="A618">
        <f>Arrivals!A618</f>
        <v>6</v>
      </c>
      <c r="B618">
        <f>Arrivals!B618</f>
        <v>13</v>
      </c>
      <c r="C618" s="6">
        <f>Arrivals!F618</f>
        <v>192</v>
      </c>
      <c r="D618" s="6">
        <f>Arrivals!J618</f>
        <v>4.9745029432256045</v>
      </c>
      <c r="E618" s="6">
        <f t="shared" si="204"/>
        <v>204.65214102061492</v>
      </c>
      <c r="F618" s="6">
        <f t="shared" si="195"/>
        <v>204.65214102061492</v>
      </c>
      <c r="G618" s="6">
        <f t="shared" si="196"/>
        <v>209.62664396384054</v>
      </c>
      <c r="H618" s="6">
        <f>Arrivals!L618</f>
        <v>75</v>
      </c>
      <c r="I618" s="6">
        <f>H618*8/ACE_Input!S18+ACE_Input!T18</f>
        <v>6.02</v>
      </c>
      <c r="J618" s="6">
        <f t="shared" si="205"/>
        <v>212.6661243103666</v>
      </c>
      <c r="K618" s="6">
        <f t="shared" si="197"/>
        <v>212.6661243103666</v>
      </c>
      <c r="L618" s="6">
        <f>MOD(K618-Settings!$B$32,Settings!$B$33)</f>
        <v>212.6661243103666</v>
      </c>
      <c r="M618" s="6">
        <f>IF(L618&lt;Settings!$B$30,IF(Settings!$B$30-L618&gt;=I618,K618,K618+(Settings!$B$30-L618)+Settings!$B$31),K618+(Settings!$B$33-L618))</f>
        <v>212.6661243103666</v>
      </c>
      <c r="N618" s="6">
        <f t="shared" si="198"/>
        <v>218.68612431036661</v>
      </c>
      <c r="O618" s="6">
        <f t="shared" si="199"/>
        <v>26.686124310366608</v>
      </c>
      <c r="P618" s="6">
        <f t="shared" si="200"/>
        <v>12.65214102061492</v>
      </c>
      <c r="Q618" s="6">
        <f t="shared" si="201"/>
        <v>3.0394803465260622</v>
      </c>
      <c r="R618" s="6">
        <f t="shared" si="202"/>
        <v>0</v>
      </c>
      <c r="S618" s="6">
        <f t="shared" si="203"/>
        <v>15.691621367140982</v>
      </c>
      <c r="T618" s="6" t="str">
        <f>IF(MOD(C618-Settings!$B$32,Settings!$B$33)&lt;Settings!$B$30,"Up","Down")</f>
        <v>Up</v>
      </c>
      <c r="U618" s="6">
        <f>IF(OR(I618&gt;Settings!$B$30,O618&gt;Settings!$B$37),0,1)</f>
        <v>1</v>
      </c>
      <c r="V618" s="6">
        <f>IF(AND(U618=1,O618&lt;=Settings!$B$36),1,0)</f>
        <v>1</v>
      </c>
    </row>
    <row r="619" spans="1:22" x14ac:dyDescent="0.2">
      <c r="A619">
        <f>Arrivals!A619</f>
        <v>6</v>
      </c>
      <c r="B619">
        <f>Arrivals!B619</f>
        <v>14</v>
      </c>
      <c r="C619" s="6">
        <f>Arrivals!F619</f>
        <v>197</v>
      </c>
      <c r="D619" s="6">
        <f>Arrivals!J619</f>
        <v>10.288364663351924</v>
      </c>
      <c r="E619" s="6">
        <f t="shared" si="204"/>
        <v>209.62664396384054</v>
      </c>
      <c r="F619" s="6">
        <f t="shared" si="195"/>
        <v>209.62664396384054</v>
      </c>
      <c r="G619" s="6">
        <f t="shared" si="196"/>
        <v>219.91500862719246</v>
      </c>
      <c r="H619" s="6">
        <f>Arrivals!L619</f>
        <v>75</v>
      </c>
      <c r="I619" s="6">
        <f>H619*8/ACE_Input!S19+ACE_Input!T19</f>
        <v>6.02</v>
      </c>
      <c r="J619" s="6">
        <f t="shared" si="205"/>
        <v>218.68612431036661</v>
      </c>
      <c r="K619" s="6">
        <f t="shared" si="197"/>
        <v>219.91500862719246</v>
      </c>
      <c r="L619" s="6">
        <f>MOD(K619-Settings!$B$32,Settings!$B$33)</f>
        <v>219.91500862719246</v>
      </c>
      <c r="M619" s="6">
        <f>IF(L619&lt;Settings!$B$30,IF(Settings!$B$30-L619&gt;=I619,K619,K619+(Settings!$B$30-L619)+Settings!$B$31),K619+(Settings!$B$33-L619))</f>
        <v>219.91500862719246</v>
      </c>
      <c r="N619" s="6">
        <f t="shared" si="198"/>
        <v>225.93500862719247</v>
      </c>
      <c r="O619" s="6">
        <f t="shared" si="199"/>
        <v>28.935008627192474</v>
      </c>
      <c r="P619" s="6">
        <f t="shared" si="200"/>
        <v>12.626643963840536</v>
      </c>
      <c r="Q619" s="6">
        <f t="shared" si="201"/>
        <v>0</v>
      </c>
      <c r="R619" s="6">
        <f t="shared" si="202"/>
        <v>0</v>
      </c>
      <c r="S619" s="6">
        <f t="shared" si="203"/>
        <v>12.626643963840536</v>
      </c>
      <c r="T619" s="6" t="str">
        <f>IF(MOD(C619-Settings!$B$32,Settings!$B$33)&lt;Settings!$B$30,"Up","Down")</f>
        <v>Up</v>
      </c>
      <c r="U619" s="6">
        <f>IF(OR(I619&gt;Settings!$B$30,O619&gt;Settings!$B$37),0,1)</f>
        <v>1</v>
      </c>
      <c r="V619" s="6">
        <f>IF(AND(U619=1,O619&lt;=Settings!$B$36),1,0)</f>
        <v>1</v>
      </c>
    </row>
    <row r="620" spans="1:22" x14ac:dyDescent="0.2">
      <c r="A620">
        <f>Arrivals!A620</f>
        <v>6</v>
      </c>
      <c r="B620">
        <f>Arrivals!B620</f>
        <v>15</v>
      </c>
      <c r="C620" s="6">
        <f>Arrivals!F620</f>
        <v>202</v>
      </c>
      <c r="D620" s="6">
        <f>Arrivals!J620</f>
        <v>1.8198203673704847</v>
      </c>
      <c r="E620" s="6">
        <f t="shared" si="204"/>
        <v>219.91500862719246</v>
      </c>
      <c r="F620" s="6">
        <f t="shared" si="195"/>
        <v>219.91500862719246</v>
      </c>
      <c r="G620" s="6">
        <f t="shared" si="196"/>
        <v>221.73482899456295</v>
      </c>
      <c r="H620" s="6">
        <f>Arrivals!L620</f>
        <v>75</v>
      </c>
      <c r="I620" s="6">
        <f>H620*8/ACE_Input!S20+ACE_Input!T20</f>
        <v>6.02</v>
      </c>
      <c r="J620" s="6">
        <f t="shared" si="205"/>
        <v>225.93500862719247</v>
      </c>
      <c r="K620" s="6">
        <f t="shared" si="197"/>
        <v>225.93500862719247</v>
      </c>
      <c r="L620" s="6">
        <f>MOD(K620-Settings!$B$32,Settings!$B$33)</f>
        <v>225.93500862719247</v>
      </c>
      <c r="M620" s="6">
        <f>IF(L620&lt;Settings!$B$30,IF(Settings!$B$30-L620&gt;=I620,K620,K620+(Settings!$B$30-L620)+Settings!$B$31),K620+(Settings!$B$33-L620))</f>
        <v>225.93500862719247</v>
      </c>
      <c r="N620" s="6">
        <f t="shared" si="198"/>
        <v>231.95500862719248</v>
      </c>
      <c r="O620" s="6">
        <f t="shared" si="199"/>
        <v>29.955008627192484</v>
      </c>
      <c r="P620" s="6">
        <f t="shared" si="200"/>
        <v>17.915008627192464</v>
      </c>
      <c r="Q620" s="6">
        <f t="shared" si="201"/>
        <v>4.2001796326295278</v>
      </c>
      <c r="R620" s="6">
        <f t="shared" si="202"/>
        <v>0</v>
      </c>
      <c r="S620" s="6">
        <f t="shared" si="203"/>
        <v>22.115188259821991</v>
      </c>
      <c r="T620" s="6" t="str">
        <f>IF(MOD(C620-Settings!$B$32,Settings!$B$33)&lt;Settings!$B$30,"Up","Down")</f>
        <v>Up</v>
      </c>
      <c r="U620" s="6">
        <f>IF(OR(I620&gt;Settings!$B$30,O620&gt;Settings!$B$37),0,1)</f>
        <v>1</v>
      </c>
      <c r="V620" s="6">
        <f>IF(AND(U620=1,O620&lt;=Settings!$B$36),1,0)</f>
        <v>1</v>
      </c>
    </row>
    <row r="621" spans="1:22" x14ac:dyDescent="0.2">
      <c r="A621">
        <f>Arrivals!A621</f>
        <v>6</v>
      </c>
      <c r="B621">
        <f>Arrivals!B621</f>
        <v>16</v>
      </c>
      <c r="C621" s="6">
        <f>Arrivals!F621</f>
        <v>207</v>
      </c>
      <c r="D621" s="6">
        <f>Arrivals!J621</f>
        <v>37.116921284167795</v>
      </c>
      <c r="E621" s="6">
        <f t="shared" si="204"/>
        <v>221.73482899456295</v>
      </c>
      <c r="F621" s="6">
        <f t="shared" si="195"/>
        <v>221.73482899456295</v>
      </c>
      <c r="G621" s="6">
        <f t="shared" si="196"/>
        <v>258.85175027873072</v>
      </c>
      <c r="H621" s="6">
        <f>Arrivals!L621</f>
        <v>75</v>
      </c>
      <c r="I621" s="6">
        <f>H621*8/ACE_Input!S21+ACE_Input!T21</f>
        <v>6.02</v>
      </c>
      <c r="J621" s="6">
        <f t="shared" si="205"/>
        <v>231.95500862719248</v>
      </c>
      <c r="K621" s="6">
        <f t="shared" si="197"/>
        <v>258.85175027873072</v>
      </c>
      <c r="L621" s="6">
        <f>MOD(K621-Settings!$B$32,Settings!$B$33)</f>
        <v>258.85175027873072</v>
      </c>
      <c r="M621" s="6">
        <f>IF(L621&lt;Settings!$B$30,IF(Settings!$B$30-L621&gt;=I621,K621,K621+(Settings!$B$30-L621)+Settings!$B$31),K621+(Settings!$B$33-L621))</f>
        <v>258.85175027873072</v>
      </c>
      <c r="N621" s="6">
        <f t="shared" si="198"/>
        <v>264.8717502787307</v>
      </c>
      <c r="O621" s="6">
        <f t="shared" si="199"/>
        <v>57.871750278730701</v>
      </c>
      <c r="P621" s="6">
        <f t="shared" si="200"/>
        <v>14.734828994562946</v>
      </c>
      <c r="Q621" s="6">
        <f t="shared" si="201"/>
        <v>0</v>
      </c>
      <c r="R621" s="6">
        <f t="shared" si="202"/>
        <v>0</v>
      </c>
      <c r="S621" s="6">
        <f t="shared" si="203"/>
        <v>14.734828994562946</v>
      </c>
      <c r="T621" s="6" t="str">
        <f>IF(MOD(C621-Settings!$B$32,Settings!$B$33)&lt;Settings!$B$30,"Up","Down")</f>
        <v>Up</v>
      </c>
      <c r="U621" s="6">
        <f>IF(OR(I621&gt;Settings!$B$30,O621&gt;Settings!$B$37),0,1)</f>
        <v>1</v>
      </c>
      <c r="V621" s="6">
        <f>IF(AND(U621=1,O621&lt;=Settings!$B$36),1,0)</f>
        <v>1</v>
      </c>
    </row>
    <row r="622" spans="1:22" x14ac:dyDescent="0.2">
      <c r="A622">
        <f>Arrivals!A622</f>
        <v>6</v>
      </c>
      <c r="B622">
        <f>Arrivals!B622</f>
        <v>17</v>
      </c>
      <c r="C622" s="6">
        <f>Arrivals!F622</f>
        <v>212</v>
      </c>
      <c r="D622" s="6">
        <f>Arrivals!J622</f>
        <v>10.935730125541642</v>
      </c>
      <c r="E622" s="6">
        <f t="shared" si="204"/>
        <v>258.85175027873072</v>
      </c>
      <c r="F622" s="6">
        <f t="shared" si="195"/>
        <v>258.85175027873072</v>
      </c>
      <c r="G622" s="6">
        <f t="shared" si="196"/>
        <v>269.78748040427234</v>
      </c>
      <c r="H622" s="6">
        <f>Arrivals!L622</f>
        <v>75</v>
      </c>
      <c r="I622" s="6">
        <f>H622*8/ACE_Input!S22+ACE_Input!T22</f>
        <v>6.02</v>
      </c>
      <c r="J622" s="6">
        <f t="shared" si="205"/>
        <v>264.8717502787307</v>
      </c>
      <c r="K622" s="6">
        <f t="shared" si="197"/>
        <v>269.78748040427234</v>
      </c>
      <c r="L622" s="6">
        <f>MOD(K622-Settings!$B$32,Settings!$B$33)</f>
        <v>269.78748040427234</v>
      </c>
      <c r="M622" s="6">
        <f>IF(L622&lt;Settings!$B$30,IF(Settings!$B$30-L622&gt;=I622,K622,K622+(Settings!$B$30-L622)+Settings!$B$31),K622+(Settings!$B$33-L622))</f>
        <v>269.78748040427234</v>
      </c>
      <c r="N622" s="6">
        <f t="shared" si="198"/>
        <v>275.80748040427233</v>
      </c>
      <c r="O622" s="6">
        <f t="shared" si="199"/>
        <v>63.807480404272326</v>
      </c>
      <c r="P622" s="6">
        <f t="shared" si="200"/>
        <v>46.851750278730719</v>
      </c>
      <c r="Q622" s="6">
        <f t="shared" si="201"/>
        <v>0</v>
      </c>
      <c r="R622" s="6">
        <f t="shared" si="202"/>
        <v>0</v>
      </c>
      <c r="S622" s="6">
        <f t="shared" si="203"/>
        <v>46.851750278730719</v>
      </c>
      <c r="T622" s="6" t="str">
        <f>IF(MOD(C622-Settings!$B$32,Settings!$B$33)&lt;Settings!$B$30,"Up","Down")</f>
        <v>Up</v>
      </c>
      <c r="U622" s="6">
        <f>IF(OR(I622&gt;Settings!$B$30,O622&gt;Settings!$B$37),0,1)</f>
        <v>1</v>
      </c>
      <c r="V622" s="6">
        <f>IF(AND(U622=1,O622&lt;=Settings!$B$36),1,0)</f>
        <v>1</v>
      </c>
    </row>
    <row r="623" spans="1:22" x14ac:dyDescent="0.2">
      <c r="A623">
        <f>Arrivals!A623</f>
        <v>6</v>
      </c>
      <c r="B623">
        <f>Arrivals!B623</f>
        <v>18</v>
      </c>
      <c r="C623" s="6">
        <f>Arrivals!F623</f>
        <v>217</v>
      </c>
      <c r="D623" s="6">
        <f>Arrivals!J623</f>
        <v>12.183708733893987</v>
      </c>
      <c r="E623" s="6">
        <f t="shared" si="204"/>
        <v>269.78748040427234</v>
      </c>
      <c r="F623" s="6">
        <f t="shared" si="195"/>
        <v>269.78748040427234</v>
      </c>
      <c r="G623" s="6">
        <f t="shared" si="196"/>
        <v>281.97118913816632</v>
      </c>
      <c r="H623" s="6">
        <f>Arrivals!L623</f>
        <v>75</v>
      </c>
      <c r="I623" s="6">
        <f>H623*8/ACE_Input!S23+ACE_Input!T23</f>
        <v>6.02</v>
      </c>
      <c r="J623" s="6">
        <f t="shared" si="205"/>
        <v>275.80748040427233</v>
      </c>
      <c r="K623" s="6">
        <f t="shared" si="197"/>
        <v>281.97118913816632</v>
      </c>
      <c r="L623" s="6">
        <f>MOD(K623-Settings!$B$32,Settings!$B$33)</f>
        <v>281.97118913816632</v>
      </c>
      <c r="M623" s="6">
        <f>IF(L623&lt;Settings!$B$30,IF(Settings!$B$30-L623&gt;=I623,K623,K623+(Settings!$B$30-L623)+Settings!$B$31),K623+(Settings!$B$33-L623))</f>
        <v>281.97118913816632</v>
      </c>
      <c r="N623" s="6">
        <f t="shared" si="198"/>
        <v>287.99118913816631</v>
      </c>
      <c r="O623" s="6">
        <f t="shared" si="199"/>
        <v>70.991189138166305</v>
      </c>
      <c r="P623" s="6">
        <f t="shared" si="200"/>
        <v>52.787480404272344</v>
      </c>
      <c r="Q623" s="6">
        <f t="shared" si="201"/>
        <v>0</v>
      </c>
      <c r="R623" s="6">
        <f t="shared" si="202"/>
        <v>0</v>
      </c>
      <c r="S623" s="6">
        <f t="shared" si="203"/>
        <v>52.787480404272344</v>
      </c>
      <c r="T623" s="6" t="str">
        <f>IF(MOD(C623-Settings!$B$32,Settings!$B$33)&lt;Settings!$B$30,"Up","Down")</f>
        <v>Up</v>
      </c>
      <c r="U623" s="6">
        <f>IF(OR(I623&gt;Settings!$B$30,O623&gt;Settings!$B$37),0,1)</f>
        <v>1</v>
      </c>
      <c r="V623" s="6">
        <f>IF(AND(U623=1,O623&lt;=Settings!$B$36),1,0)</f>
        <v>1</v>
      </c>
    </row>
    <row r="624" spans="1:22" x14ac:dyDescent="0.2">
      <c r="A624">
        <f>Arrivals!A624</f>
        <v>6</v>
      </c>
      <c r="B624">
        <f>Arrivals!B624</f>
        <v>19</v>
      </c>
      <c r="C624" s="6">
        <f>Arrivals!F624</f>
        <v>222</v>
      </c>
      <c r="D624" s="6">
        <f>Arrivals!J624</f>
        <v>50.026862793246003</v>
      </c>
      <c r="E624" s="6">
        <f t="shared" si="204"/>
        <v>281.97118913816632</v>
      </c>
      <c r="F624" s="6">
        <f t="shared" si="195"/>
        <v>281.97118913816632</v>
      </c>
      <c r="G624" s="6">
        <f t="shared" si="196"/>
        <v>331.99805193141231</v>
      </c>
      <c r="H624" s="6">
        <f>Arrivals!L624</f>
        <v>75</v>
      </c>
      <c r="I624" s="6">
        <f>H624*8/ACE_Input!S24+ACE_Input!T24</f>
        <v>6.02</v>
      </c>
      <c r="J624" s="6">
        <f t="shared" si="205"/>
        <v>287.99118913816631</v>
      </c>
      <c r="K624" s="6">
        <f t="shared" si="197"/>
        <v>331.99805193141231</v>
      </c>
      <c r="L624" s="6">
        <f>MOD(K624-Settings!$B$32,Settings!$B$33)</f>
        <v>331.99805193141231</v>
      </c>
      <c r="M624" s="6">
        <f>IF(L624&lt;Settings!$B$30,IF(Settings!$B$30-L624&gt;=I624,K624,K624+(Settings!$B$30-L624)+Settings!$B$31),K624+(Settings!$B$33-L624))</f>
        <v>331.99805193141231</v>
      </c>
      <c r="N624" s="6">
        <f t="shared" si="198"/>
        <v>338.01805193141229</v>
      </c>
      <c r="O624" s="6">
        <f t="shared" si="199"/>
        <v>116.01805193141229</v>
      </c>
      <c r="P624" s="6">
        <f t="shared" si="200"/>
        <v>59.971189138166324</v>
      </c>
      <c r="Q624" s="6">
        <f t="shared" si="201"/>
        <v>0</v>
      </c>
      <c r="R624" s="6">
        <f t="shared" si="202"/>
        <v>0</v>
      </c>
      <c r="S624" s="6">
        <f t="shared" si="203"/>
        <v>59.971189138166324</v>
      </c>
      <c r="T624" s="6" t="str">
        <f>IF(MOD(C624-Settings!$B$32,Settings!$B$33)&lt;Settings!$B$30,"Up","Down")</f>
        <v>Up</v>
      </c>
      <c r="U624" s="6">
        <f>IF(OR(I624&gt;Settings!$B$30,O624&gt;Settings!$B$37),0,1)</f>
        <v>1</v>
      </c>
      <c r="V624" s="6">
        <f>IF(AND(U624=1,O624&lt;=Settings!$B$36),1,0)</f>
        <v>1</v>
      </c>
    </row>
    <row r="625" spans="1:22" x14ac:dyDescent="0.2">
      <c r="A625">
        <f>Arrivals!A625</f>
        <v>6</v>
      </c>
      <c r="B625">
        <f>Arrivals!B625</f>
        <v>20</v>
      </c>
      <c r="C625" s="6">
        <f>Arrivals!F625</f>
        <v>227</v>
      </c>
      <c r="D625" s="6">
        <f>Arrivals!J625</f>
        <v>0.11322015542186199</v>
      </c>
      <c r="E625" s="6">
        <f t="shared" si="204"/>
        <v>331.99805193141231</v>
      </c>
      <c r="F625" s="6">
        <f t="shared" si="195"/>
        <v>331.99805193141231</v>
      </c>
      <c r="G625" s="6">
        <f t="shared" si="196"/>
        <v>332.11127208683416</v>
      </c>
      <c r="H625" s="6">
        <f>Arrivals!L625</f>
        <v>75</v>
      </c>
      <c r="I625" s="6">
        <f>H625*8/ACE_Input!S25+ACE_Input!T25</f>
        <v>6.02</v>
      </c>
      <c r="J625" s="6">
        <f t="shared" si="205"/>
        <v>338.01805193141229</v>
      </c>
      <c r="K625" s="6">
        <f t="shared" si="197"/>
        <v>338.01805193141229</v>
      </c>
      <c r="L625" s="6">
        <f>MOD(K625-Settings!$B$32,Settings!$B$33)</f>
        <v>338.01805193141229</v>
      </c>
      <c r="M625" s="6">
        <f>IF(L625&lt;Settings!$B$30,IF(Settings!$B$30-L625&gt;=I625,K625,K625+(Settings!$B$30-L625)+Settings!$B$31),K625+(Settings!$B$33-L625))</f>
        <v>338.01805193141229</v>
      </c>
      <c r="N625" s="6">
        <f t="shared" si="198"/>
        <v>344.03805193141227</v>
      </c>
      <c r="O625" s="6">
        <f t="shared" si="199"/>
        <v>117.03805193141227</v>
      </c>
      <c r="P625" s="6">
        <f t="shared" si="200"/>
        <v>104.99805193141231</v>
      </c>
      <c r="Q625" s="6">
        <f t="shared" si="201"/>
        <v>5.906779844578125</v>
      </c>
      <c r="R625" s="6">
        <f t="shared" si="202"/>
        <v>0</v>
      </c>
      <c r="S625" s="6">
        <f t="shared" si="203"/>
        <v>110.90483177599043</v>
      </c>
      <c r="T625" s="6" t="str">
        <f>IF(MOD(C625-Settings!$B$32,Settings!$B$33)&lt;Settings!$B$30,"Up","Down")</f>
        <v>Up</v>
      </c>
      <c r="U625" s="6">
        <f>IF(OR(I625&gt;Settings!$B$30,O625&gt;Settings!$B$37),0,1)</f>
        <v>1</v>
      </c>
      <c r="V625" s="6">
        <f>IF(AND(U625=1,O625&lt;=Settings!$B$36),1,0)</f>
        <v>1</v>
      </c>
    </row>
    <row r="626" spans="1:22" x14ac:dyDescent="0.2">
      <c r="A626">
        <f>Arrivals!A626</f>
        <v>6</v>
      </c>
      <c r="B626">
        <f>Arrivals!B626</f>
        <v>21</v>
      </c>
      <c r="C626" s="6">
        <f>Arrivals!F626</f>
        <v>232</v>
      </c>
      <c r="D626" s="6">
        <f>Arrivals!J626</f>
        <v>21.160494526173373</v>
      </c>
      <c r="E626" s="6">
        <f t="shared" si="204"/>
        <v>332.11127208683416</v>
      </c>
      <c r="F626" s="6">
        <f t="shared" si="195"/>
        <v>332.11127208683416</v>
      </c>
      <c r="G626" s="6">
        <f t="shared" si="196"/>
        <v>353.27176661300751</v>
      </c>
      <c r="H626" s="6">
        <f>Arrivals!L626</f>
        <v>75</v>
      </c>
      <c r="I626" s="6">
        <f>H626*8/ACE_Input!S26+ACE_Input!T26</f>
        <v>6.02</v>
      </c>
      <c r="J626" s="6">
        <f t="shared" si="205"/>
        <v>344.03805193141227</v>
      </c>
      <c r="K626" s="6">
        <f t="shared" si="197"/>
        <v>353.27176661300751</v>
      </c>
      <c r="L626" s="6">
        <f>MOD(K626-Settings!$B$32,Settings!$B$33)</f>
        <v>353.27176661300751</v>
      </c>
      <c r="M626" s="6">
        <f>IF(L626&lt;Settings!$B$30,IF(Settings!$B$30-L626&gt;=I626,K626,K626+(Settings!$B$30-L626)+Settings!$B$31),K626+(Settings!$B$33-L626))</f>
        <v>353.27176661300751</v>
      </c>
      <c r="N626" s="6">
        <f t="shared" si="198"/>
        <v>359.2917666130075</v>
      </c>
      <c r="O626" s="6">
        <f t="shared" si="199"/>
        <v>127.2917666130075</v>
      </c>
      <c r="P626" s="6">
        <f t="shared" si="200"/>
        <v>100.11127208683416</v>
      </c>
      <c r="Q626" s="6">
        <f t="shared" si="201"/>
        <v>0</v>
      </c>
      <c r="R626" s="6">
        <f t="shared" si="202"/>
        <v>0</v>
      </c>
      <c r="S626" s="6">
        <f t="shared" si="203"/>
        <v>100.11127208683416</v>
      </c>
      <c r="T626" s="6" t="str">
        <f>IF(MOD(C626-Settings!$B$32,Settings!$B$33)&lt;Settings!$B$30,"Up","Down")</f>
        <v>Up</v>
      </c>
      <c r="U626" s="6">
        <f>IF(OR(I626&gt;Settings!$B$30,O626&gt;Settings!$B$37),0,1)</f>
        <v>1</v>
      </c>
      <c r="V626" s="6">
        <f>IF(AND(U626=1,O626&lt;=Settings!$B$36),1,0)</f>
        <v>0</v>
      </c>
    </row>
    <row r="627" spans="1:22" x14ac:dyDescent="0.2">
      <c r="A627">
        <f>Arrivals!A627</f>
        <v>6</v>
      </c>
      <c r="B627">
        <f>Arrivals!B627</f>
        <v>22</v>
      </c>
      <c r="C627" s="6">
        <f>Arrivals!F627</f>
        <v>237</v>
      </c>
      <c r="D627" s="6">
        <f>Arrivals!J627</f>
        <v>2.4285922245804774</v>
      </c>
      <c r="E627" s="6">
        <f t="shared" si="204"/>
        <v>353.27176661300751</v>
      </c>
      <c r="F627" s="6">
        <f t="shared" si="195"/>
        <v>353.27176661300751</v>
      </c>
      <c r="G627" s="6">
        <f t="shared" si="196"/>
        <v>355.700358837588</v>
      </c>
      <c r="H627" s="6">
        <f>Arrivals!L627</f>
        <v>75</v>
      </c>
      <c r="I627" s="6">
        <f>H627*8/ACE_Input!S27+ACE_Input!T27</f>
        <v>6.02</v>
      </c>
      <c r="J627" s="6">
        <f t="shared" si="205"/>
        <v>359.2917666130075</v>
      </c>
      <c r="K627" s="6">
        <f t="shared" si="197"/>
        <v>359.2917666130075</v>
      </c>
      <c r="L627" s="6">
        <f>MOD(K627-Settings!$B$32,Settings!$B$33)</f>
        <v>359.2917666130075</v>
      </c>
      <c r="M627" s="6">
        <f>IF(L627&lt;Settings!$B$30,IF(Settings!$B$30-L627&gt;=I627,K627,K627+(Settings!$B$30-L627)+Settings!$B$31),K627+(Settings!$B$33-L627))</f>
        <v>359.2917666130075</v>
      </c>
      <c r="N627" s="6">
        <f t="shared" si="198"/>
        <v>365.31176661300748</v>
      </c>
      <c r="O627" s="6">
        <f t="shared" si="199"/>
        <v>128.31176661300748</v>
      </c>
      <c r="P627" s="6">
        <f t="shared" si="200"/>
        <v>116.27176661300751</v>
      </c>
      <c r="Q627" s="6">
        <f t="shared" si="201"/>
        <v>3.5914077754194977</v>
      </c>
      <c r="R627" s="6">
        <f t="shared" si="202"/>
        <v>0</v>
      </c>
      <c r="S627" s="6">
        <f t="shared" si="203"/>
        <v>119.86317438842701</v>
      </c>
      <c r="T627" s="6" t="str">
        <f>IF(MOD(C627-Settings!$B$32,Settings!$B$33)&lt;Settings!$B$30,"Up","Down")</f>
        <v>Up</v>
      </c>
      <c r="U627" s="6">
        <f>IF(OR(I627&gt;Settings!$B$30,O627&gt;Settings!$B$37),0,1)</f>
        <v>1</v>
      </c>
      <c r="V627" s="6">
        <f>IF(AND(U627=1,O627&lt;=Settings!$B$36),1,0)</f>
        <v>0</v>
      </c>
    </row>
    <row r="628" spans="1:22" x14ac:dyDescent="0.2">
      <c r="A628">
        <f>Arrivals!A628</f>
        <v>6</v>
      </c>
      <c r="B628">
        <f>Arrivals!B628</f>
        <v>23</v>
      </c>
      <c r="C628" s="6">
        <f>Arrivals!F628</f>
        <v>242</v>
      </c>
      <c r="D628" s="6">
        <f>Arrivals!J628</f>
        <v>4.984844188082608</v>
      </c>
      <c r="E628" s="6">
        <f t="shared" si="204"/>
        <v>355.700358837588</v>
      </c>
      <c r="F628" s="6">
        <f t="shared" si="195"/>
        <v>355.700358837588</v>
      </c>
      <c r="G628" s="6">
        <f t="shared" si="196"/>
        <v>360.6852030256706</v>
      </c>
      <c r="H628" s="6">
        <f>Arrivals!L628</f>
        <v>75</v>
      </c>
      <c r="I628" s="6">
        <f>H628*8/ACE_Input!S28+ACE_Input!T28</f>
        <v>6.02</v>
      </c>
      <c r="J628" s="6">
        <f t="shared" si="205"/>
        <v>365.31176661300748</v>
      </c>
      <c r="K628" s="6">
        <f t="shared" si="197"/>
        <v>365.31176661300748</v>
      </c>
      <c r="L628" s="6">
        <f>MOD(K628-Settings!$B$32,Settings!$B$33)</f>
        <v>365.31176661300748</v>
      </c>
      <c r="M628" s="6">
        <f>IF(L628&lt;Settings!$B$30,IF(Settings!$B$30-L628&gt;=I628,K628,K628+(Settings!$B$30-L628)+Settings!$B$31),K628+(Settings!$B$33-L628))</f>
        <v>365.31176661300748</v>
      </c>
      <c r="N628" s="6">
        <f t="shared" si="198"/>
        <v>371.33176661300746</v>
      </c>
      <c r="O628" s="6">
        <f t="shared" si="199"/>
        <v>129.33176661300746</v>
      </c>
      <c r="P628" s="6">
        <f t="shared" si="200"/>
        <v>113.700358837588</v>
      </c>
      <c r="Q628" s="6">
        <f t="shared" si="201"/>
        <v>4.6265635873368751</v>
      </c>
      <c r="R628" s="6">
        <f t="shared" si="202"/>
        <v>0</v>
      </c>
      <c r="S628" s="6">
        <f t="shared" si="203"/>
        <v>118.32692242492487</v>
      </c>
      <c r="T628" s="6" t="str">
        <f>IF(MOD(C628-Settings!$B$32,Settings!$B$33)&lt;Settings!$B$30,"Up","Down")</f>
        <v>Up</v>
      </c>
      <c r="U628" s="6">
        <f>IF(OR(I628&gt;Settings!$B$30,O628&gt;Settings!$B$37),0,1)</f>
        <v>1</v>
      </c>
      <c r="V628" s="6">
        <f>IF(AND(U628=1,O628&lt;=Settings!$B$36),1,0)</f>
        <v>0</v>
      </c>
    </row>
    <row r="629" spans="1:22" x14ac:dyDescent="0.2">
      <c r="A629">
        <f>Arrivals!A629</f>
        <v>6</v>
      </c>
      <c r="B629">
        <f>Arrivals!B629</f>
        <v>24</v>
      </c>
      <c r="C629" s="6">
        <f>Arrivals!F629</f>
        <v>247</v>
      </c>
      <c r="D629" s="6">
        <f>Arrivals!J629</f>
        <v>1.8126869556388407</v>
      </c>
      <c r="E629" s="6">
        <f t="shared" si="204"/>
        <v>360.6852030256706</v>
      </c>
      <c r="F629" s="6">
        <f t="shared" si="195"/>
        <v>360.6852030256706</v>
      </c>
      <c r="G629" s="6">
        <f t="shared" si="196"/>
        <v>362.49788998130947</v>
      </c>
      <c r="H629" s="6">
        <f>Arrivals!L629</f>
        <v>75</v>
      </c>
      <c r="I629" s="6">
        <f>H629*8/ACE_Input!S29+ACE_Input!T29</f>
        <v>6.02</v>
      </c>
      <c r="J629" s="6">
        <f t="shared" si="205"/>
        <v>371.33176661300746</v>
      </c>
      <c r="K629" s="6">
        <f t="shared" si="197"/>
        <v>371.33176661300746</v>
      </c>
      <c r="L629" s="6">
        <f>MOD(K629-Settings!$B$32,Settings!$B$33)</f>
        <v>371.33176661300746</v>
      </c>
      <c r="M629" s="6">
        <f>IF(L629&lt;Settings!$B$30,IF(Settings!$B$30-L629&gt;=I629,K629,K629+(Settings!$B$30-L629)+Settings!$B$31),K629+(Settings!$B$33-L629))</f>
        <v>371.33176661300746</v>
      </c>
      <c r="N629" s="6">
        <f t="shared" si="198"/>
        <v>377.35176661300744</v>
      </c>
      <c r="O629" s="6">
        <f t="shared" si="199"/>
        <v>130.35176661300744</v>
      </c>
      <c r="P629" s="6">
        <f t="shared" si="200"/>
        <v>113.6852030256706</v>
      </c>
      <c r="Q629" s="6">
        <f t="shared" si="201"/>
        <v>8.83387663169799</v>
      </c>
      <c r="R629" s="6">
        <f t="shared" si="202"/>
        <v>0</v>
      </c>
      <c r="S629" s="6">
        <f t="shared" si="203"/>
        <v>122.51907965736859</v>
      </c>
      <c r="T629" s="6" t="str">
        <f>IF(MOD(C629-Settings!$B$32,Settings!$B$33)&lt;Settings!$B$30,"Up","Down")</f>
        <v>Up</v>
      </c>
      <c r="U629" s="6">
        <f>IF(OR(I629&gt;Settings!$B$30,O629&gt;Settings!$B$37),0,1)</f>
        <v>1</v>
      </c>
      <c r="V629" s="6">
        <f>IF(AND(U629=1,O629&lt;=Settings!$B$36),1,0)</f>
        <v>0</v>
      </c>
    </row>
    <row r="630" spans="1:22" x14ac:dyDescent="0.2">
      <c r="A630">
        <f>Arrivals!A630</f>
        <v>6</v>
      </c>
      <c r="B630">
        <f>Arrivals!B630</f>
        <v>25</v>
      </c>
      <c r="C630" s="6">
        <f>Arrivals!F630</f>
        <v>252</v>
      </c>
      <c r="D630" s="6">
        <f>Arrivals!J630</f>
        <v>5.4873733981381889</v>
      </c>
      <c r="E630" s="6">
        <f t="shared" si="204"/>
        <v>362.49788998130947</v>
      </c>
      <c r="F630" s="6">
        <f t="shared" si="195"/>
        <v>362.49788998130947</v>
      </c>
      <c r="G630" s="6">
        <f t="shared" si="196"/>
        <v>367.98526337944764</v>
      </c>
      <c r="H630" s="6">
        <f>Arrivals!L630</f>
        <v>75</v>
      </c>
      <c r="I630" s="6">
        <f>H630*8/ACE_Input!S30+ACE_Input!T30</f>
        <v>6.02</v>
      </c>
      <c r="J630" s="6">
        <f t="shared" si="205"/>
        <v>377.35176661300744</v>
      </c>
      <c r="K630" s="6">
        <f t="shared" si="197"/>
        <v>377.35176661300744</v>
      </c>
      <c r="L630" s="6">
        <f>MOD(K630-Settings!$B$32,Settings!$B$33)</f>
        <v>377.35176661300744</v>
      </c>
      <c r="M630" s="6">
        <f>IF(L630&lt;Settings!$B$30,IF(Settings!$B$30-L630&gt;=I630,K630,K630+(Settings!$B$30-L630)+Settings!$B$31),K630+(Settings!$B$33-L630))</f>
        <v>377.35176661300744</v>
      </c>
      <c r="N630" s="6">
        <f t="shared" si="198"/>
        <v>383.37176661300742</v>
      </c>
      <c r="O630" s="6">
        <f t="shared" si="199"/>
        <v>131.37176661300742</v>
      </c>
      <c r="P630" s="6">
        <f t="shared" si="200"/>
        <v>110.49788998130947</v>
      </c>
      <c r="Q630" s="6">
        <f t="shared" si="201"/>
        <v>9.3665032335597971</v>
      </c>
      <c r="R630" s="6">
        <f t="shared" si="202"/>
        <v>0</v>
      </c>
      <c r="S630" s="6">
        <f t="shared" si="203"/>
        <v>119.86439321486927</v>
      </c>
      <c r="T630" s="6" t="str">
        <f>IF(MOD(C630-Settings!$B$32,Settings!$B$33)&lt;Settings!$B$30,"Up","Down")</f>
        <v>Up</v>
      </c>
      <c r="U630" s="6">
        <f>IF(OR(I630&gt;Settings!$B$30,O630&gt;Settings!$B$37),0,1)</f>
        <v>1</v>
      </c>
      <c r="V630" s="6">
        <f>IF(AND(U630=1,O630&lt;=Settings!$B$36),1,0)</f>
        <v>0</v>
      </c>
    </row>
    <row r="631" spans="1:22" x14ac:dyDescent="0.2">
      <c r="A631">
        <f>Arrivals!A631</f>
        <v>6</v>
      </c>
      <c r="B631">
        <f>Arrivals!B631</f>
        <v>26</v>
      </c>
      <c r="C631" s="6">
        <f>Arrivals!F631</f>
        <v>257</v>
      </c>
      <c r="D631" s="6">
        <f>Arrivals!J631</f>
        <v>1.6602149546054381</v>
      </c>
      <c r="E631" s="6">
        <f t="shared" si="204"/>
        <v>367.98526337944764</v>
      </c>
      <c r="F631" s="6">
        <f t="shared" si="195"/>
        <v>367.98526337944764</v>
      </c>
      <c r="G631" s="6">
        <f t="shared" si="196"/>
        <v>369.64547833405311</v>
      </c>
      <c r="H631" s="6">
        <f>Arrivals!L631</f>
        <v>75</v>
      </c>
      <c r="I631" s="6">
        <f>H631*8/ACE_Input!S31+ACE_Input!T31</f>
        <v>6.02</v>
      </c>
      <c r="J631" s="6">
        <f t="shared" si="205"/>
        <v>383.37176661300742</v>
      </c>
      <c r="K631" s="6">
        <f t="shared" si="197"/>
        <v>383.37176661300742</v>
      </c>
      <c r="L631" s="6">
        <f>MOD(K631-Settings!$B$32,Settings!$B$33)</f>
        <v>383.37176661300742</v>
      </c>
      <c r="M631" s="6">
        <f>IF(L631&lt;Settings!$B$30,IF(Settings!$B$30-L631&gt;=I631,K631,K631+(Settings!$B$30-L631)+Settings!$B$31),K631+(Settings!$B$33-L631))</f>
        <v>383.37176661300742</v>
      </c>
      <c r="N631" s="6">
        <f t="shared" si="198"/>
        <v>389.39176661300741</v>
      </c>
      <c r="O631" s="6">
        <f t="shared" si="199"/>
        <v>132.39176661300741</v>
      </c>
      <c r="P631" s="6">
        <f t="shared" si="200"/>
        <v>110.98526337944764</v>
      </c>
      <c r="Q631" s="6">
        <f t="shared" si="201"/>
        <v>13.726288278954314</v>
      </c>
      <c r="R631" s="6">
        <f t="shared" si="202"/>
        <v>0</v>
      </c>
      <c r="S631" s="6">
        <f t="shared" si="203"/>
        <v>124.71155165840196</v>
      </c>
      <c r="T631" s="6" t="str">
        <f>IF(MOD(C631-Settings!$B$32,Settings!$B$33)&lt;Settings!$B$30,"Up","Down")</f>
        <v>Up</v>
      </c>
      <c r="U631" s="6">
        <f>IF(OR(I631&gt;Settings!$B$30,O631&gt;Settings!$B$37),0,1)</f>
        <v>1</v>
      </c>
      <c r="V631" s="6">
        <f>IF(AND(U631=1,O631&lt;=Settings!$B$36),1,0)</f>
        <v>0</v>
      </c>
    </row>
    <row r="632" spans="1:22" x14ac:dyDescent="0.2">
      <c r="A632">
        <f>Arrivals!A632</f>
        <v>6</v>
      </c>
      <c r="B632">
        <f>Arrivals!B632</f>
        <v>27</v>
      </c>
      <c r="C632" s="6">
        <f>Arrivals!F632</f>
        <v>262</v>
      </c>
      <c r="D632" s="6">
        <f>Arrivals!J632</f>
        <v>10.57758906496662</v>
      </c>
      <c r="E632" s="6">
        <f t="shared" si="204"/>
        <v>369.64547833405311</v>
      </c>
      <c r="F632" s="6">
        <f t="shared" si="195"/>
        <v>369.64547833405311</v>
      </c>
      <c r="G632" s="6">
        <f t="shared" si="196"/>
        <v>380.22306739901973</v>
      </c>
      <c r="H632" s="6">
        <f>Arrivals!L632</f>
        <v>75</v>
      </c>
      <c r="I632" s="6">
        <f>H632*8/ACE_Input!S32+ACE_Input!T32</f>
        <v>6.02</v>
      </c>
      <c r="J632" s="6">
        <f t="shared" si="205"/>
        <v>389.39176661300741</v>
      </c>
      <c r="K632" s="6">
        <f t="shared" si="197"/>
        <v>389.39176661300741</v>
      </c>
      <c r="L632" s="6">
        <f>MOD(K632-Settings!$B$32,Settings!$B$33)</f>
        <v>389.39176661300741</v>
      </c>
      <c r="M632" s="6">
        <f>IF(L632&lt;Settings!$B$30,IF(Settings!$B$30-L632&gt;=I632,K632,K632+(Settings!$B$30-L632)+Settings!$B$31),K632+(Settings!$B$33-L632))</f>
        <v>389.39176661300741</v>
      </c>
      <c r="N632" s="6">
        <f t="shared" si="198"/>
        <v>395.41176661300739</v>
      </c>
      <c r="O632" s="6">
        <f t="shared" si="199"/>
        <v>133.41176661300739</v>
      </c>
      <c r="P632" s="6">
        <f t="shared" si="200"/>
        <v>107.64547833405311</v>
      </c>
      <c r="Q632" s="6">
        <f t="shared" si="201"/>
        <v>9.1686992139876793</v>
      </c>
      <c r="R632" s="6">
        <f t="shared" si="202"/>
        <v>0</v>
      </c>
      <c r="S632" s="6">
        <f t="shared" si="203"/>
        <v>116.81417754804079</v>
      </c>
      <c r="T632" s="6" t="str">
        <f>IF(MOD(C632-Settings!$B$32,Settings!$B$33)&lt;Settings!$B$30,"Up","Down")</f>
        <v>Up</v>
      </c>
      <c r="U632" s="6">
        <f>IF(OR(I632&gt;Settings!$B$30,O632&gt;Settings!$B$37),0,1)</f>
        <v>1</v>
      </c>
      <c r="V632" s="6">
        <f>IF(AND(U632=1,O632&lt;=Settings!$B$36),1,0)</f>
        <v>0</v>
      </c>
    </row>
    <row r="633" spans="1:22" x14ac:dyDescent="0.2">
      <c r="A633">
        <f>Arrivals!A633</f>
        <v>6</v>
      </c>
      <c r="B633">
        <f>Arrivals!B633</f>
        <v>28</v>
      </c>
      <c r="C633" s="6">
        <f>Arrivals!F633</f>
        <v>268</v>
      </c>
      <c r="D633" s="6">
        <f>Arrivals!J633</f>
        <v>37.021365837235905</v>
      </c>
      <c r="E633" s="6">
        <f t="shared" si="204"/>
        <v>380.22306739901973</v>
      </c>
      <c r="F633" s="6">
        <f t="shared" si="195"/>
        <v>380.22306739901973</v>
      </c>
      <c r="G633" s="6">
        <f t="shared" si="196"/>
        <v>417.24443323625565</v>
      </c>
      <c r="H633" s="6">
        <f>Arrivals!L633</f>
        <v>75</v>
      </c>
      <c r="I633" s="6">
        <f>H633*8/ACE_Input!S33+ACE_Input!T33</f>
        <v>6.02</v>
      </c>
      <c r="J633" s="6">
        <f t="shared" si="205"/>
        <v>395.41176661300739</v>
      </c>
      <c r="K633" s="6">
        <f t="shared" si="197"/>
        <v>417.24443323625565</v>
      </c>
      <c r="L633" s="6">
        <f>MOD(K633-Settings!$B$32,Settings!$B$33)</f>
        <v>417.24443323625565</v>
      </c>
      <c r="M633" s="6">
        <f>IF(L633&lt;Settings!$B$30,IF(Settings!$B$30-L633&gt;=I633,K633,K633+(Settings!$B$30-L633)+Settings!$B$31),K633+(Settings!$B$33-L633))</f>
        <v>417.24443323625565</v>
      </c>
      <c r="N633" s="6">
        <f t="shared" si="198"/>
        <v>423.26443323625563</v>
      </c>
      <c r="O633" s="6">
        <f t="shared" si="199"/>
        <v>155.26443323625563</v>
      </c>
      <c r="P633" s="6">
        <f t="shared" si="200"/>
        <v>112.22306739901973</v>
      </c>
      <c r="Q633" s="6">
        <f t="shared" si="201"/>
        <v>0</v>
      </c>
      <c r="R633" s="6">
        <f t="shared" si="202"/>
        <v>0</v>
      </c>
      <c r="S633" s="6">
        <f t="shared" si="203"/>
        <v>112.22306739901973</v>
      </c>
      <c r="T633" s="6" t="str">
        <f>IF(MOD(C633-Settings!$B$32,Settings!$B$33)&lt;Settings!$B$30,"Up","Down")</f>
        <v>Up</v>
      </c>
      <c r="U633" s="6">
        <f>IF(OR(I633&gt;Settings!$B$30,O633&gt;Settings!$B$37),0,1)</f>
        <v>1</v>
      </c>
      <c r="V633" s="6">
        <f>IF(AND(U633=1,O633&lt;=Settings!$B$36),1,0)</f>
        <v>0</v>
      </c>
    </row>
    <row r="634" spans="1:22" x14ac:dyDescent="0.2">
      <c r="A634">
        <f>Arrivals!A634</f>
        <v>6</v>
      </c>
      <c r="B634">
        <f>Arrivals!B634</f>
        <v>29</v>
      </c>
      <c r="C634" s="6">
        <f>Arrivals!F634</f>
        <v>273</v>
      </c>
      <c r="D634" s="6">
        <f>Arrivals!J634</f>
        <v>8.3850438166574044</v>
      </c>
      <c r="E634" s="6">
        <f t="shared" si="204"/>
        <v>417.24443323625565</v>
      </c>
      <c r="F634" s="6">
        <f t="shared" si="195"/>
        <v>417.24443323625565</v>
      </c>
      <c r="G634" s="6">
        <f t="shared" si="196"/>
        <v>425.62947705291305</v>
      </c>
      <c r="H634" s="6">
        <f>Arrivals!L634</f>
        <v>75</v>
      </c>
      <c r="I634" s="6">
        <f>H634*8/ACE_Input!S34+ACE_Input!T34</f>
        <v>6.02</v>
      </c>
      <c r="J634" s="6">
        <f t="shared" si="205"/>
        <v>423.26443323625563</v>
      </c>
      <c r="K634" s="6">
        <f t="shared" si="197"/>
        <v>425.62947705291305</v>
      </c>
      <c r="L634" s="6">
        <f>MOD(K634-Settings!$B$32,Settings!$B$33)</f>
        <v>425.62947705291305</v>
      </c>
      <c r="M634" s="6">
        <f>IF(L634&lt;Settings!$B$30,IF(Settings!$B$30-L634&gt;=I634,K634,K634+(Settings!$B$30-L634)+Settings!$B$31),K634+(Settings!$B$33-L634))</f>
        <v>425.62947705291305</v>
      </c>
      <c r="N634" s="6">
        <f t="shared" si="198"/>
        <v>431.64947705291303</v>
      </c>
      <c r="O634" s="6">
        <f t="shared" si="199"/>
        <v>158.64947705291303</v>
      </c>
      <c r="P634" s="6">
        <f t="shared" si="200"/>
        <v>144.24443323625565</v>
      </c>
      <c r="Q634" s="6">
        <f t="shared" si="201"/>
        <v>0</v>
      </c>
      <c r="R634" s="6">
        <f t="shared" si="202"/>
        <v>0</v>
      </c>
      <c r="S634" s="6">
        <f t="shared" si="203"/>
        <v>144.24443323625565</v>
      </c>
      <c r="T634" s="6" t="str">
        <f>IF(MOD(C634-Settings!$B$32,Settings!$B$33)&lt;Settings!$B$30,"Up","Down")</f>
        <v>Up</v>
      </c>
      <c r="U634" s="6">
        <f>IF(OR(I634&gt;Settings!$B$30,O634&gt;Settings!$B$37),0,1)</f>
        <v>1</v>
      </c>
      <c r="V634" s="6">
        <f>IF(AND(U634=1,O634&lt;=Settings!$B$36),1,0)</f>
        <v>0</v>
      </c>
    </row>
    <row r="635" spans="1:22" x14ac:dyDescent="0.2">
      <c r="A635">
        <f>Arrivals!A635</f>
        <v>6</v>
      </c>
      <c r="B635">
        <f>Arrivals!B635</f>
        <v>30</v>
      </c>
      <c r="C635" s="6">
        <f>Arrivals!F635</f>
        <v>278</v>
      </c>
      <c r="D635" s="6">
        <f>Arrivals!J635</f>
        <v>7.8968939400120419</v>
      </c>
      <c r="E635" s="6">
        <f t="shared" si="204"/>
        <v>425.62947705291305</v>
      </c>
      <c r="F635" s="6">
        <f t="shared" si="195"/>
        <v>425.62947705291305</v>
      </c>
      <c r="G635" s="6">
        <f t="shared" si="196"/>
        <v>433.52637099292508</v>
      </c>
      <c r="H635" s="6">
        <f>Arrivals!L635</f>
        <v>75</v>
      </c>
      <c r="I635" s="6">
        <f>H635*8/ACE_Input!S35+ACE_Input!T35</f>
        <v>6.02</v>
      </c>
      <c r="J635" s="6">
        <f t="shared" si="205"/>
        <v>431.64947705291303</v>
      </c>
      <c r="K635" s="6">
        <f t="shared" si="197"/>
        <v>433.52637099292508</v>
      </c>
      <c r="L635" s="6">
        <f>MOD(K635-Settings!$B$32,Settings!$B$33)</f>
        <v>433.52637099292508</v>
      </c>
      <c r="M635" s="6">
        <f>IF(L635&lt;Settings!$B$30,IF(Settings!$B$30-L635&gt;=I635,K635,K635+(Settings!$B$30-L635)+Settings!$B$31),K635+(Settings!$B$33-L635))</f>
        <v>433.52637099292508</v>
      </c>
      <c r="N635" s="6">
        <f t="shared" si="198"/>
        <v>439.54637099292506</v>
      </c>
      <c r="O635" s="6">
        <f t="shared" si="199"/>
        <v>161.54637099292506</v>
      </c>
      <c r="P635" s="6">
        <f t="shared" si="200"/>
        <v>147.62947705291305</v>
      </c>
      <c r="Q635" s="6">
        <f t="shared" si="201"/>
        <v>0</v>
      </c>
      <c r="R635" s="6">
        <f t="shared" si="202"/>
        <v>0</v>
      </c>
      <c r="S635" s="6">
        <f t="shared" si="203"/>
        <v>147.62947705291305</v>
      </c>
      <c r="T635" s="6" t="str">
        <f>IF(MOD(C635-Settings!$B$32,Settings!$B$33)&lt;Settings!$B$30,"Up","Down")</f>
        <v>Up</v>
      </c>
      <c r="U635" s="6">
        <f>IF(OR(I635&gt;Settings!$B$30,O635&gt;Settings!$B$37),0,1)</f>
        <v>1</v>
      </c>
      <c r="V635" s="6">
        <f>IF(AND(U635=1,O635&lt;=Settings!$B$36),1,0)</f>
        <v>0</v>
      </c>
    </row>
    <row r="636" spans="1:22" x14ac:dyDescent="0.2">
      <c r="A636">
        <f>Arrivals!A636</f>
        <v>6</v>
      </c>
      <c r="B636">
        <f>Arrivals!B636</f>
        <v>31</v>
      </c>
      <c r="C636" s="6">
        <f>Arrivals!F636</f>
        <v>283</v>
      </c>
      <c r="D636" s="6">
        <f>Arrivals!J636</f>
        <v>9.2451094092091903</v>
      </c>
      <c r="E636" s="6">
        <f t="shared" si="204"/>
        <v>433.52637099292508</v>
      </c>
      <c r="F636" s="6">
        <f t="shared" si="195"/>
        <v>433.52637099292508</v>
      </c>
      <c r="G636" s="6">
        <f t="shared" si="196"/>
        <v>442.77148040213427</v>
      </c>
      <c r="H636" s="6">
        <f>Arrivals!L636</f>
        <v>75</v>
      </c>
      <c r="I636" s="6">
        <f>H636*8/ACE_Input!S36+ACE_Input!T36</f>
        <v>6.02</v>
      </c>
      <c r="J636" s="6">
        <f t="shared" si="205"/>
        <v>439.54637099292506</v>
      </c>
      <c r="K636" s="6">
        <f t="shared" si="197"/>
        <v>442.77148040213427</v>
      </c>
      <c r="L636" s="6">
        <f>MOD(K636-Settings!$B$32,Settings!$B$33)</f>
        <v>442.77148040213427</v>
      </c>
      <c r="M636" s="6">
        <f>IF(L636&lt;Settings!$B$30,IF(Settings!$B$30-L636&gt;=I636,K636,K636+(Settings!$B$30-L636)+Settings!$B$31),K636+(Settings!$B$33-L636))</f>
        <v>442.77148040213427</v>
      </c>
      <c r="N636" s="6">
        <f t="shared" si="198"/>
        <v>448.79148040213425</v>
      </c>
      <c r="O636" s="6">
        <f t="shared" si="199"/>
        <v>165.79148040213425</v>
      </c>
      <c r="P636" s="6">
        <f t="shared" si="200"/>
        <v>150.52637099292508</v>
      </c>
      <c r="Q636" s="6">
        <f t="shared" si="201"/>
        <v>0</v>
      </c>
      <c r="R636" s="6">
        <f t="shared" si="202"/>
        <v>0</v>
      </c>
      <c r="S636" s="6">
        <f t="shared" si="203"/>
        <v>150.52637099292508</v>
      </c>
      <c r="T636" s="6" t="str">
        <f>IF(MOD(C636-Settings!$B$32,Settings!$B$33)&lt;Settings!$B$30,"Up","Down")</f>
        <v>Up</v>
      </c>
      <c r="U636" s="6">
        <f>IF(OR(I636&gt;Settings!$B$30,O636&gt;Settings!$B$37),0,1)</f>
        <v>1</v>
      </c>
      <c r="V636" s="6">
        <f>IF(AND(U636=1,O636&lt;=Settings!$B$36),1,0)</f>
        <v>0</v>
      </c>
    </row>
    <row r="637" spans="1:22" x14ac:dyDescent="0.2">
      <c r="A637">
        <f>Arrivals!A637</f>
        <v>6</v>
      </c>
      <c r="B637">
        <f>Arrivals!B637</f>
        <v>32</v>
      </c>
      <c r="C637" s="6">
        <f>Arrivals!F637</f>
        <v>288</v>
      </c>
      <c r="D637" s="6">
        <f>Arrivals!J637</f>
        <v>7.2188139552021475</v>
      </c>
      <c r="E637" s="6">
        <f t="shared" si="204"/>
        <v>442.77148040213427</v>
      </c>
      <c r="F637" s="6">
        <f t="shared" si="195"/>
        <v>442.77148040213427</v>
      </c>
      <c r="G637" s="6">
        <f t="shared" si="196"/>
        <v>449.99029435733644</v>
      </c>
      <c r="H637" s="6">
        <f>Arrivals!L637</f>
        <v>75</v>
      </c>
      <c r="I637" s="6">
        <f>H637*8/ACE_Input!S37+ACE_Input!T37</f>
        <v>6.02</v>
      </c>
      <c r="J637" s="6">
        <f t="shared" si="205"/>
        <v>448.79148040213425</v>
      </c>
      <c r="K637" s="6">
        <f t="shared" si="197"/>
        <v>449.99029435733644</v>
      </c>
      <c r="L637" s="6">
        <f>MOD(K637-Settings!$B$32,Settings!$B$33)</f>
        <v>449.99029435733644</v>
      </c>
      <c r="M637" s="6">
        <f>IF(L637&lt;Settings!$B$30,IF(Settings!$B$30-L637&gt;=I637,K637,K637+(Settings!$B$30-L637)+Settings!$B$31),K637+(Settings!$B$33-L637))</f>
        <v>449.99029435733644</v>
      </c>
      <c r="N637" s="6">
        <f t="shared" si="198"/>
        <v>456.01029435733642</v>
      </c>
      <c r="O637" s="6">
        <f t="shared" si="199"/>
        <v>168.01029435733642</v>
      </c>
      <c r="P637" s="6">
        <f t="shared" si="200"/>
        <v>154.77148040213427</v>
      </c>
      <c r="Q637" s="6">
        <f t="shared" si="201"/>
        <v>0</v>
      </c>
      <c r="R637" s="6">
        <f t="shared" si="202"/>
        <v>0</v>
      </c>
      <c r="S637" s="6">
        <f t="shared" si="203"/>
        <v>154.77148040213427</v>
      </c>
      <c r="T637" s="6" t="str">
        <f>IF(MOD(C637-Settings!$B$32,Settings!$B$33)&lt;Settings!$B$30,"Up","Down")</f>
        <v>Up</v>
      </c>
      <c r="U637" s="6">
        <f>IF(OR(I637&gt;Settings!$B$30,O637&gt;Settings!$B$37),0,1)</f>
        <v>1</v>
      </c>
      <c r="V637" s="6">
        <f>IF(AND(U637=1,O637&lt;=Settings!$B$36),1,0)</f>
        <v>0</v>
      </c>
    </row>
    <row r="638" spans="1:22" x14ac:dyDescent="0.2">
      <c r="A638">
        <f>Arrivals!A638</f>
        <v>6</v>
      </c>
      <c r="B638">
        <f>Arrivals!B638</f>
        <v>33</v>
      </c>
      <c r="C638" s="6">
        <f>Arrivals!F638</f>
        <v>293</v>
      </c>
      <c r="D638" s="6">
        <f>Arrivals!J638</f>
        <v>10.210789185422302</v>
      </c>
      <c r="E638" s="6">
        <f t="shared" si="204"/>
        <v>449.99029435733644</v>
      </c>
      <c r="F638" s="6">
        <f t="shared" ref="F638:F669" si="206">MAX(C638,E638)</f>
        <v>449.99029435733644</v>
      </c>
      <c r="G638" s="6">
        <f t="shared" ref="G638:G669" si="207">F638+D638</f>
        <v>460.20108354275874</v>
      </c>
      <c r="H638" s="6">
        <f>Arrivals!L638</f>
        <v>75</v>
      </c>
      <c r="I638" s="6">
        <f>H638*8/ACE_Input!S38+ACE_Input!T38</f>
        <v>6.02</v>
      </c>
      <c r="J638" s="6">
        <f t="shared" si="205"/>
        <v>456.01029435733642</v>
      </c>
      <c r="K638" s="6">
        <f t="shared" ref="K638:K669" si="208">MAX(G638,J638)</f>
        <v>460.20108354275874</v>
      </c>
      <c r="L638" s="6">
        <f>MOD(K638-Settings!$B$32,Settings!$B$33)</f>
        <v>460.20108354275874</v>
      </c>
      <c r="M638" s="6">
        <f>IF(L638&lt;Settings!$B$30,IF(Settings!$B$30-L638&gt;=I638,K638,K638+(Settings!$B$30-L638)+Settings!$B$31),K638+(Settings!$B$33-L638))</f>
        <v>460.20108354275874</v>
      </c>
      <c r="N638" s="6">
        <f t="shared" ref="N638:N669" si="209">M638+I638</f>
        <v>466.22108354275872</v>
      </c>
      <c r="O638" s="6">
        <f t="shared" ref="O638:O669" si="210">N638-C638</f>
        <v>173.22108354275872</v>
      </c>
      <c r="P638" s="6">
        <f t="shared" ref="P638:P669" si="211">F638-C638</f>
        <v>156.99029435733644</v>
      </c>
      <c r="Q638" s="6">
        <f t="shared" ref="Q638:Q669" si="212">K638-G638</f>
        <v>0</v>
      </c>
      <c r="R638" s="6">
        <f t="shared" ref="R638:R669" si="213">M638-K638</f>
        <v>0</v>
      </c>
      <c r="S638" s="6">
        <f t="shared" ref="S638:S669" si="214">P638+Q638+R638</f>
        <v>156.99029435733644</v>
      </c>
      <c r="T638" s="6" t="str">
        <f>IF(MOD(C638-Settings!$B$32,Settings!$B$33)&lt;Settings!$B$30,"Up","Down")</f>
        <v>Up</v>
      </c>
      <c r="U638" s="6">
        <f>IF(OR(I638&gt;Settings!$B$30,O638&gt;Settings!$B$37),0,1)</f>
        <v>1</v>
      </c>
      <c r="V638" s="6">
        <f>IF(AND(U638=1,O638&lt;=Settings!$B$36),1,0)</f>
        <v>0</v>
      </c>
    </row>
    <row r="639" spans="1:22" x14ac:dyDescent="0.2">
      <c r="A639">
        <f>Arrivals!A639</f>
        <v>6</v>
      </c>
      <c r="B639">
        <f>Arrivals!B639</f>
        <v>34</v>
      </c>
      <c r="C639" s="6">
        <f>Arrivals!F639</f>
        <v>298</v>
      </c>
      <c r="D639" s="6">
        <f>Arrivals!J639</f>
        <v>26.826817798043159</v>
      </c>
      <c r="E639" s="6">
        <f t="shared" ref="E639:E670" si="215">G638</f>
        <v>460.20108354275874</v>
      </c>
      <c r="F639" s="6">
        <f t="shared" si="206"/>
        <v>460.20108354275874</v>
      </c>
      <c r="G639" s="6">
        <f t="shared" si="207"/>
        <v>487.02790134080192</v>
      </c>
      <c r="H639" s="6">
        <f>Arrivals!L639</f>
        <v>75</v>
      </c>
      <c r="I639" s="6">
        <f>H639*8/ACE_Input!S39+ACE_Input!T39</f>
        <v>6.02</v>
      </c>
      <c r="J639" s="6">
        <f t="shared" ref="J639:J670" si="216">N638</f>
        <v>466.22108354275872</v>
      </c>
      <c r="K639" s="6">
        <f t="shared" si="208"/>
        <v>487.02790134080192</v>
      </c>
      <c r="L639" s="6">
        <f>MOD(K639-Settings!$B$32,Settings!$B$33)</f>
        <v>487.02790134080192</v>
      </c>
      <c r="M639" s="6">
        <f>IF(L639&lt;Settings!$B$30,IF(Settings!$B$30-L639&gt;=I639,K639,K639+(Settings!$B$30-L639)+Settings!$B$31),K639+(Settings!$B$33-L639))</f>
        <v>487.02790134080192</v>
      </c>
      <c r="N639" s="6">
        <f t="shared" si="209"/>
        <v>493.0479013408019</v>
      </c>
      <c r="O639" s="6">
        <f t="shared" si="210"/>
        <v>195.0479013408019</v>
      </c>
      <c r="P639" s="6">
        <f t="shared" si="211"/>
        <v>162.20108354275874</v>
      </c>
      <c r="Q639" s="6">
        <f t="shared" si="212"/>
        <v>0</v>
      </c>
      <c r="R639" s="6">
        <f t="shared" si="213"/>
        <v>0</v>
      </c>
      <c r="S639" s="6">
        <f t="shared" si="214"/>
        <v>162.20108354275874</v>
      </c>
      <c r="T639" s="6" t="str">
        <f>IF(MOD(C639-Settings!$B$32,Settings!$B$33)&lt;Settings!$B$30,"Up","Down")</f>
        <v>Up</v>
      </c>
      <c r="U639" s="6">
        <f>IF(OR(I639&gt;Settings!$B$30,O639&gt;Settings!$B$37),0,1)</f>
        <v>1</v>
      </c>
      <c r="V639" s="6">
        <f>IF(AND(U639=1,O639&lt;=Settings!$B$36),1,0)</f>
        <v>0</v>
      </c>
    </row>
    <row r="640" spans="1:22" x14ac:dyDescent="0.2">
      <c r="A640">
        <f>Arrivals!A640</f>
        <v>6</v>
      </c>
      <c r="B640">
        <f>Arrivals!B640</f>
        <v>35</v>
      </c>
      <c r="C640" s="6">
        <f>Arrivals!F640</f>
        <v>303</v>
      </c>
      <c r="D640" s="6">
        <f>Arrivals!J640</f>
        <v>19.594930712070017</v>
      </c>
      <c r="E640" s="6">
        <f t="shared" si="215"/>
        <v>487.02790134080192</v>
      </c>
      <c r="F640" s="6">
        <f t="shared" si="206"/>
        <v>487.02790134080192</v>
      </c>
      <c r="G640" s="6">
        <f t="shared" si="207"/>
        <v>506.62283205287196</v>
      </c>
      <c r="H640" s="6">
        <f>Arrivals!L640</f>
        <v>75</v>
      </c>
      <c r="I640" s="6">
        <f>H640*8/ACE_Input!S40+ACE_Input!T40</f>
        <v>6.02</v>
      </c>
      <c r="J640" s="6">
        <f t="shared" si="216"/>
        <v>493.0479013408019</v>
      </c>
      <c r="K640" s="6">
        <f t="shared" si="208"/>
        <v>506.62283205287196</v>
      </c>
      <c r="L640" s="6">
        <f>MOD(K640-Settings!$B$32,Settings!$B$33)</f>
        <v>506.62283205287196</v>
      </c>
      <c r="M640" s="6">
        <f>IF(L640&lt;Settings!$B$30,IF(Settings!$B$30-L640&gt;=I640,K640,K640+(Settings!$B$30-L640)+Settings!$B$31),K640+(Settings!$B$33-L640))</f>
        <v>506.62283205287196</v>
      </c>
      <c r="N640" s="6">
        <f t="shared" si="209"/>
        <v>512.642832052872</v>
      </c>
      <c r="O640" s="6">
        <f t="shared" si="210"/>
        <v>209.642832052872</v>
      </c>
      <c r="P640" s="6">
        <f t="shared" si="211"/>
        <v>184.02790134080192</v>
      </c>
      <c r="Q640" s="6">
        <f t="shared" si="212"/>
        <v>0</v>
      </c>
      <c r="R640" s="6">
        <f t="shared" si="213"/>
        <v>0</v>
      </c>
      <c r="S640" s="6">
        <f t="shared" si="214"/>
        <v>184.02790134080192</v>
      </c>
      <c r="T640" s="6" t="str">
        <f>IF(MOD(C640-Settings!$B$32,Settings!$B$33)&lt;Settings!$B$30,"Up","Down")</f>
        <v>Up</v>
      </c>
      <c r="U640" s="6">
        <f>IF(OR(I640&gt;Settings!$B$30,O640&gt;Settings!$B$37),0,1)</f>
        <v>1</v>
      </c>
      <c r="V640" s="6">
        <f>IF(AND(U640=1,O640&lt;=Settings!$B$36),1,0)</f>
        <v>0</v>
      </c>
    </row>
    <row r="641" spans="1:22" x14ac:dyDescent="0.2">
      <c r="A641">
        <f>Arrivals!A641</f>
        <v>6</v>
      </c>
      <c r="B641">
        <f>Arrivals!B641</f>
        <v>36</v>
      </c>
      <c r="C641" s="6">
        <f>Arrivals!F641</f>
        <v>308</v>
      </c>
      <c r="D641" s="6">
        <f>Arrivals!J641</f>
        <v>10.503098646502222</v>
      </c>
      <c r="E641" s="6">
        <f t="shared" si="215"/>
        <v>506.62283205287196</v>
      </c>
      <c r="F641" s="6">
        <f t="shared" si="206"/>
        <v>506.62283205287196</v>
      </c>
      <c r="G641" s="6">
        <f t="shared" si="207"/>
        <v>517.12593069937418</v>
      </c>
      <c r="H641" s="6">
        <f>Arrivals!L641</f>
        <v>75</v>
      </c>
      <c r="I641" s="6">
        <f>H641*8/ACE_Input!S41+ACE_Input!T41</f>
        <v>6.02</v>
      </c>
      <c r="J641" s="6">
        <f t="shared" si="216"/>
        <v>512.642832052872</v>
      </c>
      <c r="K641" s="6">
        <f t="shared" si="208"/>
        <v>517.12593069937418</v>
      </c>
      <c r="L641" s="6">
        <f>MOD(K641-Settings!$B$32,Settings!$B$33)</f>
        <v>517.12593069937418</v>
      </c>
      <c r="M641" s="6">
        <f>IF(L641&lt;Settings!$B$30,IF(Settings!$B$30-L641&gt;=I641,K641,K641+(Settings!$B$30-L641)+Settings!$B$31),K641+(Settings!$B$33-L641))</f>
        <v>517.12593069937418</v>
      </c>
      <c r="N641" s="6">
        <f t="shared" si="209"/>
        <v>523.14593069937416</v>
      </c>
      <c r="O641" s="6">
        <f t="shared" si="210"/>
        <v>215.14593069937416</v>
      </c>
      <c r="P641" s="6">
        <f t="shared" si="211"/>
        <v>198.62283205287196</v>
      </c>
      <c r="Q641" s="6">
        <f t="shared" si="212"/>
        <v>0</v>
      </c>
      <c r="R641" s="6">
        <f t="shared" si="213"/>
        <v>0</v>
      </c>
      <c r="S641" s="6">
        <f t="shared" si="214"/>
        <v>198.62283205287196</v>
      </c>
      <c r="T641" s="6" t="str">
        <f>IF(MOD(C641-Settings!$B$32,Settings!$B$33)&lt;Settings!$B$30,"Up","Down")</f>
        <v>Up</v>
      </c>
      <c r="U641" s="6">
        <f>IF(OR(I641&gt;Settings!$B$30,O641&gt;Settings!$B$37),0,1)</f>
        <v>1</v>
      </c>
      <c r="V641" s="6">
        <f>IF(AND(U641=1,O641&lt;=Settings!$B$36),1,0)</f>
        <v>0</v>
      </c>
    </row>
    <row r="642" spans="1:22" x14ac:dyDescent="0.2">
      <c r="A642">
        <f>Arrivals!A642</f>
        <v>6</v>
      </c>
      <c r="B642">
        <f>Arrivals!B642</f>
        <v>37</v>
      </c>
      <c r="C642" s="6">
        <f>Arrivals!F642</f>
        <v>313</v>
      </c>
      <c r="D642" s="6">
        <f>Arrivals!J642</f>
        <v>11.266929429794837</v>
      </c>
      <c r="E642" s="6">
        <f t="shared" si="215"/>
        <v>517.12593069937418</v>
      </c>
      <c r="F642" s="6">
        <f t="shared" si="206"/>
        <v>517.12593069937418</v>
      </c>
      <c r="G642" s="6">
        <f t="shared" si="207"/>
        <v>528.39286012916898</v>
      </c>
      <c r="H642" s="6">
        <f>Arrivals!L642</f>
        <v>75</v>
      </c>
      <c r="I642" s="6">
        <f>H642*8/ACE_Input!S42+ACE_Input!T42</f>
        <v>6.02</v>
      </c>
      <c r="J642" s="6">
        <f t="shared" si="216"/>
        <v>523.14593069937416</v>
      </c>
      <c r="K642" s="6">
        <f t="shared" si="208"/>
        <v>528.39286012916898</v>
      </c>
      <c r="L642" s="6">
        <f>MOD(K642-Settings!$B$32,Settings!$B$33)</f>
        <v>528.39286012916898</v>
      </c>
      <c r="M642" s="6">
        <f>IF(L642&lt;Settings!$B$30,IF(Settings!$B$30-L642&gt;=I642,K642,K642+(Settings!$B$30-L642)+Settings!$B$31),K642+(Settings!$B$33-L642))</f>
        <v>528.39286012916898</v>
      </c>
      <c r="N642" s="6">
        <f t="shared" si="209"/>
        <v>534.41286012916896</v>
      </c>
      <c r="O642" s="6">
        <f t="shared" si="210"/>
        <v>221.41286012916896</v>
      </c>
      <c r="P642" s="6">
        <f t="shared" si="211"/>
        <v>204.12593069937418</v>
      </c>
      <c r="Q642" s="6">
        <f t="shared" si="212"/>
        <v>0</v>
      </c>
      <c r="R642" s="6">
        <f t="shared" si="213"/>
        <v>0</v>
      </c>
      <c r="S642" s="6">
        <f t="shared" si="214"/>
        <v>204.12593069937418</v>
      </c>
      <c r="T642" s="6" t="str">
        <f>IF(MOD(C642-Settings!$B$32,Settings!$B$33)&lt;Settings!$B$30,"Up","Down")</f>
        <v>Up</v>
      </c>
      <c r="U642" s="6">
        <f>IF(OR(I642&gt;Settings!$B$30,O642&gt;Settings!$B$37),0,1)</f>
        <v>1</v>
      </c>
      <c r="V642" s="6">
        <f>IF(AND(U642=1,O642&lt;=Settings!$B$36),1,0)</f>
        <v>0</v>
      </c>
    </row>
    <row r="643" spans="1:22" x14ac:dyDescent="0.2">
      <c r="A643">
        <f>Arrivals!A643</f>
        <v>6</v>
      </c>
      <c r="B643">
        <f>Arrivals!B643</f>
        <v>38</v>
      </c>
      <c r="C643" s="6">
        <f>Arrivals!F643</f>
        <v>318</v>
      </c>
      <c r="D643" s="6">
        <f>Arrivals!J643</f>
        <v>9.9359775311350713</v>
      </c>
      <c r="E643" s="6">
        <f t="shared" si="215"/>
        <v>528.39286012916898</v>
      </c>
      <c r="F643" s="6">
        <f t="shared" si="206"/>
        <v>528.39286012916898</v>
      </c>
      <c r="G643" s="6">
        <f t="shared" si="207"/>
        <v>538.32883766030409</v>
      </c>
      <c r="H643" s="6">
        <f>Arrivals!L643</f>
        <v>75</v>
      </c>
      <c r="I643" s="6">
        <f>H643*8/ACE_Input!S43+ACE_Input!T43</f>
        <v>6.02</v>
      </c>
      <c r="J643" s="6">
        <f t="shared" si="216"/>
        <v>534.41286012916896</v>
      </c>
      <c r="K643" s="6">
        <f t="shared" si="208"/>
        <v>538.32883766030409</v>
      </c>
      <c r="L643" s="6">
        <f>MOD(K643-Settings!$B$32,Settings!$B$33)</f>
        <v>538.32883766030409</v>
      </c>
      <c r="M643" s="6">
        <f>IF(L643&lt;Settings!$B$30,IF(Settings!$B$30-L643&gt;=I643,K643,K643+(Settings!$B$30-L643)+Settings!$B$31),K643+(Settings!$B$33-L643))</f>
        <v>538.32883766030409</v>
      </c>
      <c r="N643" s="6">
        <f t="shared" si="209"/>
        <v>544.34883766030407</v>
      </c>
      <c r="O643" s="6">
        <f t="shared" si="210"/>
        <v>226.34883766030407</v>
      </c>
      <c r="P643" s="6">
        <f t="shared" si="211"/>
        <v>210.39286012916898</v>
      </c>
      <c r="Q643" s="6">
        <f t="shared" si="212"/>
        <v>0</v>
      </c>
      <c r="R643" s="6">
        <f t="shared" si="213"/>
        <v>0</v>
      </c>
      <c r="S643" s="6">
        <f t="shared" si="214"/>
        <v>210.39286012916898</v>
      </c>
      <c r="T643" s="6" t="str">
        <f>IF(MOD(C643-Settings!$B$32,Settings!$B$33)&lt;Settings!$B$30,"Up","Down")</f>
        <v>Up</v>
      </c>
      <c r="U643" s="6">
        <f>IF(OR(I643&gt;Settings!$B$30,O643&gt;Settings!$B$37),0,1)</f>
        <v>1</v>
      </c>
      <c r="V643" s="6">
        <f>IF(AND(U643=1,O643&lt;=Settings!$B$36),1,0)</f>
        <v>0</v>
      </c>
    </row>
    <row r="644" spans="1:22" x14ac:dyDescent="0.2">
      <c r="A644">
        <f>Arrivals!A644</f>
        <v>6</v>
      </c>
      <c r="B644">
        <f>Arrivals!B644</f>
        <v>39</v>
      </c>
      <c r="C644" s="6">
        <f>Arrivals!F644</f>
        <v>323</v>
      </c>
      <c r="D644" s="6">
        <f>Arrivals!J644</f>
        <v>12.057110063223465</v>
      </c>
      <c r="E644" s="6">
        <f t="shared" si="215"/>
        <v>538.32883766030409</v>
      </c>
      <c r="F644" s="6">
        <f t="shared" si="206"/>
        <v>538.32883766030409</v>
      </c>
      <c r="G644" s="6">
        <f t="shared" si="207"/>
        <v>550.38594772352758</v>
      </c>
      <c r="H644" s="6">
        <f>Arrivals!L644</f>
        <v>75</v>
      </c>
      <c r="I644" s="6">
        <f>H644*8/ACE_Input!S44+ACE_Input!T44</f>
        <v>6.02</v>
      </c>
      <c r="J644" s="6">
        <f t="shared" si="216"/>
        <v>544.34883766030407</v>
      </c>
      <c r="K644" s="6">
        <f t="shared" si="208"/>
        <v>550.38594772352758</v>
      </c>
      <c r="L644" s="6">
        <f>MOD(K644-Settings!$B$32,Settings!$B$33)</f>
        <v>550.38594772352758</v>
      </c>
      <c r="M644" s="6">
        <f>IF(L644&lt;Settings!$B$30,IF(Settings!$B$30-L644&gt;=I644,K644,K644+(Settings!$B$30-L644)+Settings!$B$31),K644+(Settings!$B$33-L644))</f>
        <v>550.38594772352758</v>
      </c>
      <c r="N644" s="6">
        <f t="shared" si="209"/>
        <v>556.40594772352756</v>
      </c>
      <c r="O644" s="6">
        <f t="shared" si="210"/>
        <v>233.40594772352756</v>
      </c>
      <c r="P644" s="6">
        <f t="shared" si="211"/>
        <v>215.32883766030409</v>
      </c>
      <c r="Q644" s="6">
        <f t="shared" si="212"/>
        <v>0</v>
      </c>
      <c r="R644" s="6">
        <f t="shared" si="213"/>
        <v>0</v>
      </c>
      <c r="S644" s="6">
        <f t="shared" si="214"/>
        <v>215.32883766030409</v>
      </c>
      <c r="T644" s="6" t="str">
        <f>IF(MOD(C644-Settings!$B$32,Settings!$B$33)&lt;Settings!$B$30,"Up","Down")</f>
        <v>Up</v>
      </c>
      <c r="U644" s="6">
        <f>IF(OR(I644&gt;Settings!$B$30,O644&gt;Settings!$B$37),0,1)</f>
        <v>1</v>
      </c>
      <c r="V644" s="6">
        <f>IF(AND(U644=1,O644&lt;=Settings!$B$36),1,0)</f>
        <v>0</v>
      </c>
    </row>
    <row r="645" spans="1:22" x14ac:dyDescent="0.2">
      <c r="A645">
        <f>Arrivals!A645</f>
        <v>6</v>
      </c>
      <c r="B645">
        <f>Arrivals!B645</f>
        <v>40</v>
      </c>
      <c r="C645" s="6">
        <f>Arrivals!F645</f>
        <v>328</v>
      </c>
      <c r="D645" s="6">
        <f>Arrivals!J645</f>
        <v>6.2513834561792407</v>
      </c>
      <c r="E645" s="6">
        <f t="shared" si="215"/>
        <v>550.38594772352758</v>
      </c>
      <c r="F645" s="6">
        <f t="shared" si="206"/>
        <v>550.38594772352758</v>
      </c>
      <c r="G645" s="6">
        <f t="shared" si="207"/>
        <v>556.63733117970685</v>
      </c>
      <c r="H645" s="6">
        <f>Arrivals!L645</f>
        <v>75</v>
      </c>
      <c r="I645" s="6">
        <f>H645*8/ACE_Input!S45+ACE_Input!T45</f>
        <v>6.02</v>
      </c>
      <c r="J645" s="6">
        <f t="shared" si="216"/>
        <v>556.40594772352756</v>
      </c>
      <c r="K645" s="6">
        <f t="shared" si="208"/>
        <v>556.63733117970685</v>
      </c>
      <c r="L645" s="6">
        <f>MOD(K645-Settings!$B$32,Settings!$B$33)</f>
        <v>556.63733117970685</v>
      </c>
      <c r="M645" s="6">
        <f>IF(L645&lt;Settings!$B$30,IF(Settings!$B$30-L645&gt;=I645,K645,K645+(Settings!$B$30-L645)+Settings!$B$31),K645+(Settings!$B$33-L645))</f>
        <v>556.63733117970685</v>
      </c>
      <c r="N645" s="6">
        <f t="shared" si="209"/>
        <v>562.65733117970683</v>
      </c>
      <c r="O645" s="6">
        <f t="shared" si="210"/>
        <v>234.65733117970683</v>
      </c>
      <c r="P645" s="6">
        <f t="shared" si="211"/>
        <v>222.38594772352758</v>
      </c>
      <c r="Q645" s="6">
        <f t="shared" si="212"/>
        <v>0</v>
      </c>
      <c r="R645" s="6">
        <f t="shared" si="213"/>
        <v>0</v>
      </c>
      <c r="S645" s="6">
        <f t="shared" si="214"/>
        <v>222.38594772352758</v>
      </c>
      <c r="T645" s="6" t="str">
        <f>IF(MOD(C645-Settings!$B$32,Settings!$B$33)&lt;Settings!$B$30,"Up","Down")</f>
        <v>Up</v>
      </c>
      <c r="U645" s="6">
        <f>IF(OR(I645&gt;Settings!$B$30,O645&gt;Settings!$B$37),0,1)</f>
        <v>1</v>
      </c>
      <c r="V645" s="6">
        <f>IF(AND(U645=1,O645&lt;=Settings!$B$36),1,0)</f>
        <v>0</v>
      </c>
    </row>
    <row r="646" spans="1:22" x14ac:dyDescent="0.2">
      <c r="A646">
        <f>Arrivals!A646</f>
        <v>6</v>
      </c>
      <c r="B646">
        <f>Arrivals!B646</f>
        <v>41</v>
      </c>
      <c r="C646" s="6">
        <f>Arrivals!F646</f>
        <v>333</v>
      </c>
      <c r="D646" s="6">
        <f>Arrivals!J646</f>
        <v>5.4946564309368577</v>
      </c>
      <c r="E646" s="6">
        <f t="shared" si="215"/>
        <v>556.63733117970685</v>
      </c>
      <c r="F646" s="6">
        <f t="shared" si="206"/>
        <v>556.63733117970685</v>
      </c>
      <c r="G646" s="6">
        <f t="shared" si="207"/>
        <v>562.13198761064371</v>
      </c>
      <c r="H646" s="6">
        <f>Arrivals!L646</f>
        <v>75</v>
      </c>
      <c r="I646" s="6">
        <f>H646*8/ACE_Input!S46+ACE_Input!T46</f>
        <v>6.02</v>
      </c>
      <c r="J646" s="6">
        <f t="shared" si="216"/>
        <v>562.65733117970683</v>
      </c>
      <c r="K646" s="6">
        <f t="shared" si="208"/>
        <v>562.65733117970683</v>
      </c>
      <c r="L646" s="6">
        <f>MOD(K646-Settings!$B$32,Settings!$B$33)</f>
        <v>562.65733117970683</v>
      </c>
      <c r="M646" s="6">
        <f>IF(L646&lt;Settings!$B$30,IF(Settings!$B$30-L646&gt;=I646,K646,K646+(Settings!$B$30-L646)+Settings!$B$31),K646+(Settings!$B$33-L646))</f>
        <v>562.65733117970683</v>
      </c>
      <c r="N646" s="6">
        <f t="shared" si="209"/>
        <v>568.67733117970681</v>
      </c>
      <c r="O646" s="6">
        <f t="shared" si="210"/>
        <v>235.67733117970681</v>
      </c>
      <c r="P646" s="6">
        <f t="shared" si="211"/>
        <v>223.63733117970685</v>
      </c>
      <c r="Q646" s="6">
        <f t="shared" si="212"/>
        <v>0.52534356906312496</v>
      </c>
      <c r="R646" s="6">
        <f t="shared" si="213"/>
        <v>0</v>
      </c>
      <c r="S646" s="6">
        <f t="shared" si="214"/>
        <v>224.16267474876997</v>
      </c>
      <c r="T646" s="6" t="str">
        <f>IF(MOD(C646-Settings!$B$32,Settings!$B$33)&lt;Settings!$B$30,"Up","Down")</f>
        <v>Up</v>
      </c>
      <c r="U646" s="6">
        <f>IF(OR(I646&gt;Settings!$B$30,O646&gt;Settings!$B$37),0,1)</f>
        <v>1</v>
      </c>
      <c r="V646" s="6">
        <f>IF(AND(U646=1,O646&lt;=Settings!$B$36),1,0)</f>
        <v>0</v>
      </c>
    </row>
    <row r="647" spans="1:22" x14ac:dyDescent="0.2">
      <c r="A647">
        <f>Arrivals!A647</f>
        <v>6</v>
      </c>
      <c r="B647">
        <f>Arrivals!B647</f>
        <v>42</v>
      </c>
      <c r="C647" s="6">
        <f>Arrivals!F647</f>
        <v>338</v>
      </c>
      <c r="D647" s="6">
        <f>Arrivals!J647</f>
        <v>10.530185968532694</v>
      </c>
      <c r="E647" s="6">
        <f t="shared" si="215"/>
        <v>562.13198761064371</v>
      </c>
      <c r="F647" s="6">
        <f t="shared" si="206"/>
        <v>562.13198761064371</v>
      </c>
      <c r="G647" s="6">
        <f t="shared" si="207"/>
        <v>572.6621735791764</v>
      </c>
      <c r="H647" s="6">
        <f>Arrivals!L647</f>
        <v>75</v>
      </c>
      <c r="I647" s="6">
        <f>H647*8/ACE_Input!S47+ACE_Input!T47</f>
        <v>6.02</v>
      </c>
      <c r="J647" s="6">
        <f t="shared" si="216"/>
        <v>568.67733117970681</v>
      </c>
      <c r="K647" s="6">
        <f t="shared" si="208"/>
        <v>572.6621735791764</v>
      </c>
      <c r="L647" s="6">
        <f>MOD(K647-Settings!$B$32,Settings!$B$33)</f>
        <v>572.6621735791764</v>
      </c>
      <c r="M647" s="6">
        <f>IF(L647&lt;Settings!$B$30,IF(Settings!$B$30-L647&gt;=I647,K647,K647+(Settings!$B$30-L647)+Settings!$B$31),K647+(Settings!$B$33-L647))</f>
        <v>572.6621735791764</v>
      </c>
      <c r="N647" s="6">
        <f t="shared" si="209"/>
        <v>578.68217357917638</v>
      </c>
      <c r="O647" s="6">
        <f t="shared" si="210"/>
        <v>240.68217357917638</v>
      </c>
      <c r="P647" s="6">
        <f t="shared" si="211"/>
        <v>224.13198761064371</v>
      </c>
      <c r="Q647" s="6">
        <f t="shared" si="212"/>
        <v>0</v>
      </c>
      <c r="R647" s="6">
        <f t="shared" si="213"/>
        <v>0</v>
      </c>
      <c r="S647" s="6">
        <f t="shared" si="214"/>
        <v>224.13198761064371</v>
      </c>
      <c r="T647" s="6" t="str">
        <f>IF(MOD(C647-Settings!$B$32,Settings!$B$33)&lt;Settings!$B$30,"Up","Down")</f>
        <v>Up</v>
      </c>
      <c r="U647" s="6">
        <f>IF(OR(I647&gt;Settings!$B$30,O647&gt;Settings!$B$37),0,1)</f>
        <v>1</v>
      </c>
      <c r="V647" s="6">
        <f>IF(AND(U647=1,O647&lt;=Settings!$B$36),1,0)</f>
        <v>0</v>
      </c>
    </row>
    <row r="648" spans="1:22" x14ac:dyDescent="0.2">
      <c r="A648">
        <f>Arrivals!A648</f>
        <v>6</v>
      </c>
      <c r="B648">
        <f>Arrivals!B648</f>
        <v>43</v>
      </c>
      <c r="C648" s="6">
        <f>Arrivals!F648</f>
        <v>343</v>
      </c>
      <c r="D648" s="6">
        <f>Arrivals!J648</f>
        <v>6.1692683061158444</v>
      </c>
      <c r="E648" s="6">
        <f t="shared" si="215"/>
        <v>572.6621735791764</v>
      </c>
      <c r="F648" s="6">
        <f t="shared" si="206"/>
        <v>572.6621735791764</v>
      </c>
      <c r="G648" s="6">
        <f t="shared" si="207"/>
        <v>578.83144188529229</v>
      </c>
      <c r="H648" s="6">
        <f>Arrivals!L648</f>
        <v>75</v>
      </c>
      <c r="I648" s="6">
        <f>H648*8/ACE_Input!S48+ACE_Input!T48</f>
        <v>6.02</v>
      </c>
      <c r="J648" s="6">
        <f t="shared" si="216"/>
        <v>578.68217357917638</v>
      </c>
      <c r="K648" s="6">
        <f t="shared" si="208"/>
        <v>578.83144188529229</v>
      </c>
      <c r="L648" s="6">
        <f>MOD(K648-Settings!$B$32,Settings!$B$33)</f>
        <v>578.83144188529229</v>
      </c>
      <c r="M648" s="6">
        <f>IF(L648&lt;Settings!$B$30,IF(Settings!$B$30-L648&gt;=I648,K648,K648+(Settings!$B$30-L648)+Settings!$B$31),K648+(Settings!$B$33-L648))</f>
        <v>578.83144188529229</v>
      </c>
      <c r="N648" s="6">
        <f t="shared" si="209"/>
        <v>584.85144188529227</v>
      </c>
      <c r="O648" s="6">
        <f t="shared" si="210"/>
        <v>241.85144188529227</v>
      </c>
      <c r="P648" s="6">
        <f t="shared" si="211"/>
        <v>229.6621735791764</v>
      </c>
      <c r="Q648" s="6">
        <f t="shared" si="212"/>
        <v>0</v>
      </c>
      <c r="R648" s="6">
        <f t="shared" si="213"/>
        <v>0</v>
      </c>
      <c r="S648" s="6">
        <f t="shared" si="214"/>
        <v>229.6621735791764</v>
      </c>
      <c r="T648" s="6" t="str">
        <f>IF(MOD(C648-Settings!$B$32,Settings!$B$33)&lt;Settings!$B$30,"Up","Down")</f>
        <v>Up</v>
      </c>
      <c r="U648" s="6">
        <f>IF(OR(I648&gt;Settings!$B$30,O648&gt;Settings!$B$37),0,1)</f>
        <v>1</v>
      </c>
      <c r="V648" s="6">
        <f>IF(AND(U648=1,O648&lt;=Settings!$B$36),1,0)</f>
        <v>0</v>
      </c>
    </row>
    <row r="649" spans="1:22" x14ac:dyDescent="0.2">
      <c r="A649">
        <f>Arrivals!A649</f>
        <v>6</v>
      </c>
      <c r="B649">
        <f>Arrivals!B649</f>
        <v>44</v>
      </c>
      <c r="C649" s="6">
        <f>Arrivals!F649</f>
        <v>348</v>
      </c>
      <c r="D649" s="6">
        <f>Arrivals!J649</f>
        <v>20.757451477678419</v>
      </c>
      <c r="E649" s="6">
        <f t="shared" si="215"/>
        <v>578.83144188529229</v>
      </c>
      <c r="F649" s="6">
        <f t="shared" si="206"/>
        <v>578.83144188529229</v>
      </c>
      <c r="G649" s="6">
        <f t="shared" si="207"/>
        <v>599.58889336297068</v>
      </c>
      <c r="H649" s="6">
        <f>Arrivals!L649</f>
        <v>75</v>
      </c>
      <c r="I649" s="6">
        <f>H649*8/ACE_Input!S49+ACE_Input!T49</f>
        <v>6.02</v>
      </c>
      <c r="J649" s="6">
        <f t="shared" si="216"/>
        <v>584.85144188529227</v>
      </c>
      <c r="K649" s="6">
        <f t="shared" si="208"/>
        <v>599.58889336297068</v>
      </c>
      <c r="L649" s="6">
        <f>MOD(K649-Settings!$B$32,Settings!$B$33)</f>
        <v>599.58889336297068</v>
      </c>
      <c r="M649" s="6">
        <f>IF(L649&lt;Settings!$B$30,IF(Settings!$B$30-L649&gt;=I649,K649,K649+(Settings!$B$30-L649)+Settings!$B$31),K649+(Settings!$B$33-L649))</f>
        <v>720</v>
      </c>
      <c r="N649" s="6">
        <f t="shared" si="209"/>
        <v>726.02</v>
      </c>
      <c r="O649" s="6">
        <f t="shared" si="210"/>
        <v>378.02</v>
      </c>
      <c r="P649" s="6">
        <f t="shared" si="211"/>
        <v>230.83144188529229</v>
      </c>
      <c r="Q649" s="6">
        <f t="shared" si="212"/>
        <v>0</v>
      </c>
      <c r="R649" s="6">
        <f t="shared" si="213"/>
        <v>120.41110663702932</v>
      </c>
      <c r="S649" s="6">
        <f t="shared" si="214"/>
        <v>351.24254852232161</v>
      </c>
      <c r="T649" s="6" t="str">
        <f>IF(MOD(C649-Settings!$B$32,Settings!$B$33)&lt;Settings!$B$30,"Up","Down")</f>
        <v>Up</v>
      </c>
      <c r="U649" s="6">
        <f>IF(OR(I649&gt;Settings!$B$30,O649&gt;Settings!$B$37),0,1)</f>
        <v>1</v>
      </c>
      <c r="V649" s="6">
        <f>IF(AND(U649=1,O649&lt;=Settings!$B$36),1,0)</f>
        <v>0</v>
      </c>
    </row>
    <row r="650" spans="1:22" x14ac:dyDescent="0.2">
      <c r="A650">
        <f>Arrivals!A650</f>
        <v>6</v>
      </c>
      <c r="B650">
        <f>Arrivals!B650</f>
        <v>45</v>
      </c>
      <c r="C650" s="6">
        <f>Arrivals!F650</f>
        <v>354</v>
      </c>
      <c r="D650" s="6">
        <f>Arrivals!J650</f>
        <v>16.542404603132077</v>
      </c>
      <c r="E650" s="6">
        <f t="shared" si="215"/>
        <v>599.58889336297068</v>
      </c>
      <c r="F650" s="6">
        <f t="shared" si="206"/>
        <v>599.58889336297068</v>
      </c>
      <c r="G650" s="6">
        <f t="shared" si="207"/>
        <v>616.13129796610281</v>
      </c>
      <c r="H650" s="6">
        <f>Arrivals!L650</f>
        <v>75</v>
      </c>
      <c r="I650" s="6">
        <f>H650*8/ACE_Input!S50+ACE_Input!T50</f>
        <v>6.02</v>
      </c>
      <c r="J650" s="6">
        <f t="shared" si="216"/>
        <v>726.02</v>
      </c>
      <c r="K650" s="6">
        <f t="shared" si="208"/>
        <v>726.02</v>
      </c>
      <c r="L650" s="6">
        <f>MOD(K650-Settings!$B$32,Settings!$B$33)</f>
        <v>6.0199999999999818</v>
      </c>
      <c r="M650" s="6">
        <f>IF(L650&lt;Settings!$B$30,IF(Settings!$B$30-L650&gt;=I650,K650,K650+(Settings!$B$30-L650)+Settings!$B$31),K650+(Settings!$B$33-L650))</f>
        <v>726.02</v>
      </c>
      <c r="N650" s="6">
        <f t="shared" si="209"/>
        <v>732.04</v>
      </c>
      <c r="O650" s="6">
        <f t="shared" si="210"/>
        <v>378.03999999999996</v>
      </c>
      <c r="P650" s="6">
        <f t="shared" si="211"/>
        <v>245.58889336297068</v>
      </c>
      <c r="Q650" s="6">
        <f t="shared" si="212"/>
        <v>109.88870203389718</v>
      </c>
      <c r="R650" s="6">
        <f t="shared" si="213"/>
        <v>0</v>
      </c>
      <c r="S650" s="6">
        <f t="shared" si="214"/>
        <v>355.47759539686786</v>
      </c>
      <c r="T650" s="6" t="str">
        <f>IF(MOD(C650-Settings!$B$32,Settings!$B$33)&lt;Settings!$B$30,"Up","Down")</f>
        <v>Up</v>
      </c>
      <c r="U650" s="6">
        <f>IF(OR(I650&gt;Settings!$B$30,O650&gt;Settings!$B$37),0,1)</f>
        <v>1</v>
      </c>
      <c r="V650" s="6">
        <f>IF(AND(U650=1,O650&lt;=Settings!$B$36),1,0)</f>
        <v>0</v>
      </c>
    </row>
    <row r="651" spans="1:22" x14ac:dyDescent="0.2">
      <c r="A651">
        <f>Arrivals!A651</f>
        <v>6</v>
      </c>
      <c r="B651">
        <f>Arrivals!B651</f>
        <v>46</v>
      </c>
      <c r="C651" s="6">
        <f>Arrivals!F651</f>
        <v>359</v>
      </c>
      <c r="D651" s="6">
        <f>Arrivals!J651</f>
        <v>8.6796810050554605</v>
      </c>
      <c r="E651" s="6">
        <f t="shared" si="215"/>
        <v>616.13129796610281</v>
      </c>
      <c r="F651" s="6">
        <f t="shared" si="206"/>
        <v>616.13129796610281</v>
      </c>
      <c r="G651" s="6">
        <f t="shared" si="207"/>
        <v>624.81097897115831</v>
      </c>
      <c r="H651" s="6">
        <f>Arrivals!L651</f>
        <v>75</v>
      </c>
      <c r="I651" s="6">
        <f>H651*8/ACE_Input!S51+ACE_Input!T51</f>
        <v>6.02</v>
      </c>
      <c r="J651" s="6">
        <f t="shared" si="216"/>
        <v>732.04</v>
      </c>
      <c r="K651" s="6">
        <f t="shared" si="208"/>
        <v>732.04</v>
      </c>
      <c r="L651" s="6">
        <f>MOD(K651-Settings!$B$32,Settings!$B$33)</f>
        <v>12.039999999999964</v>
      </c>
      <c r="M651" s="6">
        <f>IF(L651&lt;Settings!$B$30,IF(Settings!$B$30-L651&gt;=I651,K651,K651+(Settings!$B$30-L651)+Settings!$B$31),K651+(Settings!$B$33-L651))</f>
        <v>732.04</v>
      </c>
      <c r="N651" s="6">
        <f t="shared" si="209"/>
        <v>738.06</v>
      </c>
      <c r="O651" s="6">
        <f t="shared" si="210"/>
        <v>379.05999999999995</v>
      </c>
      <c r="P651" s="6">
        <f t="shared" si="211"/>
        <v>257.13129796610281</v>
      </c>
      <c r="Q651" s="6">
        <f t="shared" si="212"/>
        <v>107.22902102884166</v>
      </c>
      <c r="R651" s="6">
        <f t="shared" si="213"/>
        <v>0</v>
      </c>
      <c r="S651" s="6">
        <f t="shared" si="214"/>
        <v>364.36031899494446</v>
      </c>
      <c r="T651" s="6" t="str">
        <f>IF(MOD(C651-Settings!$B$32,Settings!$B$33)&lt;Settings!$B$30,"Up","Down")</f>
        <v>Up</v>
      </c>
      <c r="U651" s="6">
        <f>IF(OR(I651&gt;Settings!$B$30,O651&gt;Settings!$B$37),0,1)</f>
        <v>1</v>
      </c>
      <c r="V651" s="6">
        <f>IF(AND(U651=1,O651&lt;=Settings!$B$36),1,0)</f>
        <v>0</v>
      </c>
    </row>
    <row r="652" spans="1:22" x14ac:dyDescent="0.2">
      <c r="A652">
        <f>Arrivals!A652</f>
        <v>6</v>
      </c>
      <c r="B652">
        <f>Arrivals!B652</f>
        <v>47</v>
      </c>
      <c r="C652" s="6">
        <f>Arrivals!F652</f>
        <v>364</v>
      </c>
      <c r="D652" s="6">
        <f>Arrivals!J652</f>
        <v>2.1232723259841575</v>
      </c>
      <c r="E652" s="6">
        <f t="shared" si="215"/>
        <v>624.81097897115831</v>
      </c>
      <c r="F652" s="6">
        <f t="shared" si="206"/>
        <v>624.81097897115831</v>
      </c>
      <c r="G652" s="6">
        <f t="shared" si="207"/>
        <v>626.93425129714251</v>
      </c>
      <c r="H652" s="6">
        <f>Arrivals!L652</f>
        <v>75</v>
      </c>
      <c r="I652" s="6">
        <f>H652*8/ACE_Input!S52+ACE_Input!T52</f>
        <v>6.02</v>
      </c>
      <c r="J652" s="6">
        <f t="shared" si="216"/>
        <v>738.06</v>
      </c>
      <c r="K652" s="6">
        <f t="shared" si="208"/>
        <v>738.06</v>
      </c>
      <c r="L652" s="6">
        <f>MOD(K652-Settings!$B$32,Settings!$B$33)</f>
        <v>18.059999999999945</v>
      </c>
      <c r="M652" s="6">
        <f>IF(L652&lt;Settings!$B$30,IF(Settings!$B$30-L652&gt;=I652,K652,K652+(Settings!$B$30-L652)+Settings!$B$31),K652+(Settings!$B$33-L652))</f>
        <v>738.06</v>
      </c>
      <c r="N652" s="6">
        <f t="shared" si="209"/>
        <v>744.07999999999993</v>
      </c>
      <c r="O652" s="6">
        <f t="shared" si="210"/>
        <v>380.07999999999993</v>
      </c>
      <c r="P652" s="6">
        <f t="shared" si="211"/>
        <v>260.81097897115831</v>
      </c>
      <c r="Q652" s="6">
        <f t="shared" si="212"/>
        <v>111.12574870285744</v>
      </c>
      <c r="R652" s="6">
        <f t="shared" si="213"/>
        <v>0</v>
      </c>
      <c r="S652" s="6">
        <f t="shared" si="214"/>
        <v>371.93672767401574</v>
      </c>
      <c r="T652" s="6" t="str">
        <f>IF(MOD(C652-Settings!$B$32,Settings!$B$33)&lt;Settings!$B$30,"Up","Down")</f>
        <v>Up</v>
      </c>
      <c r="U652" s="6">
        <f>IF(OR(I652&gt;Settings!$B$30,O652&gt;Settings!$B$37),0,1)</f>
        <v>1</v>
      </c>
      <c r="V652" s="6">
        <f>IF(AND(U652=1,O652&lt;=Settings!$B$36),1,0)</f>
        <v>0</v>
      </c>
    </row>
    <row r="653" spans="1:22" x14ac:dyDescent="0.2">
      <c r="A653">
        <f>Arrivals!A653</f>
        <v>6</v>
      </c>
      <c r="B653">
        <f>Arrivals!B653</f>
        <v>48</v>
      </c>
      <c r="C653" s="6">
        <f>Arrivals!F653</f>
        <v>369</v>
      </c>
      <c r="D653" s="6">
        <f>Arrivals!J653</f>
        <v>10.447127116159958</v>
      </c>
      <c r="E653" s="6">
        <f t="shared" si="215"/>
        <v>626.93425129714251</v>
      </c>
      <c r="F653" s="6">
        <f t="shared" si="206"/>
        <v>626.93425129714251</v>
      </c>
      <c r="G653" s="6">
        <f t="shared" si="207"/>
        <v>637.38137841330251</v>
      </c>
      <c r="H653" s="6">
        <f>Arrivals!L653</f>
        <v>75</v>
      </c>
      <c r="I653" s="6">
        <f>H653*8/ACE_Input!S53+ACE_Input!T53</f>
        <v>6.02</v>
      </c>
      <c r="J653" s="6">
        <f t="shared" si="216"/>
        <v>744.07999999999993</v>
      </c>
      <c r="K653" s="6">
        <f t="shared" si="208"/>
        <v>744.07999999999993</v>
      </c>
      <c r="L653" s="6">
        <f>MOD(K653-Settings!$B$32,Settings!$B$33)</f>
        <v>24.079999999999927</v>
      </c>
      <c r="M653" s="6">
        <f>IF(L653&lt;Settings!$B$30,IF(Settings!$B$30-L653&gt;=I653,K653,K653+(Settings!$B$30-L653)+Settings!$B$31),K653+(Settings!$B$33-L653))</f>
        <v>744.07999999999993</v>
      </c>
      <c r="N653" s="6">
        <f t="shared" si="209"/>
        <v>750.09999999999991</v>
      </c>
      <c r="O653" s="6">
        <f t="shared" si="210"/>
        <v>381.09999999999991</v>
      </c>
      <c r="P653" s="6">
        <f t="shared" si="211"/>
        <v>257.93425129714251</v>
      </c>
      <c r="Q653" s="6">
        <f t="shared" si="212"/>
        <v>106.69862158669741</v>
      </c>
      <c r="R653" s="6">
        <f t="shared" si="213"/>
        <v>0</v>
      </c>
      <c r="S653" s="6">
        <f t="shared" si="214"/>
        <v>364.63287288383992</v>
      </c>
      <c r="T653" s="6" t="str">
        <f>IF(MOD(C653-Settings!$B$32,Settings!$B$33)&lt;Settings!$B$30,"Up","Down")</f>
        <v>Up</v>
      </c>
      <c r="U653" s="6">
        <f>IF(OR(I653&gt;Settings!$B$30,O653&gt;Settings!$B$37),0,1)</f>
        <v>1</v>
      </c>
      <c r="V653" s="6">
        <f>IF(AND(U653=1,O653&lt;=Settings!$B$36),1,0)</f>
        <v>0</v>
      </c>
    </row>
    <row r="654" spans="1:22" x14ac:dyDescent="0.2">
      <c r="A654">
        <f>Arrivals!A654</f>
        <v>6</v>
      </c>
      <c r="B654">
        <f>Arrivals!B654</f>
        <v>49</v>
      </c>
      <c r="C654" s="6">
        <f>Arrivals!F654</f>
        <v>374</v>
      </c>
      <c r="D654" s="6">
        <f>Arrivals!J654</f>
        <v>23.774266970043154</v>
      </c>
      <c r="E654" s="6">
        <f t="shared" si="215"/>
        <v>637.38137841330251</v>
      </c>
      <c r="F654" s="6">
        <f t="shared" si="206"/>
        <v>637.38137841330251</v>
      </c>
      <c r="G654" s="6">
        <f t="shared" si="207"/>
        <v>661.1556453833457</v>
      </c>
      <c r="H654" s="6">
        <f>Arrivals!L654</f>
        <v>75</v>
      </c>
      <c r="I654" s="6">
        <f>H654*8/ACE_Input!S54+ACE_Input!T54</f>
        <v>6.02</v>
      </c>
      <c r="J654" s="6">
        <f t="shared" si="216"/>
        <v>750.09999999999991</v>
      </c>
      <c r="K654" s="6">
        <f t="shared" si="208"/>
        <v>750.09999999999991</v>
      </c>
      <c r="L654" s="6">
        <f>MOD(K654-Settings!$B$32,Settings!$B$33)</f>
        <v>30.099999999999909</v>
      </c>
      <c r="M654" s="6">
        <f>IF(L654&lt;Settings!$B$30,IF(Settings!$B$30-L654&gt;=I654,K654,K654+(Settings!$B$30-L654)+Settings!$B$31),K654+(Settings!$B$33-L654))</f>
        <v>750.09999999999991</v>
      </c>
      <c r="N654" s="6">
        <f t="shared" si="209"/>
        <v>756.11999999999989</v>
      </c>
      <c r="O654" s="6">
        <f t="shared" si="210"/>
        <v>382.11999999999989</v>
      </c>
      <c r="P654" s="6">
        <f t="shared" si="211"/>
        <v>263.38137841330251</v>
      </c>
      <c r="Q654" s="6">
        <f t="shared" si="212"/>
        <v>88.944354616654209</v>
      </c>
      <c r="R654" s="6">
        <f t="shared" si="213"/>
        <v>0</v>
      </c>
      <c r="S654" s="6">
        <f t="shared" si="214"/>
        <v>352.32573302995672</v>
      </c>
      <c r="T654" s="6" t="str">
        <f>IF(MOD(C654-Settings!$B$32,Settings!$B$33)&lt;Settings!$B$30,"Up","Down")</f>
        <v>Up</v>
      </c>
      <c r="U654" s="6">
        <f>IF(OR(I654&gt;Settings!$B$30,O654&gt;Settings!$B$37),0,1)</f>
        <v>1</v>
      </c>
      <c r="V654" s="6">
        <f>IF(AND(U654=1,O654&lt;=Settings!$B$36),1,0)</f>
        <v>0</v>
      </c>
    </row>
    <row r="655" spans="1:22" x14ac:dyDescent="0.2">
      <c r="A655">
        <f>Arrivals!A655</f>
        <v>6</v>
      </c>
      <c r="B655">
        <f>Arrivals!B655</f>
        <v>50</v>
      </c>
      <c r="C655" s="6">
        <f>Arrivals!F655</f>
        <v>379</v>
      </c>
      <c r="D655" s="6">
        <f>Arrivals!J655</f>
        <v>3.09902840001436</v>
      </c>
      <c r="E655" s="6">
        <f t="shared" si="215"/>
        <v>661.1556453833457</v>
      </c>
      <c r="F655" s="6">
        <f t="shared" si="206"/>
        <v>661.1556453833457</v>
      </c>
      <c r="G655" s="6">
        <f t="shared" si="207"/>
        <v>664.25467378336009</v>
      </c>
      <c r="H655" s="6">
        <f>Arrivals!L655</f>
        <v>75</v>
      </c>
      <c r="I655" s="6">
        <f>H655*8/ACE_Input!S55+ACE_Input!T55</f>
        <v>6.02</v>
      </c>
      <c r="J655" s="6">
        <f t="shared" si="216"/>
        <v>756.11999999999989</v>
      </c>
      <c r="K655" s="6">
        <f t="shared" si="208"/>
        <v>756.11999999999989</v>
      </c>
      <c r="L655" s="6">
        <f>MOD(K655-Settings!$B$32,Settings!$B$33)</f>
        <v>36.119999999999891</v>
      </c>
      <c r="M655" s="6">
        <f>IF(L655&lt;Settings!$B$30,IF(Settings!$B$30-L655&gt;=I655,K655,K655+(Settings!$B$30-L655)+Settings!$B$31),K655+(Settings!$B$33-L655))</f>
        <v>756.11999999999989</v>
      </c>
      <c r="N655" s="6">
        <f t="shared" si="209"/>
        <v>762.13999999999987</v>
      </c>
      <c r="O655" s="6">
        <f t="shared" si="210"/>
        <v>383.13999999999987</v>
      </c>
      <c r="P655" s="6">
        <f t="shared" si="211"/>
        <v>282.1556453833457</v>
      </c>
      <c r="Q655" s="6">
        <f t="shared" si="212"/>
        <v>91.865326216639801</v>
      </c>
      <c r="R655" s="6">
        <f t="shared" si="213"/>
        <v>0</v>
      </c>
      <c r="S655" s="6">
        <f t="shared" si="214"/>
        <v>374.0209715999855</v>
      </c>
      <c r="T655" s="6" t="str">
        <f>IF(MOD(C655-Settings!$B$32,Settings!$B$33)&lt;Settings!$B$30,"Up","Down")</f>
        <v>Up</v>
      </c>
      <c r="U655" s="6">
        <f>IF(OR(I655&gt;Settings!$B$30,O655&gt;Settings!$B$37),0,1)</f>
        <v>1</v>
      </c>
      <c r="V655" s="6">
        <f>IF(AND(U655=1,O655&lt;=Settings!$B$36),1,0)</f>
        <v>0</v>
      </c>
    </row>
    <row r="656" spans="1:22" x14ac:dyDescent="0.2">
      <c r="A656">
        <f>Arrivals!A656</f>
        <v>6</v>
      </c>
      <c r="B656">
        <f>Arrivals!B656</f>
        <v>51</v>
      </c>
      <c r="C656" s="6">
        <f>Arrivals!F656</f>
        <v>384</v>
      </c>
      <c r="D656" s="6">
        <f>Arrivals!J656</f>
        <v>3.7519579044869298</v>
      </c>
      <c r="E656" s="6">
        <f t="shared" si="215"/>
        <v>664.25467378336009</v>
      </c>
      <c r="F656" s="6">
        <f t="shared" si="206"/>
        <v>664.25467378336009</v>
      </c>
      <c r="G656" s="6">
        <f t="shared" si="207"/>
        <v>668.00663168784706</v>
      </c>
      <c r="H656" s="6">
        <f>Arrivals!L656</f>
        <v>75</v>
      </c>
      <c r="I656" s="6">
        <f>H656*8/ACE_Input!S56+ACE_Input!T56</f>
        <v>6.02</v>
      </c>
      <c r="J656" s="6">
        <f t="shared" si="216"/>
        <v>762.13999999999987</v>
      </c>
      <c r="K656" s="6">
        <f t="shared" si="208"/>
        <v>762.13999999999987</v>
      </c>
      <c r="L656" s="6">
        <f>MOD(K656-Settings!$B$32,Settings!$B$33)</f>
        <v>42.139999999999873</v>
      </c>
      <c r="M656" s="6">
        <f>IF(L656&lt;Settings!$B$30,IF(Settings!$B$30-L656&gt;=I656,K656,K656+(Settings!$B$30-L656)+Settings!$B$31),K656+(Settings!$B$33-L656))</f>
        <v>762.13999999999987</v>
      </c>
      <c r="N656" s="6">
        <f t="shared" si="209"/>
        <v>768.15999999999985</v>
      </c>
      <c r="O656" s="6">
        <f t="shared" si="210"/>
        <v>384.15999999999985</v>
      </c>
      <c r="P656" s="6">
        <f t="shared" si="211"/>
        <v>280.25467378336009</v>
      </c>
      <c r="Q656" s="6">
        <f t="shared" si="212"/>
        <v>94.133368312152811</v>
      </c>
      <c r="R656" s="6">
        <f t="shared" si="213"/>
        <v>0</v>
      </c>
      <c r="S656" s="6">
        <f t="shared" si="214"/>
        <v>374.3880420955129</v>
      </c>
      <c r="T656" s="6" t="str">
        <f>IF(MOD(C656-Settings!$B$32,Settings!$B$33)&lt;Settings!$B$30,"Up","Down")</f>
        <v>Up</v>
      </c>
      <c r="U656" s="6">
        <f>IF(OR(I656&gt;Settings!$B$30,O656&gt;Settings!$B$37),0,1)</f>
        <v>1</v>
      </c>
      <c r="V656" s="6">
        <f>IF(AND(U656=1,O656&lt;=Settings!$B$36),1,0)</f>
        <v>0</v>
      </c>
    </row>
    <row r="657" spans="1:22" x14ac:dyDescent="0.2">
      <c r="A657">
        <f>Arrivals!A657</f>
        <v>6</v>
      </c>
      <c r="B657">
        <f>Arrivals!B657</f>
        <v>52</v>
      </c>
      <c r="C657" s="6">
        <f>Arrivals!F657</f>
        <v>389</v>
      </c>
      <c r="D657" s="6">
        <f>Arrivals!J657</f>
        <v>16.267001009796388</v>
      </c>
      <c r="E657" s="6">
        <f t="shared" si="215"/>
        <v>668.00663168784706</v>
      </c>
      <c r="F657" s="6">
        <f t="shared" si="206"/>
        <v>668.00663168784706</v>
      </c>
      <c r="G657" s="6">
        <f t="shared" si="207"/>
        <v>684.27363269764351</v>
      </c>
      <c r="H657" s="6">
        <f>Arrivals!L657</f>
        <v>75</v>
      </c>
      <c r="I657" s="6">
        <f>H657*8/ACE_Input!S57+ACE_Input!T57</f>
        <v>6.02</v>
      </c>
      <c r="J657" s="6">
        <f t="shared" si="216"/>
        <v>768.15999999999985</v>
      </c>
      <c r="K657" s="6">
        <f t="shared" si="208"/>
        <v>768.15999999999985</v>
      </c>
      <c r="L657" s="6">
        <f>MOD(K657-Settings!$B$32,Settings!$B$33)</f>
        <v>48.159999999999854</v>
      </c>
      <c r="M657" s="6">
        <f>IF(L657&lt;Settings!$B$30,IF(Settings!$B$30-L657&gt;=I657,K657,K657+(Settings!$B$30-L657)+Settings!$B$31),K657+(Settings!$B$33-L657))</f>
        <v>768.15999999999985</v>
      </c>
      <c r="N657" s="6">
        <f t="shared" si="209"/>
        <v>774.17999999999984</v>
      </c>
      <c r="O657" s="6">
        <f t="shared" si="210"/>
        <v>385.17999999999984</v>
      </c>
      <c r="P657" s="6">
        <f t="shared" si="211"/>
        <v>279.00663168784706</v>
      </c>
      <c r="Q657" s="6">
        <f t="shared" si="212"/>
        <v>83.886367302356348</v>
      </c>
      <c r="R657" s="6">
        <f t="shared" si="213"/>
        <v>0</v>
      </c>
      <c r="S657" s="6">
        <f t="shared" si="214"/>
        <v>362.89299899020341</v>
      </c>
      <c r="T657" s="6" t="str">
        <f>IF(MOD(C657-Settings!$B$32,Settings!$B$33)&lt;Settings!$B$30,"Up","Down")</f>
        <v>Up</v>
      </c>
      <c r="U657" s="6">
        <f>IF(OR(I657&gt;Settings!$B$30,O657&gt;Settings!$B$37),0,1)</f>
        <v>1</v>
      </c>
      <c r="V657" s="6">
        <f>IF(AND(U657=1,O657&lt;=Settings!$B$36),1,0)</f>
        <v>0</v>
      </c>
    </row>
    <row r="658" spans="1:22" x14ac:dyDescent="0.2">
      <c r="A658">
        <f>Arrivals!A658</f>
        <v>6</v>
      </c>
      <c r="B658">
        <f>Arrivals!B658</f>
        <v>53</v>
      </c>
      <c r="C658" s="6">
        <f>Arrivals!F658</f>
        <v>394</v>
      </c>
      <c r="D658" s="6">
        <f>Arrivals!J658</f>
        <v>2.8041774440847296</v>
      </c>
      <c r="E658" s="6">
        <f t="shared" si="215"/>
        <v>684.27363269764351</v>
      </c>
      <c r="F658" s="6">
        <f t="shared" si="206"/>
        <v>684.27363269764351</v>
      </c>
      <c r="G658" s="6">
        <f t="shared" si="207"/>
        <v>687.07781014172826</v>
      </c>
      <c r="H658" s="6">
        <f>Arrivals!L658</f>
        <v>75</v>
      </c>
      <c r="I658" s="6">
        <f>H658*8/ACE_Input!S58+ACE_Input!T58</f>
        <v>6.02</v>
      </c>
      <c r="J658" s="6">
        <f t="shared" si="216"/>
        <v>774.17999999999984</v>
      </c>
      <c r="K658" s="6">
        <f t="shared" si="208"/>
        <v>774.17999999999984</v>
      </c>
      <c r="L658" s="6">
        <f>MOD(K658-Settings!$B$32,Settings!$B$33)</f>
        <v>54.179999999999836</v>
      </c>
      <c r="M658" s="6">
        <f>IF(L658&lt;Settings!$B$30,IF(Settings!$B$30-L658&gt;=I658,K658,K658+(Settings!$B$30-L658)+Settings!$B$31),K658+(Settings!$B$33-L658))</f>
        <v>774.17999999999984</v>
      </c>
      <c r="N658" s="6">
        <f t="shared" si="209"/>
        <v>780.19999999999982</v>
      </c>
      <c r="O658" s="6">
        <f t="shared" si="210"/>
        <v>386.19999999999982</v>
      </c>
      <c r="P658" s="6">
        <f t="shared" si="211"/>
        <v>290.27363269764351</v>
      </c>
      <c r="Q658" s="6">
        <f t="shared" si="212"/>
        <v>87.102189858271572</v>
      </c>
      <c r="R658" s="6">
        <f t="shared" si="213"/>
        <v>0</v>
      </c>
      <c r="S658" s="6">
        <f t="shared" si="214"/>
        <v>377.37582255591508</v>
      </c>
      <c r="T658" s="6" t="str">
        <f>IF(MOD(C658-Settings!$B$32,Settings!$B$33)&lt;Settings!$B$30,"Up","Down")</f>
        <v>Up</v>
      </c>
      <c r="U658" s="6">
        <f>IF(OR(I658&gt;Settings!$B$30,O658&gt;Settings!$B$37),0,1)</f>
        <v>1</v>
      </c>
      <c r="V658" s="6">
        <f>IF(AND(U658=1,O658&lt;=Settings!$B$36),1,0)</f>
        <v>0</v>
      </c>
    </row>
    <row r="659" spans="1:22" x14ac:dyDescent="0.2">
      <c r="A659">
        <f>Arrivals!A659</f>
        <v>6</v>
      </c>
      <c r="B659">
        <f>Arrivals!B659</f>
        <v>54</v>
      </c>
      <c r="C659" s="6">
        <f>Arrivals!F659</f>
        <v>399</v>
      </c>
      <c r="D659" s="6">
        <f>Arrivals!J659</f>
        <v>5.0680284879705964</v>
      </c>
      <c r="E659" s="6">
        <f t="shared" si="215"/>
        <v>687.07781014172826</v>
      </c>
      <c r="F659" s="6">
        <f t="shared" si="206"/>
        <v>687.07781014172826</v>
      </c>
      <c r="G659" s="6">
        <f t="shared" si="207"/>
        <v>692.14583862969891</v>
      </c>
      <c r="H659" s="6">
        <f>Arrivals!L659</f>
        <v>75</v>
      </c>
      <c r="I659" s="6">
        <f>H659*8/ACE_Input!S59+ACE_Input!T59</f>
        <v>6.02</v>
      </c>
      <c r="J659" s="6">
        <f t="shared" si="216"/>
        <v>780.19999999999982</v>
      </c>
      <c r="K659" s="6">
        <f t="shared" si="208"/>
        <v>780.19999999999982</v>
      </c>
      <c r="L659" s="6">
        <f>MOD(K659-Settings!$B$32,Settings!$B$33)</f>
        <v>60.199999999999818</v>
      </c>
      <c r="M659" s="6">
        <f>IF(L659&lt;Settings!$B$30,IF(Settings!$B$30-L659&gt;=I659,K659,K659+(Settings!$B$30-L659)+Settings!$B$31),K659+(Settings!$B$33-L659))</f>
        <v>780.19999999999982</v>
      </c>
      <c r="N659" s="6">
        <f t="shared" si="209"/>
        <v>786.2199999999998</v>
      </c>
      <c r="O659" s="6">
        <f t="shared" si="210"/>
        <v>387.2199999999998</v>
      </c>
      <c r="P659" s="6">
        <f t="shared" si="211"/>
        <v>288.07781014172826</v>
      </c>
      <c r="Q659" s="6">
        <f t="shared" si="212"/>
        <v>88.054161370300903</v>
      </c>
      <c r="R659" s="6">
        <f t="shared" si="213"/>
        <v>0</v>
      </c>
      <c r="S659" s="6">
        <f t="shared" si="214"/>
        <v>376.13197151202917</v>
      </c>
      <c r="T659" s="6" t="str">
        <f>IF(MOD(C659-Settings!$B$32,Settings!$B$33)&lt;Settings!$B$30,"Up","Down")</f>
        <v>Up</v>
      </c>
      <c r="U659" s="6">
        <f>IF(OR(I659&gt;Settings!$B$30,O659&gt;Settings!$B$37),0,1)</f>
        <v>1</v>
      </c>
      <c r="V659" s="6">
        <f>IF(AND(U659=1,O659&lt;=Settings!$B$36),1,0)</f>
        <v>0</v>
      </c>
    </row>
    <row r="660" spans="1:22" x14ac:dyDescent="0.2">
      <c r="A660">
        <f>Arrivals!A660</f>
        <v>6</v>
      </c>
      <c r="B660">
        <f>Arrivals!B660</f>
        <v>55</v>
      </c>
      <c r="C660" s="6">
        <f>Arrivals!F660</f>
        <v>404</v>
      </c>
      <c r="D660" s="6">
        <f>Arrivals!J660</f>
        <v>18.016868031049306</v>
      </c>
      <c r="E660" s="6">
        <f t="shared" si="215"/>
        <v>692.14583862969891</v>
      </c>
      <c r="F660" s="6">
        <f t="shared" si="206"/>
        <v>692.14583862969891</v>
      </c>
      <c r="G660" s="6">
        <f t="shared" si="207"/>
        <v>710.1627066607482</v>
      </c>
      <c r="H660" s="6">
        <f>Arrivals!L660</f>
        <v>75</v>
      </c>
      <c r="I660" s="6">
        <f>H660*8/ACE_Input!S60+ACE_Input!T60</f>
        <v>6.02</v>
      </c>
      <c r="J660" s="6">
        <f t="shared" si="216"/>
        <v>786.2199999999998</v>
      </c>
      <c r="K660" s="6">
        <f t="shared" si="208"/>
        <v>786.2199999999998</v>
      </c>
      <c r="L660" s="6">
        <f>MOD(K660-Settings!$B$32,Settings!$B$33)</f>
        <v>66.2199999999998</v>
      </c>
      <c r="M660" s="6">
        <f>IF(L660&lt;Settings!$B$30,IF(Settings!$B$30-L660&gt;=I660,K660,K660+(Settings!$B$30-L660)+Settings!$B$31),K660+(Settings!$B$33-L660))</f>
        <v>786.2199999999998</v>
      </c>
      <c r="N660" s="6">
        <f t="shared" si="209"/>
        <v>792.23999999999978</v>
      </c>
      <c r="O660" s="6">
        <f t="shared" si="210"/>
        <v>388.23999999999978</v>
      </c>
      <c r="P660" s="6">
        <f t="shared" si="211"/>
        <v>288.14583862969891</v>
      </c>
      <c r="Q660" s="6">
        <f t="shared" si="212"/>
        <v>76.057293339251601</v>
      </c>
      <c r="R660" s="6">
        <f t="shared" si="213"/>
        <v>0</v>
      </c>
      <c r="S660" s="6">
        <f t="shared" si="214"/>
        <v>364.20313196895052</v>
      </c>
      <c r="T660" s="6" t="str">
        <f>IF(MOD(C660-Settings!$B$32,Settings!$B$33)&lt;Settings!$B$30,"Up","Down")</f>
        <v>Up</v>
      </c>
      <c r="U660" s="6">
        <f>IF(OR(I660&gt;Settings!$B$30,O660&gt;Settings!$B$37),0,1)</f>
        <v>1</v>
      </c>
      <c r="V660" s="6">
        <f>IF(AND(U660=1,O660&lt;=Settings!$B$36),1,0)</f>
        <v>0</v>
      </c>
    </row>
    <row r="661" spans="1:22" x14ac:dyDescent="0.2">
      <c r="A661">
        <f>Arrivals!A661</f>
        <v>6</v>
      </c>
      <c r="B661">
        <f>Arrivals!B661</f>
        <v>56</v>
      </c>
      <c r="C661" s="6">
        <f>Arrivals!F661</f>
        <v>409</v>
      </c>
      <c r="D661" s="6">
        <f>Arrivals!J661</f>
        <v>1.5226022961027867</v>
      </c>
      <c r="E661" s="6">
        <f t="shared" si="215"/>
        <v>710.1627066607482</v>
      </c>
      <c r="F661" s="6">
        <f t="shared" si="206"/>
        <v>710.1627066607482</v>
      </c>
      <c r="G661" s="6">
        <f t="shared" si="207"/>
        <v>711.68530895685103</v>
      </c>
      <c r="H661" s="6">
        <f>Arrivals!L661</f>
        <v>75</v>
      </c>
      <c r="I661" s="6">
        <f>H661*8/ACE_Input!S61+ACE_Input!T61</f>
        <v>6.02</v>
      </c>
      <c r="J661" s="6">
        <f t="shared" si="216"/>
        <v>792.23999999999978</v>
      </c>
      <c r="K661" s="6">
        <f t="shared" si="208"/>
        <v>792.23999999999978</v>
      </c>
      <c r="L661" s="6">
        <f>MOD(K661-Settings!$B$32,Settings!$B$33)</f>
        <v>72.239999999999782</v>
      </c>
      <c r="M661" s="6">
        <f>IF(L661&lt;Settings!$B$30,IF(Settings!$B$30-L661&gt;=I661,K661,K661+(Settings!$B$30-L661)+Settings!$B$31),K661+(Settings!$B$33-L661))</f>
        <v>792.23999999999978</v>
      </c>
      <c r="N661" s="6">
        <f t="shared" si="209"/>
        <v>798.25999999999976</v>
      </c>
      <c r="O661" s="6">
        <f t="shared" si="210"/>
        <v>389.25999999999976</v>
      </c>
      <c r="P661" s="6">
        <f t="shared" si="211"/>
        <v>301.1627066607482</v>
      </c>
      <c r="Q661" s="6">
        <f t="shared" si="212"/>
        <v>80.55469104314875</v>
      </c>
      <c r="R661" s="6">
        <f t="shared" si="213"/>
        <v>0</v>
      </c>
      <c r="S661" s="6">
        <f t="shared" si="214"/>
        <v>381.71739770389695</v>
      </c>
      <c r="T661" s="6" t="str">
        <f>IF(MOD(C661-Settings!$B$32,Settings!$B$33)&lt;Settings!$B$30,"Up","Down")</f>
        <v>Up</v>
      </c>
      <c r="U661" s="6">
        <f>IF(OR(I661&gt;Settings!$B$30,O661&gt;Settings!$B$37),0,1)</f>
        <v>1</v>
      </c>
      <c r="V661" s="6">
        <f>IF(AND(U661=1,O661&lt;=Settings!$B$36),1,0)</f>
        <v>0</v>
      </c>
    </row>
    <row r="662" spans="1:22" x14ac:dyDescent="0.2">
      <c r="A662">
        <f>Arrivals!A662</f>
        <v>6</v>
      </c>
      <c r="B662">
        <f>Arrivals!B662</f>
        <v>57</v>
      </c>
      <c r="C662" s="6">
        <f>Arrivals!F662</f>
        <v>414</v>
      </c>
      <c r="D662" s="6">
        <f>Arrivals!J662</f>
        <v>18.442020656154494</v>
      </c>
      <c r="E662" s="6">
        <f t="shared" si="215"/>
        <v>711.68530895685103</v>
      </c>
      <c r="F662" s="6">
        <f t="shared" si="206"/>
        <v>711.68530895685103</v>
      </c>
      <c r="G662" s="6">
        <f t="shared" si="207"/>
        <v>730.12732961300549</v>
      </c>
      <c r="H662" s="6">
        <f>Arrivals!L662</f>
        <v>75</v>
      </c>
      <c r="I662" s="6">
        <f>H662*8/ACE_Input!S62+ACE_Input!T62</f>
        <v>6.02</v>
      </c>
      <c r="J662" s="6">
        <f t="shared" si="216"/>
        <v>798.25999999999976</v>
      </c>
      <c r="K662" s="6">
        <f t="shared" si="208"/>
        <v>798.25999999999976</v>
      </c>
      <c r="L662" s="6">
        <f>MOD(K662-Settings!$B$32,Settings!$B$33)</f>
        <v>78.259999999999764</v>
      </c>
      <c r="M662" s="6">
        <f>IF(L662&lt;Settings!$B$30,IF(Settings!$B$30-L662&gt;=I662,K662,K662+(Settings!$B$30-L662)+Settings!$B$31),K662+(Settings!$B$33-L662))</f>
        <v>798.25999999999976</v>
      </c>
      <c r="N662" s="6">
        <f t="shared" si="209"/>
        <v>804.27999999999975</v>
      </c>
      <c r="O662" s="6">
        <f t="shared" si="210"/>
        <v>390.27999999999975</v>
      </c>
      <c r="P662" s="6">
        <f t="shared" si="211"/>
        <v>297.68530895685103</v>
      </c>
      <c r="Q662" s="6">
        <f t="shared" si="212"/>
        <v>68.132670386994278</v>
      </c>
      <c r="R662" s="6">
        <f t="shared" si="213"/>
        <v>0</v>
      </c>
      <c r="S662" s="6">
        <f t="shared" si="214"/>
        <v>365.81797934384531</v>
      </c>
      <c r="T662" s="6" t="str">
        <f>IF(MOD(C662-Settings!$B$32,Settings!$B$33)&lt;Settings!$B$30,"Up","Down")</f>
        <v>Up</v>
      </c>
      <c r="U662" s="6">
        <f>IF(OR(I662&gt;Settings!$B$30,O662&gt;Settings!$B$37),0,1)</f>
        <v>1</v>
      </c>
      <c r="V662" s="6">
        <f>IF(AND(U662=1,O662&lt;=Settings!$B$36),1,0)</f>
        <v>0</v>
      </c>
    </row>
    <row r="663" spans="1:22" x14ac:dyDescent="0.2">
      <c r="A663">
        <f>Arrivals!A663</f>
        <v>6</v>
      </c>
      <c r="B663">
        <f>Arrivals!B663</f>
        <v>58</v>
      </c>
      <c r="C663" s="6">
        <f>Arrivals!F663</f>
        <v>419</v>
      </c>
      <c r="D663" s="6">
        <f>Arrivals!J663</f>
        <v>7.735457580905222</v>
      </c>
      <c r="E663" s="6">
        <f t="shared" si="215"/>
        <v>730.12732961300549</v>
      </c>
      <c r="F663" s="6">
        <f t="shared" si="206"/>
        <v>730.12732961300549</v>
      </c>
      <c r="G663" s="6">
        <f t="shared" si="207"/>
        <v>737.86278719391066</v>
      </c>
      <c r="H663" s="6">
        <f>Arrivals!L663</f>
        <v>75</v>
      </c>
      <c r="I663" s="6">
        <f>H663*8/ACE_Input!S63+ACE_Input!T63</f>
        <v>6.02</v>
      </c>
      <c r="J663" s="6">
        <f t="shared" si="216"/>
        <v>804.27999999999975</v>
      </c>
      <c r="K663" s="6">
        <f t="shared" si="208"/>
        <v>804.27999999999975</v>
      </c>
      <c r="L663" s="6">
        <f>MOD(K663-Settings!$B$32,Settings!$B$33)</f>
        <v>84.279999999999745</v>
      </c>
      <c r="M663" s="6">
        <f>IF(L663&lt;Settings!$B$30,IF(Settings!$B$30-L663&gt;=I663,K663,K663+(Settings!$B$30-L663)+Settings!$B$31),K663+(Settings!$B$33-L663))</f>
        <v>804.27999999999975</v>
      </c>
      <c r="N663" s="6">
        <f t="shared" si="209"/>
        <v>810.29999999999973</v>
      </c>
      <c r="O663" s="6">
        <f t="shared" si="210"/>
        <v>391.29999999999973</v>
      </c>
      <c r="P663" s="6">
        <f t="shared" si="211"/>
        <v>311.12732961300549</v>
      </c>
      <c r="Q663" s="6">
        <f t="shared" si="212"/>
        <v>66.417212806089083</v>
      </c>
      <c r="R663" s="6">
        <f t="shared" si="213"/>
        <v>0</v>
      </c>
      <c r="S663" s="6">
        <f t="shared" si="214"/>
        <v>377.54454241909457</v>
      </c>
      <c r="T663" s="6" t="str">
        <f>IF(MOD(C663-Settings!$B$32,Settings!$B$33)&lt;Settings!$B$30,"Up","Down")</f>
        <v>Up</v>
      </c>
      <c r="U663" s="6">
        <f>IF(OR(I663&gt;Settings!$B$30,O663&gt;Settings!$B$37),0,1)</f>
        <v>1</v>
      </c>
      <c r="V663" s="6">
        <f>IF(AND(U663=1,O663&lt;=Settings!$B$36),1,0)</f>
        <v>0</v>
      </c>
    </row>
    <row r="664" spans="1:22" x14ac:dyDescent="0.2">
      <c r="A664">
        <f>Arrivals!A664</f>
        <v>6</v>
      </c>
      <c r="B664">
        <f>Arrivals!B664</f>
        <v>59</v>
      </c>
      <c r="C664" s="6">
        <f>Arrivals!F664</f>
        <v>424</v>
      </c>
      <c r="D664" s="6">
        <f>Arrivals!J664</f>
        <v>12.878869887591545</v>
      </c>
      <c r="E664" s="6">
        <f t="shared" si="215"/>
        <v>737.86278719391066</v>
      </c>
      <c r="F664" s="6">
        <f t="shared" si="206"/>
        <v>737.86278719391066</v>
      </c>
      <c r="G664" s="6">
        <f t="shared" si="207"/>
        <v>750.74165708150224</v>
      </c>
      <c r="H664" s="6">
        <f>Arrivals!L664</f>
        <v>75</v>
      </c>
      <c r="I664" s="6">
        <f>H664*8/ACE_Input!S64+ACE_Input!T64</f>
        <v>6.02</v>
      </c>
      <c r="J664" s="6">
        <f t="shared" si="216"/>
        <v>810.29999999999973</v>
      </c>
      <c r="K664" s="6">
        <f t="shared" si="208"/>
        <v>810.29999999999973</v>
      </c>
      <c r="L664" s="6">
        <f>MOD(K664-Settings!$B$32,Settings!$B$33)</f>
        <v>90.299999999999727</v>
      </c>
      <c r="M664" s="6">
        <f>IF(L664&lt;Settings!$B$30,IF(Settings!$B$30-L664&gt;=I664,K664,K664+(Settings!$B$30-L664)+Settings!$B$31),K664+(Settings!$B$33-L664))</f>
        <v>810.29999999999973</v>
      </c>
      <c r="N664" s="6">
        <f t="shared" si="209"/>
        <v>816.31999999999971</v>
      </c>
      <c r="O664" s="6">
        <f t="shared" si="210"/>
        <v>392.31999999999971</v>
      </c>
      <c r="P664" s="6">
        <f t="shared" si="211"/>
        <v>313.86278719391066</v>
      </c>
      <c r="Q664" s="6">
        <f t="shared" si="212"/>
        <v>59.558342918497488</v>
      </c>
      <c r="R664" s="6">
        <f t="shared" si="213"/>
        <v>0</v>
      </c>
      <c r="S664" s="6">
        <f t="shared" si="214"/>
        <v>373.42113011240815</v>
      </c>
      <c r="T664" s="6" t="str">
        <f>IF(MOD(C664-Settings!$B$32,Settings!$B$33)&lt;Settings!$B$30,"Up","Down")</f>
        <v>Up</v>
      </c>
      <c r="U664" s="6">
        <f>IF(OR(I664&gt;Settings!$B$30,O664&gt;Settings!$B$37),0,1)</f>
        <v>1</v>
      </c>
      <c r="V664" s="6">
        <f>IF(AND(U664=1,O664&lt;=Settings!$B$36),1,0)</f>
        <v>0</v>
      </c>
    </row>
    <row r="665" spans="1:22" x14ac:dyDescent="0.2">
      <c r="A665">
        <f>Arrivals!A665</f>
        <v>6</v>
      </c>
      <c r="B665">
        <f>Arrivals!B665</f>
        <v>60</v>
      </c>
      <c r="C665" s="6">
        <f>Arrivals!F665</f>
        <v>429</v>
      </c>
      <c r="D665" s="6">
        <f>Arrivals!J665</f>
        <v>14.415636529935171</v>
      </c>
      <c r="E665" s="6">
        <f t="shared" si="215"/>
        <v>750.74165708150224</v>
      </c>
      <c r="F665" s="6">
        <f t="shared" si="206"/>
        <v>750.74165708150224</v>
      </c>
      <c r="G665" s="6">
        <f t="shared" si="207"/>
        <v>765.15729361143735</v>
      </c>
      <c r="H665" s="6">
        <f>Arrivals!L665</f>
        <v>75</v>
      </c>
      <c r="I665" s="6">
        <f>H665*8/ACE_Input!S65+ACE_Input!T65</f>
        <v>6.02</v>
      </c>
      <c r="J665" s="6">
        <f t="shared" si="216"/>
        <v>816.31999999999971</v>
      </c>
      <c r="K665" s="6">
        <f t="shared" si="208"/>
        <v>816.31999999999971</v>
      </c>
      <c r="L665" s="6">
        <f>MOD(K665-Settings!$B$32,Settings!$B$33)</f>
        <v>96.319999999999709</v>
      </c>
      <c r="M665" s="6">
        <f>IF(L665&lt;Settings!$B$30,IF(Settings!$B$30-L665&gt;=I665,K665,K665+(Settings!$B$30-L665)+Settings!$B$31),K665+(Settings!$B$33-L665))</f>
        <v>816.31999999999971</v>
      </c>
      <c r="N665" s="6">
        <f t="shared" si="209"/>
        <v>822.33999999999969</v>
      </c>
      <c r="O665" s="6">
        <f t="shared" si="210"/>
        <v>393.33999999999969</v>
      </c>
      <c r="P665" s="6">
        <f t="shared" si="211"/>
        <v>321.74165708150224</v>
      </c>
      <c r="Q665" s="6">
        <f t="shared" si="212"/>
        <v>51.162706388562356</v>
      </c>
      <c r="R665" s="6">
        <f t="shared" si="213"/>
        <v>0</v>
      </c>
      <c r="S665" s="6">
        <f t="shared" si="214"/>
        <v>372.9043634700646</v>
      </c>
      <c r="T665" s="6" t="str">
        <f>IF(MOD(C665-Settings!$B$32,Settings!$B$33)&lt;Settings!$B$30,"Up","Down")</f>
        <v>Up</v>
      </c>
      <c r="U665" s="6">
        <f>IF(OR(I665&gt;Settings!$B$30,O665&gt;Settings!$B$37),0,1)</f>
        <v>1</v>
      </c>
      <c r="V665" s="6">
        <f>IF(AND(U665=1,O665&lt;=Settings!$B$36),1,0)</f>
        <v>0</v>
      </c>
    </row>
    <row r="666" spans="1:22" x14ac:dyDescent="0.2">
      <c r="A666">
        <f>Arrivals!A666</f>
        <v>6</v>
      </c>
      <c r="B666">
        <f>Arrivals!B666</f>
        <v>61</v>
      </c>
      <c r="C666" s="6">
        <f>Arrivals!F666</f>
        <v>434</v>
      </c>
      <c r="D666" s="6">
        <f>Arrivals!J666</f>
        <v>6.5536453496841336</v>
      </c>
      <c r="E666" s="6">
        <f t="shared" si="215"/>
        <v>765.15729361143735</v>
      </c>
      <c r="F666" s="6">
        <f t="shared" si="206"/>
        <v>765.15729361143735</v>
      </c>
      <c r="G666" s="6">
        <f t="shared" si="207"/>
        <v>771.71093896112154</v>
      </c>
      <c r="H666" s="6">
        <f>Arrivals!L666</f>
        <v>75</v>
      </c>
      <c r="I666" s="6">
        <f>H666*8/ACE_Input!S66+ACE_Input!T66</f>
        <v>6.02</v>
      </c>
      <c r="J666" s="6">
        <f t="shared" si="216"/>
        <v>822.33999999999969</v>
      </c>
      <c r="K666" s="6">
        <f t="shared" si="208"/>
        <v>822.33999999999969</v>
      </c>
      <c r="L666" s="6">
        <f>MOD(K666-Settings!$B$32,Settings!$B$33)</f>
        <v>102.33999999999969</v>
      </c>
      <c r="M666" s="6">
        <f>IF(L666&lt;Settings!$B$30,IF(Settings!$B$30-L666&gt;=I666,K666,K666+(Settings!$B$30-L666)+Settings!$B$31),K666+(Settings!$B$33-L666))</f>
        <v>822.33999999999969</v>
      </c>
      <c r="N666" s="6">
        <f t="shared" si="209"/>
        <v>828.35999999999967</v>
      </c>
      <c r="O666" s="6">
        <f t="shared" si="210"/>
        <v>394.35999999999967</v>
      </c>
      <c r="P666" s="6">
        <f t="shared" si="211"/>
        <v>331.15729361143735</v>
      </c>
      <c r="Q666" s="6">
        <f t="shared" si="212"/>
        <v>50.629061038878149</v>
      </c>
      <c r="R666" s="6">
        <f t="shared" si="213"/>
        <v>0</v>
      </c>
      <c r="S666" s="6">
        <f t="shared" si="214"/>
        <v>381.7863546503155</v>
      </c>
      <c r="T666" s="6" t="str">
        <f>IF(MOD(C666-Settings!$B$32,Settings!$B$33)&lt;Settings!$B$30,"Up","Down")</f>
        <v>Up</v>
      </c>
      <c r="U666" s="6">
        <f>IF(OR(I666&gt;Settings!$B$30,O666&gt;Settings!$B$37),0,1)</f>
        <v>1</v>
      </c>
      <c r="V666" s="6">
        <f>IF(AND(U666=1,O666&lt;=Settings!$B$36),1,0)</f>
        <v>0</v>
      </c>
    </row>
    <row r="667" spans="1:22" x14ac:dyDescent="0.2">
      <c r="A667">
        <f>Arrivals!A667</f>
        <v>6</v>
      </c>
      <c r="B667">
        <f>Arrivals!B667</f>
        <v>62</v>
      </c>
      <c r="C667" s="6">
        <f>Arrivals!F667</f>
        <v>439</v>
      </c>
      <c r="D667" s="6">
        <f>Arrivals!J667</f>
        <v>13.46746567918014</v>
      </c>
      <c r="E667" s="6">
        <f t="shared" si="215"/>
        <v>771.71093896112154</v>
      </c>
      <c r="F667" s="6">
        <f t="shared" si="206"/>
        <v>771.71093896112154</v>
      </c>
      <c r="G667" s="6">
        <f t="shared" si="207"/>
        <v>785.17840464030166</v>
      </c>
      <c r="H667" s="6">
        <f>Arrivals!L667</f>
        <v>75</v>
      </c>
      <c r="I667" s="6">
        <f>H667*8/ACE_Input!S67+ACE_Input!T67</f>
        <v>6.02</v>
      </c>
      <c r="J667" s="6">
        <f t="shared" si="216"/>
        <v>828.35999999999967</v>
      </c>
      <c r="K667" s="6">
        <f t="shared" si="208"/>
        <v>828.35999999999967</v>
      </c>
      <c r="L667" s="6">
        <f>MOD(K667-Settings!$B$32,Settings!$B$33)</f>
        <v>108.35999999999967</v>
      </c>
      <c r="M667" s="6">
        <f>IF(L667&lt;Settings!$B$30,IF(Settings!$B$30-L667&gt;=I667,K667,K667+(Settings!$B$30-L667)+Settings!$B$31),K667+(Settings!$B$33-L667))</f>
        <v>828.35999999999967</v>
      </c>
      <c r="N667" s="6">
        <f t="shared" si="209"/>
        <v>834.37999999999965</v>
      </c>
      <c r="O667" s="6">
        <f t="shared" si="210"/>
        <v>395.37999999999965</v>
      </c>
      <c r="P667" s="6">
        <f t="shared" si="211"/>
        <v>332.71093896112154</v>
      </c>
      <c r="Q667" s="6">
        <f t="shared" si="212"/>
        <v>43.181595359698008</v>
      </c>
      <c r="R667" s="6">
        <f t="shared" si="213"/>
        <v>0</v>
      </c>
      <c r="S667" s="6">
        <f t="shared" si="214"/>
        <v>375.89253432081955</v>
      </c>
      <c r="T667" s="6" t="str">
        <f>IF(MOD(C667-Settings!$B$32,Settings!$B$33)&lt;Settings!$B$30,"Up","Down")</f>
        <v>Up</v>
      </c>
      <c r="U667" s="6">
        <f>IF(OR(I667&gt;Settings!$B$30,O667&gt;Settings!$B$37),0,1)</f>
        <v>1</v>
      </c>
      <c r="V667" s="6">
        <f>IF(AND(U667=1,O667&lt;=Settings!$B$36),1,0)</f>
        <v>0</v>
      </c>
    </row>
    <row r="668" spans="1:22" x14ac:dyDescent="0.2">
      <c r="A668">
        <f>Arrivals!A668</f>
        <v>6</v>
      </c>
      <c r="B668">
        <f>Arrivals!B668</f>
        <v>63</v>
      </c>
      <c r="C668" s="6">
        <f>Arrivals!F668</f>
        <v>444</v>
      </c>
      <c r="D668" s="6">
        <f>Arrivals!J668</f>
        <v>16.754251167918362</v>
      </c>
      <c r="E668" s="6">
        <f t="shared" si="215"/>
        <v>785.17840464030166</v>
      </c>
      <c r="F668" s="6">
        <f t="shared" si="206"/>
        <v>785.17840464030166</v>
      </c>
      <c r="G668" s="6">
        <f t="shared" si="207"/>
        <v>801.93265580822003</v>
      </c>
      <c r="H668" s="6">
        <f>Arrivals!L668</f>
        <v>75</v>
      </c>
      <c r="I668" s="6">
        <f>H668*8/ACE_Input!S68+ACE_Input!T68</f>
        <v>6.02</v>
      </c>
      <c r="J668" s="6">
        <f t="shared" si="216"/>
        <v>834.37999999999965</v>
      </c>
      <c r="K668" s="6">
        <f t="shared" si="208"/>
        <v>834.37999999999965</v>
      </c>
      <c r="L668" s="6">
        <f>MOD(K668-Settings!$B$32,Settings!$B$33)</f>
        <v>114.37999999999965</v>
      </c>
      <c r="M668" s="6">
        <f>IF(L668&lt;Settings!$B$30,IF(Settings!$B$30-L668&gt;=I668,K668,K668+(Settings!$B$30-L668)+Settings!$B$31),K668+(Settings!$B$33-L668))</f>
        <v>834.37999999999965</v>
      </c>
      <c r="N668" s="6">
        <f t="shared" si="209"/>
        <v>840.39999999999964</v>
      </c>
      <c r="O668" s="6">
        <f t="shared" si="210"/>
        <v>396.39999999999964</v>
      </c>
      <c r="P668" s="6">
        <f t="shared" si="211"/>
        <v>341.17840464030166</v>
      </c>
      <c r="Q668" s="6">
        <f t="shared" si="212"/>
        <v>32.447344191779621</v>
      </c>
      <c r="R668" s="6">
        <f t="shared" si="213"/>
        <v>0</v>
      </c>
      <c r="S668" s="6">
        <f t="shared" si="214"/>
        <v>373.62574883208129</v>
      </c>
      <c r="T668" s="6" t="str">
        <f>IF(MOD(C668-Settings!$B$32,Settings!$B$33)&lt;Settings!$B$30,"Up","Down")</f>
        <v>Up</v>
      </c>
      <c r="U668" s="6">
        <f>IF(OR(I668&gt;Settings!$B$30,O668&gt;Settings!$B$37),0,1)</f>
        <v>1</v>
      </c>
      <c r="V668" s="6">
        <f>IF(AND(U668=1,O668&lt;=Settings!$B$36),1,0)</f>
        <v>0</v>
      </c>
    </row>
    <row r="669" spans="1:22" x14ac:dyDescent="0.2">
      <c r="A669">
        <f>Arrivals!A669</f>
        <v>6</v>
      </c>
      <c r="B669">
        <f>Arrivals!B669</f>
        <v>64</v>
      </c>
      <c r="C669" s="6">
        <f>Arrivals!F669</f>
        <v>449</v>
      </c>
      <c r="D669" s="6">
        <f>Arrivals!J669</f>
        <v>11.421652052771696</v>
      </c>
      <c r="E669" s="6">
        <f t="shared" si="215"/>
        <v>801.93265580822003</v>
      </c>
      <c r="F669" s="6">
        <f t="shared" si="206"/>
        <v>801.93265580822003</v>
      </c>
      <c r="G669" s="6">
        <f t="shared" si="207"/>
        <v>813.35430786099175</v>
      </c>
      <c r="H669" s="6">
        <f>Arrivals!L669</f>
        <v>75</v>
      </c>
      <c r="I669" s="6">
        <f>H669*8/ACE_Input!S69+ACE_Input!T69</f>
        <v>6.02</v>
      </c>
      <c r="J669" s="6">
        <f t="shared" si="216"/>
        <v>840.39999999999964</v>
      </c>
      <c r="K669" s="6">
        <f t="shared" si="208"/>
        <v>840.39999999999964</v>
      </c>
      <c r="L669" s="6">
        <f>MOD(K669-Settings!$B$32,Settings!$B$33)</f>
        <v>120.39999999999964</v>
      </c>
      <c r="M669" s="6">
        <f>IF(L669&lt;Settings!$B$30,IF(Settings!$B$30-L669&gt;=I669,K669,K669+(Settings!$B$30-L669)+Settings!$B$31),K669+(Settings!$B$33-L669))</f>
        <v>840.39999999999964</v>
      </c>
      <c r="N669" s="6">
        <f t="shared" si="209"/>
        <v>846.41999999999962</v>
      </c>
      <c r="O669" s="6">
        <f t="shared" si="210"/>
        <v>397.41999999999962</v>
      </c>
      <c r="P669" s="6">
        <f t="shared" si="211"/>
        <v>352.93265580822003</v>
      </c>
      <c r="Q669" s="6">
        <f t="shared" si="212"/>
        <v>27.045692139007883</v>
      </c>
      <c r="R669" s="6">
        <f t="shared" si="213"/>
        <v>0</v>
      </c>
      <c r="S669" s="6">
        <f t="shared" si="214"/>
        <v>379.97834794722792</v>
      </c>
      <c r="T669" s="6" t="str">
        <f>IF(MOD(C669-Settings!$B$32,Settings!$B$33)&lt;Settings!$B$30,"Up","Down")</f>
        <v>Up</v>
      </c>
      <c r="U669" s="6">
        <f>IF(OR(I669&gt;Settings!$B$30,O669&gt;Settings!$B$37),0,1)</f>
        <v>1</v>
      </c>
      <c r="V669" s="6">
        <f>IF(AND(U669=1,O669&lt;=Settings!$B$36),1,0)</f>
        <v>0</v>
      </c>
    </row>
    <row r="670" spans="1:22" x14ac:dyDescent="0.2">
      <c r="A670">
        <f>Arrivals!A670</f>
        <v>6</v>
      </c>
      <c r="B670">
        <f>Arrivals!B670</f>
        <v>65</v>
      </c>
      <c r="C670" s="6">
        <f>Arrivals!F670</f>
        <v>454</v>
      </c>
      <c r="D670" s="6">
        <f>Arrivals!J670</f>
        <v>17.183585510766385</v>
      </c>
      <c r="E670" s="6">
        <f t="shared" si="215"/>
        <v>813.35430786099175</v>
      </c>
      <c r="F670" s="6">
        <f t="shared" ref="F670:F701" si="217">MAX(C670,E670)</f>
        <v>813.35430786099175</v>
      </c>
      <c r="G670" s="6">
        <f t="shared" ref="G670:G701" si="218">F670+D670</f>
        <v>830.53789337175817</v>
      </c>
      <c r="H670" s="6">
        <f>Arrivals!L670</f>
        <v>75</v>
      </c>
      <c r="I670" s="6">
        <f>H670*8/ACE_Input!S70+ACE_Input!T70</f>
        <v>6.02</v>
      </c>
      <c r="J670" s="6">
        <f t="shared" si="216"/>
        <v>846.41999999999962</v>
      </c>
      <c r="K670" s="6">
        <f t="shared" ref="K670:K701" si="219">MAX(G670,J670)</f>
        <v>846.41999999999962</v>
      </c>
      <c r="L670" s="6">
        <f>MOD(K670-Settings!$B$32,Settings!$B$33)</f>
        <v>126.41999999999962</v>
      </c>
      <c r="M670" s="6">
        <f>IF(L670&lt;Settings!$B$30,IF(Settings!$B$30-L670&gt;=I670,K670,K670+(Settings!$B$30-L670)+Settings!$B$31),K670+(Settings!$B$33-L670))</f>
        <v>846.41999999999962</v>
      </c>
      <c r="N670" s="6">
        <f t="shared" ref="N670:N701" si="220">M670+I670</f>
        <v>852.4399999999996</v>
      </c>
      <c r="O670" s="6">
        <f t="shared" ref="O670:O701" si="221">N670-C670</f>
        <v>398.4399999999996</v>
      </c>
      <c r="P670" s="6">
        <f t="shared" ref="P670:P705" si="222">F670-C670</f>
        <v>359.35430786099175</v>
      </c>
      <c r="Q670" s="6">
        <f t="shared" ref="Q670:Q705" si="223">K670-G670</f>
        <v>15.882106628241445</v>
      </c>
      <c r="R670" s="6">
        <f t="shared" ref="R670:R705" si="224">M670-K670</f>
        <v>0</v>
      </c>
      <c r="S670" s="6">
        <f t="shared" ref="S670:S701" si="225">P670+Q670+R670</f>
        <v>375.2364144892332</v>
      </c>
      <c r="T670" s="6" t="str">
        <f>IF(MOD(C670-Settings!$B$32,Settings!$B$33)&lt;Settings!$B$30,"Up","Down")</f>
        <v>Up</v>
      </c>
      <c r="U670" s="6">
        <f>IF(OR(I670&gt;Settings!$B$30,O670&gt;Settings!$B$37),0,1)</f>
        <v>1</v>
      </c>
      <c r="V670" s="6">
        <f>IF(AND(U670=1,O670&lt;=Settings!$B$36),1,0)</f>
        <v>0</v>
      </c>
    </row>
    <row r="671" spans="1:22" x14ac:dyDescent="0.2">
      <c r="A671">
        <f>Arrivals!A671</f>
        <v>6</v>
      </c>
      <c r="B671">
        <f>Arrivals!B671</f>
        <v>66</v>
      </c>
      <c r="C671" s="6">
        <f>Arrivals!F671</f>
        <v>459</v>
      </c>
      <c r="D671" s="6">
        <f>Arrivals!J671</f>
        <v>21.433037738111388</v>
      </c>
      <c r="E671" s="6">
        <f t="shared" ref="E671:E705" si="226">G670</f>
        <v>830.53789337175817</v>
      </c>
      <c r="F671" s="6">
        <f t="shared" si="217"/>
        <v>830.53789337175817</v>
      </c>
      <c r="G671" s="6">
        <f t="shared" si="218"/>
        <v>851.97093110986953</v>
      </c>
      <c r="H671" s="6">
        <f>Arrivals!L671</f>
        <v>75</v>
      </c>
      <c r="I671" s="6">
        <f>H671*8/ACE_Input!S71+ACE_Input!T71</f>
        <v>6.02</v>
      </c>
      <c r="J671" s="6">
        <f t="shared" ref="J671:J705" si="227">N670</f>
        <v>852.4399999999996</v>
      </c>
      <c r="K671" s="6">
        <f t="shared" si="219"/>
        <v>852.4399999999996</v>
      </c>
      <c r="L671" s="6">
        <f>MOD(K671-Settings!$B$32,Settings!$B$33)</f>
        <v>132.4399999999996</v>
      </c>
      <c r="M671" s="6">
        <f>IF(L671&lt;Settings!$B$30,IF(Settings!$B$30-L671&gt;=I671,K671,K671+(Settings!$B$30-L671)+Settings!$B$31),K671+(Settings!$B$33-L671))</f>
        <v>852.4399999999996</v>
      </c>
      <c r="N671" s="6">
        <f t="shared" si="220"/>
        <v>858.45999999999958</v>
      </c>
      <c r="O671" s="6">
        <f t="shared" si="221"/>
        <v>399.45999999999958</v>
      </c>
      <c r="P671" s="6">
        <f t="shared" si="222"/>
        <v>371.53789337175817</v>
      </c>
      <c r="Q671" s="6">
        <f t="shared" si="223"/>
        <v>0.46906889013007458</v>
      </c>
      <c r="R671" s="6">
        <f t="shared" si="224"/>
        <v>0</v>
      </c>
      <c r="S671" s="6">
        <f t="shared" si="225"/>
        <v>372.00696226188825</v>
      </c>
      <c r="T671" s="6" t="str">
        <f>IF(MOD(C671-Settings!$B$32,Settings!$B$33)&lt;Settings!$B$30,"Up","Down")</f>
        <v>Up</v>
      </c>
      <c r="U671" s="6">
        <f>IF(OR(I671&gt;Settings!$B$30,O671&gt;Settings!$B$37),0,1)</f>
        <v>1</v>
      </c>
      <c r="V671" s="6">
        <f>IF(AND(U671=1,O671&lt;=Settings!$B$36),1,0)</f>
        <v>0</v>
      </c>
    </row>
    <row r="672" spans="1:22" x14ac:dyDescent="0.2">
      <c r="A672">
        <f>Arrivals!A672</f>
        <v>6</v>
      </c>
      <c r="B672">
        <f>Arrivals!B672</f>
        <v>67</v>
      </c>
      <c r="C672" s="6">
        <f>Arrivals!F672</f>
        <v>474</v>
      </c>
      <c r="D672" s="6">
        <f>Arrivals!J672</f>
        <v>27.29728240352123</v>
      </c>
      <c r="E672" s="6">
        <f t="shared" si="226"/>
        <v>851.97093110986953</v>
      </c>
      <c r="F672" s="6">
        <f t="shared" si="217"/>
        <v>851.97093110986953</v>
      </c>
      <c r="G672" s="6">
        <f t="shared" si="218"/>
        <v>879.26821351339072</v>
      </c>
      <c r="H672" s="6">
        <f>Arrivals!L672</f>
        <v>75</v>
      </c>
      <c r="I672" s="6">
        <f>H672*8/ACE_Input!S72+ACE_Input!T72</f>
        <v>6.02</v>
      </c>
      <c r="J672" s="6">
        <f t="shared" si="227"/>
        <v>858.45999999999958</v>
      </c>
      <c r="K672" s="6">
        <f t="shared" si="219"/>
        <v>879.26821351339072</v>
      </c>
      <c r="L672" s="6">
        <f>MOD(K672-Settings!$B$32,Settings!$B$33)</f>
        <v>159.26821351339072</v>
      </c>
      <c r="M672" s="6">
        <f>IF(L672&lt;Settings!$B$30,IF(Settings!$B$30-L672&gt;=I672,K672,K672+(Settings!$B$30-L672)+Settings!$B$31),K672+(Settings!$B$33-L672))</f>
        <v>879.26821351339072</v>
      </c>
      <c r="N672" s="6">
        <f t="shared" si="220"/>
        <v>885.2882135133907</v>
      </c>
      <c r="O672" s="6">
        <f t="shared" si="221"/>
        <v>411.2882135133907</v>
      </c>
      <c r="P672" s="6">
        <f t="shared" si="222"/>
        <v>377.97093110986953</v>
      </c>
      <c r="Q672" s="6">
        <f t="shared" si="223"/>
        <v>0</v>
      </c>
      <c r="R672" s="6">
        <f t="shared" si="224"/>
        <v>0</v>
      </c>
      <c r="S672" s="6">
        <f t="shared" si="225"/>
        <v>377.97093110986953</v>
      </c>
      <c r="T672" s="6" t="str">
        <f>IF(MOD(C672-Settings!$B$32,Settings!$B$33)&lt;Settings!$B$30,"Up","Down")</f>
        <v>Up</v>
      </c>
      <c r="U672" s="6">
        <f>IF(OR(I672&gt;Settings!$B$30,O672&gt;Settings!$B$37),0,1)</f>
        <v>1</v>
      </c>
      <c r="V672" s="6">
        <f>IF(AND(U672=1,O672&lt;=Settings!$B$36),1,0)</f>
        <v>0</v>
      </c>
    </row>
    <row r="673" spans="1:22" x14ac:dyDescent="0.2">
      <c r="A673">
        <f>Arrivals!A673</f>
        <v>6</v>
      </c>
      <c r="B673">
        <f>Arrivals!B673</f>
        <v>68</v>
      </c>
      <c r="C673" s="6">
        <f>Arrivals!F673</f>
        <v>479</v>
      </c>
      <c r="D673" s="6">
        <f>Arrivals!J673</f>
        <v>27.757437106155805</v>
      </c>
      <c r="E673" s="6">
        <f t="shared" si="226"/>
        <v>879.26821351339072</v>
      </c>
      <c r="F673" s="6">
        <f t="shared" si="217"/>
        <v>879.26821351339072</v>
      </c>
      <c r="G673" s="6">
        <f t="shared" si="218"/>
        <v>907.02565061954647</v>
      </c>
      <c r="H673" s="6">
        <f>Arrivals!L673</f>
        <v>75</v>
      </c>
      <c r="I673" s="6">
        <f>H673*8/ACE_Input!S73+ACE_Input!T73</f>
        <v>6.02</v>
      </c>
      <c r="J673" s="6">
        <f t="shared" si="227"/>
        <v>885.2882135133907</v>
      </c>
      <c r="K673" s="6">
        <f t="shared" si="219"/>
        <v>907.02565061954647</v>
      </c>
      <c r="L673" s="6">
        <f>MOD(K673-Settings!$B$32,Settings!$B$33)</f>
        <v>187.02565061954647</v>
      </c>
      <c r="M673" s="6">
        <f>IF(L673&lt;Settings!$B$30,IF(Settings!$B$30-L673&gt;=I673,K673,K673+(Settings!$B$30-L673)+Settings!$B$31),K673+(Settings!$B$33-L673))</f>
        <v>907.02565061954647</v>
      </c>
      <c r="N673" s="6">
        <f t="shared" si="220"/>
        <v>913.04565061954645</v>
      </c>
      <c r="O673" s="6">
        <f t="shared" si="221"/>
        <v>434.04565061954645</v>
      </c>
      <c r="P673" s="6">
        <f t="shared" si="222"/>
        <v>400.26821351339072</v>
      </c>
      <c r="Q673" s="6">
        <f t="shared" si="223"/>
        <v>0</v>
      </c>
      <c r="R673" s="6">
        <f t="shared" si="224"/>
        <v>0</v>
      </c>
      <c r="S673" s="6">
        <f t="shared" si="225"/>
        <v>400.26821351339072</v>
      </c>
      <c r="T673" s="6" t="str">
        <f>IF(MOD(C673-Settings!$B$32,Settings!$B$33)&lt;Settings!$B$30,"Up","Down")</f>
        <v>Up</v>
      </c>
      <c r="U673" s="6">
        <f>IF(OR(I673&gt;Settings!$B$30,O673&gt;Settings!$B$37),0,1)</f>
        <v>1</v>
      </c>
      <c r="V673" s="6">
        <f>IF(AND(U673=1,O673&lt;=Settings!$B$36),1,0)</f>
        <v>0</v>
      </c>
    </row>
    <row r="674" spans="1:22" x14ac:dyDescent="0.2">
      <c r="A674">
        <f>Arrivals!A674</f>
        <v>6</v>
      </c>
      <c r="B674">
        <f>Arrivals!B674</f>
        <v>69</v>
      </c>
      <c r="C674" s="6">
        <f>Arrivals!F674</f>
        <v>494</v>
      </c>
      <c r="D674" s="6">
        <f>Arrivals!J674</f>
        <v>29.257857734304412</v>
      </c>
      <c r="E674" s="6">
        <f t="shared" si="226"/>
        <v>907.02565061954647</v>
      </c>
      <c r="F674" s="6">
        <f t="shared" si="217"/>
        <v>907.02565061954647</v>
      </c>
      <c r="G674" s="6">
        <f t="shared" si="218"/>
        <v>936.28350835385083</v>
      </c>
      <c r="H674" s="6">
        <f>Arrivals!L674</f>
        <v>75</v>
      </c>
      <c r="I674" s="6">
        <f>H674*8/ACE_Input!S74+ACE_Input!T74</f>
        <v>6.02</v>
      </c>
      <c r="J674" s="6">
        <f t="shared" si="227"/>
        <v>913.04565061954645</v>
      </c>
      <c r="K674" s="6">
        <f t="shared" si="219"/>
        <v>936.28350835385083</v>
      </c>
      <c r="L674" s="6">
        <f>MOD(K674-Settings!$B$32,Settings!$B$33)</f>
        <v>216.28350835385083</v>
      </c>
      <c r="M674" s="6">
        <f>IF(L674&lt;Settings!$B$30,IF(Settings!$B$30-L674&gt;=I674,K674,K674+(Settings!$B$30-L674)+Settings!$B$31),K674+(Settings!$B$33-L674))</f>
        <v>936.28350835385083</v>
      </c>
      <c r="N674" s="6">
        <f t="shared" si="220"/>
        <v>942.30350835385082</v>
      </c>
      <c r="O674" s="6">
        <f t="shared" si="221"/>
        <v>448.30350835385082</v>
      </c>
      <c r="P674" s="6">
        <f t="shared" si="222"/>
        <v>413.02565061954647</v>
      </c>
      <c r="Q674" s="6">
        <f t="shared" si="223"/>
        <v>0</v>
      </c>
      <c r="R674" s="6">
        <f t="shared" si="224"/>
        <v>0</v>
      </c>
      <c r="S674" s="6">
        <f t="shared" si="225"/>
        <v>413.02565061954647</v>
      </c>
      <c r="T674" s="6" t="str">
        <f>IF(MOD(C674-Settings!$B$32,Settings!$B$33)&lt;Settings!$B$30,"Up","Down")</f>
        <v>Up</v>
      </c>
      <c r="U674" s="6">
        <f>IF(OR(I674&gt;Settings!$B$30,O674&gt;Settings!$B$37),0,1)</f>
        <v>1</v>
      </c>
      <c r="V674" s="6">
        <f>IF(AND(U674=1,O674&lt;=Settings!$B$36),1,0)</f>
        <v>0</v>
      </c>
    </row>
    <row r="675" spans="1:22" x14ac:dyDescent="0.2">
      <c r="A675">
        <f>Arrivals!A675</f>
        <v>6</v>
      </c>
      <c r="B675">
        <f>Arrivals!B675</f>
        <v>70</v>
      </c>
      <c r="C675" s="6">
        <f>Arrivals!F675</f>
        <v>499</v>
      </c>
      <c r="D675" s="6">
        <f>Arrivals!J675</f>
        <v>5.7758642625410914</v>
      </c>
      <c r="E675" s="6">
        <f t="shared" si="226"/>
        <v>936.28350835385083</v>
      </c>
      <c r="F675" s="6">
        <f t="shared" si="217"/>
        <v>936.28350835385083</v>
      </c>
      <c r="G675" s="6">
        <f t="shared" si="218"/>
        <v>942.0593726163919</v>
      </c>
      <c r="H675" s="6">
        <f>Arrivals!L675</f>
        <v>75</v>
      </c>
      <c r="I675" s="6">
        <f>H675*8/ACE_Input!S75+ACE_Input!T75</f>
        <v>6.02</v>
      </c>
      <c r="J675" s="6">
        <f t="shared" si="227"/>
        <v>942.30350835385082</v>
      </c>
      <c r="K675" s="6">
        <f t="shared" si="219"/>
        <v>942.30350835385082</v>
      </c>
      <c r="L675" s="6">
        <f>MOD(K675-Settings!$B$32,Settings!$B$33)</f>
        <v>222.30350835385082</v>
      </c>
      <c r="M675" s="6">
        <f>IF(L675&lt;Settings!$B$30,IF(Settings!$B$30-L675&gt;=I675,K675,K675+(Settings!$B$30-L675)+Settings!$B$31),K675+(Settings!$B$33-L675))</f>
        <v>942.30350835385082</v>
      </c>
      <c r="N675" s="6">
        <f t="shared" si="220"/>
        <v>948.3235083538508</v>
      </c>
      <c r="O675" s="6">
        <f t="shared" si="221"/>
        <v>449.3235083538508</v>
      </c>
      <c r="P675" s="6">
        <f t="shared" si="222"/>
        <v>437.28350835385083</v>
      </c>
      <c r="Q675" s="6">
        <f t="shared" si="223"/>
        <v>0.24413573745891881</v>
      </c>
      <c r="R675" s="6">
        <f t="shared" si="224"/>
        <v>0</v>
      </c>
      <c r="S675" s="6">
        <f t="shared" si="225"/>
        <v>437.52764409130975</v>
      </c>
      <c r="T675" s="6" t="str">
        <f>IF(MOD(C675-Settings!$B$32,Settings!$B$33)&lt;Settings!$B$30,"Up","Down")</f>
        <v>Up</v>
      </c>
      <c r="U675" s="6">
        <f>IF(OR(I675&gt;Settings!$B$30,O675&gt;Settings!$B$37),0,1)</f>
        <v>1</v>
      </c>
      <c r="V675" s="6">
        <f>IF(AND(U675=1,O675&lt;=Settings!$B$36),1,0)</f>
        <v>0</v>
      </c>
    </row>
    <row r="676" spans="1:22" x14ac:dyDescent="0.2">
      <c r="A676">
        <f>Arrivals!A676</f>
        <v>6</v>
      </c>
      <c r="B676">
        <f>Arrivals!B676</f>
        <v>71</v>
      </c>
      <c r="C676" s="6">
        <f>Arrivals!F676</f>
        <v>504</v>
      </c>
      <c r="D676" s="6">
        <f>Arrivals!J676</f>
        <v>22.55412163550503</v>
      </c>
      <c r="E676" s="6">
        <f t="shared" si="226"/>
        <v>942.0593726163919</v>
      </c>
      <c r="F676" s="6">
        <f t="shared" si="217"/>
        <v>942.0593726163919</v>
      </c>
      <c r="G676" s="6">
        <f t="shared" si="218"/>
        <v>964.6134942518969</v>
      </c>
      <c r="H676" s="6">
        <f>Arrivals!L676</f>
        <v>75</v>
      </c>
      <c r="I676" s="6">
        <f>H676*8/ACE_Input!S76+ACE_Input!T76</f>
        <v>6.02</v>
      </c>
      <c r="J676" s="6">
        <f t="shared" si="227"/>
        <v>948.3235083538508</v>
      </c>
      <c r="K676" s="6">
        <f t="shared" si="219"/>
        <v>964.6134942518969</v>
      </c>
      <c r="L676" s="6">
        <f>MOD(K676-Settings!$B$32,Settings!$B$33)</f>
        <v>244.6134942518969</v>
      </c>
      <c r="M676" s="6">
        <f>IF(L676&lt;Settings!$B$30,IF(Settings!$B$30-L676&gt;=I676,K676,K676+(Settings!$B$30-L676)+Settings!$B$31),K676+(Settings!$B$33-L676))</f>
        <v>964.6134942518969</v>
      </c>
      <c r="N676" s="6">
        <f t="shared" si="220"/>
        <v>970.63349425189688</v>
      </c>
      <c r="O676" s="6">
        <f t="shared" si="221"/>
        <v>466.63349425189688</v>
      </c>
      <c r="P676" s="6">
        <f t="shared" si="222"/>
        <v>438.0593726163919</v>
      </c>
      <c r="Q676" s="6">
        <f t="shared" si="223"/>
        <v>0</v>
      </c>
      <c r="R676" s="6">
        <f t="shared" si="224"/>
        <v>0</v>
      </c>
      <c r="S676" s="6">
        <f t="shared" si="225"/>
        <v>438.0593726163919</v>
      </c>
      <c r="T676" s="6" t="str">
        <f>IF(MOD(C676-Settings!$B$32,Settings!$B$33)&lt;Settings!$B$30,"Up","Down")</f>
        <v>Up</v>
      </c>
      <c r="U676" s="6">
        <f>IF(OR(I676&gt;Settings!$B$30,O676&gt;Settings!$B$37),0,1)</f>
        <v>1</v>
      </c>
      <c r="V676" s="6">
        <f>IF(AND(U676=1,O676&lt;=Settings!$B$36),1,0)</f>
        <v>0</v>
      </c>
    </row>
    <row r="677" spans="1:22" x14ac:dyDescent="0.2">
      <c r="A677">
        <f>Arrivals!A677</f>
        <v>6</v>
      </c>
      <c r="B677">
        <f>Arrivals!B677</f>
        <v>72</v>
      </c>
      <c r="C677" s="6">
        <f>Arrivals!F677</f>
        <v>509</v>
      </c>
      <c r="D677" s="6">
        <f>Arrivals!J677</f>
        <v>2.1135335908749404</v>
      </c>
      <c r="E677" s="6">
        <f t="shared" si="226"/>
        <v>964.6134942518969</v>
      </c>
      <c r="F677" s="6">
        <f t="shared" si="217"/>
        <v>964.6134942518969</v>
      </c>
      <c r="G677" s="6">
        <f t="shared" si="218"/>
        <v>966.7270278427718</v>
      </c>
      <c r="H677" s="6">
        <f>Arrivals!L677</f>
        <v>75</v>
      </c>
      <c r="I677" s="6">
        <f>H677*8/ACE_Input!S77+ACE_Input!T77</f>
        <v>6.02</v>
      </c>
      <c r="J677" s="6">
        <f t="shared" si="227"/>
        <v>970.63349425189688</v>
      </c>
      <c r="K677" s="6">
        <f t="shared" si="219"/>
        <v>970.63349425189688</v>
      </c>
      <c r="L677" s="6">
        <f>MOD(K677-Settings!$B$32,Settings!$B$33)</f>
        <v>250.63349425189688</v>
      </c>
      <c r="M677" s="6">
        <f>IF(L677&lt;Settings!$B$30,IF(Settings!$B$30-L677&gt;=I677,K677,K677+(Settings!$B$30-L677)+Settings!$B$31),K677+(Settings!$B$33-L677))</f>
        <v>970.63349425189688</v>
      </c>
      <c r="N677" s="6">
        <f t="shared" si="220"/>
        <v>976.65349425189686</v>
      </c>
      <c r="O677" s="6">
        <f t="shared" si="221"/>
        <v>467.65349425189686</v>
      </c>
      <c r="P677" s="6">
        <f t="shared" si="222"/>
        <v>455.6134942518969</v>
      </c>
      <c r="Q677" s="6">
        <f t="shared" si="223"/>
        <v>3.9064664091250734</v>
      </c>
      <c r="R677" s="6">
        <f t="shared" si="224"/>
        <v>0</v>
      </c>
      <c r="S677" s="6">
        <f t="shared" si="225"/>
        <v>459.51996066102197</v>
      </c>
      <c r="T677" s="6" t="str">
        <f>IF(MOD(C677-Settings!$B$32,Settings!$B$33)&lt;Settings!$B$30,"Up","Down")</f>
        <v>Up</v>
      </c>
      <c r="U677" s="6">
        <f>IF(OR(I677&gt;Settings!$B$30,O677&gt;Settings!$B$37),0,1)</f>
        <v>1</v>
      </c>
      <c r="V677" s="6">
        <f>IF(AND(U677=1,O677&lt;=Settings!$B$36),1,0)</f>
        <v>0</v>
      </c>
    </row>
    <row r="678" spans="1:22" x14ac:dyDescent="0.2">
      <c r="A678">
        <f>Arrivals!A678</f>
        <v>6</v>
      </c>
      <c r="B678">
        <f>Arrivals!B678</f>
        <v>73</v>
      </c>
      <c r="C678" s="6">
        <f>Arrivals!F678</f>
        <v>514</v>
      </c>
      <c r="D678" s="6">
        <f>Arrivals!J678</f>
        <v>1.9322381303399121</v>
      </c>
      <c r="E678" s="6">
        <f t="shared" si="226"/>
        <v>966.7270278427718</v>
      </c>
      <c r="F678" s="6">
        <f t="shared" si="217"/>
        <v>966.7270278427718</v>
      </c>
      <c r="G678" s="6">
        <f t="shared" si="218"/>
        <v>968.6592659731117</v>
      </c>
      <c r="H678" s="6">
        <f>Arrivals!L678</f>
        <v>75</v>
      </c>
      <c r="I678" s="6">
        <f>H678*8/ACE_Input!S78+ACE_Input!T78</f>
        <v>6.02</v>
      </c>
      <c r="J678" s="6">
        <f t="shared" si="227"/>
        <v>976.65349425189686</v>
      </c>
      <c r="K678" s="6">
        <f t="shared" si="219"/>
        <v>976.65349425189686</v>
      </c>
      <c r="L678" s="6">
        <f>MOD(K678-Settings!$B$32,Settings!$B$33)</f>
        <v>256.65349425189686</v>
      </c>
      <c r="M678" s="6">
        <f>IF(L678&lt;Settings!$B$30,IF(Settings!$B$30-L678&gt;=I678,K678,K678+(Settings!$B$30-L678)+Settings!$B$31),K678+(Settings!$B$33-L678))</f>
        <v>976.65349425189686</v>
      </c>
      <c r="N678" s="6">
        <f t="shared" si="220"/>
        <v>982.67349425189684</v>
      </c>
      <c r="O678" s="6">
        <f t="shared" si="221"/>
        <v>468.67349425189684</v>
      </c>
      <c r="P678" s="6">
        <f t="shared" si="222"/>
        <v>452.7270278427718</v>
      </c>
      <c r="Q678" s="6">
        <f t="shared" si="223"/>
        <v>7.9942282787851582</v>
      </c>
      <c r="R678" s="6">
        <f t="shared" si="224"/>
        <v>0</v>
      </c>
      <c r="S678" s="6">
        <f t="shared" si="225"/>
        <v>460.72125612155696</v>
      </c>
      <c r="T678" s="6" t="str">
        <f>IF(MOD(C678-Settings!$B$32,Settings!$B$33)&lt;Settings!$B$30,"Up","Down")</f>
        <v>Up</v>
      </c>
      <c r="U678" s="6">
        <f>IF(OR(I678&gt;Settings!$B$30,O678&gt;Settings!$B$37),0,1)</f>
        <v>1</v>
      </c>
      <c r="V678" s="6">
        <f>IF(AND(U678=1,O678&lt;=Settings!$B$36),1,0)</f>
        <v>0</v>
      </c>
    </row>
    <row r="679" spans="1:22" x14ac:dyDescent="0.2">
      <c r="A679">
        <f>Arrivals!A679</f>
        <v>6</v>
      </c>
      <c r="B679">
        <f>Arrivals!B679</f>
        <v>74</v>
      </c>
      <c r="C679" s="6">
        <f>Arrivals!F679</f>
        <v>519</v>
      </c>
      <c r="D679" s="6">
        <f>Arrivals!J679</f>
        <v>11.550598389615102</v>
      </c>
      <c r="E679" s="6">
        <f t="shared" si="226"/>
        <v>968.6592659731117</v>
      </c>
      <c r="F679" s="6">
        <f t="shared" si="217"/>
        <v>968.6592659731117</v>
      </c>
      <c r="G679" s="6">
        <f t="shared" si="218"/>
        <v>980.20986436272676</v>
      </c>
      <c r="H679" s="6">
        <f>Arrivals!L679</f>
        <v>75</v>
      </c>
      <c r="I679" s="6">
        <f>H679*8/ACE_Input!S79+ACE_Input!T79</f>
        <v>6.02</v>
      </c>
      <c r="J679" s="6">
        <f t="shared" si="227"/>
        <v>982.67349425189684</v>
      </c>
      <c r="K679" s="6">
        <f t="shared" si="219"/>
        <v>982.67349425189684</v>
      </c>
      <c r="L679" s="6">
        <f>MOD(K679-Settings!$B$32,Settings!$B$33)</f>
        <v>262.67349425189684</v>
      </c>
      <c r="M679" s="6">
        <f>IF(L679&lt;Settings!$B$30,IF(Settings!$B$30-L679&gt;=I679,K679,K679+(Settings!$B$30-L679)+Settings!$B$31),K679+(Settings!$B$33-L679))</f>
        <v>982.67349425189684</v>
      </c>
      <c r="N679" s="6">
        <f t="shared" si="220"/>
        <v>988.69349425189682</v>
      </c>
      <c r="O679" s="6">
        <f t="shared" si="221"/>
        <v>469.69349425189682</v>
      </c>
      <c r="P679" s="6">
        <f t="shared" si="222"/>
        <v>449.6592659731117</v>
      </c>
      <c r="Q679" s="6">
        <f t="shared" si="223"/>
        <v>2.463629889170079</v>
      </c>
      <c r="R679" s="6">
        <f t="shared" si="224"/>
        <v>0</v>
      </c>
      <c r="S679" s="6">
        <f t="shared" si="225"/>
        <v>452.12289586228178</v>
      </c>
      <c r="T679" s="6" t="str">
        <f>IF(MOD(C679-Settings!$B$32,Settings!$B$33)&lt;Settings!$B$30,"Up","Down")</f>
        <v>Up</v>
      </c>
      <c r="U679" s="6">
        <f>IF(OR(I679&gt;Settings!$B$30,O679&gt;Settings!$B$37),0,1)</f>
        <v>1</v>
      </c>
      <c r="V679" s="6">
        <f>IF(AND(U679=1,O679&lt;=Settings!$B$36),1,0)</f>
        <v>0</v>
      </c>
    </row>
    <row r="680" spans="1:22" x14ac:dyDescent="0.2">
      <c r="A680">
        <f>Arrivals!A680</f>
        <v>6</v>
      </c>
      <c r="B680">
        <f>Arrivals!B680</f>
        <v>75</v>
      </c>
      <c r="C680" s="6">
        <f>Arrivals!F680</f>
        <v>524</v>
      </c>
      <c r="D680" s="6">
        <f>Arrivals!J680</f>
        <v>1.3642739154680108</v>
      </c>
      <c r="E680" s="6">
        <f t="shared" si="226"/>
        <v>980.20986436272676</v>
      </c>
      <c r="F680" s="6">
        <f t="shared" si="217"/>
        <v>980.20986436272676</v>
      </c>
      <c r="G680" s="6">
        <f t="shared" si="218"/>
        <v>981.57413827819482</v>
      </c>
      <c r="H680" s="6">
        <f>Arrivals!L680</f>
        <v>75</v>
      </c>
      <c r="I680" s="6">
        <f>H680*8/ACE_Input!S80+ACE_Input!T80</f>
        <v>6.02</v>
      </c>
      <c r="J680" s="6">
        <f t="shared" si="227"/>
        <v>988.69349425189682</v>
      </c>
      <c r="K680" s="6">
        <f t="shared" si="219"/>
        <v>988.69349425189682</v>
      </c>
      <c r="L680" s="6">
        <f>MOD(K680-Settings!$B$32,Settings!$B$33)</f>
        <v>268.69349425189682</v>
      </c>
      <c r="M680" s="6">
        <f>IF(L680&lt;Settings!$B$30,IF(Settings!$B$30-L680&gt;=I680,K680,K680+(Settings!$B$30-L680)+Settings!$B$31),K680+(Settings!$B$33-L680))</f>
        <v>988.69349425189682</v>
      </c>
      <c r="N680" s="6">
        <f t="shared" si="220"/>
        <v>994.7134942518968</v>
      </c>
      <c r="O680" s="6">
        <f t="shared" si="221"/>
        <v>470.7134942518968</v>
      </c>
      <c r="P680" s="6">
        <f t="shared" si="222"/>
        <v>456.20986436272676</v>
      </c>
      <c r="Q680" s="6">
        <f t="shared" si="223"/>
        <v>7.1193559737019996</v>
      </c>
      <c r="R680" s="6">
        <f t="shared" si="224"/>
        <v>0</v>
      </c>
      <c r="S680" s="6">
        <f t="shared" si="225"/>
        <v>463.32922033642876</v>
      </c>
      <c r="T680" s="6" t="str">
        <f>IF(MOD(C680-Settings!$B$32,Settings!$B$33)&lt;Settings!$B$30,"Up","Down")</f>
        <v>Up</v>
      </c>
      <c r="U680" s="6">
        <f>IF(OR(I680&gt;Settings!$B$30,O680&gt;Settings!$B$37),0,1)</f>
        <v>1</v>
      </c>
      <c r="V680" s="6">
        <f>IF(AND(U680=1,O680&lt;=Settings!$B$36),1,0)</f>
        <v>0</v>
      </c>
    </row>
    <row r="681" spans="1:22" x14ac:dyDescent="0.2">
      <c r="A681">
        <f>Arrivals!A681</f>
        <v>6</v>
      </c>
      <c r="B681">
        <f>Arrivals!B681</f>
        <v>76</v>
      </c>
      <c r="C681" s="6">
        <f>Arrivals!F681</f>
        <v>529</v>
      </c>
      <c r="D681" s="6">
        <f>Arrivals!J681</f>
        <v>2.1408119867848185</v>
      </c>
      <c r="E681" s="6">
        <f t="shared" si="226"/>
        <v>981.57413827819482</v>
      </c>
      <c r="F681" s="6">
        <f t="shared" si="217"/>
        <v>981.57413827819482</v>
      </c>
      <c r="G681" s="6">
        <f t="shared" si="218"/>
        <v>983.71495026497962</v>
      </c>
      <c r="H681" s="6">
        <f>Arrivals!L681</f>
        <v>75</v>
      </c>
      <c r="I681" s="6">
        <f>H681*8/ACE_Input!S81+ACE_Input!T81</f>
        <v>6.02</v>
      </c>
      <c r="J681" s="6">
        <f t="shared" si="227"/>
        <v>994.7134942518968</v>
      </c>
      <c r="K681" s="6">
        <f t="shared" si="219"/>
        <v>994.7134942518968</v>
      </c>
      <c r="L681" s="6">
        <f>MOD(K681-Settings!$B$32,Settings!$B$33)</f>
        <v>274.7134942518968</v>
      </c>
      <c r="M681" s="6">
        <f>IF(L681&lt;Settings!$B$30,IF(Settings!$B$30-L681&gt;=I681,K681,K681+(Settings!$B$30-L681)+Settings!$B$31),K681+(Settings!$B$33-L681))</f>
        <v>994.7134942518968</v>
      </c>
      <c r="N681" s="6">
        <f t="shared" si="220"/>
        <v>1000.7334942518968</v>
      </c>
      <c r="O681" s="6">
        <f t="shared" si="221"/>
        <v>471.73349425189679</v>
      </c>
      <c r="P681" s="6">
        <f t="shared" si="222"/>
        <v>452.57413827819482</v>
      </c>
      <c r="Q681" s="6">
        <f t="shared" si="223"/>
        <v>10.998543986917184</v>
      </c>
      <c r="R681" s="6">
        <f t="shared" si="224"/>
        <v>0</v>
      </c>
      <c r="S681" s="6">
        <f t="shared" si="225"/>
        <v>463.57268226511201</v>
      </c>
      <c r="T681" s="6" t="str">
        <f>IF(MOD(C681-Settings!$B$32,Settings!$B$33)&lt;Settings!$B$30,"Up","Down")</f>
        <v>Up</v>
      </c>
      <c r="U681" s="6">
        <f>IF(OR(I681&gt;Settings!$B$30,O681&gt;Settings!$B$37),0,1)</f>
        <v>1</v>
      </c>
      <c r="V681" s="6">
        <f>IF(AND(U681=1,O681&lt;=Settings!$B$36),1,0)</f>
        <v>0</v>
      </c>
    </row>
    <row r="682" spans="1:22" x14ac:dyDescent="0.2">
      <c r="A682">
        <f>Arrivals!A682</f>
        <v>6</v>
      </c>
      <c r="B682">
        <f>Arrivals!B682</f>
        <v>77</v>
      </c>
      <c r="C682" s="6">
        <f>Arrivals!F682</f>
        <v>534</v>
      </c>
      <c r="D682" s="6">
        <f>Arrivals!J682</f>
        <v>1.9249148626876791</v>
      </c>
      <c r="E682" s="6">
        <f t="shared" si="226"/>
        <v>983.71495026497962</v>
      </c>
      <c r="F682" s="6">
        <f t="shared" si="217"/>
        <v>983.71495026497962</v>
      </c>
      <c r="G682" s="6">
        <f t="shared" si="218"/>
        <v>985.63986512766735</v>
      </c>
      <c r="H682" s="6">
        <f>Arrivals!L682</f>
        <v>75</v>
      </c>
      <c r="I682" s="6">
        <f>H682*8/ACE_Input!S82+ACE_Input!T82</f>
        <v>6.02</v>
      </c>
      <c r="J682" s="6">
        <f t="shared" si="227"/>
        <v>1000.7334942518968</v>
      </c>
      <c r="K682" s="6">
        <f t="shared" si="219"/>
        <v>1000.7334942518968</v>
      </c>
      <c r="L682" s="6">
        <f>MOD(K682-Settings!$B$32,Settings!$B$33)</f>
        <v>280.73349425189679</v>
      </c>
      <c r="M682" s="6">
        <f>IF(L682&lt;Settings!$B$30,IF(Settings!$B$30-L682&gt;=I682,K682,K682+(Settings!$B$30-L682)+Settings!$B$31),K682+(Settings!$B$33-L682))</f>
        <v>1000.7334942518968</v>
      </c>
      <c r="N682" s="6">
        <f t="shared" si="220"/>
        <v>1006.7534942518968</v>
      </c>
      <c r="O682" s="6">
        <f t="shared" si="221"/>
        <v>472.75349425189677</v>
      </c>
      <c r="P682" s="6">
        <f t="shared" si="222"/>
        <v>449.71495026497962</v>
      </c>
      <c r="Q682" s="6">
        <f t="shared" si="223"/>
        <v>15.093629124229437</v>
      </c>
      <c r="R682" s="6">
        <f t="shared" si="224"/>
        <v>0</v>
      </c>
      <c r="S682" s="6">
        <f t="shared" si="225"/>
        <v>464.80857938920906</v>
      </c>
      <c r="T682" s="6" t="str">
        <f>IF(MOD(C682-Settings!$B$32,Settings!$B$33)&lt;Settings!$B$30,"Up","Down")</f>
        <v>Up</v>
      </c>
      <c r="U682" s="6">
        <f>IF(OR(I682&gt;Settings!$B$30,O682&gt;Settings!$B$37),0,1)</f>
        <v>1</v>
      </c>
      <c r="V682" s="6">
        <f>IF(AND(U682=1,O682&lt;=Settings!$B$36),1,0)</f>
        <v>0</v>
      </c>
    </row>
    <row r="683" spans="1:22" x14ac:dyDescent="0.2">
      <c r="A683">
        <f>Arrivals!A683</f>
        <v>6</v>
      </c>
      <c r="B683">
        <f>Arrivals!B683</f>
        <v>78</v>
      </c>
      <c r="C683" s="6">
        <f>Arrivals!F683</f>
        <v>539</v>
      </c>
      <c r="D683" s="6">
        <f>Arrivals!J683</f>
        <v>25.851890452307902</v>
      </c>
      <c r="E683" s="6">
        <f t="shared" si="226"/>
        <v>985.63986512766735</v>
      </c>
      <c r="F683" s="6">
        <f t="shared" si="217"/>
        <v>985.63986512766735</v>
      </c>
      <c r="G683" s="6">
        <f t="shared" si="218"/>
        <v>1011.4917555799752</v>
      </c>
      <c r="H683" s="6">
        <f>Arrivals!L683</f>
        <v>75</v>
      </c>
      <c r="I683" s="6">
        <f>H683*8/ACE_Input!S83+ACE_Input!T83</f>
        <v>6.02</v>
      </c>
      <c r="J683" s="6">
        <f t="shared" si="227"/>
        <v>1006.7534942518968</v>
      </c>
      <c r="K683" s="6">
        <f t="shared" si="219"/>
        <v>1011.4917555799752</v>
      </c>
      <c r="L683" s="6">
        <f>MOD(K683-Settings!$B$32,Settings!$B$33)</f>
        <v>291.49175557997523</v>
      </c>
      <c r="M683" s="6">
        <f>IF(L683&lt;Settings!$B$30,IF(Settings!$B$30-L683&gt;=I683,K683,K683+(Settings!$B$30-L683)+Settings!$B$31),K683+(Settings!$B$33-L683))</f>
        <v>1011.4917555799752</v>
      </c>
      <c r="N683" s="6">
        <f t="shared" si="220"/>
        <v>1017.5117555799752</v>
      </c>
      <c r="O683" s="6">
        <f t="shared" si="221"/>
        <v>478.51175557997522</v>
      </c>
      <c r="P683" s="6">
        <f t="shared" si="222"/>
        <v>446.63986512766735</v>
      </c>
      <c r="Q683" s="6">
        <f t="shared" si="223"/>
        <v>0</v>
      </c>
      <c r="R683" s="6">
        <f t="shared" si="224"/>
        <v>0</v>
      </c>
      <c r="S683" s="6">
        <f t="shared" si="225"/>
        <v>446.63986512766735</v>
      </c>
      <c r="T683" s="6" t="str">
        <f>IF(MOD(C683-Settings!$B$32,Settings!$B$33)&lt;Settings!$B$30,"Up","Down")</f>
        <v>Up</v>
      </c>
      <c r="U683" s="6">
        <f>IF(OR(I683&gt;Settings!$B$30,O683&gt;Settings!$B$37),0,1)</f>
        <v>1</v>
      </c>
      <c r="V683" s="6">
        <f>IF(AND(U683=1,O683&lt;=Settings!$B$36),1,0)</f>
        <v>0</v>
      </c>
    </row>
    <row r="684" spans="1:22" x14ac:dyDescent="0.2">
      <c r="A684">
        <f>Arrivals!A684</f>
        <v>6</v>
      </c>
      <c r="B684">
        <f>Arrivals!B684</f>
        <v>79</v>
      </c>
      <c r="C684" s="6">
        <f>Arrivals!F684</f>
        <v>544</v>
      </c>
      <c r="D684" s="6">
        <f>Arrivals!J684</f>
        <v>14.375520057854509</v>
      </c>
      <c r="E684" s="6">
        <f t="shared" si="226"/>
        <v>1011.4917555799752</v>
      </c>
      <c r="F684" s="6">
        <f t="shared" si="217"/>
        <v>1011.4917555799752</v>
      </c>
      <c r="G684" s="6">
        <f t="shared" si="218"/>
        <v>1025.8672756378298</v>
      </c>
      <c r="H684" s="6">
        <f>Arrivals!L684</f>
        <v>75</v>
      </c>
      <c r="I684" s="6">
        <f>H684*8/ACE_Input!S84+ACE_Input!T84</f>
        <v>6.02</v>
      </c>
      <c r="J684" s="6">
        <f t="shared" si="227"/>
        <v>1017.5117555799752</v>
      </c>
      <c r="K684" s="6">
        <f t="shared" si="219"/>
        <v>1025.8672756378298</v>
      </c>
      <c r="L684" s="6">
        <f>MOD(K684-Settings!$B$32,Settings!$B$33)</f>
        <v>305.86727563782983</v>
      </c>
      <c r="M684" s="6">
        <f>IF(L684&lt;Settings!$B$30,IF(Settings!$B$30-L684&gt;=I684,K684,K684+(Settings!$B$30-L684)+Settings!$B$31),K684+(Settings!$B$33-L684))</f>
        <v>1025.8672756378298</v>
      </c>
      <c r="N684" s="6">
        <f t="shared" si="220"/>
        <v>1031.8872756378298</v>
      </c>
      <c r="O684" s="6">
        <f t="shared" si="221"/>
        <v>487.88727563782982</v>
      </c>
      <c r="P684" s="6">
        <f t="shared" si="222"/>
        <v>467.49175557997523</v>
      </c>
      <c r="Q684" s="6">
        <f t="shared" si="223"/>
        <v>0</v>
      </c>
      <c r="R684" s="6">
        <f t="shared" si="224"/>
        <v>0</v>
      </c>
      <c r="S684" s="6">
        <f t="shared" si="225"/>
        <v>467.49175557997523</v>
      </c>
      <c r="T684" s="6" t="str">
        <f>IF(MOD(C684-Settings!$B$32,Settings!$B$33)&lt;Settings!$B$30,"Up","Down")</f>
        <v>Up</v>
      </c>
      <c r="U684" s="6">
        <f>IF(OR(I684&gt;Settings!$B$30,O684&gt;Settings!$B$37),0,1)</f>
        <v>1</v>
      </c>
      <c r="V684" s="6">
        <f>IF(AND(U684=1,O684&lt;=Settings!$B$36),1,0)</f>
        <v>0</v>
      </c>
    </row>
    <row r="685" spans="1:22" x14ac:dyDescent="0.2">
      <c r="A685">
        <f>Arrivals!A685</f>
        <v>6</v>
      </c>
      <c r="B685">
        <f>Arrivals!B685</f>
        <v>80</v>
      </c>
      <c r="C685" s="6">
        <f>Arrivals!F685</f>
        <v>549</v>
      </c>
      <c r="D685" s="6">
        <f>Arrivals!J685</f>
        <v>8.1163122062842099</v>
      </c>
      <c r="E685" s="6">
        <f t="shared" si="226"/>
        <v>1025.8672756378298</v>
      </c>
      <c r="F685" s="6">
        <f t="shared" si="217"/>
        <v>1025.8672756378298</v>
      </c>
      <c r="G685" s="6">
        <f t="shared" si="218"/>
        <v>1033.983587844114</v>
      </c>
      <c r="H685" s="6">
        <f>Arrivals!L685</f>
        <v>75</v>
      </c>
      <c r="I685" s="6">
        <f>H685*8/ACE_Input!S85+ACE_Input!T85</f>
        <v>6.02</v>
      </c>
      <c r="J685" s="6">
        <f t="shared" si="227"/>
        <v>1031.8872756378298</v>
      </c>
      <c r="K685" s="6">
        <f t="shared" si="219"/>
        <v>1033.983587844114</v>
      </c>
      <c r="L685" s="6">
        <f>MOD(K685-Settings!$B$32,Settings!$B$33)</f>
        <v>313.98358784411403</v>
      </c>
      <c r="M685" s="6">
        <f>IF(L685&lt;Settings!$B$30,IF(Settings!$B$30-L685&gt;=I685,K685,K685+(Settings!$B$30-L685)+Settings!$B$31),K685+(Settings!$B$33-L685))</f>
        <v>1033.983587844114</v>
      </c>
      <c r="N685" s="6">
        <f t="shared" si="220"/>
        <v>1040.003587844114</v>
      </c>
      <c r="O685" s="6">
        <f t="shared" si="221"/>
        <v>491.00358784411401</v>
      </c>
      <c r="P685" s="6">
        <f t="shared" si="222"/>
        <v>476.86727563782983</v>
      </c>
      <c r="Q685" s="6">
        <f t="shared" si="223"/>
        <v>0</v>
      </c>
      <c r="R685" s="6">
        <f t="shared" si="224"/>
        <v>0</v>
      </c>
      <c r="S685" s="6">
        <f t="shared" si="225"/>
        <v>476.86727563782983</v>
      </c>
      <c r="T685" s="6" t="str">
        <f>IF(MOD(C685-Settings!$B$32,Settings!$B$33)&lt;Settings!$B$30,"Up","Down")</f>
        <v>Up</v>
      </c>
      <c r="U685" s="6">
        <f>IF(OR(I685&gt;Settings!$B$30,O685&gt;Settings!$B$37),0,1)</f>
        <v>1</v>
      </c>
      <c r="V685" s="6">
        <f>IF(AND(U685=1,O685&lt;=Settings!$B$36),1,0)</f>
        <v>0</v>
      </c>
    </row>
    <row r="686" spans="1:22" x14ac:dyDescent="0.2">
      <c r="A686">
        <f>Arrivals!A686</f>
        <v>6</v>
      </c>
      <c r="B686">
        <f>Arrivals!B686</f>
        <v>81</v>
      </c>
      <c r="C686" s="6">
        <f>Arrivals!F686</f>
        <v>554</v>
      </c>
      <c r="D686" s="6">
        <f>Arrivals!J686</f>
        <v>3.1774555242993827</v>
      </c>
      <c r="E686" s="6">
        <f t="shared" si="226"/>
        <v>1033.983587844114</v>
      </c>
      <c r="F686" s="6">
        <f t="shared" si="217"/>
        <v>1033.983587844114</v>
      </c>
      <c r="G686" s="6">
        <f t="shared" si="218"/>
        <v>1037.1610433684134</v>
      </c>
      <c r="H686" s="6">
        <f>Arrivals!L686</f>
        <v>75</v>
      </c>
      <c r="I686" s="6">
        <f>H686*8/ACE_Input!S86+ACE_Input!T86</f>
        <v>6.02</v>
      </c>
      <c r="J686" s="6">
        <f t="shared" si="227"/>
        <v>1040.003587844114</v>
      </c>
      <c r="K686" s="6">
        <f t="shared" si="219"/>
        <v>1040.003587844114</v>
      </c>
      <c r="L686" s="6">
        <f>MOD(K686-Settings!$B$32,Settings!$B$33)</f>
        <v>320.00358784411401</v>
      </c>
      <c r="M686" s="6">
        <f>IF(L686&lt;Settings!$B$30,IF(Settings!$B$30-L686&gt;=I686,K686,K686+(Settings!$B$30-L686)+Settings!$B$31),K686+(Settings!$B$33-L686))</f>
        <v>1040.003587844114</v>
      </c>
      <c r="N686" s="6">
        <f t="shared" si="220"/>
        <v>1046.023587844114</v>
      </c>
      <c r="O686" s="6">
        <f t="shared" si="221"/>
        <v>492.02358784411399</v>
      </c>
      <c r="P686" s="6">
        <f t="shared" si="222"/>
        <v>479.98358784411403</v>
      </c>
      <c r="Q686" s="6">
        <f t="shared" si="223"/>
        <v>2.8425444757006062</v>
      </c>
      <c r="R686" s="6">
        <f t="shared" si="224"/>
        <v>0</v>
      </c>
      <c r="S686" s="6">
        <f t="shared" si="225"/>
        <v>482.82613231981463</v>
      </c>
      <c r="T686" s="6" t="str">
        <f>IF(MOD(C686-Settings!$B$32,Settings!$B$33)&lt;Settings!$B$30,"Up","Down")</f>
        <v>Up</v>
      </c>
      <c r="U686" s="6">
        <f>IF(OR(I686&gt;Settings!$B$30,O686&gt;Settings!$B$37),0,1)</f>
        <v>1</v>
      </c>
      <c r="V686" s="6">
        <f>IF(AND(U686=1,O686&lt;=Settings!$B$36),1,0)</f>
        <v>0</v>
      </c>
    </row>
    <row r="687" spans="1:22" x14ac:dyDescent="0.2">
      <c r="A687">
        <f>Arrivals!A687</f>
        <v>6</v>
      </c>
      <c r="B687">
        <f>Arrivals!B687</f>
        <v>82</v>
      </c>
      <c r="C687" s="6">
        <f>Arrivals!F687</f>
        <v>559</v>
      </c>
      <c r="D687" s="6">
        <f>Arrivals!J687</f>
        <v>21.634703655788496</v>
      </c>
      <c r="E687" s="6">
        <f t="shared" si="226"/>
        <v>1037.1610433684134</v>
      </c>
      <c r="F687" s="6">
        <f t="shared" si="217"/>
        <v>1037.1610433684134</v>
      </c>
      <c r="G687" s="6">
        <f t="shared" si="218"/>
        <v>1058.795747024202</v>
      </c>
      <c r="H687" s="6">
        <f>Arrivals!L687</f>
        <v>75</v>
      </c>
      <c r="I687" s="6">
        <f>H687*8/ACE_Input!S87+ACE_Input!T87</f>
        <v>6.02</v>
      </c>
      <c r="J687" s="6">
        <f t="shared" si="227"/>
        <v>1046.023587844114</v>
      </c>
      <c r="K687" s="6">
        <f t="shared" si="219"/>
        <v>1058.795747024202</v>
      </c>
      <c r="L687" s="6">
        <f>MOD(K687-Settings!$B$32,Settings!$B$33)</f>
        <v>338.795747024202</v>
      </c>
      <c r="M687" s="6">
        <f>IF(L687&lt;Settings!$B$30,IF(Settings!$B$30-L687&gt;=I687,K687,K687+(Settings!$B$30-L687)+Settings!$B$31),K687+(Settings!$B$33-L687))</f>
        <v>1058.795747024202</v>
      </c>
      <c r="N687" s="6">
        <f t="shared" si="220"/>
        <v>1064.815747024202</v>
      </c>
      <c r="O687" s="6">
        <f t="shared" si="221"/>
        <v>505.81574702420198</v>
      </c>
      <c r="P687" s="6">
        <f t="shared" si="222"/>
        <v>478.1610433684134</v>
      </c>
      <c r="Q687" s="6">
        <f t="shared" si="223"/>
        <v>0</v>
      </c>
      <c r="R687" s="6">
        <f t="shared" si="224"/>
        <v>0</v>
      </c>
      <c r="S687" s="6">
        <f t="shared" si="225"/>
        <v>478.1610433684134</v>
      </c>
      <c r="T687" s="6" t="str">
        <f>IF(MOD(C687-Settings!$B$32,Settings!$B$33)&lt;Settings!$B$30,"Up","Down")</f>
        <v>Up</v>
      </c>
      <c r="U687" s="6">
        <f>IF(OR(I687&gt;Settings!$B$30,O687&gt;Settings!$B$37),0,1)</f>
        <v>1</v>
      </c>
      <c r="V687" s="6">
        <f>IF(AND(U687=1,O687&lt;=Settings!$B$36),1,0)</f>
        <v>0</v>
      </c>
    </row>
    <row r="688" spans="1:22" x14ac:dyDescent="0.2">
      <c r="A688">
        <f>Arrivals!A688</f>
        <v>6</v>
      </c>
      <c r="B688">
        <f>Arrivals!B688</f>
        <v>83</v>
      </c>
      <c r="C688" s="6">
        <f>Arrivals!F688</f>
        <v>564</v>
      </c>
      <c r="D688" s="6">
        <f>Arrivals!J688</f>
        <v>22.324943746675057</v>
      </c>
      <c r="E688" s="6">
        <f t="shared" si="226"/>
        <v>1058.795747024202</v>
      </c>
      <c r="F688" s="6">
        <f t="shared" si="217"/>
        <v>1058.795747024202</v>
      </c>
      <c r="G688" s="6">
        <f t="shared" si="218"/>
        <v>1081.120690770877</v>
      </c>
      <c r="H688" s="6">
        <f>Arrivals!L688</f>
        <v>75</v>
      </c>
      <c r="I688" s="6">
        <f>H688*8/ACE_Input!S88+ACE_Input!T88</f>
        <v>6.02</v>
      </c>
      <c r="J688" s="6">
        <f t="shared" si="227"/>
        <v>1064.815747024202</v>
      </c>
      <c r="K688" s="6">
        <f t="shared" si="219"/>
        <v>1081.120690770877</v>
      </c>
      <c r="L688" s="6">
        <f>MOD(K688-Settings!$B$32,Settings!$B$33)</f>
        <v>361.12069077087699</v>
      </c>
      <c r="M688" s="6">
        <f>IF(L688&lt;Settings!$B$30,IF(Settings!$B$30-L688&gt;=I688,K688,K688+(Settings!$B$30-L688)+Settings!$B$31),K688+(Settings!$B$33-L688))</f>
        <v>1081.120690770877</v>
      </c>
      <c r="N688" s="6">
        <f t="shared" si="220"/>
        <v>1087.140690770877</v>
      </c>
      <c r="O688" s="6">
        <f t="shared" si="221"/>
        <v>523.14069077087697</v>
      </c>
      <c r="P688" s="6">
        <f t="shared" si="222"/>
        <v>494.795747024202</v>
      </c>
      <c r="Q688" s="6">
        <f t="shared" si="223"/>
        <v>0</v>
      </c>
      <c r="R688" s="6">
        <f t="shared" si="224"/>
        <v>0</v>
      </c>
      <c r="S688" s="6">
        <f t="shared" si="225"/>
        <v>494.795747024202</v>
      </c>
      <c r="T688" s="6" t="str">
        <f>IF(MOD(C688-Settings!$B$32,Settings!$B$33)&lt;Settings!$B$30,"Up","Down")</f>
        <v>Up</v>
      </c>
      <c r="U688" s="6">
        <f>IF(OR(I688&gt;Settings!$B$30,O688&gt;Settings!$B$37),0,1)</f>
        <v>1</v>
      </c>
      <c r="V688" s="6">
        <f>IF(AND(U688=1,O688&lt;=Settings!$B$36),1,0)</f>
        <v>0</v>
      </c>
    </row>
    <row r="689" spans="1:22" x14ac:dyDescent="0.2">
      <c r="A689">
        <f>Arrivals!A689</f>
        <v>6</v>
      </c>
      <c r="B689">
        <f>Arrivals!B689</f>
        <v>84</v>
      </c>
      <c r="C689" s="6">
        <f>Arrivals!F689</f>
        <v>569</v>
      </c>
      <c r="D689" s="6">
        <f>Arrivals!J689</f>
        <v>13.968443748574355</v>
      </c>
      <c r="E689" s="6">
        <f t="shared" si="226"/>
        <v>1081.120690770877</v>
      </c>
      <c r="F689" s="6">
        <f t="shared" si="217"/>
        <v>1081.120690770877</v>
      </c>
      <c r="G689" s="6">
        <f t="shared" si="218"/>
        <v>1095.0891345194514</v>
      </c>
      <c r="H689" s="6">
        <f>Arrivals!L689</f>
        <v>75</v>
      </c>
      <c r="I689" s="6">
        <f>H689*8/ACE_Input!S89+ACE_Input!T89</f>
        <v>6.02</v>
      </c>
      <c r="J689" s="6">
        <f t="shared" si="227"/>
        <v>1087.140690770877</v>
      </c>
      <c r="K689" s="6">
        <f t="shared" si="219"/>
        <v>1095.0891345194514</v>
      </c>
      <c r="L689" s="6">
        <f>MOD(K689-Settings!$B$32,Settings!$B$33)</f>
        <v>375.08913451945136</v>
      </c>
      <c r="M689" s="6">
        <f>IF(L689&lt;Settings!$B$30,IF(Settings!$B$30-L689&gt;=I689,K689,K689+(Settings!$B$30-L689)+Settings!$B$31),K689+(Settings!$B$33-L689))</f>
        <v>1095.0891345194514</v>
      </c>
      <c r="N689" s="6">
        <f t="shared" si="220"/>
        <v>1101.1091345194513</v>
      </c>
      <c r="O689" s="6">
        <f t="shared" si="221"/>
        <v>532.10913451945135</v>
      </c>
      <c r="P689" s="6">
        <f t="shared" si="222"/>
        <v>512.12069077087699</v>
      </c>
      <c r="Q689" s="6">
        <f t="shared" si="223"/>
        <v>0</v>
      </c>
      <c r="R689" s="6">
        <f t="shared" si="224"/>
        <v>0</v>
      </c>
      <c r="S689" s="6">
        <f t="shared" si="225"/>
        <v>512.12069077087699</v>
      </c>
      <c r="T689" s="6" t="str">
        <f>IF(MOD(C689-Settings!$B$32,Settings!$B$33)&lt;Settings!$B$30,"Up","Down")</f>
        <v>Up</v>
      </c>
      <c r="U689" s="6">
        <f>IF(OR(I689&gt;Settings!$B$30,O689&gt;Settings!$B$37),0,1)</f>
        <v>1</v>
      </c>
      <c r="V689" s="6">
        <f>IF(AND(U689=1,O689&lt;=Settings!$B$36),1,0)</f>
        <v>0</v>
      </c>
    </row>
    <row r="690" spans="1:22" x14ac:dyDescent="0.2">
      <c r="A690">
        <f>Arrivals!A690</f>
        <v>6</v>
      </c>
      <c r="B690">
        <f>Arrivals!B690</f>
        <v>85</v>
      </c>
      <c r="C690" s="6">
        <f>Arrivals!F690</f>
        <v>574</v>
      </c>
      <c r="D690" s="6">
        <f>Arrivals!J690</f>
        <v>7.5006006973292774</v>
      </c>
      <c r="E690" s="6">
        <f t="shared" si="226"/>
        <v>1095.0891345194514</v>
      </c>
      <c r="F690" s="6">
        <f t="shared" si="217"/>
        <v>1095.0891345194514</v>
      </c>
      <c r="G690" s="6">
        <f t="shared" si="218"/>
        <v>1102.5897352167806</v>
      </c>
      <c r="H690" s="6">
        <f>Arrivals!L690</f>
        <v>75</v>
      </c>
      <c r="I690" s="6">
        <f>H690*8/ACE_Input!S90+ACE_Input!T90</f>
        <v>6.02</v>
      </c>
      <c r="J690" s="6">
        <f t="shared" si="227"/>
        <v>1101.1091345194513</v>
      </c>
      <c r="K690" s="6">
        <f t="shared" si="219"/>
        <v>1102.5897352167806</v>
      </c>
      <c r="L690" s="6">
        <f>MOD(K690-Settings!$B$32,Settings!$B$33)</f>
        <v>382.58973521678058</v>
      </c>
      <c r="M690" s="6">
        <f>IF(L690&lt;Settings!$B$30,IF(Settings!$B$30-L690&gt;=I690,K690,K690+(Settings!$B$30-L690)+Settings!$B$31),K690+(Settings!$B$33-L690))</f>
        <v>1102.5897352167806</v>
      </c>
      <c r="N690" s="6">
        <f t="shared" si="220"/>
        <v>1108.6097352167806</v>
      </c>
      <c r="O690" s="6">
        <f t="shared" si="221"/>
        <v>534.60973521678056</v>
      </c>
      <c r="P690" s="6">
        <f t="shared" si="222"/>
        <v>521.08913451945136</v>
      </c>
      <c r="Q690" s="6">
        <f t="shared" si="223"/>
        <v>0</v>
      </c>
      <c r="R690" s="6">
        <f t="shared" si="224"/>
        <v>0</v>
      </c>
      <c r="S690" s="6">
        <f t="shared" si="225"/>
        <v>521.08913451945136</v>
      </c>
      <c r="T690" s="6" t="str">
        <f>IF(MOD(C690-Settings!$B$32,Settings!$B$33)&lt;Settings!$B$30,"Up","Down")</f>
        <v>Up</v>
      </c>
      <c r="U690" s="6">
        <f>IF(OR(I690&gt;Settings!$B$30,O690&gt;Settings!$B$37),0,1)</f>
        <v>1</v>
      </c>
      <c r="V690" s="6">
        <f>IF(AND(U690=1,O690&lt;=Settings!$B$36),1,0)</f>
        <v>0</v>
      </c>
    </row>
    <row r="691" spans="1:22" x14ac:dyDescent="0.2">
      <c r="A691">
        <f>Arrivals!A691</f>
        <v>6</v>
      </c>
      <c r="B691">
        <f>Arrivals!B691</f>
        <v>86</v>
      </c>
      <c r="C691" s="6">
        <f>Arrivals!F691</f>
        <v>579</v>
      </c>
      <c r="D691" s="6">
        <f>Arrivals!J691</f>
        <v>4.4786934611464106</v>
      </c>
      <c r="E691" s="6">
        <f t="shared" si="226"/>
        <v>1102.5897352167806</v>
      </c>
      <c r="F691" s="6">
        <f t="shared" si="217"/>
        <v>1102.5897352167806</v>
      </c>
      <c r="G691" s="6">
        <f t="shared" si="218"/>
        <v>1107.0684286779269</v>
      </c>
      <c r="H691" s="6">
        <f>Arrivals!L691</f>
        <v>75</v>
      </c>
      <c r="I691" s="6">
        <f>H691*8/ACE_Input!S91+ACE_Input!T91</f>
        <v>6.02</v>
      </c>
      <c r="J691" s="6">
        <f t="shared" si="227"/>
        <v>1108.6097352167806</v>
      </c>
      <c r="K691" s="6">
        <f t="shared" si="219"/>
        <v>1108.6097352167806</v>
      </c>
      <c r="L691" s="6">
        <f>MOD(K691-Settings!$B$32,Settings!$B$33)</f>
        <v>388.60973521678056</v>
      </c>
      <c r="M691" s="6">
        <f>IF(L691&lt;Settings!$B$30,IF(Settings!$B$30-L691&gt;=I691,K691,K691+(Settings!$B$30-L691)+Settings!$B$31),K691+(Settings!$B$33-L691))</f>
        <v>1108.6097352167806</v>
      </c>
      <c r="N691" s="6">
        <f t="shared" si="220"/>
        <v>1114.6297352167805</v>
      </c>
      <c r="O691" s="6">
        <f t="shared" si="221"/>
        <v>535.62973521678055</v>
      </c>
      <c r="P691" s="6">
        <f t="shared" si="222"/>
        <v>523.58973521678058</v>
      </c>
      <c r="Q691" s="6">
        <f t="shared" si="223"/>
        <v>1.5413065388536324</v>
      </c>
      <c r="R691" s="6">
        <f t="shared" si="224"/>
        <v>0</v>
      </c>
      <c r="S691" s="6">
        <f t="shared" si="225"/>
        <v>525.13104175563421</v>
      </c>
      <c r="T691" s="6" t="str">
        <f>IF(MOD(C691-Settings!$B$32,Settings!$B$33)&lt;Settings!$B$30,"Up","Down")</f>
        <v>Up</v>
      </c>
      <c r="U691" s="6">
        <f>IF(OR(I691&gt;Settings!$B$30,O691&gt;Settings!$B$37),0,1)</f>
        <v>1</v>
      </c>
      <c r="V691" s="6">
        <f>IF(AND(U691=1,O691&lt;=Settings!$B$36),1,0)</f>
        <v>0</v>
      </c>
    </row>
    <row r="692" spans="1:22" x14ac:dyDescent="0.2">
      <c r="A692">
        <f>Arrivals!A692</f>
        <v>6</v>
      </c>
      <c r="B692">
        <f>Arrivals!B692</f>
        <v>87</v>
      </c>
      <c r="C692" s="6">
        <f>Arrivals!F692</f>
        <v>584</v>
      </c>
      <c r="D692" s="6">
        <f>Arrivals!J692</f>
        <v>2.6938185267336694</v>
      </c>
      <c r="E692" s="6">
        <f t="shared" si="226"/>
        <v>1107.0684286779269</v>
      </c>
      <c r="F692" s="6">
        <f t="shared" si="217"/>
        <v>1107.0684286779269</v>
      </c>
      <c r="G692" s="6">
        <f t="shared" si="218"/>
        <v>1109.7622472046605</v>
      </c>
      <c r="H692" s="6">
        <f>Arrivals!L692</f>
        <v>75</v>
      </c>
      <c r="I692" s="6">
        <f>H692*8/ACE_Input!S92+ACE_Input!T92</f>
        <v>6.02</v>
      </c>
      <c r="J692" s="6">
        <f t="shared" si="227"/>
        <v>1114.6297352167805</v>
      </c>
      <c r="K692" s="6">
        <f t="shared" si="219"/>
        <v>1114.6297352167805</v>
      </c>
      <c r="L692" s="6">
        <f>MOD(K692-Settings!$B$32,Settings!$B$33)</f>
        <v>394.62973521678055</v>
      </c>
      <c r="M692" s="6">
        <f>IF(L692&lt;Settings!$B$30,IF(Settings!$B$30-L692&gt;=I692,K692,K692+(Settings!$B$30-L692)+Settings!$B$31),K692+(Settings!$B$33-L692))</f>
        <v>1114.6297352167805</v>
      </c>
      <c r="N692" s="6">
        <f t="shared" si="220"/>
        <v>1120.6497352167805</v>
      </c>
      <c r="O692" s="6">
        <f t="shared" si="221"/>
        <v>536.64973521678053</v>
      </c>
      <c r="P692" s="6">
        <f t="shared" si="222"/>
        <v>523.06842867792693</v>
      </c>
      <c r="Q692" s="6">
        <f t="shared" si="223"/>
        <v>4.8674880121200204</v>
      </c>
      <c r="R692" s="6">
        <f t="shared" si="224"/>
        <v>0</v>
      </c>
      <c r="S692" s="6">
        <f t="shared" si="225"/>
        <v>527.93591669004695</v>
      </c>
      <c r="T692" s="6" t="str">
        <f>IF(MOD(C692-Settings!$B$32,Settings!$B$33)&lt;Settings!$B$30,"Up","Down")</f>
        <v>Up</v>
      </c>
      <c r="U692" s="6">
        <f>IF(OR(I692&gt;Settings!$B$30,O692&gt;Settings!$B$37),0,1)</f>
        <v>1</v>
      </c>
      <c r="V692" s="6">
        <f>IF(AND(U692=1,O692&lt;=Settings!$B$36),1,0)</f>
        <v>0</v>
      </c>
    </row>
    <row r="693" spans="1:22" x14ac:dyDescent="0.2">
      <c r="A693">
        <f>Arrivals!A693</f>
        <v>6</v>
      </c>
      <c r="B693">
        <f>Arrivals!B693</f>
        <v>88</v>
      </c>
      <c r="C693" s="6">
        <f>Arrivals!F693</f>
        <v>589</v>
      </c>
      <c r="D693" s="6">
        <f>Arrivals!J693</f>
        <v>6.595665426254909</v>
      </c>
      <c r="E693" s="6">
        <f t="shared" si="226"/>
        <v>1109.7622472046605</v>
      </c>
      <c r="F693" s="6">
        <f t="shared" si="217"/>
        <v>1109.7622472046605</v>
      </c>
      <c r="G693" s="6">
        <f t="shared" si="218"/>
        <v>1116.3579126309155</v>
      </c>
      <c r="H693" s="6">
        <f>Arrivals!L693</f>
        <v>75</v>
      </c>
      <c r="I693" s="6">
        <f>H693*8/ACE_Input!S93+ACE_Input!T93</f>
        <v>6.02</v>
      </c>
      <c r="J693" s="6">
        <f t="shared" si="227"/>
        <v>1120.6497352167805</v>
      </c>
      <c r="K693" s="6">
        <f t="shared" si="219"/>
        <v>1120.6497352167805</v>
      </c>
      <c r="L693" s="6">
        <f>MOD(K693-Settings!$B$32,Settings!$B$33)</f>
        <v>400.64973521678053</v>
      </c>
      <c r="M693" s="6">
        <f>IF(L693&lt;Settings!$B$30,IF(Settings!$B$30-L693&gt;=I693,K693,K693+(Settings!$B$30-L693)+Settings!$B$31),K693+(Settings!$B$33-L693))</f>
        <v>1120.6497352167805</v>
      </c>
      <c r="N693" s="6">
        <f t="shared" si="220"/>
        <v>1126.6697352167805</v>
      </c>
      <c r="O693" s="6">
        <f t="shared" si="221"/>
        <v>537.66973521678051</v>
      </c>
      <c r="P693" s="6">
        <f t="shared" si="222"/>
        <v>520.76224720466053</v>
      </c>
      <c r="Q693" s="6">
        <f t="shared" si="223"/>
        <v>4.2918225858650203</v>
      </c>
      <c r="R693" s="6">
        <f t="shared" si="224"/>
        <v>0</v>
      </c>
      <c r="S693" s="6">
        <f t="shared" si="225"/>
        <v>525.05406979052555</v>
      </c>
      <c r="T693" s="6" t="str">
        <f>IF(MOD(C693-Settings!$B$32,Settings!$B$33)&lt;Settings!$B$30,"Up","Down")</f>
        <v>Up</v>
      </c>
      <c r="U693" s="6">
        <f>IF(OR(I693&gt;Settings!$B$30,O693&gt;Settings!$B$37),0,1)</f>
        <v>1</v>
      </c>
      <c r="V693" s="6">
        <f>IF(AND(U693=1,O693&lt;=Settings!$B$36),1,0)</f>
        <v>0</v>
      </c>
    </row>
    <row r="694" spans="1:22" x14ac:dyDescent="0.2">
      <c r="A694">
        <f>Arrivals!A694</f>
        <v>6</v>
      </c>
      <c r="B694">
        <f>Arrivals!B694</f>
        <v>89</v>
      </c>
      <c r="C694" s="6">
        <f>Arrivals!F694</f>
        <v>594</v>
      </c>
      <c r="D694" s="6">
        <f>Arrivals!J694</f>
        <v>14.499037065024144</v>
      </c>
      <c r="E694" s="6">
        <f t="shared" si="226"/>
        <v>1116.3579126309155</v>
      </c>
      <c r="F694" s="6">
        <f t="shared" si="217"/>
        <v>1116.3579126309155</v>
      </c>
      <c r="G694" s="6">
        <f t="shared" si="218"/>
        <v>1130.8569496959396</v>
      </c>
      <c r="H694" s="6">
        <f>Arrivals!L694</f>
        <v>75</v>
      </c>
      <c r="I694" s="6">
        <f>H694*8/ACE_Input!S94+ACE_Input!T94</f>
        <v>6.02</v>
      </c>
      <c r="J694" s="6">
        <f t="shared" si="227"/>
        <v>1126.6697352167805</v>
      </c>
      <c r="K694" s="6">
        <f t="shared" si="219"/>
        <v>1130.8569496959396</v>
      </c>
      <c r="L694" s="6">
        <f>MOD(K694-Settings!$B$32,Settings!$B$33)</f>
        <v>410.85694969593965</v>
      </c>
      <c r="M694" s="6">
        <f>IF(L694&lt;Settings!$B$30,IF(Settings!$B$30-L694&gt;=I694,K694,K694+(Settings!$B$30-L694)+Settings!$B$31),K694+(Settings!$B$33-L694))</f>
        <v>1130.8569496959396</v>
      </c>
      <c r="N694" s="6">
        <f t="shared" si="220"/>
        <v>1136.8769496959396</v>
      </c>
      <c r="O694" s="6">
        <f t="shared" si="221"/>
        <v>542.87694969593963</v>
      </c>
      <c r="P694" s="6">
        <f t="shared" si="222"/>
        <v>522.35791263091551</v>
      </c>
      <c r="Q694" s="6">
        <f t="shared" si="223"/>
        <v>0</v>
      </c>
      <c r="R694" s="6">
        <f t="shared" si="224"/>
        <v>0</v>
      </c>
      <c r="S694" s="6">
        <f t="shared" si="225"/>
        <v>522.35791263091551</v>
      </c>
      <c r="T694" s="6" t="str">
        <f>IF(MOD(C694-Settings!$B$32,Settings!$B$33)&lt;Settings!$B$30,"Up","Down")</f>
        <v>Up</v>
      </c>
      <c r="U694" s="6">
        <f>IF(OR(I694&gt;Settings!$B$30,O694&gt;Settings!$B$37),0,1)</f>
        <v>1</v>
      </c>
      <c r="V694" s="6">
        <f>IF(AND(U694=1,O694&lt;=Settings!$B$36),1,0)</f>
        <v>0</v>
      </c>
    </row>
    <row r="695" spans="1:22" x14ac:dyDescent="0.2">
      <c r="A695">
        <f>Arrivals!A695</f>
        <v>6</v>
      </c>
      <c r="B695">
        <f>Arrivals!B695</f>
        <v>90</v>
      </c>
      <c r="C695" s="6">
        <f>Arrivals!F695</f>
        <v>599</v>
      </c>
      <c r="D695" s="6">
        <f>Arrivals!J695</f>
        <v>6.8617828402011796</v>
      </c>
      <c r="E695" s="6">
        <f t="shared" si="226"/>
        <v>1130.8569496959396</v>
      </c>
      <c r="F695" s="6">
        <f t="shared" si="217"/>
        <v>1130.8569496959396</v>
      </c>
      <c r="G695" s="6">
        <f t="shared" si="218"/>
        <v>1137.7187325361408</v>
      </c>
      <c r="H695" s="6">
        <f>Arrivals!L695</f>
        <v>75</v>
      </c>
      <c r="I695" s="6">
        <f>H695*8/ACE_Input!S95+ACE_Input!T95</f>
        <v>6.02</v>
      </c>
      <c r="J695" s="6">
        <f t="shared" si="227"/>
        <v>1136.8769496959396</v>
      </c>
      <c r="K695" s="6">
        <f t="shared" si="219"/>
        <v>1137.7187325361408</v>
      </c>
      <c r="L695" s="6">
        <f>MOD(K695-Settings!$B$32,Settings!$B$33)</f>
        <v>417.71873253614081</v>
      </c>
      <c r="M695" s="6">
        <f>IF(L695&lt;Settings!$B$30,IF(Settings!$B$30-L695&gt;=I695,K695,K695+(Settings!$B$30-L695)+Settings!$B$31),K695+(Settings!$B$33-L695))</f>
        <v>1137.7187325361408</v>
      </c>
      <c r="N695" s="6">
        <f t="shared" si="220"/>
        <v>1143.7387325361408</v>
      </c>
      <c r="O695" s="6">
        <f t="shared" si="221"/>
        <v>544.73873253614079</v>
      </c>
      <c r="P695" s="6">
        <f t="shared" si="222"/>
        <v>531.85694969593965</v>
      </c>
      <c r="Q695" s="6">
        <f t="shared" si="223"/>
        <v>0</v>
      </c>
      <c r="R695" s="6">
        <f t="shared" si="224"/>
        <v>0</v>
      </c>
      <c r="S695" s="6">
        <f t="shared" si="225"/>
        <v>531.85694969593965</v>
      </c>
      <c r="T695" s="6" t="str">
        <f>IF(MOD(C695-Settings!$B$32,Settings!$B$33)&lt;Settings!$B$30,"Up","Down")</f>
        <v>Up</v>
      </c>
      <c r="U695" s="6">
        <f>IF(OR(I695&gt;Settings!$B$30,O695&gt;Settings!$B$37),0,1)</f>
        <v>1</v>
      </c>
      <c r="V695" s="6">
        <f>IF(AND(U695=1,O695&lt;=Settings!$B$36),1,0)</f>
        <v>0</v>
      </c>
    </row>
    <row r="696" spans="1:22" x14ac:dyDescent="0.2">
      <c r="A696">
        <f>Arrivals!A696</f>
        <v>6</v>
      </c>
      <c r="B696">
        <f>Arrivals!B696</f>
        <v>91</v>
      </c>
      <c r="C696" s="6">
        <f>Arrivals!F696</f>
        <v>604</v>
      </c>
      <c r="D696" s="6">
        <f>Arrivals!J696</f>
        <v>7.2120243882915833</v>
      </c>
      <c r="E696" s="6">
        <f t="shared" si="226"/>
        <v>1137.7187325361408</v>
      </c>
      <c r="F696" s="6">
        <f t="shared" si="217"/>
        <v>1137.7187325361408</v>
      </c>
      <c r="G696" s="6">
        <f t="shared" si="218"/>
        <v>1144.9307569244324</v>
      </c>
      <c r="H696" s="6">
        <f>Arrivals!L696</f>
        <v>75</v>
      </c>
      <c r="I696" s="6">
        <f>H696*8/ACE_Input!S96+ACE_Input!T96</f>
        <v>6.02</v>
      </c>
      <c r="J696" s="6">
        <f t="shared" si="227"/>
        <v>1143.7387325361408</v>
      </c>
      <c r="K696" s="6">
        <f t="shared" si="219"/>
        <v>1144.9307569244324</v>
      </c>
      <c r="L696" s="6">
        <f>MOD(K696-Settings!$B$32,Settings!$B$33)</f>
        <v>424.93075692443244</v>
      </c>
      <c r="M696" s="6">
        <f>IF(L696&lt;Settings!$B$30,IF(Settings!$B$30-L696&gt;=I696,K696,K696+(Settings!$B$30-L696)+Settings!$B$31),K696+(Settings!$B$33-L696))</f>
        <v>1144.9307569244324</v>
      </c>
      <c r="N696" s="6">
        <f t="shared" si="220"/>
        <v>1150.9507569244324</v>
      </c>
      <c r="O696" s="6">
        <f t="shared" si="221"/>
        <v>546.95075692443243</v>
      </c>
      <c r="P696" s="6">
        <f t="shared" si="222"/>
        <v>533.71873253614081</v>
      </c>
      <c r="Q696" s="6">
        <f t="shared" si="223"/>
        <v>0</v>
      </c>
      <c r="R696" s="6">
        <f t="shared" si="224"/>
        <v>0</v>
      </c>
      <c r="S696" s="6">
        <f t="shared" si="225"/>
        <v>533.71873253614081</v>
      </c>
      <c r="T696" s="6" t="str">
        <f>IF(MOD(C696-Settings!$B$32,Settings!$B$33)&lt;Settings!$B$30,"Up","Down")</f>
        <v>Down</v>
      </c>
      <c r="U696" s="6">
        <f>IF(OR(I696&gt;Settings!$B$30,O696&gt;Settings!$B$37),0,1)</f>
        <v>1</v>
      </c>
      <c r="V696" s="6">
        <f>IF(AND(U696=1,O696&lt;=Settings!$B$36),1,0)</f>
        <v>0</v>
      </c>
    </row>
    <row r="697" spans="1:22" x14ac:dyDescent="0.2">
      <c r="A697">
        <f>Arrivals!A697</f>
        <v>6</v>
      </c>
      <c r="B697">
        <f>Arrivals!B697</f>
        <v>92</v>
      </c>
      <c r="C697" s="6">
        <f>Arrivals!F697</f>
        <v>609</v>
      </c>
      <c r="D697" s="6">
        <f>Arrivals!J697</f>
        <v>5.3709501531477351</v>
      </c>
      <c r="E697" s="6">
        <f t="shared" si="226"/>
        <v>1144.9307569244324</v>
      </c>
      <c r="F697" s="6">
        <f t="shared" si="217"/>
        <v>1144.9307569244324</v>
      </c>
      <c r="G697" s="6">
        <f t="shared" si="218"/>
        <v>1150.3017070775802</v>
      </c>
      <c r="H697" s="6">
        <f>Arrivals!L697</f>
        <v>75</v>
      </c>
      <c r="I697" s="6">
        <f>H697*8/ACE_Input!S97+ACE_Input!T97</f>
        <v>6.02</v>
      </c>
      <c r="J697" s="6">
        <f t="shared" si="227"/>
        <v>1150.9507569244324</v>
      </c>
      <c r="K697" s="6">
        <f t="shared" si="219"/>
        <v>1150.9507569244324</v>
      </c>
      <c r="L697" s="6">
        <f>MOD(K697-Settings!$B$32,Settings!$B$33)</f>
        <v>430.95075692443243</v>
      </c>
      <c r="M697" s="6">
        <f>IF(L697&lt;Settings!$B$30,IF(Settings!$B$30-L697&gt;=I697,K697,K697+(Settings!$B$30-L697)+Settings!$B$31),K697+(Settings!$B$33-L697))</f>
        <v>1150.9507569244324</v>
      </c>
      <c r="N697" s="6">
        <f t="shared" si="220"/>
        <v>1156.9707569244324</v>
      </c>
      <c r="O697" s="6">
        <f t="shared" si="221"/>
        <v>547.97075692443241</v>
      </c>
      <c r="P697" s="6">
        <f t="shared" si="222"/>
        <v>535.93075692443244</v>
      </c>
      <c r="Q697" s="6">
        <f t="shared" si="223"/>
        <v>0.64904984685222189</v>
      </c>
      <c r="R697" s="6">
        <f t="shared" si="224"/>
        <v>0</v>
      </c>
      <c r="S697" s="6">
        <f t="shared" si="225"/>
        <v>536.57980677128467</v>
      </c>
      <c r="T697" s="6" t="str">
        <f>IF(MOD(C697-Settings!$B$32,Settings!$B$33)&lt;Settings!$B$30,"Up","Down")</f>
        <v>Down</v>
      </c>
      <c r="U697" s="6">
        <f>IF(OR(I697&gt;Settings!$B$30,O697&gt;Settings!$B$37),0,1)</f>
        <v>1</v>
      </c>
      <c r="V697" s="6">
        <f>IF(AND(U697=1,O697&lt;=Settings!$B$36),1,0)</f>
        <v>0</v>
      </c>
    </row>
    <row r="698" spans="1:22" x14ac:dyDescent="0.2">
      <c r="A698">
        <f>Arrivals!A698</f>
        <v>6</v>
      </c>
      <c r="B698">
        <f>Arrivals!B698</f>
        <v>93</v>
      </c>
      <c r="C698" s="6">
        <f>Arrivals!F698</f>
        <v>614</v>
      </c>
      <c r="D698" s="6">
        <f>Arrivals!J698</f>
        <v>6.31580721917208</v>
      </c>
      <c r="E698" s="6">
        <f t="shared" si="226"/>
        <v>1150.3017070775802</v>
      </c>
      <c r="F698" s="6">
        <f t="shared" si="217"/>
        <v>1150.3017070775802</v>
      </c>
      <c r="G698" s="6">
        <f t="shared" si="218"/>
        <v>1156.6175142967522</v>
      </c>
      <c r="H698" s="6">
        <f>Arrivals!L698</f>
        <v>75</v>
      </c>
      <c r="I698" s="6">
        <f>H698*8/ACE_Input!S98+ACE_Input!T98</f>
        <v>6.02</v>
      </c>
      <c r="J698" s="6">
        <f t="shared" si="227"/>
        <v>1156.9707569244324</v>
      </c>
      <c r="K698" s="6">
        <f t="shared" si="219"/>
        <v>1156.9707569244324</v>
      </c>
      <c r="L698" s="6">
        <f>MOD(K698-Settings!$B$32,Settings!$B$33)</f>
        <v>436.97075692443241</v>
      </c>
      <c r="M698" s="6">
        <f>IF(L698&lt;Settings!$B$30,IF(Settings!$B$30-L698&gt;=I698,K698,K698+(Settings!$B$30-L698)+Settings!$B$31),K698+(Settings!$B$33-L698))</f>
        <v>1156.9707569244324</v>
      </c>
      <c r="N698" s="6">
        <f t="shared" si="220"/>
        <v>1162.9907569244324</v>
      </c>
      <c r="O698" s="6">
        <f t="shared" si="221"/>
        <v>548.99075692443239</v>
      </c>
      <c r="P698" s="6">
        <f t="shared" si="222"/>
        <v>536.3017070775802</v>
      </c>
      <c r="Q698" s="6">
        <f t="shared" si="223"/>
        <v>0.35324262768017434</v>
      </c>
      <c r="R698" s="6">
        <f t="shared" si="224"/>
        <v>0</v>
      </c>
      <c r="S698" s="6">
        <f t="shared" si="225"/>
        <v>536.65494970526038</v>
      </c>
      <c r="T698" s="6" t="str">
        <f>IF(MOD(C698-Settings!$B$32,Settings!$B$33)&lt;Settings!$B$30,"Up","Down")</f>
        <v>Down</v>
      </c>
      <c r="U698" s="6">
        <f>IF(OR(I698&gt;Settings!$B$30,O698&gt;Settings!$B$37),0,1)</f>
        <v>1</v>
      </c>
      <c r="V698" s="6">
        <f>IF(AND(U698=1,O698&lt;=Settings!$B$36),1,0)</f>
        <v>0</v>
      </c>
    </row>
    <row r="699" spans="1:22" x14ac:dyDescent="0.2">
      <c r="A699">
        <f>Arrivals!A699</f>
        <v>6</v>
      </c>
      <c r="B699">
        <f>Arrivals!B699</f>
        <v>94</v>
      </c>
      <c r="C699" s="6">
        <f>Arrivals!F699</f>
        <v>619</v>
      </c>
      <c r="D699" s="6">
        <f>Arrivals!J699</f>
        <v>20.379692203694383</v>
      </c>
      <c r="E699" s="6">
        <f t="shared" si="226"/>
        <v>1156.6175142967522</v>
      </c>
      <c r="F699" s="6">
        <f t="shared" si="217"/>
        <v>1156.6175142967522</v>
      </c>
      <c r="G699" s="6">
        <f t="shared" si="218"/>
        <v>1176.9972065004465</v>
      </c>
      <c r="H699" s="6">
        <f>Arrivals!L699</f>
        <v>75</v>
      </c>
      <c r="I699" s="6">
        <f>H699*8/ACE_Input!S99+ACE_Input!T99</f>
        <v>6.02</v>
      </c>
      <c r="J699" s="6">
        <f t="shared" si="227"/>
        <v>1162.9907569244324</v>
      </c>
      <c r="K699" s="6">
        <f t="shared" si="219"/>
        <v>1176.9972065004465</v>
      </c>
      <c r="L699" s="6">
        <f>MOD(K699-Settings!$B$32,Settings!$B$33)</f>
        <v>456.99720650044651</v>
      </c>
      <c r="M699" s="6">
        <f>IF(L699&lt;Settings!$B$30,IF(Settings!$B$30-L699&gt;=I699,K699,K699+(Settings!$B$30-L699)+Settings!$B$31),K699+(Settings!$B$33-L699))</f>
        <v>1176.9972065004465</v>
      </c>
      <c r="N699" s="6">
        <f t="shared" si="220"/>
        <v>1183.0172065004465</v>
      </c>
      <c r="O699" s="6">
        <f t="shared" si="221"/>
        <v>564.01720650044649</v>
      </c>
      <c r="P699" s="6">
        <f t="shared" si="222"/>
        <v>537.61751429675223</v>
      </c>
      <c r="Q699" s="6">
        <f t="shared" si="223"/>
        <v>0</v>
      </c>
      <c r="R699" s="6">
        <f t="shared" si="224"/>
        <v>0</v>
      </c>
      <c r="S699" s="6">
        <f t="shared" si="225"/>
        <v>537.61751429675223</v>
      </c>
      <c r="T699" s="6" t="str">
        <f>IF(MOD(C699-Settings!$B$32,Settings!$B$33)&lt;Settings!$B$30,"Up","Down")</f>
        <v>Down</v>
      </c>
      <c r="U699" s="6">
        <f>IF(OR(I699&gt;Settings!$B$30,O699&gt;Settings!$B$37),0,1)</f>
        <v>1</v>
      </c>
      <c r="V699" s="6">
        <f>IF(AND(U699=1,O699&lt;=Settings!$B$36),1,0)</f>
        <v>0</v>
      </c>
    </row>
    <row r="700" spans="1:22" x14ac:dyDescent="0.2">
      <c r="A700">
        <f>Arrivals!A700</f>
        <v>6</v>
      </c>
      <c r="B700">
        <f>Arrivals!B700</f>
        <v>95</v>
      </c>
      <c r="C700" s="6">
        <f>Arrivals!F700</f>
        <v>624</v>
      </c>
      <c r="D700" s="6">
        <f>Arrivals!J700</f>
        <v>6.9062533083764155</v>
      </c>
      <c r="E700" s="6">
        <f t="shared" si="226"/>
        <v>1176.9972065004465</v>
      </c>
      <c r="F700" s="6">
        <f t="shared" si="217"/>
        <v>1176.9972065004465</v>
      </c>
      <c r="G700" s="6">
        <f t="shared" si="218"/>
        <v>1183.9034598088228</v>
      </c>
      <c r="H700" s="6">
        <f>Arrivals!L700</f>
        <v>75</v>
      </c>
      <c r="I700" s="6">
        <f>H700*8/ACE_Input!S100+ACE_Input!T100</f>
        <v>6.02</v>
      </c>
      <c r="J700" s="6">
        <f t="shared" si="227"/>
        <v>1183.0172065004465</v>
      </c>
      <c r="K700" s="6">
        <f t="shared" si="219"/>
        <v>1183.9034598088228</v>
      </c>
      <c r="L700" s="6">
        <f>MOD(K700-Settings!$B$32,Settings!$B$33)</f>
        <v>463.90345980882284</v>
      </c>
      <c r="M700" s="6">
        <f>IF(L700&lt;Settings!$B$30,IF(Settings!$B$30-L700&gt;=I700,K700,K700+(Settings!$B$30-L700)+Settings!$B$31),K700+(Settings!$B$33-L700))</f>
        <v>1183.9034598088228</v>
      </c>
      <c r="N700" s="6">
        <f t="shared" si="220"/>
        <v>1189.9234598088228</v>
      </c>
      <c r="O700" s="6">
        <f t="shared" si="221"/>
        <v>565.92345980882283</v>
      </c>
      <c r="P700" s="6">
        <f t="shared" si="222"/>
        <v>552.99720650044651</v>
      </c>
      <c r="Q700" s="6">
        <f t="shared" si="223"/>
        <v>0</v>
      </c>
      <c r="R700" s="6">
        <f t="shared" si="224"/>
        <v>0</v>
      </c>
      <c r="S700" s="6">
        <f t="shared" si="225"/>
        <v>552.99720650044651</v>
      </c>
      <c r="T700" s="6" t="str">
        <f>IF(MOD(C700-Settings!$B$32,Settings!$B$33)&lt;Settings!$B$30,"Up","Down")</f>
        <v>Down</v>
      </c>
      <c r="U700" s="6">
        <f>IF(OR(I700&gt;Settings!$B$30,O700&gt;Settings!$B$37),0,1)</f>
        <v>1</v>
      </c>
      <c r="V700" s="6">
        <f>IF(AND(U700=1,O700&lt;=Settings!$B$36),1,0)</f>
        <v>0</v>
      </c>
    </row>
    <row r="701" spans="1:22" x14ac:dyDescent="0.2">
      <c r="A701">
        <f>Arrivals!A701</f>
        <v>6</v>
      </c>
      <c r="B701">
        <f>Arrivals!B701</f>
        <v>96</v>
      </c>
      <c r="C701" s="6">
        <f>Arrivals!F701</f>
        <v>629</v>
      </c>
      <c r="D701" s="6">
        <f>Arrivals!J701</f>
        <v>9.484162327281016</v>
      </c>
      <c r="E701" s="6">
        <f t="shared" si="226"/>
        <v>1183.9034598088228</v>
      </c>
      <c r="F701" s="6">
        <f t="shared" si="217"/>
        <v>1183.9034598088228</v>
      </c>
      <c r="G701" s="6">
        <f t="shared" si="218"/>
        <v>1193.3876221361038</v>
      </c>
      <c r="H701" s="6">
        <f>Arrivals!L701</f>
        <v>75</v>
      </c>
      <c r="I701" s="6">
        <f>H701*8/ACE_Input!S101+ACE_Input!T101</f>
        <v>6.02</v>
      </c>
      <c r="J701" s="6">
        <f t="shared" si="227"/>
        <v>1189.9234598088228</v>
      </c>
      <c r="K701" s="6">
        <f t="shared" si="219"/>
        <v>1193.3876221361038</v>
      </c>
      <c r="L701" s="6">
        <f>MOD(K701-Settings!$B$32,Settings!$B$33)</f>
        <v>473.3876221361038</v>
      </c>
      <c r="M701" s="6">
        <f>IF(L701&lt;Settings!$B$30,IF(Settings!$B$30-L701&gt;=I701,K701,K701+(Settings!$B$30-L701)+Settings!$B$31),K701+(Settings!$B$33-L701))</f>
        <v>1193.3876221361038</v>
      </c>
      <c r="N701" s="6">
        <f t="shared" si="220"/>
        <v>1199.4076221361038</v>
      </c>
      <c r="O701" s="6">
        <f t="shared" si="221"/>
        <v>570.40762213610378</v>
      </c>
      <c r="P701" s="6">
        <f t="shared" si="222"/>
        <v>554.90345980882284</v>
      </c>
      <c r="Q701" s="6">
        <f t="shared" si="223"/>
        <v>0</v>
      </c>
      <c r="R701" s="6">
        <f t="shared" si="224"/>
        <v>0</v>
      </c>
      <c r="S701" s="6">
        <f t="shared" si="225"/>
        <v>554.90345980882284</v>
      </c>
      <c r="T701" s="6" t="str">
        <f>IF(MOD(C701-Settings!$B$32,Settings!$B$33)&lt;Settings!$B$30,"Up","Down")</f>
        <v>Down</v>
      </c>
      <c r="U701" s="6">
        <f>IF(OR(I701&gt;Settings!$B$30,O701&gt;Settings!$B$37),0,1)</f>
        <v>1</v>
      </c>
      <c r="V701" s="6">
        <f>IF(AND(U701=1,O701&lt;=Settings!$B$36),1,0)</f>
        <v>0</v>
      </c>
    </row>
    <row r="702" spans="1:22" x14ac:dyDescent="0.2">
      <c r="A702">
        <f>Arrivals!A702</f>
        <v>6</v>
      </c>
      <c r="B702">
        <f>Arrivals!B702</f>
        <v>97</v>
      </c>
      <c r="C702" s="6">
        <f>Arrivals!F702</f>
        <v>634</v>
      </c>
      <c r="D702" s="6">
        <f>Arrivals!J702</f>
        <v>25.034175233473444</v>
      </c>
      <c r="E702" s="6">
        <f t="shared" si="226"/>
        <v>1193.3876221361038</v>
      </c>
      <c r="F702" s="6">
        <f t="shared" ref="F702:F705" si="228">MAX(C702,E702)</f>
        <v>1193.3876221361038</v>
      </c>
      <c r="G702" s="6">
        <f t="shared" ref="G702:G705" si="229">F702+D702</f>
        <v>1218.4217973695772</v>
      </c>
      <c r="H702" s="6">
        <f>Arrivals!L702</f>
        <v>75</v>
      </c>
      <c r="I702" s="6">
        <f>H702*8/ACE_Input!S102+ACE_Input!T102</f>
        <v>6.02</v>
      </c>
      <c r="J702" s="6">
        <f t="shared" si="227"/>
        <v>1199.4076221361038</v>
      </c>
      <c r="K702" s="6">
        <f t="shared" ref="K702:K705" si="230">MAX(G702,J702)</f>
        <v>1218.4217973695772</v>
      </c>
      <c r="L702" s="6">
        <f>MOD(K702-Settings!$B$32,Settings!$B$33)</f>
        <v>498.42179736957723</v>
      </c>
      <c r="M702" s="6">
        <f>IF(L702&lt;Settings!$B$30,IF(Settings!$B$30-L702&gt;=I702,K702,K702+(Settings!$B$30-L702)+Settings!$B$31),K702+(Settings!$B$33-L702))</f>
        <v>1218.4217973695772</v>
      </c>
      <c r="N702" s="6">
        <f t="shared" ref="N702:N705" si="231">M702+I702</f>
        <v>1224.4417973695772</v>
      </c>
      <c r="O702" s="6">
        <f t="shared" ref="O702:O705" si="232">N702-C702</f>
        <v>590.44179736957722</v>
      </c>
      <c r="P702" s="6">
        <f t="shared" si="222"/>
        <v>559.3876221361038</v>
      </c>
      <c r="Q702" s="6">
        <f t="shared" si="223"/>
        <v>0</v>
      </c>
      <c r="R702" s="6">
        <f t="shared" si="224"/>
        <v>0</v>
      </c>
      <c r="S702" s="6">
        <f t="shared" ref="S702:S705" si="233">P702+Q702+R702</f>
        <v>559.3876221361038</v>
      </c>
      <c r="T702" s="6" t="str">
        <f>IF(MOD(C702-Settings!$B$32,Settings!$B$33)&lt;Settings!$B$30,"Up","Down")</f>
        <v>Down</v>
      </c>
      <c r="U702" s="6">
        <f>IF(OR(I702&gt;Settings!$B$30,O702&gt;Settings!$B$37),0,1)</f>
        <v>1</v>
      </c>
      <c r="V702" s="6">
        <f>IF(AND(U702=1,O702&lt;=Settings!$B$36),1,0)</f>
        <v>0</v>
      </c>
    </row>
    <row r="703" spans="1:22" x14ac:dyDescent="0.2">
      <c r="A703">
        <f>Arrivals!A703</f>
        <v>6</v>
      </c>
      <c r="B703">
        <f>Arrivals!B703</f>
        <v>98</v>
      </c>
      <c r="C703" s="6">
        <f>Arrivals!F703</f>
        <v>639</v>
      </c>
      <c r="D703" s="6">
        <f>Arrivals!J703</f>
        <v>3.2415264887560298</v>
      </c>
      <c r="E703" s="6">
        <f t="shared" si="226"/>
        <v>1218.4217973695772</v>
      </c>
      <c r="F703" s="6">
        <f t="shared" si="228"/>
        <v>1218.4217973695772</v>
      </c>
      <c r="G703" s="6">
        <f t="shared" si="229"/>
        <v>1221.6633238583333</v>
      </c>
      <c r="H703" s="6">
        <f>Arrivals!L703</f>
        <v>75</v>
      </c>
      <c r="I703" s="6">
        <f>H703*8/ACE_Input!S103+ACE_Input!T103</f>
        <v>6.02</v>
      </c>
      <c r="J703" s="6">
        <f t="shared" si="227"/>
        <v>1224.4417973695772</v>
      </c>
      <c r="K703" s="6">
        <f t="shared" si="230"/>
        <v>1224.4417973695772</v>
      </c>
      <c r="L703" s="6">
        <f>MOD(K703-Settings!$B$32,Settings!$B$33)</f>
        <v>504.44179736957722</v>
      </c>
      <c r="M703" s="6">
        <f>IF(L703&lt;Settings!$B$30,IF(Settings!$B$30-L703&gt;=I703,K703,K703+(Settings!$B$30-L703)+Settings!$B$31),K703+(Settings!$B$33-L703))</f>
        <v>1224.4417973695772</v>
      </c>
      <c r="N703" s="6">
        <f t="shared" si="231"/>
        <v>1230.4617973695772</v>
      </c>
      <c r="O703" s="6">
        <f t="shared" si="232"/>
        <v>591.4617973695772</v>
      </c>
      <c r="P703" s="6">
        <f t="shared" si="222"/>
        <v>579.42179736957723</v>
      </c>
      <c r="Q703" s="6">
        <f t="shared" si="223"/>
        <v>2.7784735112438739</v>
      </c>
      <c r="R703" s="6">
        <f t="shared" si="224"/>
        <v>0</v>
      </c>
      <c r="S703" s="6">
        <f t="shared" si="233"/>
        <v>582.20027088082111</v>
      </c>
      <c r="T703" s="6" t="str">
        <f>IF(MOD(C703-Settings!$B$32,Settings!$B$33)&lt;Settings!$B$30,"Up","Down")</f>
        <v>Down</v>
      </c>
      <c r="U703" s="6">
        <f>IF(OR(I703&gt;Settings!$B$30,O703&gt;Settings!$B$37),0,1)</f>
        <v>1</v>
      </c>
      <c r="V703" s="6">
        <f>IF(AND(U703=1,O703&lt;=Settings!$B$36),1,0)</f>
        <v>0</v>
      </c>
    </row>
    <row r="704" spans="1:22" x14ac:dyDescent="0.2">
      <c r="A704">
        <f>Arrivals!A704</f>
        <v>6</v>
      </c>
      <c r="B704">
        <f>Arrivals!B704</f>
        <v>99</v>
      </c>
      <c r="C704" s="6">
        <f>Arrivals!F704</f>
        <v>684</v>
      </c>
      <c r="D704" s="6">
        <f>Arrivals!J704</f>
        <v>8.629482313597908</v>
      </c>
      <c r="E704" s="6">
        <f t="shared" si="226"/>
        <v>1221.6633238583333</v>
      </c>
      <c r="F704" s="6">
        <f t="shared" si="228"/>
        <v>1221.6633238583333</v>
      </c>
      <c r="G704" s="6">
        <f t="shared" si="229"/>
        <v>1230.2928061719313</v>
      </c>
      <c r="H704" s="6">
        <f>Arrivals!L704</f>
        <v>75</v>
      </c>
      <c r="I704" s="6">
        <f>H704*8/ACE_Input!S104+ACE_Input!T104</f>
        <v>6.02</v>
      </c>
      <c r="J704" s="6">
        <f t="shared" si="227"/>
        <v>1230.4617973695772</v>
      </c>
      <c r="K704" s="6">
        <f t="shared" si="230"/>
        <v>1230.4617973695772</v>
      </c>
      <c r="L704" s="6">
        <f>MOD(K704-Settings!$B$32,Settings!$B$33)</f>
        <v>510.4617973695772</v>
      </c>
      <c r="M704" s="6">
        <f>IF(L704&lt;Settings!$B$30,IF(Settings!$B$30-L704&gt;=I704,K704,K704+(Settings!$B$30-L704)+Settings!$B$31),K704+(Settings!$B$33-L704))</f>
        <v>1230.4617973695772</v>
      </c>
      <c r="N704" s="6">
        <f t="shared" si="231"/>
        <v>1236.4817973695772</v>
      </c>
      <c r="O704" s="6">
        <f t="shared" si="232"/>
        <v>552.48179736957718</v>
      </c>
      <c r="P704" s="6">
        <f t="shared" si="222"/>
        <v>537.66332385833334</v>
      </c>
      <c r="Q704" s="6">
        <f t="shared" si="223"/>
        <v>0.16899119764593706</v>
      </c>
      <c r="R704" s="6">
        <f t="shared" si="224"/>
        <v>0</v>
      </c>
      <c r="S704" s="6">
        <f t="shared" si="233"/>
        <v>537.83231505597928</v>
      </c>
      <c r="T704" s="6" t="str">
        <f>IF(MOD(C704-Settings!$B$32,Settings!$B$33)&lt;Settings!$B$30,"Up","Down")</f>
        <v>Down</v>
      </c>
      <c r="U704" s="6">
        <f>IF(OR(I704&gt;Settings!$B$30,O704&gt;Settings!$B$37),0,1)</f>
        <v>1</v>
      </c>
      <c r="V704" s="6">
        <f>IF(AND(U704=1,O704&lt;=Settings!$B$36),1,0)</f>
        <v>0</v>
      </c>
    </row>
    <row r="705" spans="1:22" x14ac:dyDescent="0.2">
      <c r="A705">
        <f>Arrivals!A705</f>
        <v>6</v>
      </c>
      <c r="B705">
        <f>Arrivals!B705</f>
        <v>100</v>
      </c>
      <c r="C705" s="6">
        <f>Arrivals!F705</f>
        <v>689</v>
      </c>
      <c r="D705" s="6">
        <f>Arrivals!J705</f>
        <v>47.811174669573546</v>
      </c>
      <c r="E705" s="6">
        <f t="shared" si="226"/>
        <v>1230.2928061719313</v>
      </c>
      <c r="F705" s="6">
        <f t="shared" si="228"/>
        <v>1230.2928061719313</v>
      </c>
      <c r="G705" s="6">
        <f t="shared" si="229"/>
        <v>1278.1039808415048</v>
      </c>
      <c r="H705" s="6">
        <f>Arrivals!L705</f>
        <v>75</v>
      </c>
      <c r="I705" s="6">
        <f>H705*8/ACE_Input!S105+ACE_Input!T105</f>
        <v>6.02</v>
      </c>
      <c r="J705" s="6">
        <f t="shared" si="227"/>
        <v>1236.4817973695772</v>
      </c>
      <c r="K705" s="6">
        <f t="shared" si="230"/>
        <v>1278.1039808415048</v>
      </c>
      <c r="L705" s="6">
        <f>MOD(K705-Settings!$B$32,Settings!$B$33)</f>
        <v>558.10398084150484</v>
      </c>
      <c r="M705" s="6">
        <f>IF(L705&lt;Settings!$B$30,IF(Settings!$B$30-L705&gt;=I705,K705,K705+(Settings!$B$30-L705)+Settings!$B$31),K705+(Settings!$B$33-L705))</f>
        <v>1278.1039808415048</v>
      </c>
      <c r="N705" s="6">
        <f t="shared" si="231"/>
        <v>1284.1239808415048</v>
      </c>
      <c r="O705" s="6">
        <f t="shared" si="232"/>
        <v>595.12398084150482</v>
      </c>
      <c r="P705" s="6">
        <f t="shared" si="222"/>
        <v>541.29280617193126</v>
      </c>
      <c r="Q705" s="6">
        <f t="shared" si="223"/>
        <v>0</v>
      </c>
      <c r="R705" s="6">
        <f t="shared" si="224"/>
        <v>0</v>
      </c>
      <c r="S705" s="6">
        <f t="shared" si="233"/>
        <v>541.29280617193126</v>
      </c>
      <c r="T705" s="6" t="str">
        <f>IF(MOD(C705-Settings!$B$32,Settings!$B$33)&lt;Settings!$B$30,"Up","Down")</f>
        <v>Down</v>
      </c>
      <c r="U705" s="6">
        <f>IF(OR(I705&gt;Settings!$B$30,O705&gt;Settings!$B$37),0,1)</f>
        <v>1</v>
      </c>
      <c r="V705" s="6">
        <f>IF(AND(U705=1,O705&lt;=Settings!$B$36),1,0)</f>
        <v>0</v>
      </c>
    </row>
    <row r="706" spans="1:22" x14ac:dyDescent="0.2">
      <c r="C706" s="6"/>
      <c r="D706" s="6"/>
      <c r="E706" s="6"/>
      <c r="F706" s="6"/>
      <c r="G706" s="6"/>
      <c r="H706" s="6"/>
      <c r="I706" s="6"/>
      <c r="J706" s="6"/>
      <c r="K706" s="6"/>
      <c r="L706" s="6"/>
      <c r="M706" s="6"/>
      <c r="N706" s="6"/>
      <c r="O706" s="6"/>
      <c r="P706" s="6"/>
      <c r="Q706" s="6"/>
      <c r="R706" s="6"/>
      <c r="S706" s="6"/>
      <c r="T706" s="6"/>
      <c r="U706" s="6"/>
      <c r="V706" s="6"/>
    </row>
    <row r="707" spans="1:22" x14ac:dyDescent="0.2">
      <c r="C707" s="6"/>
      <c r="D707" s="6"/>
      <c r="E707" s="6"/>
      <c r="F707" s="6"/>
      <c r="G707" s="6"/>
      <c r="H707" s="6"/>
      <c r="I707" s="6"/>
      <c r="J707" s="6"/>
      <c r="K707" s="6"/>
      <c r="L707" s="6"/>
      <c r="M707" s="6"/>
      <c r="N707" s="6"/>
      <c r="O707" s="6"/>
      <c r="P707" s="6"/>
      <c r="Q707" s="6"/>
      <c r="R707" s="6"/>
      <c r="S707" s="6"/>
      <c r="T707" s="6"/>
      <c r="U707" s="6"/>
      <c r="V707" s="6"/>
    </row>
    <row r="708" spans="1:22" x14ac:dyDescent="0.2">
      <c r="C708" s="6"/>
      <c r="D708" s="6"/>
      <c r="E708" s="6"/>
      <c r="F708" s="6"/>
      <c r="G708" s="6"/>
      <c r="H708" s="6"/>
      <c r="I708" s="6"/>
      <c r="J708" s="6"/>
      <c r="K708" s="6"/>
      <c r="L708" s="6"/>
      <c r="M708" s="6"/>
      <c r="N708" s="6"/>
      <c r="O708" s="6"/>
      <c r="P708" s="6"/>
      <c r="Q708" s="6"/>
      <c r="R708" s="6"/>
      <c r="S708" s="6"/>
      <c r="T708" s="6"/>
      <c r="U708" s="6"/>
      <c r="V708" s="6"/>
    </row>
    <row r="709" spans="1:22" x14ac:dyDescent="0.2">
      <c r="C709" s="6"/>
      <c r="D709" s="6"/>
      <c r="E709" s="6"/>
      <c r="F709" s="6"/>
      <c r="G709" s="6"/>
      <c r="H709" s="6"/>
      <c r="I709" s="6"/>
      <c r="J709" s="6"/>
      <c r="K709" s="6"/>
      <c r="L709" s="6"/>
      <c r="M709" s="6"/>
      <c r="N709" s="6"/>
      <c r="O709" s="6"/>
      <c r="P709" s="6"/>
      <c r="Q709" s="6"/>
      <c r="R709" s="6"/>
      <c r="S709" s="6"/>
      <c r="T709" s="6"/>
      <c r="U709" s="6"/>
      <c r="V709" s="6"/>
    </row>
    <row r="710" spans="1:22" x14ac:dyDescent="0.2">
      <c r="C710" s="6"/>
      <c r="D710" s="6"/>
      <c r="E710" s="6"/>
      <c r="F710" s="6"/>
      <c r="G710" s="6"/>
      <c r="H710" s="6"/>
      <c r="I710" s="6"/>
      <c r="J710" s="6"/>
      <c r="K710" s="6"/>
      <c r="L710" s="6"/>
      <c r="M710" s="6"/>
      <c r="N710" s="6"/>
      <c r="O710" s="6"/>
      <c r="P710" s="6"/>
      <c r="Q710" s="6"/>
      <c r="R710" s="6"/>
      <c r="S710" s="6"/>
      <c r="T710" s="6"/>
      <c r="U710" s="6"/>
      <c r="V710" s="6"/>
    </row>
    <row r="711" spans="1:22" x14ac:dyDescent="0.2">
      <c r="C711" s="6"/>
      <c r="D711" s="6"/>
      <c r="E711" s="6"/>
      <c r="F711" s="6"/>
      <c r="G711" s="6"/>
      <c r="H711" s="6"/>
      <c r="I711" s="6"/>
      <c r="J711" s="6"/>
      <c r="K711" s="6"/>
      <c r="L711" s="6"/>
      <c r="M711" s="6"/>
      <c r="N711" s="6"/>
      <c r="O711" s="6"/>
      <c r="P711" s="6"/>
      <c r="Q711" s="6"/>
      <c r="R711" s="6"/>
      <c r="S711" s="6"/>
      <c r="T711" s="6"/>
      <c r="U711" s="6"/>
      <c r="V711" s="6"/>
    </row>
    <row r="712" spans="1:22" x14ac:dyDescent="0.2">
      <c r="C712" s="6"/>
      <c r="D712" s="6"/>
      <c r="E712" s="6"/>
      <c r="F712" s="6"/>
      <c r="G712" s="6"/>
      <c r="H712" s="6"/>
      <c r="I712" s="6"/>
      <c r="J712" s="6"/>
      <c r="K712" s="6"/>
      <c r="L712" s="6"/>
      <c r="M712" s="6"/>
      <c r="N712" s="6"/>
      <c r="O712" s="6"/>
      <c r="P712" s="6"/>
      <c r="Q712" s="6"/>
      <c r="R712" s="6"/>
      <c r="S712" s="6"/>
      <c r="T712" s="6"/>
      <c r="U712" s="6"/>
      <c r="V712" s="6"/>
    </row>
    <row r="713" spans="1:22" x14ac:dyDescent="0.2">
      <c r="C713" s="6"/>
      <c r="D713" s="6"/>
      <c r="E713" s="6"/>
      <c r="F713" s="6"/>
      <c r="G713" s="6"/>
      <c r="H713" s="6"/>
      <c r="I713" s="6"/>
      <c r="J713" s="6"/>
      <c r="K713" s="6"/>
      <c r="L713" s="6"/>
      <c r="M713" s="6"/>
      <c r="N713" s="6"/>
      <c r="O713" s="6"/>
      <c r="P713" s="6"/>
      <c r="Q713" s="6"/>
      <c r="R713" s="6"/>
      <c r="S713" s="6"/>
      <c r="T713" s="6"/>
      <c r="U713" s="6"/>
      <c r="V713" s="6"/>
    </row>
    <row r="714" spans="1:22" x14ac:dyDescent="0.2">
      <c r="C714" s="6"/>
      <c r="D714" s="6"/>
      <c r="E714" s="6"/>
      <c r="F714" s="6"/>
      <c r="G714" s="6"/>
      <c r="H714" s="6"/>
      <c r="I714" s="6"/>
      <c r="J714" s="6"/>
      <c r="K714" s="6"/>
      <c r="L714" s="6"/>
      <c r="M714" s="6"/>
      <c r="N714" s="6"/>
      <c r="O714" s="6"/>
      <c r="P714" s="6"/>
      <c r="Q714" s="6"/>
      <c r="R714" s="6"/>
      <c r="S714" s="6"/>
      <c r="T714" s="6"/>
      <c r="U714" s="6"/>
      <c r="V714" s="6"/>
    </row>
    <row r="715" spans="1:22" x14ac:dyDescent="0.2">
      <c r="C715" s="6"/>
      <c r="D715" s="6"/>
      <c r="E715" s="6"/>
      <c r="F715" s="6"/>
      <c r="G715" s="6"/>
      <c r="H715" s="6"/>
      <c r="I715" s="6"/>
      <c r="J715" s="6"/>
      <c r="K715" s="6"/>
      <c r="L715" s="6"/>
      <c r="M715" s="6"/>
      <c r="N715" s="6"/>
      <c r="O715" s="6"/>
      <c r="P715" s="6"/>
      <c r="Q715" s="6"/>
      <c r="R715" s="6"/>
      <c r="S715" s="6"/>
      <c r="T715" s="6"/>
      <c r="U715" s="6"/>
      <c r="V715" s="6"/>
    </row>
    <row r="716" spans="1:22" x14ac:dyDescent="0.2">
      <c r="C716" s="6"/>
      <c r="D716" s="6"/>
      <c r="E716" s="6"/>
      <c r="F716" s="6"/>
      <c r="G716" s="6"/>
      <c r="H716" s="6"/>
      <c r="I716" s="6"/>
      <c r="J716" s="6"/>
      <c r="K716" s="6"/>
      <c r="L716" s="6"/>
      <c r="M716" s="6"/>
      <c r="N716" s="6"/>
      <c r="O716" s="6"/>
      <c r="P716" s="6"/>
      <c r="Q716" s="6"/>
      <c r="R716" s="6"/>
      <c r="S716" s="6"/>
      <c r="T716" s="6"/>
      <c r="U716" s="6"/>
      <c r="V716" s="6"/>
    </row>
    <row r="717" spans="1:22" x14ac:dyDescent="0.2">
      <c r="C717" s="6"/>
      <c r="D717" s="6"/>
      <c r="E717" s="6"/>
      <c r="F717" s="6"/>
      <c r="G717" s="6"/>
      <c r="H717" s="6"/>
      <c r="I717" s="6"/>
      <c r="J717" s="6"/>
      <c r="K717" s="6"/>
      <c r="L717" s="6"/>
      <c r="M717" s="6"/>
      <c r="N717" s="6"/>
      <c r="O717" s="6"/>
      <c r="P717" s="6"/>
      <c r="Q717" s="6"/>
      <c r="R717" s="6"/>
      <c r="S717" s="6"/>
      <c r="T717" s="6"/>
      <c r="U717" s="6"/>
      <c r="V717" s="6"/>
    </row>
    <row r="718" spans="1:22" x14ac:dyDescent="0.2">
      <c r="C718" s="6"/>
      <c r="D718" s="6"/>
      <c r="E718" s="6"/>
      <c r="F718" s="6"/>
      <c r="G718" s="6"/>
      <c r="H718" s="6"/>
      <c r="I718" s="6"/>
      <c r="J718" s="6"/>
      <c r="K718" s="6"/>
      <c r="L718" s="6"/>
      <c r="M718" s="6"/>
      <c r="N718" s="6"/>
      <c r="O718" s="6"/>
      <c r="P718" s="6"/>
      <c r="Q718" s="6"/>
      <c r="R718" s="6"/>
      <c r="S718" s="6"/>
      <c r="T718" s="6"/>
      <c r="U718" s="6"/>
      <c r="V718" s="6"/>
    </row>
    <row r="719" spans="1:22" x14ac:dyDescent="0.2">
      <c r="C719" s="6"/>
      <c r="D719" s="6"/>
      <c r="E719" s="6"/>
      <c r="F719" s="6"/>
      <c r="G719" s="6"/>
      <c r="H719" s="6"/>
      <c r="I719" s="6"/>
      <c r="J719" s="6"/>
      <c r="K719" s="6"/>
      <c r="L719" s="6"/>
      <c r="M719" s="6"/>
      <c r="N719" s="6"/>
      <c r="O719" s="6"/>
      <c r="P719" s="6"/>
      <c r="Q719" s="6"/>
      <c r="R719" s="6"/>
      <c r="S719" s="6"/>
      <c r="T719" s="6"/>
      <c r="U719" s="6"/>
      <c r="V719" s="6"/>
    </row>
    <row r="720" spans="1:22" x14ac:dyDescent="0.2">
      <c r="C720" s="6"/>
      <c r="D720" s="6"/>
      <c r="E720" s="6"/>
      <c r="F720" s="6"/>
      <c r="G720" s="6"/>
      <c r="H720" s="6"/>
      <c r="I720" s="6"/>
      <c r="J720" s="6"/>
      <c r="K720" s="6"/>
      <c r="L720" s="6"/>
      <c r="M720" s="6"/>
      <c r="N720" s="6"/>
      <c r="O720" s="6"/>
      <c r="P720" s="6"/>
      <c r="Q720" s="6"/>
      <c r="R720" s="6"/>
      <c r="S720" s="6"/>
      <c r="T720" s="6"/>
      <c r="U720" s="6"/>
      <c r="V720" s="6"/>
    </row>
    <row r="721" spans="1:22" x14ac:dyDescent="0.2">
      <c r="C721" s="6"/>
      <c r="D721" s="6"/>
      <c r="E721" s="6"/>
      <c r="F721" s="6"/>
      <c r="G721" s="6"/>
      <c r="H721" s="6"/>
      <c r="I721" s="6"/>
      <c r="J721" s="6"/>
      <c r="K721" s="6"/>
      <c r="L721" s="6"/>
      <c r="M721" s="6"/>
      <c r="N721" s="6"/>
      <c r="O721" s="6"/>
      <c r="P721" s="6"/>
      <c r="Q721" s="6"/>
      <c r="R721" s="6"/>
      <c r="S721" s="6"/>
      <c r="T721" s="6"/>
      <c r="U721" s="6"/>
      <c r="V721" s="6"/>
    </row>
    <row r="722" spans="1:22" x14ac:dyDescent="0.2">
      <c r="C722" s="6"/>
      <c r="D722" s="6"/>
      <c r="E722" s="6"/>
      <c r="F722" s="6"/>
      <c r="G722" s="6"/>
      <c r="H722" s="6"/>
      <c r="I722" s="6"/>
      <c r="J722" s="6"/>
      <c r="K722" s="6"/>
      <c r="L722" s="6"/>
      <c r="M722" s="6"/>
      <c r="N722" s="6"/>
      <c r="O722" s="6"/>
      <c r="P722" s="6"/>
      <c r="Q722" s="6"/>
      <c r="R722" s="6"/>
      <c r="S722" s="6"/>
      <c r="T722" s="6"/>
      <c r="U722" s="6"/>
      <c r="V722" s="6"/>
    </row>
    <row r="723" spans="1:22" x14ac:dyDescent="0.2">
      <c r="C723" s="6"/>
      <c r="D723" s="6"/>
      <c r="E723" s="6"/>
      <c r="F723" s="6"/>
      <c r="G723" s="6"/>
      <c r="H723" s="6"/>
      <c r="I723" s="6"/>
      <c r="J723" s="6"/>
      <c r="K723" s="6"/>
      <c r="L723" s="6"/>
      <c r="M723" s="6"/>
      <c r="N723" s="6"/>
      <c r="O723" s="6"/>
      <c r="P723" s="6"/>
      <c r="Q723" s="6"/>
      <c r="R723" s="6"/>
      <c r="S723" s="6"/>
      <c r="T723" s="6"/>
      <c r="U723" s="6"/>
      <c r="V723" s="6"/>
    </row>
    <row r="724" spans="1:22" x14ac:dyDescent="0.2">
      <c r="C724" s="6"/>
      <c r="D724" s="6"/>
      <c r="E724" s="6"/>
      <c r="F724" s="6"/>
      <c r="G724" s="6"/>
      <c r="H724" s="6"/>
      <c r="I724" s="6"/>
      <c r="J724" s="6"/>
      <c r="K724" s="6"/>
      <c r="L724" s="6"/>
      <c r="M724" s="6"/>
      <c r="N724" s="6"/>
      <c r="O724" s="6"/>
      <c r="P724" s="6"/>
      <c r="Q724" s="6"/>
      <c r="R724" s="6"/>
      <c r="S724" s="6"/>
      <c r="T724" s="6"/>
      <c r="U724" s="6"/>
      <c r="V724" s="6"/>
    </row>
    <row r="725" spans="1:22" x14ac:dyDescent="0.2">
      <c r="C725" s="6"/>
      <c r="D725" s="6"/>
      <c r="E725" s="6"/>
      <c r="F725" s="6"/>
      <c r="G725" s="6"/>
      <c r="H725" s="6"/>
      <c r="I725" s="6"/>
      <c r="J725" s="6"/>
      <c r="K725" s="6"/>
      <c r="L725" s="6"/>
      <c r="M725" s="6"/>
      <c r="N725" s="6"/>
      <c r="O725" s="6"/>
      <c r="P725" s="6"/>
      <c r="Q725" s="6"/>
      <c r="R725" s="6"/>
      <c r="S725" s="6"/>
      <c r="T725" s="6"/>
      <c r="U725" s="6"/>
      <c r="V725" s="6"/>
    </row>
    <row r="726" spans="1:22" x14ac:dyDescent="0.2">
      <c r="A726">
        <f>Arrivals!A726</f>
        <v>7</v>
      </c>
      <c r="B726">
        <f>Arrivals!B726</f>
        <v>1</v>
      </c>
      <c r="C726" s="6">
        <f>Arrivals!F726</f>
        <v>2</v>
      </c>
      <c r="D726" s="6">
        <f>Arrivals!J726</f>
        <v>8.8096105304433401</v>
      </c>
      <c r="E726" s="6">
        <f>0</f>
        <v>0</v>
      </c>
      <c r="F726" s="6">
        <f t="shared" ref="F726:F757" si="234">MAX(C726,E726)</f>
        <v>2</v>
      </c>
      <c r="G726" s="6">
        <f t="shared" ref="G726:G757" si="235">F726+D726</f>
        <v>10.80961053044334</v>
      </c>
      <c r="H726" s="6">
        <f>Arrivals!L726</f>
        <v>75</v>
      </c>
      <c r="I726" s="6">
        <f>H726*8/ACE_Input!S6+ACE_Input!T6</f>
        <v>6.02</v>
      </c>
      <c r="J726" s="6">
        <f>0</f>
        <v>0</v>
      </c>
      <c r="K726" s="6">
        <f t="shared" ref="K726:K757" si="236">MAX(G726,J726)</f>
        <v>10.80961053044334</v>
      </c>
      <c r="L726" s="6">
        <f>MOD(K726-Settings!$B$32,Settings!$B$33)</f>
        <v>10.80961053044334</v>
      </c>
      <c r="M726" s="6">
        <f>IF(L726&lt;Settings!$B$30,IF(Settings!$B$30-L726&gt;=I726,K726,K726+(Settings!$B$30-L726)+Settings!$B$31),K726+(Settings!$B$33-L726))</f>
        <v>10.80961053044334</v>
      </c>
      <c r="N726" s="6">
        <f t="shared" ref="N726:N757" si="237">M726+I726</f>
        <v>16.82961053044334</v>
      </c>
      <c r="O726" s="6">
        <f t="shared" ref="O726:O757" si="238">N726-C726</f>
        <v>14.82961053044334</v>
      </c>
      <c r="P726" s="6">
        <f t="shared" ref="P726:P757" si="239">F726-C726</f>
        <v>0</v>
      </c>
      <c r="Q726" s="6">
        <f t="shared" ref="Q726:Q757" si="240">K726-G726</f>
        <v>0</v>
      </c>
      <c r="R726" s="6">
        <f t="shared" ref="R726:R757" si="241">M726-K726</f>
        <v>0</v>
      </c>
      <c r="S726" s="6">
        <f t="shared" ref="S726:S757" si="242">P726+Q726+R726</f>
        <v>0</v>
      </c>
      <c r="T726" s="6" t="str">
        <f>IF(MOD(C726-Settings!$B$32,Settings!$B$33)&lt;Settings!$B$30,"Up","Down")</f>
        <v>Up</v>
      </c>
      <c r="U726" s="6">
        <f>IF(OR(I726&gt;Settings!$B$30,O726&gt;Settings!$B$37),0,1)</f>
        <v>1</v>
      </c>
      <c r="V726" s="6">
        <f>IF(AND(U726=1,O726&lt;=Settings!$B$36),1,0)</f>
        <v>1</v>
      </c>
    </row>
    <row r="727" spans="1:22" x14ac:dyDescent="0.2">
      <c r="A727">
        <f>Arrivals!A727</f>
        <v>7</v>
      </c>
      <c r="B727">
        <f>Arrivals!B727</f>
        <v>2</v>
      </c>
      <c r="C727" s="6">
        <f>Arrivals!F727</f>
        <v>7</v>
      </c>
      <c r="D727" s="6">
        <f>Arrivals!J727</f>
        <v>42.607485480646609</v>
      </c>
      <c r="E727" s="6">
        <f t="shared" ref="E727:E758" si="243">G726</f>
        <v>10.80961053044334</v>
      </c>
      <c r="F727" s="6">
        <f t="shared" si="234"/>
        <v>10.80961053044334</v>
      </c>
      <c r="G727" s="6">
        <f t="shared" si="235"/>
        <v>53.417096011089953</v>
      </c>
      <c r="H727" s="6">
        <f>Arrivals!L727</f>
        <v>75</v>
      </c>
      <c r="I727" s="6">
        <f>H727*8/ACE_Input!S7+ACE_Input!T7</f>
        <v>6.02</v>
      </c>
      <c r="J727" s="6">
        <f t="shared" ref="J727:J758" si="244">N726</f>
        <v>16.82961053044334</v>
      </c>
      <c r="K727" s="6">
        <f t="shared" si="236"/>
        <v>53.417096011089953</v>
      </c>
      <c r="L727" s="6">
        <f>MOD(K727-Settings!$B$32,Settings!$B$33)</f>
        <v>53.417096011089953</v>
      </c>
      <c r="M727" s="6">
        <f>IF(L727&lt;Settings!$B$30,IF(Settings!$B$30-L727&gt;=I727,K727,K727+(Settings!$B$30-L727)+Settings!$B$31),K727+(Settings!$B$33-L727))</f>
        <v>53.417096011089953</v>
      </c>
      <c r="N727" s="6">
        <f t="shared" si="237"/>
        <v>59.437096011089949</v>
      </c>
      <c r="O727" s="6">
        <f t="shared" si="238"/>
        <v>52.437096011089949</v>
      </c>
      <c r="P727" s="6">
        <f t="shared" si="239"/>
        <v>3.8096105304433401</v>
      </c>
      <c r="Q727" s="6">
        <f t="shared" si="240"/>
        <v>0</v>
      </c>
      <c r="R727" s="6">
        <f t="shared" si="241"/>
        <v>0</v>
      </c>
      <c r="S727" s="6">
        <f t="shared" si="242"/>
        <v>3.8096105304433401</v>
      </c>
      <c r="T727" s="6" t="str">
        <f>IF(MOD(C727-Settings!$B$32,Settings!$B$33)&lt;Settings!$B$30,"Up","Down")</f>
        <v>Up</v>
      </c>
      <c r="U727" s="6">
        <f>IF(OR(I727&gt;Settings!$B$30,O727&gt;Settings!$B$37),0,1)</f>
        <v>1</v>
      </c>
      <c r="V727" s="6">
        <f>IF(AND(U727=1,O727&lt;=Settings!$B$36),1,0)</f>
        <v>1</v>
      </c>
    </row>
    <row r="728" spans="1:22" x14ac:dyDescent="0.2">
      <c r="A728">
        <f>Arrivals!A728</f>
        <v>7</v>
      </c>
      <c r="B728">
        <f>Arrivals!B728</f>
        <v>3</v>
      </c>
      <c r="C728" s="6">
        <f>Arrivals!F728</f>
        <v>32</v>
      </c>
      <c r="D728" s="6">
        <f>Arrivals!J728</f>
        <v>8.9595294080798205</v>
      </c>
      <c r="E728" s="6">
        <f t="shared" si="243"/>
        <v>53.417096011089953</v>
      </c>
      <c r="F728" s="6">
        <f t="shared" si="234"/>
        <v>53.417096011089953</v>
      </c>
      <c r="G728" s="6">
        <f t="shared" si="235"/>
        <v>62.37662541916977</v>
      </c>
      <c r="H728" s="6">
        <f>Arrivals!L728</f>
        <v>75</v>
      </c>
      <c r="I728" s="6">
        <f>H728*8/ACE_Input!S8+ACE_Input!T8</f>
        <v>6.02</v>
      </c>
      <c r="J728" s="6">
        <f t="shared" si="244"/>
        <v>59.437096011089949</v>
      </c>
      <c r="K728" s="6">
        <f t="shared" si="236"/>
        <v>62.37662541916977</v>
      </c>
      <c r="L728" s="6">
        <f>MOD(K728-Settings!$B$32,Settings!$B$33)</f>
        <v>62.37662541916977</v>
      </c>
      <c r="M728" s="6">
        <f>IF(L728&lt;Settings!$B$30,IF(Settings!$B$30-L728&gt;=I728,K728,K728+(Settings!$B$30-L728)+Settings!$B$31),K728+(Settings!$B$33-L728))</f>
        <v>62.37662541916977</v>
      </c>
      <c r="N728" s="6">
        <f t="shared" si="237"/>
        <v>68.396625419169766</v>
      </c>
      <c r="O728" s="6">
        <f t="shared" si="238"/>
        <v>36.396625419169766</v>
      </c>
      <c r="P728" s="6">
        <f t="shared" si="239"/>
        <v>21.417096011089953</v>
      </c>
      <c r="Q728" s="6">
        <f t="shared" si="240"/>
        <v>0</v>
      </c>
      <c r="R728" s="6">
        <f t="shared" si="241"/>
        <v>0</v>
      </c>
      <c r="S728" s="6">
        <f t="shared" si="242"/>
        <v>21.417096011089953</v>
      </c>
      <c r="T728" s="6" t="str">
        <f>IF(MOD(C728-Settings!$B$32,Settings!$B$33)&lt;Settings!$B$30,"Up","Down")</f>
        <v>Up</v>
      </c>
      <c r="U728" s="6">
        <f>IF(OR(I728&gt;Settings!$B$30,O728&gt;Settings!$B$37),0,1)</f>
        <v>1</v>
      </c>
      <c r="V728" s="6">
        <f>IF(AND(U728=1,O728&lt;=Settings!$B$36),1,0)</f>
        <v>1</v>
      </c>
    </row>
    <row r="729" spans="1:22" x14ac:dyDescent="0.2">
      <c r="A729">
        <f>Arrivals!A729</f>
        <v>7</v>
      </c>
      <c r="B729">
        <f>Arrivals!B729</f>
        <v>4</v>
      </c>
      <c r="C729" s="6">
        <f>Arrivals!F729</f>
        <v>37</v>
      </c>
      <c r="D729" s="6">
        <f>Arrivals!J729</f>
        <v>1.4695419190202368</v>
      </c>
      <c r="E729" s="6">
        <f t="shared" si="243"/>
        <v>62.37662541916977</v>
      </c>
      <c r="F729" s="6">
        <f t="shared" si="234"/>
        <v>62.37662541916977</v>
      </c>
      <c r="G729" s="6">
        <f t="shared" si="235"/>
        <v>63.846167338190007</v>
      </c>
      <c r="H729" s="6">
        <f>Arrivals!L729</f>
        <v>75</v>
      </c>
      <c r="I729" s="6">
        <f>H729*8/ACE_Input!S9+ACE_Input!T9</f>
        <v>6.02</v>
      </c>
      <c r="J729" s="6">
        <f t="shared" si="244"/>
        <v>68.396625419169766</v>
      </c>
      <c r="K729" s="6">
        <f t="shared" si="236"/>
        <v>68.396625419169766</v>
      </c>
      <c r="L729" s="6">
        <f>MOD(K729-Settings!$B$32,Settings!$B$33)</f>
        <v>68.396625419169766</v>
      </c>
      <c r="M729" s="6">
        <f>IF(L729&lt;Settings!$B$30,IF(Settings!$B$30-L729&gt;=I729,K729,K729+(Settings!$B$30-L729)+Settings!$B$31),K729+(Settings!$B$33-L729))</f>
        <v>68.396625419169766</v>
      </c>
      <c r="N729" s="6">
        <f t="shared" si="237"/>
        <v>74.416625419169762</v>
      </c>
      <c r="O729" s="6">
        <f t="shared" si="238"/>
        <v>37.416625419169762</v>
      </c>
      <c r="P729" s="6">
        <f t="shared" si="239"/>
        <v>25.37662541916977</v>
      </c>
      <c r="Q729" s="6">
        <f t="shared" si="240"/>
        <v>4.5504580809797588</v>
      </c>
      <c r="R729" s="6">
        <f t="shared" si="241"/>
        <v>0</v>
      </c>
      <c r="S729" s="6">
        <f t="shared" si="242"/>
        <v>29.927083500149529</v>
      </c>
      <c r="T729" s="6" t="str">
        <f>IF(MOD(C729-Settings!$B$32,Settings!$B$33)&lt;Settings!$B$30,"Up","Down")</f>
        <v>Up</v>
      </c>
      <c r="U729" s="6">
        <f>IF(OR(I729&gt;Settings!$B$30,O729&gt;Settings!$B$37),0,1)</f>
        <v>1</v>
      </c>
      <c r="V729" s="6">
        <f>IF(AND(U729=1,O729&lt;=Settings!$B$36),1,0)</f>
        <v>1</v>
      </c>
    </row>
    <row r="730" spans="1:22" x14ac:dyDescent="0.2">
      <c r="A730">
        <f>Arrivals!A730</f>
        <v>7</v>
      </c>
      <c r="B730">
        <f>Arrivals!B730</f>
        <v>5</v>
      </c>
      <c r="C730" s="6">
        <f>Arrivals!F730</f>
        <v>42</v>
      </c>
      <c r="D730" s="6">
        <f>Arrivals!J730</f>
        <v>2.3848456346965223</v>
      </c>
      <c r="E730" s="6">
        <f t="shared" si="243"/>
        <v>63.846167338190007</v>
      </c>
      <c r="F730" s="6">
        <f t="shared" si="234"/>
        <v>63.846167338190007</v>
      </c>
      <c r="G730" s="6">
        <f t="shared" si="235"/>
        <v>66.231012972886532</v>
      </c>
      <c r="H730" s="6">
        <f>Arrivals!L730</f>
        <v>75</v>
      </c>
      <c r="I730" s="6">
        <f>H730*8/ACE_Input!S10+ACE_Input!T10</f>
        <v>6.02</v>
      </c>
      <c r="J730" s="6">
        <f t="shared" si="244"/>
        <v>74.416625419169762</v>
      </c>
      <c r="K730" s="6">
        <f t="shared" si="236"/>
        <v>74.416625419169762</v>
      </c>
      <c r="L730" s="6">
        <f>MOD(K730-Settings!$B$32,Settings!$B$33)</f>
        <v>74.416625419169762</v>
      </c>
      <c r="M730" s="6">
        <f>IF(L730&lt;Settings!$B$30,IF(Settings!$B$30-L730&gt;=I730,K730,K730+(Settings!$B$30-L730)+Settings!$B$31),K730+(Settings!$B$33-L730))</f>
        <v>74.416625419169762</v>
      </c>
      <c r="N730" s="6">
        <f t="shared" si="237"/>
        <v>80.436625419169758</v>
      </c>
      <c r="O730" s="6">
        <f t="shared" si="238"/>
        <v>38.436625419169758</v>
      </c>
      <c r="P730" s="6">
        <f t="shared" si="239"/>
        <v>21.846167338190007</v>
      </c>
      <c r="Q730" s="6">
        <f t="shared" si="240"/>
        <v>8.1856124462832298</v>
      </c>
      <c r="R730" s="6">
        <f t="shared" si="241"/>
        <v>0</v>
      </c>
      <c r="S730" s="6">
        <f t="shared" si="242"/>
        <v>30.031779784473237</v>
      </c>
      <c r="T730" s="6" t="str">
        <f>IF(MOD(C730-Settings!$B$32,Settings!$B$33)&lt;Settings!$B$30,"Up","Down")</f>
        <v>Up</v>
      </c>
      <c r="U730" s="6">
        <f>IF(OR(I730&gt;Settings!$B$30,O730&gt;Settings!$B$37),0,1)</f>
        <v>1</v>
      </c>
      <c r="V730" s="6">
        <f>IF(AND(U730=1,O730&lt;=Settings!$B$36),1,0)</f>
        <v>1</v>
      </c>
    </row>
    <row r="731" spans="1:22" x14ac:dyDescent="0.2">
      <c r="A731">
        <f>Arrivals!A731</f>
        <v>7</v>
      </c>
      <c r="B731">
        <f>Arrivals!B731</f>
        <v>6</v>
      </c>
      <c r="C731" s="6">
        <f>Arrivals!F731</f>
        <v>47</v>
      </c>
      <c r="D731" s="6">
        <f>Arrivals!J731</f>
        <v>2.7338814475252837</v>
      </c>
      <c r="E731" s="6">
        <f t="shared" si="243"/>
        <v>66.231012972886532</v>
      </c>
      <c r="F731" s="6">
        <f t="shared" si="234"/>
        <v>66.231012972886532</v>
      </c>
      <c r="G731" s="6">
        <f t="shared" si="235"/>
        <v>68.96489442041181</v>
      </c>
      <c r="H731" s="6">
        <f>Arrivals!L731</f>
        <v>75</v>
      </c>
      <c r="I731" s="6">
        <f>H731*8/ACE_Input!S11+ACE_Input!T11</f>
        <v>6.02</v>
      </c>
      <c r="J731" s="6">
        <f t="shared" si="244"/>
        <v>80.436625419169758</v>
      </c>
      <c r="K731" s="6">
        <f t="shared" si="236"/>
        <v>80.436625419169758</v>
      </c>
      <c r="L731" s="6">
        <f>MOD(K731-Settings!$B$32,Settings!$B$33)</f>
        <v>80.436625419169758</v>
      </c>
      <c r="M731" s="6">
        <f>IF(L731&lt;Settings!$B$30,IF(Settings!$B$30-L731&gt;=I731,K731,K731+(Settings!$B$30-L731)+Settings!$B$31),K731+(Settings!$B$33-L731))</f>
        <v>80.436625419169758</v>
      </c>
      <c r="N731" s="6">
        <f t="shared" si="237"/>
        <v>86.456625419169754</v>
      </c>
      <c r="O731" s="6">
        <f t="shared" si="238"/>
        <v>39.456625419169754</v>
      </c>
      <c r="P731" s="6">
        <f t="shared" si="239"/>
        <v>19.231012972886532</v>
      </c>
      <c r="Q731" s="6">
        <f t="shared" si="240"/>
        <v>11.471730998757948</v>
      </c>
      <c r="R731" s="6">
        <f t="shared" si="241"/>
        <v>0</v>
      </c>
      <c r="S731" s="6">
        <f t="shared" si="242"/>
        <v>30.70274397164448</v>
      </c>
      <c r="T731" s="6" t="str">
        <f>IF(MOD(C731-Settings!$B$32,Settings!$B$33)&lt;Settings!$B$30,"Up","Down")</f>
        <v>Up</v>
      </c>
      <c r="U731" s="6">
        <f>IF(OR(I731&gt;Settings!$B$30,O731&gt;Settings!$B$37),0,1)</f>
        <v>1</v>
      </c>
      <c r="V731" s="6">
        <f>IF(AND(U731=1,O731&lt;=Settings!$B$36),1,0)</f>
        <v>1</v>
      </c>
    </row>
    <row r="732" spans="1:22" x14ac:dyDescent="0.2">
      <c r="A732">
        <f>Arrivals!A732</f>
        <v>7</v>
      </c>
      <c r="B732">
        <f>Arrivals!B732</f>
        <v>7</v>
      </c>
      <c r="C732" s="6">
        <f>Arrivals!F732</f>
        <v>52</v>
      </c>
      <c r="D732" s="6">
        <f>Arrivals!J732</f>
        <v>2.3388883270866474</v>
      </c>
      <c r="E732" s="6">
        <f t="shared" si="243"/>
        <v>68.96489442041181</v>
      </c>
      <c r="F732" s="6">
        <f t="shared" si="234"/>
        <v>68.96489442041181</v>
      </c>
      <c r="G732" s="6">
        <f t="shared" si="235"/>
        <v>71.30378274749846</v>
      </c>
      <c r="H732" s="6">
        <f>Arrivals!L732</f>
        <v>75</v>
      </c>
      <c r="I732" s="6">
        <f>H732*8/ACE_Input!S12+ACE_Input!T12</f>
        <v>6.02</v>
      </c>
      <c r="J732" s="6">
        <f t="shared" si="244"/>
        <v>86.456625419169754</v>
      </c>
      <c r="K732" s="6">
        <f t="shared" si="236"/>
        <v>86.456625419169754</v>
      </c>
      <c r="L732" s="6">
        <f>MOD(K732-Settings!$B$32,Settings!$B$33)</f>
        <v>86.456625419169754</v>
      </c>
      <c r="M732" s="6">
        <f>IF(L732&lt;Settings!$B$30,IF(Settings!$B$30-L732&gt;=I732,K732,K732+(Settings!$B$30-L732)+Settings!$B$31),K732+(Settings!$B$33-L732))</f>
        <v>86.456625419169754</v>
      </c>
      <c r="N732" s="6">
        <f t="shared" si="237"/>
        <v>92.47662541916975</v>
      </c>
      <c r="O732" s="6">
        <f t="shared" si="238"/>
        <v>40.47662541916975</v>
      </c>
      <c r="P732" s="6">
        <f t="shared" si="239"/>
        <v>16.96489442041181</v>
      </c>
      <c r="Q732" s="6">
        <f t="shared" si="240"/>
        <v>15.152842671671294</v>
      </c>
      <c r="R732" s="6">
        <f t="shared" si="241"/>
        <v>0</v>
      </c>
      <c r="S732" s="6">
        <f t="shared" si="242"/>
        <v>32.117737092083104</v>
      </c>
      <c r="T732" s="6" t="str">
        <f>IF(MOD(C732-Settings!$B$32,Settings!$B$33)&lt;Settings!$B$30,"Up","Down")</f>
        <v>Up</v>
      </c>
      <c r="U732" s="6">
        <f>IF(OR(I732&gt;Settings!$B$30,O732&gt;Settings!$B$37),0,1)</f>
        <v>1</v>
      </c>
      <c r="V732" s="6">
        <f>IF(AND(U732=1,O732&lt;=Settings!$B$36),1,0)</f>
        <v>1</v>
      </c>
    </row>
    <row r="733" spans="1:22" x14ac:dyDescent="0.2">
      <c r="A733">
        <f>Arrivals!A733</f>
        <v>7</v>
      </c>
      <c r="B733">
        <f>Arrivals!B733</f>
        <v>8</v>
      </c>
      <c r="C733" s="6">
        <f>Arrivals!F733</f>
        <v>57</v>
      </c>
      <c r="D733" s="6">
        <f>Arrivals!J733</f>
        <v>4.926279068589011</v>
      </c>
      <c r="E733" s="6">
        <f t="shared" si="243"/>
        <v>71.30378274749846</v>
      </c>
      <c r="F733" s="6">
        <f t="shared" si="234"/>
        <v>71.30378274749846</v>
      </c>
      <c r="G733" s="6">
        <f t="shared" si="235"/>
        <v>76.230061816087471</v>
      </c>
      <c r="H733" s="6">
        <f>Arrivals!L733</f>
        <v>75</v>
      </c>
      <c r="I733" s="6">
        <f>H733*8/ACE_Input!S13+ACE_Input!T13</f>
        <v>6.02</v>
      </c>
      <c r="J733" s="6">
        <f t="shared" si="244"/>
        <v>92.47662541916975</v>
      </c>
      <c r="K733" s="6">
        <f t="shared" si="236"/>
        <v>92.47662541916975</v>
      </c>
      <c r="L733" s="6">
        <f>MOD(K733-Settings!$B$32,Settings!$B$33)</f>
        <v>92.47662541916975</v>
      </c>
      <c r="M733" s="6">
        <f>IF(L733&lt;Settings!$B$30,IF(Settings!$B$30-L733&gt;=I733,K733,K733+(Settings!$B$30-L733)+Settings!$B$31),K733+(Settings!$B$33-L733))</f>
        <v>92.47662541916975</v>
      </c>
      <c r="N733" s="6">
        <f t="shared" si="237"/>
        <v>98.496625419169746</v>
      </c>
      <c r="O733" s="6">
        <f t="shared" si="238"/>
        <v>41.496625419169746</v>
      </c>
      <c r="P733" s="6">
        <f t="shared" si="239"/>
        <v>14.30378274749846</v>
      </c>
      <c r="Q733" s="6">
        <f t="shared" si="240"/>
        <v>16.246563603082279</v>
      </c>
      <c r="R733" s="6">
        <f t="shared" si="241"/>
        <v>0</v>
      </c>
      <c r="S733" s="6">
        <f t="shared" si="242"/>
        <v>30.550346350580739</v>
      </c>
      <c r="T733" s="6" t="str">
        <f>IF(MOD(C733-Settings!$B$32,Settings!$B$33)&lt;Settings!$B$30,"Up","Down")</f>
        <v>Up</v>
      </c>
      <c r="U733" s="6">
        <f>IF(OR(I733&gt;Settings!$B$30,O733&gt;Settings!$B$37),0,1)</f>
        <v>1</v>
      </c>
      <c r="V733" s="6">
        <f>IF(AND(U733=1,O733&lt;=Settings!$B$36),1,0)</f>
        <v>1</v>
      </c>
    </row>
    <row r="734" spans="1:22" x14ac:dyDescent="0.2">
      <c r="A734">
        <f>Arrivals!A734</f>
        <v>7</v>
      </c>
      <c r="B734">
        <f>Arrivals!B734</f>
        <v>9</v>
      </c>
      <c r="C734" s="6">
        <f>Arrivals!F734</f>
        <v>172</v>
      </c>
      <c r="D734" s="6">
        <f>Arrivals!J734</f>
        <v>24.038452981618398</v>
      </c>
      <c r="E734" s="6">
        <f t="shared" si="243"/>
        <v>76.230061816087471</v>
      </c>
      <c r="F734" s="6">
        <f t="shared" si="234"/>
        <v>172</v>
      </c>
      <c r="G734" s="6">
        <f t="shared" si="235"/>
        <v>196.03845298161841</v>
      </c>
      <c r="H734" s="6">
        <f>Arrivals!L734</f>
        <v>75</v>
      </c>
      <c r="I734" s="6">
        <f>H734*8/ACE_Input!S14+ACE_Input!T14</f>
        <v>6.02</v>
      </c>
      <c r="J734" s="6">
        <f t="shared" si="244"/>
        <v>98.496625419169746</v>
      </c>
      <c r="K734" s="6">
        <f t="shared" si="236"/>
        <v>196.03845298161841</v>
      </c>
      <c r="L734" s="6">
        <f>MOD(K734-Settings!$B$32,Settings!$B$33)</f>
        <v>196.03845298161841</v>
      </c>
      <c r="M734" s="6">
        <f>IF(L734&lt;Settings!$B$30,IF(Settings!$B$30-L734&gt;=I734,K734,K734+(Settings!$B$30-L734)+Settings!$B$31),K734+(Settings!$B$33-L734))</f>
        <v>196.03845298161841</v>
      </c>
      <c r="N734" s="6">
        <f t="shared" si="237"/>
        <v>202.05845298161842</v>
      </c>
      <c r="O734" s="6">
        <f t="shared" si="238"/>
        <v>30.058452981618416</v>
      </c>
      <c r="P734" s="6">
        <f t="shared" si="239"/>
        <v>0</v>
      </c>
      <c r="Q734" s="6">
        <f t="shared" si="240"/>
        <v>0</v>
      </c>
      <c r="R734" s="6">
        <f t="shared" si="241"/>
        <v>0</v>
      </c>
      <c r="S734" s="6">
        <f t="shared" si="242"/>
        <v>0</v>
      </c>
      <c r="T734" s="6" t="str">
        <f>IF(MOD(C734-Settings!$B$32,Settings!$B$33)&lt;Settings!$B$30,"Up","Down")</f>
        <v>Up</v>
      </c>
      <c r="U734" s="6">
        <f>IF(OR(I734&gt;Settings!$B$30,O734&gt;Settings!$B$37),0,1)</f>
        <v>1</v>
      </c>
      <c r="V734" s="6">
        <f>IF(AND(U734=1,O734&lt;=Settings!$B$36),1,0)</f>
        <v>1</v>
      </c>
    </row>
    <row r="735" spans="1:22" x14ac:dyDescent="0.2">
      <c r="A735">
        <f>Arrivals!A735</f>
        <v>7</v>
      </c>
      <c r="B735">
        <f>Arrivals!B735</f>
        <v>10</v>
      </c>
      <c r="C735" s="6">
        <f>Arrivals!F735</f>
        <v>177</v>
      </c>
      <c r="D735" s="6">
        <f>Arrivals!J735</f>
        <v>14.325419030562724</v>
      </c>
      <c r="E735" s="6">
        <f t="shared" si="243"/>
        <v>196.03845298161841</v>
      </c>
      <c r="F735" s="6">
        <f t="shared" si="234"/>
        <v>196.03845298161841</v>
      </c>
      <c r="G735" s="6">
        <f t="shared" si="235"/>
        <v>210.36387201218113</v>
      </c>
      <c r="H735" s="6">
        <f>Arrivals!L735</f>
        <v>75</v>
      </c>
      <c r="I735" s="6">
        <f>H735*8/ACE_Input!S15+ACE_Input!T15</f>
        <v>6.02</v>
      </c>
      <c r="J735" s="6">
        <f t="shared" si="244"/>
        <v>202.05845298161842</v>
      </c>
      <c r="K735" s="6">
        <f t="shared" si="236"/>
        <v>210.36387201218113</v>
      </c>
      <c r="L735" s="6">
        <f>MOD(K735-Settings!$B$32,Settings!$B$33)</f>
        <v>210.36387201218113</v>
      </c>
      <c r="M735" s="6">
        <f>IF(L735&lt;Settings!$B$30,IF(Settings!$B$30-L735&gt;=I735,K735,K735+(Settings!$B$30-L735)+Settings!$B$31),K735+(Settings!$B$33-L735))</f>
        <v>210.36387201218113</v>
      </c>
      <c r="N735" s="6">
        <f t="shared" si="237"/>
        <v>216.38387201218114</v>
      </c>
      <c r="O735" s="6">
        <f t="shared" si="238"/>
        <v>39.383872012181143</v>
      </c>
      <c r="P735" s="6">
        <f t="shared" si="239"/>
        <v>19.038452981618406</v>
      </c>
      <c r="Q735" s="6">
        <f t="shared" si="240"/>
        <v>0</v>
      </c>
      <c r="R735" s="6">
        <f t="shared" si="241"/>
        <v>0</v>
      </c>
      <c r="S735" s="6">
        <f t="shared" si="242"/>
        <v>19.038452981618406</v>
      </c>
      <c r="T735" s="6" t="str">
        <f>IF(MOD(C735-Settings!$B$32,Settings!$B$33)&lt;Settings!$B$30,"Up","Down")</f>
        <v>Up</v>
      </c>
      <c r="U735" s="6">
        <f>IF(OR(I735&gt;Settings!$B$30,O735&gt;Settings!$B$37),0,1)</f>
        <v>1</v>
      </c>
      <c r="V735" s="6">
        <f>IF(AND(U735=1,O735&lt;=Settings!$B$36),1,0)</f>
        <v>1</v>
      </c>
    </row>
    <row r="736" spans="1:22" x14ac:dyDescent="0.2">
      <c r="A736">
        <f>Arrivals!A736</f>
        <v>7</v>
      </c>
      <c r="B736">
        <f>Arrivals!B736</f>
        <v>11</v>
      </c>
      <c r="C736" s="6">
        <f>Arrivals!F736</f>
        <v>182</v>
      </c>
      <c r="D736" s="6">
        <f>Arrivals!J736</f>
        <v>3.7618460504807181</v>
      </c>
      <c r="E736" s="6">
        <f t="shared" si="243"/>
        <v>210.36387201218113</v>
      </c>
      <c r="F736" s="6">
        <f t="shared" si="234"/>
        <v>210.36387201218113</v>
      </c>
      <c r="G736" s="6">
        <f t="shared" si="235"/>
        <v>214.12571806266186</v>
      </c>
      <c r="H736" s="6">
        <f>Arrivals!L736</f>
        <v>75</v>
      </c>
      <c r="I736" s="6">
        <f>H736*8/ACE_Input!S16+ACE_Input!T16</f>
        <v>6.02</v>
      </c>
      <c r="J736" s="6">
        <f t="shared" si="244"/>
        <v>216.38387201218114</v>
      </c>
      <c r="K736" s="6">
        <f t="shared" si="236"/>
        <v>216.38387201218114</v>
      </c>
      <c r="L736" s="6">
        <f>MOD(K736-Settings!$B$32,Settings!$B$33)</f>
        <v>216.38387201218114</v>
      </c>
      <c r="M736" s="6">
        <f>IF(L736&lt;Settings!$B$30,IF(Settings!$B$30-L736&gt;=I736,K736,K736+(Settings!$B$30-L736)+Settings!$B$31),K736+(Settings!$B$33-L736))</f>
        <v>216.38387201218114</v>
      </c>
      <c r="N736" s="6">
        <f t="shared" si="237"/>
        <v>222.40387201218115</v>
      </c>
      <c r="O736" s="6">
        <f t="shared" si="238"/>
        <v>40.403872012181154</v>
      </c>
      <c r="P736" s="6">
        <f t="shared" si="239"/>
        <v>28.363872012181133</v>
      </c>
      <c r="Q736" s="6">
        <f t="shared" si="240"/>
        <v>2.2581539495192828</v>
      </c>
      <c r="R736" s="6">
        <f t="shared" si="241"/>
        <v>0</v>
      </c>
      <c r="S736" s="6">
        <f t="shared" si="242"/>
        <v>30.622025961700416</v>
      </c>
      <c r="T736" s="6" t="str">
        <f>IF(MOD(C736-Settings!$B$32,Settings!$B$33)&lt;Settings!$B$30,"Up","Down")</f>
        <v>Up</v>
      </c>
      <c r="U736" s="6">
        <f>IF(OR(I736&gt;Settings!$B$30,O736&gt;Settings!$B$37),0,1)</f>
        <v>1</v>
      </c>
      <c r="V736" s="6">
        <f>IF(AND(U736=1,O736&lt;=Settings!$B$36),1,0)</f>
        <v>1</v>
      </c>
    </row>
    <row r="737" spans="1:22" x14ac:dyDescent="0.2">
      <c r="A737">
        <f>Arrivals!A737</f>
        <v>7</v>
      </c>
      <c r="B737">
        <f>Arrivals!B737</f>
        <v>12</v>
      </c>
      <c r="C737" s="6">
        <f>Arrivals!F737</f>
        <v>187</v>
      </c>
      <c r="D737" s="6">
        <f>Arrivals!J737</f>
        <v>24.358532895445727</v>
      </c>
      <c r="E737" s="6">
        <f t="shared" si="243"/>
        <v>214.12571806266186</v>
      </c>
      <c r="F737" s="6">
        <f t="shared" si="234"/>
        <v>214.12571806266186</v>
      </c>
      <c r="G737" s="6">
        <f t="shared" si="235"/>
        <v>238.48425095810759</v>
      </c>
      <c r="H737" s="6">
        <f>Arrivals!L737</f>
        <v>75</v>
      </c>
      <c r="I737" s="6">
        <f>H737*8/ACE_Input!S17+ACE_Input!T17</f>
        <v>6.02</v>
      </c>
      <c r="J737" s="6">
        <f t="shared" si="244"/>
        <v>222.40387201218115</v>
      </c>
      <c r="K737" s="6">
        <f t="shared" si="236"/>
        <v>238.48425095810759</v>
      </c>
      <c r="L737" s="6">
        <f>MOD(K737-Settings!$B$32,Settings!$B$33)</f>
        <v>238.48425095810759</v>
      </c>
      <c r="M737" s="6">
        <f>IF(L737&lt;Settings!$B$30,IF(Settings!$B$30-L737&gt;=I737,K737,K737+(Settings!$B$30-L737)+Settings!$B$31),K737+(Settings!$B$33-L737))</f>
        <v>238.48425095810759</v>
      </c>
      <c r="N737" s="6">
        <f t="shared" si="237"/>
        <v>244.5042509581076</v>
      </c>
      <c r="O737" s="6">
        <f t="shared" si="238"/>
        <v>57.504250958107605</v>
      </c>
      <c r="P737" s="6">
        <f t="shared" si="239"/>
        <v>27.125718062661861</v>
      </c>
      <c r="Q737" s="6">
        <f t="shared" si="240"/>
        <v>0</v>
      </c>
      <c r="R737" s="6">
        <f t="shared" si="241"/>
        <v>0</v>
      </c>
      <c r="S737" s="6">
        <f t="shared" si="242"/>
        <v>27.125718062661861</v>
      </c>
      <c r="T737" s="6" t="str">
        <f>IF(MOD(C737-Settings!$B$32,Settings!$B$33)&lt;Settings!$B$30,"Up","Down")</f>
        <v>Up</v>
      </c>
      <c r="U737" s="6">
        <f>IF(OR(I737&gt;Settings!$B$30,O737&gt;Settings!$B$37),0,1)</f>
        <v>1</v>
      </c>
      <c r="V737" s="6">
        <f>IF(AND(U737=1,O737&lt;=Settings!$B$36),1,0)</f>
        <v>1</v>
      </c>
    </row>
    <row r="738" spans="1:22" x14ac:dyDescent="0.2">
      <c r="A738">
        <f>Arrivals!A738</f>
        <v>7</v>
      </c>
      <c r="B738">
        <f>Arrivals!B738</f>
        <v>13</v>
      </c>
      <c r="C738" s="6">
        <f>Arrivals!F738</f>
        <v>192</v>
      </c>
      <c r="D738" s="6">
        <f>Arrivals!J738</f>
        <v>5.6210705954934896</v>
      </c>
      <c r="E738" s="6">
        <f t="shared" si="243"/>
        <v>238.48425095810759</v>
      </c>
      <c r="F738" s="6">
        <f t="shared" si="234"/>
        <v>238.48425095810759</v>
      </c>
      <c r="G738" s="6">
        <f t="shared" si="235"/>
        <v>244.10532155360107</v>
      </c>
      <c r="H738" s="6">
        <f>Arrivals!L738</f>
        <v>75</v>
      </c>
      <c r="I738" s="6">
        <f>H738*8/ACE_Input!S18+ACE_Input!T18</f>
        <v>6.02</v>
      </c>
      <c r="J738" s="6">
        <f t="shared" si="244"/>
        <v>244.5042509581076</v>
      </c>
      <c r="K738" s="6">
        <f t="shared" si="236"/>
        <v>244.5042509581076</v>
      </c>
      <c r="L738" s="6">
        <f>MOD(K738-Settings!$B$32,Settings!$B$33)</f>
        <v>244.5042509581076</v>
      </c>
      <c r="M738" s="6">
        <f>IF(L738&lt;Settings!$B$30,IF(Settings!$B$30-L738&gt;=I738,K738,K738+(Settings!$B$30-L738)+Settings!$B$31),K738+(Settings!$B$33-L738))</f>
        <v>244.5042509581076</v>
      </c>
      <c r="N738" s="6">
        <f t="shared" si="237"/>
        <v>250.52425095810761</v>
      </c>
      <c r="O738" s="6">
        <f t="shared" si="238"/>
        <v>58.524250958107615</v>
      </c>
      <c r="P738" s="6">
        <f t="shared" si="239"/>
        <v>46.484250958107594</v>
      </c>
      <c r="Q738" s="6">
        <f t="shared" si="240"/>
        <v>0.39892940450653214</v>
      </c>
      <c r="R738" s="6">
        <f t="shared" si="241"/>
        <v>0</v>
      </c>
      <c r="S738" s="6">
        <f t="shared" si="242"/>
        <v>46.883180362614127</v>
      </c>
      <c r="T738" s="6" t="str">
        <f>IF(MOD(C738-Settings!$B$32,Settings!$B$33)&lt;Settings!$B$30,"Up","Down")</f>
        <v>Up</v>
      </c>
      <c r="U738" s="6">
        <f>IF(OR(I738&gt;Settings!$B$30,O738&gt;Settings!$B$37),0,1)</f>
        <v>1</v>
      </c>
      <c r="V738" s="6">
        <f>IF(AND(U738=1,O738&lt;=Settings!$B$36),1,0)</f>
        <v>1</v>
      </c>
    </row>
    <row r="739" spans="1:22" x14ac:dyDescent="0.2">
      <c r="A739">
        <f>Arrivals!A739</f>
        <v>7</v>
      </c>
      <c r="B739">
        <f>Arrivals!B739</f>
        <v>14</v>
      </c>
      <c r="C739" s="6">
        <f>Arrivals!F739</f>
        <v>197</v>
      </c>
      <c r="D739" s="6">
        <f>Arrivals!J739</f>
        <v>4.3402542758047231E-2</v>
      </c>
      <c r="E739" s="6">
        <f t="shared" si="243"/>
        <v>244.10532155360107</v>
      </c>
      <c r="F739" s="6">
        <f t="shared" si="234"/>
        <v>244.10532155360107</v>
      </c>
      <c r="G739" s="6">
        <f t="shared" si="235"/>
        <v>244.14872409635913</v>
      </c>
      <c r="H739" s="6">
        <f>Arrivals!L739</f>
        <v>75</v>
      </c>
      <c r="I739" s="6">
        <f>H739*8/ACE_Input!S19+ACE_Input!T19</f>
        <v>6.02</v>
      </c>
      <c r="J739" s="6">
        <f t="shared" si="244"/>
        <v>250.52425095810761</v>
      </c>
      <c r="K739" s="6">
        <f t="shared" si="236"/>
        <v>250.52425095810761</v>
      </c>
      <c r="L739" s="6">
        <f>MOD(K739-Settings!$B$32,Settings!$B$33)</f>
        <v>250.52425095810761</v>
      </c>
      <c r="M739" s="6">
        <f>IF(L739&lt;Settings!$B$30,IF(Settings!$B$30-L739&gt;=I739,K739,K739+(Settings!$B$30-L739)+Settings!$B$31),K739+(Settings!$B$33-L739))</f>
        <v>250.52425095810761</v>
      </c>
      <c r="N739" s="6">
        <f t="shared" si="237"/>
        <v>256.54425095810763</v>
      </c>
      <c r="O739" s="6">
        <f t="shared" si="238"/>
        <v>59.544250958107625</v>
      </c>
      <c r="P739" s="6">
        <f t="shared" si="239"/>
        <v>47.105321553601073</v>
      </c>
      <c r="Q739" s="6">
        <f t="shared" si="240"/>
        <v>6.375526861748483</v>
      </c>
      <c r="R739" s="6">
        <f t="shared" si="241"/>
        <v>0</v>
      </c>
      <c r="S739" s="6">
        <f t="shared" si="242"/>
        <v>53.480848415349556</v>
      </c>
      <c r="T739" s="6" t="str">
        <f>IF(MOD(C739-Settings!$B$32,Settings!$B$33)&lt;Settings!$B$30,"Up","Down")</f>
        <v>Up</v>
      </c>
      <c r="U739" s="6">
        <f>IF(OR(I739&gt;Settings!$B$30,O739&gt;Settings!$B$37),0,1)</f>
        <v>1</v>
      </c>
      <c r="V739" s="6">
        <f>IF(AND(U739=1,O739&lt;=Settings!$B$36),1,0)</f>
        <v>1</v>
      </c>
    </row>
    <row r="740" spans="1:22" x14ac:dyDescent="0.2">
      <c r="A740">
        <f>Arrivals!A740</f>
        <v>7</v>
      </c>
      <c r="B740">
        <f>Arrivals!B740</f>
        <v>15</v>
      </c>
      <c r="C740" s="6">
        <f>Arrivals!F740</f>
        <v>202</v>
      </c>
      <c r="D740" s="6">
        <f>Arrivals!J740</f>
        <v>13.63866497344101</v>
      </c>
      <c r="E740" s="6">
        <f t="shared" si="243"/>
        <v>244.14872409635913</v>
      </c>
      <c r="F740" s="6">
        <f t="shared" si="234"/>
        <v>244.14872409635913</v>
      </c>
      <c r="G740" s="6">
        <f t="shared" si="235"/>
        <v>257.78738906980016</v>
      </c>
      <c r="H740" s="6">
        <f>Arrivals!L740</f>
        <v>75</v>
      </c>
      <c r="I740" s="6">
        <f>H740*8/ACE_Input!S20+ACE_Input!T20</f>
        <v>6.02</v>
      </c>
      <c r="J740" s="6">
        <f t="shared" si="244"/>
        <v>256.54425095810763</v>
      </c>
      <c r="K740" s="6">
        <f t="shared" si="236"/>
        <v>257.78738906980016</v>
      </c>
      <c r="L740" s="6">
        <f>MOD(K740-Settings!$B$32,Settings!$B$33)</f>
        <v>257.78738906980016</v>
      </c>
      <c r="M740" s="6">
        <f>IF(L740&lt;Settings!$B$30,IF(Settings!$B$30-L740&gt;=I740,K740,K740+(Settings!$B$30-L740)+Settings!$B$31),K740+(Settings!$B$33-L740))</f>
        <v>257.78738906980016</v>
      </c>
      <c r="N740" s="6">
        <f t="shared" si="237"/>
        <v>263.80738906980014</v>
      </c>
      <c r="O740" s="6">
        <f t="shared" si="238"/>
        <v>61.807389069800138</v>
      </c>
      <c r="P740" s="6">
        <f t="shared" si="239"/>
        <v>42.148724096359132</v>
      </c>
      <c r="Q740" s="6">
        <f t="shared" si="240"/>
        <v>0</v>
      </c>
      <c r="R740" s="6">
        <f t="shared" si="241"/>
        <v>0</v>
      </c>
      <c r="S740" s="6">
        <f t="shared" si="242"/>
        <v>42.148724096359132</v>
      </c>
      <c r="T740" s="6" t="str">
        <f>IF(MOD(C740-Settings!$B$32,Settings!$B$33)&lt;Settings!$B$30,"Up","Down")</f>
        <v>Up</v>
      </c>
      <c r="U740" s="6">
        <f>IF(OR(I740&gt;Settings!$B$30,O740&gt;Settings!$B$37),0,1)</f>
        <v>1</v>
      </c>
      <c r="V740" s="6">
        <f>IF(AND(U740=1,O740&lt;=Settings!$B$36),1,0)</f>
        <v>1</v>
      </c>
    </row>
    <row r="741" spans="1:22" x14ac:dyDescent="0.2">
      <c r="A741">
        <f>Arrivals!A741</f>
        <v>7</v>
      </c>
      <c r="B741">
        <f>Arrivals!B741</f>
        <v>16</v>
      </c>
      <c r="C741" s="6">
        <f>Arrivals!F741</f>
        <v>207</v>
      </c>
      <c r="D741" s="6">
        <f>Arrivals!J741</f>
        <v>3.5235083218353185</v>
      </c>
      <c r="E741" s="6">
        <f t="shared" si="243"/>
        <v>257.78738906980016</v>
      </c>
      <c r="F741" s="6">
        <f t="shared" si="234"/>
        <v>257.78738906980016</v>
      </c>
      <c r="G741" s="6">
        <f t="shared" si="235"/>
        <v>261.31089739163548</v>
      </c>
      <c r="H741" s="6">
        <f>Arrivals!L741</f>
        <v>75</v>
      </c>
      <c r="I741" s="6">
        <f>H741*8/ACE_Input!S21+ACE_Input!T21</f>
        <v>6.02</v>
      </c>
      <c r="J741" s="6">
        <f t="shared" si="244"/>
        <v>263.80738906980014</v>
      </c>
      <c r="K741" s="6">
        <f t="shared" si="236"/>
        <v>263.80738906980014</v>
      </c>
      <c r="L741" s="6">
        <f>MOD(K741-Settings!$B$32,Settings!$B$33)</f>
        <v>263.80738906980014</v>
      </c>
      <c r="M741" s="6">
        <f>IF(L741&lt;Settings!$B$30,IF(Settings!$B$30-L741&gt;=I741,K741,K741+(Settings!$B$30-L741)+Settings!$B$31),K741+(Settings!$B$33-L741))</f>
        <v>263.80738906980014</v>
      </c>
      <c r="N741" s="6">
        <f t="shared" si="237"/>
        <v>269.82738906980012</v>
      </c>
      <c r="O741" s="6">
        <f t="shared" si="238"/>
        <v>62.82738906980012</v>
      </c>
      <c r="P741" s="6">
        <f t="shared" si="239"/>
        <v>50.787389069800156</v>
      </c>
      <c r="Q741" s="6">
        <f t="shared" si="240"/>
        <v>2.4964916781646593</v>
      </c>
      <c r="R741" s="6">
        <f t="shared" si="241"/>
        <v>0</v>
      </c>
      <c r="S741" s="6">
        <f t="shared" si="242"/>
        <v>53.283880747964815</v>
      </c>
      <c r="T741" s="6" t="str">
        <f>IF(MOD(C741-Settings!$B$32,Settings!$B$33)&lt;Settings!$B$30,"Up","Down")</f>
        <v>Up</v>
      </c>
      <c r="U741" s="6">
        <f>IF(OR(I741&gt;Settings!$B$30,O741&gt;Settings!$B$37),0,1)</f>
        <v>1</v>
      </c>
      <c r="V741" s="6">
        <f>IF(AND(U741=1,O741&lt;=Settings!$B$36),1,0)</f>
        <v>1</v>
      </c>
    </row>
    <row r="742" spans="1:22" x14ac:dyDescent="0.2">
      <c r="A742">
        <f>Arrivals!A742</f>
        <v>7</v>
      </c>
      <c r="B742">
        <f>Arrivals!B742</f>
        <v>17</v>
      </c>
      <c r="C742" s="6">
        <f>Arrivals!F742</f>
        <v>212</v>
      </c>
      <c r="D742" s="6">
        <f>Arrivals!J742</f>
        <v>7.1439508522598061</v>
      </c>
      <c r="E742" s="6">
        <f t="shared" si="243"/>
        <v>261.31089739163548</v>
      </c>
      <c r="F742" s="6">
        <f t="shared" si="234"/>
        <v>261.31089739163548</v>
      </c>
      <c r="G742" s="6">
        <f t="shared" si="235"/>
        <v>268.4548482438953</v>
      </c>
      <c r="H742" s="6">
        <f>Arrivals!L742</f>
        <v>75</v>
      </c>
      <c r="I742" s="6">
        <f>H742*8/ACE_Input!S22+ACE_Input!T22</f>
        <v>6.02</v>
      </c>
      <c r="J742" s="6">
        <f t="shared" si="244"/>
        <v>269.82738906980012</v>
      </c>
      <c r="K742" s="6">
        <f t="shared" si="236"/>
        <v>269.82738906980012</v>
      </c>
      <c r="L742" s="6">
        <f>MOD(K742-Settings!$B$32,Settings!$B$33)</f>
        <v>269.82738906980012</v>
      </c>
      <c r="M742" s="6">
        <f>IF(L742&lt;Settings!$B$30,IF(Settings!$B$30-L742&gt;=I742,K742,K742+(Settings!$B$30-L742)+Settings!$B$31),K742+(Settings!$B$33-L742))</f>
        <v>269.82738906980012</v>
      </c>
      <c r="N742" s="6">
        <f t="shared" si="237"/>
        <v>275.8473890698001</v>
      </c>
      <c r="O742" s="6">
        <f t="shared" si="238"/>
        <v>63.847389069800101</v>
      </c>
      <c r="P742" s="6">
        <f t="shared" si="239"/>
        <v>49.310897391635478</v>
      </c>
      <c r="Q742" s="6">
        <f t="shared" si="240"/>
        <v>1.3725408259048208</v>
      </c>
      <c r="R742" s="6">
        <f t="shared" si="241"/>
        <v>0</v>
      </c>
      <c r="S742" s="6">
        <f t="shared" si="242"/>
        <v>50.683438217540299</v>
      </c>
      <c r="T742" s="6" t="str">
        <f>IF(MOD(C742-Settings!$B$32,Settings!$B$33)&lt;Settings!$B$30,"Up","Down")</f>
        <v>Up</v>
      </c>
      <c r="U742" s="6">
        <f>IF(OR(I742&gt;Settings!$B$30,O742&gt;Settings!$B$37),0,1)</f>
        <v>1</v>
      </c>
      <c r="V742" s="6">
        <f>IF(AND(U742=1,O742&lt;=Settings!$B$36),1,0)</f>
        <v>1</v>
      </c>
    </row>
    <row r="743" spans="1:22" x14ac:dyDescent="0.2">
      <c r="A743">
        <f>Arrivals!A743</f>
        <v>7</v>
      </c>
      <c r="B743">
        <f>Arrivals!B743</f>
        <v>18</v>
      </c>
      <c r="C743" s="6">
        <f>Arrivals!F743</f>
        <v>217</v>
      </c>
      <c r="D743" s="6">
        <f>Arrivals!J743</f>
        <v>33.66597451788514</v>
      </c>
      <c r="E743" s="6">
        <f t="shared" si="243"/>
        <v>268.4548482438953</v>
      </c>
      <c r="F743" s="6">
        <f t="shared" si="234"/>
        <v>268.4548482438953</v>
      </c>
      <c r="G743" s="6">
        <f t="shared" si="235"/>
        <v>302.12082276178046</v>
      </c>
      <c r="H743" s="6">
        <f>Arrivals!L743</f>
        <v>75</v>
      </c>
      <c r="I743" s="6">
        <f>H743*8/ACE_Input!S23+ACE_Input!T23</f>
        <v>6.02</v>
      </c>
      <c r="J743" s="6">
        <f t="shared" si="244"/>
        <v>275.8473890698001</v>
      </c>
      <c r="K743" s="6">
        <f t="shared" si="236"/>
        <v>302.12082276178046</v>
      </c>
      <c r="L743" s="6">
        <f>MOD(K743-Settings!$B$32,Settings!$B$33)</f>
        <v>302.12082276178046</v>
      </c>
      <c r="M743" s="6">
        <f>IF(L743&lt;Settings!$B$30,IF(Settings!$B$30-L743&gt;=I743,K743,K743+(Settings!$B$30-L743)+Settings!$B$31),K743+(Settings!$B$33-L743))</f>
        <v>302.12082276178046</v>
      </c>
      <c r="N743" s="6">
        <f t="shared" si="237"/>
        <v>308.14082276178044</v>
      </c>
      <c r="O743" s="6">
        <f t="shared" si="238"/>
        <v>91.140822761780441</v>
      </c>
      <c r="P743" s="6">
        <f t="shared" si="239"/>
        <v>51.454848243895299</v>
      </c>
      <c r="Q743" s="6">
        <f t="shared" si="240"/>
        <v>0</v>
      </c>
      <c r="R743" s="6">
        <f t="shared" si="241"/>
        <v>0</v>
      </c>
      <c r="S743" s="6">
        <f t="shared" si="242"/>
        <v>51.454848243895299</v>
      </c>
      <c r="T743" s="6" t="str">
        <f>IF(MOD(C743-Settings!$B$32,Settings!$B$33)&lt;Settings!$B$30,"Up","Down")</f>
        <v>Up</v>
      </c>
      <c r="U743" s="6">
        <f>IF(OR(I743&gt;Settings!$B$30,O743&gt;Settings!$B$37),0,1)</f>
        <v>1</v>
      </c>
      <c r="V743" s="6">
        <f>IF(AND(U743=1,O743&lt;=Settings!$B$36),1,0)</f>
        <v>1</v>
      </c>
    </row>
    <row r="744" spans="1:22" x14ac:dyDescent="0.2">
      <c r="A744">
        <f>Arrivals!A744</f>
        <v>7</v>
      </c>
      <c r="B744">
        <f>Arrivals!B744</f>
        <v>19</v>
      </c>
      <c r="C744" s="6">
        <f>Arrivals!F744</f>
        <v>222</v>
      </c>
      <c r="D744" s="6">
        <f>Arrivals!J744</f>
        <v>10.096427309019958</v>
      </c>
      <c r="E744" s="6">
        <f t="shared" si="243"/>
        <v>302.12082276178046</v>
      </c>
      <c r="F744" s="6">
        <f t="shared" si="234"/>
        <v>302.12082276178046</v>
      </c>
      <c r="G744" s="6">
        <f t="shared" si="235"/>
        <v>312.21725007080045</v>
      </c>
      <c r="H744" s="6">
        <f>Arrivals!L744</f>
        <v>75</v>
      </c>
      <c r="I744" s="6">
        <f>H744*8/ACE_Input!S24+ACE_Input!T24</f>
        <v>6.02</v>
      </c>
      <c r="J744" s="6">
        <f t="shared" si="244"/>
        <v>308.14082276178044</v>
      </c>
      <c r="K744" s="6">
        <f t="shared" si="236"/>
        <v>312.21725007080045</v>
      </c>
      <c r="L744" s="6">
        <f>MOD(K744-Settings!$B$32,Settings!$B$33)</f>
        <v>312.21725007080045</v>
      </c>
      <c r="M744" s="6">
        <f>IF(L744&lt;Settings!$B$30,IF(Settings!$B$30-L744&gt;=I744,K744,K744+(Settings!$B$30-L744)+Settings!$B$31),K744+(Settings!$B$33-L744))</f>
        <v>312.21725007080045</v>
      </c>
      <c r="N744" s="6">
        <f t="shared" si="237"/>
        <v>318.23725007080043</v>
      </c>
      <c r="O744" s="6">
        <f t="shared" si="238"/>
        <v>96.237250070800428</v>
      </c>
      <c r="P744" s="6">
        <f t="shared" si="239"/>
        <v>80.12082276178046</v>
      </c>
      <c r="Q744" s="6">
        <f t="shared" si="240"/>
        <v>0</v>
      </c>
      <c r="R744" s="6">
        <f t="shared" si="241"/>
        <v>0</v>
      </c>
      <c r="S744" s="6">
        <f t="shared" si="242"/>
        <v>80.12082276178046</v>
      </c>
      <c r="T744" s="6" t="str">
        <f>IF(MOD(C744-Settings!$B$32,Settings!$B$33)&lt;Settings!$B$30,"Up","Down")</f>
        <v>Up</v>
      </c>
      <c r="U744" s="6">
        <f>IF(OR(I744&gt;Settings!$B$30,O744&gt;Settings!$B$37),0,1)</f>
        <v>1</v>
      </c>
      <c r="V744" s="6">
        <f>IF(AND(U744=1,O744&lt;=Settings!$B$36),1,0)</f>
        <v>1</v>
      </c>
    </row>
    <row r="745" spans="1:22" x14ac:dyDescent="0.2">
      <c r="A745">
        <f>Arrivals!A745</f>
        <v>7</v>
      </c>
      <c r="B745">
        <f>Arrivals!B745</f>
        <v>20</v>
      </c>
      <c r="C745" s="6">
        <f>Arrivals!F745</f>
        <v>227</v>
      </c>
      <c r="D745" s="6">
        <f>Arrivals!J745</f>
        <v>2.194865716961476</v>
      </c>
      <c r="E745" s="6">
        <f t="shared" si="243"/>
        <v>312.21725007080045</v>
      </c>
      <c r="F745" s="6">
        <f t="shared" si="234"/>
        <v>312.21725007080045</v>
      </c>
      <c r="G745" s="6">
        <f t="shared" si="235"/>
        <v>314.41211578776193</v>
      </c>
      <c r="H745" s="6">
        <f>Arrivals!L745</f>
        <v>75</v>
      </c>
      <c r="I745" s="6">
        <f>H745*8/ACE_Input!S25+ACE_Input!T25</f>
        <v>6.02</v>
      </c>
      <c r="J745" s="6">
        <f t="shared" si="244"/>
        <v>318.23725007080043</v>
      </c>
      <c r="K745" s="6">
        <f t="shared" si="236"/>
        <v>318.23725007080043</v>
      </c>
      <c r="L745" s="6">
        <f>MOD(K745-Settings!$B$32,Settings!$B$33)</f>
        <v>318.23725007080043</v>
      </c>
      <c r="M745" s="6">
        <f>IF(L745&lt;Settings!$B$30,IF(Settings!$B$30-L745&gt;=I745,K745,K745+(Settings!$B$30-L745)+Settings!$B$31),K745+(Settings!$B$33-L745))</f>
        <v>318.23725007080043</v>
      </c>
      <c r="N745" s="6">
        <f t="shared" si="237"/>
        <v>324.25725007080041</v>
      </c>
      <c r="O745" s="6">
        <f t="shared" si="238"/>
        <v>97.25725007080041</v>
      </c>
      <c r="P745" s="6">
        <f t="shared" si="239"/>
        <v>85.217250070800446</v>
      </c>
      <c r="Q745" s="6">
        <f t="shared" si="240"/>
        <v>3.8251342830384942</v>
      </c>
      <c r="R745" s="6">
        <f t="shared" si="241"/>
        <v>0</v>
      </c>
      <c r="S745" s="6">
        <f t="shared" si="242"/>
        <v>89.042384353838941</v>
      </c>
      <c r="T745" s="6" t="str">
        <f>IF(MOD(C745-Settings!$B$32,Settings!$B$33)&lt;Settings!$B$30,"Up","Down")</f>
        <v>Up</v>
      </c>
      <c r="U745" s="6">
        <f>IF(OR(I745&gt;Settings!$B$30,O745&gt;Settings!$B$37),0,1)</f>
        <v>1</v>
      </c>
      <c r="V745" s="6">
        <f>IF(AND(U745=1,O745&lt;=Settings!$B$36),1,0)</f>
        <v>1</v>
      </c>
    </row>
    <row r="746" spans="1:22" x14ac:dyDescent="0.2">
      <c r="A746">
        <f>Arrivals!A746</f>
        <v>7</v>
      </c>
      <c r="B746">
        <f>Arrivals!B746</f>
        <v>21</v>
      </c>
      <c r="C746" s="6">
        <f>Arrivals!F746</f>
        <v>232</v>
      </c>
      <c r="D746" s="6">
        <f>Arrivals!J746</f>
        <v>5.03282626590536</v>
      </c>
      <c r="E746" s="6">
        <f t="shared" si="243"/>
        <v>314.41211578776193</v>
      </c>
      <c r="F746" s="6">
        <f t="shared" si="234"/>
        <v>314.41211578776193</v>
      </c>
      <c r="G746" s="6">
        <f t="shared" si="235"/>
        <v>319.44494205366732</v>
      </c>
      <c r="H746" s="6">
        <f>Arrivals!L746</f>
        <v>75</v>
      </c>
      <c r="I746" s="6">
        <f>H746*8/ACE_Input!S26+ACE_Input!T26</f>
        <v>6.02</v>
      </c>
      <c r="J746" s="6">
        <f t="shared" si="244"/>
        <v>324.25725007080041</v>
      </c>
      <c r="K746" s="6">
        <f t="shared" si="236"/>
        <v>324.25725007080041</v>
      </c>
      <c r="L746" s="6">
        <f>MOD(K746-Settings!$B$32,Settings!$B$33)</f>
        <v>324.25725007080041</v>
      </c>
      <c r="M746" s="6">
        <f>IF(L746&lt;Settings!$B$30,IF(Settings!$B$30-L746&gt;=I746,K746,K746+(Settings!$B$30-L746)+Settings!$B$31),K746+(Settings!$B$33-L746))</f>
        <v>324.25725007080041</v>
      </c>
      <c r="N746" s="6">
        <f t="shared" si="237"/>
        <v>330.27725007080039</v>
      </c>
      <c r="O746" s="6">
        <f t="shared" si="238"/>
        <v>98.277250070800392</v>
      </c>
      <c r="P746" s="6">
        <f t="shared" si="239"/>
        <v>82.412115787761934</v>
      </c>
      <c r="Q746" s="6">
        <f t="shared" si="240"/>
        <v>4.8123080171330912</v>
      </c>
      <c r="R746" s="6">
        <f t="shared" si="241"/>
        <v>0</v>
      </c>
      <c r="S746" s="6">
        <f t="shared" si="242"/>
        <v>87.224423804895025</v>
      </c>
      <c r="T746" s="6" t="str">
        <f>IF(MOD(C746-Settings!$B$32,Settings!$B$33)&lt;Settings!$B$30,"Up","Down")</f>
        <v>Up</v>
      </c>
      <c r="U746" s="6">
        <f>IF(OR(I746&gt;Settings!$B$30,O746&gt;Settings!$B$37),0,1)</f>
        <v>1</v>
      </c>
      <c r="V746" s="6">
        <f>IF(AND(U746=1,O746&lt;=Settings!$B$36),1,0)</f>
        <v>1</v>
      </c>
    </row>
    <row r="747" spans="1:22" x14ac:dyDescent="0.2">
      <c r="A747">
        <f>Arrivals!A747</f>
        <v>7</v>
      </c>
      <c r="B747">
        <f>Arrivals!B747</f>
        <v>22</v>
      </c>
      <c r="C747" s="6">
        <f>Arrivals!F747</f>
        <v>237</v>
      </c>
      <c r="D747" s="6">
        <f>Arrivals!J747</f>
        <v>6.3418754520149268</v>
      </c>
      <c r="E747" s="6">
        <f t="shared" si="243"/>
        <v>319.44494205366732</v>
      </c>
      <c r="F747" s="6">
        <f t="shared" si="234"/>
        <v>319.44494205366732</v>
      </c>
      <c r="G747" s="6">
        <f t="shared" si="235"/>
        <v>325.78681750568222</v>
      </c>
      <c r="H747" s="6">
        <f>Arrivals!L747</f>
        <v>75</v>
      </c>
      <c r="I747" s="6">
        <f>H747*8/ACE_Input!S27+ACE_Input!T27</f>
        <v>6.02</v>
      </c>
      <c r="J747" s="6">
        <f t="shared" si="244"/>
        <v>330.27725007080039</v>
      </c>
      <c r="K747" s="6">
        <f t="shared" si="236"/>
        <v>330.27725007080039</v>
      </c>
      <c r="L747" s="6">
        <f>MOD(K747-Settings!$B$32,Settings!$B$33)</f>
        <v>330.27725007080039</v>
      </c>
      <c r="M747" s="6">
        <f>IF(L747&lt;Settings!$B$30,IF(Settings!$B$30-L747&gt;=I747,K747,K747+(Settings!$B$30-L747)+Settings!$B$31),K747+(Settings!$B$33-L747))</f>
        <v>330.27725007080039</v>
      </c>
      <c r="N747" s="6">
        <f t="shared" si="237"/>
        <v>336.29725007080037</v>
      </c>
      <c r="O747" s="6">
        <f t="shared" si="238"/>
        <v>99.297250070800374</v>
      </c>
      <c r="P747" s="6">
        <f t="shared" si="239"/>
        <v>82.444942053667319</v>
      </c>
      <c r="Q747" s="6">
        <f t="shared" si="240"/>
        <v>4.4904325651181694</v>
      </c>
      <c r="R747" s="6">
        <f t="shared" si="241"/>
        <v>0</v>
      </c>
      <c r="S747" s="6">
        <f t="shared" si="242"/>
        <v>86.935374618785488</v>
      </c>
      <c r="T747" s="6" t="str">
        <f>IF(MOD(C747-Settings!$B$32,Settings!$B$33)&lt;Settings!$B$30,"Up","Down")</f>
        <v>Up</v>
      </c>
      <c r="U747" s="6">
        <f>IF(OR(I747&gt;Settings!$B$30,O747&gt;Settings!$B$37),0,1)</f>
        <v>1</v>
      </c>
      <c r="V747" s="6">
        <f>IF(AND(U747=1,O747&lt;=Settings!$B$36),1,0)</f>
        <v>1</v>
      </c>
    </row>
    <row r="748" spans="1:22" x14ac:dyDescent="0.2">
      <c r="A748">
        <f>Arrivals!A748</f>
        <v>7</v>
      </c>
      <c r="B748">
        <f>Arrivals!B748</f>
        <v>23</v>
      </c>
      <c r="C748" s="6">
        <f>Arrivals!F748</f>
        <v>242</v>
      </c>
      <c r="D748" s="6">
        <f>Arrivals!J748</f>
        <v>5.4171669992023235</v>
      </c>
      <c r="E748" s="6">
        <f t="shared" si="243"/>
        <v>325.78681750568222</v>
      </c>
      <c r="F748" s="6">
        <f t="shared" si="234"/>
        <v>325.78681750568222</v>
      </c>
      <c r="G748" s="6">
        <f t="shared" si="235"/>
        <v>331.20398450488455</v>
      </c>
      <c r="H748" s="6">
        <f>Arrivals!L748</f>
        <v>75</v>
      </c>
      <c r="I748" s="6">
        <f>H748*8/ACE_Input!S28+ACE_Input!T28</f>
        <v>6.02</v>
      </c>
      <c r="J748" s="6">
        <f t="shared" si="244"/>
        <v>336.29725007080037</v>
      </c>
      <c r="K748" s="6">
        <f t="shared" si="236"/>
        <v>336.29725007080037</v>
      </c>
      <c r="L748" s="6">
        <f>MOD(K748-Settings!$B$32,Settings!$B$33)</f>
        <v>336.29725007080037</v>
      </c>
      <c r="M748" s="6">
        <f>IF(L748&lt;Settings!$B$30,IF(Settings!$B$30-L748&gt;=I748,K748,K748+(Settings!$B$30-L748)+Settings!$B$31),K748+(Settings!$B$33-L748))</f>
        <v>336.29725007080037</v>
      </c>
      <c r="N748" s="6">
        <f t="shared" si="237"/>
        <v>342.31725007080036</v>
      </c>
      <c r="O748" s="6">
        <f t="shared" si="238"/>
        <v>100.31725007080036</v>
      </c>
      <c r="P748" s="6">
        <f t="shared" si="239"/>
        <v>83.786817505682222</v>
      </c>
      <c r="Q748" s="6">
        <f t="shared" si="240"/>
        <v>5.0932655659158286</v>
      </c>
      <c r="R748" s="6">
        <f t="shared" si="241"/>
        <v>0</v>
      </c>
      <c r="S748" s="6">
        <f t="shared" si="242"/>
        <v>88.880083071598051</v>
      </c>
      <c r="T748" s="6" t="str">
        <f>IF(MOD(C748-Settings!$B$32,Settings!$B$33)&lt;Settings!$B$30,"Up","Down")</f>
        <v>Up</v>
      </c>
      <c r="U748" s="6">
        <f>IF(OR(I748&gt;Settings!$B$30,O748&gt;Settings!$B$37),0,1)</f>
        <v>1</v>
      </c>
      <c r="V748" s="6">
        <f>IF(AND(U748=1,O748&lt;=Settings!$B$36),1,0)</f>
        <v>1</v>
      </c>
    </row>
    <row r="749" spans="1:22" x14ac:dyDescent="0.2">
      <c r="A749">
        <f>Arrivals!A749</f>
        <v>7</v>
      </c>
      <c r="B749">
        <f>Arrivals!B749</f>
        <v>24</v>
      </c>
      <c r="C749" s="6">
        <f>Arrivals!F749</f>
        <v>247</v>
      </c>
      <c r="D749" s="6">
        <f>Arrivals!J749</f>
        <v>14.596869098622777</v>
      </c>
      <c r="E749" s="6">
        <f t="shared" si="243"/>
        <v>331.20398450488455</v>
      </c>
      <c r="F749" s="6">
        <f t="shared" si="234"/>
        <v>331.20398450488455</v>
      </c>
      <c r="G749" s="6">
        <f t="shared" si="235"/>
        <v>345.80085360350733</v>
      </c>
      <c r="H749" s="6">
        <f>Arrivals!L749</f>
        <v>75</v>
      </c>
      <c r="I749" s="6">
        <f>H749*8/ACE_Input!S29+ACE_Input!T29</f>
        <v>6.02</v>
      </c>
      <c r="J749" s="6">
        <f t="shared" si="244"/>
        <v>342.31725007080036</v>
      </c>
      <c r="K749" s="6">
        <f t="shared" si="236"/>
        <v>345.80085360350733</v>
      </c>
      <c r="L749" s="6">
        <f>MOD(K749-Settings!$B$32,Settings!$B$33)</f>
        <v>345.80085360350733</v>
      </c>
      <c r="M749" s="6">
        <f>IF(L749&lt;Settings!$B$30,IF(Settings!$B$30-L749&gt;=I749,K749,K749+(Settings!$B$30-L749)+Settings!$B$31),K749+(Settings!$B$33-L749))</f>
        <v>345.80085360350733</v>
      </c>
      <c r="N749" s="6">
        <f t="shared" si="237"/>
        <v>351.82085360350732</v>
      </c>
      <c r="O749" s="6">
        <f t="shared" si="238"/>
        <v>104.82085360350732</v>
      </c>
      <c r="P749" s="6">
        <f t="shared" si="239"/>
        <v>84.203984504884545</v>
      </c>
      <c r="Q749" s="6">
        <f t="shared" si="240"/>
        <v>0</v>
      </c>
      <c r="R749" s="6">
        <f t="shared" si="241"/>
        <v>0</v>
      </c>
      <c r="S749" s="6">
        <f t="shared" si="242"/>
        <v>84.203984504884545</v>
      </c>
      <c r="T749" s="6" t="str">
        <f>IF(MOD(C749-Settings!$B$32,Settings!$B$33)&lt;Settings!$B$30,"Up","Down")</f>
        <v>Up</v>
      </c>
      <c r="U749" s="6">
        <f>IF(OR(I749&gt;Settings!$B$30,O749&gt;Settings!$B$37),0,1)</f>
        <v>1</v>
      </c>
      <c r="V749" s="6">
        <f>IF(AND(U749=1,O749&lt;=Settings!$B$36),1,0)</f>
        <v>1</v>
      </c>
    </row>
    <row r="750" spans="1:22" x14ac:dyDescent="0.2">
      <c r="A750">
        <f>Arrivals!A750</f>
        <v>7</v>
      </c>
      <c r="B750">
        <f>Arrivals!B750</f>
        <v>25</v>
      </c>
      <c r="C750" s="6">
        <f>Arrivals!F750</f>
        <v>252</v>
      </c>
      <c r="D750" s="6">
        <f>Arrivals!J750</f>
        <v>2.6793295803022055</v>
      </c>
      <c r="E750" s="6">
        <f t="shared" si="243"/>
        <v>345.80085360350733</v>
      </c>
      <c r="F750" s="6">
        <f t="shared" si="234"/>
        <v>345.80085360350733</v>
      </c>
      <c r="G750" s="6">
        <f t="shared" si="235"/>
        <v>348.48018318380952</v>
      </c>
      <c r="H750" s="6">
        <f>Arrivals!L750</f>
        <v>75</v>
      </c>
      <c r="I750" s="6">
        <f>H750*8/ACE_Input!S30+ACE_Input!T30</f>
        <v>6.02</v>
      </c>
      <c r="J750" s="6">
        <f t="shared" si="244"/>
        <v>351.82085360350732</v>
      </c>
      <c r="K750" s="6">
        <f t="shared" si="236"/>
        <v>351.82085360350732</v>
      </c>
      <c r="L750" s="6">
        <f>MOD(K750-Settings!$B$32,Settings!$B$33)</f>
        <v>351.82085360350732</v>
      </c>
      <c r="M750" s="6">
        <f>IF(L750&lt;Settings!$B$30,IF(Settings!$B$30-L750&gt;=I750,K750,K750+(Settings!$B$30-L750)+Settings!$B$31),K750+(Settings!$B$33-L750))</f>
        <v>351.82085360350732</v>
      </c>
      <c r="N750" s="6">
        <f t="shared" si="237"/>
        <v>357.8408536035073</v>
      </c>
      <c r="O750" s="6">
        <f t="shared" si="238"/>
        <v>105.8408536035073</v>
      </c>
      <c r="P750" s="6">
        <f t="shared" si="239"/>
        <v>93.800853603507335</v>
      </c>
      <c r="Q750" s="6">
        <f t="shared" si="240"/>
        <v>3.3406704196978012</v>
      </c>
      <c r="R750" s="6">
        <f t="shared" si="241"/>
        <v>0</v>
      </c>
      <c r="S750" s="6">
        <f t="shared" si="242"/>
        <v>97.141524023205136</v>
      </c>
      <c r="T750" s="6" t="str">
        <f>IF(MOD(C750-Settings!$B$32,Settings!$B$33)&lt;Settings!$B$30,"Up","Down")</f>
        <v>Up</v>
      </c>
      <c r="U750" s="6">
        <f>IF(OR(I750&gt;Settings!$B$30,O750&gt;Settings!$B$37),0,1)</f>
        <v>1</v>
      </c>
      <c r="V750" s="6">
        <f>IF(AND(U750=1,O750&lt;=Settings!$B$36),1,0)</f>
        <v>1</v>
      </c>
    </row>
    <row r="751" spans="1:22" x14ac:dyDescent="0.2">
      <c r="A751">
        <f>Arrivals!A751</f>
        <v>7</v>
      </c>
      <c r="B751">
        <f>Arrivals!B751</f>
        <v>26</v>
      </c>
      <c r="C751" s="6">
        <f>Arrivals!F751</f>
        <v>257</v>
      </c>
      <c r="D751" s="6">
        <f>Arrivals!J751</f>
        <v>2.6841689240449793</v>
      </c>
      <c r="E751" s="6">
        <f t="shared" si="243"/>
        <v>348.48018318380952</v>
      </c>
      <c r="F751" s="6">
        <f t="shared" si="234"/>
        <v>348.48018318380952</v>
      </c>
      <c r="G751" s="6">
        <f t="shared" si="235"/>
        <v>351.16435210785448</v>
      </c>
      <c r="H751" s="6">
        <f>Arrivals!L751</f>
        <v>75</v>
      </c>
      <c r="I751" s="6">
        <f>H751*8/ACE_Input!S31+ACE_Input!T31</f>
        <v>6.02</v>
      </c>
      <c r="J751" s="6">
        <f t="shared" si="244"/>
        <v>357.8408536035073</v>
      </c>
      <c r="K751" s="6">
        <f t="shared" si="236"/>
        <v>357.8408536035073</v>
      </c>
      <c r="L751" s="6">
        <f>MOD(K751-Settings!$B$32,Settings!$B$33)</f>
        <v>357.8408536035073</v>
      </c>
      <c r="M751" s="6">
        <f>IF(L751&lt;Settings!$B$30,IF(Settings!$B$30-L751&gt;=I751,K751,K751+(Settings!$B$30-L751)+Settings!$B$31),K751+(Settings!$B$33-L751))</f>
        <v>357.8408536035073</v>
      </c>
      <c r="N751" s="6">
        <f t="shared" si="237"/>
        <v>363.86085360350728</v>
      </c>
      <c r="O751" s="6">
        <f t="shared" si="238"/>
        <v>106.86085360350728</v>
      </c>
      <c r="P751" s="6">
        <f t="shared" si="239"/>
        <v>91.480183183809515</v>
      </c>
      <c r="Q751" s="6">
        <f t="shared" si="240"/>
        <v>6.6765014956528148</v>
      </c>
      <c r="R751" s="6">
        <f t="shared" si="241"/>
        <v>0</v>
      </c>
      <c r="S751" s="6">
        <f t="shared" si="242"/>
        <v>98.15668467946233</v>
      </c>
      <c r="T751" s="6" t="str">
        <f>IF(MOD(C751-Settings!$B$32,Settings!$B$33)&lt;Settings!$B$30,"Up","Down")</f>
        <v>Up</v>
      </c>
      <c r="U751" s="6">
        <f>IF(OR(I751&gt;Settings!$B$30,O751&gt;Settings!$B$37),0,1)</f>
        <v>1</v>
      </c>
      <c r="V751" s="6">
        <f>IF(AND(U751=1,O751&lt;=Settings!$B$36),1,0)</f>
        <v>1</v>
      </c>
    </row>
    <row r="752" spans="1:22" x14ac:dyDescent="0.2">
      <c r="A752">
        <f>Arrivals!A752</f>
        <v>7</v>
      </c>
      <c r="B752">
        <f>Arrivals!B752</f>
        <v>27</v>
      </c>
      <c r="C752" s="6">
        <f>Arrivals!F752</f>
        <v>262</v>
      </c>
      <c r="D752" s="6">
        <f>Arrivals!J752</f>
        <v>11.640534791127276</v>
      </c>
      <c r="E752" s="6">
        <f t="shared" si="243"/>
        <v>351.16435210785448</v>
      </c>
      <c r="F752" s="6">
        <f t="shared" si="234"/>
        <v>351.16435210785448</v>
      </c>
      <c r="G752" s="6">
        <f t="shared" si="235"/>
        <v>362.80488689898175</v>
      </c>
      <c r="H752" s="6">
        <f>Arrivals!L752</f>
        <v>75</v>
      </c>
      <c r="I752" s="6">
        <f>H752*8/ACE_Input!S32+ACE_Input!T32</f>
        <v>6.02</v>
      </c>
      <c r="J752" s="6">
        <f t="shared" si="244"/>
        <v>363.86085360350728</v>
      </c>
      <c r="K752" s="6">
        <f t="shared" si="236"/>
        <v>363.86085360350728</v>
      </c>
      <c r="L752" s="6">
        <f>MOD(K752-Settings!$B$32,Settings!$B$33)</f>
        <v>363.86085360350728</v>
      </c>
      <c r="M752" s="6">
        <f>IF(L752&lt;Settings!$B$30,IF(Settings!$B$30-L752&gt;=I752,K752,K752+(Settings!$B$30-L752)+Settings!$B$31),K752+(Settings!$B$33-L752))</f>
        <v>363.86085360350728</v>
      </c>
      <c r="N752" s="6">
        <f t="shared" si="237"/>
        <v>369.88085360350726</v>
      </c>
      <c r="O752" s="6">
        <f t="shared" si="238"/>
        <v>107.88085360350726</v>
      </c>
      <c r="P752" s="6">
        <f t="shared" si="239"/>
        <v>89.164352107854484</v>
      </c>
      <c r="Q752" s="6">
        <f t="shared" si="240"/>
        <v>1.055966704525531</v>
      </c>
      <c r="R752" s="6">
        <f t="shared" si="241"/>
        <v>0</v>
      </c>
      <c r="S752" s="6">
        <f t="shared" si="242"/>
        <v>90.220318812380015</v>
      </c>
      <c r="T752" s="6" t="str">
        <f>IF(MOD(C752-Settings!$B$32,Settings!$B$33)&lt;Settings!$B$30,"Up","Down")</f>
        <v>Up</v>
      </c>
      <c r="U752" s="6">
        <f>IF(OR(I752&gt;Settings!$B$30,O752&gt;Settings!$B$37),0,1)</f>
        <v>1</v>
      </c>
      <c r="V752" s="6">
        <f>IF(AND(U752=1,O752&lt;=Settings!$B$36),1,0)</f>
        <v>1</v>
      </c>
    </row>
    <row r="753" spans="1:22" x14ac:dyDescent="0.2">
      <c r="A753">
        <f>Arrivals!A753</f>
        <v>7</v>
      </c>
      <c r="B753">
        <f>Arrivals!B753</f>
        <v>28</v>
      </c>
      <c r="C753" s="6">
        <f>Arrivals!F753</f>
        <v>268</v>
      </c>
      <c r="D753" s="6">
        <f>Arrivals!J753</f>
        <v>0.43141739797325607</v>
      </c>
      <c r="E753" s="6">
        <f t="shared" si="243"/>
        <v>362.80488689898175</v>
      </c>
      <c r="F753" s="6">
        <f t="shared" si="234"/>
        <v>362.80488689898175</v>
      </c>
      <c r="G753" s="6">
        <f t="shared" si="235"/>
        <v>363.23630429695498</v>
      </c>
      <c r="H753" s="6">
        <f>Arrivals!L753</f>
        <v>75</v>
      </c>
      <c r="I753" s="6">
        <f>H753*8/ACE_Input!S33+ACE_Input!T33</f>
        <v>6.02</v>
      </c>
      <c r="J753" s="6">
        <f t="shared" si="244"/>
        <v>369.88085360350726</v>
      </c>
      <c r="K753" s="6">
        <f t="shared" si="236"/>
        <v>369.88085360350726</v>
      </c>
      <c r="L753" s="6">
        <f>MOD(K753-Settings!$B$32,Settings!$B$33)</f>
        <v>369.88085360350726</v>
      </c>
      <c r="M753" s="6">
        <f>IF(L753&lt;Settings!$B$30,IF(Settings!$B$30-L753&gt;=I753,K753,K753+(Settings!$B$30-L753)+Settings!$B$31),K753+(Settings!$B$33-L753))</f>
        <v>369.88085360350726</v>
      </c>
      <c r="N753" s="6">
        <f t="shared" si="237"/>
        <v>375.90085360350724</v>
      </c>
      <c r="O753" s="6">
        <f t="shared" si="238"/>
        <v>107.90085360350724</v>
      </c>
      <c r="P753" s="6">
        <f t="shared" si="239"/>
        <v>94.804886898981749</v>
      </c>
      <c r="Q753" s="6">
        <f t="shared" si="240"/>
        <v>6.6445493065522783</v>
      </c>
      <c r="R753" s="6">
        <f t="shared" si="241"/>
        <v>0</v>
      </c>
      <c r="S753" s="6">
        <f t="shared" si="242"/>
        <v>101.44943620553403</v>
      </c>
      <c r="T753" s="6" t="str">
        <f>IF(MOD(C753-Settings!$B$32,Settings!$B$33)&lt;Settings!$B$30,"Up","Down")</f>
        <v>Up</v>
      </c>
      <c r="U753" s="6">
        <f>IF(OR(I753&gt;Settings!$B$30,O753&gt;Settings!$B$37),0,1)</f>
        <v>1</v>
      </c>
      <c r="V753" s="6">
        <f>IF(AND(U753=1,O753&lt;=Settings!$B$36),1,0)</f>
        <v>1</v>
      </c>
    </row>
    <row r="754" spans="1:22" x14ac:dyDescent="0.2">
      <c r="A754">
        <f>Arrivals!A754</f>
        <v>7</v>
      </c>
      <c r="B754">
        <f>Arrivals!B754</f>
        <v>29</v>
      </c>
      <c r="C754" s="6">
        <f>Arrivals!F754</f>
        <v>273</v>
      </c>
      <c r="D754" s="6">
        <f>Arrivals!J754</f>
        <v>8.4005762232392449</v>
      </c>
      <c r="E754" s="6">
        <f t="shared" si="243"/>
        <v>363.23630429695498</v>
      </c>
      <c r="F754" s="6">
        <f t="shared" si="234"/>
        <v>363.23630429695498</v>
      </c>
      <c r="G754" s="6">
        <f t="shared" si="235"/>
        <v>371.63688052019421</v>
      </c>
      <c r="H754" s="6">
        <f>Arrivals!L754</f>
        <v>75</v>
      </c>
      <c r="I754" s="6">
        <f>H754*8/ACE_Input!S34+ACE_Input!T34</f>
        <v>6.02</v>
      </c>
      <c r="J754" s="6">
        <f t="shared" si="244"/>
        <v>375.90085360350724</v>
      </c>
      <c r="K754" s="6">
        <f t="shared" si="236"/>
        <v>375.90085360350724</v>
      </c>
      <c r="L754" s="6">
        <f>MOD(K754-Settings!$B$32,Settings!$B$33)</f>
        <v>375.90085360350724</v>
      </c>
      <c r="M754" s="6">
        <f>IF(L754&lt;Settings!$B$30,IF(Settings!$B$30-L754&gt;=I754,K754,K754+(Settings!$B$30-L754)+Settings!$B$31),K754+(Settings!$B$33-L754))</f>
        <v>375.90085360350724</v>
      </c>
      <c r="N754" s="6">
        <f t="shared" si="237"/>
        <v>381.92085360350723</v>
      </c>
      <c r="O754" s="6">
        <f t="shared" si="238"/>
        <v>108.92085360350723</v>
      </c>
      <c r="P754" s="6">
        <f t="shared" si="239"/>
        <v>90.236304296954984</v>
      </c>
      <c r="Q754" s="6">
        <f t="shared" si="240"/>
        <v>4.2639730833130329</v>
      </c>
      <c r="R754" s="6">
        <f t="shared" si="241"/>
        <v>0</v>
      </c>
      <c r="S754" s="6">
        <f t="shared" si="242"/>
        <v>94.500277380268017</v>
      </c>
      <c r="T754" s="6" t="str">
        <f>IF(MOD(C754-Settings!$B$32,Settings!$B$33)&lt;Settings!$B$30,"Up","Down")</f>
        <v>Up</v>
      </c>
      <c r="U754" s="6">
        <f>IF(OR(I754&gt;Settings!$B$30,O754&gt;Settings!$B$37),0,1)</f>
        <v>1</v>
      </c>
      <c r="V754" s="6">
        <f>IF(AND(U754=1,O754&lt;=Settings!$B$36),1,0)</f>
        <v>1</v>
      </c>
    </row>
    <row r="755" spans="1:22" x14ac:dyDescent="0.2">
      <c r="A755">
        <f>Arrivals!A755</f>
        <v>7</v>
      </c>
      <c r="B755">
        <f>Arrivals!B755</f>
        <v>30</v>
      </c>
      <c r="C755" s="6">
        <f>Arrivals!F755</f>
        <v>278</v>
      </c>
      <c r="D755" s="6">
        <f>Arrivals!J755</f>
        <v>4.136246091265539</v>
      </c>
      <c r="E755" s="6">
        <f t="shared" si="243"/>
        <v>371.63688052019421</v>
      </c>
      <c r="F755" s="6">
        <f t="shared" si="234"/>
        <v>371.63688052019421</v>
      </c>
      <c r="G755" s="6">
        <f t="shared" si="235"/>
        <v>375.77312661145976</v>
      </c>
      <c r="H755" s="6">
        <f>Arrivals!L755</f>
        <v>75</v>
      </c>
      <c r="I755" s="6">
        <f>H755*8/ACE_Input!S35+ACE_Input!T35</f>
        <v>6.02</v>
      </c>
      <c r="J755" s="6">
        <f t="shared" si="244"/>
        <v>381.92085360350723</v>
      </c>
      <c r="K755" s="6">
        <f t="shared" si="236"/>
        <v>381.92085360350723</v>
      </c>
      <c r="L755" s="6">
        <f>MOD(K755-Settings!$B$32,Settings!$B$33)</f>
        <v>381.92085360350723</v>
      </c>
      <c r="M755" s="6">
        <f>IF(L755&lt;Settings!$B$30,IF(Settings!$B$30-L755&gt;=I755,K755,K755+(Settings!$B$30-L755)+Settings!$B$31),K755+(Settings!$B$33-L755))</f>
        <v>381.92085360350723</v>
      </c>
      <c r="N755" s="6">
        <f t="shared" si="237"/>
        <v>387.94085360350721</v>
      </c>
      <c r="O755" s="6">
        <f t="shared" si="238"/>
        <v>109.94085360350721</v>
      </c>
      <c r="P755" s="6">
        <f t="shared" si="239"/>
        <v>93.636880520194211</v>
      </c>
      <c r="Q755" s="6">
        <f t="shared" si="240"/>
        <v>6.1477269920474669</v>
      </c>
      <c r="R755" s="6">
        <f t="shared" si="241"/>
        <v>0</v>
      </c>
      <c r="S755" s="6">
        <f t="shared" si="242"/>
        <v>99.784607512241678</v>
      </c>
      <c r="T755" s="6" t="str">
        <f>IF(MOD(C755-Settings!$B$32,Settings!$B$33)&lt;Settings!$B$30,"Up","Down")</f>
        <v>Up</v>
      </c>
      <c r="U755" s="6">
        <f>IF(OR(I755&gt;Settings!$B$30,O755&gt;Settings!$B$37),0,1)</f>
        <v>1</v>
      </c>
      <c r="V755" s="6">
        <f>IF(AND(U755=1,O755&lt;=Settings!$B$36),1,0)</f>
        <v>1</v>
      </c>
    </row>
    <row r="756" spans="1:22" x14ac:dyDescent="0.2">
      <c r="A756">
        <f>Arrivals!A756</f>
        <v>7</v>
      </c>
      <c r="B756">
        <f>Arrivals!B756</f>
        <v>31</v>
      </c>
      <c r="C756" s="6">
        <f>Arrivals!F756</f>
        <v>283</v>
      </c>
      <c r="D756" s="6">
        <f>Arrivals!J756</f>
        <v>2.9255677067663659</v>
      </c>
      <c r="E756" s="6">
        <f t="shared" si="243"/>
        <v>375.77312661145976</v>
      </c>
      <c r="F756" s="6">
        <f t="shared" si="234"/>
        <v>375.77312661145976</v>
      </c>
      <c r="G756" s="6">
        <f t="shared" si="235"/>
        <v>378.6986943182261</v>
      </c>
      <c r="H756" s="6">
        <f>Arrivals!L756</f>
        <v>75</v>
      </c>
      <c r="I756" s="6">
        <f>H756*8/ACE_Input!S36+ACE_Input!T36</f>
        <v>6.02</v>
      </c>
      <c r="J756" s="6">
        <f t="shared" si="244"/>
        <v>387.94085360350721</v>
      </c>
      <c r="K756" s="6">
        <f t="shared" si="236"/>
        <v>387.94085360350721</v>
      </c>
      <c r="L756" s="6">
        <f>MOD(K756-Settings!$B$32,Settings!$B$33)</f>
        <v>387.94085360350721</v>
      </c>
      <c r="M756" s="6">
        <f>IF(L756&lt;Settings!$B$30,IF(Settings!$B$30-L756&gt;=I756,K756,K756+(Settings!$B$30-L756)+Settings!$B$31),K756+(Settings!$B$33-L756))</f>
        <v>387.94085360350721</v>
      </c>
      <c r="N756" s="6">
        <f t="shared" si="237"/>
        <v>393.96085360350719</v>
      </c>
      <c r="O756" s="6">
        <f t="shared" si="238"/>
        <v>110.96085360350719</v>
      </c>
      <c r="P756" s="6">
        <f t="shared" si="239"/>
        <v>92.773126611459759</v>
      </c>
      <c r="Q756" s="6">
        <f t="shared" si="240"/>
        <v>9.2421592852811045</v>
      </c>
      <c r="R756" s="6">
        <f t="shared" si="241"/>
        <v>0</v>
      </c>
      <c r="S756" s="6">
        <f t="shared" si="242"/>
        <v>102.01528589674086</v>
      </c>
      <c r="T756" s="6" t="str">
        <f>IF(MOD(C756-Settings!$B$32,Settings!$B$33)&lt;Settings!$B$30,"Up","Down")</f>
        <v>Up</v>
      </c>
      <c r="U756" s="6">
        <f>IF(OR(I756&gt;Settings!$B$30,O756&gt;Settings!$B$37),0,1)</f>
        <v>1</v>
      </c>
      <c r="V756" s="6">
        <f>IF(AND(U756=1,O756&lt;=Settings!$B$36),1,0)</f>
        <v>1</v>
      </c>
    </row>
    <row r="757" spans="1:22" x14ac:dyDescent="0.2">
      <c r="A757">
        <f>Arrivals!A757</f>
        <v>7</v>
      </c>
      <c r="B757">
        <f>Arrivals!B757</f>
        <v>32</v>
      </c>
      <c r="C757" s="6">
        <f>Arrivals!F757</f>
        <v>288</v>
      </c>
      <c r="D757" s="6">
        <f>Arrivals!J757</f>
        <v>3.5164920292845041</v>
      </c>
      <c r="E757" s="6">
        <f t="shared" si="243"/>
        <v>378.6986943182261</v>
      </c>
      <c r="F757" s="6">
        <f t="shared" si="234"/>
        <v>378.6986943182261</v>
      </c>
      <c r="G757" s="6">
        <f t="shared" si="235"/>
        <v>382.21518634751061</v>
      </c>
      <c r="H757" s="6">
        <f>Arrivals!L757</f>
        <v>75</v>
      </c>
      <c r="I757" s="6">
        <f>H757*8/ACE_Input!S37+ACE_Input!T37</f>
        <v>6.02</v>
      </c>
      <c r="J757" s="6">
        <f t="shared" si="244"/>
        <v>393.96085360350719</v>
      </c>
      <c r="K757" s="6">
        <f t="shared" si="236"/>
        <v>393.96085360350719</v>
      </c>
      <c r="L757" s="6">
        <f>MOD(K757-Settings!$B$32,Settings!$B$33)</f>
        <v>393.96085360350719</v>
      </c>
      <c r="M757" s="6">
        <f>IF(L757&lt;Settings!$B$30,IF(Settings!$B$30-L757&gt;=I757,K757,K757+(Settings!$B$30-L757)+Settings!$B$31),K757+(Settings!$B$33-L757))</f>
        <v>393.96085360350719</v>
      </c>
      <c r="N757" s="6">
        <f t="shared" si="237"/>
        <v>399.98085360350717</v>
      </c>
      <c r="O757" s="6">
        <f t="shared" si="238"/>
        <v>111.98085360350717</v>
      </c>
      <c r="P757" s="6">
        <f t="shared" si="239"/>
        <v>90.698694318226103</v>
      </c>
      <c r="Q757" s="6">
        <f t="shared" si="240"/>
        <v>11.74566725599658</v>
      </c>
      <c r="R757" s="6">
        <f t="shared" si="241"/>
        <v>0</v>
      </c>
      <c r="S757" s="6">
        <f t="shared" si="242"/>
        <v>102.44436157422268</v>
      </c>
      <c r="T757" s="6" t="str">
        <f>IF(MOD(C757-Settings!$B$32,Settings!$B$33)&lt;Settings!$B$30,"Up","Down")</f>
        <v>Up</v>
      </c>
      <c r="U757" s="6">
        <f>IF(OR(I757&gt;Settings!$B$30,O757&gt;Settings!$B$37),0,1)</f>
        <v>1</v>
      </c>
      <c r="V757" s="6">
        <f>IF(AND(U757=1,O757&lt;=Settings!$B$36),1,0)</f>
        <v>1</v>
      </c>
    </row>
    <row r="758" spans="1:22" x14ac:dyDescent="0.2">
      <c r="A758">
        <f>Arrivals!A758</f>
        <v>7</v>
      </c>
      <c r="B758">
        <f>Arrivals!B758</f>
        <v>33</v>
      </c>
      <c r="C758" s="6">
        <f>Arrivals!F758</f>
        <v>293</v>
      </c>
      <c r="D758" s="6">
        <f>Arrivals!J758</f>
        <v>1.533666636704091</v>
      </c>
      <c r="E758" s="6">
        <f t="shared" si="243"/>
        <v>382.21518634751061</v>
      </c>
      <c r="F758" s="6">
        <f t="shared" ref="F758:F789" si="245">MAX(C758,E758)</f>
        <v>382.21518634751061</v>
      </c>
      <c r="G758" s="6">
        <f t="shared" ref="G758:G789" si="246">F758+D758</f>
        <v>383.74885298421469</v>
      </c>
      <c r="H758" s="6">
        <f>Arrivals!L758</f>
        <v>75</v>
      </c>
      <c r="I758" s="6">
        <f>H758*8/ACE_Input!S38+ACE_Input!T38</f>
        <v>6.02</v>
      </c>
      <c r="J758" s="6">
        <f t="shared" si="244"/>
        <v>399.98085360350717</v>
      </c>
      <c r="K758" s="6">
        <f t="shared" ref="K758:K789" si="247">MAX(G758,J758)</f>
        <v>399.98085360350717</v>
      </c>
      <c r="L758" s="6">
        <f>MOD(K758-Settings!$B$32,Settings!$B$33)</f>
        <v>399.98085360350717</v>
      </c>
      <c r="M758" s="6">
        <f>IF(L758&lt;Settings!$B$30,IF(Settings!$B$30-L758&gt;=I758,K758,K758+(Settings!$B$30-L758)+Settings!$B$31),K758+(Settings!$B$33-L758))</f>
        <v>399.98085360350717</v>
      </c>
      <c r="N758" s="6">
        <f t="shared" ref="N758:N789" si="248">M758+I758</f>
        <v>406.00085360350715</v>
      </c>
      <c r="O758" s="6">
        <f t="shared" ref="O758:O789" si="249">N758-C758</f>
        <v>113.00085360350715</v>
      </c>
      <c r="P758" s="6">
        <f t="shared" ref="P758:P789" si="250">F758-C758</f>
        <v>89.21518634751061</v>
      </c>
      <c r="Q758" s="6">
        <f t="shared" ref="Q758:Q789" si="251">K758-G758</f>
        <v>16.232000619292478</v>
      </c>
      <c r="R758" s="6">
        <f t="shared" ref="R758:R789" si="252">M758-K758</f>
        <v>0</v>
      </c>
      <c r="S758" s="6">
        <f t="shared" ref="S758:S789" si="253">P758+Q758+R758</f>
        <v>105.44718696680309</v>
      </c>
      <c r="T758" s="6" t="str">
        <f>IF(MOD(C758-Settings!$B$32,Settings!$B$33)&lt;Settings!$B$30,"Up","Down")</f>
        <v>Up</v>
      </c>
      <c r="U758" s="6">
        <f>IF(OR(I758&gt;Settings!$B$30,O758&gt;Settings!$B$37),0,1)</f>
        <v>1</v>
      </c>
      <c r="V758" s="6">
        <f>IF(AND(U758=1,O758&lt;=Settings!$B$36),1,0)</f>
        <v>1</v>
      </c>
    </row>
    <row r="759" spans="1:22" x14ac:dyDescent="0.2">
      <c r="A759">
        <f>Arrivals!A759</f>
        <v>7</v>
      </c>
      <c r="B759">
        <f>Arrivals!B759</f>
        <v>34</v>
      </c>
      <c r="C759" s="6">
        <f>Arrivals!F759</f>
        <v>298</v>
      </c>
      <c r="D759" s="6">
        <f>Arrivals!J759</f>
        <v>6.7150430487396289</v>
      </c>
      <c r="E759" s="6">
        <f t="shared" ref="E759:E790" si="254">G758</f>
        <v>383.74885298421469</v>
      </c>
      <c r="F759" s="6">
        <f t="shared" si="245"/>
        <v>383.74885298421469</v>
      </c>
      <c r="G759" s="6">
        <f t="shared" si="246"/>
        <v>390.46389603295432</v>
      </c>
      <c r="H759" s="6">
        <f>Arrivals!L759</f>
        <v>75</v>
      </c>
      <c r="I759" s="6">
        <f>H759*8/ACE_Input!S39+ACE_Input!T39</f>
        <v>6.02</v>
      </c>
      <c r="J759" s="6">
        <f t="shared" ref="J759:J790" si="255">N758</f>
        <v>406.00085360350715</v>
      </c>
      <c r="K759" s="6">
        <f t="shared" si="247"/>
        <v>406.00085360350715</v>
      </c>
      <c r="L759" s="6">
        <f>MOD(K759-Settings!$B$32,Settings!$B$33)</f>
        <v>406.00085360350715</v>
      </c>
      <c r="M759" s="6">
        <f>IF(L759&lt;Settings!$B$30,IF(Settings!$B$30-L759&gt;=I759,K759,K759+(Settings!$B$30-L759)+Settings!$B$31),K759+(Settings!$B$33-L759))</f>
        <v>406.00085360350715</v>
      </c>
      <c r="N759" s="6">
        <f t="shared" si="248"/>
        <v>412.02085360350713</v>
      </c>
      <c r="O759" s="6">
        <f t="shared" si="249"/>
        <v>114.02085360350713</v>
      </c>
      <c r="P759" s="6">
        <f t="shared" si="250"/>
        <v>85.748852984214693</v>
      </c>
      <c r="Q759" s="6">
        <f t="shared" si="251"/>
        <v>15.536957570552829</v>
      </c>
      <c r="R759" s="6">
        <f t="shared" si="252"/>
        <v>0</v>
      </c>
      <c r="S759" s="6">
        <f t="shared" si="253"/>
        <v>101.28581055476752</v>
      </c>
      <c r="T759" s="6" t="str">
        <f>IF(MOD(C759-Settings!$B$32,Settings!$B$33)&lt;Settings!$B$30,"Up","Down")</f>
        <v>Up</v>
      </c>
      <c r="U759" s="6">
        <f>IF(OR(I759&gt;Settings!$B$30,O759&gt;Settings!$B$37),0,1)</f>
        <v>1</v>
      </c>
      <c r="V759" s="6">
        <f>IF(AND(U759=1,O759&lt;=Settings!$B$36),1,0)</f>
        <v>1</v>
      </c>
    </row>
    <row r="760" spans="1:22" x14ac:dyDescent="0.2">
      <c r="A760">
        <f>Arrivals!A760</f>
        <v>7</v>
      </c>
      <c r="B760">
        <f>Arrivals!B760</f>
        <v>35</v>
      </c>
      <c r="C760" s="6">
        <f>Arrivals!F760</f>
        <v>303</v>
      </c>
      <c r="D760" s="6">
        <f>Arrivals!J760</f>
        <v>15.394259014147543</v>
      </c>
      <c r="E760" s="6">
        <f t="shared" si="254"/>
        <v>390.46389603295432</v>
      </c>
      <c r="F760" s="6">
        <f t="shared" si="245"/>
        <v>390.46389603295432</v>
      </c>
      <c r="G760" s="6">
        <f t="shared" si="246"/>
        <v>405.85815504710189</v>
      </c>
      <c r="H760" s="6">
        <f>Arrivals!L760</f>
        <v>75</v>
      </c>
      <c r="I760" s="6">
        <f>H760*8/ACE_Input!S40+ACE_Input!T40</f>
        <v>6.02</v>
      </c>
      <c r="J760" s="6">
        <f t="shared" si="255"/>
        <v>412.02085360350713</v>
      </c>
      <c r="K760" s="6">
        <f t="shared" si="247"/>
        <v>412.02085360350713</v>
      </c>
      <c r="L760" s="6">
        <f>MOD(K760-Settings!$B$32,Settings!$B$33)</f>
        <v>412.02085360350713</v>
      </c>
      <c r="M760" s="6">
        <f>IF(L760&lt;Settings!$B$30,IF(Settings!$B$30-L760&gt;=I760,K760,K760+(Settings!$B$30-L760)+Settings!$B$31),K760+(Settings!$B$33-L760))</f>
        <v>412.02085360350713</v>
      </c>
      <c r="N760" s="6">
        <f t="shared" si="248"/>
        <v>418.04085360350712</v>
      </c>
      <c r="O760" s="6">
        <f t="shared" si="249"/>
        <v>115.04085360350712</v>
      </c>
      <c r="P760" s="6">
        <f t="shared" si="250"/>
        <v>87.463896032954324</v>
      </c>
      <c r="Q760" s="6">
        <f t="shared" si="251"/>
        <v>6.1626985564052461</v>
      </c>
      <c r="R760" s="6">
        <f t="shared" si="252"/>
        <v>0</v>
      </c>
      <c r="S760" s="6">
        <f t="shared" si="253"/>
        <v>93.62659458935957</v>
      </c>
      <c r="T760" s="6" t="str">
        <f>IF(MOD(C760-Settings!$B$32,Settings!$B$33)&lt;Settings!$B$30,"Up","Down")</f>
        <v>Up</v>
      </c>
      <c r="U760" s="6">
        <f>IF(OR(I760&gt;Settings!$B$30,O760&gt;Settings!$B$37),0,1)</f>
        <v>1</v>
      </c>
      <c r="V760" s="6">
        <f>IF(AND(U760=1,O760&lt;=Settings!$B$36),1,0)</f>
        <v>1</v>
      </c>
    </row>
    <row r="761" spans="1:22" x14ac:dyDescent="0.2">
      <c r="A761">
        <f>Arrivals!A761</f>
        <v>7</v>
      </c>
      <c r="B761">
        <f>Arrivals!B761</f>
        <v>36</v>
      </c>
      <c r="C761" s="6">
        <f>Arrivals!F761</f>
        <v>308</v>
      </c>
      <c r="D761" s="6">
        <f>Arrivals!J761</f>
        <v>5.1513067010950051</v>
      </c>
      <c r="E761" s="6">
        <f t="shared" si="254"/>
        <v>405.85815504710189</v>
      </c>
      <c r="F761" s="6">
        <f t="shared" si="245"/>
        <v>405.85815504710189</v>
      </c>
      <c r="G761" s="6">
        <f t="shared" si="246"/>
        <v>411.00946174819688</v>
      </c>
      <c r="H761" s="6">
        <f>Arrivals!L761</f>
        <v>75</v>
      </c>
      <c r="I761" s="6">
        <f>H761*8/ACE_Input!S41+ACE_Input!T41</f>
        <v>6.02</v>
      </c>
      <c r="J761" s="6">
        <f t="shared" si="255"/>
        <v>418.04085360350712</v>
      </c>
      <c r="K761" s="6">
        <f t="shared" si="247"/>
        <v>418.04085360350712</v>
      </c>
      <c r="L761" s="6">
        <f>MOD(K761-Settings!$B$32,Settings!$B$33)</f>
        <v>418.04085360350712</v>
      </c>
      <c r="M761" s="6">
        <f>IF(L761&lt;Settings!$B$30,IF(Settings!$B$30-L761&gt;=I761,K761,K761+(Settings!$B$30-L761)+Settings!$B$31),K761+(Settings!$B$33-L761))</f>
        <v>418.04085360350712</v>
      </c>
      <c r="N761" s="6">
        <f t="shared" si="248"/>
        <v>424.0608536035071</v>
      </c>
      <c r="O761" s="6">
        <f t="shared" si="249"/>
        <v>116.0608536035071</v>
      </c>
      <c r="P761" s="6">
        <f t="shared" si="250"/>
        <v>97.858155047101889</v>
      </c>
      <c r="Q761" s="6">
        <f t="shared" si="251"/>
        <v>7.0313918553102326</v>
      </c>
      <c r="R761" s="6">
        <f t="shared" si="252"/>
        <v>0</v>
      </c>
      <c r="S761" s="6">
        <f t="shared" si="253"/>
        <v>104.88954690241212</v>
      </c>
      <c r="T761" s="6" t="str">
        <f>IF(MOD(C761-Settings!$B$32,Settings!$B$33)&lt;Settings!$B$30,"Up","Down")</f>
        <v>Up</v>
      </c>
      <c r="U761" s="6">
        <f>IF(OR(I761&gt;Settings!$B$30,O761&gt;Settings!$B$37),0,1)</f>
        <v>1</v>
      </c>
      <c r="V761" s="6">
        <f>IF(AND(U761=1,O761&lt;=Settings!$B$36),1,0)</f>
        <v>1</v>
      </c>
    </row>
    <row r="762" spans="1:22" x14ac:dyDescent="0.2">
      <c r="A762">
        <f>Arrivals!A762</f>
        <v>7</v>
      </c>
      <c r="B762">
        <f>Arrivals!B762</f>
        <v>37</v>
      </c>
      <c r="C762" s="6">
        <f>Arrivals!F762</f>
        <v>313</v>
      </c>
      <c r="D762" s="6">
        <f>Arrivals!J762</f>
        <v>42.23108547336512</v>
      </c>
      <c r="E762" s="6">
        <f t="shared" si="254"/>
        <v>411.00946174819688</v>
      </c>
      <c r="F762" s="6">
        <f t="shared" si="245"/>
        <v>411.00946174819688</v>
      </c>
      <c r="G762" s="6">
        <f t="shared" si="246"/>
        <v>453.240547221562</v>
      </c>
      <c r="H762" s="6">
        <f>Arrivals!L762</f>
        <v>75</v>
      </c>
      <c r="I762" s="6">
        <f>H762*8/ACE_Input!S42+ACE_Input!T42</f>
        <v>6.02</v>
      </c>
      <c r="J762" s="6">
        <f t="shared" si="255"/>
        <v>424.0608536035071</v>
      </c>
      <c r="K762" s="6">
        <f t="shared" si="247"/>
        <v>453.240547221562</v>
      </c>
      <c r="L762" s="6">
        <f>MOD(K762-Settings!$B$32,Settings!$B$33)</f>
        <v>453.240547221562</v>
      </c>
      <c r="M762" s="6">
        <f>IF(L762&lt;Settings!$B$30,IF(Settings!$B$30-L762&gt;=I762,K762,K762+(Settings!$B$30-L762)+Settings!$B$31),K762+(Settings!$B$33-L762))</f>
        <v>453.240547221562</v>
      </c>
      <c r="N762" s="6">
        <f t="shared" si="248"/>
        <v>459.26054722156198</v>
      </c>
      <c r="O762" s="6">
        <f t="shared" si="249"/>
        <v>146.26054722156198</v>
      </c>
      <c r="P762" s="6">
        <f t="shared" si="250"/>
        <v>98.009461748196884</v>
      </c>
      <c r="Q762" s="6">
        <f t="shared" si="251"/>
        <v>0</v>
      </c>
      <c r="R762" s="6">
        <f t="shared" si="252"/>
        <v>0</v>
      </c>
      <c r="S762" s="6">
        <f t="shared" si="253"/>
        <v>98.009461748196884</v>
      </c>
      <c r="T762" s="6" t="str">
        <f>IF(MOD(C762-Settings!$B$32,Settings!$B$33)&lt;Settings!$B$30,"Up","Down")</f>
        <v>Up</v>
      </c>
      <c r="U762" s="6">
        <f>IF(OR(I762&gt;Settings!$B$30,O762&gt;Settings!$B$37),0,1)</f>
        <v>1</v>
      </c>
      <c r="V762" s="6">
        <f>IF(AND(U762=1,O762&lt;=Settings!$B$36),1,0)</f>
        <v>0</v>
      </c>
    </row>
    <row r="763" spans="1:22" x14ac:dyDescent="0.2">
      <c r="A763">
        <f>Arrivals!A763</f>
        <v>7</v>
      </c>
      <c r="B763">
        <f>Arrivals!B763</f>
        <v>38</v>
      </c>
      <c r="C763" s="6">
        <f>Arrivals!F763</f>
        <v>318</v>
      </c>
      <c r="D763" s="6">
        <f>Arrivals!J763</f>
        <v>1.9868614578433439</v>
      </c>
      <c r="E763" s="6">
        <f t="shared" si="254"/>
        <v>453.240547221562</v>
      </c>
      <c r="F763" s="6">
        <f t="shared" si="245"/>
        <v>453.240547221562</v>
      </c>
      <c r="G763" s="6">
        <f t="shared" si="246"/>
        <v>455.22740867940536</v>
      </c>
      <c r="H763" s="6">
        <f>Arrivals!L763</f>
        <v>75</v>
      </c>
      <c r="I763" s="6">
        <f>H763*8/ACE_Input!S43+ACE_Input!T43</f>
        <v>6.02</v>
      </c>
      <c r="J763" s="6">
        <f t="shared" si="255"/>
        <v>459.26054722156198</v>
      </c>
      <c r="K763" s="6">
        <f t="shared" si="247"/>
        <v>459.26054722156198</v>
      </c>
      <c r="L763" s="6">
        <f>MOD(K763-Settings!$B$32,Settings!$B$33)</f>
        <v>459.26054722156198</v>
      </c>
      <c r="M763" s="6">
        <f>IF(L763&lt;Settings!$B$30,IF(Settings!$B$30-L763&gt;=I763,K763,K763+(Settings!$B$30-L763)+Settings!$B$31),K763+(Settings!$B$33-L763))</f>
        <v>459.26054722156198</v>
      </c>
      <c r="N763" s="6">
        <f t="shared" si="248"/>
        <v>465.28054722156196</v>
      </c>
      <c r="O763" s="6">
        <f t="shared" si="249"/>
        <v>147.28054722156196</v>
      </c>
      <c r="P763" s="6">
        <f t="shared" si="250"/>
        <v>135.240547221562</v>
      </c>
      <c r="Q763" s="6">
        <f t="shared" si="251"/>
        <v>4.033138542156621</v>
      </c>
      <c r="R763" s="6">
        <f t="shared" si="252"/>
        <v>0</v>
      </c>
      <c r="S763" s="6">
        <f t="shared" si="253"/>
        <v>139.27368576371862</v>
      </c>
      <c r="T763" s="6" t="str">
        <f>IF(MOD(C763-Settings!$B$32,Settings!$B$33)&lt;Settings!$B$30,"Up","Down")</f>
        <v>Up</v>
      </c>
      <c r="U763" s="6">
        <f>IF(OR(I763&gt;Settings!$B$30,O763&gt;Settings!$B$37),0,1)</f>
        <v>1</v>
      </c>
      <c r="V763" s="6">
        <f>IF(AND(U763=1,O763&lt;=Settings!$B$36),1,0)</f>
        <v>0</v>
      </c>
    </row>
    <row r="764" spans="1:22" x14ac:dyDescent="0.2">
      <c r="A764">
        <f>Arrivals!A764</f>
        <v>7</v>
      </c>
      <c r="B764">
        <f>Arrivals!B764</f>
        <v>39</v>
      </c>
      <c r="C764" s="6">
        <f>Arrivals!F764</f>
        <v>323</v>
      </c>
      <c r="D764" s="6">
        <f>Arrivals!J764</f>
        <v>10.890400279765069</v>
      </c>
      <c r="E764" s="6">
        <f t="shared" si="254"/>
        <v>455.22740867940536</v>
      </c>
      <c r="F764" s="6">
        <f t="shared" si="245"/>
        <v>455.22740867940536</v>
      </c>
      <c r="G764" s="6">
        <f t="shared" si="246"/>
        <v>466.11780895917042</v>
      </c>
      <c r="H764" s="6">
        <f>Arrivals!L764</f>
        <v>75</v>
      </c>
      <c r="I764" s="6">
        <f>H764*8/ACE_Input!S44+ACE_Input!T44</f>
        <v>6.02</v>
      </c>
      <c r="J764" s="6">
        <f t="shared" si="255"/>
        <v>465.28054722156196</v>
      </c>
      <c r="K764" s="6">
        <f t="shared" si="247"/>
        <v>466.11780895917042</v>
      </c>
      <c r="L764" s="6">
        <f>MOD(K764-Settings!$B$32,Settings!$B$33)</f>
        <v>466.11780895917042</v>
      </c>
      <c r="M764" s="6">
        <f>IF(L764&lt;Settings!$B$30,IF(Settings!$B$30-L764&gt;=I764,K764,K764+(Settings!$B$30-L764)+Settings!$B$31),K764+(Settings!$B$33-L764))</f>
        <v>466.11780895917042</v>
      </c>
      <c r="N764" s="6">
        <f t="shared" si="248"/>
        <v>472.1378089591704</v>
      </c>
      <c r="O764" s="6">
        <f t="shared" si="249"/>
        <v>149.1378089591704</v>
      </c>
      <c r="P764" s="6">
        <f t="shared" si="250"/>
        <v>132.22740867940536</v>
      </c>
      <c r="Q764" s="6">
        <f t="shared" si="251"/>
        <v>0</v>
      </c>
      <c r="R764" s="6">
        <f t="shared" si="252"/>
        <v>0</v>
      </c>
      <c r="S764" s="6">
        <f t="shared" si="253"/>
        <v>132.22740867940536</v>
      </c>
      <c r="T764" s="6" t="str">
        <f>IF(MOD(C764-Settings!$B$32,Settings!$B$33)&lt;Settings!$B$30,"Up","Down")</f>
        <v>Up</v>
      </c>
      <c r="U764" s="6">
        <f>IF(OR(I764&gt;Settings!$B$30,O764&gt;Settings!$B$37),0,1)</f>
        <v>1</v>
      </c>
      <c r="V764" s="6">
        <f>IF(AND(U764=1,O764&lt;=Settings!$B$36),1,0)</f>
        <v>0</v>
      </c>
    </row>
    <row r="765" spans="1:22" x14ac:dyDescent="0.2">
      <c r="A765">
        <f>Arrivals!A765</f>
        <v>7</v>
      </c>
      <c r="B765">
        <f>Arrivals!B765</f>
        <v>40</v>
      </c>
      <c r="C765" s="6">
        <f>Arrivals!F765</f>
        <v>328</v>
      </c>
      <c r="D765" s="6">
        <f>Arrivals!J765</f>
        <v>0.83699204020597351</v>
      </c>
      <c r="E765" s="6">
        <f t="shared" si="254"/>
        <v>466.11780895917042</v>
      </c>
      <c r="F765" s="6">
        <f t="shared" si="245"/>
        <v>466.11780895917042</v>
      </c>
      <c r="G765" s="6">
        <f t="shared" si="246"/>
        <v>466.9548009993764</v>
      </c>
      <c r="H765" s="6">
        <f>Arrivals!L765</f>
        <v>75</v>
      </c>
      <c r="I765" s="6">
        <f>H765*8/ACE_Input!S45+ACE_Input!T45</f>
        <v>6.02</v>
      </c>
      <c r="J765" s="6">
        <f t="shared" si="255"/>
        <v>472.1378089591704</v>
      </c>
      <c r="K765" s="6">
        <f t="shared" si="247"/>
        <v>472.1378089591704</v>
      </c>
      <c r="L765" s="6">
        <f>MOD(K765-Settings!$B$32,Settings!$B$33)</f>
        <v>472.1378089591704</v>
      </c>
      <c r="M765" s="6">
        <f>IF(L765&lt;Settings!$B$30,IF(Settings!$B$30-L765&gt;=I765,K765,K765+(Settings!$B$30-L765)+Settings!$B$31),K765+(Settings!$B$33-L765))</f>
        <v>472.1378089591704</v>
      </c>
      <c r="N765" s="6">
        <f t="shared" si="248"/>
        <v>478.15780895917038</v>
      </c>
      <c r="O765" s="6">
        <f t="shared" si="249"/>
        <v>150.15780895917038</v>
      </c>
      <c r="P765" s="6">
        <f t="shared" si="250"/>
        <v>138.11780895917042</v>
      </c>
      <c r="Q765" s="6">
        <f t="shared" si="251"/>
        <v>5.1830079597939971</v>
      </c>
      <c r="R765" s="6">
        <f t="shared" si="252"/>
        <v>0</v>
      </c>
      <c r="S765" s="6">
        <f t="shared" si="253"/>
        <v>143.30081691896441</v>
      </c>
      <c r="T765" s="6" t="str">
        <f>IF(MOD(C765-Settings!$B$32,Settings!$B$33)&lt;Settings!$B$30,"Up","Down")</f>
        <v>Up</v>
      </c>
      <c r="U765" s="6">
        <f>IF(OR(I765&gt;Settings!$B$30,O765&gt;Settings!$B$37),0,1)</f>
        <v>1</v>
      </c>
      <c r="V765" s="6">
        <f>IF(AND(U765=1,O765&lt;=Settings!$B$36),1,0)</f>
        <v>0</v>
      </c>
    </row>
    <row r="766" spans="1:22" x14ac:dyDescent="0.2">
      <c r="A766">
        <f>Arrivals!A766</f>
        <v>7</v>
      </c>
      <c r="B766">
        <f>Arrivals!B766</f>
        <v>41</v>
      </c>
      <c r="C766" s="6">
        <f>Arrivals!F766</f>
        <v>333</v>
      </c>
      <c r="D766" s="6">
        <f>Arrivals!J766</f>
        <v>4.7788254046854943</v>
      </c>
      <c r="E766" s="6">
        <f t="shared" si="254"/>
        <v>466.9548009993764</v>
      </c>
      <c r="F766" s="6">
        <f t="shared" si="245"/>
        <v>466.9548009993764</v>
      </c>
      <c r="G766" s="6">
        <f t="shared" si="246"/>
        <v>471.73362640406191</v>
      </c>
      <c r="H766" s="6">
        <f>Arrivals!L766</f>
        <v>75</v>
      </c>
      <c r="I766" s="6">
        <f>H766*8/ACE_Input!S46+ACE_Input!T46</f>
        <v>6.02</v>
      </c>
      <c r="J766" s="6">
        <f t="shared" si="255"/>
        <v>478.15780895917038</v>
      </c>
      <c r="K766" s="6">
        <f t="shared" si="247"/>
        <v>478.15780895917038</v>
      </c>
      <c r="L766" s="6">
        <f>MOD(K766-Settings!$B$32,Settings!$B$33)</f>
        <v>478.15780895917038</v>
      </c>
      <c r="M766" s="6">
        <f>IF(L766&lt;Settings!$B$30,IF(Settings!$B$30-L766&gt;=I766,K766,K766+(Settings!$B$30-L766)+Settings!$B$31),K766+(Settings!$B$33-L766))</f>
        <v>478.15780895917038</v>
      </c>
      <c r="N766" s="6">
        <f t="shared" si="248"/>
        <v>484.17780895917036</v>
      </c>
      <c r="O766" s="6">
        <f t="shared" si="249"/>
        <v>151.17780895917036</v>
      </c>
      <c r="P766" s="6">
        <f t="shared" si="250"/>
        <v>133.9548009993764</v>
      </c>
      <c r="Q766" s="6">
        <f t="shared" si="251"/>
        <v>6.424182555108473</v>
      </c>
      <c r="R766" s="6">
        <f t="shared" si="252"/>
        <v>0</v>
      </c>
      <c r="S766" s="6">
        <f t="shared" si="253"/>
        <v>140.37898355448488</v>
      </c>
      <c r="T766" s="6" t="str">
        <f>IF(MOD(C766-Settings!$B$32,Settings!$B$33)&lt;Settings!$B$30,"Up","Down")</f>
        <v>Up</v>
      </c>
      <c r="U766" s="6">
        <f>IF(OR(I766&gt;Settings!$B$30,O766&gt;Settings!$B$37),0,1)</f>
        <v>1</v>
      </c>
      <c r="V766" s="6">
        <f>IF(AND(U766=1,O766&lt;=Settings!$B$36),1,0)</f>
        <v>0</v>
      </c>
    </row>
    <row r="767" spans="1:22" x14ac:dyDescent="0.2">
      <c r="A767">
        <f>Arrivals!A767</f>
        <v>7</v>
      </c>
      <c r="B767">
        <f>Arrivals!B767</f>
        <v>42</v>
      </c>
      <c r="C767" s="6">
        <f>Arrivals!F767</f>
        <v>338</v>
      </c>
      <c r="D767" s="6">
        <f>Arrivals!J767</f>
        <v>0.41384353597954571</v>
      </c>
      <c r="E767" s="6">
        <f t="shared" si="254"/>
        <v>471.73362640406191</v>
      </c>
      <c r="F767" s="6">
        <f t="shared" si="245"/>
        <v>471.73362640406191</v>
      </c>
      <c r="G767" s="6">
        <f t="shared" si="246"/>
        <v>472.14746994004145</v>
      </c>
      <c r="H767" s="6">
        <f>Arrivals!L767</f>
        <v>75</v>
      </c>
      <c r="I767" s="6">
        <f>H767*8/ACE_Input!S47+ACE_Input!T47</f>
        <v>6.02</v>
      </c>
      <c r="J767" s="6">
        <f t="shared" si="255"/>
        <v>484.17780895917036</v>
      </c>
      <c r="K767" s="6">
        <f t="shared" si="247"/>
        <v>484.17780895917036</v>
      </c>
      <c r="L767" s="6">
        <f>MOD(K767-Settings!$B$32,Settings!$B$33)</f>
        <v>484.17780895917036</v>
      </c>
      <c r="M767" s="6">
        <f>IF(L767&lt;Settings!$B$30,IF(Settings!$B$30-L767&gt;=I767,K767,K767+(Settings!$B$30-L767)+Settings!$B$31),K767+(Settings!$B$33-L767))</f>
        <v>484.17780895917036</v>
      </c>
      <c r="N767" s="6">
        <f t="shared" si="248"/>
        <v>490.19780895917035</v>
      </c>
      <c r="O767" s="6">
        <f t="shared" si="249"/>
        <v>152.19780895917035</v>
      </c>
      <c r="P767" s="6">
        <f t="shared" si="250"/>
        <v>133.73362640406191</v>
      </c>
      <c r="Q767" s="6">
        <f t="shared" si="251"/>
        <v>12.030339019128917</v>
      </c>
      <c r="R767" s="6">
        <f t="shared" si="252"/>
        <v>0</v>
      </c>
      <c r="S767" s="6">
        <f t="shared" si="253"/>
        <v>145.76396542319083</v>
      </c>
      <c r="T767" s="6" t="str">
        <f>IF(MOD(C767-Settings!$B$32,Settings!$B$33)&lt;Settings!$B$30,"Up","Down")</f>
        <v>Up</v>
      </c>
      <c r="U767" s="6">
        <f>IF(OR(I767&gt;Settings!$B$30,O767&gt;Settings!$B$37),0,1)</f>
        <v>1</v>
      </c>
      <c r="V767" s="6">
        <f>IF(AND(U767=1,O767&lt;=Settings!$B$36),1,0)</f>
        <v>0</v>
      </c>
    </row>
    <row r="768" spans="1:22" x14ac:dyDescent="0.2">
      <c r="A768">
        <f>Arrivals!A768</f>
        <v>7</v>
      </c>
      <c r="B768">
        <f>Arrivals!B768</f>
        <v>43</v>
      </c>
      <c r="C768" s="6">
        <f>Arrivals!F768</f>
        <v>343</v>
      </c>
      <c r="D768" s="6">
        <f>Arrivals!J768</f>
        <v>16.237288294666929</v>
      </c>
      <c r="E768" s="6">
        <f t="shared" si="254"/>
        <v>472.14746994004145</v>
      </c>
      <c r="F768" s="6">
        <f t="shared" si="245"/>
        <v>472.14746994004145</v>
      </c>
      <c r="G768" s="6">
        <f t="shared" si="246"/>
        <v>488.38475823470839</v>
      </c>
      <c r="H768" s="6">
        <f>Arrivals!L768</f>
        <v>75</v>
      </c>
      <c r="I768" s="6">
        <f>H768*8/ACE_Input!S48+ACE_Input!T48</f>
        <v>6.02</v>
      </c>
      <c r="J768" s="6">
        <f t="shared" si="255"/>
        <v>490.19780895917035</v>
      </c>
      <c r="K768" s="6">
        <f t="shared" si="247"/>
        <v>490.19780895917035</v>
      </c>
      <c r="L768" s="6">
        <f>MOD(K768-Settings!$B$32,Settings!$B$33)</f>
        <v>490.19780895917035</v>
      </c>
      <c r="M768" s="6">
        <f>IF(L768&lt;Settings!$B$30,IF(Settings!$B$30-L768&gt;=I768,K768,K768+(Settings!$B$30-L768)+Settings!$B$31),K768+(Settings!$B$33-L768))</f>
        <v>490.19780895917035</v>
      </c>
      <c r="N768" s="6">
        <f t="shared" si="248"/>
        <v>496.21780895917033</v>
      </c>
      <c r="O768" s="6">
        <f t="shared" si="249"/>
        <v>153.21780895917033</v>
      </c>
      <c r="P768" s="6">
        <f t="shared" si="250"/>
        <v>129.14746994004145</v>
      </c>
      <c r="Q768" s="6">
        <f t="shared" si="251"/>
        <v>1.8130507244619594</v>
      </c>
      <c r="R768" s="6">
        <f t="shared" si="252"/>
        <v>0</v>
      </c>
      <c r="S768" s="6">
        <f t="shared" si="253"/>
        <v>130.96052066450341</v>
      </c>
      <c r="T768" s="6" t="str">
        <f>IF(MOD(C768-Settings!$B$32,Settings!$B$33)&lt;Settings!$B$30,"Up","Down")</f>
        <v>Up</v>
      </c>
      <c r="U768" s="6">
        <f>IF(OR(I768&gt;Settings!$B$30,O768&gt;Settings!$B$37),0,1)</f>
        <v>1</v>
      </c>
      <c r="V768" s="6">
        <f>IF(AND(U768=1,O768&lt;=Settings!$B$36),1,0)</f>
        <v>0</v>
      </c>
    </row>
    <row r="769" spans="1:22" x14ac:dyDescent="0.2">
      <c r="A769">
        <f>Arrivals!A769</f>
        <v>7</v>
      </c>
      <c r="B769">
        <f>Arrivals!B769</f>
        <v>44</v>
      </c>
      <c r="C769" s="6">
        <f>Arrivals!F769</f>
        <v>348</v>
      </c>
      <c r="D769" s="6">
        <f>Arrivals!J769</f>
        <v>7.5472709663335698</v>
      </c>
      <c r="E769" s="6">
        <f t="shared" si="254"/>
        <v>488.38475823470839</v>
      </c>
      <c r="F769" s="6">
        <f t="shared" si="245"/>
        <v>488.38475823470839</v>
      </c>
      <c r="G769" s="6">
        <f t="shared" si="246"/>
        <v>495.93202920104193</v>
      </c>
      <c r="H769" s="6">
        <f>Arrivals!L769</f>
        <v>75</v>
      </c>
      <c r="I769" s="6">
        <f>H769*8/ACE_Input!S49+ACE_Input!T49</f>
        <v>6.02</v>
      </c>
      <c r="J769" s="6">
        <f t="shared" si="255"/>
        <v>496.21780895917033</v>
      </c>
      <c r="K769" s="6">
        <f t="shared" si="247"/>
        <v>496.21780895917033</v>
      </c>
      <c r="L769" s="6">
        <f>MOD(K769-Settings!$B$32,Settings!$B$33)</f>
        <v>496.21780895917033</v>
      </c>
      <c r="M769" s="6">
        <f>IF(L769&lt;Settings!$B$30,IF(Settings!$B$30-L769&gt;=I769,K769,K769+(Settings!$B$30-L769)+Settings!$B$31),K769+(Settings!$B$33-L769))</f>
        <v>496.21780895917033</v>
      </c>
      <c r="N769" s="6">
        <f t="shared" si="248"/>
        <v>502.23780895917031</v>
      </c>
      <c r="O769" s="6">
        <f t="shared" si="249"/>
        <v>154.23780895917031</v>
      </c>
      <c r="P769" s="6">
        <f t="shared" si="250"/>
        <v>140.38475823470839</v>
      </c>
      <c r="Q769" s="6">
        <f t="shared" si="251"/>
        <v>0.28577975812839895</v>
      </c>
      <c r="R769" s="6">
        <f t="shared" si="252"/>
        <v>0</v>
      </c>
      <c r="S769" s="6">
        <f t="shared" si="253"/>
        <v>140.67053799283678</v>
      </c>
      <c r="T769" s="6" t="str">
        <f>IF(MOD(C769-Settings!$B$32,Settings!$B$33)&lt;Settings!$B$30,"Up","Down")</f>
        <v>Up</v>
      </c>
      <c r="U769" s="6">
        <f>IF(OR(I769&gt;Settings!$B$30,O769&gt;Settings!$B$37),0,1)</f>
        <v>1</v>
      </c>
      <c r="V769" s="6">
        <f>IF(AND(U769=1,O769&lt;=Settings!$B$36),1,0)</f>
        <v>0</v>
      </c>
    </row>
    <row r="770" spans="1:22" x14ac:dyDescent="0.2">
      <c r="A770">
        <f>Arrivals!A770</f>
        <v>7</v>
      </c>
      <c r="B770">
        <f>Arrivals!B770</f>
        <v>45</v>
      </c>
      <c r="C770" s="6">
        <f>Arrivals!F770</f>
        <v>354</v>
      </c>
      <c r="D770" s="6">
        <f>Arrivals!J770</f>
        <v>3.1282376570156405</v>
      </c>
      <c r="E770" s="6">
        <f t="shared" si="254"/>
        <v>495.93202920104193</v>
      </c>
      <c r="F770" s="6">
        <f t="shared" si="245"/>
        <v>495.93202920104193</v>
      </c>
      <c r="G770" s="6">
        <f t="shared" si="246"/>
        <v>499.06026685805756</v>
      </c>
      <c r="H770" s="6">
        <f>Arrivals!L770</f>
        <v>75</v>
      </c>
      <c r="I770" s="6">
        <f>H770*8/ACE_Input!S50+ACE_Input!T50</f>
        <v>6.02</v>
      </c>
      <c r="J770" s="6">
        <f t="shared" si="255"/>
        <v>502.23780895917031</v>
      </c>
      <c r="K770" s="6">
        <f t="shared" si="247"/>
        <v>502.23780895917031</v>
      </c>
      <c r="L770" s="6">
        <f>MOD(K770-Settings!$B$32,Settings!$B$33)</f>
        <v>502.23780895917031</v>
      </c>
      <c r="M770" s="6">
        <f>IF(L770&lt;Settings!$B$30,IF(Settings!$B$30-L770&gt;=I770,K770,K770+(Settings!$B$30-L770)+Settings!$B$31),K770+(Settings!$B$33-L770))</f>
        <v>502.23780895917031</v>
      </c>
      <c r="N770" s="6">
        <f t="shared" si="248"/>
        <v>508.25780895917029</v>
      </c>
      <c r="O770" s="6">
        <f t="shared" si="249"/>
        <v>154.25780895917029</v>
      </c>
      <c r="P770" s="6">
        <f t="shared" si="250"/>
        <v>141.93202920104193</v>
      </c>
      <c r="Q770" s="6">
        <f t="shared" si="251"/>
        <v>3.1775421011127492</v>
      </c>
      <c r="R770" s="6">
        <f t="shared" si="252"/>
        <v>0</v>
      </c>
      <c r="S770" s="6">
        <f t="shared" si="253"/>
        <v>145.10957130215468</v>
      </c>
      <c r="T770" s="6" t="str">
        <f>IF(MOD(C770-Settings!$B$32,Settings!$B$33)&lt;Settings!$B$30,"Up","Down")</f>
        <v>Up</v>
      </c>
      <c r="U770" s="6">
        <f>IF(OR(I770&gt;Settings!$B$30,O770&gt;Settings!$B$37),0,1)</f>
        <v>1</v>
      </c>
      <c r="V770" s="6">
        <f>IF(AND(U770=1,O770&lt;=Settings!$B$36),1,0)</f>
        <v>0</v>
      </c>
    </row>
    <row r="771" spans="1:22" x14ac:dyDescent="0.2">
      <c r="A771">
        <f>Arrivals!A771</f>
        <v>7</v>
      </c>
      <c r="B771">
        <f>Arrivals!B771</f>
        <v>46</v>
      </c>
      <c r="C771" s="6">
        <f>Arrivals!F771</f>
        <v>359</v>
      </c>
      <c r="D771" s="6">
        <f>Arrivals!J771</f>
        <v>21.191115242417407</v>
      </c>
      <c r="E771" s="6">
        <f t="shared" si="254"/>
        <v>499.06026685805756</v>
      </c>
      <c r="F771" s="6">
        <f t="shared" si="245"/>
        <v>499.06026685805756</v>
      </c>
      <c r="G771" s="6">
        <f t="shared" si="246"/>
        <v>520.25138210047498</v>
      </c>
      <c r="H771" s="6">
        <f>Arrivals!L771</f>
        <v>75</v>
      </c>
      <c r="I771" s="6">
        <f>H771*8/ACE_Input!S51+ACE_Input!T51</f>
        <v>6.02</v>
      </c>
      <c r="J771" s="6">
        <f t="shared" si="255"/>
        <v>508.25780895917029</v>
      </c>
      <c r="K771" s="6">
        <f t="shared" si="247"/>
        <v>520.25138210047498</v>
      </c>
      <c r="L771" s="6">
        <f>MOD(K771-Settings!$B$32,Settings!$B$33)</f>
        <v>520.25138210047498</v>
      </c>
      <c r="M771" s="6">
        <f>IF(L771&lt;Settings!$B$30,IF(Settings!$B$30-L771&gt;=I771,K771,K771+(Settings!$B$30-L771)+Settings!$B$31),K771+(Settings!$B$33-L771))</f>
        <v>520.25138210047498</v>
      </c>
      <c r="N771" s="6">
        <f t="shared" si="248"/>
        <v>526.27138210047497</v>
      </c>
      <c r="O771" s="6">
        <f t="shared" si="249"/>
        <v>167.27138210047497</v>
      </c>
      <c r="P771" s="6">
        <f t="shared" si="250"/>
        <v>140.06026685805756</v>
      </c>
      <c r="Q771" s="6">
        <f t="shared" si="251"/>
        <v>0</v>
      </c>
      <c r="R771" s="6">
        <f t="shared" si="252"/>
        <v>0</v>
      </c>
      <c r="S771" s="6">
        <f t="shared" si="253"/>
        <v>140.06026685805756</v>
      </c>
      <c r="T771" s="6" t="str">
        <f>IF(MOD(C771-Settings!$B$32,Settings!$B$33)&lt;Settings!$B$30,"Up","Down")</f>
        <v>Up</v>
      </c>
      <c r="U771" s="6">
        <f>IF(OR(I771&gt;Settings!$B$30,O771&gt;Settings!$B$37),0,1)</f>
        <v>1</v>
      </c>
      <c r="V771" s="6">
        <f>IF(AND(U771=1,O771&lt;=Settings!$B$36),1,0)</f>
        <v>0</v>
      </c>
    </row>
    <row r="772" spans="1:22" x14ac:dyDescent="0.2">
      <c r="A772">
        <f>Arrivals!A772</f>
        <v>7</v>
      </c>
      <c r="B772">
        <f>Arrivals!B772</f>
        <v>47</v>
      </c>
      <c r="C772" s="6">
        <f>Arrivals!F772</f>
        <v>364</v>
      </c>
      <c r="D772" s="6">
        <f>Arrivals!J772</f>
        <v>8.9953738790626865</v>
      </c>
      <c r="E772" s="6">
        <f t="shared" si="254"/>
        <v>520.25138210047498</v>
      </c>
      <c r="F772" s="6">
        <f t="shared" si="245"/>
        <v>520.25138210047498</v>
      </c>
      <c r="G772" s="6">
        <f t="shared" si="246"/>
        <v>529.24675597953762</v>
      </c>
      <c r="H772" s="6">
        <f>Arrivals!L772</f>
        <v>75</v>
      </c>
      <c r="I772" s="6">
        <f>H772*8/ACE_Input!S52+ACE_Input!T52</f>
        <v>6.02</v>
      </c>
      <c r="J772" s="6">
        <f t="shared" si="255"/>
        <v>526.27138210047497</v>
      </c>
      <c r="K772" s="6">
        <f t="shared" si="247"/>
        <v>529.24675597953762</v>
      </c>
      <c r="L772" s="6">
        <f>MOD(K772-Settings!$B$32,Settings!$B$33)</f>
        <v>529.24675597953762</v>
      </c>
      <c r="M772" s="6">
        <f>IF(L772&lt;Settings!$B$30,IF(Settings!$B$30-L772&gt;=I772,K772,K772+(Settings!$B$30-L772)+Settings!$B$31),K772+(Settings!$B$33-L772))</f>
        <v>529.24675597953762</v>
      </c>
      <c r="N772" s="6">
        <f t="shared" si="248"/>
        <v>535.26675597953761</v>
      </c>
      <c r="O772" s="6">
        <f t="shared" si="249"/>
        <v>171.26675597953761</v>
      </c>
      <c r="P772" s="6">
        <f t="shared" si="250"/>
        <v>156.25138210047498</v>
      </c>
      <c r="Q772" s="6">
        <f t="shared" si="251"/>
        <v>0</v>
      </c>
      <c r="R772" s="6">
        <f t="shared" si="252"/>
        <v>0</v>
      </c>
      <c r="S772" s="6">
        <f t="shared" si="253"/>
        <v>156.25138210047498</v>
      </c>
      <c r="T772" s="6" t="str">
        <f>IF(MOD(C772-Settings!$B$32,Settings!$B$33)&lt;Settings!$B$30,"Up","Down")</f>
        <v>Up</v>
      </c>
      <c r="U772" s="6">
        <f>IF(OR(I772&gt;Settings!$B$30,O772&gt;Settings!$B$37),0,1)</f>
        <v>1</v>
      </c>
      <c r="V772" s="6">
        <f>IF(AND(U772=1,O772&lt;=Settings!$B$36),1,0)</f>
        <v>0</v>
      </c>
    </row>
    <row r="773" spans="1:22" x14ac:dyDescent="0.2">
      <c r="A773">
        <f>Arrivals!A773</f>
        <v>7</v>
      </c>
      <c r="B773">
        <f>Arrivals!B773</f>
        <v>48</v>
      </c>
      <c r="C773" s="6">
        <f>Arrivals!F773</f>
        <v>369</v>
      </c>
      <c r="D773" s="6">
        <f>Arrivals!J773</f>
        <v>24.873751014489532</v>
      </c>
      <c r="E773" s="6">
        <f t="shared" si="254"/>
        <v>529.24675597953762</v>
      </c>
      <c r="F773" s="6">
        <f t="shared" si="245"/>
        <v>529.24675597953762</v>
      </c>
      <c r="G773" s="6">
        <f t="shared" si="246"/>
        <v>554.12050699402721</v>
      </c>
      <c r="H773" s="6">
        <f>Arrivals!L773</f>
        <v>75</v>
      </c>
      <c r="I773" s="6">
        <f>H773*8/ACE_Input!S53+ACE_Input!T53</f>
        <v>6.02</v>
      </c>
      <c r="J773" s="6">
        <f t="shared" si="255"/>
        <v>535.26675597953761</v>
      </c>
      <c r="K773" s="6">
        <f t="shared" si="247"/>
        <v>554.12050699402721</v>
      </c>
      <c r="L773" s="6">
        <f>MOD(K773-Settings!$B$32,Settings!$B$33)</f>
        <v>554.12050699402721</v>
      </c>
      <c r="M773" s="6">
        <f>IF(L773&lt;Settings!$B$30,IF(Settings!$B$30-L773&gt;=I773,K773,K773+(Settings!$B$30-L773)+Settings!$B$31),K773+(Settings!$B$33-L773))</f>
        <v>554.12050699402721</v>
      </c>
      <c r="N773" s="6">
        <f t="shared" si="248"/>
        <v>560.14050699402719</v>
      </c>
      <c r="O773" s="6">
        <f t="shared" si="249"/>
        <v>191.14050699402719</v>
      </c>
      <c r="P773" s="6">
        <f t="shared" si="250"/>
        <v>160.24675597953762</v>
      </c>
      <c r="Q773" s="6">
        <f t="shared" si="251"/>
        <v>0</v>
      </c>
      <c r="R773" s="6">
        <f t="shared" si="252"/>
        <v>0</v>
      </c>
      <c r="S773" s="6">
        <f t="shared" si="253"/>
        <v>160.24675597953762</v>
      </c>
      <c r="T773" s="6" t="str">
        <f>IF(MOD(C773-Settings!$B$32,Settings!$B$33)&lt;Settings!$B$30,"Up","Down")</f>
        <v>Up</v>
      </c>
      <c r="U773" s="6">
        <f>IF(OR(I773&gt;Settings!$B$30,O773&gt;Settings!$B$37),0,1)</f>
        <v>1</v>
      </c>
      <c r="V773" s="6">
        <f>IF(AND(U773=1,O773&lt;=Settings!$B$36),1,0)</f>
        <v>0</v>
      </c>
    </row>
    <row r="774" spans="1:22" x14ac:dyDescent="0.2">
      <c r="A774">
        <f>Arrivals!A774</f>
        <v>7</v>
      </c>
      <c r="B774">
        <f>Arrivals!B774</f>
        <v>49</v>
      </c>
      <c r="C774" s="6">
        <f>Arrivals!F774</f>
        <v>374</v>
      </c>
      <c r="D774" s="6">
        <f>Arrivals!J774</f>
        <v>1.9803079320139978</v>
      </c>
      <c r="E774" s="6">
        <f t="shared" si="254"/>
        <v>554.12050699402721</v>
      </c>
      <c r="F774" s="6">
        <f t="shared" si="245"/>
        <v>554.12050699402721</v>
      </c>
      <c r="G774" s="6">
        <f t="shared" si="246"/>
        <v>556.10081492604115</v>
      </c>
      <c r="H774" s="6">
        <f>Arrivals!L774</f>
        <v>75</v>
      </c>
      <c r="I774" s="6">
        <f>H774*8/ACE_Input!S54+ACE_Input!T54</f>
        <v>6.02</v>
      </c>
      <c r="J774" s="6">
        <f t="shared" si="255"/>
        <v>560.14050699402719</v>
      </c>
      <c r="K774" s="6">
        <f t="shared" si="247"/>
        <v>560.14050699402719</v>
      </c>
      <c r="L774" s="6">
        <f>MOD(K774-Settings!$B$32,Settings!$B$33)</f>
        <v>560.14050699402719</v>
      </c>
      <c r="M774" s="6">
        <f>IF(L774&lt;Settings!$B$30,IF(Settings!$B$30-L774&gt;=I774,K774,K774+(Settings!$B$30-L774)+Settings!$B$31),K774+(Settings!$B$33-L774))</f>
        <v>560.14050699402719</v>
      </c>
      <c r="N774" s="6">
        <f t="shared" si="248"/>
        <v>566.16050699402717</v>
      </c>
      <c r="O774" s="6">
        <f t="shared" si="249"/>
        <v>192.16050699402717</v>
      </c>
      <c r="P774" s="6">
        <f t="shared" si="250"/>
        <v>180.12050699402721</v>
      </c>
      <c r="Q774" s="6">
        <f t="shared" si="251"/>
        <v>4.0396920679860386</v>
      </c>
      <c r="R774" s="6">
        <f t="shared" si="252"/>
        <v>0</v>
      </c>
      <c r="S774" s="6">
        <f t="shared" si="253"/>
        <v>184.16019906201325</v>
      </c>
      <c r="T774" s="6" t="str">
        <f>IF(MOD(C774-Settings!$B$32,Settings!$B$33)&lt;Settings!$B$30,"Up","Down")</f>
        <v>Up</v>
      </c>
      <c r="U774" s="6">
        <f>IF(OR(I774&gt;Settings!$B$30,O774&gt;Settings!$B$37),0,1)</f>
        <v>1</v>
      </c>
      <c r="V774" s="6">
        <f>IF(AND(U774=1,O774&lt;=Settings!$B$36),1,0)</f>
        <v>0</v>
      </c>
    </row>
    <row r="775" spans="1:22" x14ac:dyDescent="0.2">
      <c r="A775">
        <f>Arrivals!A775</f>
        <v>7</v>
      </c>
      <c r="B775">
        <f>Arrivals!B775</f>
        <v>50</v>
      </c>
      <c r="C775" s="6">
        <f>Arrivals!F775</f>
        <v>379</v>
      </c>
      <c r="D775" s="6">
        <f>Arrivals!J775</f>
        <v>20.326497641471569</v>
      </c>
      <c r="E775" s="6">
        <f t="shared" si="254"/>
        <v>556.10081492604115</v>
      </c>
      <c r="F775" s="6">
        <f t="shared" si="245"/>
        <v>556.10081492604115</v>
      </c>
      <c r="G775" s="6">
        <f t="shared" si="246"/>
        <v>576.42731256751267</v>
      </c>
      <c r="H775" s="6">
        <f>Arrivals!L775</f>
        <v>75</v>
      </c>
      <c r="I775" s="6">
        <f>H775*8/ACE_Input!S55+ACE_Input!T55</f>
        <v>6.02</v>
      </c>
      <c r="J775" s="6">
        <f t="shared" si="255"/>
        <v>566.16050699402717</v>
      </c>
      <c r="K775" s="6">
        <f t="shared" si="247"/>
        <v>576.42731256751267</v>
      </c>
      <c r="L775" s="6">
        <f>MOD(K775-Settings!$B$32,Settings!$B$33)</f>
        <v>576.42731256751267</v>
      </c>
      <c r="M775" s="6">
        <f>IF(L775&lt;Settings!$B$30,IF(Settings!$B$30-L775&gt;=I775,K775,K775+(Settings!$B$30-L775)+Settings!$B$31),K775+(Settings!$B$33-L775))</f>
        <v>576.42731256751267</v>
      </c>
      <c r="N775" s="6">
        <f t="shared" si="248"/>
        <v>582.44731256751265</v>
      </c>
      <c r="O775" s="6">
        <f t="shared" si="249"/>
        <v>203.44731256751265</v>
      </c>
      <c r="P775" s="6">
        <f t="shared" si="250"/>
        <v>177.10081492604115</v>
      </c>
      <c r="Q775" s="6">
        <f t="shared" si="251"/>
        <v>0</v>
      </c>
      <c r="R775" s="6">
        <f t="shared" si="252"/>
        <v>0</v>
      </c>
      <c r="S775" s="6">
        <f t="shared" si="253"/>
        <v>177.10081492604115</v>
      </c>
      <c r="T775" s="6" t="str">
        <f>IF(MOD(C775-Settings!$B$32,Settings!$B$33)&lt;Settings!$B$30,"Up","Down")</f>
        <v>Up</v>
      </c>
      <c r="U775" s="6">
        <f>IF(OR(I775&gt;Settings!$B$30,O775&gt;Settings!$B$37),0,1)</f>
        <v>1</v>
      </c>
      <c r="V775" s="6">
        <f>IF(AND(U775=1,O775&lt;=Settings!$B$36),1,0)</f>
        <v>0</v>
      </c>
    </row>
    <row r="776" spans="1:22" x14ac:dyDescent="0.2">
      <c r="A776">
        <f>Arrivals!A776</f>
        <v>7</v>
      </c>
      <c r="B776">
        <f>Arrivals!B776</f>
        <v>51</v>
      </c>
      <c r="C776" s="6">
        <f>Arrivals!F776</f>
        <v>384</v>
      </c>
      <c r="D776" s="6">
        <f>Arrivals!J776</f>
        <v>17.832095784794763</v>
      </c>
      <c r="E776" s="6">
        <f t="shared" si="254"/>
        <v>576.42731256751267</v>
      </c>
      <c r="F776" s="6">
        <f t="shared" si="245"/>
        <v>576.42731256751267</v>
      </c>
      <c r="G776" s="6">
        <f t="shared" si="246"/>
        <v>594.25940835230745</v>
      </c>
      <c r="H776" s="6">
        <f>Arrivals!L776</f>
        <v>75</v>
      </c>
      <c r="I776" s="6">
        <f>H776*8/ACE_Input!S56+ACE_Input!T56</f>
        <v>6.02</v>
      </c>
      <c r="J776" s="6">
        <f t="shared" si="255"/>
        <v>582.44731256751265</v>
      </c>
      <c r="K776" s="6">
        <f t="shared" si="247"/>
        <v>594.25940835230745</v>
      </c>
      <c r="L776" s="6">
        <f>MOD(K776-Settings!$B$32,Settings!$B$33)</f>
        <v>594.25940835230745</v>
      </c>
      <c r="M776" s="6">
        <f>IF(L776&lt;Settings!$B$30,IF(Settings!$B$30-L776&gt;=I776,K776,K776+(Settings!$B$30-L776)+Settings!$B$31),K776+(Settings!$B$33-L776))</f>
        <v>720</v>
      </c>
      <c r="N776" s="6">
        <f t="shared" si="248"/>
        <v>726.02</v>
      </c>
      <c r="O776" s="6">
        <f t="shared" si="249"/>
        <v>342.02</v>
      </c>
      <c r="P776" s="6">
        <f t="shared" si="250"/>
        <v>192.42731256751267</v>
      </c>
      <c r="Q776" s="6">
        <f t="shared" si="251"/>
        <v>0</v>
      </c>
      <c r="R776" s="6">
        <f t="shared" si="252"/>
        <v>125.74059164769255</v>
      </c>
      <c r="S776" s="6">
        <f t="shared" si="253"/>
        <v>318.16790421520523</v>
      </c>
      <c r="T776" s="6" t="str">
        <f>IF(MOD(C776-Settings!$B$32,Settings!$B$33)&lt;Settings!$B$30,"Up","Down")</f>
        <v>Up</v>
      </c>
      <c r="U776" s="6">
        <f>IF(OR(I776&gt;Settings!$B$30,O776&gt;Settings!$B$37),0,1)</f>
        <v>1</v>
      </c>
      <c r="V776" s="6">
        <f>IF(AND(U776=1,O776&lt;=Settings!$B$36),1,0)</f>
        <v>0</v>
      </c>
    </row>
    <row r="777" spans="1:22" x14ac:dyDescent="0.2">
      <c r="A777">
        <f>Arrivals!A777</f>
        <v>7</v>
      </c>
      <c r="B777">
        <f>Arrivals!B777</f>
        <v>52</v>
      </c>
      <c r="C777" s="6">
        <f>Arrivals!F777</f>
        <v>389</v>
      </c>
      <c r="D777" s="6">
        <f>Arrivals!J777</f>
        <v>0.1259160899043108</v>
      </c>
      <c r="E777" s="6">
        <f t="shared" si="254"/>
        <v>594.25940835230745</v>
      </c>
      <c r="F777" s="6">
        <f t="shared" si="245"/>
        <v>594.25940835230745</v>
      </c>
      <c r="G777" s="6">
        <f t="shared" si="246"/>
        <v>594.38532444221175</v>
      </c>
      <c r="H777" s="6">
        <f>Arrivals!L777</f>
        <v>75</v>
      </c>
      <c r="I777" s="6">
        <f>H777*8/ACE_Input!S57+ACE_Input!T57</f>
        <v>6.02</v>
      </c>
      <c r="J777" s="6">
        <f t="shared" si="255"/>
        <v>726.02</v>
      </c>
      <c r="K777" s="6">
        <f t="shared" si="247"/>
        <v>726.02</v>
      </c>
      <c r="L777" s="6">
        <f>MOD(K777-Settings!$B$32,Settings!$B$33)</f>
        <v>6.0199999999999818</v>
      </c>
      <c r="M777" s="6">
        <f>IF(L777&lt;Settings!$B$30,IF(Settings!$B$30-L777&gt;=I777,K777,K777+(Settings!$B$30-L777)+Settings!$B$31),K777+(Settings!$B$33-L777))</f>
        <v>726.02</v>
      </c>
      <c r="N777" s="6">
        <f t="shared" si="248"/>
        <v>732.04</v>
      </c>
      <c r="O777" s="6">
        <f t="shared" si="249"/>
        <v>343.03999999999996</v>
      </c>
      <c r="P777" s="6">
        <f t="shared" si="250"/>
        <v>205.25940835230745</v>
      </c>
      <c r="Q777" s="6">
        <f t="shared" si="251"/>
        <v>131.63467555778823</v>
      </c>
      <c r="R777" s="6">
        <f t="shared" si="252"/>
        <v>0</v>
      </c>
      <c r="S777" s="6">
        <f t="shared" si="253"/>
        <v>336.89408391009567</v>
      </c>
      <c r="T777" s="6" t="str">
        <f>IF(MOD(C777-Settings!$B$32,Settings!$B$33)&lt;Settings!$B$30,"Up","Down")</f>
        <v>Up</v>
      </c>
      <c r="U777" s="6">
        <f>IF(OR(I777&gt;Settings!$B$30,O777&gt;Settings!$B$37),0,1)</f>
        <v>1</v>
      </c>
      <c r="V777" s="6">
        <f>IF(AND(U777=1,O777&lt;=Settings!$B$36),1,0)</f>
        <v>0</v>
      </c>
    </row>
    <row r="778" spans="1:22" x14ac:dyDescent="0.2">
      <c r="A778">
        <f>Arrivals!A778</f>
        <v>7</v>
      </c>
      <c r="B778">
        <f>Arrivals!B778</f>
        <v>53</v>
      </c>
      <c r="C778" s="6">
        <f>Arrivals!F778</f>
        <v>394</v>
      </c>
      <c r="D778" s="6">
        <f>Arrivals!J778</f>
        <v>6.8289248343221232</v>
      </c>
      <c r="E778" s="6">
        <f t="shared" si="254"/>
        <v>594.38532444221175</v>
      </c>
      <c r="F778" s="6">
        <f t="shared" si="245"/>
        <v>594.38532444221175</v>
      </c>
      <c r="G778" s="6">
        <f t="shared" si="246"/>
        <v>601.21424927653391</v>
      </c>
      <c r="H778" s="6">
        <f>Arrivals!L778</f>
        <v>75</v>
      </c>
      <c r="I778" s="6">
        <f>H778*8/ACE_Input!S58+ACE_Input!T58</f>
        <v>6.02</v>
      </c>
      <c r="J778" s="6">
        <f t="shared" si="255"/>
        <v>732.04</v>
      </c>
      <c r="K778" s="6">
        <f t="shared" si="247"/>
        <v>732.04</v>
      </c>
      <c r="L778" s="6">
        <f>MOD(K778-Settings!$B$32,Settings!$B$33)</f>
        <v>12.039999999999964</v>
      </c>
      <c r="M778" s="6">
        <f>IF(L778&lt;Settings!$B$30,IF(Settings!$B$30-L778&gt;=I778,K778,K778+(Settings!$B$30-L778)+Settings!$B$31),K778+(Settings!$B$33-L778))</f>
        <v>732.04</v>
      </c>
      <c r="N778" s="6">
        <f t="shared" si="248"/>
        <v>738.06</v>
      </c>
      <c r="O778" s="6">
        <f t="shared" si="249"/>
        <v>344.05999999999995</v>
      </c>
      <c r="P778" s="6">
        <f t="shared" si="250"/>
        <v>200.38532444221175</v>
      </c>
      <c r="Q778" s="6">
        <f t="shared" si="251"/>
        <v>130.82575072346606</v>
      </c>
      <c r="R778" s="6">
        <f t="shared" si="252"/>
        <v>0</v>
      </c>
      <c r="S778" s="6">
        <f t="shared" si="253"/>
        <v>331.21107516567781</v>
      </c>
      <c r="T778" s="6" t="str">
        <f>IF(MOD(C778-Settings!$B$32,Settings!$B$33)&lt;Settings!$B$30,"Up","Down")</f>
        <v>Up</v>
      </c>
      <c r="U778" s="6">
        <f>IF(OR(I778&gt;Settings!$B$30,O778&gt;Settings!$B$37),0,1)</f>
        <v>1</v>
      </c>
      <c r="V778" s="6">
        <f>IF(AND(U778=1,O778&lt;=Settings!$B$36),1,0)</f>
        <v>0</v>
      </c>
    </row>
    <row r="779" spans="1:22" x14ac:dyDescent="0.2">
      <c r="A779">
        <f>Arrivals!A779</f>
        <v>7</v>
      </c>
      <c r="B779">
        <f>Arrivals!B779</f>
        <v>54</v>
      </c>
      <c r="C779" s="6">
        <f>Arrivals!F779</f>
        <v>399</v>
      </c>
      <c r="D779" s="6">
        <f>Arrivals!J779</f>
        <v>6.9074795813593344</v>
      </c>
      <c r="E779" s="6">
        <f t="shared" si="254"/>
        <v>601.21424927653391</v>
      </c>
      <c r="F779" s="6">
        <f t="shared" si="245"/>
        <v>601.21424927653391</v>
      </c>
      <c r="G779" s="6">
        <f t="shared" si="246"/>
        <v>608.12172885789323</v>
      </c>
      <c r="H779" s="6">
        <f>Arrivals!L779</f>
        <v>75</v>
      </c>
      <c r="I779" s="6">
        <f>H779*8/ACE_Input!S59+ACE_Input!T59</f>
        <v>6.02</v>
      </c>
      <c r="J779" s="6">
        <f t="shared" si="255"/>
        <v>738.06</v>
      </c>
      <c r="K779" s="6">
        <f t="shared" si="247"/>
        <v>738.06</v>
      </c>
      <c r="L779" s="6">
        <f>MOD(K779-Settings!$B$32,Settings!$B$33)</f>
        <v>18.059999999999945</v>
      </c>
      <c r="M779" s="6">
        <f>IF(L779&lt;Settings!$B$30,IF(Settings!$B$30-L779&gt;=I779,K779,K779+(Settings!$B$30-L779)+Settings!$B$31),K779+(Settings!$B$33-L779))</f>
        <v>738.06</v>
      </c>
      <c r="N779" s="6">
        <f t="shared" si="248"/>
        <v>744.07999999999993</v>
      </c>
      <c r="O779" s="6">
        <f t="shared" si="249"/>
        <v>345.07999999999993</v>
      </c>
      <c r="P779" s="6">
        <f t="shared" si="250"/>
        <v>202.21424927653391</v>
      </c>
      <c r="Q779" s="6">
        <f t="shared" si="251"/>
        <v>129.93827114210671</v>
      </c>
      <c r="R779" s="6">
        <f t="shared" si="252"/>
        <v>0</v>
      </c>
      <c r="S779" s="6">
        <f t="shared" si="253"/>
        <v>332.15252041864062</v>
      </c>
      <c r="T779" s="6" t="str">
        <f>IF(MOD(C779-Settings!$B$32,Settings!$B$33)&lt;Settings!$B$30,"Up","Down")</f>
        <v>Up</v>
      </c>
      <c r="U779" s="6">
        <f>IF(OR(I779&gt;Settings!$B$30,O779&gt;Settings!$B$37),0,1)</f>
        <v>1</v>
      </c>
      <c r="V779" s="6">
        <f>IF(AND(U779=1,O779&lt;=Settings!$B$36),1,0)</f>
        <v>0</v>
      </c>
    </row>
    <row r="780" spans="1:22" x14ac:dyDescent="0.2">
      <c r="A780">
        <f>Arrivals!A780</f>
        <v>7</v>
      </c>
      <c r="B780">
        <f>Arrivals!B780</f>
        <v>55</v>
      </c>
      <c r="C780" s="6">
        <f>Arrivals!F780</f>
        <v>404</v>
      </c>
      <c r="D780" s="6">
        <f>Arrivals!J780</f>
        <v>8.6142949469007633</v>
      </c>
      <c r="E780" s="6">
        <f t="shared" si="254"/>
        <v>608.12172885789323</v>
      </c>
      <c r="F780" s="6">
        <f t="shared" si="245"/>
        <v>608.12172885789323</v>
      </c>
      <c r="G780" s="6">
        <f t="shared" si="246"/>
        <v>616.73602380479394</v>
      </c>
      <c r="H780" s="6">
        <f>Arrivals!L780</f>
        <v>75</v>
      </c>
      <c r="I780" s="6">
        <f>H780*8/ACE_Input!S60+ACE_Input!T60</f>
        <v>6.02</v>
      </c>
      <c r="J780" s="6">
        <f t="shared" si="255"/>
        <v>744.07999999999993</v>
      </c>
      <c r="K780" s="6">
        <f t="shared" si="247"/>
        <v>744.07999999999993</v>
      </c>
      <c r="L780" s="6">
        <f>MOD(K780-Settings!$B$32,Settings!$B$33)</f>
        <v>24.079999999999927</v>
      </c>
      <c r="M780" s="6">
        <f>IF(L780&lt;Settings!$B$30,IF(Settings!$B$30-L780&gt;=I780,K780,K780+(Settings!$B$30-L780)+Settings!$B$31),K780+(Settings!$B$33-L780))</f>
        <v>744.07999999999993</v>
      </c>
      <c r="N780" s="6">
        <f t="shared" si="248"/>
        <v>750.09999999999991</v>
      </c>
      <c r="O780" s="6">
        <f t="shared" si="249"/>
        <v>346.09999999999991</v>
      </c>
      <c r="P780" s="6">
        <f t="shared" si="250"/>
        <v>204.12172885789323</v>
      </c>
      <c r="Q780" s="6">
        <f t="shared" si="251"/>
        <v>127.34397619520598</v>
      </c>
      <c r="R780" s="6">
        <f t="shared" si="252"/>
        <v>0</v>
      </c>
      <c r="S780" s="6">
        <f t="shared" si="253"/>
        <v>331.46570505309921</v>
      </c>
      <c r="T780" s="6" t="str">
        <f>IF(MOD(C780-Settings!$B$32,Settings!$B$33)&lt;Settings!$B$30,"Up","Down")</f>
        <v>Up</v>
      </c>
      <c r="U780" s="6">
        <f>IF(OR(I780&gt;Settings!$B$30,O780&gt;Settings!$B$37),0,1)</f>
        <v>1</v>
      </c>
      <c r="V780" s="6">
        <f>IF(AND(U780=1,O780&lt;=Settings!$B$36),1,0)</f>
        <v>0</v>
      </c>
    </row>
    <row r="781" spans="1:22" x14ac:dyDescent="0.2">
      <c r="A781">
        <f>Arrivals!A781</f>
        <v>7</v>
      </c>
      <c r="B781">
        <f>Arrivals!B781</f>
        <v>56</v>
      </c>
      <c r="C781" s="6">
        <f>Arrivals!F781</f>
        <v>409</v>
      </c>
      <c r="D781" s="6">
        <f>Arrivals!J781</f>
        <v>11.359864961139124</v>
      </c>
      <c r="E781" s="6">
        <f t="shared" si="254"/>
        <v>616.73602380479394</v>
      </c>
      <c r="F781" s="6">
        <f t="shared" si="245"/>
        <v>616.73602380479394</v>
      </c>
      <c r="G781" s="6">
        <f t="shared" si="246"/>
        <v>628.09588876593307</v>
      </c>
      <c r="H781" s="6">
        <f>Arrivals!L781</f>
        <v>75</v>
      </c>
      <c r="I781" s="6">
        <f>H781*8/ACE_Input!S61+ACE_Input!T61</f>
        <v>6.02</v>
      </c>
      <c r="J781" s="6">
        <f t="shared" si="255"/>
        <v>750.09999999999991</v>
      </c>
      <c r="K781" s="6">
        <f t="shared" si="247"/>
        <v>750.09999999999991</v>
      </c>
      <c r="L781" s="6">
        <f>MOD(K781-Settings!$B$32,Settings!$B$33)</f>
        <v>30.099999999999909</v>
      </c>
      <c r="M781" s="6">
        <f>IF(L781&lt;Settings!$B$30,IF(Settings!$B$30-L781&gt;=I781,K781,K781+(Settings!$B$30-L781)+Settings!$B$31),K781+(Settings!$B$33-L781))</f>
        <v>750.09999999999991</v>
      </c>
      <c r="N781" s="6">
        <f t="shared" si="248"/>
        <v>756.11999999999989</v>
      </c>
      <c r="O781" s="6">
        <f t="shared" si="249"/>
        <v>347.11999999999989</v>
      </c>
      <c r="P781" s="6">
        <f t="shared" si="250"/>
        <v>207.73602380479394</v>
      </c>
      <c r="Q781" s="6">
        <f t="shared" si="251"/>
        <v>122.00411123406684</v>
      </c>
      <c r="R781" s="6">
        <f t="shared" si="252"/>
        <v>0</v>
      </c>
      <c r="S781" s="6">
        <f t="shared" si="253"/>
        <v>329.74013503886079</v>
      </c>
      <c r="T781" s="6" t="str">
        <f>IF(MOD(C781-Settings!$B$32,Settings!$B$33)&lt;Settings!$B$30,"Up","Down")</f>
        <v>Up</v>
      </c>
      <c r="U781" s="6">
        <f>IF(OR(I781&gt;Settings!$B$30,O781&gt;Settings!$B$37),0,1)</f>
        <v>1</v>
      </c>
      <c r="V781" s="6">
        <f>IF(AND(U781=1,O781&lt;=Settings!$B$36),1,0)</f>
        <v>0</v>
      </c>
    </row>
    <row r="782" spans="1:22" x14ac:dyDescent="0.2">
      <c r="A782">
        <f>Arrivals!A782</f>
        <v>7</v>
      </c>
      <c r="B782">
        <f>Arrivals!B782</f>
        <v>57</v>
      </c>
      <c r="C782" s="6">
        <f>Arrivals!F782</f>
        <v>414</v>
      </c>
      <c r="D782" s="6">
        <f>Arrivals!J782</f>
        <v>3.7364257285432183</v>
      </c>
      <c r="E782" s="6">
        <f t="shared" si="254"/>
        <v>628.09588876593307</v>
      </c>
      <c r="F782" s="6">
        <f t="shared" si="245"/>
        <v>628.09588876593307</v>
      </c>
      <c r="G782" s="6">
        <f t="shared" si="246"/>
        <v>631.83231449447624</v>
      </c>
      <c r="H782" s="6">
        <f>Arrivals!L782</f>
        <v>75</v>
      </c>
      <c r="I782" s="6">
        <f>H782*8/ACE_Input!S62+ACE_Input!T62</f>
        <v>6.02</v>
      </c>
      <c r="J782" s="6">
        <f t="shared" si="255"/>
        <v>756.11999999999989</v>
      </c>
      <c r="K782" s="6">
        <f t="shared" si="247"/>
        <v>756.11999999999989</v>
      </c>
      <c r="L782" s="6">
        <f>MOD(K782-Settings!$B$32,Settings!$B$33)</f>
        <v>36.119999999999891</v>
      </c>
      <c r="M782" s="6">
        <f>IF(L782&lt;Settings!$B$30,IF(Settings!$B$30-L782&gt;=I782,K782,K782+(Settings!$B$30-L782)+Settings!$B$31),K782+(Settings!$B$33-L782))</f>
        <v>756.11999999999989</v>
      </c>
      <c r="N782" s="6">
        <f t="shared" si="248"/>
        <v>762.13999999999987</v>
      </c>
      <c r="O782" s="6">
        <f t="shared" si="249"/>
        <v>348.13999999999987</v>
      </c>
      <c r="P782" s="6">
        <f t="shared" si="250"/>
        <v>214.09588876593307</v>
      </c>
      <c r="Q782" s="6">
        <f t="shared" si="251"/>
        <v>124.28768550552365</v>
      </c>
      <c r="R782" s="6">
        <f t="shared" si="252"/>
        <v>0</v>
      </c>
      <c r="S782" s="6">
        <f t="shared" si="253"/>
        <v>338.38357427145672</v>
      </c>
      <c r="T782" s="6" t="str">
        <f>IF(MOD(C782-Settings!$B$32,Settings!$B$33)&lt;Settings!$B$30,"Up","Down")</f>
        <v>Up</v>
      </c>
      <c r="U782" s="6">
        <f>IF(OR(I782&gt;Settings!$B$30,O782&gt;Settings!$B$37),0,1)</f>
        <v>1</v>
      </c>
      <c r="V782" s="6">
        <f>IF(AND(U782=1,O782&lt;=Settings!$B$36),1,0)</f>
        <v>0</v>
      </c>
    </row>
    <row r="783" spans="1:22" x14ac:dyDescent="0.2">
      <c r="A783">
        <f>Arrivals!A783</f>
        <v>7</v>
      </c>
      <c r="B783">
        <f>Arrivals!B783</f>
        <v>58</v>
      </c>
      <c r="C783" s="6">
        <f>Arrivals!F783</f>
        <v>419</v>
      </c>
      <c r="D783" s="6">
        <f>Arrivals!J783</f>
        <v>20.50130830810977</v>
      </c>
      <c r="E783" s="6">
        <f t="shared" si="254"/>
        <v>631.83231449447624</v>
      </c>
      <c r="F783" s="6">
        <f t="shared" si="245"/>
        <v>631.83231449447624</v>
      </c>
      <c r="G783" s="6">
        <f t="shared" si="246"/>
        <v>652.33362280258598</v>
      </c>
      <c r="H783" s="6">
        <f>Arrivals!L783</f>
        <v>75</v>
      </c>
      <c r="I783" s="6">
        <f>H783*8/ACE_Input!S63+ACE_Input!T63</f>
        <v>6.02</v>
      </c>
      <c r="J783" s="6">
        <f t="shared" si="255"/>
        <v>762.13999999999987</v>
      </c>
      <c r="K783" s="6">
        <f t="shared" si="247"/>
        <v>762.13999999999987</v>
      </c>
      <c r="L783" s="6">
        <f>MOD(K783-Settings!$B$32,Settings!$B$33)</f>
        <v>42.139999999999873</v>
      </c>
      <c r="M783" s="6">
        <f>IF(L783&lt;Settings!$B$30,IF(Settings!$B$30-L783&gt;=I783,K783,K783+(Settings!$B$30-L783)+Settings!$B$31),K783+(Settings!$B$33-L783))</f>
        <v>762.13999999999987</v>
      </c>
      <c r="N783" s="6">
        <f t="shared" si="248"/>
        <v>768.15999999999985</v>
      </c>
      <c r="O783" s="6">
        <f t="shared" si="249"/>
        <v>349.15999999999985</v>
      </c>
      <c r="P783" s="6">
        <f t="shared" si="250"/>
        <v>212.83231449447624</v>
      </c>
      <c r="Q783" s="6">
        <f t="shared" si="251"/>
        <v>109.80637719741389</v>
      </c>
      <c r="R783" s="6">
        <f t="shared" si="252"/>
        <v>0</v>
      </c>
      <c r="S783" s="6">
        <f t="shared" si="253"/>
        <v>322.63869169189013</v>
      </c>
      <c r="T783" s="6" t="str">
        <f>IF(MOD(C783-Settings!$B$32,Settings!$B$33)&lt;Settings!$B$30,"Up","Down")</f>
        <v>Up</v>
      </c>
      <c r="U783" s="6">
        <f>IF(OR(I783&gt;Settings!$B$30,O783&gt;Settings!$B$37),0,1)</f>
        <v>1</v>
      </c>
      <c r="V783" s="6">
        <f>IF(AND(U783=1,O783&lt;=Settings!$B$36),1,0)</f>
        <v>0</v>
      </c>
    </row>
    <row r="784" spans="1:22" x14ac:dyDescent="0.2">
      <c r="A784">
        <f>Arrivals!A784</f>
        <v>7</v>
      </c>
      <c r="B784">
        <f>Arrivals!B784</f>
        <v>59</v>
      </c>
      <c r="C784" s="6">
        <f>Arrivals!F784</f>
        <v>424</v>
      </c>
      <c r="D784" s="6">
        <f>Arrivals!J784</f>
        <v>7.1740243685063998</v>
      </c>
      <c r="E784" s="6">
        <f t="shared" si="254"/>
        <v>652.33362280258598</v>
      </c>
      <c r="F784" s="6">
        <f t="shared" si="245"/>
        <v>652.33362280258598</v>
      </c>
      <c r="G784" s="6">
        <f t="shared" si="246"/>
        <v>659.50764717109234</v>
      </c>
      <c r="H784" s="6">
        <f>Arrivals!L784</f>
        <v>75</v>
      </c>
      <c r="I784" s="6">
        <f>H784*8/ACE_Input!S64+ACE_Input!T64</f>
        <v>6.02</v>
      </c>
      <c r="J784" s="6">
        <f t="shared" si="255"/>
        <v>768.15999999999985</v>
      </c>
      <c r="K784" s="6">
        <f t="shared" si="247"/>
        <v>768.15999999999985</v>
      </c>
      <c r="L784" s="6">
        <f>MOD(K784-Settings!$B$32,Settings!$B$33)</f>
        <v>48.159999999999854</v>
      </c>
      <c r="M784" s="6">
        <f>IF(L784&lt;Settings!$B$30,IF(Settings!$B$30-L784&gt;=I784,K784,K784+(Settings!$B$30-L784)+Settings!$B$31),K784+(Settings!$B$33-L784))</f>
        <v>768.15999999999985</v>
      </c>
      <c r="N784" s="6">
        <f t="shared" si="248"/>
        <v>774.17999999999984</v>
      </c>
      <c r="O784" s="6">
        <f t="shared" si="249"/>
        <v>350.17999999999984</v>
      </c>
      <c r="P784" s="6">
        <f t="shared" si="250"/>
        <v>228.33362280258598</v>
      </c>
      <c r="Q784" s="6">
        <f t="shared" si="251"/>
        <v>108.65235282890751</v>
      </c>
      <c r="R784" s="6">
        <f t="shared" si="252"/>
        <v>0</v>
      </c>
      <c r="S784" s="6">
        <f t="shared" si="253"/>
        <v>336.98597563149349</v>
      </c>
      <c r="T784" s="6" t="str">
        <f>IF(MOD(C784-Settings!$B$32,Settings!$B$33)&lt;Settings!$B$30,"Up","Down")</f>
        <v>Up</v>
      </c>
      <c r="U784" s="6">
        <f>IF(OR(I784&gt;Settings!$B$30,O784&gt;Settings!$B$37),0,1)</f>
        <v>1</v>
      </c>
      <c r="V784" s="6">
        <f>IF(AND(U784=1,O784&lt;=Settings!$B$36),1,0)</f>
        <v>0</v>
      </c>
    </row>
    <row r="785" spans="1:22" x14ac:dyDescent="0.2">
      <c r="A785">
        <f>Arrivals!A785</f>
        <v>7</v>
      </c>
      <c r="B785">
        <f>Arrivals!B785</f>
        <v>60</v>
      </c>
      <c r="C785" s="6">
        <f>Arrivals!F785</f>
        <v>429</v>
      </c>
      <c r="D785" s="6">
        <f>Arrivals!J785</f>
        <v>1.7385122329148688</v>
      </c>
      <c r="E785" s="6">
        <f t="shared" si="254"/>
        <v>659.50764717109234</v>
      </c>
      <c r="F785" s="6">
        <f t="shared" si="245"/>
        <v>659.50764717109234</v>
      </c>
      <c r="G785" s="6">
        <f t="shared" si="246"/>
        <v>661.24615940400724</v>
      </c>
      <c r="H785" s="6">
        <f>Arrivals!L785</f>
        <v>75</v>
      </c>
      <c r="I785" s="6">
        <f>H785*8/ACE_Input!S65+ACE_Input!T65</f>
        <v>6.02</v>
      </c>
      <c r="J785" s="6">
        <f t="shared" si="255"/>
        <v>774.17999999999984</v>
      </c>
      <c r="K785" s="6">
        <f t="shared" si="247"/>
        <v>774.17999999999984</v>
      </c>
      <c r="L785" s="6">
        <f>MOD(K785-Settings!$B$32,Settings!$B$33)</f>
        <v>54.179999999999836</v>
      </c>
      <c r="M785" s="6">
        <f>IF(L785&lt;Settings!$B$30,IF(Settings!$B$30-L785&gt;=I785,K785,K785+(Settings!$B$30-L785)+Settings!$B$31),K785+(Settings!$B$33-L785))</f>
        <v>774.17999999999984</v>
      </c>
      <c r="N785" s="6">
        <f t="shared" si="248"/>
        <v>780.19999999999982</v>
      </c>
      <c r="O785" s="6">
        <f t="shared" si="249"/>
        <v>351.19999999999982</v>
      </c>
      <c r="P785" s="6">
        <f t="shared" si="250"/>
        <v>230.50764717109234</v>
      </c>
      <c r="Q785" s="6">
        <f t="shared" si="251"/>
        <v>112.93384059599259</v>
      </c>
      <c r="R785" s="6">
        <f t="shared" si="252"/>
        <v>0</v>
      </c>
      <c r="S785" s="6">
        <f t="shared" si="253"/>
        <v>343.44148776708494</v>
      </c>
      <c r="T785" s="6" t="str">
        <f>IF(MOD(C785-Settings!$B$32,Settings!$B$33)&lt;Settings!$B$30,"Up","Down")</f>
        <v>Up</v>
      </c>
      <c r="U785" s="6">
        <f>IF(OR(I785&gt;Settings!$B$30,O785&gt;Settings!$B$37),0,1)</f>
        <v>1</v>
      </c>
      <c r="V785" s="6">
        <f>IF(AND(U785=1,O785&lt;=Settings!$B$36),1,0)</f>
        <v>0</v>
      </c>
    </row>
    <row r="786" spans="1:22" x14ac:dyDescent="0.2">
      <c r="A786">
        <f>Arrivals!A786</f>
        <v>7</v>
      </c>
      <c r="B786">
        <f>Arrivals!B786</f>
        <v>61</v>
      </c>
      <c r="C786" s="6">
        <f>Arrivals!F786</f>
        <v>434</v>
      </c>
      <c r="D786" s="6">
        <f>Arrivals!J786</f>
        <v>17.51799147765999</v>
      </c>
      <c r="E786" s="6">
        <f t="shared" si="254"/>
        <v>661.24615940400724</v>
      </c>
      <c r="F786" s="6">
        <f t="shared" si="245"/>
        <v>661.24615940400724</v>
      </c>
      <c r="G786" s="6">
        <f t="shared" si="246"/>
        <v>678.76415088166721</v>
      </c>
      <c r="H786" s="6">
        <f>Arrivals!L786</f>
        <v>75</v>
      </c>
      <c r="I786" s="6">
        <f>H786*8/ACE_Input!S66+ACE_Input!T66</f>
        <v>6.02</v>
      </c>
      <c r="J786" s="6">
        <f t="shared" si="255"/>
        <v>780.19999999999982</v>
      </c>
      <c r="K786" s="6">
        <f t="shared" si="247"/>
        <v>780.19999999999982</v>
      </c>
      <c r="L786" s="6">
        <f>MOD(K786-Settings!$B$32,Settings!$B$33)</f>
        <v>60.199999999999818</v>
      </c>
      <c r="M786" s="6">
        <f>IF(L786&lt;Settings!$B$30,IF(Settings!$B$30-L786&gt;=I786,K786,K786+(Settings!$B$30-L786)+Settings!$B$31),K786+(Settings!$B$33-L786))</f>
        <v>780.19999999999982</v>
      </c>
      <c r="N786" s="6">
        <f t="shared" si="248"/>
        <v>786.2199999999998</v>
      </c>
      <c r="O786" s="6">
        <f t="shared" si="249"/>
        <v>352.2199999999998</v>
      </c>
      <c r="P786" s="6">
        <f t="shared" si="250"/>
        <v>227.24615940400724</v>
      </c>
      <c r="Q786" s="6">
        <f t="shared" si="251"/>
        <v>101.43584911833261</v>
      </c>
      <c r="R786" s="6">
        <f t="shared" si="252"/>
        <v>0</v>
      </c>
      <c r="S786" s="6">
        <f t="shared" si="253"/>
        <v>328.68200852233986</v>
      </c>
      <c r="T786" s="6" t="str">
        <f>IF(MOD(C786-Settings!$B$32,Settings!$B$33)&lt;Settings!$B$30,"Up","Down")</f>
        <v>Up</v>
      </c>
      <c r="U786" s="6">
        <f>IF(OR(I786&gt;Settings!$B$30,O786&gt;Settings!$B$37),0,1)</f>
        <v>1</v>
      </c>
      <c r="V786" s="6">
        <f>IF(AND(U786=1,O786&lt;=Settings!$B$36),1,0)</f>
        <v>0</v>
      </c>
    </row>
    <row r="787" spans="1:22" x14ac:dyDescent="0.2">
      <c r="A787">
        <f>Arrivals!A787</f>
        <v>7</v>
      </c>
      <c r="B787">
        <f>Arrivals!B787</f>
        <v>62</v>
      </c>
      <c r="C787" s="6">
        <f>Arrivals!F787</f>
        <v>439</v>
      </c>
      <c r="D787" s="6">
        <f>Arrivals!J787</f>
        <v>1.9724321373608609</v>
      </c>
      <c r="E787" s="6">
        <f t="shared" si="254"/>
        <v>678.76415088166721</v>
      </c>
      <c r="F787" s="6">
        <f t="shared" si="245"/>
        <v>678.76415088166721</v>
      </c>
      <c r="G787" s="6">
        <f t="shared" si="246"/>
        <v>680.7365830190281</v>
      </c>
      <c r="H787" s="6">
        <f>Arrivals!L787</f>
        <v>75</v>
      </c>
      <c r="I787" s="6">
        <f>H787*8/ACE_Input!S67+ACE_Input!T67</f>
        <v>6.02</v>
      </c>
      <c r="J787" s="6">
        <f t="shared" si="255"/>
        <v>786.2199999999998</v>
      </c>
      <c r="K787" s="6">
        <f t="shared" si="247"/>
        <v>786.2199999999998</v>
      </c>
      <c r="L787" s="6">
        <f>MOD(K787-Settings!$B$32,Settings!$B$33)</f>
        <v>66.2199999999998</v>
      </c>
      <c r="M787" s="6">
        <f>IF(L787&lt;Settings!$B$30,IF(Settings!$B$30-L787&gt;=I787,K787,K787+(Settings!$B$30-L787)+Settings!$B$31),K787+(Settings!$B$33-L787))</f>
        <v>786.2199999999998</v>
      </c>
      <c r="N787" s="6">
        <f t="shared" si="248"/>
        <v>792.23999999999978</v>
      </c>
      <c r="O787" s="6">
        <f t="shared" si="249"/>
        <v>353.23999999999978</v>
      </c>
      <c r="P787" s="6">
        <f t="shared" si="250"/>
        <v>239.76415088166721</v>
      </c>
      <c r="Q787" s="6">
        <f t="shared" si="251"/>
        <v>105.4834169809717</v>
      </c>
      <c r="R787" s="6">
        <f t="shared" si="252"/>
        <v>0</v>
      </c>
      <c r="S787" s="6">
        <f t="shared" si="253"/>
        <v>345.2475678626389</v>
      </c>
      <c r="T787" s="6" t="str">
        <f>IF(MOD(C787-Settings!$B$32,Settings!$B$33)&lt;Settings!$B$30,"Up","Down")</f>
        <v>Up</v>
      </c>
      <c r="U787" s="6">
        <f>IF(OR(I787&gt;Settings!$B$30,O787&gt;Settings!$B$37),0,1)</f>
        <v>1</v>
      </c>
      <c r="V787" s="6">
        <f>IF(AND(U787=1,O787&lt;=Settings!$B$36),1,0)</f>
        <v>0</v>
      </c>
    </row>
    <row r="788" spans="1:22" x14ac:dyDescent="0.2">
      <c r="A788">
        <f>Arrivals!A788</f>
        <v>7</v>
      </c>
      <c r="B788">
        <f>Arrivals!B788</f>
        <v>63</v>
      </c>
      <c r="C788" s="6">
        <f>Arrivals!F788</f>
        <v>444</v>
      </c>
      <c r="D788" s="6">
        <f>Arrivals!J788</f>
        <v>7.4052937057895596</v>
      </c>
      <c r="E788" s="6">
        <f t="shared" si="254"/>
        <v>680.7365830190281</v>
      </c>
      <c r="F788" s="6">
        <f t="shared" si="245"/>
        <v>680.7365830190281</v>
      </c>
      <c r="G788" s="6">
        <f t="shared" si="246"/>
        <v>688.14187672481762</v>
      </c>
      <c r="H788" s="6">
        <f>Arrivals!L788</f>
        <v>75</v>
      </c>
      <c r="I788" s="6">
        <f>H788*8/ACE_Input!S68+ACE_Input!T68</f>
        <v>6.02</v>
      </c>
      <c r="J788" s="6">
        <f t="shared" si="255"/>
        <v>792.23999999999978</v>
      </c>
      <c r="K788" s="6">
        <f t="shared" si="247"/>
        <v>792.23999999999978</v>
      </c>
      <c r="L788" s="6">
        <f>MOD(K788-Settings!$B$32,Settings!$B$33)</f>
        <v>72.239999999999782</v>
      </c>
      <c r="M788" s="6">
        <f>IF(L788&lt;Settings!$B$30,IF(Settings!$B$30-L788&gt;=I788,K788,K788+(Settings!$B$30-L788)+Settings!$B$31),K788+(Settings!$B$33-L788))</f>
        <v>792.23999999999978</v>
      </c>
      <c r="N788" s="6">
        <f t="shared" si="248"/>
        <v>798.25999999999976</v>
      </c>
      <c r="O788" s="6">
        <f t="shared" si="249"/>
        <v>354.25999999999976</v>
      </c>
      <c r="P788" s="6">
        <f t="shared" si="250"/>
        <v>236.7365830190281</v>
      </c>
      <c r="Q788" s="6">
        <f t="shared" si="251"/>
        <v>104.09812327518216</v>
      </c>
      <c r="R788" s="6">
        <f t="shared" si="252"/>
        <v>0</v>
      </c>
      <c r="S788" s="6">
        <f t="shared" si="253"/>
        <v>340.83470629421026</v>
      </c>
      <c r="T788" s="6" t="str">
        <f>IF(MOD(C788-Settings!$B$32,Settings!$B$33)&lt;Settings!$B$30,"Up","Down")</f>
        <v>Up</v>
      </c>
      <c r="U788" s="6">
        <f>IF(OR(I788&gt;Settings!$B$30,O788&gt;Settings!$B$37),0,1)</f>
        <v>1</v>
      </c>
      <c r="V788" s="6">
        <f>IF(AND(U788=1,O788&lt;=Settings!$B$36),1,0)</f>
        <v>0</v>
      </c>
    </row>
    <row r="789" spans="1:22" x14ac:dyDescent="0.2">
      <c r="A789">
        <f>Arrivals!A789</f>
        <v>7</v>
      </c>
      <c r="B789">
        <f>Arrivals!B789</f>
        <v>64</v>
      </c>
      <c r="C789" s="6">
        <f>Arrivals!F789</f>
        <v>449</v>
      </c>
      <c r="D789" s="6">
        <f>Arrivals!J789</f>
        <v>10.43904181516738</v>
      </c>
      <c r="E789" s="6">
        <f t="shared" si="254"/>
        <v>688.14187672481762</v>
      </c>
      <c r="F789" s="6">
        <f t="shared" si="245"/>
        <v>688.14187672481762</v>
      </c>
      <c r="G789" s="6">
        <f t="shared" si="246"/>
        <v>698.58091853998496</v>
      </c>
      <c r="H789" s="6">
        <f>Arrivals!L789</f>
        <v>75</v>
      </c>
      <c r="I789" s="6">
        <f>H789*8/ACE_Input!S69+ACE_Input!T69</f>
        <v>6.02</v>
      </c>
      <c r="J789" s="6">
        <f t="shared" si="255"/>
        <v>798.25999999999976</v>
      </c>
      <c r="K789" s="6">
        <f t="shared" si="247"/>
        <v>798.25999999999976</v>
      </c>
      <c r="L789" s="6">
        <f>MOD(K789-Settings!$B$32,Settings!$B$33)</f>
        <v>78.259999999999764</v>
      </c>
      <c r="M789" s="6">
        <f>IF(L789&lt;Settings!$B$30,IF(Settings!$B$30-L789&gt;=I789,K789,K789+(Settings!$B$30-L789)+Settings!$B$31),K789+(Settings!$B$33-L789))</f>
        <v>798.25999999999976</v>
      </c>
      <c r="N789" s="6">
        <f t="shared" si="248"/>
        <v>804.27999999999975</v>
      </c>
      <c r="O789" s="6">
        <f t="shared" si="249"/>
        <v>355.27999999999975</v>
      </c>
      <c r="P789" s="6">
        <f t="shared" si="250"/>
        <v>239.14187672481762</v>
      </c>
      <c r="Q789" s="6">
        <f t="shared" si="251"/>
        <v>99.6790814600148</v>
      </c>
      <c r="R789" s="6">
        <f t="shared" si="252"/>
        <v>0</v>
      </c>
      <c r="S789" s="6">
        <f t="shared" si="253"/>
        <v>338.82095818483242</v>
      </c>
      <c r="T789" s="6" t="str">
        <f>IF(MOD(C789-Settings!$B$32,Settings!$B$33)&lt;Settings!$B$30,"Up","Down")</f>
        <v>Up</v>
      </c>
      <c r="U789" s="6">
        <f>IF(OR(I789&gt;Settings!$B$30,O789&gt;Settings!$B$37),0,1)</f>
        <v>1</v>
      </c>
      <c r="V789" s="6">
        <f>IF(AND(U789=1,O789&lt;=Settings!$B$36),1,0)</f>
        <v>0</v>
      </c>
    </row>
    <row r="790" spans="1:22" x14ac:dyDescent="0.2">
      <c r="A790">
        <f>Arrivals!A790</f>
        <v>7</v>
      </c>
      <c r="B790">
        <f>Arrivals!B790</f>
        <v>65</v>
      </c>
      <c r="C790" s="6">
        <f>Arrivals!F790</f>
        <v>454</v>
      </c>
      <c r="D790" s="6">
        <f>Arrivals!J790</f>
        <v>1.5210385953990944</v>
      </c>
      <c r="E790" s="6">
        <f t="shared" si="254"/>
        <v>698.58091853998496</v>
      </c>
      <c r="F790" s="6">
        <f t="shared" ref="F790:F821" si="256">MAX(C790,E790)</f>
        <v>698.58091853998496</v>
      </c>
      <c r="G790" s="6">
        <f t="shared" ref="G790:G821" si="257">F790+D790</f>
        <v>700.10195713538405</v>
      </c>
      <c r="H790" s="6">
        <f>Arrivals!L790</f>
        <v>75</v>
      </c>
      <c r="I790" s="6">
        <f>H790*8/ACE_Input!S70+ACE_Input!T70</f>
        <v>6.02</v>
      </c>
      <c r="J790" s="6">
        <f t="shared" si="255"/>
        <v>804.27999999999975</v>
      </c>
      <c r="K790" s="6">
        <f t="shared" ref="K790:K821" si="258">MAX(G790,J790)</f>
        <v>804.27999999999975</v>
      </c>
      <c r="L790" s="6">
        <f>MOD(K790-Settings!$B$32,Settings!$B$33)</f>
        <v>84.279999999999745</v>
      </c>
      <c r="M790" s="6">
        <f>IF(L790&lt;Settings!$B$30,IF(Settings!$B$30-L790&gt;=I790,K790,K790+(Settings!$B$30-L790)+Settings!$B$31),K790+(Settings!$B$33-L790))</f>
        <v>804.27999999999975</v>
      </c>
      <c r="N790" s="6">
        <f t="shared" ref="N790:N821" si="259">M790+I790</f>
        <v>810.29999999999973</v>
      </c>
      <c r="O790" s="6">
        <f t="shared" ref="O790:O821" si="260">N790-C790</f>
        <v>356.29999999999973</v>
      </c>
      <c r="P790" s="6">
        <f t="shared" ref="P790:P825" si="261">F790-C790</f>
        <v>244.58091853998496</v>
      </c>
      <c r="Q790" s="6">
        <f t="shared" ref="Q790:Q825" si="262">K790-G790</f>
        <v>104.17804286461569</v>
      </c>
      <c r="R790" s="6">
        <f t="shared" ref="R790:R825" si="263">M790-K790</f>
        <v>0</v>
      </c>
      <c r="S790" s="6">
        <f t="shared" ref="S790:S821" si="264">P790+Q790+R790</f>
        <v>348.75896140460065</v>
      </c>
      <c r="T790" s="6" t="str">
        <f>IF(MOD(C790-Settings!$B$32,Settings!$B$33)&lt;Settings!$B$30,"Up","Down")</f>
        <v>Up</v>
      </c>
      <c r="U790" s="6">
        <f>IF(OR(I790&gt;Settings!$B$30,O790&gt;Settings!$B$37),0,1)</f>
        <v>1</v>
      </c>
      <c r="V790" s="6">
        <f>IF(AND(U790=1,O790&lt;=Settings!$B$36),1,0)</f>
        <v>0</v>
      </c>
    </row>
    <row r="791" spans="1:22" x14ac:dyDescent="0.2">
      <c r="A791">
        <f>Arrivals!A791</f>
        <v>7</v>
      </c>
      <c r="B791">
        <f>Arrivals!B791</f>
        <v>66</v>
      </c>
      <c r="C791" s="6">
        <f>Arrivals!F791</f>
        <v>459</v>
      </c>
      <c r="D791" s="6">
        <f>Arrivals!J791</f>
        <v>23.230343477033969</v>
      </c>
      <c r="E791" s="6">
        <f t="shared" ref="E791:E825" si="265">G790</f>
        <v>700.10195713538405</v>
      </c>
      <c r="F791" s="6">
        <f t="shared" si="256"/>
        <v>700.10195713538405</v>
      </c>
      <c r="G791" s="6">
        <f t="shared" si="257"/>
        <v>723.33230061241807</v>
      </c>
      <c r="H791" s="6">
        <f>Arrivals!L791</f>
        <v>75</v>
      </c>
      <c r="I791" s="6">
        <f>H791*8/ACE_Input!S71+ACE_Input!T71</f>
        <v>6.02</v>
      </c>
      <c r="J791" s="6">
        <f t="shared" ref="J791:J825" si="266">N790</f>
        <v>810.29999999999973</v>
      </c>
      <c r="K791" s="6">
        <f t="shared" si="258"/>
        <v>810.29999999999973</v>
      </c>
      <c r="L791" s="6">
        <f>MOD(K791-Settings!$B$32,Settings!$B$33)</f>
        <v>90.299999999999727</v>
      </c>
      <c r="M791" s="6">
        <f>IF(L791&lt;Settings!$B$30,IF(Settings!$B$30-L791&gt;=I791,K791,K791+(Settings!$B$30-L791)+Settings!$B$31),K791+(Settings!$B$33-L791))</f>
        <v>810.29999999999973</v>
      </c>
      <c r="N791" s="6">
        <f t="shared" si="259"/>
        <v>816.31999999999971</v>
      </c>
      <c r="O791" s="6">
        <f t="shared" si="260"/>
        <v>357.31999999999971</v>
      </c>
      <c r="P791" s="6">
        <f t="shared" si="261"/>
        <v>241.10195713538405</v>
      </c>
      <c r="Q791" s="6">
        <f t="shared" si="262"/>
        <v>86.967699387581661</v>
      </c>
      <c r="R791" s="6">
        <f t="shared" si="263"/>
        <v>0</v>
      </c>
      <c r="S791" s="6">
        <f t="shared" si="264"/>
        <v>328.06965652296572</v>
      </c>
      <c r="T791" s="6" t="str">
        <f>IF(MOD(C791-Settings!$B$32,Settings!$B$33)&lt;Settings!$B$30,"Up","Down")</f>
        <v>Up</v>
      </c>
      <c r="U791" s="6">
        <f>IF(OR(I791&gt;Settings!$B$30,O791&gt;Settings!$B$37),0,1)</f>
        <v>1</v>
      </c>
      <c r="V791" s="6">
        <f>IF(AND(U791=1,O791&lt;=Settings!$B$36),1,0)</f>
        <v>0</v>
      </c>
    </row>
    <row r="792" spans="1:22" x14ac:dyDescent="0.2">
      <c r="A792">
        <f>Arrivals!A792</f>
        <v>7</v>
      </c>
      <c r="B792">
        <f>Arrivals!B792</f>
        <v>67</v>
      </c>
      <c r="C792" s="6">
        <f>Arrivals!F792</f>
        <v>474</v>
      </c>
      <c r="D792" s="6">
        <f>Arrivals!J792</f>
        <v>16.764507089053055</v>
      </c>
      <c r="E792" s="6">
        <f t="shared" si="265"/>
        <v>723.33230061241807</v>
      </c>
      <c r="F792" s="6">
        <f t="shared" si="256"/>
        <v>723.33230061241807</v>
      </c>
      <c r="G792" s="6">
        <f t="shared" si="257"/>
        <v>740.09680770147111</v>
      </c>
      <c r="H792" s="6">
        <f>Arrivals!L792</f>
        <v>75</v>
      </c>
      <c r="I792" s="6">
        <f>H792*8/ACE_Input!S72+ACE_Input!T72</f>
        <v>6.02</v>
      </c>
      <c r="J792" s="6">
        <f t="shared" si="266"/>
        <v>816.31999999999971</v>
      </c>
      <c r="K792" s="6">
        <f t="shared" si="258"/>
        <v>816.31999999999971</v>
      </c>
      <c r="L792" s="6">
        <f>MOD(K792-Settings!$B$32,Settings!$B$33)</f>
        <v>96.319999999999709</v>
      </c>
      <c r="M792" s="6">
        <f>IF(L792&lt;Settings!$B$30,IF(Settings!$B$30-L792&gt;=I792,K792,K792+(Settings!$B$30-L792)+Settings!$B$31),K792+(Settings!$B$33-L792))</f>
        <v>816.31999999999971</v>
      </c>
      <c r="N792" s="6">
        <f t="shared" si="259"/>
        <v>822.33999999999969</v>
      </c>
      <c r="O792" s="6">
        <f t="shared" si="260"/>
        <v>348.33999999999969</v>
      </c>
      <c r="P792" s="6">
        <f t="shared" si="261"/>
        <v>249.33230061241807</v>
      </c>
      <c r="Q792" s="6">
        <f t="shared" si="262"/>
        <v>76.223192298528602</v>
      </c>
      <c r="R792" s="6">
        <f t="shared" si="263"/>
        <v>0</v>
      </c>
      <c r="S792" s="6">
        <f t="shared" si="264"/>
        <v>325.55549291094667</v>
      </c>
      <c r="T792" s="6" t="str">
        <f>IF(MOD(C792-Settings!$B$32,Settings!$B$33)&lt;Settings!$B$30,"Up","Down")</f>
        <v>Up</v>
      </c>
      <c r="U792" s="6">
        <f>IF(OR(I792&gt;Settings!$B$30,O792&gt;Settings!$B$37),0,1)</f>
        <v>1</v>
      </c>
      <c r="V792" s="6">
        <f>IF(AND(U792=1,O792&lt;=Settings!$B$36),1,0)</f>
        <v>0</v>
      </c>
    </row>
    <row r="793" spans="1:22" x14ac:dyDescent="0.2">
      <c r="A793">
        <f>Arrivals!A793</f>
        <v>7</v>
      </c>
      <c r="B793">
        <f>Arrivals!B793</f>
        <v>68</v>
      </c>
      <c r="C793" s="6">
        <f>Arrivals!F793</f>
        <v>479</v>
      </c>
      <c r="D793" s="6">
        <f>Arrivals!J793</f>
        <v>2.2092818132188974</v>
      </c>
      <c r="E793" s="6">
        <f t="shared" si="265"/>
        <v>740.09680770147111</v>
      </c>
      <c r="F793" s="6">
        <f t="shared" si="256"/>
        <v>740.09680770147111</v>
      </c>
      <c r="G793" s="6">
        <f t="shared" si="257"/>
        <v>742.30608951469003</v>
      </c>
      <c r="H793" s="6">
        <f>Arrivals!L793</f>
        <v>75</v>
      </c>
      <c r="I793" s="6">
        <f>H793*8/ACE_Input!S73+ACE_Input!T73</f>
        <v>6.02</v>
      </c>
      <c r="J793" s="6">
        <f t="shared" si="266"/>
        <v>822.33999999999969</v>
      </c>
      <c r="K793" s="6">
        <f t="shared" si="258"/>
        <v>822.33999999999969</v>
      </c>
      <c r="L793" s="6">
        <f>MOD(K793-Settings!$B$32,Settings!$B$33)</f>
        <v>102.33999999999969</v>
      </c>
      <c r="M793" s="6">
        <f>IF(L793&lt;Settings!$B$30,IF(Settings!$B$30-L793&gt;=I793,K793,K793+(Settings!$B$30-L793)+Settings!$B$31),K793+(Settings!$B$33-L793))</f>
        <v>822.33999999999969</v>
      </c>
      <c r="N793" s="6">
        <f t="shared" si="259"/>
        <v>828.35999999999967</v>
      </c>
      <c r="O793" s="6">
        <f t="shared" si="260"/>
        <v>349.35999999999967</v>
      </c>
      <c r="P793" s="6">
        <f t="shared" si="261"/>
        <v>261.09680770147111</v>
      </c>
      <c r="Q793" s="6">
        <f t="shared" si="262"/>
        <v>80.033910485309661</v>
      </c>
      <c r="R793" s="6">
        <f t="shared" si="263"/>
        <v>0</v>
      </c>
      <c r="S793" s="6">
        <f t="shared" si="264"/>
        <v>341.13071818678077</v>
      </c>
      <c r="T793" s="6" t="str">
        <f>IF(MOD(C793-Settings!$B$32,Settings!$B$33)&lt;Settings!$B$30,"Up","Down")</f>
        <v>Up</v>
      </c>
      <c r="U793" s="6">
        <f>IF(OR(I793&gt;Settings!$B$30,O793&gt;Settings!$B$37),0,1)</f>
        <v>1</v>
      </c>
      <c r="V793" s="6">
        <f>IF(AND(U793=1,O793&lt;=Settings!$B$36),1,0)</f>
        <v>0</v>
      </c>
    </row>
    <row r="794" spans="1:22" x14ac:dyDescent="0.2">
      <c r="A794">
        <f>Arrivals!A794</f>
        <v>7</v>
      </c>
      <c r="B794">
        <f>Arrivals!B794</f>
        <v>69</v>
      </c>
      <c r="C794" s="6">
        <f>Arrivals!F794</f>
        <v>494</v>
      </c>
      <c r="D794" s="6">
        <f>Arrivals!J794</f>
        <v>1.9280576967354905</v>
      </c>
      <c r="E794" s="6">
        <f t="shared" si="265"/>
        <v>742.30608951469003</v>
      </c>
      <c r="F794" s="6">
        <f t="shared" si="256"/>
        <v>742.30608951469003</v>
      </c>
      <c r="G794" s="6">
        <f t="shared" si="257"/>
        <v>744.23414721142547</v>
      </c>
      <c r="H794" s="6">
        <f>Arrivals!L794</f>
        <v>75</v>
      </c>
      <c r="I794" s="6">
        <f>H794*8/ACE_Input!S74+ACE_Input!T74</f>
        <v>6.02</v>
      </c>
      <c r="J794" s="6">
        <f t="shared" si="266"/>
        <v>828.35999999999967</v>
      </c>
      <c r="K794" s="6">
        <f t="shared" si="258"/>
        <v>828.35999999999967</v>
      </c>
      <c r="L794" s="6">
        <f>MOD(K794-Settings!$B$32,Settings!$B$33)</f>
        <v>108.35999999999967</v>
      </c>
      <c r="M794" s="6">
        <f>IF(L794&lt;Settings!$B$30,IF(Settings!$B$30-L794&gt;=I794,K794,K794+(Settings!$B$30-L794)+Settings!$B$31),K794+(Settings!$B$33-L794))</f>
        <v>828.35999999999967</v>
      </c>
      <c r="N794" s="6">
        <f t="shared" si="259"/>
        <v>834.37999999999965</v>
      </c>
      <c r="O794" s="6">
        <f t="shared" si="260"/>
        <v>340.37999999999965</v>
      </c>
      <c r="P794" s="6">
        <f t="shared" si="261"/>
        <v>248.30608951469003</v>
      </c>
      <c r="Q794" s="6">
        <f t="shared" si="262"/>
        <v>84.125852788574207</v>
      </c>
      <c r="R794" s="6">
        <f t="shared" si="263"/>
        <v>0</v>
      </c>
      <c r="S794" s="6">
        <f t="shared" si="264"/>
        <v>332.43194230326424</v>
      </c>
      <c r="T794" s="6" t="str">
        <f>IF(MOD(C794-Settings!$B$32,Settings!$B$33)&lt;Settings!$B$30,"Up","Down")</f>
        <v>Up</v>
      </c>
      <c r="U794" s="6">
        <f>IF(OR(I794&gt;Settings!$B$30,O794&gt;Settings!$B$37),0,1)</f>
        <v>1</v>
      </c>
      <c r="V794" s="6">
        <f>IF(AND(U794=1,O794&lt;=Settings!$B$36),1,0)</f>
        <v>0</v>
      </c>
    </row>
    <row r="795" spans="1:22" x14ac:dyDescent="0.2">
      <c r="A795">
        <f>Arrivals!A795</f>
        <v>7</v>
      </c>
      <c r="B795">
        <f>Arrivals!B795</f>
        <v>70</v>
      </c>
      <c r="C795" s="6">
        <f>Arrivals!F795</f>
        <v>499</v>
      </c>
      <c r="D795" s="6">
        <f>Arrivals!J795</f>
        <v>12.02737739279841</v>
      </c>
      <c r="E795" s="6">
        <f t="shared" si="265"/>
        <v>744.23414721142547</v>
      </c>
      <c r="F795" s="6">
        <f t="shared" si="256"/>
        <v>744.23414721142547</v>
      </c>
      <c r="G795" s="6">
        <f t="shared" si="257"/>
        <v>756.26152460422384</v>
      </c>
      <c r="H795" s="6">
        <f>Arrivals!L795</f>
        <v>75</v>
      </c>
      <c r="I795" s="6">
        <f>H795*8/ACE_Input!S75+ACE_Input!T75</f>
        <v>6.02</v>
      </c>
      <c r="J795" s="6">
        <f t="shared" si="266"/>
        <v>834.37999999999965</v>
      </c>
      <c r="K795" s="6">
        <f t="shared" si="258"/>
        <v>834.37999999999965</v>
      </c>
      <c r="L795" s="6">
        <f>MOD(K795-Settings!$B$32,Settings!$B$33)</f>
        <v>114.37999999999965</v>
      </c>
      <c r="M795" s="6">
        <f>IF(L795&lt;Settings!$B$30,IF(Settings!$B$30-L795&gt;=I795,K795,K795+(Settings!$B$30-L795)+Settings!$B$31),K795+(Settings!$B$33-L795))</f>
        <v>834.37999999999965</v>
      </c>
      <c r="N795" s="6">
        <f t="shared" si="259"/>
        <v>840.39999999999964</v>
      </c>
      <c r="O795" s="6">
        <f t="shared" si="260"/>
        <v>341.39999999999964</v>
      </c>
      <c r="P795" s="6">
        <f t="shared" si="261"/>
        <v>245.23414721142547</v>
      </c>
      <c r="Q795" s="6">
        <f t="shared" si="262"/>
        <v>78.118475395775818</v>
      </c>
      <c r="R795" s="6">
        <f t="shared" si="263"/>
        <v>0</v>
      </c>
      <c r="S795" s="6">
        <f t="shared" si="264"/>
        <v>323.35262260720128</v>
      </c>
      <c r="T795" s="6" t="str">
        <f>IF(MOD(C795-Settings!$B$32,Settings!$B$33)&lt;Settings!$B$30,"Up","Down")</f>
        <v>Up</v>
      </c>
      <c r="U795" s="6">
        <f>IF(OR(I795&gt;Settings!$B$30,O795&gt;Settings!$B$37),0,1)</f>
        <v>1</v>
      </c>
      <c r="V795" s="6">
        <f>IF(AND(U795=1,O795&lt;=Settings!$B$36),1,0)</f>
        <v>0</v>
      </c>
    </row>
    <row r="796" spans="1:22" x14ac:dyDescent="0.2">
      <c r="A796">
        <f>Arrivals!A796</f>
        <v>7</v>
      </c>
      <c r="B796">
        <f>Arrivals!B796</f>
        <v>71</v>
      </c>
      <c r="C796" s="6">
        <f>Arrivals!F796</f>
        <v>504</v>
      </c>
      <c r="D796" s="6">
        <f>Arrivals!J796</f>
        <v>1.8132286827079775</v>
      </c>
      <c r="E796" s="6">
        <f t="shared" si="265"/>
        <v>756.26152460422384</v>
      </c>
      <c r="F796" s="6">
        <f t="shared" si="256"/>
        <v>756.26152460422384</v>
      </c>
      <c r="G796" s="6">
        <f t="shared" si="257"/>
        <v>758.07475328693181</v>
      </c>
      <c r="H796" s="6">
        <f>Arrivals!L796</f>
        <v>75</v>
      </c>
      <c r="I796" s="6">
        <f>H796*8/ACE_Input!S76+ACE_Input!T76</f>
        <v>6.02</v>
      </c>
      <c r="J796" s="6">
        <f t="shared" si="266"/>
        <v>840.39999999999964</v>
      </c>
      <c r="K796" s="6">
        <f t="shared" si="258"/>
        <v>840.39999999999964</v>
      </c>
      <c r="L796" s="6">
        <f>MOD(K796-Settings!$B$32,Settings!$B$33)</f>
        <v>120.39999999999964</v>
      </c>
      <c r="M796" s="6">
        <f>IF(L796&lt;Settings!$B$30,IF(Settings!$B$30-L796&gt;=I796,K796,K796+(Settings!$B$30-L796)+Settings!$B$31),K796+(Settings!$B$33-L796))</f>
        <v>840.39999999999964</v>
      </c>
      <c r="N796" s="6">
        <f t="shared" si="259"/>
        <v>846.41999999999962</v>
      </c>
      <c r="O796" s="6">
        <f t="shared" si="260"/>
        <v>342.41999999999962</v>
      </c>
      <c r="P796" s="6">
        <f t="shared" si="261"/>
        <v>252.26152460422384</v>
      </c>
      <c r="Q796" s="6">
        <f t="shared" si="262"/>
        <v>82.325246713067827</v>
      </c>
      <c r="R796" s="6">
        <f t="shared" si="263"/>
        <v>0</v>
      </c>
      <c r="S796" s="6">
        <f t="shared" si="264"/>
        <v>334.58677131729166</v>
      </c>
      <c r="T796" s="6" t="str">
        <f>IF(MOD(C796-Settings!$B$32,Settings!$B$33)&lt;Settings!$B$30,"Up","Down")</f>
        <v>Up</v>
      </c>
      <c r="U796" s="6">
        <f>IF(OR(I796&gt;Settings!$B$30,O796&gt;Settings!$B$37),0,1)</f>
        <v>1</v>
      </c>
      <c r="V796" s="6">
        <f>IF(AND(U796=1,O796&lt;=Settings!$B$36),1,0)</f>
        <v>0</v>
      </c>
    </row>
    <row r="797" spans="1:22" x14ac:dyDescent="0.2">
      <c r="A797">
        <f>Arrivals!A797</f>
        <v>7</v>
      </c>
      <c r="B797">
        <f>Arrivals!B797</f>
        <v>72</v>
      </c>
      <c r="C797" s="6">
        <f>Arrivals!F797</f>
        <v>509</v>
      </c>
      <c r="D797" s="6">
        <f>Arrivals!J797</f>
        <v>0.23436780508116067</v>
      </c>
      <c r="E797" s="6">
        <f t="shared" si="265"/>
        <v>758.07475328693181</v>
      </c>
      <c r="F797" s="6">
        <f t="shared" si="256"/>
        <v>758.07475328693181</v>
      </c>
      <c r="G797" s="6">
        <f t="shared" si="257"/>
        <v>758.30912109201302</v>
      </c>
      <c r="H797" s="6">
        <f>Arrivals!L797</f>
        <v>75</v>
      </c>
      <c r="I797" s="6">
        <f>H797*8/ACE_Input!S77+ACE_Input!T77</f>
        <v>6.02</v>
      </c>
      <c r="J797" s="6">
        <f t="shared" si="266"/>
        <v>846.41999999999962</v>
      </c>
      <c r="K797" s="6">
        <f t="shared" si="258"/>
        <v>846.41999999999962</v>
      </c>
      <c r="L797" s="6">
        <f>MOD(K797-Settings!$B$32,Settings!$B$33)</f>
        <v>126.41999999999962</v>
      </c>
      <c r="M797" s="6">
        <f>IF(L797&lt;Settings!$B$30,IF(Settings!$B$30-L797&gt;=I797,K797,K797+(Settings!$B$30-L797)+Settings!$B$31),K797+(Settings!$B$33-L797))</f>
        <v>846.41999999999962</v>
      </c>
      <c r="N797" s="6">
        <f t="shared" si="259"/>
        <v>852.4399999999996</v>
      </c>
      <c r="O797" s="6">
        <f t="shared" si="260"/>
        <v>343.4399999999996</v>
      </c>
      <c r="P797" s="6">
        <f t="shared" si="261"/>
        <v>249.07475328693181</v>
      </c>
      <c r="Q797" s="6">
        <f t="shared" si="262"/>
        <v>88.110878907986603</v>
      </c>
      <c r="R797" s="6">
        <f t="shared" si="263"/>
        <v>0</v>
      </c>
      <c r="S797" s="6">
        <f t="shared" si="264"/>
        <v>337.18563219491841</v>
      </c>
      <c r="T797" s="6" t="str">
        <f>IF(MOD(C797-Settings!$B$32,Settings!$B$33)&lt;Settings!$B$30,"Up","Down")</f>
        <v>Up</v>
      </c>
      <c r="U797" s="6">
        <f>IF(OR(I797&gt;Settings!$B$30,O797&gt;Settings!$B$37),0,1)</f>
        <v>1</v>
      </c>
      <c r="V797" s="6">
        <f>IF(AND(U797=1,O797&lt;=Settings!$B$36),1,0)</f>
        <v>0</v>
      </c>
    </row>
    <row r="798" spans="1:22" x14ac:dyDescent="0.2">
      <c r="A798">
        <f>Arrivals!A798</f>
        <v>7</v>
      </c>
      <c r="B798">
        <f>Arrivals!B798</f>
        <v>73</v>
      </c>
      <c r="C798" s="6">
        <f>Arrivals!F798</f>
        <v>514</v>
      </c>
      <c r="D798" s="6">
        <f>Arrivals!J798</f>
        <v>0.83123035099114706</v>
      </c>
      <c r="E798" s="6">
        <f t="shared" si="265"/>
        <v>758.30912109201302</v>
      </c>
      <c r="F798" s="6">
        <f t="shared" si="256"/>
        <v>758.30912109201302</v>
      </c>
      <c r="G798" s="6">
        <f t="shared" si="257"/>
        <v>759.14035144300419</v>
      </c>
      <c r="H798" s="6">
        <f>Arrivals!L798</f>
        <v>75</v>
      </c>
      <c r="I798" s="6">
        <f>H798*8/ACE_Input!S78+ACE_Input!T78</f>
        <v>6.02</v>
      </c>
      <c r="J798" s="6">
        <f t="shared" si="266"/>
        <v>852.4399999999996</v>
      </c>
      <c r="K798" s="6">
        <f t="shared" si="258"/>
        <v>852.4399999999996</v>
      </c>
      <c r="L798" s="6">
        <f>MOD(K798-Settings!$B$32,Settings!$B$33)</f>
        <v>132.4399999999996</v>
      </c>
      <c r="M798" s="6">
        <f>IF(L798&lt;Settings!$B$30,IF(Settings!$B$30-L798&gt;=I798,K798,K798+(Settings!$B$30-L798)+Settings!$B$31),K798+(Settings!$B$33-L798))</f>
        <v>852.4399999999996</v>
      </c>
      <c r="N798" s="6">
        <f t="shared" si="259"/>
        <v>858.45999999999958</v>
      </c>
      <c r="O798" s="6">
        <f t="shared" si="260"/>
        <v>344.45999999999958</v>
      </c>
      <c r="P798" s="6">
        <f t="shared" si="261"/>
        <v>244.30912109201302</v>
      </c>
      <c r="Q798" s="6">
        <f t="shared" si="262"/>
        <v>93.299648556995407</v>
      </c>
      <c r="R798" s="6">
        <f t="shared" si="263"/>
        <v>0</v>
      </c>
      <c r="S798" s="6">
        <f t="shared" si="264"/>
        <v>337.60876964900842</v>
      </c>
      <c r="T798" s="6" t="str">
        <f>IF(MOD(C798-Settings!$B$32,Settings!$B$33)&lt;Settings!$B$30,"Up","Down")</f>
        <v>Up</v>
      </c>
      <c r="U798" s="6">
        <f>IF(OR(I798&gt;Settings!$B$30,O798&gt;Settings!$B$37),0,1)</f>
        <v>1</v>
      </c>
      <c r="V798" s="6">
        <f>IF(AND(U798=1,O798&lt;=Settings!$B$36),1,0)</f>
        <v>0</v>
      </c>
    </row>
    <row r="799" spans="1:22" x14ac:dyDescent="0.2">
      <c r="A799">
        <f>Arrivals!A799</f>
        <v>7</v>
      </c>
      <c r="B799">
        <f>Arrivals!B799</f>
        <v>74</v>
      </c>
      <c r="C799" s="6">
        <f>Arrivals!F799</f>
        <v>519</v>
      </c>
      <c r="D799" s="6">
        <f>Arrivals!J799</f>
        <v>19.351729382326699</v>
      </c>
      <c r="E799" s="6">
        <f t="shared" si="265"/>
        <v>759.14035144300419</v>
      </c>
      <c r="F799" s="6">
        <f t="shared" si="256"/>
        <v>759.14035144300419</v>
      </c>
      <c r="G799" s="6">
        <f t="shared" si="257"/>
        <v>778.49208082533085</v>
      </c>
      <c r="H799" s="6">
        <f>Arrivals!L799</f>
        <v>75</v>
      </c>
      <c r="I799" s="6">
        <f>H799*8/ACE_Input!S79+ACE_Input!T79</f>
        <v>6.02</v>
      </c>
      <c r="J799" s="6">
        <f t="shared" si="266"/>
        <v>858.45999999999958</v>
      </c>
      <c r="K799" s="6">
        <f t="shared" si="258"/>
        <v>858.45999999999958</v>
      </c>
      <c r="L799" s="6">
        <f>MOD(K799-Settings!$B$32,Settings!$B$33)</f>
        <v>138.45999999999958</v>
      </c>
      <c r="M799" s="6">
        <f>IF(L799&lt;Settings!$B$30,IF(Settings!$B$30-L799&gt;=I799,K799,K799+(Settings!$B$30-L799)+Settings!$B$31),K799+(Settings!$B$33-L799))</f>
        <v>858.45999999999958</v>
      </c>
      <c r="N799" s="6">
        <f t="shared" si="259"/>
        <v>864.47999999999956</v>
      </c>
      <c r="O799" s="6">
        <f t="shared" si="260"/>
        <v>345.47999999999956</v>
      </c>
      <c r="P799" s="6">
        <f t="shared" si="261"/>
        <v>240.14035144300419</v>
      </c>
      <c r="Q799" s="6">
        <f t="shared" si="262"/>
        <v>79.967919174668737</v>
      </c>
      <c r="R799" s="6">
        <f t="shared" si="263"/>
        <v>0</v>
      </c>
      <c r="S799" s="6">
        <f t="shared" si="264"/>
        <v>320.10827061767293</v>
      </c>
      <c r="T799" s="6" t="str">
        <f>IF(MOD(C799-Settings!$B$32,Settings!$B$33)&lt;Settings!$B$30,"Up","Down")</f>
        <v>Up</v>
      </c>
      <c r="U799" s="6">
        <f>IF(OR(I799&gt;Settings!$B$30,O799&gt;Settings!$B$37),0,1)</f>
        <v>1</v>
      </c>
      <c r="V799" s="6">
        <f>IF(AND(U799=1,O799&lt;=Settings!$B$36),1,0)</f>
        <v>0</v>
      </c>
    </row>
    <row r="800" spans="1:22" x14ac:dyDescent="0.2">
      <c r="A800">
        <f>Arrivals!A800</f>
        <v>7</v>
      </c>
      <c r="B800">
        <f>Arrivals!B800</f>
        <v>75</v>
      </c>
      <c r="C800" s="6">
        <f>Arrivals!F800</f>
        <v>524</v>
      </c>
      <c r="D800" s="6">
        <f>Arrivals!J800</f>
        <v>5.3567813208654984</v>
      </c>
      <c r="E800" s="6">
        <f t="shared" si="265"/>
        <v>778.49208082533085</v>
      </c>
      <c r="F800" s="6">
        <f t="shared" si="256"/>
        <v>778.49208082533085</v>
      </c>
      <c r="G800" s="6">
        <f t="shared" si="257"/>
        <v>783.84886214619632</v>
      </c>
      <c r="H800" s="6">
        <f>Arrivals!L800</f>
        <v>75</v>
      </c>
      <c r="I800" s="6">
        <f>H800*8/ACE_Input!S80+ACE_Input!T80</f>
        <v>6.02</v>
      </c>
      <c r="J800" s="6">
        <f t="shared" si="266"/>
        <v>864.47999999999956</v>
      </c>
      <c r="K800" s="6">
        <f t="shared" si="258"/>
        <v>864.47999999999956</v>
      </c>
      <c r="L800" s="6">
        <f>MOD(K800-Settings!$B$32,Settings!$B$33)</f>
        <v>144.47999999999956</v>
      </c>
      <c r="M800" s="6">
        <f>IF(L800&lt;Settings!$B$30,IF(Settings!$B$30-L800&gt;=I800,K800,K800+(Settings!$B$30-L800)+Settings!$B$31),K800+(Settings!$B$33-L800))</f>
        <v>864.47999999999956</v>
      </c>
      <c r="N800" s="6">
        <f t="shared" si="259"/>
        <v>870.49999999999955</v>
      </c>
      <c r="O800" s="6">
        <f t="shared" si="260"/>
        <v>346.49999999999955</v>
      </c>
      <c r="P800" s="6">
        <f t="shared" si="261"/>
        <v>254.49208082533085</v>
      </c>
      <c r="Q800" s="6">
        <f t="shared" si="262"/>
        <v>80.631137853803239</v>
      </c>
      <c r="R800" s="6">
        <f t="shared" si="263"/>
        <v>0</v>
      </c>
      <c r="S800" s="6">
        <f t="shared" si="264"/>
        <v>335.12321867913408</v>
      </c>
      <c r="T800" s="6" t="str">
        <f>IF(MOD(C800-Settings!$B$32,Settings!$B$33)&lt;Settings!$B$30,"Up","Down")</f>
        <v>Up</v>
      </c>
      <c r="U800" s="6">
        <f>IF(OR(I800&gt;Settings!$B$30,O800&gt;Settings!$B$37),0,1)</f>
        <v>1</v>
      </c>
      <c r="V800" s="6">
        <f>IF(AND(U800=1,O800&lt;=Settings!$B$36),1,0)</f>
        <v>0</v>
      </c>
    </row>
    <row r="801" spans="1:22" x14ac:dyDescent="0.2">
      <c r="A801">
        <f>Arrivals!A801</f>
        <v>7</v>
      </c>
      <c r="B801">
        <f>Arrivals!B801</f>
        <v>76</v>
      </c>
      <c r="C801" s="6">
        <f>Arrivals!F801</f>
        <v>529</v>
      </c>
      <c r="D801" s="6">
        <f>Arrivals!J801</f>
        <v>15.171816852848043</v>
      </c>
      <c r="E801" s="6">
        <f t="shared" si="265"/>
        <v>783.84886214619632</v>
      </c>
      <c r="F801" s="6">
        <f t="shared" si="256"/>
        <v>783.84886214619632</v>
      </c>
      <c r="G801" s="6">
        <f t="shared" si="257"/>
        <v>799.02067899904432</v>
      </c>
      <c r="H801" s="6">
        <f>Arrivals!L801</f>
        <v>75</v>
      </c>
      <c r="I801" s="6">
        <f>H801*8/ACE_Input!S81+ACE_Input!T81</f>
        <v>6.02</v>
      </c>
      <c r="J801" s="6">
        <f t="shared" si="266"/>
        <v>870.49999999999955</v>
      </c>
      <c r="K801" s="6">
        <f t="shared" si="258"/>
        <v>870.49999999999955</v>
      </c>
      <c r="L801" s="6">
        <f>MOD(K801-Settings!$B$32,Settings!$B$33)</f>
        <v>150.49999999999955</v>
      </c>
      <c r="M801" s="6">
        <f>IF(L801&lt;Settings!$B$30,IF(Settings!$B$30-L801&gt;=I801,K801,K801+(Settings!$B$30-L801)+Settings!$B$31),K801+(Settings!$B$33-L801))</f>
        <v>870.49999999999955</v>
      </c>
      <c r="N801" s="6">
        <f t="shared" si="259"/>
        <v>876.51999999999953</v>
      </c>
      <c r="O801" s="6">
        <f t="shared" si="260"/>
        <v>347.51999999999953</v>
      </c>
      <c r="P801" s="6">
        <f t="shared" si="261"/>
        <v>254.84886214619632</v>
      </c>
      <c r="Q801" s="6">
        <f t="shared" si="262"/>
        <v>71.479321000955224</v>
      </c>
      <c r="R801" s="6">
        <f t="shared" si="263"/>
        <v>0</v>
      </c>
      <c r="S801" s="6">
        <f t="shared" si="264"/>
        <v>326.32818314715155</v>
      </c>
      <c r="T801" s="6" t="str">
        <f>IF(MOD(C801-Settings!$B$32,Settings!$B$33)&lt;Settings!$B$30,"Up","Down")</f>
        <v>Up</v>
      </c>
      <c r="U801" s="6">
        <f>IF(OR(I801&gt;Settings!$B$30,O801&gt;Settings!$B$37),0,1)</f>
        <v>1</v>
      </c>
      <c r="V801" s="6">
        <f>IF(AND(U801=1,O801&lt;=Settings!$B$36),1,0)</f>
        <v>0</v>
      </c>
    </row>
    <row r="802" spans="1:22" x14ac:dyDescent="0.2">
      <c r="A802">
        <f>Arrivals!A802</f>
        <v>7</v>
      </c>
      <c r="B802">
        <f>Arrivals!B802</f>
        <v>77</v>
      </c>
      <c r="C802" s="6">
        <f>Arrivals!F802</f>
        <v>534</v>
      </c>
      <c r="D802" s="6">
        <f>Arrivals!J802</f>
        <v>2.2106994986170108</v>
      </c>
      <c r="E802" s="6">
        <f t="shared" si="265"/>
        <v>799.02067899904432</v>
      </c>
      <c r="F802" s="6">
        <f t="shared" si="256"/>
        <v>799.02067899904432</v>
      </c>
      <c r="G802" s="6">
        <f t="shared" si="257"/>
        <v>801.23137849766135</v>
      </c>
      <c r="H802" s="6">
        <f>Arrivals!L802</f>
        <v>75</v>
      </c>
      <c r="I802" s="6">
        <f>H802*8/ACE_Input!S82+ACE_Input!T82</f>
        <v>6.02</v>
      </c>
      <c r="J802" s="6">
        <f t="shared" si="266"/>
        <v>876.51999999999953</v>
      </c>
      <c r="K802" s="6">
        <f t="shared" si="258"/>
        <v>876.51999999999953</v>
      </c>
      <c r="L802" s="6">
        <f>MOD(K802-Settings!$B$32,Settings!$B$33)</f>
        <v>156.51999999999953</v>
      </c>
      <c r="M802" s="6">
        <f>IF(L802&lt;Settings!$B$30,IF(Settings!$B$30-L802&gt;=I802,K802,K802+(Settings!$B$30-L802)+Settings!$B$31),K802+(Settings!$B$33-L802))</f>
        <v>876.51999999999953</v>
      </c>
      <c r="N802" s="6">
        <f t="shared" si="259"/>
        <v>882.53999999999951</v>
      </c>
      <c r="O802" s="6">
        <f t="shared" si="260"/>
        <v>348.53999999999951</v>
      </c>
      <c r="P802" s="6">
        <f t="shared" si="261"/>
        <v>265.02067899904432</v>
      </c>
      <c r="Q802" s="6">
        <f t="shared" si="262"/>
        <v>75.288621502338174</v>
      </c>
      <c r="R802" s="6">
        <f t="shared" si="263"/>
        <v>0</v>
      </c>
      <c r="S802" s="6">
        <f t="shared" si="264"/>
        <v>340.30930050138249</v>
      </c>
      <c r="T802" s="6" t="str">
        <f>IF(MOD(C802-Settings!$B$32,Settings!$B$33)&lt;Settings!$B$30,"Up","Down")</f>
        <v>Up</v>
      </c>
      <c r="U802" s="6">
        <f>IF(OR(I802&gt;Settings!$B$30,O802&gt;Settings!$B$37),0,1)</f>
        <v>1</v>
      </c>
      <c r="V802" s="6">
        <f>IF(AND(U802=1,O802&lt;=Settings!$B$36),1,0)</f>
        <v>0</v>
      </c>
    </row>
    <row r="803" spans="1:22" x14ac:dyDescent="0.2">
      <c r="A803">
        <f>Arrivals!A803</f>
        <v>7</v>
      </c>
      <c r="B803">
        <f>Arrivals!B803</f>
        <v>78</v>
      </c>
      <c r="C803" s="6">
        <f>Arrivals!F803</f>
        <v>539</v>
      </c>
      <c r="D803" s="6">
        <f>Arrivals!J803</f>
        <v>19.315339720789009</v>
      </c>
      <c r="E803" s="6">
        <f t="shared" si="265"/>
        <v>801.23137849766135</v>
      </c>
      <c r="F803" s="6">
        <f t="shared" si="256"/>
        <v>801.23137849766135</v>
      </c>
      <c r="G803" s="6">
        <f t="shared" si="257"/>
        <v>820.54671821845034</v>
      </c>
      <c r="H803" s="6">
        <f>Arrivals!L803</f>
        <v>75</v>
      </c>
      <c r="I803" s="6">
        <f>H803*8/ACE_Input!S83+ACE_Input!T83</f>
        <v>6.02</v>
      </c>
      <c r="J803" s="6">
        <f t="shared" si="266"/>
        <v>882.53999999999951</v>
      </c>
      <c r="K803" s="6">
        <f t="shared" si="258"/>
        <v>882.53999999999951</v>
      </c>
      <c r="L803" s="6">
        <f>MOD(K803-Settings!$B$32,Settings!$B$33)</f>
        <v>162.53999999999951</v>
      </c>
      <c r="M803" s="6">
        <f>IF(L803&lt;Settings!$B$30,IF(Settings!$B$30-L803&gt;=I803,K803,K803+(Settings!$B$30-L803)+Settings!$B$31),K803+(Settings!$B$33-L803))</f>
        <v>882.53999999999951</v>
      </c>
      <c r="N803" s="6">
        <f t="shared" si="259"/>
        <v>888.55999999999949</v>
      </c>
      <c r="O803" s="6">
        <f t="shared" si="260"/>
        <v>349.55999999999949</v>
      </c>
      <c r="P803" s="6">
        <f t="shared" si="261"/>
        <v>262.23137849766135</v>
      </c>
      <c r="Q803" s="6">
        <f t="shared" si="262"/>
        <v>61.993281781549172</v>
      </c>
      <c r="R803" s="6">
        <f t="shared" si="263"/>
        <v>0</v>
      </c>
      <c r="S803" s="6">
        <f t="shared" si="264"/>
        <v>324.22466027921053</v>
      </c>
      <c r="T803" s="6" t="str">
        <f>IF(MOD(C803-Settings!$B$32,Settings!$B$33)&lt;Settings!$B$30,"Up","Down")</f>
        <v>Up</v>
      </c>
      <c r="U803" s="6">
        <f>IF(OR(I803&gt;Settings!$B$30,O803&gt;Settings!$B$37),0,1)</f>
        <v>1</v>
      </c>
      <c r="V803" s="6">
        <f>IF(AND(U803=1,O803&lt;=Settings!$B$36),1,0)</f>
        <v>0</v>
      </c>
    </row>
    <row r="804" spans="1:22" x14ac:dyDescent="0.2">
      <c r="A804">
        <f>Arrivals!A804</f>
        <v>7</v>
      </c>
      <c r="B804">
        <f>Arrivals!B804</f>
        <v>79</v>
      </c>
      <c r="C804" s="6">
        <f>Arrivals!F804</f>
        <v>544</v>
      </c>
      <c r="D804" s="6">
        <f>Arrivals!J804</f>
        <v>2.4390402664837296</v>
      </c>
      <c r="E804" s="6">
        <f t="shared" si="265"/>
        <v>820.54671821845034</v>
      </c>
      <c r="F804" s="6">
        <f t="shared" si="256"/>
        <v>820.54671821845034</v>
      </c>
      <c r="G804" s="6">
        <f t="shared" si="257"/>
        <v>822.98575848493408</v>
      </c>
      <c r="H804" s="6">
        <f>Arrivals!L804</f>
        <v>75</v>
      </c>
      <c r="I804" s="6">
        <f>H804*8/ACE_Input!S84+ACE_Input!T84</f>
        <v>6.02</v>
      </c>
      <c r="J804" s="6">
        <f t="shared" si="266"/>
        <v>888.55999999999949</v>
      </c>
      <c r="K804" s="6">
        <f t="shared" si="258"/>
        <v>888.55999999999949</v>
      </c>
      <c r="L804" s="6">
        <f>MOD(K804-Settings!$B$32,Settings!$B$33)</f>
        <v>168.55999999999949</v>
      </c>
      <c r="M804" s="6">
        <f>IF(L804&lt;Settings!$B$30,IF(Settings!$B$30-L804&gt;=I804,K804,K804+(Settings!$B$30-L804)+Settings!$B$31),K804+(Settings!$B$33-L804))</f>
        <v>888.55999999999949</v>
      </c>
      <c r="N804" s="6">
        <f t="shared" si="259"/>
        <v>894.57999999999947</v>
      </c>
      <c r="O804" s="6">
        <f t="shared" si="260"/>
        <v>350.57999999999947</v>
      </c>
      <c r="P804" s="6">
        <f t="shared" si="261"/>
        <v>276.54671821845034</v>
      </c>
      <c r="Q804" s="6">
        <f t="shared" si="262"/>
        <v>65.57424151506541</v>
      </c>
      <c r="R804" s="6">
        <f t="shared" si="263"/>
        <v>0</v>
      </c>
      <c r="S804" s="6">
        <f t="shared" si="264"/>
        <v>342.12095973351575</v>
      </c>
      <c r="T804" s="6" t="str">
        <f>IF(MOD(C804-Settings!$B$32,Settings!$B$33)&lt;Settings!$B$30,"Up","Down")</f>
        <v>Up</v>
      </c>
      <c r="U804" s="6">
        <f>IF(OR(I804&gt;Settings!$B$30,O804&gt;Settings!$B$37),0,1)</f>
        <v>1</v>
      </c>
      <c r="V804" s="6">
        <f>IF(AND(U804=1,O804&lt;=Settings!$B$36),1,0)</f>
        <v>0</v>
      </c>
    </row>
    <row r="805" spans="1:22" x14ac:dyDescent="0.2">
      <c r="A805">
        <f>Arrivals!A805</f>
        <v>7</v>
      </c>
      <c r="B805">
        <f>Arrivals!B805</f>
        <v>80</v>
      </c>
      <c r="C805" s="6">
        <f>Arrivals!F805</f>
        <v>549</v>
      </c>
      <c r="D805" s="6">
        <f>Arrivals!J805</f>
        <v>4.0590923670561176</v>
      </c>
      <c r="E805" s="6">
        <f t="shared" si="265"/>
        <v>822.98575848493408</v>
      </c>
      <c r="F805" s="6">
        <f t="shared" si="256"/>
        <v>822.98575848493408</v>
      </c>
      <c r="G805" s="6">
        <f t="shared" si="257"/>
        <v>827.04485085199019</v>
      </c>
      <c r="H805" s="6">
        <f>Arrivals!L805</f>
        <v>75</v>
      </c>
      <c r="I805" s="6">
        <f>H805*8/ACE_Input!S85+ACE_Input!T85</f>
        <v>6.02</v>
      </c>
      <c r="J805" s="6">
        <f t="shared" si="266"/>
        <v>894.57999999999947</v>
      </c>
      <c r="K805" s="6">
        <f t="shared" si="258"/>
        <v>894.57999999999947</v>
      </c>
      <c r="L805" s="6">
        <f>MOD(K805-Settings!$B$32,Settings!$B$33)</f>
        <v>174.57999999999947</v>
      </c>
      <c r="M805" s="6">
        <f>IF(L805&lt;Settings!$B$30,IF(Settings!$B$30-L805&gt;=I805,K805,K805+(Settings!$B$30-L805)+Settings!$B$31),K805+(Settings!$B$33-L805))</f>
        <v>894.57999999999947</v>
      </c>
      <c r="N805" s="6">
        <f t="shared" si="259"/>
        <v>900.59999999999945</v>
      </c>
      <c r="O805" s="6">
        <f t="shared" si="260"/>
        <v>351.59999999999945</v>
      </c>
      <c r="P805" s="6">
        <f t="shared" si="261"/>
        <v>273.98575848493408</v>
      </c>
      <c r="Q805" s="6">
        <f t="shared" si="262"/>
        <v>67.535149148009282</v>
      </c>
      <c r="R805" s="6">
        <f t="shared" si="263"/>
        <v>0</v>
      </c>
      <c r="S805" s="6">
        <f t="shared" si="264"/>
        <v>341.52090763294336</v>
      </c>
      <c r="T805" s="6" t="str">
        <f>IF(MOD(C805-Settings!$B$32,Settings!$B$33)&lt;Settings!$B$30,"Up","Down")</f>
        <v>Up</v>
      </c>
      <c r="U805" s="6">
        <f>IF(OR(I805&gt;Settings!$B$30,O805&gt;Settings!$B$37),0,1)</f>
        <v>1</v>
      </c>
      <c r="V805" s="6">
        <f>IF(AND(U805=1,O805&lt;=Settings!$B$36),1,0)</f>
        <v>0</v>
      </c>
    </row>
    <row r="806" spans="1:22" x14ac:dyDescent="0.2">
      <c r="A806">
        <f>Arrivals!A806</f>
        <v>7</v>
      </c>
      <c r="B806">
        <f>Arrivals!B806</f>
        <v>81</v>
      </c>
      <c r="C806" s="6">
        <f>Arrivals!F806</f>
        <v>554</v>
      </c>
      <c r="D806" s="6">
        <f>Arrivals!J806</f>
        <v>6.4405149049235106</v>
      </c>
      <c r="E806" s="6">
        <f t="shared" si="265"/>
        <v>827.04485085199019</v>
      </c>
      <c r="F806" s="6">
        <f t="shared" si="256"/>
        <v>827.04485085199019</v>
      </c>
      <c r="G806" s="6">
        <f t="shared" si="257"/>
        <v>833.48536575691367</v>
      </c>
      <c r="H806" s="6">
        <f>Arrivals!L806</f>
        <v>75</v>
      </c>
      <c r="I806" s="6">
        <f>H806*8/ACE_Input!S86+ACE_Input!T86</f>
        <v>6.02</v>
      </c>
      <c r="J806" s="6">
        <f t="shared" si="266"/>
        <v>900.59999999999945</v>
      </c>
      <c r="K806" s="6">
        <f t="shared" si="258"/>
        <v>900.59999999999945</v>
      </c>
      <c r="L806" s="6">
        <f>MOD(K806-Settings!$B$32,Settings!$B$33)</f>
        <v>180.59999999999945</v>
      </c>
      <c r="M806" s="6">
        <f>IF(L806&lt;Settings!$B$30,IF(Settings!$B$30-L806&gt;=I806,K806,K806+(Settings!$B$30-L806)+Settings!$B$31),K806+(Settings!$B$33-L806))</f>
        <v>900.59999999999945</v>
      </c>
      <c r="N806" s="6">
        <f t="shared" si="259"/>
        <v>906.61999999999944</v>
      </c>
      <c r="O806" s="6">
        <f t="shared" si="260"/>
        <v>352.61999999999944</v>
      </c>
      <c r="P806" s="6">
        <f t="shared" si="261"/>
        <v>273.04485085199019</v>
      </c>
      <c r="Q806" s="6">
        <f t="shared" si="262"/>
        <v>67.114634243085789</v>
      </c>
      <c r="R806" s="6">
        <f t="shared" si="263"/>
        <v>0</v>
      </c>
      <c r="S806" s="6">
        <f t="shared" si="264"/>
        <v>340.15948509507598</v>
      </c>
      <c r="T806" s="6" t="str">
        <f>IF(MOD(C806-Settings!$B$32,Settings!$B$33)&lt;Settings!$B$30,"Up","Down")</f>
        <v>Up</v>
      </c>
      <c r="U806" s="6">
        <f>IF(OR(I806&gt;Settings!$B$30,O806&gt;Settings!$B$37),0,1)</f>
        <v>1</v>
      </c>
      <c r="V806" s="6">
        <f>IF(AND(U806=1,O806&lt;=Settings!$B$36),1,0)</f>
        <v>0</v>
      </c>
    </row>
    <row r="807" spans="1:22" x14ac:dyDescent="0.2">
      <c r="A807">
        <f>Arrivals!A807</f>
        <v>7</v>
      </c>
      <c r="B807">
        <f>Arrivals!B807</f>
        <v>82</v>
      </c>
      <c r="C807" s="6">
        <f>Arrivals!F807</f>
        <v>559</v>
      </c>
      <c r="D807" s="6">
        <f>Arrivals!J807</f>
        <v>7.6140765818829799</v>
      </c>
      <c r="E807" s="6">
        <f t="shared" si="265"/>
        <v>833.48536575691367</v>
      </c>
      <c r="F807" s="6">
        <f t="shared" si="256"/>
        <v>833.48536575691367</v>
      </c>
      <c r="G807" s="6">
        <f t="shared" si="257"/>
        <v>841.09944233879662</v>
      </c>
      <c r="H807" s="6">
        <f>Arrivals!L807</f>
        <v>75</v>
      </c>
      <c r="I807" s="6">
        <f>H807*8/ACE_Input!S87+ACE_Input!T87</f>
        <v>6.02</v>
      </c>
      <c r="J807" s="6">
        <f t="shared" si="266"/>
        <v>906.61999999999944</v>
      </c>
      <c r="K807" s="6">
        <f t="shared" si="258"/>
        <v>906.61999999999944</v>
      </c>
      <c r="L807" s="6">
        <f>MOD(K807-Settings!$B$32,Settings!$B$33)</f>
        <v>186.61999999999944</v>
      </c>
      <c r="M807" s="6">
        <f>IF(L807&lt;Settings!$B$30,IF(Settings!$B$30-L807&gt;=I807,K807,K807+(Settings!$B$30-L807)+Settings!$B$31),K807+(Settings!$B$33-L807))</f>
        <v>906.61999999999944</v>
      </c>
      <c r="N807" s="6">
        <f t="shared" si="259"/>
        <v>912.63999999999942</v>
      </c>
      <c r="O807" s="6">
        <f t="shared" si="260"/>
        <v>353.63999999999942</v>
      </c>
      <c r="P807" s="6">
        <f t="shared" si="261"/>
        <v>274.48536575691367</v>
      </c>
      <c r="Q807" s="6">
        <f t="shared" si="262"/>
        <v>65.520557661202815</v>
      </c>
      <c r="R807" s="6">
        <f t="shared" si="263"/>
        <v>0</v>
      </c>
      <c r="S807" s="6">
        <f t="shared" si="264"/>
        <v>340.00592341811648</v>
      </c>
      <c r="T807" s="6" t="str">
        <f>IF(MOD(C807-Settings!$B$32,Settings!$B$33)&lt;Settings!$B$30,"Up","Down")</f>
        <v>Up</v>
      </c>
      <c r="U807" s="6">
        <f>IF(OR(I807&gt;Settings!$B$30,O807&gt;Settings!$B$37),0,1)</f>
        <v>1</v>
      </c>
      <c r="V807" s="6">
        <f>IF(AND(U807=1,O807&lt;=Settings!$B$36),1,0)</f>
        <v>0</v>
      </c>
    </row>
    <row r="808" spans="1:22" x14ac:dyDescent="0.2">
      <c r="A808">
        <f>Arrivals!A808</f>
        <v>7</v>
      </c>
      <c r="B808">
        <f>Arrivals!B808</f>
        <v>83</v>
      </c>
      <c r="C808" s="6">
        <f>Arrivals!F808</f>
        <v>564</v>
      </c>
      <c r="D808" s="6">
        <f>Arrivals!J808</f>
        <v>45.10658557732674</v>
      </c>
      <c r="E808" s="6">
        <f t="shared" si="265"/>
        <v>841.09944233879662</v>
      </c>
      <c r="F808" s="6">
        <f t="shared" si="256"/>
        <v>841.09944233879662</v>
      </c>
      <c r="G808" s="6">
        <f t="shared" si="257"/>
        <v>886.20602791612339</v>
      </c>
      <c r="H808" s="6">
        <f>Arrivals!L808</f>
        <v>75</v>
      </c>
      <c r="I808" s="6">
        <f>H808*8/ACE_Input!S88+ACE_Input!T88</f>
        <v>6.02</v>
      </c>
      <c r="J808" s="6">
        <f t="shared" si="266"/>
        <v>912.63999999999942</v>
      </c>
      <c r="K808" s="6">
        <f t="shared" si="258"/>
        <v>912.63999999999942</v>
      </c>
      <c r="L808" s="6">
        <f>MOD(K808-Settings!$B$32,Settings!$B$33)</f>
        <v>192.63999999999942</v>
      </c>
      <c r="M808" s="6">
        <f>IF(L808&lt;Settings!$B$30,IF(Settings!$B$30-L808&gt;=I808,K808,K808+(Settings!$B$30-L808)+Settings!$B$31),K808+(Settings!$B$33-L808))</f>
        <v>912.63999999999942</v>
      </c>
      <c r="N808" s="6">
        <f t="shared" si="259"/>
        <v>918.6599999999994</v>
      </c>
      <c r="O808" s="6">
        <f t="shared" si="260"/>
        <v>354.6599999999994</v>
      </c>
      <c r="P808" s="6">
        <f t="shared" si="261"/>
        <v>277.09944233879662</v>
      </c>
      <c r="Q808" s="6">
        <f t="shared" si="262"/>
        <v>26.433972083876029</v>
      </c>
      <c r="R808" s="6">
        <f t="shared" si="263"/>
        <v>0</v>
      </c>
      <c r="S808" s="6">
        <f t="shared" si="264"/>
        <v>303.53341442267265</v>
      </c>
      <c r="T808" s="6" t="str">
        <f>IF(MOD(C808-Settings!$B$32,Settings!$B$33)&lt;Settings!$B$30,"Up","Down")</f>
        <v>Up</v>
      </c>
      <c r="U808" s="6">
        <f>IF(OR(I808&gt;Settings!$B$30,O808&gt;Settings!$B$37),0,1)</f>
        <v>1</v>
      </c>
      <c r="V808" s="6">
        <f>IF(AND(U808=1,O808&lt;=Settings!$B$36),1,0)</f>
        <v>0</v>
      </c>
    </row>
    <row r="809" spans="1:22" x14ac:dyDescent="0.2">
      <c r="A809">
        <f>Arrivals!A809</f>
        <v>7</v>
      </c>
      <c r="B809">
        <f>Arrivals!B809</f>
        <v>84</v>
      </c>
      <c r="C809" s="6">
        <f>Arrivals!F809</f>
        <v>569</v>
      </c>
      <c r="D809" s="6">
        <f>Arrivals!J809</f>
        <v>3.1750203106985149</v>
      </c>
      <c r="E809" s="6">
        <f t="shared" si="265"/>
        <v>886.20602791612339</v>
      </c>
      <c r="F809" s="6">
        <f t="shared" si="256"/>
        <v>886.20602791612339</v>
      </c>
      <c r="G809" s="6">
        <f t="shared" si="257"/>
        <v>889.38104822682192</v>
      </c>
      <c r="H809" s="6">
        <f>Arrivals!L809</f>
        <v>75</v>
      </c>
      <c r="I809" s="6">
        <f>H809*8/ACE_Input!S89+ACE_Input!T89</f>
        <v>6.02</v>
      </c>
      <c r="J809" s="6">
        <f t="shared" si="266"/>
        <v>918.6599999999994</v>
      </c>
      <c r="K809" s="6">
        <f t="shared" si="258"/>
        <v>918.6599999999994</v>
      </c>
      <c r="L809" s="6">
        <f>MOD(K809-Settings!$B$32,Settings!$B$33)</f>
        <v>198.6599999999994</v>
      </c>
      <c r="M809" s="6">
        <f>IF(L809&lt;Settings!$B$30,IF(Settings!$B$30-L809&gt;=I809,K809,K809+(Settings!$B$30-L809)+Settings!$B$31),K809+(Settings!$B$33-L809))</f>
        <v>918.6599999999994</v>
      </c>
      <c r="N809" s="6">
        <f t="shared" si="259"/>
        <v>924.67999999999938</v>
      </c>
      <c r="O809" s="6">
        <f t="shared" si="260"/>
        <v>355.67999999999938</v>
      </c>
      <c r="P809" s="6">
        <f t="shared" si="261"/>
        <v>317.20602791612339</v>
      </c>
      <c r="Q809" s="6">
        <f t="shared" si="262"/>
        <v>29.278951773177482</v>
      </c>
      <c r="R809" s="6">
        <f t="shared" si="263"/>
        <v>0</v>
      </c>
      <c r="S809" s="6">
        <f t="shared" si="264"/>
        <v>346.48497968930087</v>
      </c>
      <c r="T809" s="6" t="str">
        <f>IF(MOD(C809-Settings!$B$32,Settings!$B$33)&lt;Settings!$B$30,"Up","Down")</f>
        <v>Up</v>
      </c>
      <c r="U809" s="6">
        <f>IF(OR(I809&gt;Settings!$B$30,O809&gt;Settings!$B$37),0,1)</f>
        <v>1</v>
      </c>
      <c r="V809" s="6">
        <f>IF(AND(U809=1,O809&lt;=Settings!$B$36),1,0)</f>
        <v>0</v>
      </c>
    </row>
    <row r="810" spans="1:22" x14ac:dyDescent="0.2">
      <c r="A810">
        <f>Arrivals!A810</f>
        <v>7</v>
      </c>
      <c r="B810">
        <f>Arrivals!B810</f>
        <v>85</v>
      </c>
      <c r="C810" s="6">
        <f>Arrivals!F810</f>
        <v>574</v>
      </c>
      <c r="D810" s="6">
        <f>Arrivals!J810</f>
        <v>2.9451854142049863</v>
      </c>
      <c r="E810" s="6">
        <f t="shared" si="265"/>
        <v>889.38104822682192</v>
      </c>
      <c r="F810" s="6">
        <f t="shared" si="256"/>
        <v>889.38104822682192</v>
      </c>
      <c r="G810" s="6">
        <f t="shared" si="257"/>
        <v>892.32623364102687</v>
      </c>
      <c r="H810" s="6">
        <f>Arrivals!L810</f>
        <v>75</v>
      </c>
      <c r="I810" s="6">
        <f>H810*8/ACE_Input!S90+ACE_Input!T90</f>
        <v>6.02</v>
      </c>
      <c r="J810" s="6">
        <f t="shared" si="266"/>
        <v>924.67999999999938</v>
      </c>
      <c r="K810" s="6">
        <f t="shared" si="258"/>
        <v>924.67999999999938</v>
      </c>
      <c r="L810" s="6">
        <f>MOD(K810-Settings!$B$32,Settings!$B$33)</f>
        <v>204.67999999999938</v>
      </c>
      <c r="M810" s="6">
        <f>IF(L810&lt;Settings!$B$30,IF(Settings!$B$30-L810&gt;=I810,K810,K810+(Settings!$B$30-L810)+Settings!$B$31),K810+(Settings!$B$33-L810))</f>
        <v>924.67999999999938</v>
      </c>
      <c r="N810" s="6">
        <f t="shared" si="259"/>
        <v>930.69999999999936</v>
      </c>
      <c r="O810" s="6">
        <f t="shared" si="260"/>
        <v>356.69999999999936</v>
      </c>
      <c r="P810" s="6">
        <f t="shared" si="261"/>
        <v>315.38104822682192</v>
      </c>
      <c r="Q810" s="6">
        <f t="shared" si="262"/>
        <v>32.353766358972507</v>
      </c>
      <c r="R810" s="6">
        <f t="shared" si="263"/>
        <v>0</v>
      </c>
      <c r="S810" s="6">
        <f t="shared" si="264"/>
        <v>347.73481458579442</v>
      </c>
      <c r="T810" s="6" t="str">
        <f>IF(MOD(C810-Settings!$B$32,Settings!$B$33)&lt;Settings!$B$30,"Up","Down")</f>
        <v>Up</v>
      </c>
      <c r="U810" s="6">
        <f>IF(OR(I810&gt;Settings!$B$30,O810&gt;Settings!$B$37),0,1)</f>
        <v>1</v>
      </c>
      <c r="V810" s="6">
        <f>IF(AND(U810=1,O810&lt;=Settings!$B$36),1,0)</f>
        <v>0</v>
      </c>
    </row>
    <row r="811" spans="1:22" x14ac:dyDescent="0.2">
      <c r="A811">
        <f>Arrivals!A811</f>
        <v>7</v>
      </c>
      <c r="B811">
        <f>Arrivals!B811</f>
        <v>86</v>
      </c>
      <c r="C811" s="6">
        <f>Arrivals!F811</f>
        <v>579</v>
      </c>
      <c r="D811" s="6">
        <f>Arrivals!J811</f>
        <v>17.535910216585041</v>
      </c>
      <c r="E811" s="6">
        <f t="shared" si="265"/>
        <v>892.32623364102687</v>
      </c>
      <c r="F811" s="6">
        <f t="shared" si="256"/>
        <v>892.32623364102687</v>
      </c>
      <c r="G811" s="6">
        <f t="shared" si="257"/>
        <v>909.86214385761195</v>
      </c>
      <c r="H811" s="6">
        <f>Arrivals!L811</f>
        <v>75</v>
      </c>
      <c r="I811" s="6">
        <f>H811*8/ACE_Input!S91+ACE_Input!T91</f>
        <v>6.02</v>
      </c>
      <c r="J811" s="6">
        <f t="shared" si="266"/>
        <v>930.69999999999936</v>
      </c>
      <c r="K811" s="6">
        <f t="shared" si="258"/>
        <v>930.69999999999936</v>
      </c>
      <c r="L811" s="6">
        <f>MOD(K811-Settings!$B$32,Settings!$B$33)</f>
        <v>210.69999999999936</v>
      </c>
      <c r="M811" s="6">
        <f>IF(L811&lt;Settings!$B$30,IF(Settings!$B$30-L811&gt;=I811,K811,K811+(Settings!$B$30-L811)+Settings!$B$31),K811+(Settings!$B$33-L811))</f>
        <v>930.69999999999936</v>
      </c>
      <c r="N811" s="6">
        <f t="shared" si="259"/>
        <v>936.71999999999935</v>
      </c>
      <c r="O811" s="6">
        <f t="shared" si="260"/>
        <v>357.71999999999935</v>
      </c>
      <c r="P811" s="6">
        <f t="shared" si="261"/>
        <v>313.32623364102687</v>
      </c>
      <c r="Q811" s="6">
        <f t="shared" si="262"/>
        <v>20.837856142387409</v>
      </c>
      <c r="R811" s="6">
        <f t="shared" si="263"/>
        <v>0</v>
      </c>
      <c r="S811" s="6">
        <f t="shared" si="264"/>
        <v>334.16408978341428</v>
      </c>
      <c r="T811" s="6" t="str">
        <f>IF(MOD(C811-Settings!$B$32,Settings!$B$33)&lt;Settings!$B$30,"Up","Down")</f>
        <v>Up</v>
      </c>
      <c r="U811" s="6">
        <f>IF(OR(I811&gt;Settings!$B$30,O811&gt;Settings!$B$37),0,1)</f>
        <v>1</v>
      </c>
      <c r="V811" s="6">
        <f>IF(AND(U811=1,O811&lt;=Settings!$B$36),1,0)</f>
        <v>0</v>
      </c>
    </row>
    <row r="812" spans="1:22" x14ac:dyDescent="0.2">
      <c r="A812">
        <f>Arrivals!A812</f>
        <v>7</v>
      </c>
      <c r="B812">
        <f>Arrivals!B812</f>
        <v>87</v>
      </c>
      <c r="C812" s="6">
        <f>Arrivals!F812</f>
        <v>584</v>
      </c>
      <c r="D812" s="6">
        <f>Arrivals!J812</f>
        <v>45.038728289187382</v>
      </c>
      <c r="E812" s="6">
        <f t="shared" si="265"/>
        <v>909.86214385761195</v>
      </c>
      <c r="F812" s="6">
        <f t="shared" si="256"/>
        <v>909.86214385761195</v>
      </c>
      <c r="G812" s="6">
        <f t="shared" si="257"/>
        <v>954.90087214679932</v>
      </c>
      <c r="H812" s="6">
        <f>Arrivals!L812</f>
        <v>75</v>
      </c>
      <c r="I812" s="6">
        <f>H812*8/ACE_Input!S92+ACE_Input!T92</f>
        <v>6.02</v>
      </c>
      <c r="J812" s="6">
        <f t="shared" si="266"/>
        <v>936.71999999999935</v>
      </c>
      <c r="K812" s="6">
        <f t="shared" si="258"/>
        <v>954.90087214679932</v>
      </c>
      <c r="L812" s="6">
        <f>MOD(K812-Settings!$B$32,Settings!$B$33)</f>
        <v>234.90087214679932</v>
      </c>
      <c r="M812" s="6">
        <f>IF(L812&lt;Settings!$B$30,IF(Settings!$B$30-L812&gt;=I812,K812,K812+(Settings!$B$30-L812)+Settings!$B$31),K812+(Settings!$B$33-L812))</f>
        <v>954.90087214679932</v>
      </c>
      <c r="N812" s="6">
        <f t="shared" si="259"/>
        <v>960.9208721467993</v>
      </c>
      <c r="O812" s="6">
        <f t="shared" si="260"/>
        <v>376.9208721467993</v>
      </c>
      <c r="P812" s="6">
        <f t="shared" si="261"/>
        <v>325.86214385761195</v>
      </c>
      <c r="Q812" s="6">
        <f t="shared" si="262"/>
        <v>0</v>
      </c>
      <c r="R812" s="6">
        <f t="shared" si="263"/>
        <v>0</v>
      </c>
      <c r="S812" s="6">
        <f t="shared" si="264"/>
        <v>325.86214385761195</v>
      </c>
      <c r="T812" s="6" t="str">
        <f>IF(MOD(C812-Settings!$B$32,Settings!$B$33)&lt;Settings!$B$30,"Up","Down")</f>
        <v>Up</v>
      </c>
      <c r="U812" s="6">
        <f>IF(OR(I812&gt;Settings!$B$30,O812&gt;Settings!$B$37),0,1)</f>
        <v>1</v>
      </c>
      <c r="V812" s="6">
        <f>IF(AND(U812=1,O812&lt;=Settings!$B$36),1,0)</f>
        <v>0</v>
      </c>
    </row>
    <row r="813" spans="1:22" x14ac:dyDescent="0.2">
      <c r="A813">
        <f>Arrivals!A813</f>
        <v>7</v>
      </c>
      <c r="B813">
        <f>Arrivals!B813</f>
        <v>88</v>
      </c>
      <c r="C813" s="6">
        <f>Arrivals!F813</f>
        <v>589</v>
      </c>
      <c r="D813" s="6">
        <f>Arrivals!J813</f>
        <v>0.13083024723012021</v>
      </c>
      <c r="E813" s="6">
        <f t="shared" si="265"/>
        <v>954.90087214679932</v>
      </c>
      <c r="F813" s="6">
        <f t="shared" si="256"/>
        <v>954.90087214679932</v>
      </c>
      <c r="G813" s="6">
        <f t="shared" si="257"/>
        <v>955.03170239402948</v>
      </c>
      <c r="H813" s="6">
        <f>Arrivals!L813</f>
        <v>75</v>
      </c>
      <c r="I813" s="6">
        <f>H813*8/ACE_Input!S93+ACE_Input!T93</f>
        <v>6.02</v>
      </c>
      <c r="J813" s="6">
        <f t="shared" si="266"/>
        <v>960.9208721467993</v>
      </c>
      <c r="K813" s="6">
        <f t="shared" si="258"/>
        <v>960.9208721467993</v>
      </c>
      <c r="L813" s="6">
        <f>MOD(K813-Settings!$B$32,Settings!$B$33)</f>
        <v>240.9208721467993</v>
      </c>
      <c r="M813" s="6">
        <f>IF(L813&lt;Settings!$B$30,IF(Settings!$B$30-L813&gt;=I813,K813,K813+(Settings!$B$30-L813)+Settings!$B$31),K813+(Settings!$B$33-L813))</f>
        <v>960.9208721467993</v>
      </c>
      <c r="N813" s="6">
        <f t="shared" si="259"/>
        <v>966.94087214679928</v>
      </c>
      <c r="O813" s="6">
        <f t="shared" si="260"/>
        <v>377.94087214679928</v>
      </c>
      <c r="P813" s="6">
        <f t="shared" si="261"/>
        <v>365.90087214679932</v>
      </c>
      <c r="Q813" s="6">
        <f t="shared" si="262"/>
        <v>5.889169752769817</v>
      </c>
      <c r="R813" s="6">
        <f t="shared" si="263"/>
        <v>0</v>
      </c>
      <c r="S813" s="6">
        <f t="shared" si="264"/>
        <v>371.79004189956913</v>
      </c>
      <c r="T813" s="6" t="str">
        <f>IF(MOD(C813-Settings!$B$32,Settings!$B$33)&lt;Settings!$B$30,"Up","Down")</f>
        <v>Up</v>
      </c>
      <c r="U813" s="6">
        <f>IF(OR(I813&gt;Settings!$B$30,O813&gt;Settings!$B$37),0,1)</f>
        <v>1</v>
      </c>
      <c r="V813" s="6">
        <f>IF(AND(U813=1,O813&lt;=Settings!$B$36),1,0)</f>
        <v>0</v>
      </c>
    </row>
    <row r="814" spans="1:22" x14ac:dyDescent="0.2">
      <c r="A814">
        <f>Arrivals!A814</f>
        <v>7</v>
      </c>
      <c r="B814">
        <f>Arrivals!B814</f>
        <v>89</v>
      </c>
      <c r="C814" s="6">
        <f>Arrivals!F814</f>
        <v>594</v>
      </c>
      <c r="D814" s="6">
        <f>Arrivals!J814</f>
        <v>3.3470840641098061</v>
      </c>
      <c r="E814" s="6">
        <f t="shared" si="265"/>
        <v>955.03170239402948</v>
      </c>
      <c r="F814" s="6">
        <f t="shared" si="256"/>
        <v>955.03170239402948</v>
      </c>
      <c r="G814" s="6">
        <f t="shared" si="257"/>
        <v>958.3787864581393</v>
      </c>
      <c r="H814" s="6">
        <f>Arrivals!L814</f>
        <v>75</v>
      </c>
      <c r="I814" s="6">
        <f>H814*8/ACE_Input!S94+ACE_Input!T94</f>
        <v>6.02</v>
      </c>
      <c r="J814" s="6">
        <f t="shared" si="266"/>
        <v>966.94087214679928</v>
      </c>
      <c r="K814" s="6">
        <f t="shared" si="258"/>
        <v>966.94087214679928</v>
      </c>
      <c r="L814" s="6">
        <f>MOD(K814-Settings!$B$32,Settings!$B$33)</f>
        <v>246.94087214679928</v>
      </c>
      <c r="M814" s="6">
        <f>IF(L814&lt;Settings!$B$30,IF(Settings!$B$30-L814&gt;=I814,K814,K814+(Settings!$B$30-L814)+Settings!$B$31),K814+(Settings!$B$33-L814))</f>
        <v>966.94087214679928</v>
      </c>
      <c r="N814" s="6">
        <f t="shared" si="259"/>
        <v>972.96087214679926</v>
      </c>
      <c r="O814" s="6">
        <f t="shared" si="260"/>
        <v>378.96087214679926</v>
      </c>
      <c r="P814" s="6">
        <f t="shared" si="261"/>
        <v>361.03170239402948</v>
      </c>
      <c r="Q814" s="6">
        <f t="shared" si="262"/>
        <v>8.5620856886599768</v>
      </c>
      <c r="R814" s="6">
        <f t="shared" si="263"/>
        <v>0</v>
      </c>
      <c r="S814" s="6">
        <f t="shared" si="264"/>
        <v>369.59378808268946</v>
      </c>
      <c r="T814" s="6" t="str">
        <f>IF(MOD(C814-Settings!$B$32,Settings!$B$33)&lt;Settings!$B$30,"Up","Down")</f>
        <v>Up</v>
      </c>
      <c r="U814" s="6">
        <f>IF(OR(I814&gt;Settings!$B$30,O814&gt;Settings!$B$37),0,1)</f>
        <v>1</v>
      </c>
      <c r="V814" s="6">
        <f>IF(AND(U814=1,O814&lt;=Settings!$B$36),1,0)</f>
        <v>0</v>
      </c>
    </row>
    <row r="815" spans="1:22" x14ac:dyDescent="0.2">
      <c r="A815">
        <f>Arrivals!A815</f>
        <v>7</v>
      </c>
      <c r="B815">
        <f>Arrivals!B815</f>
        <v>90</v>
      </c>
      <c r="C815" s="6">
        <f>Arrivals!F815</f>
        <v>599</v>
      </c>
      <c r="D815" s="6">
        <f>Arrivals!J815</f>
        <v>23.878416820682702</v>
      </c>
      <c r="E815" s="6">
        <f t="shared" si="265"/>
        <v>958.3787864581393</v>
      </c>
      <c r="F815" s="6">
        <f t="shared" si="256"/>
        <v>958.3787864581393</v>
      </c>
      <c r="G815" s="6">
        <f t="shared" si="257"/>
        <v>982.25720327882198</v>
      </c>
      <c r="H815" s="6">
        <f>Arrivals!L815</f>
        <v>75</v>
      </c>
      <c r="I815" s="6">
        <f>H815*8/ACE_Input!S95+ACE_Input!T95</f>
        <v>6.02</v>
      </c>
      <c r="J815" s="6">
        <f t="shared" si="266"/>
        <v>972.96087214679926</v>
      </c>
      <c r="K815" s="6">
        <f t="shared" si="258"/>
        <v>982.25720327882198</v>
      </c>
      <c r="L815" s="6">
        <f>MOD(K815-Settings!$B$32,Settings!$B$33)</f>
        <v>262.25720327882198</v>
      </c>
      <c r="M815" s="6">
        <f>IF(L815&lt;Settings!$B$30,IF(Settings!$B$30-L815&gt;=I815,K815,K815+(Settings!$B$30-L815)+Settings!$B$31),K815+(Settings!$B$33-L815))</f>
        <v>982.25720327882198</v>
      </c>
      <c r="N815" s="6">
        <f t="shared" si="259"/>
        <v>988.27720327882196</v>
      </c>
      <c r="O815" s="6">
        <f t="shared" si="260"/>
        <v>389.27720327882196</v>
      </c>
      <c r="P815" s="6">
        <f t="shared" si="261"/>
        <v>359.3787864581393</v>
      </c>
      <c r="Q815" s="6">
        <f t="shared" si="262"/>
        <v>0</v>
      </c>
      <c r="R815" s="6">
        <f t="shared" si="263"/>
        <v>0</v>
      </c>
      <c r="S815" s="6">
        <f t="shared" si="264"/>
        <v>359.3787864581393</v>
      </c>
      <c r="T815" s="6" t="str">
        <f>IF(MOD(C815-Settings!$B$32,Settings!$B$33)&lt;Settings!$B$30,"Up","Down")</f>
        <v>Up</v>
      </c>
      <c r="U815" s="6">
        <f>IF(OR(I815&gt;Settings!$B$30,O815&gt;Settings!$B$37),0,1)</f>
        <v>1</v>
      </c>
      <c r="V815" s="6">
        <f>IF(AND(U815=1,O815&lt;=Settings!$B$36),1,0)</f>
        <v>0</v>
      </c>
    </row>
    <row r="816" spans="1:22" x14ac:dyDescent="0.2">
      <c r="A816">
        <f>Arrivals!A816</f>
        <v>7</v>
      </c>
      <c r="B816">
        <f>Arrivals!B816</f>
        <v>91</v>
      </c>
      <c r="C816" s="6">
        <f>Arrivals!F816</f>
        <v>604</v>
      </c>
      <c r="D816" s="6">
        <f>Arrivals!J816</f>
        <v>3.5624431714003562</v>
      </c>
      <c r="E816" s="6">
        <f t="shared" si="265"/>
        <v>982.25720327882198</v>
      </c>
      <c r="F816" s="6">
        <f t="shared" si="256"/>
        <v>982.25720327882198</v>
      </c>
      <c r="G816" s="6">
        <f t="shared" si="257"/>
        <v>985.81964645022231</v>
      </c>
      <c r="H816" s="6">
        <f>Arrivals!L816</f>
        <v>75</v>
      </c>
      <c r="I816" s="6">
        <f>H816*8/ACE_Input!S96+ACE_Input!T96</f>
        <v>6.02</v>
      </c>
      <c r="J816" s="6">
        <f t="shared" si="266"/>
        <v>988.27720327882196</v>
      </c>
      <c r="K816" s="6">
        <f t="shared" si="258"/>
        <v>988.27720327882196</v>
      </c>
      <c r="L816" s="6">
        <f>MOD(K816-Settings!$B$32,Settings!$B$33)</f>
        <v>268.27720327882196</v>
      </c>
      <c r="M816" s="6">
        <f>IF(L816&lt;Settings!$B$30,IF(Settings!$B$30-L816&gt;=I816,K816,K816+(Settings!$B$30-L816)+Settings!$B$31),K816+(Settings!$B$33-L816))</f>
        <v>988.27720327882196</v>
      </c>
      <c r="N816" s="6">
        <f t="shared" si="259"/>
        <v>994.29720327882194</v>
      </c>
      <c r="O816" s="6">
        <f t="shared" si="260"/>
        <v>390.29720327882194</v>
      </c>
      <c r="P816" s="6">
        <f t="shared" si="261"/>
        <v>378.25720327882198</v>
      </c>
      <c r="Q816" s="6">
        <f t="shared" si="262"/>
        <v>2.4575568285996496</v>
      </c>
      <c r="R816" s="6">
        <f t="shared" si="263"/>
        <v>0</v>
      </c>
      <c r="S816" s="6">
        <f t="shared" si="264"/>
        <v>380.71476010742163</v>
      </c>
      <c r="T816" s="6" t="str">
        <f>IF(MOD(C816-Settings!$B$32,Settings!$B$33)&lt;Settings!$B$30,"Up","Down")</f>
        <v>Down</v>
      </c>
      <c r="U816" s="6">
        <f>IF(OR(I816&gt;Settings!$B$30,O816&gt;Settings!$B$37),0,1)</f>
        <v>1</v>
      </c>
      <c r="V816" s="6">
        <f>IF(AND(U816=1,O816&lt;=Settings!$B$36),1,0)</f>
        <v>0</v>
      </c>
    </row>
    <row r="817" spans="1:22" x14ac:dyDescent="0.2">
      <c r="A817">
        <f>Arrivals!A817</f>
        <v>7</v>
      </c>
      <c r="B817">
        <f>Arrivals!B817</f>
        <v>92</v>
      </c>
      <c r="C817" s="6">
        <f>Arrivals!F817</f>
        <v>609</v>
      </c>
      <c r="D817" s="6">
        <f>Arrivals!J817</f>
        <v>0.47731172781310094</v>
      </c>
      <c r="E817" s="6">
        <f t="shared" si="265"/>
        <v>985.81964645022231</v>
      </c>
      <c r="F817" s="6">
        <f t="shared" si="256"/>
        <v>985.81964645022231</v>
      </c>
      <c r="G817" s="6">
        <f t="shared" si="257"/>
        <v>986.29695817803542</v>
      </c>
      <c r="H817" s="6">
        <f>Arrivals!L817</f>
        <v>75</v>
      </c>
      <c r="I817" s="6">
        <f>H817*8/ACE_Input!S97+ACE_Input!T97</f>
        <v>6.02</v>
      </c>
      <c r="J817" s="6">
        <f t="shared" si="266"/>
        <v>994.29720327882194</v>
      </c>
      <c r="K817" s="6">
        <f t="shared" si="258"/>
        <v>994.29720327882194</v>
      </c>
      <c r="L817" s="6">
        <f>MOD(K817-Settings!$B$32,Settings!$B$33)</f>
        <v>274.29720327882194</v>
      </c>
      <c r="M817" s="6">
        <f>IF(L817&lt;Settings!$B$30,IF(Settings!$B$30-L817&gt;=I817,K817,K817+(Settings!$B$30-L817)+Settings!$B$31),K817+(Settings!$B$33-L817))</f>
        <v>994.29720327882194</v>
      </c>
      <c r="N817" s="6">
        <f t="shared" si="259"/>
        <v>1000.3172032788219</v>
      </c>
      <c r="O817" s="6">
        <f t="shared" si="260"/>
        <v>391.31720327882192</v>
      </c>
      <c r="P817" s="6">
        <f t="shared" si="261"/>
        <v>376.81964645022231</v>
      </c>
      <c r="Q817" s="6">
        <f t="shared" si="262"/>
        <v>8.0002451007865147</v>
      </c>
      <c r="R817" s="6">
        <f t="shared" si="263"/>
        <v>0</v>
      </c>
      <c r="S817" s="6">
        <f t="shared" si="264"/>
        <v>384.81989155100882</v>
      </c>
      <c r="T817" s="6" t="str">
        <f>IF(MOD(C817-Settings!$B$32,Settings!$B$33)&lt;Settings!$B$30,"Up","Down")</f>
        <v>Down</v>
      </c>
      <c r="U817" s="6">
        <f>IF(OR(I817&gt;Settings!$B$30,O817&gt;Settings!$B$37),0,1)</f>
        <v>1</v>
      </c>
      <c r="V817" s="6">
        <f>IF(AND(U817=1,O817&lt;=Settings!$B$36),1,0)</f>
        <v>0</v>
      </c>
    </row>
    <row r="818" spans="1:22" x14ac:dyDescent="0.2">
      <c r="A818">
        <f>Arrivals!A818</f>
        <v>7</v>
      </c>
      <c r="B818">
        <f>Arrivals!B818</f>
        <v>93</v>
      </c>
      <c r="C818" s="6">
        <f>Arrivals!F818</f>
        <v>614</v>
      </c>
      <c r="D818" s="6">
        <f>Arrivals!J818</f>
        <v>6.0100149317032212</v>
      </c>
      <c r="E818" s="6">
        <f t="shared" si="265"/>
        <v>986.29695817803542</v>
      </c>
      <c r="F818" s="6">
        <f t="shared" si="256"/>
        <v>986.29695817803542</v>
      </c>
      <c r="G818" s="6">
        <f t="shared" si="257"/>
        <v>992.30697310973869</v>
      </c>
      <c r="H818" s="6">
        <f>Arrivals!L818</f>
        <v>75</v>
      </c>
      <c r="I818" s="6">
        <f>H818*8/ACE_Input!S98+ACE_Input!T98</f>
        <v>6.02</v>
      </c>
      <c r="J818" s="6">
        <f t="shared" si="266"/>
        <v>1000.3172032788219</v>
      </c>
      <c r="K818" s="6">
        <f t="shared" si="258"/>
        <v>1000.3172032788219</v>
      </c>
      <c r="L818" s="6">
        <f>MOD(K818-Settings!$B$32,Settings!$B$33)</f>
        <v>280.31720327882192</v>
      </c>
      <c r="M818" s="6">
        <f>IF(L818&lt;Settings!$B$30,IF(Settings!$B$30-L818&gt;=I818,K818,K818+(Settings!$B$30-L818)+Settings!$B$31),K818+(Settings!$B$33-L818))</f>
        <v>1000.3172032788219</v>
      </c>
      <c r="N818" s="6">
        <f t="shared" si="259"/>
        <v>1006.3372032788219</v>
      </c>
      <c r="O818" s="6">
        <f t="shared" si="260"/>
        <v>392.3372032788219</v>
      </c>
      <c r="P818" s="6">
        <f t="shared" si="261"/>
        <v>372.29695817803542</v>
      </c>
      <c r="Q818" s="6">
        <f t="shared" si="262"/>
        <v>8.0102301690832292</v>
      </c>
      <c r="R818" s="6">
        <f t="shared" si="263"/>
        <v>0</v>
      </c>
      <c r="S818" s="6">
        <f t="shared" si="264"/>
        <v>380.30718834711865</v>
      </c>
      <c r="T818" s="6" t="str">
        <f>IF(MOD(C818-Settings!$B$32,Settings!$B$33)&lt;Settings!$B$30,"Up","Down")</f>
        <v>Down</v>
      </c>
      <c r="U818" s="6">
        <f>IF(OR(I818&gt;Settings!$B$30,O818&gt;Settings!$B$37),0,1)</f>
        <v>1</v>
      </c>
      <c r="V818" s="6">
        <f>IF(AND(U818=1,O818&lt;=Settings!$B$36),1,0)</f>
        <v>0</v>
      </c>
    </row>
    <row r="819" spans="1:22" x14ac:dyDescent="0.2">
      <c r="A819">
        <f>Arrivals!A819</f>
        <v>7</v>
      </c>
      <c r="B819">
        <f>Arrivals!B819</f>
        <v>94</v>
      </c>
      <c r="C819" s="6">
        <f>Arrivals!F819</f>
        <v>619</v>
      </c>
      <c r="D819" s="6">
        <f>Arrivals!J819</f>
        <v>9.404869191287009</v>
      </c>
      <c r="E819" s="6">
        <f t="shared" si="265"/>
        <v>992.30697310973869</v>
      </c>
      <c r="F819" s="6">
        <f t="shared" si="256"/>
        <v>992.30697310973869</v>
      </c>
      <c r="G819" s="6">
        <f t="shared" si="257"/>
        <v>1001.7118423010257</v>
      </c>
      <c r="H819" s="6">
        <f>Arrivals!L819</f>
        <v>75</v>
      </c>
      <c r="I819" s="6">
        <f>H819*8/ACE_Input!S99+ACE_Input!T99</f>
        <v>6.02</v>
      </c>
      <c r="J819" s="6">
        <f t="shared" si="266"/>
        <v>1006.3372032788219</v>
      </c>
      <c r="K819" s="6">
        <f t="shared" si="258"/>
        <v>1006.3372032788219</v>
      </c>
      <c r="L819" s="6">
        <f>MOD(K819-Settings!$B$32,Settings!$B$33)</f>
        <v>286.3372032788219</v>
      </c>
      <c r="M819" s="6">
        <f>IF(L819&lt;Settings!$B$30,IF(Settings!$B$30-L819&gt;=I819,K819,K819+(Settings!$B$30-L819)+Settings!$B$31),K819+(Settings!$B$33-L819))</f>
        <v>1006.3372032788219</v>
      </c>
      <c r="N819" s="6">
        <f t="shared" si="259"/>
        <v>1012.3572032788219</v>
      </c>
      <c r="O819" s="6">
        <f t="shared" si="260"/>
        <v>393.35720327882188</v>
      </c>
      <c r="P819" s="6">
        <f t="shared" si="261"/>
        <v>373.30697310973869</v>
      </c>
      <c r="Q819" s="6">
        <f t="shared" si="262"/>
        <v>4.6253609777961628</v>
      </c>
      <c r="R819" s="6">
        <f t="shared" si="263"/>
        <v>0</v>
      </c>
      <c r="S819" s="6">
        <f t="shared" si="264"/>
        <v>377.93233408753485</v>
      </c>
      <c r="T819" s="6" t="str">
        <f>IF(MOD(C819-Settings!$B$32,Settings!$B$33)&lt;Settings!$B$30,"Up","Down")</f>
        <v>Down</v>
      </c>
      <c r="U819" s="6">
        <f>IF(OR(I819&gt;Settings!$B$30,O819&gt;Settings!$B$37),0,1)</f>
        <v>1</v>
      </c>
      <c r="V819" s="6">
        <f>IF(AND(U819=1,O819&lt;=Settings!$B$36),1,0)</f>
        <v>0</v>
      </c>
    </row>
    <row r="820" spans="1:22" x14ac:dyDescent="0.2">
      <c r="A820">
        <f>Arrivals!A820</f>
        <v>7</v>
      </c>
      <c r="B820">
        <f>Arrivals!B820</f>
        <v>95</v>
      </c>
      <c r="C820" s="6">
        <f>Arrivals!F820</f>
        <v>624</v>
      </c>
      <c r="D820" s="6">
        <f>Arrivals!J820</f>
        <v>4.6988486252565949</v>
      </c>
      <c r="E820" s="6">
        <f t="shared" si="265"/>
        <v>1001.7118423010257</v>
      </c>
      <c r="F820" s="6">
        <f t="shared" si="256"/>
        <v>1001.7118423010257</v>
      </c>
      <c r="G820" s="6">
        <f t="shared" si="257"/>
        <v>1006.4106909262823</v>
      </c>
      <c r="H820" s="6">
        <f>Arrivals!L820</f>
        <v>75</v>
      </c>
      <c r="I820" s="6">
        <f>H820*8/ACE_Input!S100+ACE_Input!T100</f>
        <v>6.02</v>
      </c>
      <c r="J820" s="6">
        <f t="shared" si="266"/>
        <v>1012.3572032788219</v>
      </c>
      <c r="K820" s="6">
        <f t="shared" si="258"/>
        <v>1012.3572032788219</v>
      </c>
      <c r="L820" s="6">
        <f>MOD(K820-Settings!$B$32,Settings!$B$33)</f>
        <v>292.35720327882188</v>
      </c>
      <c r="M820" s="6">
        <f>IF(L820&lt;Settings!$B$30,IF(Settings!$B$30-L820&gt;=I820,K820,K820+(Settings!$B$30-L820)+Settings!$B$31),K820+(Settings!$B$33-L820))</f>
        <v>1012.3572032788219</v>
      </c>
      <c r="N820" s="6">
        <f t="shared" si="259"/>
        <v>1018.3772032788219</v>
      </c>
      <c r="O820" s="6">
        <f t="shared" si="260"/>
        <v>394.37720327882187</v>
      </c>
      <c r="P820" s="6">
        <f t="shared" si="261"/>
        <v>377.71184230102574</v>
      </c>
      <c r="Q820" s="6">
        <f t="shared" si="262"/>
        <v>5.9465123525395711</v>
      </c>
      <c r="R820" s="6">
        <f t="shared" si="263"/>
        <v>0</v>
      </c>
      <c r="S820" s="6">
        <f t="shared" si="264"/>
        <v>383.65835465356531</v>
      </c>
      <c r="T820" s="6" t="str">
        <f>IF(MOD(C820-Settings!$B$32,Settings!$B$33)&lt;Settings!$B$30,"Up","Down")</f>
        <v>Down</v>
      </c>
      <c r="U820" s="6">
        <f>IF(OR(I820&gt;Settings!$B$30,O820&gt;Settings!$B$37),0,1)</f>
        <v>1</v>
      </c>
      <c r="V820" s="6">
        <f>IF(AND(U820=1,O820&lt;=Settings!$B$36),1,0)</f>
        <v>0</v>
      </c>
    </row>
    <row r="821" spans="1:22" x14ac:dyDescent="0.2">
      <c r="A821">
        <f>Arrivals!A821</f>
        <v>7</v>
      </c>
      <c r="B821">
        <f>Arrivals!B821</f>
        <v>96</v>
      </c>
      <c r="C821" s="6">
        <f>Arrivals!F821</f>
        <v>629</v>
      </c>
      <c r="D821" s="6">
        <f>Arrivals!J821</f>
        <v>9.9820850046216929</v>
      </c>
      <c r="E821" s="6">
        <f t="shared" si="265"/>
        <v>1006.4106909262823</v>
      </c>
      <c r="F821" s="6">
        <f t="shared" si="256"/>
        <v>1006.4106909262823</v>
      </c>
      <c r="G821" s="6">
        <f t="shared" si="257"/>
        <v>1016.392775930904</v>
      </c>
      <c r="H821" s="6">
        <f>Arrivals!L821</f>
        <v>75</v>
      </c>
      <c r="I821" s="6">
        <f>H821*8/ACE_Input!S101+ACE_Input!T101</f>
        <v>6.02</v>
      </c>
      <c r="J821" s="6">
        <f t="shared" si="266"/>
        <v>1018.3772032788219</v>
      </c>
      <c r="K821" s="6">
        <f t="shared" si="258"/>
        <v>1018.3772032788219</v>
      </c>
      <c r="L821" s="6">
        <f>MOD(K821-Settings!$B$32,Settings!$B$33)</f>
        <v>298.37720327882187</v>
      </c>
      <c r="M821" s="6">
        <f>IF(L821&lt;Settings!$B$30,IF(Settings!$B$30-L821&gt;=I821,K821,K821+(Settings!$B$30-L821)+Settings!$B$31),K821+(Settings!$B$33-L821))</f>
        <v>1018.3772032788219</v>
      </c>
      <c r="N821" s="6">
        <f t="shared" si="259"/>
        <v>1024.397203278822</v>
      </c>
      <c r="O821" s="6">
        <f t="shared" si="260"/>
        <v>395.39720327882196</v>
      </c>
      <c r="P821" s="6">
        <f t="shared" si="261"/>
        <v>377.41069092628231</v>
      </c>
      <c r="Q821" s="6">
        <f t="shared" si="262"/>
        <v>1.9844273479178582</v>
      </c>
      <c r="R821" s="6">
        <f t="shared" si="263"/>
        <v>0</v>
      </c>
      <c r="S821" s="6">
        <f t="shared" si="264"/>
        <v>379.39511827420017</v>
      </c>
      <c r="T821" s="6" t="str">
        <f>IF(MOD(C821-Settings!$B$32,Settings!$B$33)&lt;Settings!$B$30,"Up","Down")</f>
        <v>Down</v>
      </c>
      <c r="U821" s="6">
        <f>IF(OR(I821&gt;Settings!$B$30,O821&gt;Settings!$B$37),0,1)</f>
        <v>1</v>
      </c>
      <c r="V821" s="6">
        <f>IF(AND(U821=1,O821&lt;=Settings!$B$36),1,0)</f>
        <v>0</v>
      </c>
    </row>
    <row r="822" spans="1:22" x14ac:dyDescent="0.2">
      <c r="A822">
        <f>Arrivals!A822</f>
        <v>7</v>
      </c>
      <c r="B822">
        <f>Arrivals!B822</f>
        <v>97</v>
      </c>
      <c r="C822" s="6">
        <f>Arrivals!F822</f>
        <v>634</v>
      </c>
      <c r="D822" s="6">
        <f>Arrivals!J822</f>
        <v>19.020988163184967</v>
      </c>
      <c r="E822" s="6">
        <f t="shared" si="265"/>
        <v>1016.392775930904</v>
      </c>
      <c r="F822" s="6">
        <f t="shared" ref="F822:F825" si="267">MAX(C822,E822)</f>
        <v>1016.392775930904</v>
      </c>
      <c r="G822" s="6">
        <f t="shared" ref="G822:G825" si="268">F822+D822</f>
        <v>1035.4137640940889</v>
      </c>
      <c r="H822" s="6">
        <f>Arrivals!L822</f>
        <v>75</v>
      </c>
      <c r="I822" s="6">
        <f>H822*8/ACE_Input!S102+ACE_Input!T102</f>
        <v>6.02</v>
      </c>
      <c r="J822" s="6">
        <f t="shared" si="266"/>
        <v>1024.397203278822</v>
      </c>
      <c r="K822" s="6">
        <f t="shared" ref="K822:K825" si="269">MAX(G822,J822)</f>
        <v>1035.4137640940889</v>
      </c>
      <c r="L822" s="6">
        <f>MOD(K822-Settings!$B$32,Settings!$B$33)</f>
        <v>315.41376409408895</v>
      </c>
      <c r="M822" s="6">
        <f>IF(L822&lt;Settings!$B$30,IF(Settings!$B$30-L822&gt;=I822,K822,K822+(Settings!$B$30-L822)+Settings!$B$31),K822+(Settings!$B$33-L822))</f>
        <v>1035.4137640940889</v>
      </c>
      <c r="N822" s="6">
        <f t="shared" ref="N822:N825" si="270">M822+I822</f>
        <v>1041.4337640940889</v>
      </c>
      <c r="O822" s="6">
        <f t="shared" ref="O822:O825" si="271">N822-C822</f>
        <v>407.43376409408893</v>
      </c>
      <c r="P822" s="6">
        <f t="shared" si="261"/>
        <v>382.39277593090401</v>
      </c>
      <c r="Q822" s="6">
        <f t="shared" si="262"/>
        <v>0</v>
      </c>
      <c r="R822" s="6">
        <f t="shared" si="263"/>
        <v>0</v>
      </c>
      <c r="S822" s="6">
        <f t="shared" ref="S822:S825" si="272">P822+Q822+R822</f>
        <v>382.39277593090401</v>
      </c>
      <c r="T822" s="6" t="str">
        <f>IF(MOD(C822-Settings!$B$32,Settings!$B$33)&lt;Settings!$B$30,"Up","Down")</f>
        <v>Down</v>
      </c>
      <c r="U822" s="6">
        <f>IF(OR(I822&gt;Settings!$B$30,O822&gt;Settings!$B$37),0,1)</f>
        <v>1</v>
      </c>
      <c r="V822" s="6">
        <f>IF(AND(U822=1,O822&lt;=Settings!$B$36),1,0)</f>
        <v>0</v>
      </c>
    </row>
    <row r="823" spans="1:22" x14ac:dyDescent="0.2">
      <c r="A823">
        <f>Arrivals!A823</f>
        <v>7</v>
      </c>
      <c r="B823">
        <f>Arrivals!B823</f>
        <v>98</v>
      </c>
      <c r="C823" s="6">
        <f>Arrivals!F823</f>
        <v>639</v>
      </c>
      <c r="D823" s="6">
        <f>Arrivals!J823</f>
        <v>15.53894939984751</v>
      </c>
      <c r="E823" s="6">
        <f t="shared" si="265"/>
        <v>1035.4137640940889</v>
      </c>
      <c r="F823" s="6">
        <f t="shared" si="267"/>
        <v>1035.4137640940889</v>
      </c>
      <c r="G823" s="6">
        <f t="shared" si="268"/>
        <v>1050.9527134939365</v>
      </c>
      <c r="H823" s="6">
        <f>Arrivals!L823</f>
        <v>75</v>
      </c>
      <c r="I823" s="6">
        <f>H823*8/ACE_Input!S103+ACE_Input!T103</f>
        <v>6.02</v>
      </c>
      <c r="J823" s="6">
        <f t="shared" si="266"/>
        <v>1041.4337640940889</v>
      </c>
      <c r="K823" s="6">
        <f t="shared" si="269"/>
        <v>1050.9527134939365</v>
      </c>
      <c r="L823" s="6">
        <f>MOD(K823-Settings!$B$32,Settings!$B$33)</f>
        <v>330.95271349393647</v>
      </c>
      <c r="M823" s="6">
        <f>IF(L823&lt;Settings!$B$30,IF(Settings!$B$30-L823&gt;=I823,K823,K823+(Settings!$B$30-L823)+Settings!$B$31),K823+(Settings!$B$33-L823))</f>
        <v>1050.9527134939365</v>
      </c>
      <c r="N823" s="6">
        <f t="shared" si="270"/>
        <v>1056.9727134939365</v>
      </c>
      <c r="O823" s="6">
        <f t="shared" si="271"/>
        <v>417.97271349393645</v>
      </c>
      <c r="P823" s="6">
        <f t="shared" si="261"/>
        <v>396.41376409408895</v>
      </c>
      <c r="Q823" s="6">
        <f t="shared" si="262"/>
        <v>0</v>
      </c>
      <c r="R823" s="6">
        <f t="shared" si="263"/>
        <v>0</v>
      </c>
      <c r="S823" s="6">
        <f t="shared" si="272"/>
        <v>396.41376409408895</v>
      </c>
      <c r="T823" s="6" t="str">
        <f>IF(MOD(C823-Settings!$B$32,Settings!$B$33)&lt;Settings!$B$30,"Up","Down")</f>
        <v>Down</v>
      </c>
      <c r="U823" s="6">
        <f>IF(OR(I823&gt;Settings!$B$30,O823&gt;Settings!$B$37),0,1)</f>
        <v>1</v>
      </c>
      <c r="V823" s="6">
        <f>IF(AND(U823=1,O823&lt;=Settings!$B$36),1,0)</f>
        <v>0</v>
      </c>
    </row>
    <row r="824" spans="1:22" x14ac:dyDescent="0.2">
      <c r="A824">
        <f>Arrivals!A824</f>
        <v>7</v>
      </c>
      <c r="B824">
        <f>Arrivals!B824</f>
        <v>99</v>
      </c>
      <c r="C824" s="6">
        <f>Arrivals!F824</f>
        <v>684</v>
      </c>
      <c r="D824" s="6">
        <f>Arrivals!J824</f>
        <v>2.6111379889389683</v>
      </c>
      <c r="E824" s="6">
        <f t="shared" si="265"/>
        <v>1050.9527134939365</v>
      </c>
      <c r="F824" s="6">
        <f t="shared" si="267"/>
        <v>1050.9527134939365</v>
      </c>
      <c r="G824" s="6">
        <f t="shared" si="268"/>
        <v>1053.5638514828754</v>
      </c>
      <c r="H824" s="6">
        <f>Arrivals!L824</f>
        <v>75</v>
      </c>
      <c r="I824" s="6">
        <f>H824*8/ACE_Input!S104+ACE_Input!T104</f>
        <v>6.02</v>
      </c>
      <c r="J824" s="6">
        <f t="shared" si="266"/>
        <v>1056.9727134939365</v>
      </c>
      <c r="K824" s="6">
        <f t="shared" si="269"/>
        <v>1056.9727134939365</v>
      </c>
      <c r="L824" s="6">
        <f>MOD(K824-Settings!$B$32,Settings!$B$33)</f>
        <v>336.97271349393645</v>
      </c>
      <c r="M824" s="6">
        <f>IF(L824&lt;Settings!$B$30,IF(Settings!$B$30-L824&gt;=I824,K824,K824+(Settings!$B$30-L824)+Settings!$B$31),K824+(Settings!$B$33-L824))</f>
        <v>1056.9727134939365</v>
      </c>
      <c r="N824" s="6">
        <f t="shared" si="270"/>
        <v>1062.9927134939364</v>
      </c>
      <c r="O824" s="6">
        <f t="shared" si="271"/>
        <v>378.99271349393644</v>
      </c>
      <c r="P824" s="6">
        <f t="shared" si="261"/>
        <v>366.95271349393647</v>
      </c>
      <c r="Q824" s="6">
        <f t="shared" si="262"/>
        <v>3.4088620110610464</v>
      </c>
      <c r="R824" s="6">
        <f t="shared" si="263"/>
        <v>0</v>
      </c>
      <c r="S824" s="6">
        <f t="shared" si="272"/>
        <v>370.36157550499752</v>
      </c>
      <c r="T824" s="6" t="str">
        <f>IF(MOD(C824-Settings!$B$32,Settings!$B$33)&lt;Settings!$B$30,"Up","Down")</f>
        <v>Down</v>
      </c>
      <c r="U824" s="6">
        <f>IF(OR(I824&gt;Settings!$B$30,O824&gt;Settings!$B$37),0,1)</f>
        <v>1</v>
      </c>
      <c r="V824" s="6">
        <f>IF(AND(U824=1,O824&lt;=Settings!$B$36),1,0)</f>
        <v>0</v>
      </c>
    </row>
    <row r="825" spans="1:22" x14ac:dyDescent="0.2">
      <c r="A825">
        <f>Arrivals!A825</f>
        <v>7</v>
      </c>
      <c r="B825">
        <f>Arrivals!B825</f>
        <v>100</v>
      </c>
      <c r="C825" s="6">
        <f>Arrivals!F825</f>
        <v>689</v>
      </c>
      <c r="D825" s="6">
        <f>Arrivals!J825</f>
        <v>10.605252359202062</v>
      </c>
      <c r="E825" s="6">
        <f t="shared" si="265"/>
        <v>1053.5638514828754</v>
      </c>
      <c r="F825" s="6">
        <f t="shared" si="267"/>
        <v>1053.5638514828754</v>
      </c>
      <c r="G825" s="6">
        <f t="shared" si="268"/>
        <v>1064.1691038420774</v>
      </c>
      <c r="H825" s="6">
        <f>Arrivals!L825</f>
        <v>75</v>
      </c>
      <c r="I825" s="6">
        <f>H825*8/ACE_Input!S105+ACE_Input!T105</f>
        <v>6.02</v>
      </c>
      <c r="J825" s="6">
        <f t="shared" si="266"/>
        <v>1062.9927134939364</v>
      </c>
      <c r="K825" s="6">
        <f t="shared" si="269"/>
        <v>1064.1691038420774</v>
      </c>
      <c r="L825" s="6">
        <f>MOD(K825-Settings!$B$32,Settings!$B$33)</f>
        <v>344.16910384207745</v>
      </c>
      <c r="M825" s="6">
        <f>IF(L825&lt;Settings!$B$30,IF(Settings!$B$30-L825&gt;=I825,K825,K825+(Settings!$B$30-L825)+Settings!$B$31),K825+(Settings!$B$33-L825))</f>
        <v>1064.1691038420774</v>
      </c>
      <c r="N825" s="6">
        <f t="shared" si="270"/>
        <v>1070.1891038420774</v>
      </c>
      <c r="O825" s="6">
        <f t="shared" si="271"/>
        <v>381.18910384207743</v>
      </c>
      <c r="P825" s="6">
        <f t="shared" si="261"/>
        <v>364.56385148287541</v>
      </c>
      <c r="Q825" s="6">
        <f t="shared" si="262"/>
        <v>0</v>
      </c>
      <c r="R825" s="6">
        <f t="shared" si="263"/>
        <v>0</v>
      </c>
      <c r="S825" s="6">
        <f t="shared" si="272"/>
        <v>364.56385148287541</v>
      </c>
      <c r="T825" s="6" t="str">
        <f>IF(MOD(C825-Settings!$B$32,Settings!$B$33)&lt;Settings!$B$30,"Up","Down")</f>
        <v>Down</v>
      </c>
      <c r="U825" s="6">
        <f>IF(OR(I825&gt;Settings!$B$30,O825&gt;Settings!$B$37),0,1)</f>
        <v>1</v>
      </c>
      <c r="V825" s="6">
        <f>IF(AND(U825=1,O825&lt;=Settings!$B$36),1,0)</f>
        <v>0</v>
      </c>
    </row>
    <row r="826" spans="1:22" x14ac:dyDescent="0.2">
      <c r="C826" s="6"/>
      <c r="D826" s="6"/>
      <c r="E826" s="6"/>
      <c r="F826" s="6"/>
      <c r="G826" s="6"/>
      <c r="H826" s="6"/>
      <c r="I826" s="6"/>
      <c r="J826" s="6"/>
      <c r="K826" s="6"/>
      <c r="L826" s="6"/>
      <c r="M826" s="6"/>
      <c r="N826" s="6"/>
      <c r="O826" s="6"/>
      <c r="P826" s="6"/>
      <c r="Q826" s="6"/>
      <c r="R826" s="6"/>
      <c r="S826" s="6"/>
      <c r="T826" s="6"/>
      <c r="U826" s="6"/>
      <c r="V826" s="6"/>
    </row>
    <row r="827" spans="1:22" x14ac:dyDescent="0.2">
      <c r="C827" s="6"/>
      <c r="D827" s="6"/>
      <c r="E827" s="6"/>
      <c r="F827" s="6"/>
      <c r="G827" s="6"/>
      <c r="H827" s="6"/>
      <c r="I827" s="6"/>
      <c r="J827" s="6"/>
      <c r="K827" s="6"/>
      <c r="L827" s="6"/>
      <c r="M827" s="6"/>
      <c r="N827" s="6"/>
      <c r="O827" s="6"/>
      <c r="P827" s="6"/>
      <c r="Q827" s="6"/>
      <c r="R827" s="6"/>
      <c r="S827" s="6"/>
      <c r="T827" s="6"/>
      <c r="U827" s="6"/>
      <c r="V827" s="6"/>
    </row>
    <row r="828" spans="1:22" x14ac:dyDescent="0.2">
      <c r="C828" s="6"/>
      <c r="D828" s="6"/>
      <c r="E828" s="6"/>
      <c r="F828" s="6"/>
      <c r="G828" s="6"/>
      <c r="H828" s="6"/>
      <c r="I828" s="6"/>
      <c r="J828" s="6"/>
      <c r="K828" s="6"/>
      <c r="L828" s="6"/>
      <c r="M828" s="6"/>
      <c r="N828" s="6"/>
      <c r="O828" s="6"/>
      <c r="P828" s="6"/>
      <c r="Q828" s="6"/>
      <c r="R828" s="6"/>
      <c r="S828" s="6"/>
      <c r="T828" s="6"/>
      <c r="U828" s="6"/>
      <c r="V828" s="6"/>
    </row>
    <row r="829" spans="1:22" x14ac:dyDescent="0.2">
      <c r="C829" s="6"/>
      <c r="D829" s="6"/>
      <c r="E829" s="6"/>
      <c r="F829" s="6"/>
      <c r="G829" s="6"/>
      <c r="H829" s="6"/>
      <c r="I829" s="6"/>
      <c r="J829" s="6"/>
      <c r="K829" s="6"/>
      <c r="L829" s="6"/>
      <c r="M829" s="6"/>
      <c r="N829" s="6"/>
      <c r="O829" s="6"/>
      <c r="P829" s="6"/>
      <c r="Q829" s="6"/>
      <c r="R829" s="6"/>
      <c r="S829" s="6"/>
      <c r="T829" s="6"/>
      <c r="U829" s="6"/>
      <c r="V829" s="6"/>
    </row>
    <row r="830" spans="1:22" x14ac:dyDescent="0.2">
      <c r="C830" s="6"/>
      <c r="D830" s="6"/>
      <c r="E830" s="6"/>
      <c r="F830" s="6"/>
      <c r="G830" s="6"/>
      <c r="H830" s="6"/>
      <c r="I830" s="6"/>
      <c r="J830" s="6"/>
      <c r="K830" s="6"/>
      <c r="L830" s="6"/>
      <c r="M830" s="6"/>
      <c r="N830" s="6"/>
      <c r="O830" s="6"/>
      <c r="P830" s="6"/>
      <c r="Q830" s="6"/>
      <c r="R830" s="6"/>
      <c r="S830" s="6"/>
      <c r="T830" s="6"/>
      <c r="U830" s="6"/>
      <c r="V830" s="6"/>
    </row>
    <row r="831" spans="1:22" x14ac:dyDescent="0.2">
      <c r="C831" s="6"/>
      <c r="D831" s="6"/>
      <c r="E831" s="6"/>
      <c r="F831" s="6"/>
      <c r="G831" s="6"/>
      <c r="H831" s="6"/>
      <c r="I831" s="6"/>
      <c r="J831" s="6"/>
      <c r="K831" s="6"/>
      <c r="L831" s="6"/>
      <c r="M831" s="6"/>
      <c r="N831" s="6"/>
      <c r="O831" s="6"/>
      <c r="P831" s="6"/>
      <c r="Q831" s="6"/>
      <c r="R831" s="6"/>
      <c r="S831" s="6"/>
      <c r="T831" s="6"/>
      <c r="U831" s="6"/>
      <c r="V831" s="6"/>
    </row>
    <row r="832" spans="1:22" x14ac:dyDescent="0.2">
      <c r="C832" s="6"/>
      <c r="D832" s="6"/>
      <c r="E832" s="6"/>
      <c r="F832" s="6"/>
      <c r="G832" s="6"/>
      <c r="H832" s="6"/>
      <c r="I832" s="6"/>
      <c r="J832" s="6"/>
      <c r="K832" s="6"/>
      <c r="L832" s="6"/>
      <c r="M832" s="6"/>
      <c r="N832" s="6"/>
      <c r="O832" s="6"/>
      <c r="P832" s="6"/>
      <c r="Q832" s="6"/>
      <c r="R832" s="6"/>
      <c r="S832" s="6"/>
      <c r="T832" s="6"/>
      <c r="U832" s="6"/>
      <c r="V832" s="6"/>
    </row>
    <row r="833" spans="1:22" x14ac:dyDescent="0.2">
      <c r="C833" s="6"/>
      <c r="D833" s="6"/>
      <c r="E833" s="6"/>
      <c r="F833" s="6"/>
      <c r="G833" s="6"/>
      <c r="H833" s="6"/>
      <c r="I833" s="6"/>
      <c r="J833" s="6"/>
      <c r="K833" s="6"/>
      <c r="L833" s="6"/>
      <c r="M833" s="6"/>
      <c r="N833" s="6"/>
      <c r="O833" s="6"/>
      <c r="P833" s="6"/>
      <c r="Q833" s="6"/>
      <c r="R833" s="6"/>
      <c r="S833" s="6"/>
      <c r="T833" s="6"/>
      <c r="U833" s="6"/>
      <c r="V833" s="6"/>
    </row>
    <row r="834" spans="1:22" x14ac:dyDescent="0.2">
      <c r="C834" s="6"/>
      <c r="D834" s="6"/>
      <c r="E834" s="6"/>
      <c r="F834" s="6"/>
      <c r="G834" s="6"/>
      <c r="H834" s="6"/>
      <c r="I834" s="6"/>
      <c r="J834" s="6"/>
      <c r="K834" s="6"/>
      <c r="L834" s="6"/>
      <c r="M834" s="6"/>
      <c r="N834" s="6"/>
      <c r="O834" s="6"/>
      <c r="P834" s="6"/>
      <c r="Q834" s="6"/>
      <c r="R834" s="6"/>
      <c r="S834" s="6"/>
      <c r="T834" s="6"/>
      <c r="U834" s="6"/>
      <c r="V834" s="6"/>
    </row>
    <row r="835" spans="1:22" x14ac:dyDescent="0.2">
      <c r="C835" s="6"/>
      <c r="D835" s="6"/>
      <c r="E835" s="6"/>
      <c r="F835" s="6"/>
      <c r="G835" s="6"/>
      <c r="H835" s="6"/>
      <c r="I835" s="6"/>
      <c r="J835" s="6"/>
      <c r="K835" s="6"/>
      <c r="L835" s="6"/>
      <c r="M835" s="6"/>
      <c r="N835" s="6"/>
      <c r="O835" s="6"/>
      <c r="P835" s="6"/>
      <c r="Q835" s="6"/>
      <c r="R835" s="6"/>
      <c r="S835" s="6"/>
      <c r="T835" s="6"/>
      <c r="U835" s="6"/>
      <c r="V835" s="6"/>
    </row>
    <row r="836" spans="1:22" x14ac:dyDescent="0.2">
      <c r="C836" s="6"/>
      <c r="D836" s="6"/>
      <c r="E836" s="6"/>
      <c r="F836" s="6"/>
      <c r="G836" s="6"/>
      <c r="H836" s="6"/>
      <c r="I836" s="6"/>
      <c r="J836" s="6"/>
      <c r="K836" s="6"/>
      <c r="L836" s="6"/>
      <c r="M836" s="6"/>
      <c r="N836" s="6"/>
      <c r="O836" s="6"/>
      <c r="P836" s="6"/>
      <c r="Q836" s="6"/>
      <c r="R836" s="6"/>
      <c r="S836" s="6"/>
      <c r="T836" s="6"/>
      <c r="U836" s="6"/>
      <c r="V836" s="6"/>
    </row>
    <row r="837" spans="1:22" x14ac:dyDescent="0.2">
      <c r="C837" s="6"/>
      <c r="D837" s="6"/>
      <c r="E837" s="6"/>
      <c r="F837" s="6"/>
      <c r="G837" s="6"/>
      <c r="H837" s="6"/>
      <c r="I837" s="6"/>
      <c r="J837" s="6"/>
      <c r="K837" s="6"/>
      <c r="L837" s="6"/>
      <c r="M837" s="6"/>
      <c r="N837" s="6"/>
      <c r="O837" s="6"/>
      <c r="P837" s="6"/>
      <c r="Q837" s="6"/>
      <c r="R837" s="6"/>
      <c r="S837" s="6"/>
      <c r="T837" s="6"/>
      <c r="U837" s="6"/>
      <c r="V837" s="6"/>
    </row>
    <row r="838" spans="1:22" x14ac:dyDescent="0.2">
      <c r="C838" s="6"/>
      <c r="D838" s="6"/>
      <c r="E838" s="6"/>
      <c r="F838" s="6"/>
      <c r="G838" s="6"/>
      <c r="H838" s="6"/>
      <c r="I838" s="6"/>
      <c r="J838" s="6"/>
      <c r="K838" s="6"/>
      <c r="L838" s="6"/>
      <c r="M838" s="6"/>
      <c r="N838" s="6"/>
      <c r="O838" s="6"/>
      <c r="P838" s="6"/>
      <c r="Q838" s="6"/>
      <c r="R838" s="6"/>
      <c r="S838" s="6"/>
      <c r="T838" s="6"/>
      <c r="U838" s="6"/>
      <c r="V838" s="6"/>
    </row>
    <row r="839" spans="1:22" x14ac:dyDescent="0.2">
      <c r="C839" s="6"/>
      <c r="D839" s="6"/>
      <c r="E839" s="6"/>
      <c r="F839" s="6"/>
      <c r="G839" s="6"/>
      <c r="H839" s="6"/>
      <c r="I839" s="6"/>
      <c r="J839" s="6"/>
      <c r="K839" s="6"/>
      <c r="L839" s="6"/>
      <c r="M839" s="6"/>
      <c r="N839" s="6"/>
      <c r="O839" s="6"/>
      <c r="P839" s="6"/>
      <c r="Q839" s="6"/>
      <c r="R839" s="6"/>
      <c r="S839" s="6"/>
      <c r="T839" s="6"/>
      <c r="U839" s="6"/>
      <c r="V839" s="6"/>
    </row>
    <row r="840" spans="1:22" x14ac:dyDescent="0.2">
      <c r="C840" s="6"/>
      <c r="D840" s="6"/>
      <c r="E840" s="6"/>
      <c r="F840" s="6"/>
      <c r="G840" s="6"/>
      <c r="H840" s="6"/>
      <c r="I840" s="6"/>
      <c r="J840" s="6"/>
      <c r="K840" s="6"/>
      <c r="L840" s="6"/>
      <c r="M840" s="6"/>
      <c r="N840" s="6"/>
      <c r="O840" s="6"/>
      <c r="P840" s="6"/>
      <c r="Q840" s="6"/>
      <c r="R840" s="6"/>
      <c r="S840" s="6"/>
      <c r="T840" s="6"/>
      <c r="U840" s="6"/>
      <c r="V840" s="6"/>
    </row>
    <row r="841" spans="1:22" x14ac:dyDescent="0.2">
      <c r="C841" s="6"/>
      <c r="D841" s="6"/>
      <c r="E841" s="6"/>
      <c r="F841" s="6"/>
      <c r="G841" s="6"/>
      <c r="H841" s="6"/>
      <c r="I841" s="6"/>
      <c r="J841" s="6"/>
      <c r="K841" s="6"/>
      <c r="L841" s="6"/>
      <c r="M841" s="6"/>
      <c r="N841" s="6"/>
      <c r="O841" s="6"/>
      <c r="P841" s="6"/>
      <c r="Q841" s="6"/>
      <c r="R841" s="6"/>
      <c r="S841" s="6"/>
      <c r="T841" s="6"/>
      <c r="U841" s="6"/>
      <c r="V841" s="6"/>
    </row>
    <row r="842" spans="1:22" x14ac:dyDescent="0.2">
      <c r="C842" s="6"/>
      <c r="D842" s="6"/>
      <c r="E842" s="6"/>
      <c r="F842" s="6"/>
      <c r="G842" s="6"/>
      <c r="H842" s="6"/>
      <c r="I842" s="6"/>
      <c r="J842" s="6"/>
      <c r="K842" s="6"/>
      <c r="L842" s="6"/>
      <c r="M842" s="6"/>
      <c r="N842" s="6"/>
      <c r="O842" s="6"/>
      <c r="P842" s="6"/>
      <c r="Q842" s="6"/>
      <c r="R842" s="6"/>
      <c r="S842" s="6"/>
      <c r="T842" s="6"/>
      <c r="U842" s="6"/>
      <c r="V842" s="6"/>
    </row>
    <row r="843" spans="1:22" x14ac:dyDescent="0.2">
      <c r="C843" s="6"/>
      <c r="D843" s="6"/>
      <c r="E843" s="6"/>
      <c r="F843" s="6"/>
      <c r="G843" s="6"/>
      <c r="H843" s="6"/>
      <c r="I843" s="6"/>
      <c r="J843" s="6"/>
      <c r="K843" s="6"/>
      <c r="L843" s="6"/>
      <c r="M843" s="6"/>
      <c r="N843" s="6"/>
      <c r="O843" s="6"/>
      <c r="P843" s="6"/>
      <c r="Q843" s="6"/>
      <c r="R843" s="6"/>
      <c r="S843" s="6"/>
      <c r="T843" s="6"/>
      <c r="U843" s="6"/>
      <c r="V843" s="6"/>
    </row>
    <row r="844" spans="1:22" x14ac:dyDescent="0.2">
      <c r="C844" s="6"/>
      <c r="D844" s="6"/>
      <c r="E844" s="6"/>
      <c r="F844" s="6"/>
      <c r="G844" s="6"/>
      <c r="H844" s="6"/>
      <c r="I844" s="6"/>
      <c r="J844" s="6"/>
      <c r="K844" s="6"/>
      <c r="L844" s="6"/>
      <c r="M844" s="6"/>
      <c r="N844" s="6"/>
      <c r="O844" s="6"/>
      <c r="P844" s="6"/>
      <c r="Q844" s="6"/>
      <c r="R844" s="6"/>
      <c r="S844" s="6"/>
      <c r="T844" s="6"/>
      <c r="U844" s="6"/>
      <c r="V844" s="6"/>
    </row>
    <row r="845" spans="1:22" x14ac:dyDescent="0.2">
      <c r="C845" s="6"/>
      <c r="D845" s="6"/>
      <c r="E845" s="6"/>
      <c r="F845" s="6"/>
      <c r="G845" s="6"/>
      <c r="H845" s="6"/>
      <c r="I845" s="6"/>
      <c r="J845" s="6"/>
      <c r="K845" s="6"/>
      <c r="L845" s="6"/>
      <c r="M845" s="6"/>
      <c r="N845" s="6"/>
      <c r="O845" s="6"/>
      <c r="P845" s="6"/>
      <c r="Q845" s="6"/>
      <c r="R845" s="6"/>
      <c r="S845" s="6"/>
      <c r="T845" s="6"/>
      <c r="U845" s="6"/>
      <c r="V845" s="6"/>
    </row>
    <row r="846" spans="1:22" x14ac:dyDescent="0.2">
      <c r="A846">
        <f>Arrivals!A846</f>
        <v>8</v>
      </c>
      <c r="B846">
        <f>Arrivals!B846</f>
        <v>1</v>
      </c>
      <c r="C846" s="6">
        <f>Arrivals!F846</f>
        <v>2</v>
      </c>
      <c r="D846" s="6">
        <f>Arrivals!J846</f>
        <v>8.615497499845107</v>
      </c>
      <c r="E846" s="6">
        <f>0</f>
        <v>0</v>
      </c>
      <c r="F846" s="6">
        <f t="shared" ref="F846:F877" si="273">MAX(C846,E846)</f>
        <v>2</v>
      </c>
      <c r="G846" s="6">
        <f t="shared" ref="G846:G877" si="274">F846+D846</f>
        <v>10.615497499845107</v>
      </c>
      <c r="H846" s="6">
        <f>Arrivals!L846</f>
        <v>75</v>
      </c>
      <c r="I846" s="6">
        <f>H846*8/ACE_Input!S6+ACE_Input!T6</f>
        <v>6.02</v>
      </c>
      <c r="J846" s="6">
        <f>0</f>
        <v>0</v>
      </c>
      <c r="K846" s="6">
        <f t="shared" ref="K846:K877" si="275">MAX(G846,J846)</f>
        <v>10.615497499845107</v>
      </c>
      <c r="L846" s="6">
        <f>MOD(K846-Settings!$B$32,Settings!$B$33)</f>
        <v>10.615497499845107</v>
      </c>
      <c r="M846" s="6">
        <f>IF(L846&lt;Settings!$B$30,IF(Settings!$B$30-L846&gt;=I846,K846,K846+(Settings!$B$30-L846)+Settings!$B$31),K846+(Settings!$B$33-L846))</f>
        <v>10.615497499845107</v>
      </c>
      <c r="N846" s="6">
        <f t="shared" ref="N846:N877" si="276">M846+I846</f>
        <v>16.635497499845108</v>
      </c>
      <c r="O846" s="6">
        <f t="shared" ref="O846:O877" si="277">N846-C846</f>
        <v>14.635497499845108</v>
      </c>
      <c r="P846" s="6">
        <f t="shared" ref="P846:P877" si="278">F846-C846</f>
        <v>0</v>
      </c>
      <c r="Q846" s="6">
        <f t="shared" ref="Q846:Q877" si="279">K846-G846</f>
        <v>0</v>
      </c>
      <c r="R846" s="6">
        <f t="shared" ref="R846:R877" si="280">M846-K846</f>
        <v>0</v>
      </c>
      <c r="S846" s="6">
        <f t="shared" ref="S846:S877" si="281">P846+Q846+R846</f>
        <v>0</v>
      </c>
      <c r="T846" s="6" t="str">
        <f>IF(MOD(C846-Settings!$B$32,Settings!$B$33)&lt;Settings!$B$30,"Up","Down")</f>
        <v>Up</v>
      </c>
      <c r="U846" s="6">
        <f>IF(OR(I846&gt;Settings!$B$30,O846&gt;Settings!$B$37),0,1)</f>
        <v>1</v>
      </c>
      <c r="V846" s="6">
        <f>IF(AND(U846=1,O846&lt;=Settings!$B$36),1,0)</f>
        <v>1</v>
      </c>
    </row>
    <row r="847" spans="1:22" x14ac:dyDescent="0.2">
      <c r="A847">
        <f>Arrivals!A847</f>
        <v>8</v>
      </c>
      <c r="B847">
        <f>Arrivals!B847</f>
        <v>2</v>
      </c>
      <c r="C847" s="6">
        <f>Arrivals!F847</f>
        <v>7</v>
      </c>
      <c r="D847" s="6">
        <f>Arrivals!J847</f>
        <v>6.8194470443368154</v>
      </c>
      <c r="E847" s="6">
        <f t="shared" ref="E847:E878" si="282">G846</f>
        <v>10.615497499845107</v>
      </c>
      <c r="F847" s="6">
        <f t="shared" si="273"/>
        <v>10.615497499845107</v>
      </c>
      <c r="G847" s="6">
        <f t="shared" si="274"/>
        <v>17.434944544181924</v>
      </c>
      <c r="H847" s="6">
        <f>Arrivals!L847</f>
        <v>75</v>
      </c>
      <c r="I847" s="6">
        <f>H847*8/ACE_Input!S7+ACE_Input!T7</f>
        <v>6.02</v>
      </c>
      <c r="J847" s="6">
        <f t="shared" ref="J847:J878" si="283">N846</f>
        <v>16.635497499845108</v>
      </c>
      <c r="K847" s="6">
        <f t="shared" si="275"/>
        <v>17.434944544181924</v>
      </c>
      <c r="L847" s="6">
        <f>MOD(K847-Settings!$B$32,Settings!$B$33)</f>
        <v>17.434944544181924</v>
      </c>
      <c r="M847" s="6">
        <f>IF(L847&lt;Settings!$B$30,IF(Settings!$B$30-L847&gt;=I847,K847,K847+(Settings!$B$30-L847)+Settings!$B$31),K847+(Settings!$B$33-L847))</f>
        <v>17.434944544181924</v>
      </c>
      <c r="N847" s="6">
        <f t="shared" si="276"/>
        <v>23.454944544181924</v>
      </c>
      <c r="O847" s="6">
        <f t="shared" si="277"/>
        <v>16.454944544181924</v>
      </c>
      <c r="P847" s="6">
        <f t="shared" si="278"/>
        <v>3.615497499845107</v>
      </c>
      <c r="Q847" s="6">
        <f t="shared" si="279"/>
        <v>0</v>
      </c>
      <c r="R847" s="6">
        <f t="shared" si="280"/>
        <v>0</v>
      </c>
      <c r="S847" s="6">
        <f t="shared" si="281"/>
        <v>3.615497499845107</v>
      </c>
      <c r="T847" s="6" t="str">
        <f>IF(MOD(C847-Settings!$B$32,Settings!$B$33)&lt;Settings!$B$30,"Up","Down")</f>
        <v>Up</v>
      </c>
      <c r="U847" s="6">
        <f>IF(OR(I847&gt;Settings!$B$30,O847&gt;Settings!$B$37),0,1)</f>
        <v>1</v>
      </c>
      <c r="V847" s="6">
        <f>IF(AND(U847=1,O847&lt;=Settings!$B$36),1,0)</f>
        <v>1</v>
      </c>
    </row>
    <row r="848" spans="1:22" x14ac:dyDescent="0.2">
      <c r="A848">
        <f>Arrivals!A848</f>
        <v>8</v>
      </c>
      <c r="B848">
        <f>Arrivals!B848</f>
        <v>3</v>
      </c>
      <c r="C848" s="6">
        <f>Arrivals!F848</f>
        <v>32</v>
      </c>
      <c r="D848" s="6">
        <f>Arrivals!J848</f>
        <v>30.416549034260985</v>
      </c>
      <c r="E848" s="6">
        <f t="shared" si="282"/>
        <v>17.434944544181924</v>
      </c>
      <c r="F848" s="6">
        <f t="shared" si="273"/>
        <v>32</v>
      </c>
      <c r="G848" s="6">
        <f t="shared" si="274"/>
        <v>62.416549034260981</v>
      </c>
      <c r="H848" s="6">
        <f>Arrivals!L848</f>
        <v>75</v>
      </c>
      <c r="I848" s="6">
        <f>H848*8/ACE_Input!S8+ACE_Input!T8</f>
        <v>6.02</v>
      </c>
      <c r="J848" s="6">
        <f t="shared" si="283"/>
        <v>23.454944544181924</v>
      </c>
      <c r="K848" s="6">
        <f t="shared" si="275"/>
        <v>62.416549034260981</v>
      </c>
      <c r="L848" s="6">
        <f>MOD(K848-Settings!$B$32,Settings!$B$33)</f>
        <v>62.416549034260981</v>
      </c>
      <c r="M848" s="6">
        <f>IF(L848&lt;Settings!$B$30,IF(Settings!$B$30-L848&gt;=I848,K848,K848+(Settings!$B$30-L848)+Settings!$B$31),K848+(Settings!$B$33-L848))</f>
        <v>62.416549034260981</v>
      </c>
      <c r="N848" s="6">
        <f t="shared" si="276"/>
        <v>68.436549034260977</v>
      </c>
      <c r="O848" s="6">
        <f t="shared" si="277"/>
        <v>36.436549034260977</v>
      </c>
      <c r="P848" s="6">
        <f t="shared" si="278"/>
        <v>0</v>
      </c>
      <c r="Q848" s="6">
        <f t="shared" si="279"/>
        <v>0</v>
      </c>
      <c r="R848" s="6">
        <f t="shared" si="280"/>
        <v>0</v>
      </c>
      <c r="S848" s="6">
        <f t="shared" si="281"/>
        <v>0</v>
      </c>
      <c r="T848" s="6" t="str">
        <f>IF(MOD(C848-Settings!$B$32,Settings!$B$33)&lt;Settings!$B$30,"Up","Down")</f>
        <v>Up</v>
      </c>
      <c r="U848" s="6">
        <f>IF(OR(I848&gt;Settings!$B$30,O848&gt;Settings!$B$37),0,1)</f>
        <v>1</v>
      </c>
      <c r="V848" s="6">
        <f>IF(AND(U848=1,O848&lt;=Settings!$B$36),1,0)</f>
        <v>1</v>
      </c>
    </row>
    <row r="849" spans="1:22" x14ac:dyDescent="0.2">
      <c r="A849">
        <f>Arrivals!A849</f>
        <v>8</v>
      </c>
      <c r="B849">
        <f>Arrivals!B849</f>
        <v>4</v>
      </c>
      <c r="C849" s="6">
        <f>Arrivals!F849</f>
        <v>37</v>
      </c>
      <c r="D849" s="6">
        <f>Arrivals!J849</f>
        <v>7.5087427019038362</v>
      </c>
      <c r="E849" s="6">
        <f t="shared" si="282"/>
        <v>62.416549034260981</v>
      </c>
      <c r="F849" s="6">
        <f t="shared" si="273"/>
        <v>62.416549034260981</v>
      </c>
      <c r="G849" s="6">
        <f t="shared" si="274"/>
        <v>69.925291736164823</v>
      </c>
      <c r="H849" s="6">
        <f>Arrivals!L849</f>
        <v>75</v>
      </c>
      <c r="I849" s="6">
        <f>H849*8/ACE_Input!S9+ACE_Input!T9</f>
        <v>6.02</v>
      </c>
      <c r="J849" s="6">
        <f t="shared" si="283"/>
        <v>68.436549034260977</v>
      </c>
      <c r="K849" s="6">
        <f t="shared" si="275"/>
        <v>69.925291736164823</v>
      </c>
      <c r="L849" s="6">
        <f>MOD(K849-Settings!$B$32,Settings!$B$33)</f>
        <v>69.925291736164823</v>
      </c>
      <c r="M849" s="6">
        <f>IF(L849&lt;Settings!$B$30,IF(Settings!$B$30-L849&gt;=I849,K849,K849+(Settings!$B$30-L849)+Settings!$B$31),K849+(Settings!$B$33-L849))</f>
        <v>69.925291736164823</v>
      </c>
      <c r="N849" s="6">
        <f t="shared" si="276"/>
        <v>75.945291736164819</v>
      </c>
      <c r="O849" s="6">
        <f t="shared" si="277"/>
        <v>38.945291736164819</v>
      </c>
      <c r="P849" s="6">
        <f t="shared" si="278"/>
        <v>25.416549034260981</v>
      </c>
      <c r="Q849" s="6">
        <f t="shared" si="279"/>
        <v>0</v>
      </c>
      <c r="R849" s="6">
        <f t="shared" si="280"/>
        <v>0</v>
      </c>
      <c r="S849" s="6">
        <f t="shared" si="281"/>
        <v>25.416549034260981</v>
      </c>
      <c r="T849" s="6" t="str">
        <f>IF(MOD(C849-Settings!$B$32,Settings!$B$33)&lt;Settings!$B$30,"Up","Down")</f>
        <v>Up</v>
      </c>
      <c r="U849" s="6">
        <f>IF(OR(I849&gt;Settings!$B$30,O849&gt;Settings!$B$37),0,1)</f>
        <v>1</v>
      </c>
      <c r="V849" s="6">
        <f>IF(AND(U849=1,O849&lt;=Settings!$B$36),1,0)</f>
        <v>1</v>
      </c>
    </row>
    <row r="850" spans="1:22" x14ac:dyDescent="0.2">
      <c r="A850">
        <f>Arrivals!A850</f>
        <v>8</v>
      </c>
      <c r="B850">
        <f>Arrivals!B850</f>
        <v>5</v>
      </c>
      <c r="C850" s="6">
        <f>Arrivals!F850</f>
        <v>42</v>
      </c>
      <c r="D850" s="6">
        <f>Arrivals!J850</f>
        <v>6.3927090098521084</v>
      </c>
      <c r="E850" s="6">
        <f t="shared" si="282"/>
        <v>69.925291736164823</v>
      </c>
      <c r="F850" s="6">
        <f t="shared" si="273"/>
        <v>69.925291736164823</v>
      </c>
      <c r="G850" s="6">
        <f t="shared" si="274"/>
        <v>76.318000746016935</v>
      </c>
      <c r="H850" s="6">
        <f>Arrivals!L850</f>
        <v>75</v>
      </c>
      <c r="I850" s="6">
        <f>H850*8/ACE_Input!S10+ACE_Input!T10</f>
        <v>6.02</v>
      </c>
      <c r="J850" s="6">
        <f t="shared" si="283"/>
        <v>75.945291736164819</v>
      </c>
      <c r="K850" s="6">
        <f t="shared" si="275"/>
        <v>76.318000746016935</v>
      </c>
      <c r="L850" s="6">
        <f>MOD(K850-Settings!$B$32,Settings!$B$33)</f>
        <v>76.318000746016935</v>
      </c>
      <c r="M850" s="6">
        <f>IF(L850&lt;Settings!$B$30,IF(Settings!$B$30-L850&gt;=I850,K850,K850+(Settings!$B$30-L850)+Settings!$B$31),K850+(Settings!$B$33-L850))</f>
        <v>76.318000746016935</v>
      </c>
      <c r="N850" s="6">
        <f t="shared" si="276"/>
        <v>82.338000746016931</v>
      </c>
      <c r="O850" s="6">
        <f t="shared" si="277"/>
        <v>40.338000746016931</v>
      </c>
      <c r="P850" s="6">
        <f t="shared" si="278"/>
        <v>27.925291736164823</v>
      </c>
      <c r="Q850" s="6">
        <f t="shared" si="279"/>
        <v>0</v>
      </c>
      <c r="R850" s="6">
        <f t="shared" si="280"/>
        <v>0</v>
      </c>
      <c r="S850" s="6">
        <f t="shared" si="281"/>
        <v>27.925291736164823</v>
      </c>
      <c r="T850" s="6" t="str">
        <f>IF(MOD(C850-Settings!$B$32,Settings!$B$33)&lt;Settings!$B$30,"Up","Down")</f>
        <v>Up</v>
      </c>
      <c r="U850" s="6">
        <f>IF(OR(I850&gt;Settings!$B$30,O850&gt;Settings!$B$37),0,1)</f>
        <v>1</v>
      </c>
      <c r="V850" s="6">
        <f>IF(AND(U850=1,O850&lt;=Settings!$B$36),1,0)</f>
        <v>1</v>
      </c>
    </row>
    <row r="851" spans="1:22" x14ac:dyDescent="0.2">
      <c r="A851">
        <f>Arrivals!A851</f>
        <v>8</v>
      </c>
      <c r="B851">
        <f>Arrivals!B851</f>
        <v>6</v>
      </c>
      <c r="C851" s="6">
        <f>Arrivals!F851</f>
        <v>47</v>
      </c>
      <c r="D851" s="6">
        <f>Arrivals!J851</f>
        <v>3.3652818559507063</v>
      </c>
      <c r="E851" s="6">
        <f t="shared" si="282"/>
        <v>76.318000746016935</v>
      </c>
      <c r="F851" s="6">
        <f t="shared" si="273"/>
        <v>76.318000746016935</v>
      </c>
      <c r="G851" s="6">
        <f t="shared" si="274"/>
        <v>79.683282601967647</v>
      </c>
      <c r="H851" s="6">
        <f>Arrivals!L851</f>
        <v>75</v>
      </c>
      <c r="I851" s="6">
        <f>H851*8/ACE_Input!S11+ACE_Input!T11</f>
        <v>6.02</v>
      </c>
      <c r="J851" s="6">
        <f t="shared" si="283"/>
        <v>82.338000746016931</v>
      </c>
      <c r="K851" s="6">
        <f t="shared" si="275"/>
        <v>82.338000746016931</v>
      </c>
      <c r="L851" s="6">
        <f>MOD(K851-Settings!$B$32,Settings!$B$33)</f>
        <v>82.338000746016931</v>
      </c>
      <c r="M851" s="6">
        <f>IF(L851&lt;Settings!$B$30,IF(Settings!$B$30-L851&gt;=I851,K851,K851+(Settings!$B$30-L851)+Settings!$B$31),K851+(Settings!$B$33-L851))</f>
        <v>82.338000746016931</v>
      </c>
      <c r="N851" s="6">
        <f t="shared" si="276"/>
        <v>88.358000746016927</v>
      </c>
      <c r="O851" s="6">
        <f t="shared" si="277"/>
        <v>41.358000746016927</v>
      </c>
      <c r="P851" s="6">
        <f t="shared" si="278"/>
        <v>29.318000746016935</v>
      </c>
      <c r="Q851" s="6">
        <f t="shared" si="279"/>
        <v>2.6547181440492835</v>
      </c>
      <c r="R851" s="6">
        <f t="shared" si="280"/>
        <v>0</v>
      </c>
      <c r="S851" s="6">
        <f t="shared" si="281"/>
        <v>31.972718890066218</v>
      </c>
      <c r="T851" s="6" t="str">
        <f>IF(MOD(C851-Settings!$B$32,Settings!$B$33)&lt;Settings!$B$30,"Up","Down")</f>
        <v>Up</v>
      </c>
      <c r="U851" s="6">
        <f>IF(OR(I851&gt;Settings!$B$30,O851&gt;Settings!$B$37),0,1)</f>
        <v>1</v>
      </c>
      <c r="V851" s="6">
        <f>IF(AND(U851=1,O851&lt;=Settings!$B$36),1,0)</f>
        <v>1</v>
      </c>
    </row>
    <row r="852" spans="1:22" x14ac:dyDescent="0.2">
      <c r="A852">
        <f>Arrivals!A852</f>
        <v>8</v>
      </c>
      <c r="B852">
        <f>Arrivals!B852</f>
        <v>7</v>
      </c>
      <c r="C852" s="6">
        <f>Arrivals!F852</f>
        <v>52</v>
      </c>
      <c r="D852" s="6">
        <f>Arrivals!J852</f>
        <v>1.7053023001147294</v>
      </c>
      <c r="E852" s="6">
        <f t="shared" si="282"/>
        <v>79.683282601967647</v>
      </c>
      <c r="F852" s="6">
        <f t="shared" si="273"/>
        <v>79.683282601967647</v>
      </c>
      <c r="G852" s="6">
        <f t="shared" si="274"/>
        <v>81.388584902082371</v>
      </c>
      <c r="H852" s="6">
        <f>Arrivals!L852</f>
        <v>75</v>
      </c>
      <c r="I852" s="6">
        <f>H852*8/ACE_Input!S12+ACE_Input!T12</f>
        <v>6.02</v>
      </c>
      <c r="J852" s="6">
        <f t="shared" si="283"/>
        <v>88.358000746016927</v>
      </c>
      <c r="K852" s="6">
        <f t="shared" si="275"/>
        <v>88.358000746016927</v>
      </c>
      <c r="L852" s="6">
        <f>MOD(K852-Settings!$B$32,Settings!$B$33)</f>
        <v>88.358000746016927</v>
      </c>
      <c r="M852" s="6">
        <f>IF(L852&lt;Settings!$B$30,IF(Settings!$B$30-L852&gt;=I852,K852,K852+(Settings!$B$30-L852)+Settings!$B$31),K852+(Settings!$B$33-L852))</f>
        <v>88.358000746016927</v>
      </c>
      <c r="N852" s="6">
        <f t="shared" si="276"/>
        <v>94.378000746016923</v>
      </c>
      <c r="O852" s="6">
        <f t="shared" si="277"/>
        <v>42.378000746016923</v>
      </c>
      <c r="P852" s="6">
        <f t="shared" si="278"/>
        <v>27.683282601967647</v>
      </c>
      <c r="Q852" s="6">
        <f t="shared" si="279"/>
        <v>6.9694158439345557</v>
      </c>
      <c r="R852" s="6">
        <f t="shared" si="280"/>
        <v>0</v>
      </c>
      <c r="S852" s="6">
        <f t="shared" si="281"/>
        <v>34.652698445902203</v>
      </c>
      <c r="T852" s="6" t="str">
        <f>IF(MOD(C852-Settings!$B$32,Settings!$B$33)&lt;Settings!$B$30,"Up","Down")</f>
        <v>Up</v>
      </c>
      <c r="U852" s="6">
        <f>IF(OR(I852&gt;Settings!$B$30,O852&gt;Settings!$B$37),0,1)</f>
        <v>1</v>
      </c>
      <c r="V852" s="6">
        <f>IF(AND(U852=1,O852&lt;=Settings!$B$36),1,0)</f>
        <v>1</v>
      </c>
    </row>
    <row r="853" spans="1:22" x14ac:dyDescent="0.2">
      <c r="A853">
        <f>Arrivals!A853</f>
        <v>8</v>
      </c>
      <c r="B853">
        <f>Arrivals!B853</f>
        <v>8</v>
      </c>
      <c r="C853" s="6">
        <f>Arrivals!F853</f>
        <v>57</v>
      </c>
      <c r="D853" s="6">
        <f>Arrivals!J853</f>
        <v>7.6634545313002933</v>
      </c>
      <c r="E853" s="6">
        <f t="shared" si="282"/>
        <v>81.388584902082371</v>
      </c>
      <c r="F853" s="6">
        <f t="shared" si="273"/>
        <v>81.388584902082371</v>
      </c>
      <c r="G853" s="6">
        <f t="shared" si="274"/>
        <v>89.05203943338266</v>
      </c>
      <c r="H853" s="6">
        <f>Arrivals!L853</f>
        <v>75</v>
      </c>
      <c r="I853" s="6">
        <f>H853*8/ACE_Input!S13+ACE_Input!T13</f>
        <v>6.02</v>
      </c>
      <c r="J853" s="6">
        <f t="shared" si="283"/>
        <v>94.378000746016923</v>
      </c>
      <c r="K853" s="6">
        <f t="shared" si="275"/>
        <v>94.378000746016923</v>
      </c>
      <c r="L853" s="6">
        <f>MOD(K853-Settings!$B$32,Settings!$B$33)</f>
        <v>94.378000746016923</v>
      </c>
      <c r="M853" s="6">
        <f>IF(L853&lt;Settings!$B$30,IF(Settings!$B$30-L853&gt;=I853,K853,K853+(Settings!$B$30-L853)+Settings!$B$31),K853+(Settings!$B$33-L853))</f>
        <v>94.378000746016923</v>
      </c>
      <c r="N853" s="6">
        <f t="shared" si="276"/>
        <v>100.39800074601692</v>
      </c>
      <c r="O853" s="6">
        <f t="shared" si="277"/>
        <v>43.398000746016919</v>
      </c>
      <c r="P853" s="6">
        <f t="shared" si="278"/>
        <v>24.388584902082371</v>
      </c>
      <c r="Q853" s="6">
        <f t="shared" si="279"/>
        <v>5.3259613126342629</v>
      </c>
      <c r="R853" s="6">
        <f t="shared" si="280"/>
        <v>0</v>
      </c>
      <c r="S853" s="6">
        <f t="shared" si="281"/>
        <v>29.714546214716634</v>
      </c>
      <c r="T853" s="6" t="str">
        <f>IF(MOD(C853-Settings!$B$32,Settings!$B$33)&lt;Settings!$B$30,"Up","Down")</f>
        <v>Up</v>
      </c>
      <c r="U853" s="6">
        <f>IF(OR(I853&gt;Settings!$B$30,O853&gt;Settings!$B$37),0,1)</f>
        <v>1</v>
      </c>
      <c r="V853" s="6">
        <f>IF(AND(U853=1,O853&lt;=Settings!$B$36),1,0)</f>
        <v>1</v>
      </c>
    </row>
    <row r="854" spans="1:22" x14ac:dyDescent="0.2">
      <c r="A854">
        <f>Arrivals!A854</f>
        <v>8</v>
      </c>
      <c r="B854">
        <f>Arrivals!B854</f>
        <v>9</v>
      </c>
      <c r="C854" s="6">
        <f>Arrivals!F854</f>
        <v>172</v>
      </c>
      <c r="D854" s="6">
        <f>Arrivals!J854</f>
        <v>10.091189930404585</v>
      </c>
      <c r="E854" s="6">
        <f t="shared" si="282"/>
        <v>89.05203943338266</v>
      </c>
      <c r="F854" s="6">
        <f t="shared" si="273"/>
        <v>172</v>
      </c>
      <c r="G854" s="6">
        <f t="shared" si="274"/>
        <v>182.0911899304046</v>
      </c>
      <c r="H854" s="6">
        <f>Arrivals!L854</f>
        <v>75</v>
      </c>
      <c r="I854" s="6">
        <f>H854*8/ACE_Input!S14+ACE_Input!T14</f>
        <v>6.02</v>
      </c>
      <c r="J854" s="6">
        <f t="shared" si="283"/>
        <v>100.39800074601692</v>
      </c>
      <c r="K854" s="6">
        <f t="shared" si="275"/>
        <v>182.0911899304046</v>
      </c>
      <c r="L854" s="6">
        <f>MOD(K854-Settings!$B$32,Settings!$B$33)</f>
        <v>182.0911899304046</v>
      </c>
      <c r="M854" s="6">
        <f>IF(L854&lt;Settings!$B$30,IF(Settings!$B$30-L854&gt;=I854,K854,K854+(Settings!$B$30-L854)+Settings!$B$31),K854+(Settings!$B$33-L854))</f>
        <v>182.0911899304046</v>
      </c>
      <c r="N854" s="6">
        <f t="shared" si="276"/>
        <v>188.11118993040461</v>
      </c>
      <c r="O854" s="6">
        <f t="shared" si="277"/>
        <v>16.111189930404606</v>
      </c>
      <c r="P854" s="6">
        <f t="shared" si="278"/>
        <v>0</v>
      </c>
      <c r="Q854" s="6">
        <f t="shared" si="279"/>
        <v>0</v>
      </c>
      <c r="R854" s="6">
        <f t="shared" si="280"/>
        <v>0</v>
      </c>
      <c r="S854" s="6">
        <f t="shared" si="281"/>
        <v>0</v>
      </c>
      <c r="T854" s="6" t="str">
        <f>IF(MOD(C854-Settings!$B$32,Settings!$B$33)&lt;Settings!$B$30,"Up","Down")</f>
        <v>Up</v>
      </c>
      <c r="U854" s="6">
        <f>IF(OR(I854&gt;Settings!$B$30,O854&gt;Settings!$B$37),0,1)</f>
        <v>1</v>
      </c>
      <c r="V854" s="6">
        <f>IF(AND(U854=1,O854&lt;=Settings!$B$36),1,0)</f>
        <v>1</v>
      </c>
    </row>
    <row r="855" spans="1:22" x14ac:dyDescent="0.2">
      <c r="A855">
        <f>Arrivals!A855</f>
        <v>8</v>
      </c>
      <c r="B855">
        <f>Arrivals!B855</f>
        <v>10</v>
      </c>
      <c r="C855" s="6">
        <f>Arrivals!F855</f>
        <v>177</v>
      </c>
      <c r="D855" s="6">
        <f>Arrivals!J855</f>
        <v>4.848266879553903E-2</v>
      </c>
      <c r="E855" s="6">
        <f t="shared" si="282"/>
        <v>182.0911899304046</v>
      </c>
      <c r="F855" s="6">
        <f t="shared" si="273"/>
        <v>182.0911899304046</v>
      </c>
      <c r="G855" s="6">
        <f t="shared" si="274"/>
        <v>182.13967259920014</v>
      </c>
      <c r="H855" s="6">
        <f>Arrivals!L855</f>
        <v>75</v>
      </c>
      <c r="I855" s="6">
        <f>H855*8/ACE_Input!S15+ACE_Input!T15</f>
        <v>6.02</v>
      </c>
      <c r="J855" s="6">
        <f t="shared" si="283"/>
        <v>188.11118993040461</v>
      </c>
      <c r="K855" s="6">
        <f t="shared" si="275"/>
        <v>188.11118993040461</v>
      </c>
      <c r="L855" s="6">
        <f>MOD(K855-Settings!$B$32,Settings!$B$33)</f>
        <v>188.11118993040461</v>
      </c>
      <c r="M855" s="6">
        <f>IF(L855&lt;Settings!$B$30,IF(Settings!$B$30-L855&gt;=I855,K855,K855+(Settings!$B$30-L855)+Settings!$B$31),K855+(Settings!$B$33-L855))</f>
        <v>188.11118993040461</v>
      </c>
      <c r="N855" s="6">
        <f t="shared" si="276"/>
        <v>194.13118993040462</v>
      </c>
      <c r="O855" s="6">
        <f t="shared" si="277"/>
        <v>17.131189930404616</v>
      </c>
      <c r="P855" s="6">
        <f t="shared" si="278"/>
        <v>5.091189930404596</v>
      </c>
      <c r="Q855" s="6">
        <f t="shared" si="279"/>
        <v>5.9715173312044669</v>
      </c>
      <c r="R855" s="6">
        <f t="shared" si="280"/>
        <v>0</v>
      </c>
      <c r="S855" s="6">
        <f t="shared" si="281"/>
        <v>11.062707261609063</v>
      </c>
      <c r="T855" s="6" t="str">
        <f>IF(MOD(C855-Settings!$B$32,Settings!$B$33)&lt;Settings!$B$30,"Up","Down")</f>
        <v>Up</v>
      </c>
      <c r="U855" s="6">
        <f>IF(OR(I855&gt;Settings!$B$30,O855&gt;Settings!$B$37),0,1)</f>
        <v>1</v>
      </c>
      <c r="V855" s="6">
        <f>IF(AND(U855=1,O855&lt;=Settings!$B$36),1,0)</f>
        <v>1</v>
      </c>
    </row>
    <row r="856" spans="1:22" x14ac:dyDescent="0.2">
      <c r="A856">
        <f>Arrivals!A856</f>
        <v>8</v>
      </c>
      <c r="B856">
        <f>Arrivals!B856</f>
        <v>11</v>
      </c>
      <c r="C856" s="6">
        <f>Arrivals!F856</f>
        <v>182</v>
      </c>
      <c r="D856" s="6">
        <f>Arrivals!J856</f>
        <v>17.482082913219983</v>
      </c>
      <c r="E856" s="6">
        <f t="shared" si="282"/>
        <v>182.13967259920014</v>
      </c>
      <c r="F856" s="6">
        <f t="shared" si="273"/>
        <v>182.13967259920014</v>
      </c>
      <c r="G856" s="6">
        <f t="shared" si="274"/>
        <v>199.62175551242012</v>
      </c>
      <c r="H856" s="6">
        <f>Arrivals!L856</f>
        <v>75</v>
      </c>
      <c r="I856" s="6">
        <f>H856*8/ACE_Input!S16+ACE_Input!T16</f>
        <v>6.02</v>
      </c>
      <c r="J856" s="6">
        <f t="shared" si="283"/>
        <v>194.13118993040462</v>
      </c>
      <c r="K856" s="6">
        <f t="shared" si="275"/>
        <v>199.62175551242012</v>
      </c>
      <c r="L856" s="6">
        <f>MOD(K856-Settings!$B$32,Settings!$B$33)</f>
        <v>199.62175551242012</v>
      </c>
      <c r="M856" s="6">
        <f>IF(L856&lt;Settings!$B$30,IF(Settings!$B$30-L856&gt;=I856,K856,K856+(Settings!$B$30-L856)+Settings!$B$31),K856+(Settings!$B$33-L856))</f>
        <v>199.62175551242012</v>
      </c>
      <c r="N856" s="6">
        <f t="shared" si="276"/>
        <v>205.64175551242013</v>
      </c>
      <c r="O856" s="6">
        <f t="shared" si="277"/>
        <v>23.641755512420133</v>
      </c>
      <c r="P856" s="6">
        <f t="shared" si="278"/>
        <v>0.1396725992001393</v>
      </c>
      <c r="Q856" s="6">
        <f t="shared" si="279"/>
        <v>0</v>
      </c>
      <c r="R856" s="6">
        <f t="shared" si="280"/>
        <v>0</v>
      </c>
      <c r="S856" s="6">
        <f t="shared" si="281"/>
        <v>0.1396725992001393</v>
      </c>
      <c r="T856" s="6" t="str">
        <f>IF(MOD(C856-Settings!$B$32,Settings!$B$33)&lt;Settings!$B$30,"Up","Down")</f>
        <v>Up</v>
      </c>
      <c r="U856" s="6">
        <f>IF(OR(I856&gt;Settings!$B$30,O856&gt;Settings!$B$37),0,1)</f>
        <v>1</v>
      </c>
      <c r="V856" s="6">
        <f>IF(AND(U856=1,O856&lt;=Settings!$B$36),1,0)</f>
        <v>1</v>
      </c>
    </row>
    <row r="857" spans="1:22" x14ac:dyDescent="0.2">
      <c r="A857">
        <f>Arrivals!A857</f>
        <v>8</v>
      </c>
      <c r="B857">
        <f>Arrivals!B857</f>
        <v>12</v>
      </c>
      <c r="C857" s="6">
        <f>Arrivals!F857</f>
        <v>187</v>
      </c>
      <c r="D857" s="6">
        <f>Arrivals!J857</f>
        <v>7.223812956422047</v>
      </c>
      <c r="E857" s="6">
        <f t="shared" si="282"/>
        <v>199.62175551242012</v>
      </c>
      <c r="F857" s="6">
        <f t="shared" si="273"/>
        <v>199.62175551242012</v>
      </c>
      <c r="G857" s="6">
        <f t="shared" si="274"/>
        <v>206.84556846884217</v>
      </c>
      <c r="H857" s="6">
        <f>Arrivals!L857</f>
        <v>75</v>
      </c>
      <c r="I857" s="6">
        <f>H857*8/ACE_Input!S17+ACE_Input!T17</f>
        <v>6.02</v>
      </c>
      <c r="J857" s="6">
        <f t="shared" si="283"/>
        <v>205.64175551242013</v>
      </c>
      <c r="K857" s="6">
        <f t="shared" si="275"/>
        <v>206.84556846884217</v>
      </c>
      <c r="L857" s="6">
        <f>MOD(K857-Settings!$B$32,Settings!$B$33)</f>
        <v>206.84556846884217</v>
      </c>
      <c r="M857" s="6">
        <f>IF(L857&lt;Settings!$B$30,IF(Settings!$B$30-L857&gt;=I857,K857,K857+(Settings!$B$30-L857)+Settings!$B$31),K857+(Settings!$B$33-L857))</f>
        <v>206.84556846884217</v>
      </c>
      <c r="N857" s="6">
        <f t="shared" si="276"/>
        <v>212.86556846884218</v>
      </c>
      <c r="O857" s="6">
        <f t="shared" si="277"/>
        <v>25.865568468842184</v>
      </c>
      <c r="P857" s="6">
        <f t="shared" si="278"/>
        <v>12.621755512420123</v>
      </c>
      <c r="Q857" s="6">
        <f t="shared" si="279"/>
        <v>0</v>
      </c>
      <c r="R857" s="6">
        <f t="shared" si="280"/>
        <v>0</v>
      </c>
      <c r="S857" s="6">
        <f t="shared" si="281"/>
        <v>12.621755512420123</v>
      </c>
      <c r="T857" s="6" t="str">
        <f>IF(MOD(C857-Settings!$B$32,Settings!$B$33)&lt;Settings!$B$30,"Up","Down")</f>
        <v>Up</v>
      </c>
      <c r="U857" s="6">
        <f>IF(OR(I857&gt;Settings!$B$30,O857&gt;Settings!$B$37),0,1)</f>
        <v>1</v>
      </c>
      <c r="V857" s="6">
        <f>IF(AND(U857=1,O857&lt;=Settings!$B$36),1,0)</f>
        <v>1</v>
      </c>
    </row>
    <row r="858" spans="1:22" x14ac:dyDescent="0.2">
      <c r="A858">
        <f>Arrivals!A858</f>
        <v>8</v>
      </c>
      <c r="B858">
        <f>Arrivals!B858</f>
        <v>13</v>
      </c>
      <c r="C858" s="6">
        <f>Arrivals!F858</f>
        <v>192</v>
      </c>
      <c r="D858" s="6">
        <f>Arrivals!J858</f>
        <v>6.3044696407580751</v>
      </c>
      <c r="E858" s="6">
        <f t="shared" si="282"/>
        <v>206.84556846884217</v>
      </c>
      <c r="F858" s="6">
        <f t="shared" si="273"/>
        <v>206.84556846884217</v>
      </c>
      <c r="G858" s="6">
        <f t="shared" si="274"/>
        <v>213.15003810960025</v>
      </c>
      <c r="H858" s="6">
        <f>Arrivals!L858</f>
        <v>75</v>
      </c>
      <c r="I858" s="6">
        <f>H858*8/ACE_Input!S18+ACE_Input!T18</f>
        <v>6.02</v>
      </c>
      <c r="J858" s="6">
        <f t="shared" si="283"/>
        <v>212.86556846884218</v>
      </c>
      <c r="K858" s="6">
        <f t="shared" si="275"/>
        <v>213.15003810960025</v>
      </c>
      <c r="L858" s="6">
        <f>MOD(K858-Settings!$B$32,Settings!$B$33)</f>
        <v>213.15003810960025</v>
      </c>
      <c r="M858" s="6">
        <f>IF(L858&lt;Settings!$B$30,IF(Settings!$B$30-L858&gt;=I858,K858,K858+(Settings!$B$30-L858)+Settings!$B$31),K858+(Settings!$B$33-L858))</f>
        <v>213.15003810960025</v>
      </c>
      <c r="N858" s="6">
        <f t="shared" si="276"/>
        <v>219.17003810960026</v>
      </c>
      <c r="O858" s="6">
        <f t="shared" si="277"/>
        <v>27.170038109600256</v>
      </c>
      <c r="P858" s="6">
        <f t="shared" si="278"/>
        <v>14.845568468842174</v>
      </c>
      <c r="Q858" s="6">
        <f t="shared" si="279"/>
        <v>0</v>
      </c>
      <c r="R858" s="6">
        <f t="shared" si="280"/>
        <v>0</v>
      </c>
      <c r="S858" s="6">
        <f t="shared" si="281"/>
        <v>14.845568468842174</v>
      </c>
      <c r="T858" s="6" t="str">
        <f>IF(MOD(C858-Settings!$B$32,Settings!$B$33)&lt;Settings!$B$30,"Up","Down")</f>
        <v>Up</v>
      </c>
      <c r="U858" s="6">
        <f>IF(OR(I858&gt;Settings!$B$30,O858&gt;Settings!$B$37),0,1)</f>
        <v>1</v>
      </c>
      <c r="V858" s="6">
        <f>IF(AND(U858=1,O858&lt;=Settings!$B$36),1,0)</f>
        <v>1</v>
      </c>
    </row>
    <row r="859" spans="1:22" x14ac:dyDescent="0.2">
      <c r="A859">
        <f>Arrivals!A859</f>
        <v>8</v>
      </c>
      <c r="B859">
        <f>Arrivals!B859</f>
        <v>14</v>
      </c>
      <c r="C859" s="6">
        <f>Arrivals!F859</f>
        <v>197</v>
      </c>
      <c r="D859" s="6">
        <f>Arrivals!J859</f>
        <v>6.7770437493981746</v>
      </c>
      <c r="E859" s="6">
        <f t="shared" si="282"/>
        <v>213.15003810960025</v>
      </c>
      <c r="F859" s="6">
        <f t="shared" si="273"/>
        <v>213.15003810960025</v>
      </c>
      <c r="G859" s="6">
        <f t="shared" si="274"/>
        <v>219.92708185899841</v>
      </c>
      <c r="H859" s="6">
        <f>Arrivals!L859</f>
        <v>75</v>
      </c>
      <c r="I859" s="6">
        <f>H859*8/ACE_Input!S19+ACE_Input!T19</f>
        <v>6.02</v>
      </c>
      <c r="J859" s="6">
        <f t="shared" si="283"/>
        <v>219.17003810960026</v>
      </c>
      <c r="K859" s="6">
        <f t="shared" si="275"/>
        <v>219.92708185899841</v>
      </c>
      <c r="L859" s="6">
        <f>MOD(K859-Settings!$B$32,Settings!$B$33)</f>
        <v>219.92708185899841</v>
      </c>
      <c r="M859" s="6">
        <f>IF(L859&lt;Settings!$B$30,IF(Settings!$B$30-L859&gt;=I859,K859,K859+(Settings!$B$30-L859)+Settings!$B$31),K859+(Settings!$B$33-L859))</f>
        <v>219.92708185899841</v>
      </c>
      <c r="N859" s="6">
        <f t="shared" si="276"/>
        <v>225.94708185899842</v>
      </c>
      <c r="O859" s="6">
        <f t="shared" si="277"/>
        <v>28.947081858998416</v>
      </c>
      <c r="P859" s="6">
        <f t="shared" si="278"/>
        <v>16.150038109600246</v>
      </c>
      <c r="Q859" s="6">
        <f t="shared" si="279"/>
        <v>0</v>
      </c>
      <c r="R859" s="6">
        <f t="shared" si="280"/>
        <v>0</v>
      </c>
      <c r="S859" s="6">
        <f t="shared" si="281"/>
        <v>16.150038109600246</v>
      </c>
      <c r="T859" s="6" t="str">
        <f>IF(MOD(C859-Settings!$B$32,Settings!$B$33)&lt;Settings!$B$30,"Up","Down")</f>
        <v>Up</v>
      </c>
      <c r="U859" s="6">
        <f>IF(OR(I859&gt;Settings!$B$30,O859&gt;Settings!$B$37),0,1)</f>
        <v>1</v>
      </c>
      <c r="V859" s="6">
        <f>IF(AND(U859=1,O859&lt;=Settings!$B$36),1,0)</f>
        <v>1</v>
      </c>
    </row>
    <row r="860" spans="1:22" x14ac:dyDescent="0.2">
      <c r="A860">
        <f>Arrivals!A860</f>
        <v>8</v>
      </c>
      <c r="B860">
        <f>Arrivals!B860</f>
        <v>15</v>
      </c>
      <c r="C860" s="6">
        <f>Arrivals!F860</f>
        <v>202</v>
      </c>
      <c r="D860" s="6">
        <f>Arrivals!J860</f>
        <v>2.9422528375125596</v>
      </c>
      <c r="E860" s="6">
        <f t="shared" si="282"/>
        <v>219.92708185899841</v>
      </c>
      <c r="F860" s="6">
        <f t="shared" si="273"/>
        <v>219.92708185899841</v>
      </c>
      <c r="G860" s="6">
        <f t="shared" si="274"/>
        <v>222.86933469651098</v>
      </c>
      <c r="H860" s="6">
        <f>Arrivals!L860</f>
        <v>75</v>
      </c>
      <c r="I860" s="6">
        <f>H860*8/ACE_Input!S20+ACE_Input!T20</f>
        <v>6.02</v>
      </c>
      <c r="J860" s="6">
        <f t="shared" si="283"/>
        <v>225.94708185899842</v>
      </c>
      <c r="K860" s="6">
        <f t="shared" si="275"/>
        <v>225.94708185899842</v>
      </c>
      <c r="L860" s="6">
        <f>MOD(K860-Settings!$B$32,Settings!$B$33)</f>
        <v>225.94708185899842</v>
      </c>
      <c r="M860" s="6">
        <f>IF(L860&lt;Settings!$B$30,IF(Settings!$B$30-L860&gt;=I860,K860,K860+(Settings!$B$30-L860)+Settings!$B$31),K860+(Settings!$B$33-L860))</f>
        <v>225.94708185899842</v>
      </c>
      <c r="N860" s="6">
        <f t="shared" si="276"/>
        <v>231.96708185899843</v>
      </c>
      <c r="O860" s="6">
        <f t="shared" si="277"/>
        <v>29.967081858998426</v>
      </c>
      <c r="P860" s="6">
        <f t="shared" si="278"/>
        <v>17.927081858998406</v>
      </c>
      <c r="Q860" s="6">
        <f t="shared" si="279"/>
        <v>3.0777471624874408</v>
      </c>
      <c r="R860" s="6">
        <f t="shared" si="280"/>
        <v>0</v>
      </c>
      <c r="S860" s="6">
        <f t="shared" si="281"/>
        <v>21.004829021485847</v>
      </c>
      <c r="T860" s="6" t="str">
        <f>IF(MOD(C860-Settings!$B$32,Settings!$B$33)&lt;Settings!$B$30,"Up","Down")</f>
        <v>Up</v>
      </c>
      <c r="U860" s="6">
        <f>IF(OR(I860&gt;Settings!$B$30,O860&gt;Settings!$B$37),0,1)</f>
        <v>1</v>
      </c>
      <c r="V860" s="6">
        <f>IF(AND(U860=1,O860&lt;=Settings!$B$36),1,0)</f>
        <v>1</v>
      </c>
    </row>
    <row r="861" spans="1:22" x14ac:dyDescent="0.2">
      <c r="A861">
        <f>Arrivals!A861</f>
        <v>8</v>
      </c>
      <c r="B861">
        <f>Arrivals!B861</f>
        <v>16</v>
      </c>
      <c r="C861" s="6">
        <f>Arrivals!F861</f>
        <v>207</v>
      </c>
      <c r="D861" s="6">
        <f>Arrivals!J861</f>
        <v>9.6959954772378936</v>
      </c>
      <c r="E861" s="6">
        <f t="shared" si="282"/>
        <v>222.86933469651098</v>
      </c>
      <c r="F861" s="6">
        <f t="shared" si="273"/>
        <v>222.86933469651098</v>
      </c>
      <c r="G861" s="6">
        <f t="shared" si="274"/>
        <v>232.56533017374886</v>
      </c>
      <c r="H861" s="6">
        <f>Arrivals!L861</f>
        <v>75</v>
      </c>
      <c r="I861" s="6">
        <f>H861*8/ACE_Input!S21+ACE_Input!T21</f>
        <v>6.02</v>
      </c>
      <c r="J861" s="6">
        <f t="shared" si="283"/>
        <v>231.96708185899843</v>
      </c>
      <c r="K861" s="6">
        <f t="shared" si="275"/>
        <v>232.56533017374886</v>
      </c>
      <c r="L861" s="6">
        <f>MOD(K861-Settings!$B$32,Settings!$B$33)</f>
        <v>232.56533017374886</v>
      </c>
      <c r="M861" s="6">
        <f>IF(L861&lt;Settings!$B$30,IF(Settings!$B$30-L861&gt;=I861,K861,K861+(Settings!$B$30-L861)+Settings!$B$31),K861+(Settings!$B$33-L861))</f>
        <v>232.56533017374886</v>
      </c>
      <c r="N861" s="6">
        <f t="shared" si="276"/>
        <v>238.58533017374887</v>
      </c>
      <c r="O861" s="6">
        <f t="shared" si="277"/>
        <v>31.585330173748872</v>
      </c>
      <c r="P861" s="6">
        <f t="shared" si="278"/>
        <v>15.869334696510975</v>
      </c>
      <c r="Q861" s="6">
        <f t="shared" si="279"/>
        <v>0</v>
      </c>
      <c r="R861" s="6">
        <f t="shared" si="280"/>
        <v>0</v>
      </c>
      <c r="S861" s="6">
        <f t="shared" si="281"/>
        <v>15.869334696510975</v>
      </c>
      <c r="T861" s="6" t="str">
        <f>IF(MOD(C861-Settings!$B$32,Settings!$B$33)&lt;Settings!$B$30,"Up","Down")</f>
        <v>Up</v>
      </c>
      <c r="U861" s="6">
        <f>IF(OR(I861&gt;Settings!$B$30,O861&gt;Settings!$B$37),0,1)</f>
        <v>1</v>
      </c>
      <c r="V861" s="6">
        <f>IF(AND(U861=1,O861&lt;=Settings!$B$36),1,0)</f>
        <v>1</v>
      </c>
    </row>
    <row r="862" spans="1:22" x14ac:dyDescent="0.2">
      <c r="A862">
        <f>Arrivals!A862</f>
        <v>8</v>
      </c>
      <c r="B862">
        <f>Arrivals!B862</f>
        <v>17</v>
      </c>
      <c r="C862" s="6">
        <f>Arrivals!F862</f>
        <v>212</v>
      </c>
      <c r="D862" s="6">
        <f>Arrivals!J862</f>
        <v>4.2669908698103765</v>
      </c>
      <c r="E862" s="6">
        <f t="shared" si="282"/>
        <v>232.56533017374886</v>
      </c>
      <c r="F862" s="6">
        <f t="shared" si="273"/>
        <v>232.56533017374886</v>
      </c>
      <c r="G862" s="6">
        <f t="shared" si="274"/>
        <v>236.83232104355923</v>
      </c>
      <c r="H862" s="6">
        <f>Arrivals!L862</f>
        <v>75</v>
      </c>
      <c r="I862" s="6">
        <f>H862*8/ACE_Input!S22+ACE_Input!T22</f>
        <v>6.02</v>
      </c>
      <c r="J862" s="6">
        <f t="shared" si="283"/>
        <v>238.58533017374887</v>
      </c>
      <c r="K862" s="6">
        <f t="shared" si="275"/>
        <v>238.58533017374887</v>
      </c>
      <c r="L862" s="6">
        <f>MOD(K862-Settings!$B$32,Settings!$B$33)</f>
        <v>238.58533017374887</v>
      </c>
      <c r="M862" s="6">
        <f>IF(L862&lt;Settings!$B$30,IF(Settings!$B$30-L862&gt;=I862,K862,K862+(Settings!$B$30-L862)+Settings!$B$31),K862+(Settings!$B$33-L862))</f>
        <v>238.58533017374887</v>
      </c>
      <c r="N862" s="6">
        <f t="shared" si="276"/>
        <v>244.60533017374888</v>
      </c>
      <c r="O862" s="6">
        <f t="shared" si="277"/>
        <v>32.605330173748882</v>
      </c>
      <c r="P862" s="6">
        <f t="shared" si="278"/>
        <v>20.565330173748862</v>
      </c>
      <c r="Q862" s="6">
        <f t="shared" si="279"/>
        <v>1.7530091301896391</v>
      </c>
      <c r="R862" s="6">
        <f t="shared" si="280"/>
        <v>0</v>
      </c>
      <c r="S862" s="6">
        <f t="shared" si="281"/>
        <v>22.318339303938501</v>
      </c>
      <c r="T862" s="6" t="str">
        <f>IF(MOD(C862-Settings!$B$32,Settings!$B$33)&lt;Settings!$B$30,"Up","Down")</f>
        <v>Up</v>
      </c>
      <c r="U862" s="6">
        <f>IF(OR(I862&gt;Settings!$B$30,O862&gt;Settings!$B$37),0,1)</f>
        <v>1</v>
      </c>
      <c r="V862" s="6">
        <f>IF(AND(U862=1,O862&lt;=Settings!$B$36),1,0)</f>
        <v>1</v>
      </c>
    </row>
    <row r="863" spans="1:22" x14ac:dyDescent="0.2">
      <c r="A863">
        <f>Arrivals!A863</f>
        <v>8</v>
      </c>
      <c r="B863">
        <f>Arrivals!B863</f>
        <v>18</v>
      </c>
      <c r="C863" s="6">
        <f>Arrivals!F863</f>
        <v>217</v>
      </c>
      <c r="D863" s="6">
        <f>Arrivals!J863</f>
        <v>3.3143734020883127</v>
      </c>
      <c r="E863" s="6">
        <f t="shared" si="282"/>
        <v>236.83232104355923</v>
      </c>
      <c r="F863" s="6">
        <f t="shared" si="273"/>
        <v>236.83232104355923</v>
      </c>
      <c r="G863" s="6">
        <f t="shared" si="274"/>
        <v>240.14669444564754</v>
      </c>
      <c r="H863" s="6">
        <f>Arrivals!L863</f>
        <v>75</v>
      </c>
      <c r="I863" s="6">
        <f>H863*8/ACE_Input!S23+ACE_Input!T23</f>
        <v>6.02</v>
      </c>
      <c r="J863" s="6">
        <f t="shared" si="283"/>
        <v>244.60533017374888</v>
      </c>
      <c r="K863" s="6">
        <f t="shared" si="275"/>
        <v>244.60533017374888</v>
      </c>
      <c r="L863" s="6">
        <f>MOD(K863-Settings!$B$32,Settings!$B$33)</f>
        <v>244.60533017374888</v>
      </c>
      <c r="M863" s="6">
        <f>IF(L863&lt;Settings!$B$30,IF(Settings!$B$30-L863&gt;=I863,K863,K863+(Settings!$B$30-L863)+Settings!$B$31),K863+(Settings!$B$33-L863))</f>
        <v>244.60533017374888</v>
      </c>
      <c r="N863" s="6">
        <f t="shared" si="276"/>
        <v>250.62533017374889</v>
      </c>
      <c r="O863" s="6">
        <f t="shared" si="277"/>
        <v>33.625330173748893</v>
      </c>
      <c r="P863" s="6">
        <f t="shared" si="278"/>
        <v>19.832321043559233</v>
      </c>
      <c r="Q863" s="6">
        <f t="shared" si="279"/>
        <v>4.458635728101342</v>
      </c>
      <c r="R863" s="6">
        <f t="shared" si="280"/>
        <v>0</v>
      </c>
      <c r="S863" s="6">
        <f t="shared" si="281"/>
        <v>24.290956771660575</v>
      </c>
      <c r="T863" s="6" t="str">
        <f>IF(MOD(C863-Settings!$B$32,Settings!$B$33)&lt;Settings!$B$30,"Up","Down")</f>
        <v>Up</v>
      </c>
      <c r="U863" s="6">
        <f>IF(OR(I863&gt;Settings!$B$30,O863&gt;Settings!$B$37),0,1)</f>
        <v>1</v>
      </c>
      <c r="V863" s="6">
        <f>IF(AND(U863=1,O863&lt;=Settings!$B$36),1,0)</f>
        <v>1</v>
      </c>
    </row>
    <row r="864" spans="1:22" x14ac:dyDescent="0.2">
      <c r="A864">
        <f>Arrivals!A864</f>
        <v>8</v>
      </c>
      <c r="B864">
        <f>Arrivals!B864</f>
        <v>19</v>
      </c>
      <c r="C864" s="6">
        <f>Arrivals!F864</f>
        <v>222</v>
      </c>
      <c r="D864" s="6">
        <f>Arrivals!J864</f>
        <v>1.9959041534934312</v>
      </c>
      <c r="E864" s="6">
        <f t="shared" si="282"/>
        <v>240.14669444564754</v>
      </c>
      <c r="F864" s="6">
        <f t="shared" si="273"/>
        <v>240.14669444564754</v>
      </c>
      <c r="G864" s="6">
        <f t="shared" si="274"/>
        <v>242.14259859914097</v>
      </c>
      <c r="H864" s="6">
        <f>Arrivals!L864</f>
        <v>75</v>
      </c>
      <c r="I864" s="6">
        <f>H864*8/ACE_Input!S24+ACE_Input!T24</f>
        <v>6.02</v>
      </c>
      <c r="J864" s="6">
        <f t="shared" si="283"/>
        <v>250.62533017374889</v>
      </c>
      <c r="K864" s="6">
        <f t="shared" si="275"/>
        <v>250.62533017374889</v>
      </c>
      <c r="L864" s="6">
        <f>MOD(K864-Settings!$B$32,Settings!$B$33)</f>
        <v>250.62533017374889</v>
      </c>
      <c r="M864" s="6">
        <f>IF(L864&lt;Settings!$B$30,IF(Settings!$B$30-L864&gt;=I864,K864,K864+(Settings!$B$30-L864)+Settings!$B$31),K864+(Settings!$B$33-L864))</f>
        <v>250.62533017374889</v>
      </c>
      <c r="N864" s="6">
        <f t="shared" si="276"/>
        <v>256.6453301737489</v>
      </c>
      <c r="O864" s="6">
        <f t="shared" si="277"/>
        <v>34.645330173748903</v>
      </c>
      <c r="P864" s="6">
        <f t="shared" si="278"/>
        <v>18.14669444564754</v>
      </c>
      <c r="Q864" s="6">
        <f t="shared" si="279"/>
        <v>8.482731574607925</v>
      </c>
      <c r="R864" s="6">
        <f t="shared" si="280"/>
        <v>0</v>
      </c>
      <c r="S864" s="6">
        <f t="shared" si="281"/>
        <v>26.629426020255465</v>
      </c>
      <c r="T864" s="6" t="str">
        <f>IF(MOD(C864-Settings!$B$32,Settings!$B$33)&lt;Settings!$B$30,"Up","Down")</f>
        <v>Up</v>
      </c>
      <c r="U864" s="6">
        <f>IF(OR(I864&gt;Settings!$B$30,O864&gt;Settings!$B$37),0,1)</f>
        <v>1</v>
      </c>
      <c r="V864" s="6">
        <f>IF(AND(U864=1,O864&lt;=Settings!$B$36),1,0)</f>
        <v>1</v>
      </c>
    </row>
    <row r="865" spans="1:22" x14ac:dyDescent="0.2">
      <c r="A865">
        <f>Arrivals!A865</f>
        <v>8</v>
      </c>
      <c r="B865">
        <f>Arrivals!B865</f>
        <v>20</v>
      </c>
      <c r="C865" s="6">
        <f>Arrivals!F865</f>
        <v>227</v>
      </c>
      <c r="D865" s="6">
        <f>Arrivals!J865</f>
        <v>4.7150108088513427</v>
      </c>
      <c r="E865" s="6">
        <f t="shared" si="282"/>
        <v>242.14259859914097</v>
      </c>
      <c r="F865" s="6">
        <f t="shared" si="273"/>
        <v>242.14259859914097</v>
      </c>
      <c r="G865" s="6">
        <f t="shared" si="274"/>
        <v>246.8576094079923</v>
      </c>
      <c r="H865" s="6">
        <f>Arrivals!L865</f>
        <v>75</v>
      </c>
      <c r="I865" s="6">
        <f>H865*8/ACE_Input!S25+ACE_Input!T25</f>
        <v>6.02</v>
      </c>
      <c r="J865" s="6">
        <f t="shared" si="283"/>
        <v>256.6453301737489</v>
      </c>
      <c r="K865" s="6">
        <f t="shared" si="275"/>
        <v>256.6453301737489</v>
      </c>
      <c r="L865" s="6">
        <f>MOD(K865-Settings!$B$32,Settings!$B$33)</f>
        <v>256.6453301737489</v>
      </c>
      <c r="M865" s="6">
        <f>IF(L865&lt;Settings!$B$30,IF(Settings!$B$30-L865&gt;=I865,K865,K865+(Settings!$B$30-L865)+Settings!$B$31),K865+(Settings!$B$33-L865))</f>
        <v>256.6453301737489</v>
      </c>
      <c r="N865" s="6">
        <f t="shared" si="276"/>
        <v>262.66533017374888</v>
      </c>
      <c r="O865" s="6">
        <f t="shared" si="277"/>
        <v>35.665330173748885</v>
      </c>
      <c r="P865" s="6">
        <f t="shared" si="278"/>
        <v>15.142598599140968</v>
      </c>
      <c r="Q865" s="6">
        <f t="shared" si="279"/>
        <v>9.7877207657566032</v>
      </c>
      <c r="R865" s="6">
        <f t="shared" si="280"/>
        <v>0</v>
      </c>
      <c r="S865" s="6">
        <f t="shared" si="281"/>
        <v>24.930319364897571</v>
      </c>
      <c r="T865" s="6" t="str">
        <f>IF(MOD(C865-Settings!$B$32,Settings!$B$33)&lt;Settings!$B$30,"Up","Down")</f>
        <v>Up</v>
      </c>
      <c r="U865" s="6">
        <f>IF(OR(I865&gt;Settings!$B$30,O865&gt;Settings!$B$37),0,1)</f>
        <v>1</v>
      </c>
      <c r="V865" s="6">
        <f>IF(AND(U865=1,O865&lt;=Settings!$B$36),1,0)</f>
        <v>1</v>
      </c>
    </row>
    <row r="866" spans="1:22" x14ac:dyDescent="0.2">
      <c r="A866">
        <f>Arrivals!A866</f>
        <v>8</v>
      </c>
      <c r="B866">
        <f>Arrivals!B866</f>
        <v>21</v>
      </c>
      <c r="C866" s="6">
        <f>Arrivals!F866</f>
        <v>232</v>
      </c>
      <c r="D866" s="6">
        <f>Arrivals!J866</f>
        <v>23.304221240593456</v>
      </c>
      <c r="E866" s="6">
        <f t="shared" si="282"/>
        <v>246.8576094079923</v>
      </c>
      <c r="F866" s="6">
        <f t="shared" si="273"/>
        <v>246.8576094079923</v>
      </c>
      <c r="G866" s="6">
        <f t="shared" si="274"/>
        <v>270.16183064858575</v>
      </c>
      <c r="H866" s="6">
        <f>Arrivals!L866</f>
        <v>75</v>
      </c>
      <c r="I866" s="6">
        <f>H866*8/ACE_Input!S26+ACE_Input!T26</f>
        <v>6.02</v>
      </c>
      <c r="J866" s="6">
        <f t="shared" si="283"/>
        <v>262.66533017374888</v>
      </c>
      <c r="K866" s="6">
        <f t="shared" si="275"/>
        <v>270.16183064858575</v>
      </c>
      <c r="L866" s="6">
        <f>MOD(K866-Settings!$B$32,Settings!$B$33)</f>
        <v>270.16183064858575</v>
      </c>
      <c r="M866" s="6">
        <f>IF(L866&lt;Settings!$B$30,IF(Settings!$B$30-L866&gt;=I866,K866,K866+(Settings!$B$30-L866)+Settings!$B$31),K866+(Settings!$B$33-L866))</f>
        <v>270.16183064858575</v>
      </c>
      <c r="N866" s="6">
        <f t="shared" si="276"/>
        <v>276.18183064858573</v>
      </c>
      <c r="O866" s="6">
        <f t="shared" si="277"/>
        <v>44.181830648585731</v>
      </c>
      <c r="P866" s="6">
        <f t="shared" si="278"/>
        <v>14.8576094079923</v>
      </c>
      <c r="Q866" s="6">
        <f t="shared" si="279"/>
        <v>0</v>
      </c>
      <c r="R866" s="6">
        <f t="shared" si="280"/>
        <v>0</v>
      </c>
      <c r="S866" s="6">
        <f t="shared" si="281"/>
        <v>14.8576094079923</v>
      </c>
      <c r="T866" s="6" t="str">
        <f>IF(MOD(C866-Settings!$B$32,Settings!$B$33)&lt;Settings!$B$30,"Up","Down")</f>
        <v>Up</v>
      </c>
      <c r="U866" s="6">
        <f>IF(OR(I866&gt;Settings!$B$30,O866&gt;Settings!$B$37),0,1)</f>
        <v>1</v>
      </c>
      <c r="V866" s="6">
        <f>IF(AND(U866=1,O866&lt;=Settings!$B$36),1,0)</f>
        <v>1</v>
      </c>
    </row>
    <row r="867" spans="1:22" x14ac:dyDescent="0.2">
      <c r="A867">
        <f>Arrivals!A867</f>
        <v>8</v>
      </c>
      <c r="B867">
        <f>Arrivals!B867</f>
        <v>22</v>
      </c>
      <c r="C867" s="6">
        <f>Arrivals!F867</f>
        <v>237</v>
      </c>
      <c r="D867" s="6">
        <f>Arrivals!J867</f>
        <v>12.186472276542428</v>
      </c>
      <c r="E867" s="6">
        <f t="shared" si="282"/>
        <v>270.16183064858575</v>
      </c>
      <c r="F867" s="6">
        <f t="shared" si="273"/>
        <v>270.16183064858575</v>
      </c>
      <c r="G867" s="6">
        <f t="shared" si="274"/>
        <v>282.34830292512817</v>
      </c>
      <c r="H867" s="6">
        <f>Arrivals!L867</f>
        <v>75</v>
      </c>
      <c r="I867" s="6">
        <f>H867*8/ACE_Input!S27+ACE_Input!T27</f>
        <v>6.02</v>
      </c>
      <c r="J867" s="6">
        <f t="shared" si="283"/>
        <v>276.18183064858573</v>
      </c>
      <c r="K867" s="6">
        <f t="shared" si="275"/>
        <v>282.34830292512817</v>
      </c>
      <c r="L867" s="6">
        <f>MOD(K867-Settings!$B$32,Settings!$B$33)</f>
        <v>282.34830292512817</v>
      </c>
      <c r="M867" s="6">
        <f>IF(L867&lt;Settings!$B$30,IF(Settings!$B$30-L867&gt;=I867,K867,K867+(Settings!$B$30-L867)+Settings!$B$31),K867+(Settings!$B$33-L867))</f>
        <v>282.34830292512817</v>
      </c>
      <c r="N867" s="6">
        <f t="shared" si="276"/>
        <v>288.36830292512815</v>
      </c>
      <c r="O867" s="6">
        <f t="shared" si="277"/>
        <v>51.368302925128148</v>
      </c>
      <c r="P867" s="6">
        <f t="shared" si="278"/>
        <v>33.161830648585749</v>
      </c>
      <c r="Q867" s="6">
        <f t="shared" si="279"/>
        <v>0</v>
      </c>
      <c r="R867" s="6">
        <f t="shared" si="280"/>
        <v>0</v>
      </c>
      <c r="S867" s="6">
        <f t="shared" si="281"/>
        <v>33.161830648585749</v>
      </c>
      <c r="T867" s="6" t="str">
        <f>IF(MOD(C867-Settings!$B$32,Settings!$B$33)&lt;Settings!$B$30,"Up","Down")</f>
        <v>Up</v>
      </c>
      <c r="U867" s="6">
        <f>IF(OR(I867&gt;Settings!$B$30,O867&gt;Settings!$B$37),0,1)</f>
        <v>1</v>
      </c>
      <c r="V867" s="6">
        <f>IF(AND(U867=1,O867&lt;=Settings!$B$36),1,0)</f>
        <v>1</v>
      </c>
    </row>
    <row r="868" spans="1:22" x14ac:dyDescent="0.2">
      <c r="A868">
        <f>Arrivals!A868</f>
        <v>8</v>
      </c>
      <c r="B868">
        <f>Arrivals!B868</f>
        <v>23</v>
      </c>
      <c r="C868" s="6">
        <f>Arrivals!F868</f>
        <v>242</v>
      </c>
      <c r="D868" s="6">
        <f>Arrivals!J868</f>
        <v>5.8656490414380231</v>
      </c>
      <c r="E868" s="6">
        <f t="shared" si="282"/>
        <v>282.34830292512817</v>
      </c>
      <c r="F868" s="6">
        <f t="shared" si="273"/>
        <v>282.34830292512817</v>
      </c>
      <c r="G868" s="6">
        <f t="shared" si="274"/>
        <v>288.21395196656619</v>
      </c>
      <c r="H868" s="6">
        <f>Arrivals!L868</f>
        <v>75</v>
      </c>
      <c r="I868" s="6">
        <f>H868*8/ACE_Input!S28+ACE_Input!T28</f>
        <v>6.02</v>
      </c>
      <c r="J868" s="6">
        <f t="shared" si="283"/>
        <v>288.36830292512815</v>
      </c>
      <c r="K868" s="6">
        <f t="shared" si="275"/>
        <v>288.36830292512815</v>
      </c>
      <c r="L868" s="6">
        <f>MOD(K868-Settings!$B$32,Settings!$B$33)</f>
        <v>288.36830292512815</v>
      </c>
      <c r="M868" s="6">
        <f>IF(L868&lt;Settings!$B$30,IF(Settings!$B$30-L868&gt;=I868,K868,K868+(Settings!$B$30-L868)+Settings!$B$31),K868+(Settings!$B$33-L868))</f>
        <v>288.36830292512815</v>
      </c>
      <c r="N868" s="6">
        <f t="shared" si="276"/>
        <v>294.38830292512813</v>
      </c>
      <c r="O868" s="6">
        <f t="shared" si="277"/>
        <v>52.38830292512813</v>
      </c>
      <c r="P868" s="6">
        <f t="shared" si="278"/>
        <v>40.348302925128166</v>
      </c>
      <c r="Q868" s="6">
        <f t="shared" si="279"/>
        <v>0.15435095856196313</v>
      </c>
      <c r="R868" s="6">
        <f t="shared" si="280"/>
        <v>0</v>
      </c>
      <c r="S868" s="6">
        <f t="shared" si="281"/>
        <v>40.50265388369013</v>
      </c>
      <c r="T868" s="6" t="str">
        <f>IF(MOD(C868-Settings!$B$32,Settings!$B$33)&lt;Settings!$B$30,"Up","Down")</f>
        <v>Up</v>
      </c>
      <c r="U868" s="6">
        <f>IF(OR(I868&gt;Settings!$B$30,O868&gt;Settings!$B$37),0,1)</f>
        <v>1</v>
      </c>
      <c r="V868" s="6">
        <f>IF(AND(U868=1,O868&lt;=Settings!$B$36),1,0)</f>
        <v>1</v>
      </c>
    </row>
    <row r="869" spans="1:22" x14ac:dyDescent="0.2">
      <c r="A869">
        <f>Arrivals!A869</f>
        <v>8</v>
      </c>
      <c r="B869">
        <f>Arrivals!B869</f>
        <v>24</v>
      </c>
      <c r="C869" s="6">
        <f>Arrivals!F869</f>
        <v>247</v>
      </c>
      <c r="D869" s="6">
        <f>Arrivals!J869</f>
        <v>3.7307871991836548</v>
      </c>
      <c r="E869" s="6">
        <f t="shared" si="282"/>
        <v>288.21395196656619</v>
      </c>
      <c r="F869" s="6">
        <f t="shared" si="273"/>
        <v>288.21395196656619</v>
      </c>
      <c r="G869" s="6">
        <f t="shared" si="274"/>
        <v>291.94473916574987</v>
      </c>
      <c r="H869" s="6">
        <f>Arrivals!L869</f>
        <v>75</v>
      </c>
      <c r="I869" s="6">
        <f>H869*8/ACE_Input!S29+ACE_Input!T29</f>
        <v>6.02</v>
      </c>
      <c r="J869" s="6">
        <f t="shared" si="283"/>
        <v>294.38830292512813</v>
      </c>
      <c r="K869" s="6">
        <f t="shared" si="275"/>
        <v>294.38830292512813</v>
      </c>
      <c r="L869" s="6">
        <f>MOD(K869-Settings!$B$32,Settings!$B$33)</f>
        <v>294.38830292512813</v>
      </c>
      <c r="M869" s="6">
        <f>IF(L869&lt;Settings!$B$30,IF(Settings!$B$30-L869&gt;=I869,K869,K869+(Settings!$B$30-L869)+Settings!$B$31),K869+(Settings!$B$33-L869))</f>
        <v>294.38830292512813</v>
      </c>
      <c r="N869" s="6">
        <f t="shared" si="276"/>
        <v>300.40830292512811</v>
      </c>
      <c r="O869" s="6">
        <f t="shared" si="277"/>
        <v>53.408302925128112</v>
      </c>
      <c r="P869" s="6">
        <f t="shared" si="278"/>
        <v>41.213951966566185</v>
      </c>
      <c r="Q869" s="6">
        <f t="shared" si="279"/>
        <v>2.4435637593782644</v>
      </c>
      <c r="R869" s="6">
        <f t="shared" si="280"/>
        <v>0</v>
      </c>
      <c r="S869" s="6">
        <f t="shared" si="281"/>
        <v>43.65751572594445</v>
      </c>
      <c r="T869" s="6" t="str">
        <f>IF(MOD(C869-Settings!$B$32,Settings!$B$33)&lt;Settings!$B$30,"Up","Down")</f>
        <v>Up</v>
      </c>
      <c r="U869" s="6">
        <f>IF(OR(I869&gt;Settings!$B$30,O869&gt;Settings!$B$37),0,1)</f>
        <v>1</v>
      </c>
      <c r="V869" s="6">
        <f>IF(AND(U869=1,O869&lt;=Settings!$B$36),1,0)</f>
        <v>1</v>
      </c>
    </row>
    <row r="870" spans="1:22" x14ac:dyDescent="0.2">
      <c r="A870">
        <f>Arrivals!A870</f>
        <v>8</v>
      </c>
      <c r="B870">
        <f>Arrivals!B870</f>
        <v>25</v>
      </c>
      <c r="C870" s="6">
        <f>Arrivals!F870</f>
        <v>252</v>
      </c>
      <c r="D870" s="6">
        <f>Arrivals!J870</f>
        <v>0.40536979310059662</v>
      </c>
      <c r="E870" s="6">
        <f t="shared" si="282"/>
        <v>291.94473916574987</v>
      </c>
      <c r="F870" s="6">
        <f t="shared" si="273"/>
        <v>291.94473916574987</v>
      </c>
      <c r="G870" s="6">
        <f t="shared" si="274"/>
        <v>292.35010895885046</v>
      </c>
      <c r="H870" s="6">
        <f>Arrivals!L870</f>
        <v>75</v>
      </c>
      <c r="I870" s="6">
        <f>H870*8/ACE_Input!S30+ACE_Input!T30</f>
        <v>6.02</v>
      </c>
      <c r="J870" s="6">
        <f t="shared" si="283"/>
        <v>300.40830292512811</v>
      </c>
      <c r="K870" s="6">
        <f t="shared" si="275"/>
        <v>300.40830292512811</v>
      </c>
      <c r="L870" s="6">
        <f>MOD(K870-Settings!$B$32,Settings!$B$33)</f>
        <v>300.40830292512811</v>
      </c>
      <c r="M870" s="6">
        <f>IF(L870&lt;Settings!$B$30,IF(Settings!$B$30-L870&gt;=I870,K870,K870+(Settings!$B$30-L870)+Settings!$B$31),K870+(Settings!$B$33-L870))</f>
        <v>300.40830292512811</v>
      </c>
      <c r="N870" s="6">
        <f t="shared" si="276"/>
        <v>306.42830292512809</v>
      </c>
      <c r="O870" s="6">
        <f t="shared" si="277"/>
        <v>54.428302925128094</v>
      </c>
      <c r="P870" s="6">
        <f t="shared" si="278"/>
        <v>39.944739165749866</v>
      </c>
      <c r="Q870" s="6">
        <f t="shared" si="279"/>
        <v>8.0581939662776563</v>
      </c>
      <c r="R870" s="6">
        <f t="shared" si="280"/>
        <v>0</v>
      </c>
      <c r="S870" s="6">
        <f t="shared" si="281"/>
        <v>48.002933132027522</v>
      </c>
      <c r="T870" s="6" t="str">
        <f>IF(MOD(C870-Settings!$B$32,Settings!$B$33)&lt;Settings!$B$30,"Up","Down")</f>
        <v>Up</v>
      </c>
      <c r="U870" s="6">
        <f>IF(OR(I870&gt;Settings!$B$30,O870&gt;Settings!$B$37),0,1)</f>
        <v>1</v>
      </c>
      <c r="V870" s="6">
        <f>IF(AND(U870=1,O870&lt;=Settings!$B$36),1,0)</f>
        <v>1</v>
      </c>
    </row>
    <row r="871" spans="1:22" x14ac:dyDescent="0.2">
      <c r="A871">
        <f>Arrivals!A871</f>
        <v>8</v>
      </c>
      <c r="B871">
        <f>Arrivals!B871</f>
        <v>26</v>
      </c>
      <c r="C871" s="6">
        <f>Arrivals!F871</f>
        <v>257</v>
      </c>
      <c r="D871" s="6">
        <f>Arrivals!J871</f>
        <v>3.8037167380487285</v>
      </c>
      <c r="E871" s="6">
        <f t="shared" si="282"/>
        <v>292.35010895885046</v>
      </c>
      <c r="F871" s="6">
        <f t="shared" si="273"/>
        <v>292.35010895885046</v>
      </c>
      <c r="G871" s="6">
        <f t="shared" si="274"/>
        <v>296.15382569689916</v>
      </c>
      <c r="H871" s="6">
        <f>Arrivals!L871</f>
        <v>75</v>
      </c>
      <c r="I871" s="6">
        <f>H871*8/ACE_Input!S31+ACE_Input!T31</f>
        <v>6.02</v>
      </c>
      <c r="J871" s="6">
        <f t="shared" si="283"/>
        <v>306.42830292512809</v>
      </c>
      <c r="K871" s="6">
        <f t="shared" si="275"/>
        <v>306.42830292512809</v>
      </c>
      <c r="L871" s="6">
        <f>MOD(K871-Settings!$B$32,Settings!$B$33)</f>
        <v>306.42830292512809</v>
      </c>
      <c r="M871" s="6">
        <f>IF(L871&lt;Settings!$B$30,IF(Settings!$B$30-L871&gt;=I871,K871,K871+(Settings!$B$30-L871)+Settings!$B$31),K871+(Settings!$B$33-L871))</f>
        <v>306.42830292512809</v>
      </c>
      <c r="N871" s="6">
        <f t="shared" si="276"/>
        <v>312.44830292512808</v>
      </c>
      <c r="O871" s="6">
        <f t="shared" si="277"/>
        <v>55.448302925128075</v>
      </c>
      <c r="P871" s="6">
        <f t="shared" si="278"/>
        <v>35.350108958850456</v>
      </c>
      <c r="Q871" s="6">
        <f t="shared" si="279"/>
        <v>10.274477228228932</v>
      </c>
      <c r="R871" s="6">
        <f t="shared" si="280"/>
        <v>0</v>
      </c>
      <c r="S871" s="6">
        <f t="shared" si="281"/>
        <v>45.624586187079387</v>
      </c>
      <c r="T871" s="6" t="str">
        <f>IF(MOD(C871-Settings!$B$32,Settings!$B$33)&lt;Settings!$B$30,"Up","Down")</f>
        <v>Up</v>
      </c>
      <c r="U871" s="6">
        <f>IF(OR(I871&gt;Settings!$B$30,O871&gt;Settings!$B$37),0,1)</f>
        <v>1</v>
      </c>
      <c r="V871" s="6">
        <f>IF(AND(U871=1,O871&lt;=Settings!$B$36),1,0)</f>
        <v>1</v>
      </c>
    </row>
    <row r="872" spans="1:22" x14ac:dyDescent="0.2">
      <c r="A872">
        <f>Arrivals!A872</f>
        <v>8</v>
      </c>
      <c r="B872">
        <f>Arrivals!B872</f>
        <v>27</v>
      </c>
      <c r="C872" s="6">
        <f>Arrivals!F872</f>
        <v>262</v>
      </c>
      <c r="D872" s="6">
        <f>Arrivals!J872</f>
        <v>12.806866977257886</v>
      </c>
      <c r="E872" s="6">
        <f t="shared" si="282"/>
        <v>296.15382569689916</v>
      </c>
      <c r="F872" s="6">
        <f t="shared" si="273"/>
        <v>296.15382569689916</v>
      </c>
      <c r="G872" s="6">
        <f t="shared" si="274"/>
        <v>308.96069267415703</v>
      </c>
      <c r="H872" s="6">
        <f>Arrivals!L872</f>
        <v>75</v>
      </c>
      <c r="I872" s="6">
        <f>H872*8/ACE_Input!S32+ACE_Input!T32</f>
        <v>6.02</v>
      </c>
      <c r="J872" s="6">
        <f t="shared" si="283"/>
        <v>312.44830292512808</v>
      </c>
      <c r="K872" s="6">
        <f t="shared" si="275"/>
        <v>312.44830292512808</v>
      </c>
      <c r="L872" s="6">
        <f>MOD(K872-Settings!$B$32,Settings!$B$33)</f>
        <v>312.44830292512808</v>
      </c>
      <c r="M872" s="6">
        <f>IF(L872&lt;Settings!$B$30,IF(Settings!$B$30-L872&gt;=I872,K872,K872+(Settings!$B$30-L872)+Settings!$B$31),K872+(Settings!$B$33-L872))</f>
        <v>312.44830292512808</v>
      </c>
      <c r="N872" s="6">
        <f t="shared" si="276"/>
        <v>318.46830292512806</v>
      </c>
      <c r="O872" s="6">
        <f t="shared" si="277"/>
        <v>56.468302925128057</v>
      </c>
      <c r="P872" s="6">
        <f t="shared" si="278"/>
        <v>34.153825696899162</v>
      </c>
      <c r="Q872" s="6">
        <f t="shared" si="279"/>
        <v>3.4876102509710449</v>
      </c>
      <c r="R872" s="6">
        <f t="shared" si="280"/>
        <v>0</v>
      </c>
      <c r="S872" s="6">
        <f t="shared" si="281"/>
        <v>37.641435947870207</v>
      </c>
      <c r="T872" s="6" t="str">
        <f>IF(MOD(C872-Settings!$B$32,Settings!$B$33)&lt;Settings!$B$30,"Up","Down")</f>
        <v>Up</v>
      </c>
      <c r="U872" s="6">
        <f>IF(OR(I872&gt;Settings!$B$30,O872&gt;Settings!$B$37),0,1)</f>
        <v>1</v>
      </c>
      <c r="V872" s="6">
        <f>IF(AND(U872=1,O872&lt;=Settings!$B$36),1,0)</f>
        <v>1</v>
      </c>
    </row>
    <row r="873" spans="1:22" x14ac:dyDescent="0.2">
      <c r="A873">
        <f>Arrivals!A873</f>
        <v>8</v>
      </c>
      <c r="B873">
        <f>Arrivals!B873</f>
        <v>28</v>
      </c>
      <c r="C873" s="6">
        <f>Arrivals!F873</f>
        <v>268</v>
      </c>
      <c r="D873" s="6">
        <f>Arrivals!J873</f>
        <v>1.4843384505533153</v>
      </c>
      <c r="E873" s="6">
        <f t="shared" si="282"/>
        <v>308.96069267415703</v>
      </c>
      <c r="F873" s="6">
        <f t="shared" si="273"/>
        <v>308.96069267415703</v>
      </c>
      <c r="G873" s="6">
        <f t="shared" si="274"/>
        <v>310.44503112471034</v>
      </c>
      <c r="H873" s="6">
        <f>Arrivals!L873</f>
        <v>75</v>
      </c>
      <c r="I873" s="6">
        <f>H873*8/ACE_Input!S33+ACE_Input!T33</f>
        <v>6.02</v>
      </c>
      <c r="J873" s="6">
        <f t="shared" si="283"/>
        <v>318.46830292512806</v>
      </c>
      <c r="K873" s="6">
        <f t="shared" si="275"/>
        <v>318.46830292512806</v>
      </c>
      <c r="L873" s="6">
        <f>MOD(K873-Settings!$B$32,Settings!$B$33)</f>
        <v>318.46830292512806</v>
      </c>
      <c r="M873" s="6">
        <f>IF(L873&lt;Settings!$B$30,IF(Settings!$B$30-L873&gt;=I873,K873,K873+(Settings!$B$30-L873)+Settings!$B$31),K873+(Settings!$B$33-L873))</f>
        <v>318.46830292512806</v>
      </c>
      <c r="N873" s="6">
        <f t="shared" si="276"/>
        <v>324.48830292512804</v>
      </c>
      <c r="O873" s="6">
        <f t="shared" si="277"/>
        <v>56.488302925128039</v>
      </c>
      <c r="P873" s="6">
        <f t="shared" si="278"/>
        <v>40.960692674157031</v>
      </c>
      <c r="Q873" s="6">
        <f t="shared" si="279"/>
        <v>8.0232718004177173</v>
      </c>
      <c r="R873" s="6">
        <f t="shared" si="280"/>
        <v>0</v>
      </c>
      <c r="S873" s="6">
        <f t="shared" si="281"/>
        <v>48.983964474574748</v>
      </c>
      <c r="T873" s="6" t="str">
        <f>IF(MOD(C873-Settings!$B$32,Settings!$B$33)&lt;Settings!$B$30,"Up","Down")</f>
        <v>Up</v>
      </c>
      <c r="U873" s="6">
        <f>IF(OR(I873&gt;Settings!$B$30,O873&gt;Settings!$B$37),0,1)</f>
        <v>1</v>
      </c>
      <c r="V873" s="6">
        <f>IF(AND(U873=1,O873&lt;=Settings!$B$36),1,0)</f>
        <v>1</v>
      </c>
    </row>
    <row r="874" spans="1:22" x14ac:dyDescent="0.2">
      <c r="A874">
        <f>Arrivals!A874</f>
        <v>8</v>
      </c>
      <c r="B874">
        <f>Arrivals!B874</f>
        <v>29</v>
      </c>
      <c r="C874" s="6">
        <f>Arrivals!F874</f>
        <v>273</v>
      </c>
      <c r="D874" s="6">
        <f>Arrivals!J874</f>
        <v>8.4161287605182658</v>
      </c>
      <c r="E874" s="6">
        <f t="shared" si="282"/>
        <v>310.44503112471034</v>
      </c>
      <c r="F874" s="6">
        <f t="shared" si="273"/>
        <v>310.44503112471034</v>
      </c>
      <c r="G874" s="6">
        <f t="shared" si="274"/>
        <v>318.86115988522863</v>
      </c>
      <c r="H874" s="6">
        <f>Arrivals!L874</f>
        <v>75</v>
      </c>
      <c r="I874" s="6">
        <f>H874*8/ACE_Input!S34+ACE_Input!T34</f>
        <v>6.02</v>
      </c>
      <c r="J874" s="6">
        <f t="shared" si="283"/>
        <v>324.48830292512804</v>
      </c>
      <c r="K874" s="6">
        <f t="shared" si="275"/>
        <v>324.48830292512804</v>
      </c>
      <c r="L874" s="6">
        <f>MOD(K874-Settings!$B$32,Settings!$B$33)</f>
        <v>324.48830292512804</v>
      </c>
      <c r="M874" s="6">
        <f>IF(L874&lt;Settings!$B$30,IF(Settings!$B$30-L874&gt;=I874,K874,K874+(Settings!$B$30-L874)+Settings!$B$31),K874+(Settings!$B$33-L874))</f>
        <v>324.48830292512804</v>
      </c>
      <c r="N874" s="6">
        <f t="shared" si="276"/>
        <v>330.50830292512802</v>
      </c>
      <c r="O874" s="6">
        <f t="shared" si="277"/>
        <v>57.508302925128021</v>
      </c>
      <c r="P874" s="6">
        <f t="shared" si="278"/>
        <v>37.44503112471034</v>
      </c>
      <c r="Q874" s="6">
        <f t="shared" si="279"/>
        <v>5.6271430398994084</v>
      </c>
      <c r="R874" s="6">
        <f t="shared" si="280"/>
        <v>0</v>
      </c>
      <c r="S874" s="6">
        <f t="shared" si="281"/>
        <v>43.072174164609748</v>
      </c>
      <c r="T874" s="6" t="str">
        <f>IF(MOD(C874-Settings!$B$32,Settings!$B$33)&lt;Settings!$B$30,"Up","Down")</f>
        <v>Up</v>
      </c>
      <c r="U874" s="6">
        <f>IF(OR(I874&gt;Settings!$B$30,O874&gt;Settings!$B$37),0,1)</f>
        <v>1</v>
      </c>
      <c r="V874" s="6">
        <f>IF(AND(U874=1,O874&lt;=Settings!$B$36),1,0)</f>
        <v>1</v>
      </c>
    </row>
    <row r="875" spans="1:22" x14ac:dyDescent="0.2">
      <c r="A875">
        <f>Arrivals!A875</f>
        <v>8</v>
      </c>
      <c r="B875">
        <f>Arrivals!B875</f>
        <v>30</v>
      </c>
      <c r="C875" s="6">
        <f>Arrivals!F875</f>
        <v>278</v>
      </c>
      <c r="D875" s="6">
        <f>Arrivals!J875</f>
        <v>1.2771813073167464</v>
      </c>
      <c r="E875" s="6">
        <f t="shared" si="282"/>
        <v>318.86115988522863</v>
      </c>
      <c r="F875" s="6">
        <f t="shared" si="273"/>
        <v>318.86115988522863</v>
      </c>
      <c r="G875" s="6">
        <f t="shared" si="274"/>
        <v>320.1383411925454</v>
      </c>
      <c r="H875" s="6">
        <f>Arrivals!L875</f>
        <v>75</v>
      </c>
      <c r="I875" s="6">
        <f>H875*8/ACE_Input!S35+ACE_Input!T35</f>
        <v>6.02</v>
      </c>
      <c r="J875" s="6">
        <f t="shared" si="283"/>
        <v>330.50830292512802</v>
      </c>
      <c r="K875" s="6">
        <f t="shared" si="275"/>
        <v>330.50830292512802</v>
      </c>
      <c r="L875" s="6">
        <f>MOD(K875-Settings!$B$32,Settings!$B$33)</f>
        <v>330.50830292512802</v>
      </c>
      <c r="M875" s="6">
        <f>IF(L875&lt;Settings!$B$30,IF(Settings!$B$30-L875&gt;=I875,K875,K875+(Settings!$B$30-L875)+Settings!$B$31),K875+(Settings!$B$33-L875))</f>
        <v>330.50830292512802</v>
      </c>
      <c r="N875" s="6">
        <f t="shared" si="276"/>
        <v>336.528302925128</v>
      </c>
      <c r="O875" s="6">
        <f t="shared" si="277"/>
        <v>58.528302925128003</v>
      </c>
      <c r="P875" s="6">
        <f t="shared" si="278"/>
        <v>40.861159885228631</v>
      </c>
      <c r="Q875" s="6">
        <f t="shared" si="279"/>
        <v>10.369961732582624</v>
      </c>
      <c r="R875" s="6">
        <f t="shared" si="280"/>
        <v>0</v>
      </c>
      <c r="S875" s="6">
        <f t="shared" si="281"/>
        <v>51.231121617811255</v>
      </c>
      <c r="T875" s="6" t="str">
        <f>IF(MOD(C875-Settings!$B$32,Settings!$B$33)&lt;Settings!$B$30,"Up","Down")</f>
        <v>Up</v>
      </c>
      <c r="U875" s="6">
        <f>IF(OR(I875&gt;Settings!$B$30,O875&gt;Settings!$B$37),0,1)</f>
        <v>1</v>
      </c>
      <c r="V875" s="6">
        <f>IF(AND(U875=1,O875&lt;=Settings!$B$36),1,0)</f>
        <v>1</v>
      </c>
    </row>
    <row r="876" spans="1:22" x14ac:dyDescent="0.2">
      <c r="A876">
        <f>Arrivals!A876</f>
        <v>8</v>
      </c>
      <c r="B876">
        <f>Arrivals!B876</f>
        <v>31</v>
      </c>
      <c r="C876" s="6">
        <f>Arrivals!F876</f>
        <v>283</v>
      </c>
      <c r="D876" s="6">
        <f>Arrivals!J876</f>
        <v>27.105466133528601</v>
      </c>
      <c r="E876" s="6">
        <f t="shared" si="282"/>
        <v>320.1383411925454</v>
      </c>
      <c r="F876" s="6">
        <f t="shared" si="273"/>
        <v>320.1383411925454</v>
      </c>
      <c r="G876" s="6">
        <f t="shared" si="274"/>
        <v>347.24380732607398</v>
      </c>
      <c r="H876" s="6">
        <f>Arrivals!L876</f>
        <v>75</v>
      </c>
      <c r="I876" s="6">
        <f>H876*8/ACE_Input!S36+ACE_Input!T36</f>
        <v>6.02</v>
      </c>
      <c r="J876" s="6">
        <f t="shared" si="283"/>
        <v>336.528302925128</v>
      </c>
      <c r="K876" s="6">
        <f t="shared" si="275"/>
        <v>347.24380732607398</v>
      </c>
      <c r="L876" s="6">
        <f>MOD(K876-Settings!$B$32,Settings!$B$33)</f>
        <v>347.24380732607398</v>
      </c>
      <c r="M876" s="6">
        <f>IF(L876&lt;Settings!$B$30,IF(Settings!$B$30-L876&gt;=I876,K876,K876+(Settings!$B$30-L876)+Settings!$B$31),K876+(Settings!$B$33-L876))</f>
        <v>347.24380732607398</v>
      </c>
      <c r="N876" s="6">
        <f t="shared" si="276"/>
        <v>353.26380732607396</v>
      </c>
      <c r="O876" s="6">
        <f t="shared" si="277"/>
        <v>70.263807326073959</v>
      </c>
      <c r="P876" s="6">
        <f t="shared" si="278"/>
        <v>37.138341192545397</v>
      </c>
      <c r="Q876" s="6">
        <f t="shared" si="279"/>
        <v>0</v>
      </c>
      <c r="R876" s="6">
        <f t="shared" si="280"/>
        <v>0</v>
      </c>
      <c r="S876" s="6">
        <f t="shared" si="281"/>
        <v>37.138341192545397</v>
      </c>
      <c r="T876" s="6" t="str">
        <f>IF(MOD(C876-Settings!$B$32,Settings!$B$33)&lt;Settings!$B$30,"Up","Down")</f>
        <v>Up</v>
      </c>
      <c r="U876" s="6">
        <f>IF(OR(I876&gt;Settings!$B$30,O876&gt;Settings!$B$37),0,1)</f>
        <v>1</v>
      </c>
      <c r="V876" s="6">
        <f>IF(AND(U876=1,O876&lt;=Settings!$B$36),1,0)</f>
        <v>1</v>
      </c>
    </row>
    <row r="877" spans="1:22" x14ac:dyDescent="0.2">
      <c r="A877">
        <f>Arrivals!A877</f>
        <v>8</v>
      </c>
      <c r="B877">
        <f>Arrivals!B877</f>
        <v>32</v>
      </c>
      <c r="C877" s="6">
        <f>Arrivals!F877</f>
        <v>288</v>
      </c>
      <c r="D877" s="6">
        <f>Arrivals!J877</f>
        <v>0.69115226657340167</v>
      </c>
      <c r="E877" s="6">
        <f t="shared" si="282"/>
        <v>347.24380732607398</v>
      </c>
      <c r="F877" s="6">
        <f t="shared" si="273"/>
        <v>347.24380732607398</v>
      </c>
      <c r="G877" s="6">
        <f t="shared" si="274"/>
        <v>347.93495959264737</v>
      </c>
      <c r="H877" s="6">
        <f>Arrivals!L877</f>
        <v>75</v>
      </c>
      <c r="I877" s="6">
        <f>H877*8/ACE_Input!S37+ACE_Input!T37</f>
        <v>6.02</v>
      </c>
      <c r="J877" s="6">
        <f t="shared" si="283"/>
        <v>353.26380732607396</v>
      </c>
      <c r="K877" s="6">
        <f t="shared" si="275"/>
        <v>353.26380732607396</v>
      </c>
      <c r="L877" s="6">
        <f>MOD(K877-Settings!$B$32,Settings!$B$33)</f>
        <v>353.26380732607396</v>
      </c>
      <c r="M877" s="6">
        <f>IF(L877&lt;Settings!$B$30,IF(Settings!$B$30-L877&gt;=I877,K877,K877+(Settings!$B$30-L877)+Settings!$B$31),K877+(Settings!$B$33-L877))</f>
        <v>353.26380732607396</v>
      </c>
      <c r="N877" s="6">
        <f t="shared" si="276"/>
        <v>359.28380732607394</v>
      </c>
      <c r="O877" s="6">
        <f t="shared" si="277"/>
        <v>71.283807326073941</v>
      </c>
      <c r="P877" s="6">
        <f t="shared" si="278"/>
        <v>59.243807326073977</v>
      </c>
      <c r="Q877" s="6">
        <f t="shared" si="279"/>
        <v>5.3288477334265849</v>
      </c>
      <c r="R877" s="6">
        <f t="shared" si="280"/>
        <v>0</v>
      </c>
      <c r="S877" s="6">
        <f t="shared" si="281"/>
        <v>64.572655059500562</v>
      </c>
      <c r="T877" s="6" t="str">
        <f>IF(MOD(C877-Settings!$B$32,Settings!$B$33)&lt;Settings!$B$30,"Up","Down")</f>
        <v>Up</v>
      </c>
      <c r="U877" s="6">
        <f>IF(OR(I877&gt;Settings!$B$30,O877&gt;Settings!$B$37),0,1)</f>
        <v>1</v>
      </c>
      <c r="V877" s="6">
        <f>IF(AND(U877=1,O877&lt;=Settings!$B$36),1,0)</f>
        <v>1</v>
      </c>
    </row>
    <row r="878" spans="1:22" x14ac:dyDescent="0.2">
      <c r="A878">
        <f>Arrivals!A878</f>
        <v>8</v>
      </c>
      <c r="B878">
        <f>Arrivals!B878</f>
        <v>33</v>
      </c>
      <c r="C878" s="6">
        <f>Arrivals!F878</f>
        <v>293</v>
      </c>
      <c r="D878" s="6">
        <f>Arrivals!J878</f>
        <v>13.194699621051228</v>
      </c>
      <c r="E878" s="6">
        <f t="shared" si="282"/>
        <v>347.93495959264737</v>
      </c>
      <c r="F878" s="6">
        <f t="shared" ref="F878:F909" si="284">MAX(C878,E878)</f>
        <v>347.93495959264737</v>
      </c>
      <c r="G878" s="6">
        <f t="shared" ref="G878:G909" si="285">F878+D878</f>
        <v>361.12965921369857</v>
      </c>
      <c r="H878" s="6">
        <f>Arrivals!L878</f>
        <v>75</v>
      </c>
      <c r="I878" s="6">
        <f>H878*8/ACE_Input!S38+ACE_Input!T38</f>
        <v>6.02</v>
      </c>
      <c r="J878" s="6">
        <f t="shared" si="283"/>
        <v>359.28380732607394</v>
      </c>
      <c r="K878" s="6">
        <f t="shared" ref="K878:K909" si="286">MAX(G878,J878)</f>
        <v>361.12965921369857</v>
      </c>
      <c r="L878" s="6">
        <f>MOD(K878-Settings!$B$32,Settings!$B$33)</f>
        <v>361.12965921369857</v>
      </c>
      <c r="M878" s="6">
        <f>IF(L878&lt;Settings!$B$30,IF(Settings!$B$30-L878&gt;=I878,K878,K878+(Settings!$B$30-L878)+Settings!$B$31),K878+(Settings!$B$33-L878))</f>
        <v>361.12965921369857</v>
      </c>
      <c r="N878" s="6">
        <f t="shared" ref="N878:N909" si="287">M878+I878</f>
        <v>367.14965921369856</v>
      </c>
      <c r="O878" s="6">
        <f t="shared" ref="O878:O909" si="288">N878-C878</f>
        <v>74.149659213698556</v>
      </c>
      <c r="P878" s="6">
        <f t="shared" ref="P878:P909" si="289">F878-C878</f>
        <v>54.934959592647374</v>
      </c>
      <c r="Q878" s="6">
        <f t="shared" ref="Q878:Q909" si="290">K878-G878</f>
        <v>0</v>
      </c>
      <c r="R878" s="6">
        <f t="shared" ref="R878:R909" si="291">M878-K878</f>
        <v>0</v>
      </c>
      <c r="S878" s="6">
        <f t="shared" ref="S878:S909" si="292">P878+Q878+R878</f>
        <v>54.934959592647374</v>
      </c>
      <c r="T878" s="6" t="str">
        <f>IF(MOD(C878-Settings!$B$32,Settings!$B$33)&lt;Settings!$B$30,"Up","Down")</f>
        <v>Up</v>
      </c>
      <c r="U878" s="6">
        <f>IF(OR(I878&gt;Settings!$B$30,O878&gt;Settings!$B$37),0,1)</f>
        <v>1</v>
      </c>
      <c r="V878" s="6">
        <f>IF(AND(U878=1,O878&lt;=Settings!$B$36),1,0)</f>
        <v>1</v>
      </c>
    </row>
    <row r="879" spans="1:22" x14ac:dyDescent="0.2">
      <c r="A879">
        <f>Arrivals!A879</f>
        <v>8</v>
      </c>
      <c r="B879">
        <f>Arrivals!B879</f>
        <v>34</v>
      </c>
      <c r="C879" s="6">
        <f>Arrivals!F879</f>
        <v>298</v>
      </c>
      <c r="D879" s="6">
        <f>Arrivals!J879</f>
        <v>39.904585670351416</v>
      </c>
      <c r="E879" s="6">
        <f t="shared" ref="E879:E910" si="293">G878</f>
        <v>361.12965921369857</v>
      </c>
      <c r="F879" s="6">
        <f t="shared" si="284"/>
        <v>361.12965921369857</v>
      </c>
      <c r="G879" s="6">
        <f t="shared" si="285"/>
        <v>401.03424488405</v>
      </c>
      <c r="H879" s="6">
        <f>Arrivals!L879</f>
        <v>75</v>
      </c>
      <c r="I879" s="6">
        <f>H879*8/ACE_Input!S39+ACE_Input!T39</f>
        <v>6.02</v>
      </c>
      <c r="J879" s="6">
        <f t="shared" ref="J879:J910" si="294">N878</f>
        <v>367.14965921369856</v>
      </c>
      <c r="K879" s="6">
        <f t="shared" si="286"/>
        <v>401.03424488405</v>
      </c>
      <c r="L879" s="6">
        <f>MOD(K879-Settings!$B$32,Settings!$B$33)</f>
        <v>401.03424488405</v>
      </c>
      <c r="M879" s="6">
        <f>IF(L879&lt;Settings!$B$30,IF(Settings!$B$30-L879&gt;=I879,K879,K879+(Settings!$B$30-L879)+Settings!$B$31),K879+(Settings!$B$33-L879))</f>
        <v>401.03424488405</v>
      </c>
      <c r="N879" s="6">
        <f t="shared" si="287"/>
        <v>407.05424488404998</v>
      </c>
      <c r="O879" s="6">
        <f t="shared" si="288"/>
        <v>109.05424488404998</v>
      </c>
      <c r="P879" s="6">
        <f t="shared" si="289"/>
        <v>63.129659213698574</v>
      </c>
      <c r="Q879" s="6">
        <f t="shared" si="290"/>
        <v>0</v>
      </c>
      <c r="R879" s="6">
        <f t="shared" si="291"/>
        <v>0</v>
      </c>
      <c r="S879" s="6">
        <f t="shared" si="292"/>
        <v>63.129659213698574</v>
      </c>
      <c r="T879" s="6" t="str">
        <f>IF(MOD(C879-Settings!$B$32,Settings!$B$33)&lt;Settings!$B$30,"Up","Down")</f>
        <v>Up</v>
      </c>
      <c r="U879" s="6">
        <f>IF(OR(I879&gt;Settings!$B$30,O879&gt;Settings!$B$37),0,1)</f>
        <v>1</v>
      </c>
      <c r="V879" s="6">
        <f>IF(AND(U879=1,O879&lt;=Settings!$B$36),1,0)</f>
        <v>1</v>
      </c>
    </row>
    <row r="880" spans="1:22" x14ac:dyDescent="0.2">
      <c r="A880">
        <f>Arrivals!A880</f>
        <v>8</v>
      </c>
      <c r="B880">
        <f>Arrivals!B880</f>
        <v>35</v>
      </c>
      <c r="C880" s="6">
        <f>Arrivals!F880</f>
        <v>303</v>
      </c>
      <c r="D880" s="6">
        <f>Arrivals!J880</f>
        <v>12.288875324229018</v>
      </c>
      <c r="E880" s="6">
        <f t="shared" si="293"/>
        <v>401.03424488405</v>
      </c>
      <c r="F880" s="6">
        <f t="shared" si="284"/>
        <v>401.03424488405</v>
      </c>
      <c r="G880" s="6">
        <f t="shared" si="285"/>
        <v>413.32312020827902</v>
      </c>
      <c r="H880" s="6">
        <f>Arrivals!L880</f>
        <v>75</v>
      </c>
      <c r="I880" s="6">
        <f>H880*8/ACE_Input!S40+ACE_Input!T40</f>
        <v>6.02</v>
      </c>
      <c r="J880" s="6">
        <f t="shared" si="294"/>
        <v>407.05424488404998</v>
      </c>
      <c r="K880" s="6">
        <f t="shared" si="286"/>
        <v>413.32312020827902</v>
      </c>
      <c r="L880" s="6">
        <f>MOD(K880-Settings!$B$32,Settings!$B$33)</f>
        <v>413.32312020827902</v>
      </c>
      <c r="M880" s="6">
        <f>IF(L880&lt;Settings!$B$30,IF(Settings!$B$30-L880&gt;=I880,K880,K880+(Settings!$B$30-L880)+Settings!$B$31),K880+(Settings!$B$33-L880))</f>
        <v>413.32312020827902</v>
      </c>
      <c r="N880" s="6">
        <f t="shared" si="287"/>
        <v>419.343120208279</v>
      </c>
      <c r="O880" s="6">
        <f t="shared" si="288"/>
        <v>116.343120208279</v>
      </c>
      <c r="P880" s="6">
        <f t="shared" si="289"/>
        <v>98.034244884049997</v>
      </c>
      <c r="Q880" s="6">
        <f t="shared" si="290"/>
        <v>0</v>
      </c>
      <c r="R880" s="6">
        <f t="shared" si="291"/>
        <v>0</v>
      </c>
      <c r="S880" s="6">
        <f t="shared" si="292"/>
        <v>98.034244884049997</v>
      </c>
      <c r="T880" s="6" t="str">
        <f>IF(MOD(C880-Settings!$B$32,Settings!$B$33)&lt;Settings!$B$30,"Up","Down")</f>
        <v>Up</v>
      </c>
      <c r="U880" s="6">
        <f>IF(OR(I880&gt;Settings!$B$30,O880&gt;Settings!$B$37),0,1)</f>
        <v>1</v>
      </c>
      <c r="V880" s="6">
        <f>IF(AND(U880=1,O880&lt;=Settings!$B$36),1,0)</f>
        <v>1</v>
      </c>
    </row>
    <row r="881" spans="1:22" x14ac:dyDescent="0.2">
      <c r="A881">
        <f>Arrivals!A881</f>
        <v>8</v>
      </c>
      <c r="B881">
        <f>Arrivals!B881</f>
        <v>36</v>
      </c>
      <c r="C881" s="6">
        <f>Arrivals!F881</f>
        <v>308</v>
      </c>
      <c r="D881" s="6">
        <f>Arrivals!J881</f>
        <v>1.4632098825172029</v>
      </c>
      <c r="E881" s="6">
        <f t="shared" si="293"/>
        <v>413.32312020827902</v>
      </c>
      <c r="F881" s="6">
        <f t="shared" si="284"/>
        <v>413.32312020827902</v>
      </c>
      <c r="G881" s="6">
        <f t="shared" si="285"/>
        <v>414.78633009079624</v>
      </c>
      <c r="H881" s="6">
        <f>Arrivals!L881</f>
        <v>75</v>
      </c>
      <c r="I881" s="6">
        <f>H881*8/ACE_Input!S41+ACE_Input!T41</f>
        <v>6.02</v>
      </c>
      <c r="J881" s="6">
        <f t="shared" si="294"/>
        <v>419.343120208279</v>
      </c>
      <c r="K881" s="6">
        <f t="shared" si="286"/>
        <v>419.343120208279</v>
      </c>
      <c r="L881" s="6">
        <f>MOD(K881-Settings!$B$32,Settings!$B$33)</f>
        <v>419.343120208279</v>
      </c>
      <c r="M881" s="6">
        <f>IF(L881&lt;Settings!$B$30,IF(Settings!$B$30-L881&gt;=I881,K881,K881+(Settings!$B$30-L881)+Settings!$B$31),K881+(Settings!$B$33-L881))</f>
        <v>419.343120208279</v>
      </c>
      <c r="N881" s="6">
        <f t="shared" si="287"/>
        <v>425.36312020827899</v>
      </c>
      <c r="O881" s="6">
        <f t="shared" si="288"/>
        <v>117.36312020827899</v>
      </c>
      <c r="P881" s="6">
        <f t="shared" si="289"/>
        <v>105.32312020827902</v>
      </c>
      <c r="Q881" s="6">
        <f t="shared" si="290"/>
        <v>4.5567901174827625</v>
      </c>
      <c r="R881" s="6">
        <f t="shared" si="291"/>
        <v>0</v>
      </c>
      <c r="S881" s="6">
        <f t="shared" si="292"/>
        <v>109.87991032576178</v>
      </c>
      <c r="T881" s="6" t="str">
        <f>IF(MOD(C881-Settings!$B$32,Settings!$B$33)&lt;Settings!$B$30,"Up","Down")</f>
        <v>Up</v>
      </c>
      <c r="U881" s="6">
        <f>IF(OR(I881&gt;Settings!$B$30,O881&gt;Settings!$B$37),0,1)</f>
        <v>1</v>
      </c>
      <c r="V881" s="6">
        <f>IF(AND(U881=1,O881&lt;=Settings!$B$36),1,0)</f>
        <v>1</v>
      </c>
    </row>
    <row r="882" spans="1:22" x14ac:dyDescent="0.2">
      <c r="A882">
        <f>Arrivals!A882</f>
        <v>8</v>
      </c>
      <c r="B882">
        <f>Arrivals!B882</f>
        <v>37</v>
      </c>
      <c r="C882" s="6">
        <f>Arrivals!F882</f>
        <v>313</v>
      </c>
      <c r="D882" s="6">
        <f>Arrivals!J882</f>
        <v>4.8382047957998475</v>
      </c>
      <c r="E882" s="6">
        <f t="shared" si="293"/>
        <v>414.78633009079624</v>
      </c>
      <c r="F882" s="6">
        <f t="shared" si="284"/>
        <v>414.78633009079624</v>
      </c>
      <c r="G882" s="6">
        <f t="shared" si="285"/>
        <v>419.62453488659611</v>
      </c>
      <c r="H882" s="6">
        <f>Arrivals!L882</f>
        <v>75</v>
      </c>
      <c r="I882" s="6">
        <f>H882*8/ACE_Input!S42+ACE_Input!T42</f>
        <v>6.02</v>
      </c>
      <c r="J882" s="6">
        <f t="shared" si="294"/>
        <v>425.36312020827899</v>
      </c>
      <c r="K882" s="6">
        <f t="shared" si="286"/>
        <v>425.36312020827899</v>
      </c>
      <c r="L882" s="6">
        <f>MOD(K882-Settings!$B$32,Settings!$B$33)</f>
        <v>425.36312020827899</v>
      </c>
      <c r="M882" s="6">
        <f>IF(L882&lt;Settings!$B$30,IF(Settings!$B$30-L882&gt;=I882,K882,K882+(Settings!$B$30-L882)+Settings!$B$31),K882+(Settings!$B$33-L882))</f>
        <v>425.36312020827899</v>
      </c>
      <c r="N882" s="6">
        <f t="shared" si="287"/>
        <v>431.38312020827897</v>
      </c>
      <c r="O882" s="6">
        <f t="shared" si="288"/>
        <v>118.38312020827897</v>
      </c>
      <c r="P882" s="6">
        <f t="shared" si="289"/>
        <v>101.78633009079624</v>
      </c>
      <c r="Q882" s="6">
        <f t="shared" si="290"/>
        <v>5.7385853216828764</v>
      </c>
      <c r="R882" s="6">
        <f t="shared" si="291"/>
        <v>0</v>
      </c>
      <c r="S882" s="6">
        <f t="shared" si="292"/>
        <v>107.52491541247912</v>
      </c>
      <c r="T882" s="6" t="str">
        <f>IF(MOD(C882-Settings!$B$32,Settings!$B$33)&lt;Settings!$B$30,"Up","Down")</f>
        <v>Up</v>
      </c>
      <c r="U882" s="6">
        <f>IF(OR(I882&gt;Settings!$B$30,O882&gt;Settings!$B$37),0,1)</f>
        <v>1</v>
      </c>
      <c r="V882" s="6">
        <f>IF(AND(U882=1,O882&lt;=Settings!$B$36),1,0)</f>
        <v>1</v>
      </c>
    </row>
    <row r="883" spans="1:22" x14ac:dyDescent="0.2">
      <c r="A883">
        <f>Arrivals!A883</f>
        <v>8</v>
      </c>
      <c r="B883">
        <f>Arrivals!B883</f>
        <v>38</v>
      </c>
      <c r="C883" s="6">
        <f>Arrivals!F883</f>
        <v>318</v>
      </c>
      <c r="D883" s="6">
        <f>Arrivals!J883</f>
        <v>16.262434043510705</v>
      </c>
      <c r="E883" s="6">
        <f t="shared" si="293"/>
        <v>419.62453488659611</v>
      </c>
      <c r="F883" s="6">
        <f t="shared" si="284"/>
        <v>419.62453488659611</v>
      </c>
      <c r="G883" s="6">
        <f t="shared" si="285"/>
        <v>435.88696893010683</v>
      </c>
      <c r="H883" s="6">
        <f>Arrivals!L883</f>
        <v>75</v>
      </c>
      <c r="I883" s="6">
        <f>H883*8/ACE_Input!S43+ACE_Input!T43</f>
        <v>6.02</v>
      </c>
      <c r="J883" s="6">
        <f t="shared" si="294"/>
        <v>431.38312020827897</v>
      </c>
      <c r="K883" s="6">
        <f t="shared" si="286"/>
        <v>435.88696893010683</v>
      </c>
      <c r="L883" s="6">
        <f>MOD(K883-Settings!$B$32,Settings!$B$33)</f>
        <v>435.88696893010683</v>
      </c>
      <c r="M883" s="6">
        <f>IF(L883&lt;Settings!$B$30,IF(Settings!$B$30-L883&gt;=I883,K883,K883+(Settings!$B$30-L883)+Settings!$B$31),K883+(Settings!$B$33-L883))</f>
        <v>435.88696893010683</v>
      </c>
      <c r="N883" s="6">
        <f t="shared" si="287"/>
        <v>441.90696893010681</v>
      </c>
      <c r="O883" s="6">
        <f t="shared" si="288"/>
        <v>123.90696893010681</v>
      </c>
      <c r="P883" s="6">
        <f t="shared" si="289"/>
        <v>101.62453488659611</v>
      </c>
      <c r="Q883" s="6">
        <f t="shared" si="290"/>
        <v>0</v>
      </c>
      <c r="R883" s="6">
        <f t="shared" si="291"/>
        <v>0</v>
      </c>
      <c r="S883" s="6">
        <f t="shared" si="292"/>
        <v>101.62453488659611</v>
      </c>
      <c r="T883" s="6" t="str">
        <f>IF(MOD(C883-Settings!$B$32,Settings!$B$33)&lt;Settings!$B$30,"Up","Down")</f>
        <v>Up</v>
      </c>
      <c r="U883" s="6">
        <f>IF(OR(I883&gt;Settings!$B$30,O883&gt;Settings!$B$37),0,1)</f>
        <v>1</v>
      </c>
      <c r="V883" s="6">
        <f>IF(AND(U883=1,O883&lt;=Settings!$B$36),1,0)</f>
        <v>0</v>
      </c>
    </row>
    <row r="884" spans="1:22" x14ac:dyDescent="0.2">
      <c r="A884">
        <f>Arrivals!A884</f>
        <v>8</v>
      </c>
      <c r="B884">
        <f>Arrivals!B884</f>
        <v>39</v>
      </c>
      <c r="C884" s="6">
        <f>Arrivals!F884</f>
        <v>323</v>
      </c>
      <c r="D884" s="6">
        <f>Arrivals!J884</f>
        <v>9.8271409824195111</v>
      </c>
      <c r="E884" s="6">
        <f t="shared" si="293"/>
        <v>435.88696893010683</v>
      </c>
      <c r="F884" s="6">
        <f t="shared" si="284"/>
        <v>435.88696893010683</v>
      </c>
      <c r="G884" s="6">
        <f t="shared" si="285"/>
        <v>445.71410991252634</v>
      </c>
      <c r="H884" s="6">
        <f>Arrivals!L884</f>
        <v>75</v>
      </c>
      <c r="I884" s="6">
        <f>H884*8/ACE_Input!S44+ACE_Input!T44</f>
        <v>6.02</v>
      </c>
      <c r="J884" s="6">
        <f t="shared" si="294"/>
        <v>441.90696893010681</v>
      </c>
      <c r="K884" s="6">
        <f t="shared" si="286"/>
        <v>445.71410991252634</v>
      </c>
      <c r="L884" s="6">
        <f>MOD(K884-Settings!$B$32,Settings!$B$33)</f>
        <v>445.71410991252634</v>
      </c>
      <c r="M884" s="6">
        <f>IF(L884&lt;Settings!$B$30,IF(Settings!$B$30-L884&gt;=I884,K884,K884+(Settings!$B$30-L884)+Settings!$B$31),K884+(Settings!$B$33-L884))</f>
        <v>445.71410991252634</v>
      </c>
      <c r="N884" s="6">
        <f t="shared" si="287"/>
        <v>451.73410991252632</v>
      </c>
      <c r="O884" s="6">
        <f t="shared" si="288"/>
        <v>128.73410991252632</v>
      </c>
      <c r="P884" s="6">
        <f t="shared" si="289"/>
        <v>112.88696893010683</v>
      </c>
      <c r="Q884" s="6">
        <f t="shared" si="290"/>
        <v>0</v>
      </c>
      <c r="R884" s="6">
        <f t="shared" si="291"/>
        <v>0</v>
      </c>
      <c r="S884" s="6">
        <f t="shared" si="292"/>
        <v>112.88696893010683</v>
      </c>
      <c r="T884" s="6" t="str">
        <f>IF(MOD(C884-Settings!$B$32,Settings!$B$33)&lt;Settings!$B$30,"Up","Down")</f>
        <v>Up</v>
      </c>
      <c r="U884" s="6">
        <f>IF(OR(I884&gt;Settings!$B$30,O884&gt;Settings!$B$37),0,1)</f>
        <v>1</v>
      </c>
      <c r="V884" s="6">
        <f>IF(AND(U884=1,O884&lt;=Settings!$B$36),1,0)</f>
        <v>0</v>
      </c>
    </row>
    <row r="885" spans="1:22" x14ac:dyDescent="0.2">
      <c r="A885">
        <f>Arrivals!A885</f>
        <v>8</v>
      </c>
      <c r="B885">
        <f>Arrivals!B885</f>
        <v>40</v>
      </c>
      <c r="C885" s="6">
        <f>Arrivals!F885</f>
        <v>328</v>
      </c>
      <c r="D885" s="6">
        <f>Arrivals!J885</f>
        <v>15.654436270305823</v>
      </c>
      <c r="E885" s="6">
        <f t="shared" si="293"/>
        <v>445.71410991252634</v>
      </c>
      <c r="F885" s="6">
        <f t="shared" si="284"/>
        <v>445.71410991252634</v>
      </c>
      <c r="G885" s="6">
        <f t="shared" si="285"/>
        <v>461.36854618283218</v>
      </c>
      <c r="H885" s="6">
        <f>Arrivals!L885</f>
        <v>75</v>
      </c>
      <c r="I885" s="6">
        <f>H885*8/ACE_Input!S45+ACE_Input!T45</f>
        <v>6.02</v>
      </c>
      <c r="J885" s="6">
        <f t="shared" si="294"/>
        <v>451.73410991252632</v>
      </c>
      <c r="K885" s="6">
        <f t="shared" si="286"/>
        <v>461.36854618283218</v>
      </c>
      <c r="L885" s="6">
        <f>MOD(K885-Settings!$B$32,Settings!$B$33)</f>
        <v>461.36854618283218</v>
      </c>
      <c r="M885" s="6">
        <f>IF(L885&lt;Settings!$B$30,IF(Settings!$B$30-L885&gt;=I885,K885,K885+(Settings!$B$30-L885)+Settings!$B$31),K885+(Settings!$B$33-L885))</f>
        <v>461.36854618283218</v>
      </c>
      <c r="N885" s="6">
        <f t="shared" si="287"/>
        <v>467.38854618283216</v>
      </c>
      <c r="O885" s="6">
        <f t="shared" si="288"/>
        <v>139.38854618283216</v>
      </c>
      <c r="P885" s="6">
        <f t="shared" si="289"/>
        <v>117.71410991252634</v>
      </c>
      <c r="Q885" s="6">
        <f t="shared" si="290"/>
        <v>0</v>
      </c>
      <c r="R885" s="6">
        <f t="shared" si="291"/>
        <v>0</v>
      </c>
      <c r="S885" s="6">
        <f t="shared" si="292"/>
        <v>117.71410991252634</v>
      </c>
      <c r="T885" s="6" t="str">
        <f>IF(MOD(C885-Settings!$B$32,Settings!$B$33)&lt;Settings!$B$30,"Up","Down")</f>
        <v>Up</v>
      </c>
      <c r="U885" s="6">
        <f>IF(OR(I885&gt;Settings!$B$30,O885&gt;Settings!$B$37),0,1)</f>
        <v>1</v>
      </c>
      <c r="V885" s="6">
        <f>IF(AND(U885=1,O885&lt;=Settings!$B$36),1,0)</f>
        <v>0</v>
      </c>
    </row>
    <row r="886" spans="1:22" x14ac:dyDescent="0.2">
      <c r="A886">
        <f>Arrivals!A886</f>
        <v>8</v>
      </c>
      <c r="B886">
        <f>Arrivals!B886</f>
        <v>41</v>
      </c>
      <c r="C886" s="6">
        <f>Arrivals!F886</f>
        <v>333</v>
      </c>
      <c r="D886" s="6">
        <f>Arrivals!J886</f>
        <v>4.1033023528681172</v>
      </c>
      <c r="E886" s="6">
        <f t="shared" si="293"/>
        <v>461.36854618283218</v>
      </c>
      <c r="F886" s="6">
        <f t="shared" si="284"/>
        <v>461.36854618283218</v>
      </c>
      <c r="G886" s="6">
        <f t="shared" si="285"/>
        <v>465.4718485357003</v>
      </c>
      <c r="H886" s="6">
        <f>Arrivals!L886</f>
        <v>75</v>
      </c>
      <c r="I886" s="6">
        <f>H886*8/ACE_Input!S46+ACE_Input!T46</f>
        <v>6.02</v>
      </c>
      <c r="J886" s="6">
        <f t="shared" si="294"/>
        <v>467.38854618283216</v>
      </c>
      <c r="K886" s="6">
        <f t="shared" si="286"/>
        <v>467.38854618283216</v>
      </c>
      <c r="L886" s="6">
        <f>MOD(K886-Settings!$B$32,Settings!$B$33)</f>
        <v>467.38854618283216</v>
      </c>
      <c r="M886" s="6">
        <f>IF(L886&lt;Settings!$B$30,IF(Settings!$B$30-L886&gt;=I886,K886,K886+(Settings!$B$30-L886)+Settings!$B$31),K886+(Settings!$B$33-L886))</f>
        <v>467.38854618283216</v>
      </c>
      <c r="N886" s="6">
        <f t="shared" si="287"/>
        <v>473.40854618283214</v>
      </c>
      <c r="O886" s="6">
        <f t="shared" si="288"/>
        <v>140.40854618283214</v>
      </c>
      <c r="P886" s="6">
        <f t="shared" si="289"/>
        <v>128.36854618283218</v>
      </c>
      <c r="Q886" s="6">
        <f t="shared" si="290"/>
        <v>1.9166976471318549</v>
      </c>
      <c r="R886" s="6">
        <f t="shared" si="291"/>
        <v>0</v>
      </c>
      <c r="S886" s="6">
        <f t="shared" si="292"/>
        <v>130.28524382996403</v>
      </c>
      <c r="T886" s="6" t="str">
        <f>IF(MOD(C886-Settings!$B$32,Settings!$B$33)&lt;Settings!$B$30,"Up","Down")</f>
        <v>Up</v>
      </c>
      <c r="U886" s="6">
        <f>IF(OR(I886&gt;Settings!$B$30,O886&gt;Settings!$B$37),0,1)</f>
        <v>1</v>
      </c>
      <c r="V886" s="6">
        <f>IF(AND(U886=1,O886&lt;=Settings!$B$36),1,0)</f>
        <v>0</v>
      </c>
    </row>
    <row r="887" spans="1:22" x14ac:dyDescent="0.2">
      <c r="A887">
        <f>Arrivals!A887</f>
        <v>8</v>
      </c>
      <c r="B887">
        <f>Arrivals!B887</f>
        <v>42</v>
      </c>
      <c r="C887" s="6">
        <f>Arrivals!F887</f>
        <v>338</v>
      </c>
      <c r="D887" s="6">
        <f>Arrivals!J887</f>
        <v>7.9307820403210627</v>
      </c>
      <c r="E887" s="6">
        <f t="shared" si="293"/>
        <v>465.4718485357003</v>
      </c>
      <c r="F887" s="6">
        <f t="shared" si="284"/>
        <v>465.4718485357003</v>
      </c>
      <c r="G887" s="6">
        <f t="shared" si="285"/>
        <v>473.40263057602135</v>
      </c>
      <c r="H887" s="6">
        <f>Arrivals!L887</f>
        <v>75</v>
      </c>
      <c r="I887" s="6">
        <f>H887*8/ACE_Input!S47+ACE_Input!T47</f>
        <v>6.02</v>
      </c>
      <c r="J887" s="6">
        <f t="shared" si="294"/>
        <v>473.40854618283214</v>
      </c>
      <c r="K887" s="6">
        <f t="shared" si="286"/>
        <v>473.40854618283214</v>
      </c>
      <c r="L887" s="6">
        <f>MOD(K887-Settings!$B$32,Settings!$B$33)</f>
        <v>473.40854618283214</v>
      </c>
      <c r="M887" s="6">
        <f>IF(L887&lt;Settings!$B$30,IF(Settings!$B$30-L887&gt;=I887,K887,K887+(Settings!$B$30-L887)+Settings!$B$31),K887+(Settings!$B$33-L887))</f>
        <v>473.40854618283214</v>
      </c>
      <c r="N887" s="6">
        <f t="shared" si="287"/>
        <v>479.42854618283212</v>
      </c>
      <c r="O887" s="6">
        <f t="shared" si="288"/>
        <v>141.42854618283212</v>
      </c>
      <c r="P887" s="6">
        <f t="shared" si="289"/>
        <v>127.4718485357003</v>
      </c>
      <c r="Q887" s="6">
        <f t="shared" si="290"/>
        <v>5.9156068107881765E-3</v>
      </c>
      <c r="R887" s="6">
        <f t="shared" si="291"/>
        <v>0</v>
      </c>
      <c r="S887" s="6">
        <f t="shared" si="292"/>
        <v>127.47776414251109</v>
      </c>
      <c r="T887" s="6" t="str">
        <f>IF(MOD(C887-Settings!$B$32,Settings!$B$33)&lt;Settings!$B$30,"Up","Down")</f>
        <v>Up</v>
      </c>
      <c r="U887" s="6">
        <f>IF(OR(I887&gt;Settings!$B$30,O887&gt;Settings!$B$37),0,1)</f>
        <v>1</v>
      </c>
      <c r="V887" s="6">
        <f>IF(AND(U887=1,O887&lt;=Settings!$B$36),1,0)</f>
        <v>0</v>
      </c>
    </row>
    <row r="888" spans="1:22" x14ac:dyDescent="0.2">
      <c r="A888">
        <f>Arrivals!A888</f>
        <v>8</v>
      </c>
      <c r="B888">
        <f>Arrivals!B888</f>
        <v>43</v>
      </c>
      <c r="C888" s="6">
        <f>Arrivals!F888</f>
        <v>343</v>
      </c>
      <c r="D888" s="6">
        <f>Arrivals!J888</f>
        <v>1.0157619398147568</v>
      </c>
      <c r="E888" s="6">
        <f t="shared" si="293"/>
        <v>473.40263057602135</v>
      </c>
      <c r="F888" s="6">
        <f t="shared" si="284"/>
        <v>473.40263057602135</v>
      </c>
      <c r="G888" s="6">
        <f t="shared" si="285"/>
        <v>474.4183925158361</v>
      </c>
      <c r="H888" s="6">
        <f>Arrivals!L888</f>
        <v>75</v>
      </c>
      <c r="I888" s="6">
        <f>H888*8/ACE_Input!S48+ACE_Input!T48</f>
        <v>6.02</v>
      </c>
      <c r="J888" s="6">
        <f t="shared" si="294"/>
        <v>479.42854618283212</v>
      </c>
      <c r="K888" s="6">
        <f t="shared" si="286"/>
        <v>479.42854618283212</v>
      </c>
      <c r="L888" s="6">
        <f>MOD(K888-Settings!$B$32,Settings!$B$33)</f>
        <v>479.42854618283212</v>
      </c>
      <c r="M888" s="6">
        <f>IF(L888&lt;Settings!$B$30,IF(Settings!$B$30-L888&gt;=I888,K888,K888+(Settings!$B$30-L888)+Settings!$B$31),K888+(Settings!$B$33-L888))</f>
        <v>479.42854618283212</v>
      </c>
      <c r="N888" s="6">
        <f t="shared" si="287"/>
        <v>485.4485461828321</v>
      </c>
      <c r="O888" s="6">
        <f t="shared" si="288"/>
        <v>142.4485461828321</v>
      </c>
      <c r="P888" s="6">
        <f t="shared" si="289"/>
        <v>130.40263057602135</v>
      </c>
      <c r="Q888" s="6">
        <f t="shared" si="290"/>
        <v>5.0101536669960183</v>
      </c>
      <c r="R888" s="6">
        <f t="shared" si="291"/>
        <v>0</v>
      </c>
      <c r="S888" s="6">
        <f t="shared" si="292"/>
        <v>135.41278424301737</v>
      </c>
      <c r="T888" s="6" t="str">
        <f>IF(MOD(C888-Settings!$B$32,Settings!$B$33)&lt;Settings!$B$30,"Up","Down")</f>
        <v>Up</v>
      </c>
      <c r="U888" s="6">
        <f>IF(OR(I888&gt;Settings!$B$30,O888&gt;Settings!$B$37),0,1)</f>
        <v>1</v>
      </c>
      <c r="V888" s="6">
        <f>IF(AND(U888=1,O888&lt;=Settings!$B$36),1,0)</f>
        <v>0</v>
      </c>
    </row>
    <row r="889" spans="1:22" x14ac:dyDescent="0.2">
      <c r="A889">
        <f>Arrivals!A889</f>
        <v>8</v>
      </c>
      <c r="B889">
        <f>Arrivals!B889</f>
        <v>44</v>
      </c>
      <c r="C889" s="6">
        <f>Arrivals!F889</f>
        <v>348</v>
      </c>
      <c r="D889" s="6">
        <f>Arrivals!J889</f>
        <v>1.4120040642943943</v>
      </c>
      <c r="E889" s="6">
        <f t="shared" si="293"/>
        <v>474.4183925158361</v>
      </c>
      <c r="F889" s="6">
        <f t="shared" si="284"/>
        <v>474.4183925158361</v>
      </c>
      <c r="G889" s="6">
        <f t="shared" si="285"/>
        <v>475.83039658013053</v>
      </c>
      <c r="H889" s="6">
        <f>Arrivals!L889</f>
        <v>75</v>
      </c>
      <c r="I889" s="6">
        <f>H889*8/ACE_Input!S49+ACE_Input!T49</f>
        <v>6.02</v>
      </c>
      <c r="J889" s="6">
        <f t="shared" si="294"/>
        <v>485.4485461828321</v>
      </c>
      <c r="K889" s="6">
        <f t="shared" si="286"/>
        <v>485.4485461828321</v>
      </c>
      <c r="L889" s="6">
        <f>MOD(K889-Settings!$B$32,Settings!$B$33)</f>
        <v>485.4485461828321</v>
      </c>
      <c r="M889" s="6">
        <f>IF(L889&lt;Settings!$B$30,IF(Settings!$B$30-L889&gt;=I889,K889,K889+(Settings!$B$30-L889)+Settings!$B$31),K889+(Settings!$B$33-L889))</f>
        <v>485.4485461828321</v>
      </c>
      <c r="N889" s="6">
        <f t="shared" si="287"/>
        <v>491.46854618283209</v>
      </c>
      <c r="O889" s="6">
        <f t="shared" si="288"/>
        <v>143.46854618283209</v>
      </c>
      <c r="P889" s="6">
        <f t="shared" si="289"/>
        <v>126.4183925158361</v>
      </c>
      <c r="Q889" s="6">
        <f t="shared" si="290"/>
        <v>9.6181496027015783</v>
      </c>
      <c r="R889" s="6">
        <f t="shared" si="291"/>
        <v>0</v>
      </c>
      <c r="S889" s="6">
        <f t="shared" si="292"/>
        <v>136.03654211853768</v>
      </c>
      <c r="T889" s="6" t="str">
        <f>IF(MOD(C889-Settings!$B$32,Settings!$B$33)&lt;Settings!$B$30,"Up","Down")</f>
        <v>Up</v>
      </c>
      <c r="U889" s="6">
        <f>IF(OR(I889&gt;Settings!$B$30,O889&gt;Settings!$B$37),0,1)</f>
        <v>1</v>
      </c>
      <c r="V889" s="6">
        <f>IF(AND(U889=1,O889&lt;=Settings!$B$36),1,0)</f>
        <v>0</v>
      </c>
    </row>
    <row r="890" spans="1:22" x14ac:dyDescent="0.2">
      <c r="A890">
        <f>Arrivals!A890</f>
        <v>8</v>
      </c>
      <c r="B890">
        <f>Arrivals!B890</f>
        <v>45</v>
      </c>
      <c r="C890" s="6">
        <f>Arrivals!F890</f>
        <v>354</v>
      </c>
      <c r="D890" s="6">
        <f>Arrivals!J890</f>
        <v>14.891907113934826</v>
      </c>
      <c r="E890" s="6">
        <f t="shared" si="293"/>
        <v>475.83039658013053</v>
      </c>
      <c r="F890" s="6">
        <f t="shared" si="284"/>
        <v>475.83039658013053</v>
      </c>
      <c r="G890" s="6">
        <f t="shared" si="285"/>
        <v>490.72230369406537</v>
      </c>
      <c r="H890" s="6">
        <f>Arrivals!L890</f>
        <v>75</v>
      </c>
      <c r="I890" s="6">
        <f>H890*8/ACE_Input!S50+ACE_Input!T50</f>
        <v>6.02</v>
      </c>
      <c r="J890" s="6">
        <f t="shared" si="294"/>
        <v>491.46854618283209</v>
      </c>
      <c r="K890" s="6">
        <f t="shared" si="286"/>
        <v>491.46854618283209</v>
      </c>
      <c r="L890" s="6">
        <f>MOD(K890-Settings!$B$32,Settings!$B$33)</f>
        <v>491.46854618283209</v>
      </c>
      <c r="M890" s="6">
        <f>IF(L890&lt;Settings!$B$30,IF(Settings!$B$30-L890&gt;=I890,K890,K890+(Settings!$B$30-L890)+Settings!$B$31),K890+(Settings!$B$33-L890))</f>
        <v>491.46854618283209</v>
      </c>
      <c r="N890" s="6">
        <f t="shared" si="287"/>
        <v>497.48854618283207</v>
      </c>
      <c r="O890" s="6">
        <f t="shared" si="288"/>
        <v>143.48854618283207</v>
      </c>
      <c r="P890" s="6">
        <f t="shared" si="289"/>
        <v>121.83039658013053</v>
      </c>
      <c r="Q890" s="6">
        <f t="shared" si="290"/>
        <v>0.74624248876671118</v>
      </c>
      <c r="R890" s="6">
        <f t="shared" si="291"/>
        <v>0</v>
      </c>
      <c r="S890" s="6">
        <f t="shared" si="292"/>
        <v>122.57663906889724</v>
      </c>
      <c r="T890" s="6" t="str">
        <f>IF(MOD(C890-Settings!$B$32,Settings!$B$33)&lt;Settings!$B$30,"Up","Down")</f>
        <v>Up</v>
      </c>
      <c r="U890" s="6">
        <f>IF(OR(I890&gt;Settings!$B$30,O890&gt;Settings!$B$37),0,1)</f>
        <v>1</v>
      </c>
      <c r="V890" s="6">
        <f>IF(AND(U890=1,O890&lt;=Settings!$B$36),1,0)</f>
        <v>0</v>
      </c>
    </row>
    <row r="891" spans="1:22" x14ac:dyDescent="0.2">
      <c r="A891">
        <f>Arrivals!A891</f>
        <v>8</v>
      </c>
      <c r="B891">
        <f>Arrivals!B891</f>
        <v>46</v>
      </c>
      <c r="C891" s="6">
        <f>Arrivals!F891</f>
        <v>359</v>
      </c>
      <c r="D891" s="6">
        <f>Arrivals!J891</f>
        <v>1.853051189366627</v>
      </c>
      <c r="E891" s="6">
        <f t="shared" si="293"/>
        <v>490.72230369406537</v>
      </c>
      <c r="F891" s="6">
        <f t="shared" si="284"/>
        <v>490.72230369406537</v>
      </c>
      <c r="G891" s="6">
        <f t="shared" si="285"/>
        <v>492.575354883432</v>
      </c>
      <c r="H891" s="6">
        <f>Arrivals!L891</f>
        <v>75</v>
      </c>
      <c r="I891" s="6">
        <f>H891*8/ACE_Input!S51+ACE_Input!T51</f>
        <v>6.02</v>
      </c>
      <c r="J891" s="6">
        <f t="shared" si="294"/>
        <v>497.48854618283207</v>
      </c>
      <c r="K891" s="6">
        <f t="shared" si="286"/>
        <v>497.48854618283207</v>
      </c>
      <c r="L891" s="6">
        <f>MOD(K891-Settings!$B$32,Settings!$B$33)</f>
        <v>497.48854618283207</v>
      </c>
      <c r="M891" s="6">
        <f>IF(L891&lt;Settings!$B$30,IF(Settings!$B$30-L891&gt;=I891,K891,K891+(Settings!$B$30-L891)+Settings!$B$31),K891+(Settings!$B$33-L891))</f>
        <v>497.48854618283207</v>
      </c>
      <c r="N891" s="6">
        <f t="shared" si="287"/>
        <v>503.50854618283205</v>
      </c>
      <c r="O891" s="6">
        <f t="shared" si="288"/>
        <v>144.50854618283205</v>
      </c>
      <c r="P891" s="6">
        <f t="shared" si="289"/>
        <v>131.72230369406537</v>
      </c>
      <c r="Q891" s="6">
        <f t="shared" si="290"/>
        <v>4.9131912994000686</v>
      </c>
      <c r="R891" s="6">
        <f t="shared" si="291"/>
        <v>0</v>
      </c>
      <c r="S891" s="6">
        <f t="shared" si="292"/>
        <v>136.63549499346544</v>
      </c>
      <c r="T891" s="6" t="str">
        <f>IF(MOD(C891-Settings!$B$32,Settings!$B$33)&lt;Settings!$B$30,"Up","Down")</f>
        <v>Up</v>
      </c>
      <c r="U891" s="6">
        <f>IF(OR(I891&gt;Settings!$B$30,O891&gt;Settings!$B$37),0,1)</f>
        <v>1</v>
      </c>
      <c r="V891" s="6">
        <f>IF(AND(U891=1,O891&lt;=Settings!$B$36),1,0)</f>
        <v>0</v>
      </c>
    </row>
    <row r="892" spans="1:22" x14ac:dyDescent="0.2">
      <c r="A892">
        <f>Arrivals!A892</f>
        <v>8</v>
      </c>
      <c r="B892">
        <f>Arrivals!B892</f>
        <v>47</v>
      </c>
      <c r="C892" s="6">
        <f>Arrivals!F892</f>
        <v>364</v>
      </c>
      <c r="D892" s="6">
        <f>Arrivals!J892</f>
        <v>26.789234063818611</v>
      </c>
      <c r="E892" s="6">
        <f t="shared" si="293"/>
        <v>492.575354883432</v>
      </c>
      <c r="F892" s="6">
        <f t="shared" si="284"/>
        <v>492.575354883432</v>
      </c>
      <c r="G892" s="6">
        <f t="shared" si="285"/>
        <v>519.36458894725058</v>
      </c>
      <c r="H892" s="6">
        <f>Arrivals!L892</f>
        <v>75</v>
      </c>
      <c r="I892" s="6">
        <f>H892*8/ACE_Input!S52+ACE_Input!T52</f>
        <v>6.02</v>
      </c>
      <c r="J892" s="6">
        <f t="shared" si="294"/>
        <v>503.50854618283205</v>
      </c>
      <c r="K892" s="6">
        <f t="shared" si="286"/>
        <v>519.36458894725058</v>
      </c>
      <c r="L892" s="6">
        <f>MOD(K892-Settings!$B$32,Settings!$B$33)</f>
        <v>519.36458894725058</v>
      </c>
      <c r="M892" s="6">
        <f>IF(L892&lt;Settings!$B$30,IF(Settings!$B$30-L892&gt;=I892,K892,K892+(Settings!$B$30-L892)+Settings!$B$31),K892+(Settings!$B$33-L892))</f>
        <v>519.36458894725058</v>
      </c>
      <c r="N892" s="6">
        <f t="shared" si="287"/>
        <v>525.38458894725056</v>
      </c>
      <c r="O892" s="6">
        <f t="shared" si="288"/>
        <v>161.38458894725056</v>
      </c>
      <c r="P892" s="6">
        <f t="shared" si="289"/>
        <v>128.575354883432</v>
      </c>
      <c r="Q892" s="6">
        <f t="shared" si="290"/>
        <v>0</v>
      </c>
      <c r="R892" s="6">
        <f t="shared" si="291"/>
        <v>0</v>
      </c>
      <c r="S892" s="6">
        <f t="shared" si="292"/>
        <v>128.575354883432</v>
      </c>
      <c r="T892" s="6" t="str">
        <f>IF(MOD(C892-Settings!$B$32,Settings!$B$33)&lt;Settings!$B$30,"Up","Down")</f>
        <v>Up</v>
      </c>
      <c r="U892" s="6">
        <f>IF(OR(I892&gt;Settings!$B$30,O892&gt;Settings!$B$37),0,1)</f>
        <v>1</v>
      </c>
      <c r="V892" s="6">
        <f>IF(AND(U892=1,O892&lt;=Settings!$B$36),1,0)</f>
        <v>0</v>
      </c>
    </row>
    <row r="893" spans="1:22" x14ac:dyDescent="0.2">
      <c r="A893">
        <f>Arrivals!A893</f>
        <v>8</v>
      </c>
      <c r="B893">
        <f>Arrivals!B893</f>
        <v>48</v>
      </c>
      <c r="C893" s="6">
        <f>Arrivals!F893</f>
        <v>369</v>
      </c>
      <c r="D893" s="6">
        <f>Arrivals!J893</f>
        <v>2.193236641525858</v>
      </c>
      <c r="E893" s="6">
        <f t="shared" si="293"/>
        <v>519.36458894725058</v>
      </c>
      <c r="F893" s="6">
        <f t="shared" si="284"/>
        <v>519.36458894725058</v>
      </c>
      <c r="G893" s="6">
        <f t="shared" si="285"/>
        <v>521.5578255887765</v>
      </c>
      <c r="H893" s="6">
        <f>Arrivals!L893</f>
        <v>75</v>
      </c>
      <c r="I893" s="6">
        <f>H893*8/ACE_Input!S53+ACE_Input!T53</f>
        <v>6.02</v>
      </c>
      <c r="J893" s="6">
        <f t="shared" si="294"/>
        <v>525.38458894725056</v>
      </c>
      <c r="K893" s="6">
        <f t="shared" si="286"/>
        <v>525.38458894725056</v>
      </c>
      <c r="L893" s="6">
        <f>MOD(K893-Settings!$B$32,Settings!$B$33)</f>
        <v>525.38458894725056</v>
      </c>
      <c r="M893" s="6">
        <f>IF(L893&lt;Settings!$B$30,IF(Settings!$B$30-L893&gt;=I893,K893,K893+(Settings!$B$30-L893)+Settings!$B$31),K893+(Settings!$B$33-L893))</f>
        <v>525.38458894725056</v>
      </c>
      <c r="N893" s="6">
        <f t="shared" si="287"/>
        <v>531.40458894725055</v>
      </c>
      <c r="O893" s="6">
        <f t="shared" si="288"/>
        <v>162.40458894725055</v>
      </c>
      <c r="P893" s="6">
        <f t="shared" si="289"/>
        <v>150.36458894725058</v>
      </c>
      <c r="Q893" s="6">
        <f t="shared" si="290"/>
        <v>3.8267633584740679</v>
      </c>
      <c r="R893" s="6">
        <f t="shared" si="291"/>
        <v>0</v>
      </c>
      <c r="S893" s="6">
        <f t="shared" si="292"/>
        <v>154.19135230572465</v>
      </c>
      <c r="T893" s="6" t="str">
        <f>IF(MOD(C893-Settings!$B$32,Settings!$B$33)&lt;Settings!$B$30,"Up","Down")</f>
        <v>Up</v>
      </c>
      <c r="U893" s="6">
        <f>IF(OR(I893&gt;Settings!$B$30,O893&gt;Settings!$B$37),0,1)</f>
        <v>1</v>
      </c>
      <c r="V893" s="6">
        <f>IF(AND(U893=1,O893&lt;=Settings!$B$36),1,0)</f>
        <v>0</v>
      </c>
    </row>
    <row r="894" spans="1:22" x14ac:dyDescent="0.2">
      <c r="A894">
        <f>Arrivals!A894</f>
        <v>8</v>
      </c>
      <c r="B894">
        <f>Arrivals!B894</f>
        <v>49</v>
      </c>
      <c r="C894" s="6">
        <f>Arrivals!F894</f>
        <v>374</v>
      </c>
      <c r="D894" s="6">
        <f>Arrivals!J894</f>
        <v>7.0042248866152805</v>
      </c>
      <c r="E894" s="6">
        <f t="shared" si="293"/>
        <v>521.5578255887765</v>
      </c>
      <c r="F894" s="6">
        <f t="shared" si="284"/>
        <v>521.5578255887765</v>
      </c>
      <c r="G894" s="6">
        <f t="shared" si="285"/>
        <v>528.56205047539174</v>
      </c>
      <c r="H894" s="6">
        <f>Arrivals!L894</f>
        <v>75</v>
      </c>
      <c r="I894" s="6">
        <f>H894*8/ACE_Input!S54+ACE_Input!T54</f>
        <v>6.02</v>
      </c>
      <c r="J894" s="6">
        <f t="shared" si="294"/>
        <v>531.40458894725055</v>
      </c>
      <c r="K894" s="6">
        <f t="shared" si="286"/>
        <v>531.40458894725055</v>
      </c>
      <c r="L894" s="6">
        <f>MOD(K894-Settings!$B$32,Settings!$B$33)</f>
        <v>531.40458894725055</v>
      </c>
      <c r="M894" s="6">
        <f>IF(L894&lt;Settings!$B$30,IF(Settings!$B$30-L894&gt;=I894,K894,K894+(Settings!$B$30-L894)+Settings!$B$31),K894+(Settings!$B$33-L894))</f>
        <v>531.40458894725055</v>
      </c>
      <c r="N894" s="6">
        <f t="shared" si="287"/>
        <v>537.42458894725053</v>
      </c>
      <c r="O894" s="6">
        <f t="shared" si="288"/>
        <v>163.42458894725053</v>
      </c>
      <c r="P894" s="6">
        <f t="shared" si="289"/>
        <v>147.5578255887765</v>
      </c>
      <c r="Q894" s="6">
        <f t="shared" si="290"/>
        <v>2.842538471858802</v>
      </c>
      <c r="R894" s="6">
        <f t="shared" si="291"/>
        <v>0</v>
      </c>
      <c r="S894" s="6">
        <f t="shared" si="292"/>
        <v>150.4003640606353</v>
      </c>
      <c r="T894" s="6" t="str">
        <f>IF(MOD(C894-Settings!$B$32,Settings!$B$33)&lt;Settings!$B$30,"Up","Down")</f>
        <v>Up</v>
      </c>
      <c r="U894" s="6">
        <f>IF(OR(I894&gt;Settings!$B$30,O894&gt;Settings!$B$37),0,1)</f>
        <v>1</v>
      </c>
      <c r="V894" s="6">
        <f>IF(AND(U894=1,O894&lt;=Settings!$B$36),1,0)</f>
        <v>0</v>
      </c>
    </row>
    <row r="895" spans="1:22" x14ac:dyDescent="0.2">
      <c r="A895">
        <f>Arrivals!A895</f>
        <v>8</v>
      </c>
      <c r="B895">
        <f>Arrivals!B895</f>
        <v>50</v>
      </c>
      <c r="C895" s="6">
        <f>Arrivals!F895</f>
        <v>379</v>
      </c>
      <c r="D895" s="6">
        <f>Arrivals!J895</f>
        <v>6.2260600477463548</v>
      </c>
      <c r="E895" s="6">
        <f t="shared" si="293"/>
        <v>528.56205047539174</v>
      </c>
      <c r="F895" s="6">
        <f t="shared" si="284"/>
        <v>528.56205047539174</v>
      </c>
      <c r="G895" s="6">
        <f t="shared" si="285"/>
        <v>534.78811052313813</v>
      </c>
      <c r="H895" s="6">
        <f>Arrivals!L895</f>
        <v>75</v>
      </c>
      <c r="I895" s="6">
        <f>H895*8/ACE_Input!S55+ACE_Input!T55</f>
        <v>6.02</v>
      </c>
      <c r="J895" s="6">
        <f t="shared" si="294"/>
        <v>537.42458894725053</v>
      </c>
      <c r="K895" s="6">
        <f t="shared" si="286"/>
        <v>537.42458894725053</v>
      </c>
      <c r="L895" s="6">
        <f>MOD(K895-Settings!$B$32,Settings!$B$33)</f>
        <v>537.42458894725053</v>
      </c>
      <c r="M895" s="6">
        <f>IF(L895&lt;Settings!$B$30,IF(Settings!$B$30-L895&gt;=I895,K895,K895+(Settings!$B$30-L895)+Settings!$B$31),K895+(Settings!$B$33-L895))</f>
        <v>537.42458894725053</v>
      </c>
      <c r="N895" s="6">
        <f t="shared" si="287"/>
        <v>543.44458894725051</v>
      </c>
      <c r="O895" s="6">
        <f t="shared" si="288"/>
        <v>164.44458894725051</v>
      </c>
      <c r="P895" s="6">
        <f t="shared" si="289"/>
        <v>149.56205047539174</v>
      </c>
      <c r="Q895" s="6">
        <f t="shared" si="290"/>
        <v>2.6364784241123971</v>
      </c>
      <c r="R895" s="6">
        <f t="shared" si="291"/>
        <v>0</v>
      </c>
      <c r="S895" s="6">
        <f t="shared" si="292"/>
        <v>152.19852889950414</v>
      </c>
      <c r="T895" s="6" t="str">
        <f>IF(MOD(C895-Settings!$B$32,Settings!$B$33)&lt;Settings!$B$30,"Up","Down")</f>
        <v>Up</v>
      </c>
      <c r="U895" s="6">
        <f>IF(OR(I895&gt;Settings!$B$30,O895&gt;Settings!$B$37),0,1)</f>
        <v>1</v>
      </c>
      <c r="V895" s="6">
        <f>IF(AND(U895=1,O895&lt;=Settings!$B$36),1,0)</f>
        <v>0</v>
      </c>
    </row>
    <row r="896" spans="1:22" x14ac:dyDescent="0.2">
      <c r="A896">
        <f>Arrivals!A896</f>
        <v>8</v>
      </c>
      <c r="B896">
        <f>Arrivals!B896</f>
        <v>51</v>
      </c>
      <c r="C896" s="6">
        <f>Arrivals!F896</f>
        <v>384</v>
      </c>
      <c r="D896" s="6">
        <f>Arrivals!J896</f>
        <v>3.9245279076398285</v>
      </c>
      <c r="E896" s="6">
        <f t="shared" si="293"/>
        <v>534.78811052313813</v>
      </c>
      <c r="F896" s="6">
        <f t="shared" si="284"/>
        <v>534.78811052313813</v>
      </c>
      <c r="G896" s="6">
        <f t="shared" si="285"/>
        <v>538.71263843077793</v>
      </c>
      <c r="H896" s="6">
        <f>Arrivals!L896</f>
        <v>75</v>
      </c>
      <c r="I896" s="6">
        <f>H896*8/ACE_Input!S56+ACE_Input!T56</f>
        <v>6.02</v>
      </c>
      <c r="J896" s="6">
        <f t="shared" si="294"/>
        <v>543.44458894725051</v>
      </c>
      <c r="K896" s="6">
        <f t="shared" si="286"/>
        <v>543.44458894725051</v>
      </c>
      <c r="L896" s="6">
        <f>MOD(K896-Settings!$B$32,Settings!$B$33)</f>
        <v>543.44458894725051</v>
      </c>
      <c r="M896" s="6">
        <f>IF(L896&lt;Settings!$B$30,IF(Settings!$B$30-L896&gt;=I896,K896,K896+(Settings!$B$30-L896)+Settings!$B$31),K896+(Settings!$B$33-L896))</f>
        <v>543.44458894725051</v>
      </c>
      <c r="N896" s="6">
        <f t="shared" si="287"/>
        <v>549.46458894725049</v>
      </c>
      <c r="O896" s="6">
        <f t="shared" si="288"/>
        <v>165.46458894725049</v>
      </c>
      <c r="P896" s="6">
        <f t="shared" si="289"/>
        <v>150.78811052313813</v>
      </c>
      <c r="Q896" s="6">
        <f t="shared" si="290"/>
        <v>4.7319505164725797</v>
      </c>
      <c r="R896" s="6">
        <f t="shared" si="291"/>
        <v>0</v>
      </c>
      <c r="S896" s="6">
        <f t="shared" si="292"/>
        <v>155.52006103961071</v>
      </c>
      <c r="T896" s="6" t="str">
        <f>IF(MOD(C896-Settings!$B$32,Settings!$B$33)&lt;Settings!$B$30,"Up","Down")</f>
        <v>Up</v>
      </c>
      <c r="U896" s="6">
        <f>IF(OR(I896&gt;Settings!$B$30,O896&gt;Settings!$B$37),0,1)</f>
        <v>1</v>
      </c>
      <c r="V896" s="6">
        <f>IF(AND(U896=1,O896&lt;=Settings!$B$36),1,0)</f>
        <v>0</v>
      </c>
    </row>
    <row r="897" spans="1:22" x14ac:dyDescent="0.2">
      <c r="A897">
        <f>Arrivals!A897</f>
        <v>8</v>
      </c>
      <c r="B897">
        <f>Arrivals!B897</f>
        <v>52</v>
      </c>
      <c r="C897" s="6">
        <f>Arrivals!F897</f>
        <v>389</v>
      </c>
      <c r="D897" s="6">
        <f>Arrivals!J897</f>
        <v>3.91995487631781</v>
      </c>
      <c r="E897" s="6">
        <f t="shared" si="293"/>
        <v>538.71263843077793</v>
      </c>
      <c r="F897" s="6">
        <f t="shared" si="284"/>
        <v>538.71263843077793</v>
      </c>
      <c r="G897" s="6">
        <f t="shared" si="285"/>
        <v>542.6325933070957</v>
      </c>
      <c r="H897" s="6">
        <f>Arrivals!L897</f>
        <v>75</v>
      </c>
      <c r="I897" s="6">
        <f>H897*8/ACE_Input!S57+ACE_Input!T57</f>
        <v>6.02</v>
      </c>
      <c r="J897" s="6">
        <f t="shared" si="294"/>
        <v>549.46458894725049</v>
      </c>
      <c r="K897" s="6">
        <f t="shared" si="286"/>
        <v>549.46458894725049</v>
      </c>
      <c r="L897" s="6">
        <f>MOD(K897-Settings!$B$32,Settings!$B$33)</f>
        <v>549.46458894725049</v>
      </c>
      <c r="M897" s="6">
        <f>IF(L897&lt;Settings!$B$30,IF(Settings!$B$30-L897&gt;=I897,K897,K897+(Settings!$B$30-L897)+Settings!$B$31),K897+(Settings!$B$33-L897))</f>
        <v>549.46458894725049</v>
      </c>
      <c r="N897" s="6">
        <f t="shared" si="287"/>
        <v>555.48458894725047</v>
      </c>
      <c r="O897" s="6">
        <f t="shared" si="288"/>
        <v>166.48458894725047</v>
      </c>
      <c r="P897" s="6">
        <f t="shared" si="289"/>
        <v>149.71263843077793</v>
      </c>
      <c r="Q897" s="6">
        <f t="shared" si="290"/>
        <v>6.831995640154787</v>
      </c>
      <c r="R897" s="6">
        <f t="shared" si="291"/>
        <v>0</v>
      </c>
      <c r="S897" s="6">
        <f t="shared" si="292"/>
        <v>156.54463407093272</v>
      </c>
      <c r="T897" s="6" t="str">
        <f>IF(MOD(C897-Settings!$B$32,Settings!$B$33)&lt;Settings!$B$30,"Up","Down")</f>
        <v>Up</v>
      </c>
      <c r="U897" s="6">
        <f>IF(OR(I897&gt;Settings!$B$30,O897&gt;Settings!$B$37),0,1)</f>
        <v>1</v>
      </c>
      <c r="V897" s="6">
        <f>IF(AND(U897=1,O897&lt;=Settings!$B$36),1,0)</f>
        <v>0</v>
      </c>
    </row>
    <row r="898" spans="1:22" x14ac:dyDescent="0.2">
      <c r="A898">
        <f>Arrivals!A898</f>
        <v>8</v>
      </c>
      <c r="B898">
        <f>Arrivals!B898</f>
        <v>53</v>
      </c>
      <c r="C898" s="6">
        <f>Arrivals!F898</f>
        <v>394</v>
      </c>
      <c r="D898" s="6">
        <f>Arrivals!J898</f>
        <v>12.928740920159854</v>
      </c>
      <c r="E898" s="6">
        <f t="shared" si="293"/>
        <v>542.6325933070957</v>
      </c>
      <c r="F898" s="6">
        <f t="shared" si="284"/>
        <v>542.6325933070957</v>
      </c>
      <c r="G898" s="6">
        <f t="shared" si="285"/>
        <v>555.56133422725554</v>
      </c>
      <c r="H898" s="6">
        <f>Arrivals!L898</f>
        <v>75</v>
      </c>
      <c r="I898" s="6">
        <f>H898*8/ACE_Input!S58+ACE_Input!T58</f>
        <v>6.02</v>
      </c>
      <c r="J898" s="6">
        <f t="shared" si="294"/>
        <v>555.48458894725047</v>
      </c>
      <c r="K898" s="6">
        <f t="shared" si="286"/>
        <v>555.56133422725554</v>
      </c>
      <c r="L898" s="6">
        <f>MOD(K898-Settings!$B$32,Settings!$B$33)</f>
        <v>555.56133422725554</v>
      </c>
      <c r="M898" s="6">
        <f>IF(L898&lt;Settings!$B$30,IF(Settings!$B$30-L898&gt;=I898,K898,K898+(Settings!$B$30-L898)+Settings!$B$31),K898+(Settings!$B$33-L898))</f>
        <v>555.56133422725554</v>
      </c>
      <c r="N898" s="6">
        <f t="shared" si="287"/>
        <v>561.58133422725552</v>
      </c>
      <c r="O898" s="6">
        <f t="shared" si="288"/>
        <v>167.58133422725552</v>
      </c>
      <c r="P898" s="6">
        <f t="shared" si="289"/>
        <v>148.6325933070957</v>
      </c>
      <c r="Q898" s="6">
        <f t="shared" si="290"/>
        <v>0</v>
      </c>
      <c r="R898" s="6">
        <f t="shared" si="291"/>
        <v>0</v>
      </c>
      <c r="S898" s="6">
        <f t="shared" si="292"/>
        <v>148.6325933070957</v>
      </c>
      <c r="T898" s="6" t="str">
        <f>IF(MOD(C898-Settings!$B$32,Settings!$B$33)&lt;Settings!$B$30,"Up","Down")</f>
        <v>Up</v>
      </c>
      <c r="U898" s="6">
        <f>IF(OR(I898&gt;Settings!$B$30,O898&gt;Settings!$B$37),0,1)</f>
        <v>1</v>
      </c>
      <c r="V898" s="6">
        <f>IF(AND(U898=1,O898&lt;=Settings!$B$36),1,0)</f>
        <v>0</v>
      </c>
    </row>
    <row r="899" spans="1:22" x14ac:dyDescent="0.2">
      <c r="A899">
        <f>Arrivals!A899</f>
        <v>8</v>
      </c>
      <c r="B899">
        <f>Arrivals!B899</f>
        <v>54</v>
      </c>
      <c r="C899" s="6">
        <f>Arrivals!F899</f>
        <v>399</v>
      </c>
      <c r="D899" s="6">
        <f>Arrivals!J899</f>
        <v>9.080853373764846</v>
      </c>
      <c r="E899" s="6">
        <f t="shared" si="293"/>
        <v>555.56133422725554</v>
      </c>
      <c r="F899" s="6">
        <f t="shared" si="284"/>
        <v>555.56133422725554</v>
      </c>
      <c r="G899" s="6">
        <f t="shared" si="285"/>
        <v>564.6421876010204</v>
      </c>
      <c r="H899" s="6">
        <f>Arrivals!L899</f>
        <v>75</v>
      </c>
      <c r="I899" s="6">
        <f>H899*8/ACE_Input!S59+ACE_Input!T59</f>
        <v>6.02</v>
      </c>
      <c r="J899" s="6">
        <f t="shared" si="294"/>
        <v>561.58133422725552</v>
      </c>
      <c r="K899" s="6">
        <f t="shared" si="286"/>
        <v>564.6421876010204</v>
      </c>
      <c r="L899" s="6">
        <f>MOD(K899-Settings!$B$32,Settings!$B$33)</f>
        <v>564.6421876010204</v>
      </c>
      <c r="M899" s="6">
        <f>IF(L899&lt;Settings!$B$30,IF(Settings!$B$30-L899&gt;=I899,K899,K899+(Settings!$B$30-L899)+Settings!$B$31),K899+(Settings!$B$33-L899))</f>
        <v>564.6421876010204</v>
      </c>
      <c r="N899" s="6">
        <f t="shared" si="287"/>
        <v>570.66218760102038</v>
      </c>
      <c r="O899" s="6">
        <f t="shared" si="288"/>
        <v>171.66218760102038</v>
      </c>
      <c r="P899" s="6">
        <f t="shared" si="289"/>
        <v>156.56133422725554</v>
      </c>
      <c r="Q899" s="6">
        <f t="shared" si="290"/>
        <v>0</v>
      </c>
      <c r="R899" s="6">
        <f t="shared" si="291"/>
        <v>0</v>
      </c>
      <c r="S899" s="6">
        <f t="shared" si="292"/>
        <v>156.56133422725554</v>
      </c>
      <c r="T899" s="6" t="str">
        <f>IF(MOD(C899-Settings!$B$32,Settings!$B$33)&lt;Settings!$B$30,"Up","Down")</f>
        <v>Up</v>
      </c>
      <c r="U899" s="6">
        <f>IF(OR(I899&gt;Settings!$B$30,O899&gt;Settings!$B$37),0,1)</f>
        <v>1</v>
      </c>
      <c r="V899" s="6">
        <f>IF(AND(U899=1,O899&lt;=Settings!$B$36),1,0)</f>
        <v>0</v>
      </c>
    </row>
    <row r="900" spans="1:22" x14ac:dyDescent="0.2">
      <c r="A900">
        <f>Arrivals!A900</f>
        <v>8</v>
      </c>
      <c r="B900">
        <f>Arrivals!B900</f>
        <v>55</v>
      </c>
      <c r="C900" s="6">
        <f>Arrivals!F900</f>
        <v>404</v>
      </c>
      <c r="D900" s="6">
        <f>Arrivals!J900</f>
        <v>3.4078612947464331</v>
      </c>
      <c r="E900" s="6">
        <f t="shared" si="293"/>
        <v>564.6421876010204</v>
      </c>
      <c r="F900" s="6">
        <f t="shared" si="284"/>
        <v>564.6421876010204</v>
      </c>
      <c r="G900" s="6">
        <f t="shared" si="285"/>
        <v>568.05004889576685</v>
      </c>
      <c r="H900" s="6">
        <f>Arrivals!L900</f>
        <v>75</v>
      </c>
      <c r="I900" s="6">
        <f>H900*8/ACE_Input!S60+ACE_Input!T60</f>
        <v>6.02</v>
      </c>
      <c r="J900" s="6">
        <f t="shared" si="294"/>
        <v>570.66218760102038</v>
      </c>
      <c r="K900" s="6">
        <f t="shared" si="286"/>
        <v>570.66218760102038</v>
      </c>
      <c r="L900" s="6">
        <f>MOD(K900-Settings!$B$32,Settings!$B$33)</f>
        <v>570.66218760102038</v>
      </c>
      <c r="M900" s="6">
        <f>IF(L900&lt;Settings!$B$30,IF(Settings!$B$30-L900&gt;=I900,K900,K900+(Settings!$B$30-L900)+Settings!$B$31),K900+(Settings!$B$33-L900))</f>
        <v>570.66218760102038</v>
      </c>
      <c r="N900" s="6">
        <f t="shared" si="287"/>
        <v>576.68218760102036</v>
      </c>
      <c r="O900" s="6">
        <f t="shared" si="288"/>
        <v>172.68218760102036</v>
      </c>
      <c r="P900" s="6">
        <f t="shared" si="289"/>
        <v>160.6421876010204</v>
      </c>
      <c r="Q900" s="6">
        <f t="shared" si="290"/>
        <v>2.6121387052535283</v>
      </c>
      <c r="R900" s="6">
        <f t="shared" si="291"/>
        <v>0</v>
      </c>
      <c r="S900" s="6">
        <f t="shared" si="292"/>
        <v>163.25432630627392</v>
      </c>
      <c r="T900" s="6" t="str">
        <f>IF(MOD(C900-Settings!$B$32,Settings!$B$33)&lt;Settings!$B$30,"Up","Down")</f>
        <v>Up</v>
      </c>
      <c r="U900" s="6">
        <f>IF(OR(I900&gt;Settings!$B$30,O900&gt;Settings!$B$37),0,1)</f>
        <v>1</v>
      </c>
      <c r="V900" s="6">
        <f>IF(AND(U900=1,O900&lt;=Settings!$B$36),1,0)</f>
        <v>0</v>
      </c>
    </row>
    <row r="901" spans="1:22" x14ac:dyDescent="0.2">
      <c r="A901">
        <f>Arrivals!A901</f>
        <v>8</v>
      </c>
      <c r="B901">
        <f>Arrivals!B901</f>
        <v>56</v>
      </c>
      <c r="C901" s="6">
        <f>Arrivals!F901</f>
        <v>409</v>
      </c>
      <c r="D901" s="6">
        <f>Arrivals!J901</f>
        <v>1.3280002452011574</v>
      </c>
      <c r="E901" s="6">
        <f t="shared" si="293"/>
        <v>568.05004889576685</v>
      </c>
      <c r="F901" s="6">
        <f t="shared" si="284"/>
        <v>568.05004889576685</v>
      </c>
      <c r="G901" s="6">
        <f t="shared" si="285"/>
        <v>569.37804914096796</v>
      </c>
      <c r="H901" s="6">
        <f>Arrivals!L901</f>
        <v>75</v>
      </c>
      <c r="I901" s="6">
        <f>H901*8/ACE_Input!S61+ACE_Input!T61</f>
        <v>6.02</v>
      </c>
      <c r="J901" s="6">
        <f t="shared" si="294"/>
        <v>576.68218760102036</v>
      </c>
      <c r="K901" s="6">
        <f t="shared" si="286"/>
        <v>576.68218760102036</v>
      </c>
      <c r="L901" s="6">
        <f>MOD(K901-Settings!$B$32,Settings!$B$33)</f>
        <v>576.68218760102036</v>
      </c>
      <c r="M901" s="6">
        <f>IF(L901&lt;Settings!$B$30,IF(Settings!$B$30-L901&gt;=I901,K901,K901+(Settings!$B$30-L901)+Settings!$B$31),K901+(Settings!$B$33-L901))</f>
        <v>576.68218760102036</v>
      </c>
      <c r="N901" s="6">
        <f t="shared" si="287"/>
        <v>582.70218760102034</v>
      </c>
      <c r="O901" s="6">
        <f t="shared" si="288"/>
        <v>173.70218760102034</v>
      </c>
      <c r="P901" s="6">
        <f t="shared" si="289"/>
        <v>159.05004889576685</v>
      </c>
      <c r="Q901" s="6">
        <f t="shared" si="290"/>
        <v>7.3041384600523998</v>
      </c>
      <c r="R901" s="6">
        <f t="shared" si="291"/>
        <v>0</v>
      </c>
      <c r="S901" s="6">
        <f t="shared" si="292"/>
        <v>166.35418735581925</v>
      </c>
      <c r="T901" s="6" t="str">
        <f>IF(MOD(C901-Settings!$B$32,Settings!$B$33)&lt;Settings!$B$30,"Up","Down")</f>
        <v>Up</v>
      </c>
      <c r="U901" s="6">
        <f>IF(OR(I901&gt;Settings!$B$30,O901&gt;Settings!$B$37),0,1)</f>
        <v>1</v>
      </c>
      <c r="V901" s="6">
        <f>IF(AND(U901=1,O901&lt;=Settings!$B$36),1,0)</f>
        <v>0</v>
      </c>
    </row>
    <row r="902" spans="1:22" x14ac:dyDescent="0.2">
      <c r="A902">
        <f>Arrivals!A902</f>
        <v>8</v>
      </c>
      <c r="B902">
        <f>Arrivals!B902</f>
        <v>57</v>
      </c>
      <c r="C902" s="6">
        <f>Arrivals!F902</f>
        <v>414</v>
      </c>
      <c r="D902" s="6">
        <f>Arrivals!J902</f>
        <v>16.643853368175986</v>
      </c>
      <c r="E902" s="6">
        <f t="shared" si="293"/>
        <v>569.37804914096796</v>
      </c>
      <c r="F902" s="6">
        <f t="shared" si="284"/>
        <v>569.37804914096796</v>
      </c>
      <c r="G902" s="6">
        <f t="shared" si="285"/>
        <v>586.02190250914396</v>
      </c>
      <c r="H902" s="6">
        <f>Arrivals!L902</f>
        <v>75</v>
      </c>
      <c r="I902" s="6">
        <f>H902*8/ACE_Input!S62+ACE_Input!T62</f>
        <v>6.02</v>
      </c>
      <c r="J902" s="6">
        <f t="shared" si="294"/>
        <v>582.70218760102034</v>
      </c>
      <c r="K902" s="6">
        <f t="shared" si="286"/>
        <v>586.02190250914396</v>
      </c>
      <c r="L902" s="6">
        <f>MOD(K902-Settings!$B$32,Settings!$B$33)</f>
        <v>586.02190250914396</v>
      </c>
      <c r="M902" s="6">
        <f>IF(L902&lt;Settings!$B$30,IF(Settings!$B$30-L902&gt;=I902,K902,K902+(Settings!$B$30-L902)+Settings!$B$31),K902+(Settings!$B$33-L902))</f>
        <v>586.02190250914396</v>
      </c>
      <c r="N902" s="6">
        <f t="shared" si="287"/>
        <v>592.04190250914394</v>
      </c>
      <c r="O902" s="6">
        <f t="shared" si="288"/>
        <v>178.04190250914394</v>
      </c>
      <c r="P902" s="6">
        <f t="shared" si="289"/>
        <v>155.37804914096796</v>
      </c>
      <c r="Q902" s="6">
        <f t="shared" si="290"/>
        <v>0</v>
      </c>
      <c r="R902" s="6">
        <f t="shared" si="291"/>
        <v>0</v>
      </c>
      <c r="S902" s="6">
        <f t="shared" si="292"/>
        <v>155.37804914096796</v>
      </c>
      <c r="T902" s="6" t="str">
        <f>IF(MOD(C902-Settings!$B$32,Settings!$B$33)&lt;Settings!$B$30,"Up","Down")</f>
        <v>Up</v>
      </c>
      <c r="U902" s="6">
        <f>IF(OR(I902&gt;Settings!$B$30,O902&gt;Settings!$B$37),0,1)</f>
        <v>1</v>
      </c>
      <c r="V902" s="6">
        <f>IF(AND(U902=1,O902&lt;=Settings!$B$36),1,0)</f>
        <v>0</v>
      </c>
    </row>
    <row r="903" spans="1:22" x14ac:dyDescent="0.2">
      <c r="A903">
        <f>Arrivals!A903</f>
        <v>8</v>
      </c>
      <c r="B903">
        <f>Arrivals!B903</f>
        <v>58</v>
      </c>
      <c r="C903" s="6">
        <f>Arrivals!F903</f>
        <v>419</v>
      </c>
      <c r="D903" s="6">
        <f>Arrivals!J903</f>
        <v>2.1289497448380432</v>
      </c>
      <c r="E903" s="6">
        <f t="shared" si="293"/>
        <v>586.02190250914396</v>
      </c>
      <c r="F903" s="6">
        <f t="shared" si="284"/>
        <v>586.02190250914396</v>
      </c>
      <c r="G903" s="6">
        <f t="shared" si="285"/>
        <v>588.15085225398195</v>
      </c>
      <c r="H903" s="6">
        <f>Arrivals!L903</f>
        <v>75</v>
      </c>
      <c r="I903" s="6">
        <f>H903*8/ACE_Input!S63+ACE_Input!T63</f>
        <v>6.02</v>
      </c>
      <c r="J903" s="6">
        <f t="shared" si="294"/>
        <v>592.04190250914394</v>
      </c>
      <c r="K903" s="6">
        <f t="shared" si="286"/>
        <v>592.04190250914394</v>
      </c>
      <c r="L903" s="6">
        <f>MOD(K903-Settings!$B$32,Settings!$B$33)</f>
        <v>592.04190250914394</v>
      </c>
      <c r="M903" s="6">
        <f>IF(L903&lt;Settings!$B$30,IF(Settings!$B$30-L903&gt;=I903,K903,K903+(Settings!$B$30-L903)+Settings!$B$31),K903+(Settings!$B$33-L903))</f>
        <v>592.04190250914394</v>
      </c>
      <c r="N903" s="6">
        <f t="shared" si="287"/>
        <v>598.06190250914392</v>
      </c>
      <c r="O903" s="6">
        <f t="shared" si="288"/>
        <v>179.06190250914392</v>
      </c>
      <c r="P903" s="6">
        <f t="shared" si="289"/>
        <v>167.02190250914396</v>
      </c>
      <c r="Q903" s="6">
        <f t="shared" si="290"/>
        <v>3.8910502551619857</v>
      </c>
      <c r="R903" s="6">
        <f t="shared" si="291"/>
        <v>0</v>
      </c>
      <c r="S903" s="6">
        <f t="shared" si="292"/>
        <v>170.91295276430594</v>
      </c>
      <c r="T903" s="6" t="str">
        <f>IF(MOD(C903-Settings!$B$32,Settings!$B$33)&lt;Settings!$B$30,"Up","Down")</f>
        <v>Up</v>
      </c>
      <c r="U903" s="6">
        <f>IF(OR(I903&gt;Settings!$B$30,O903&gt;Settings!$B$37),0,1)</f>
        <v>1</v>
      </c>
      <c r="V903" s="6">
        <f>IF(AND(U903=1,O903&lt;=Settings!$B$36),1,0)</f>
        <v>0</v>
      </c>
    </row>
    <row r="904" spans="1:22" x14ac:dyDescent="0.2">
      <c r="A904">
        <f>Arrivals!A904</f>
        <v>8</v>
      </c>
      <c r="B904">
        <f>Arrivals!B904</f>
        <v>59</v>
      </c>
      <c r="C904" s="6">
        <f>Arrivals!F904</f>
        <v>424</v>
      </c>
      <c r="D904" s="6">
        <f>Arrivals!J904</f>
        <v>3.3232394419319662</v>
      </c>
      <c r="E904" s="6">
        <f t="shared" si="293"/>
        <v>588.15085225398195</v>
      </c>
      <c r="F904" s="6">
        <f t="shared" si="284"/>
        <v>588.15085225398195</v>
      </c>
      <c r="G904" s="6">
        <f t="shared" si="285"/>
        <v>591.4740916959139</v>
      </c>
      <c r="H904" s="6">
        <f>Arrivals!L904</f>
        <v>75</v>
      </c>
      <c r="I904" s="6">
        <f>H904*8/ACE_Input!S64+ACE_Input!T64</f>
        <v>6.02</v>
      </c>
      <c r="J904" s="6">
        <f t="shared" si="294"/>
        <v>598.06190250914392</v>
      </c>
      <c r="K904" s="6">
        <f t="shared" si="286"/>
        <v>598.06190250914392</v>
      </c>
      <c r="L904" s="6">
        <f>MOD(K904-Settings!$B$32,Settings!$B$33)</f>
        <v>598.06190250914392</v>
      </c>
      <c r="M904" s="6">
        <f>IF(L904&lt;Settings!$B$30,IF(Settings!$B$30-L904&gt;=I904,K904,K904+(Settings!$B$30-L904)+Settings!$B$31),K904+(Settings!$B$33-L904))</f>
        <v>720</v>
      </c>
      <c r="N904" s="6">
        <f t="shared" si="287"/>
        <v>726.02</v>
      </c>
      <c r="O904" s="6">
        <f t="shared" si="288"/>
        <v>302.02</v>
      </c>
      <c r="P904" s="6">
        <f t="shared" si="289"/>
        <v>164.15085225398195</v>
      </c>
      <c r="Q904" s="6">
        <f t="shared" si="290"/>
        <v>6.5878108132300213</v>
      </c>
      <c r="R904" s="6">
        <f t="shared" si="291"/>
        <v>121.93809749085608</v>
      </c>
      <c r="S904" s="6">
        <f t="shared" si="292"/>
        <v>292.67676055806805</v>
      </c>
      <c r="T904" s="6" t="str">
        <f>IF(MOD(C904-Settings!$B$32,Settings!$B$33)&lt;Settings!$B$30,"Up","Down")</f>
        <v>Up</v>
      </c>
      <c r="U904" s="6">
        <f>IF(OR(I904&gt;Settings!$B$30,O904&gt;Settings!$B$37),0,1)</f>
        <v>1</v>
      </c>
      <c r="V904" s="6">
        <f>IF(AND(U904=1,O904&lt;=Settings!$B$36),1,0)</f>
        <v>0</v>
      </c>
    </row>
    <row r="905" spans="1:22" x14ac:dyDescent="0.2">
      <c r="A905">
        <f>Arrivals!A905</f>
        <v>8</v>
      </c>
      <c r="B905">
        <f>Arrivals!B905</f>
        <v>60</v>
      </c>
      <c r="C905" s="6">
        <f>Arrivals!F905</f>
        <v>429</v>
      </c>
      <c r="D905" s="6">
        <f>Arrivals!J905</f>
        <v>10.142801300146344</v>
      </c>
      <c r="E905" s="6">
        <f t="shared" si="293"/>
        <v>591.4740916959139</v>
      </c>
      <c r="F905" s="6">
        <f t="shared" si="284"/>
        <v>591.4740916959139</v>
      </c>
      <c r="G905" s="6">
        <f t="shared" si="285"/>
        <v>601.61689299606019</v>
      </c>
      <c r="H905" s="6">
        <f>Arrivals!L905</f>
        <v>75</v>
      </c>
      <c r="I905" s="6">
        <f>H905*8/ACE_Input!S65+ACE_Input!T65</f>
        <v>6.02</v>
      </c>
      <c r="J905" s="6">
        <f t="shared" si="294"/>
        <v>726.02</v>
      </c>
      <c r="K905" s="6">
        <f t="shared" si="286"/>
        <v>726.02</v>
      </c>
      <c r="L905" s="6">
        <f>MOD(K905-Settings!$B$32,Settings!$B$33)</f>
        <v>6.0199999999999818</v>
      </c>
      <c r="M905" s="6">
        <f>IF(L905&lt;Settings!$B$30,IF(Settings!$B$30-L905&gt;=I905,K905,K905+(Settings!$B$30-L905)+Settings!$B$31),K905+(Settings!$B$33-L905))</f>
        <v>726.02</v>
      </c>
      <c r="N905" s="6">
        <f t="shared" si="287"/>
        <v>732.04</v>
      </c>
      <c r="O905" s="6">
        <f t="shared" si="288"/>
        <v>303.03999999999996</v>
      </c>
      <c r="P905" s="6">
        <f t="shared" si="289"/>
        <v>162.4740916959139</v>
      </c>
      <c r="Q905" s="6">
        <f t="shared" si="290"/>
        <v>124.40310700393979</v>
      </c>
      <c r="R905" s="6">
        <f t="shared" si="291"/>
        <v>0</v>
      </c>
      <c r="S905" s="6">
        <f t="shared" si="292"/>
        <v>286.87719869985369</v>
      </c>
      <c r="T905" s="6" t="str">
        <f>IF(MOD(C905-Settings!$B$32,Settings!$B$33)&lt;Settings!$B$30,"Up","Down")</f>
        <v>Up</v>
      </c>
      <c r="U905" s="6">
        <f>IF(OR(I905&gt;Settings!$B$30,O905&gt;Settings!$B$37),0,1)</f>
        <v>1</v>
      </c>
      <c r="V905" s="6">
        <f>IF(AND(U905=1,O905&lt;=Settings!$B$36),1,0)</f>
        <v>0</v>
      </c>
    </row>
    <row r="906" spans="1:22" x14ac:dyDescent="0.2">
      <c r="A906">
        <f>Arrivals!A906</f>
        <v>8</v>
      </c>
      <c r="B906">
        <f>Arrivals!B906</f>
        <v>61</v>
      </c>
      <c r="C906" s="6">
        <f>Arrivals!F906</f>
        <v>434</v>
      </c>
      <c r="D906" s="6">
        <f>Arrivals!J906</f>
        <v>1.4610297920993045</v>
      </c>
      <c r="E906" s="6">
        <f t="shared" si="293"/>
        <v>601.61689299606019</v>
      </c>
      <c r="F906" s="6">
        <f t="shared" si="284"/>
        <v>601.61689299606019</v>
      </c>
      <c r="G906" s="6">
        <f t="shared" si="285"/>
        <v>603.07792278815953</v>
      </c>
      <c r="H906" s="6">
        <f>Arrivals!L906</f>
        <v>75</v>
      </c>
      <c r="I906" s="6">
        <f>H906*8/ACE_Input!S66+ACE_Input!T66</f>
        <v>6.02</v>
      </c>
      <c r="J906" s="6">
        <f t="shared" si="294"/>
        <v>732.04</v>
      </c>
      <c r="K906" s="6">
        <f t="shared" si="286"/>
        <v>732.04</v>
      </c>
      <c r="L906" s="6">
        <f>MOD(K906-Settings!$B$32,Settings!$B$33)</f>
        <v>12.039999999999964</v>
      </c>
      <c r="M906" s="6">
        <f>IF(L906&lt;Settings!$B$30,IF(Settings!$B$30-L906&gt;=I906,K906,K906+(Settings!$B$30-L906)+Settings!$B$31),K906+(Settings!$B$33-L906))</f>
        <v>732.04</v>
      </c>
      <c r="N906" s="6">
        <f t="shared" si="287"/>
        <v>738.06</v>
      </c>
      <c r="O906" s="6">
        <f t="shared" si="288"/>
        <v>304.05999999999995</v>
      </c>
      <c r="P906" s="6">
        <f t="shared" si="289"/>
        <v>167.61689299606019</v>
      </c>
      <c r="Q906" s="6">
        <f t="shared" si="290"/>
        <v>128.96207721184044</v>
      </c>
      <c r="R906" s="6">
        <f t="shared" si="291"/>
        <v>0</v>
      </c>
      <c r="S906" s="6">
        <f t="shared" si="292"/>
        <v>296.57897020790062</v>
      </c>
      <c r="T906" s="6" t="str">
        <f>IF(MOD(C906-Settings!$B$32,Settings!$B$33)&lt;Settings!$B$30,"Up","Down")</f>
        <v>Up</v>
      </c>
      <c r="U906" s="6">
        <f>IF(OR(I906&gt;Settings!$B$30,O906&gt;Settings!$B$37),0,1)</f>
        <v>1</v>
      </c>
      <c r="V906" s="6">
        <f>IF(AND(U906=1,O906&lt;=Settings!$B$36),1,0)</f>
        <v>0</v>
      </c>
    </row>
    <row r="907" spans="1:22" x14ac:dyDescent="0.2">
      <c r="A907">
        <f>Arrivals!A907</f>
        <v>8</v>
      </c>
      <c r="B907">
        <f>Arrivals!B907</f>
        <v>62</v>
      </c>
      <c r="C907" s="6">
        <f>Arrivals!F907</f>
        <v>439</v>
      </c>
      <c r="D907" s="6">
        <f>Arrivals!J907</f>
        <v>11.888184540072842</v>
      </c>
      <c r="E907" s="6">
        <f t="shared" si="293"/>
        <v>603.07792278815953</v>
      </c>
      <c r="F907" s="6">
        <f t="shared" si="284"/>
        <v>603.07792278815953</v>
      </c>
      <c r="G907" s="6">
        <f t="shared" si="285"/>
        <v>614.9661073282324</v>
      </c>
      <c r="H907" s="6">
        <f>Arrivals!L907</f>
        <v>75</v>
      </c>
      <c r="I907" s="6">
        <f>H907*8/ACE_Input!S67+ACE_Input!T67</f>
        <v>6.02</v>
      </c>
      <c r="J907" s="6">
        <f t="shared" si="294"/>
        <v>738.06</v>
      </c>
      <c r="K907" s="6">
        <f t="shared" si="286"/>
        <v>738.06</v>
      </c>
      <c r="L907" s="6">
        <f>MOD(K907-Settings!$B$32,Settings!$B$33)</f>
        <v>18.059999999999945</v>
      </c>
      <c r="M907" s="6">
        <f>IF(L907&lt;Settings!$B$30,IF(Settings!$B$30-L907&gt;=I907,K907,K907+(Settings!$B$30-L907)+Settings!$B$31),K907+(Settings!$B$33-L907))</f>
        <v>738.06</v>
      </c>
      <c r="N907" s="6">
        <f t="shared" si="287"/>
        <v>744.07999999999993</v>
      </c>
      <c r="O907" s="6">
        <f t="shared" si="288"/>
        <v>305.07999999999993</v>
      </c>
      <c r="P907" s="6">
        <f t="shared" si="289"/>
        <v>164.07792278815953</v>
      </c>
      <c r="Q907" s="6">
        <f t="shared" si="290"/>
        <v>123.09389267176755</v>
      </c>
      <c r="R907" s="6">
        <f t="shared" si="291"/>
        <v>0</v>
      </c>
      <c r="S907" s="6">
        <f t="shared" si="292"/>
        <v>287.17181545992707</v>
      </c>
      <c r="T907" s="6" t="str">
        <f>IF(MOD(C907-Settings!$B$32,Settings!$B$33)&lt;Settings!$B$30,"Up","Down")</f>
        <v>Up</v>
      </c>
      <c r="U907" s="6">
        <f>IF(OR(I907&gt;Settings!$B$30,O907&gt;Settings!$B$37),0,1)</f>
        <v>1</v>
      </c>
      <c r="V907" s="6">
        <f>IF(AND(U907=1,O907&lt;=Settings!$B$36),1,0)</f>
        <v>0</v>
      </c>
    </row>
    <row r="908" spans="1:22" x14ac:dyDescent="0.2">
      <c r="A908">
        <f>Arrivals!A908</f>
        <v>8</v>
      </c>
      <c r="B908">
        <f>Arrivals!B908</f>
        <v>63</v>
      </c>
      <c r="C908" s="6">
        <f>Arrivals!F908</f>
        <v>444</v>
      </c>
      <c r="D908" s="6">
        <f>Arrivals!J908</f>
        <v>2.2147759942294973</v>
      </c>
      <c r="E908" s="6">
        <f t="shared" si="293"/>
        <v>614.9661073282324</v>
      </c>
      <c r="F908" s="6">
        <f t="shared" si="284"/>
        <v>614.9661073282324</v>
      </c>
      <c r="G908" s="6">
        <f t="shared" si="285"/>
        <v>617.18088332246191</v>
      </c>
      <c r="H908" s="6">
        <f>Arrivals!L908</f>
        <v>75</v>
      </c>
      <c r="I908" s="6">
        <f>H908*8/ACE_Input!S68+ACE_Input!T68</f>
        <v>6.02</v>
      </c>
      <c r="J908" s="6">
        <f t="shared" si="294"/>
        <v>744.07999999999993</v>
      </c>
      <c r="K908" s="6">
        <f t="shared" si="286"/>
        <v>744.07999999999993</v>
      </c>
      <c r="L908" s="6">
        <f>MOD(K908-Settings!$B$32,Settings!$B$33)</f>
        <v>24.079999999999927</v>
      </c>
      <c r="M908" s="6">
        <f>IF(L908&lt;Settings!$B$30,IF(Settings!$B$30-L908&gt;=I908,K908,K908+(Settings!$B$30-L908)+Settings!$B$31),K908+(Settings!$B$33-L908))</f>
        <v>744.07999999999993</v>
      </c>
      <c r="N908" s="6">
        <f t="shared" si="287"/>
        <v>750.09999999999991</v>
      </c>
      <c r="O908" s="6">
        <f t="shared" si="288"/>
        <v>306.09999999999991</v>
      </c>
      <c r="P908" s="6">
        <f t="shared" si="289"/>
        <v>170.9661073282324</v>
      </c>
      <c r="Q908" s="6">
        <f t="shared" si="290"/>
        <v>126.89911667753802</v>
      </c>
      <c r="R908" s="6">
        <f t="shared" si="291"/>
        <v>0</v>
      </c>
      <c r="S908" s="6">
        <f t="shared" si="292"/>
        <v>297.86522400577041</v>
      </c>
      <c r="T908" s="6" t="str">
        <f>IF(MOD(C908-Settings!$B$32,Settings!$B$33)&lt;Settings!$B$30,"Up","Down")</f>
        <v>Up</v>
      </c>
      <c r="U908" s="6">
        <f>IF(OR(I908&gt;Settings!$B$30,O908&gt;Settings!$B$37),0,1)</f>
        <v>1</v>
      </c>
      <c r="V908" s="6">
        <f>IF(AND(U908=1,O908&lt;=Settings!$B$36),1,0)</f>
        <v>0</v>
      </c>
    </row>
    <row r="909" spans="1:22" x14ac:dyDescent="0.2">
      <c r="A909">
        <f>Arrivals!A909</f>
        <v>8</v>
      </c>
      <c r="B909">
        <f>Arrivals!B909</f>
        <v>64</v>
      </c>
      <c r="C909" s="6">
        <f>Arrivals!F909</f>
        <v>449</v>
      </c>
      <c r="D909" s="6">
        <f>Arrivals!J909</f>
        <v>9.5308375586563869</v>
      </c>
      <c r="E909" s="6">
        <f t="shared" si="293"/>
        <v>617.18088332246191</v>
      </c>
      <c r="F909" s="6">
        <f t="shared" si="284"/>
        <v>617.18088332246191</v>
      </c>
      <c r="G909" s="6">
        <f t="shared" si="285"/>
        <v>626.71172088111825</v>
      </c>
      <c r="H909" s="6">
        <f>Arrivals!L909</f>
        <v>75</v>
      </c>
      <c r="I909" s="6">
        <f>H909*8/ACE_Input!S69+ACE_Input!T69</f>
        <v>6.02</v>
      </c>
      <c r="J909" s="6">
        <f t="shared" si="294"/>
        <v>750.09999999999991</v>
      </c>
      <c r="K909" s="6">
        <f t="shared" si="286"/>
        <v>750.09999999999991</v>
      </c>
      <c r="L909" s="6">
        <f>MOD(K909-Settings!$B$32,Settings!$B$33)</f>
        <v>30.099999999999909</v>
      </c>
      <c r="M909" s="6">
        <f>IF(L909&lt;Settings!$B$30,IF(Settings!$B$30-L909&gt;=I909,K909,K909+(Settings!$B$30-L909)+Settings!$B$31),K909+(Settings!$B$33-L909))</f>
        <v>750.09999999999991</v>
      </c>
      <c r="N909" s="6">
        <f t="shared" si="287"/>
        <v>756.11999999999989</v>
      </c>
      <c r="O909" s="6">
        <f t="shared" si="288"/>
        <v>307.11999999999989</v>
      </c>
      <c r="P909" s="6">
        <f t="shared" si="289"/>
        <v>168.18088332246191</v>
      </c>
      <c r="Q909" s="6">
        <f t="shared" si="290"/>
        <v>123.38827911888166</v>
      </c>
      <c r="R909" s="6">
        <f t="shared" si="291"/>
        <v>0</v>
      </c>
      <c r="S909" s="6">
        <f t="shared" si="292"/>
        <v>291.56916244134356</v>
      </c>
      <c r="T909" s="6" t="str">
        <f>IF(MOD(C909-Settings!$B$32,Settings!$B$33)&lt;Settings!$B$30,"Up","Down")</f>
        <v>Up</v>
      </c>
      <c r="U909" s="6">
        <f>IF(OR(I909&gt;Settings!$B$30,O909&gt;Settings!$B$37),0,1)</f>
        <v>1</v>
      </c>
      <c r="V909" s="6">
        <f>IF(AND(U909=1,O909&lt;=Settings!$B$36),1,0)</f>
        <v>0</v>
      </c>
    </row>
    <row r="910" spans="1:22" x14ac:dyDescent="0.2">
      <c r="A910">
        <f>Arrivals!A910</f>
        <v>8</v>
      </c>
      <c r="B910">
        <f>Arrivals!B910</f>
        <v>65</v>
      </c>
      <c r="C910" s="6">
        <f>Arrivals!F910</f>
        <v>454</v>
      </c>
      <c r="D910" s="6">
        <f>Arrivals!J910</f>
        <v>7.776638798042339</v>
      </c>
      <c r="E910" s="6">
        <f t="shared" si="293"/>
        <v>626.71172088111825</v>
      </c>
      <c r="F910" s="6">
        <f t="shared" ref="F910:F941" si="295">MAX(C910,E910)</f>
        <v>626.71172088111825</v>
      </c>
      <c r="G910" s="6">
        <f t="shared" ref="G910:G941" si="296">F910+D910</f>
        <v>634.48835967916057</v>
      </c>
      <c r="H910" s="6">
        <f>Arrivals!L910</f>
        <v>75</v>
      </c>
      <c r="I910" s="6">
        <f>H910*8/ACE_Input!S70+ACE_Input!T70</f>
        <v>6.02</v>
      </c>
      <c r="J910" s="6">
        <f t="shared" si="294"/>
        <v>756.11999999999989</v>
      </c>
      <c r="K910" s="6">
        <f t="shared" ref="K910:K941" si="297">MAX(G910,J910)</f>
        <v>756.11999999999989</v>
      </c>
      <c r="L910" s="6">
        <f>MOD(K910-Settings!$B$32,Settings!$B$33)</f>
        <v>36.119999999999891</v>
      </c>
      <c r="M910" s="6">
        <f>IF(L910&lt;Settings!$B$30,IF(Settings!$B$30-L910&gt;=I910,K910,K910+(Settings!$B$30-L910)+Settings!$B$31),K910+(Settings!$B$33-L910))</f>
        <v>756.11999999999989</v>
      </c>
      <c r="N910" s="6">
        <f t="shared" ref="N910:N941" si="298">M910+I910</f>
        <v>762.13999999999987</v>
      </c>
      <c r="O910" s="6">
        <f t="shared" ref="O910:O941" si="299">N910-C910</f>
        <v>308.13999999999987</v>
      </c>
      <c r="P910" s="6">
        <f t="shared" ref="P910:P945" si="300">F910-C910</f>
        <v>172.71172088111825</v>
      </c>
      <c r="Q910" s="6">
        <f t="shared" ref="Q910:Q945" si="301">K910-G910</f>
        <v>121.63164032083932</v>
      </c>
      <c r="R910" s="6">
        <f t="shared" ref="R910:R945" si="302">M910-K910</f>
        <v>0</v>
      </c>
      <c r="S910" s="6">
        <f t="shared" ref="S910:S941" si="303">P910+Q910+R910</f>
        <v>294.34336120195758</v>
      </c>
      <c r="T910" s="6" t="str">
        <f>IF(MOD(C910-Settings!$B$32,Settings!$B$33)&lt;Settings!$B$30,"Up","Down")</f>
        <v>Up</v>
      </c>
      <c r="U910" s="6">
        <f>IF(OR(I910&gt;Settings!$B$30,O910&gt;Settings!$B$37),0,1)</f>
        <v>1</v>
      </c>
      <c r="V910" s="6">
        <f>IF(AND(U910=1,O910&lt;=Settings!$B$36),1,0)</f>
        <v>0</v>
      </c>
    </row>
    <row r="911" spans="1:22" x14ac:dyDescent="0.2">
      <c r="A911">
        <f>Arrivals!A911</f>
        <v>8</v>
      </c>
      <c r="B911">
        <f>Arrivals!B911</f>
        <v>66</v>
      </c>
      <c r="C911" s="6">
        <f>Arrivals!F911</f>
        <v>459</v>
      </c>
      <c r="D911" s="6">
        <f>Arrivals!J911</f>
        <v>25.345082556771231</v>
      </c>
      <c r="E911" s="6">
        <f t="shared" ref="E911:E945" si="304">G910</f>
        <v>634.48835967916057</v>
      </c>
      <c r="F911" s="6">
        <f t="shared" si="295"/>
        <v>634.48835967916057</v>
      </c>
      <c r="G911" s="6">
        <f t="shared" si="296"/>
        <v>659.83344223593178</v>
      </c>
      <c r="H911" s="6">
        <f>Arrivals!L911</f>
        <v>75</v>
      </c>
      <c r="I911" s="6">
        <f>H911*8/ACE_Input!S71+ACE_Input!T71</f>
        <v>6.02</v>
      </c>
      <c r="J911" s="6">
        <f t="shared" ref="J911:J945" si="305">N910</f>
        <v>762.13999999999987</v>
      </c>
      <c r="K911" s="6">
        <f t="shared" si="297"/>
        <v>762.13999999999987</v>
      </c>
      <c r="L911" s="6">
        <f>MOD(K911-Settings!$B$32,Settings!$B$33)</f>
        <v>42.139999999999873</v>
      </c>
      <c r="M911" s="6">
        <f>IF(L911&lt;Settings!$B$30,IF(Settings!$B$30-L911&gt;=I911,K911,K911+(Settings!$B$30-L911)+Settings!$B$31),K911+(Settings!$B$33-L911))</f>
        <v>762.13999999999987</v>
      </c>
      <c r="N911" s="6">
        <f t="shared" si="298"/>
        <v>768.15999999999985</v>
      </c>
      <c r="O911" s="6">
        <f t="shared" si="299"/>
        <v>309.15999999999985</v>
      </c>
      <c r="P911" s="6">
        <f t="shared" si="300"/>
        <v>175.48835967916057</v>
      </c>
      <c r="Q911" s="6">
        <f t="shared" si="301"/>
        <v>102.30655776406809</v>
      </c>
      <c r="R911" s="6">
        <f t="shared" si="302"/>
        <v>0</v>
      </c>
      <c r="S911" s="6">
        <f t="shared" si="303"/>
        <v>277.79491744322866</v>
      </c>
      <c r="T911" s="6" t="str">
        <f>IF(MOD(C911-Settings!$B$32,Settings!$B$33)&lt;Settings!$B$30,"Up","Down")</f>
        <v>Up</v>
      </c>
      <c r="U911" s="6">
        <f>IF(OR(I911&gt;Settings!$B$30,O911&gt;Settings!$B$37),0,1)</f>
        <v>1</v>
      </c>
      <c r="V911" s="6">
        <f>IF(AND(U911=1,O911&lt;=Settings!$B$36),1,0)</f>
        <v>0</v>
      </c>
    </row>
    <row r="912" spans="1:22" x14ac:dyDescent="0.2">
      <c r="A912">
        <f>Arrivals!A912</f>
        <v>8</v>
      </c>
      <c r="B912">
        <f>Arrivals!B912</f>
        <v>67</v>
      </c>
      <c r="C912" s="6">
        <f>Arrivals!F912</f>
        <v>474</v>
      </c>
      <c r="D912" s="6">
        <f>Arrivals!J912</f>
        <v>11.242984475043734</v>
      </c>
      <c r="E912" s="6">
        <f t="shared" si="304"/>
        <v>659.83344223593178</v>
      </c>
      <c r="F912" s="6">
        <f t="shared" si="295"/>
        <v>659.83344223593178</v>
      </c>
      <c r="G912" s="6">
        <f t="shared" si="296"/>
        <v>671.07642671097551</v>
      </c>
      <c r="H912" s="6">
        <f>Arrivals!L912</f>
        <v>75</v>
      </c>
      <c r="I912" s="6">
        <f>H912*8/ACE_Input!S72+ACE_Input!T72</f>
        <v>6.02</v>
      </c>
      <c r="J912" s="6">
        <f t="shared" si="305"/>
        <v>768.15999999999985</v>
      </c>
      <c r="K912" s="6">
        <f t="shared" si="297"/>
        <v>768.15999999999985</v>
      </c>
      <c r="L912" s="6">
        <f>MOD(K912-Settings!$B$32,Settings!$B$33)</f>
        <v>48.159999999999854</v>
      </c>
      <c r="M912" s="6">
        <f>IF(L912&lt;Settings!$B$30,IF(Settings!$B$30-L912&gt;=I912,K912,K912+(Settings!$B$30-L912)+Settings!$B$31),K912+(Settings!$B$33-L912))</f>
        <v>768.15999999999985</v>
      </c>
      <c r="N912" s="6">
        <f t="shared" si="298"/>
        <v>774.17999999999984</v>
      </c>
      <c r="O912" s="6">
        <f t="shared" si="299"/>
        <v>300.17999999999984</v>
      </c>
      <c r="P912" s="6">
        <f t="shared" si="300"/>
        <v>185.83344223593178</v>
      </c>
      <c r="Q912" s="6">
        <f t="shared" si="301"/>
        <v>97.083573289024343</v>
      </c>
      <c r="R912" s="6">
        <f t="shared" si="302"/>
        <v>0</v>
      </c>
      <c r="S912" s="6">
        <f t="shared" si="303"/>
        <v>282.91701552495613</v>
      </c>
      <c r="T912" s="6" t="str">
        <f>IF(MOD(C912-Settings!$B$32,Settings!$B$33)&lt;Settings!$B$30,"Up","Down")</f>
        <v>Up</v>
      </c>
      <c r="U912" s="6">
        <f>IF(OR(I912&gt;Settings!$B$30,O912&gt;Settings!$B$37),0,1)</f>
        <v>1</v>
      </c>
      <c r="V912" s="6">
        <f>IF(AND(U912=1,O912&lt;=Settings!$B$36),1,0)</f>
        <v>0</v>
      </c>
    </row>
    <row r="913" spans="1:22" x14ac:dyDescent="0.2">
      <c r="A913">
        <f>Arrivals!A913</f>
        <v>8</v>
      </c>
      <c r="B913">
        <f>Arrivals!B913</f>
        <v>68</v>
      </c>
      <c r="C913" s="6">
        <f>Arrivals!F913</f>
        <v>479</v>
      </c>
      <c r="D913" s="6">
        <f>Arrivals!J913</f>
        <v>6.8566392292716101</v>
      </c>
      <c r="E913" s="6">
        <f t="shared" si="304"/>
        <v>671.07642671097551</v>
      </c>
      <c r="F913" s="6">
        <f t="shared" si="295"/>
        <v>671.07642671097551</v>
      </c>
      <c r="G913" s="6">
        <f t="shared" si="296"/>
        <v>677.93306594024716</v>
      </c>
      <c r="H913" s="6">
        <f>Arrivals!L913</f>
        <v>75</v>
      </c>
      <c r="I913" s="6">
        <f>H913*8/ACE_Input!S73+ACE_Input!T73</f>
        <v>6.02</v>
      </c>
      <c r="J913" s="6">
        <f t="shared" si="305"/>
        <v>774.17999999999984</v>
      </c>
      <c r="K913" s="6">
        <f t="shared" si="297"/>
        <v>774.17999999999984</v>
      </c>
      <c r="L913" s="6">
        <f>MOD(K913-Settings!$B$32,Settings!$B$33)</f>
        <v>54.179999999999836</v>
      </c>
      <c r="M913" s="6">
        <f>IF(L913&lt;Settings!$B$30,IF(Settings!$B$30-L913&gt;=I913,K913,K913+(Settings!$B$30-L913)+Settings!$B$31),K913+(Settings!$B$33-L913))</f>
        <v>774.17999999999984</v>
      </c>
      <c r="N913" s="6">
        <f t="shared" si="298"/>
        <v>780.19999999999982</v>
      </c>
      <c r="O913" s="6">
        <f t="shared" si="299"/>
        <v>301.19999999999982</v>
      </c>
      <c r="P913" s="6">
        <f t="shared" si="300"/>
        <v>192.07642671097551</v>
      </c>
      <c r="Q913" s="6">
        <f t="shared" si="301"/>
        <v>96.246934059752675</v>
      </c>
      <c r="R913" s="6">
        <f t="shared" si="302"/>
        <v>0</v>
      </c>
      <c r="S913" s="6">
        <f t="shared" si="303"/>
        <v>288.32336077072819</v>
      </c>
      <c r="T913" s="6" t="str">
        <f>IF(MOD(C913-Settings!$B$32,Settings!$B$33)&lt;Settings!$B$30,"Up","Down")</f>
        <v>Up</v>
      </c>
      <c r="U913" s="6">
        <f>IF(OR(I913&gt;Settings!$B$30,O913&gt;Settings!$B$37),0,1)</f>
        <v>1</v>
      </c>
      <c r="V913" s="6">
        <f>IF(AND(U913=1,O913&lt;=Settings!$B$36),1,0)</f>
        <v>0</v>
      </c>
    </row>
    <row r="914" spans="1:22" x14ac:dyDescent="0.2">
      <c r="A914">
        <f>Arrivals!A914</f>
        <v>8</v>
      </c>
      <c r="B914">
        <f>Arrivals!B914</f>
        <v>69</v>
      </c>
      <c r="C914" s="6">
        <f>Arrivals!F914</f>
        <v>494</v>
      </c>
      <c r="D914" s="6">
        <f>Arrivals!J914</f>
        <v>5.8175727321437769</v>
      </c>
      <c r="E914" s="6">
        <f t="shared" si="304"/>
        <v>677.93306594024716</v>
      </c>
      <c r="F914" s="6">
        <f t="shared" si="295"/>
        <v>677.93306594024716</v>
      </c>
      <c r="G914" s="6">
        <f t="shared" si="296"/>
        <v>683.75063867239089</v>
      </c>
      <c r="H914" s="6">
        <f>Arrivals!L914</f>
        <v>75</v>
      </c>
      <c r="I914" s="6">
        <f>H914*8/ACE_Input!S74+ACE_Input!T74</f>
        <v>6.02</v>
      </c>
      <c r="J914" s="6">
        <f t="shared" si="305"/>
        <v>780.19999999999982</v>
      </c>
      <c r="K914" s="6">
        <f t="shared" si="297"/>
        <v>780.19999999999982</v>
      </c>
      <c r="L914" s="6">
        <f>MOD(K914-Settings!$B$32,Settings!$B$33)</f>
        <v>60.199999999999818</v>
      </c>
      <c r="M914" s="6">
        <f>IF(L914&lt;Settings!$B$30,IF(Settings!$B$30-L914&gt;=I914,K914,K914+(Settings!$B$30-L914)+Settings!$B$31),K914+(Settings!$B$33-L914))</f>
        <v>780.19999999999982</v>
      </c>
      <c r="N914" s="6">
        <f t="shared" si="298"/>
        <v>786.2199999999998</v>
      </c>
      <c r="O914" s="6">
        <f t="shared" si="299"/>
        <v>292.2199999999998</v>
      </c>
      <c r="P914" s="6">
        <f t="shared" si="300"/>
        <v>183.93306594024716</v>
      </c>
      <c r="Q914" s="6">
        <f t="shared" si="301"/>
        <v>96.449361327608926</v>
      </c>
      <c r="R914" s="6">
        <f t="shared" si="302"/>
        <v>0</v>
      </c>
      <c r="S914" s="6">
        <f t="shared" si="303"/>
        <v>280.38242726785609</v>
      </c>
      <c r="T914" s="6" t="str">
        <f>IF(MOD(C914-Settings!$B$32,Settings!$B$33)&lt;Settings!$B$30,"Up","Down")</f>
        <v>Up</v>
      </c>
      <c r="U914" s="6">
        <f>IF(OR(I914&gt;Settings!$B$30,O914&gt;Settings!$B$37),0,1)</f>
        <v>1</v>
      </c>
      <c r="V914" s="6">
        <f>IF(AND(U914=1,O914&lt;=Settings!$B$36),1,0)</f>
        <v>0</v>
      </c>
    </row>
    <row r="915" spans="1:22" x14ac:dyDescent="0.2">
      <c r="A915">
        <f>Arrivals!A915</f>
        <v>8</v>
      </c>
      <c r="B915">
        <f>Arrivals!B915</f>
        <v>70</v>
      </c>
      <c r="C915" s="6">
        <f>Arrivals!F915</f>
        <v>499</v>
      </c>
      <c r="D915" s="6">
        <f>Arrivals!J915</f>
        <v>25.837954815115737</v>
      </c>
      <c r="E915" s="6">
        <f t="shared" si="304"/>
        <v>683.75063867239089</v>
      </c>
      <c r="F915" s="6">
        <f t="shared" si="295"/>
        <v>683.75063867239089</v>
      </c>
      <c r="G915" s="6">
        <f t="shared" si="296"/>
        <v>709.58859348750661</v>
      </c>
      <c r="H915" s="6">
        <f>Arrivals!L915</f>
        <v>75</v>
      </c>
      <c r="I915" s="6">
        <f>H915*8/ACE_Input!S75+ACE_Input!T75</f>
        <v>6.02</v>
      </c>
      <c r="J915" s="6">
        <f t="shared" si="305"/>
        <v>786.2199999999998</v>
      </c>
      <c r="K915" s="6">
        <f t="shared" si="297"/>
        <v>786.2199999999998</v>
      </c>
      <c r="L915" s="6">
        <f>MOD(K915-Settings!$B$32,Settings!$B$33)</f>
        <v>66.2199999999998</v>
      </c>
      <c r="M915" s="6">
        <f>IF(L915&lt;Settings!$B$30,IF(Settings!$B$30-L915&gt;=I915,K915,K915+(Settings!$B$30-L915)+Settings!$B$31),K915+(Settings!$B$33-L915))</f>
        <v>786.2199999999998</v>
      </c>
      <c r="N915" s="6">
        <f t="shared" si="298"/>
        <v>792.23999999999978</v>
      </c>
      <c r="O915" s="6">
        <f t="shared" si="299"/>
        <v>293.23999999999978</v>
      </c>
      <c r="P915" s="6">
        <f t="shared" si="300"/>
        <v>184.75063867239089</v>
      </c>
      <c r="Q915" s="6">
        <f t="shared" si="301"/>
        <v>76.631406512493186</v>
      </c>
      <c r="R915" s="6">
        <f t="shared" si="302"/>
        <v>0</v>
      </c>
      <c r="S915" s="6">
        <f t="shared" si="303"/>
        <v>261.38204518488408</v>
      </c>
      <c r="T915" s="6" t="str">
        <f>IF(MOD(C915-Settings!$B$32,Settings!$B$33)&lt;Settings!$B$30,"Up","Down")</f>
        <v>Up</v>
      </c>
      <c r="U915" s="6">
        <f>IF(OR(I915&gt;Settings!$B$30,O915&gt;Settings!$B$37),0,1)</f>
        <v>1</v>
      </c>
      <c r="V915" s="6">
        <f>IF(AND(U915=1,O915&lt;=Settings!$B$36),1,0)</f>
        <v>0</v>
      </c>
    </row>
    <row r="916" spans="1:22" x14ac:dyDescent="0.2">
      <c r="A916">
        <f>Arrivals!A916</f>
        <v>8</v>
      </c>
      <c r="B916">
        <f>Arrivals!B916</f>
        <v>71</v>
      </c>
      <c r="C916" s="6">
        <f>Arrivals!F916</f>
        <v>504</v>
      </c>
      <c r="D916" s="6">
        <f>Arrivals!J916</f>
        <v>6.8118324390117468</v>
      </c>
      <c r="E916" s="6">
        <f t="shared" si="304"/>
        <v>709.58859348750661</v>
      </c>
      <c r="F916" s="6">
        <f t="shared" si="295"/>
        <v>709.58859348750661</v>
      </c>
      <c r="G916" s="6">
        <f t="shared" si="296"/>
        <v>716.40042592651832</v>
      </c>
      <c r="H916" s="6">
        <f>Arrivals!L916</f>
        <v>75</v>
      </c>
      <c r="I916" s="6">
        <f>H916*8/ACE_Input!S76+ACE_Input!T76</f>
        <v>6.02</v>
      </c>
      <c r="J916" s="6">
        <f t="shared" si="305"/>
        <v>792.23999999999978</v>
      </c>
      <c r="K916" s="6">
        <f t="shared" si="297"/>
        <v>792.23999999999978</v>
      </c>
      <c r="L916" s="6">
        <f>MOD(K916-Settings!$B$32,Settings!$B$33)</f>
        <v>72.239999999999782</v>
      </c>
      <c r="M916" s="6">
        <f>IF(L916&lt;Settings!$B$30,IF(Settings!$B$30-L916&gt;=I916,K916,K916+(Settings!$B$30-L916)+Settings!$B$31),K916+(Settings!$B$33-L916))</f>
        <v>792.23999999999978</v>
      </c>
      <c r="N916" s="6">
        <f t="shared" si="298"/>
        <v>798.25999999999976</v>
      </c>
      <c r="O916" s="6">
        <f t="shared" si="299"/>
        <v>294.25999999999976</v>
      </c>
      <c r="P916" s="6">
        <f t="shared" si="300"/>
        <v>205.58859348750661</v>
      </c>
      <c r="Q916" s="6">
        <f t="shared" si="301"/>
        <v>75.839574073481458</v>
      </c>
      <c r="R916" s="6">
        <f t="shared" si="302"/>
        <v>0</v>
      </c>
      <c r="S916" s="6">
        <f t="shared" si="303"/>
        <v>281.42816756098807</v>
      </c>
      <c r="T916" s="6" t="str">
        <f>IF(MOD(C916-Settings!$B$32,Settings!$B$33)&lt;Settings!$B$30,"Up","Down")</f>
        <v>Up</v>
      </c>
      <c r="U916" s="6">
        <f>IF(OR(I916&gt;Settings!$B$30,O916&gt;Settings!$B$37),0,1)</f>
        <v>1</v>
      </c>
      <c r="V916" s="6">
        <f>IF(AND(U916=1,O916&lt;=Settings!$B$36),1,0)</f>
        <v>0</v>
      </c>
    </row>
    <row r="917" spans="1:22" x14ac:dyDescent="0.2">
      <c r="A917">
        <f>Arrivals!A917</f>
        <v>8</v>
      </c>
      <c r="B917">
        <f>Arrivals!B917</f>
        <v>72</v>
      </c>
      <c r="C917" s="6">
        <f>Arrivals!F917</f>
        <v>509</v>
      </c>
      <c r="D917" s="6">
        <f>Arrivals!J917</f>
        <v>25.165708937469681</v>
      </c>
      <c r="E917" s="6">
        <f t="shared" si="304"/>
        <v>716.40042592651832</v>
      </c>
      <c r="F917" s="6">
        <f t="shared" si="295"/>
        <v>716.40042592651832</v>
      </c>
      <c r="G917" s="6">
        <f t="shared" si="296"/>
        <v>741.56613486398805</v>
      </c>
      <c r="H917" s="6">
        <f>Arrivals!L917</f>
        <v>75</v>
      </c>
      <c r="I917" s="6">
        <f>H917*8/ACE_Input!S77+ACE_Input!T77</f>
        <v>6.02</v>
      </c>
      <c r="J917" s="6">
        <f t="shared" si="305"/>
        <v>798.25999999999976</v>
      </c>
      <c r="K917" s="6">
        <f t="shared" si="297"/>
        <v>798.25999999999976</v>
      </c>
      <c r="L917" s="6">
        <f>MOD(K917-Settings!$B$32,Settings!$B$33)</f>
        <v>78.259999999999764</v>
      </c>
      <c r="M917" s="6">
        <f>IF(L917&lt;Settings!$B$30,IF(Settings!$B$30-L917&gt;=I917,K917,K917+(Settings!$B$30-L917)+Settings!$B$31),K917+(Settings!$B$33-L917))</f>
        <v>798.25999999999976</v>
      </c>
      <c r="N917" s="6">
        <f t="shared" si="298"/>
        <v>804.27999999999975</v>
      </c>
      <c r="O917" s="6">
        <f t="shared" si="299"/>
        <v>295.27999999999975</v>
      </c>
      <c r="P917" s="6">
        <f t="shared" si="300"/>
        <v>207.40042592651832</v>
      </c>
      <c r="Q917" s="6">
        <f t="shared" si="301"/>
        <v>56.693865136011709</v>
      </c>
      <c r="R917" s="6">
        <f t="shared" si="302"/>
        <v>0</v>
      </c>
      <c r="S917" s="6">
        <f t="shared" si="303"/>
        <v>264.09429106253003</v>
      </c>
      <c r="T917" s="6" t="str">
        <f>IF(MOD(C917-Settings!$B$32,Settings!$B$33)&lt;Settings!$B$30,"Up","Down")</f>
        <v>Up</v>
      </c>
      <c r="U917" s="6">
        <f>IF(OR(I917&gt;Settings!$B$30,O917&gt;Settings!$B$37),0,1)</f>
        <v>1</v>
      </c>
      <c r="V917" s="6">
        <f>IF(AND(U917=1,O917&lt;=Settings!$B$36),1,0)</f>
        <v>0</v>
      </c>
    </row>
    <row r="918" spans="1:22" x14ac:dyDescent="0.2">
      <c r="A918">
        <f>Arrivals!A918</f>
        <v>8</v>
      </c>
      <c r="B918">
        <f>Arrivals!B918</f>
        <v>73</v>
      </c>
      <c r="C918" s="6">
        <f>Arrivals!F918</f>
        <v>514</v>
      </c>
      <c r="D918" s="6">
        <f>Arrivals!J918</f>
        <v>50.49627147118548</v>
      </c>
      <c r="E918" s="6">
        <f t="shared" si="304"/>
        <v>741.56613486398805</v>
      </c>
      <c r="F918" s="6">
        <f t="shared" si="295"/>
        <v>741.56613486398805</v>
      </c>
      <c r="G918" s="6">
        <f t="shared" si="296"/>
        <v>792.06240633517359</v>
      </c>
      <c r="H918" s="6">
        <f>Arrivals!L918</f>
        <v>75</v>
      </c>
      <c r="I918" s="6">
        <f>H918*8/ACE_Input!S78+ACE_Input!T78</f>
        <v>6.02</v>
      </c>
      <c r="J918" s="6">
        <f t="shared" si="305"/>
        <v>804.27999999999975</v>
      </c>
      <c r="K918" s="6">
        <f t="shared" si="297"/>
        <v>804.27999999999975</v>
      </c>
      <c r="L918" s="6">
        <f>MOD(K918-Settings!$B$32,Settings!$B$33)</f>
        <v>84.279999999999745</v>
      </c>
      <c r="M918" s="6">
        <f>IF(L918&lt;Settings!$B$30,IF(Settings!$B$30-L918&gt;=I918,K918,K918+(Settings!$B$30-L918)+Settings!$B$31),K918+(Settings!$B$33-L918))</f>
        <v>804.27999999999975</v>
      </c>
      <c r="N918" s="6">
        <f t="shared" si="298"/>
        <v>810.29999999999973</v>
      </c>
      <c r="O918" s="6">
        <f t="shared" si="299"/>
        <v>296.29999999999973</v>
      </c>
      <c r="P918" s="6">
        <f t="shared" si="300"/>
        <v>227.56613486398805</v>
      </c>
      <c r="Q918" s="6">
        <f t="shared" si="301"/>
        <v>12.217593664826154</v>
      </c>
      <c r="R918" s="6">
        <f t="shared" si="302"/>
        <v>0</v>
      </c>
      <c r="S918" s="6">
        <f t="shared" si="303"/>
        <v>239.78372852881421</v>
      </c>
      <c r="T918" s="6" t="str">
        <f>IF(MOD(C918-Settings!$B$32,Settings!$B$33)&lt;Settings!$B$30,"Up","Down")</f>
        <v>Up</v>
      </c>
      <c r="U918" s="6">
        <f>IF(OR(I918&gt;Settings!$B$30,O918&gt;Settings!$B$37),0,1)</f>
        <v>1</v>
      </c>
      <c r="V918" s="6">
        <f>IF(AND(U918=1,O918&lt;=Settings!$B$36),1,0)</f>
        <v>0</v>
      </c>
    </row>
    <row r="919" spans="1:22" x14ac:dyDescent="0.2">
      <c r="A919">
        <f>Arrivals!A919</f>
        <v>8</v>
      </c>
      <c r="B919">
        <f>Arrivals!B919</f>
        <v>74</v>
      </c>
      <c r="C919" s="6">
        <f>Arrivals!F919</f>
        <v>519</v>
      </c>
      <c r="D919" s="6">
        <f>Arrivals!J919</f>
        <v>49.035253594478093</v>
      </c>
      <c r="E919" s="6">
        <f t="shared" si="304"/>
        <v>792.06240633517359</v>
      </c>
      <c r="F919" s="6">
        <f t="shared" si="295"/>
        <v>792.06240633517359</v>
      </c>
      <c r="G919" s="6">
        <f t="shared" si="296"/>
        <v>841.09765992965163</v>
      </c>
      <c r="H919" s="6">
        <f>Arrivals!L919</f>
        <v>75</v>
      </c>
      <c r="I919" s="6">
        <f>H919*8/ACE_Input!S79+ACE_Input!T79</f>
        <v>6.02</v>
      </c>
      <c r="J919" s="6">
        <f t="shared" si="305"/>
        <v>810.29999999999973</v>
      </c>
      <c r="K919" s="6">
        <f t="shared" si="297"/>
        <v>841.09765992965163</v>
      </c>
      <c r="L919" s="6">
        <f>MOD(K919-Settings!$B$32,Settings!$B$33)</f>
        <v>121.09765992965163</v>
      </c>
      <c r="M919" s="6">
        <f>IF(L919&lt;Settings!$B$30,IF(Settings!$B$30-L919&gt;=I919,K919,K919+(Settings!$B$30-L919)+Settings!$B$31),K919+(Settings!$B$33-L919))</f>
        <v>841.09765992965163</v>
      </c>
      <c r="N919" s="6">
        <f t="shared" si="298"/>
        <v>847.11765992965161</v>
      </c>
      <c r="O919" s="6">
        <f t="shared" si="299"/>
        <v>328.11765992965161</v>
      </c>
      <c r="P919" s="6">
        <f t="shared" si="300"/>
        <v>273.06240633517359</v>
      </c>
      <c r="Q919" s="6">
        <f t="shared" si="301"/>
        <v>0</v>
      </c>
      <c r="R919" s="6">
        <f t="shared" si="302"/>
        <v>0</v>
      </c>
      <c r="S919" s="6">
        <f t="shared" si="303"/>
        <v>273.06240633517359</v>
      </c>
      <c r="T919" s="6" t="str">
        <f>IF(MOD(C919-Settings!$B$32,Settings!$B$33)&lt;Settings!$B$30,"Up","Down")</f>
        <v>Up</v>
      </c>
      <c r="U919" s="6">
        <f>IF(OR(I919&gt;Settings!$B$30,O919&gt;Settings!$B$37),0,1)</f>
        <v>1</v>
      </c>
      <c r="V919" s="6">
        <f>IF(AND(U919=1,O919&lt;=Settings!$B$36),1,0)</f>
        <v>0</v>
      </c>
    </row>
    <row r="920" spans="1:22" x14ac:dyDescent="0.2">
      <c r="A920">
        <f>Arrivals!A920</f>
        <v>8</v>
      </c>
      <c r="B920">
        <f>Arrivals!B920</f>
        <v>75</v>
      </c>
      <c r="C920" s="6">
        <f>Arrivals!F920</f>
        <v>524</v>
      </c>
      <c r="D920" s="6">
        <f>Arrivals!J920</f>
        <v>11.381973040503469</v>
      </c>
      <c r="E920" s="6">
        <f t="shared" si="304"/>
        <v>841.09765992965163</v>
      </c>
      <c r="F920" s="6">
        <f t="shared" si="295"/>
        <v>841.09765992965163</v>
      </c>
      <c r="G920" s="6">
        <f t="shared" si="296"/>
        <v>852.47963297015508</v>
      </c>
      <c r="H920" s="6">
        <f>Arrivals!L920</f>
        <v>75</v>
      </c>
      <c r="I920" s="6">
        <f>H920*8/ACE_Input!S80+ACE_Input!T80</f>
        <v>6.02</v>
      </c>
      <c r="J920" s="6">
        <f t="shared" si="305"/>
        <v>847.11765992965161</v>
      </c>
      <c r="K920" s="6">
        <f t="shared" si="297"/>
        <v>852.47963297015508</v>
      </c>
      <c r="L920" s="6">
        <f>MOD(K920-Settings!$B$32,Settings!$B$33)</f>
        <v>132.47963297015508</v>
      </c>
      <c r="M920" s="6">
        <f>IF(L920&lt;Settings!$B$30,IF(Settings!$B$30-L920&gt;=I920,K920,K920+(Settings!$B$30-L920)+Settings!$B$31),K920+(Settings!$B$33-L920))</f>
        <v>852.47963297015508</v>
      </c>
      <c r="N920" s="6">
        <f t="shared" si="298"/>
        <v>858.49963297015506</v>
      </c>
      <c r="O920" s="6">
        <f t="shared" si="299"/>
        <v>334.49963297015506</v>
      </c>
      <c r="P920" s="6">
        <f t="shared" si="300"/>
        <v>317.09765992965163</v>
      </c>
      <c r="Q920" s="6">
        <f t="shared" si="301"/>
        <v>0</v>
      </c>
      <c r="R920" s="6">
        <f t="shared" si="302"/>
        <v>0</v>
      </c>
      <c r="S920" s="6">
        <f t="shared" si="303"/>
        <v>317.09765992965163</v>
      </c>
      <c r="T920" s="6" t="str">
        <f>IF(MOD(C920-Settings!$B$32,Settings!$B$33)&lt;Settings!$B$30,"Up","Down")</f>
        <v>Up</v>
      </c>
      <c r="U920" s="6">
        <f>IF(OR(I920&gt;Settings!$B$30,O920&gt;Settings!$B$37),0,1)</f>
        <v>1</v>
      </c>
      <c r="V920" s="6">
        <f>IF(AND(U920=1,O920&lt;=Settings!$B$36),1,0)</f>
        <v>0</v>
      </c>
    </row>
    <row r="921" spans="1:22" x14ac:dyDescent="0.2">
      <c r="A921">
        <f>Arrivals!A921</f>
        <v>8</v>
      </c>
      <c r="B921">
        <f>Arrivals!B921</f>
        <v>76</v>
      </c>
      <c r="C921" s="6">
        <f>Arrivals!F921</f>
        <v>529</v>
      </c>
      <c r="D921" s="6">
        <f>Arrivals!J921</f>
        <v>3.8052188773332944</v>
      </c>
      <c r="E921" s="6">
        <f t="shared" si="304"/>
        <v>852.47963297015508</v>
      </c>
      <c r="F921" s="6">
        <f t="shared" si="295"/>
        <v>852.47963297015508</v>
      </c>
      <c r="G921" s="6">
        <f t="shared" si="296"/>
        <v>856.28485184748843</v>
      </c>
      <c r="H921" s="6">
        <f>Arrivals!L921</f>
        <v>75</v>
      </c>
      <c r="I921" s="6">
        <f>H921*8/ACE_Input!S81+ACE_Input!T81</f>
        <v>6.02</v>
      </c>
      <c r="J921" s="6">
        <f t="shared" si="305"/>
        <v>858.49963297015506</v>
      </c>
      <c r="K921" s="6">
        <f t="shared" si="297"/>
        <v>858.49963297015506</v>
      </c>
      <c r="L921" s="6">
        <f>MOD(K921-Settings!$B$32,Settings!$B$33)</f>
        <v>138.49963297015506</v>
      </c>
      <c r="M921" s="6">
        <f>IF(L921&lt;Settings!$B$30,IF(Settings!$B$30-L921&gt;=I921,K921,K921+(Settings!$B$30-L921)+Settings!$B$31),K921+(Settings!$B$33-L921))</f>
        <v>858.49963297015506</v>
      </c>
      <c r="N921" s="6">
        <f t="shared" si="298"/>
        <v>864.51963297015504</v>
      </c>
      <c r="O921" s="6">
        <f t="shared" si="299"/>
        <v>335.51963297015504</v>
      </c>
      <c r="P921" s="6">
        <f t="shared" si="300"/>
        <v>323.47963297015508</v>
      </c>
      <c r="Q921" s="6">
        <f t="shared" si="301"/>
        <v>2.2147811226666363</v>
      </c>
      <c r="R921" s="6">
        <f t="shared" si="302"/>
        <v>0</v>
      </c>
      <c r="S921" s="6">
        <f t="shared" si="303"/>
        <v>325.69441409282172</v>
      </c>
      <c r="T921" s="6" t="str">
        <f>IF(MOD(C921-Settings!$B$32,Settings!$B$33)&lt;Settings!$B$30,"Up","Down")</f>
        <v>Up</v>
      </c>
      <c r="U921" s="6">
        <f>IF(OR(I921&gt;Settings!$B$30,O921&gt;Settings!$B$37),0,1)</f>
        <v>1</v>
      </c>
      <c r="V921" s="6">
        <f>IF(AND(U921=1,O921&lt;=Settings!$B$36),1,0)</f>
        <v>0</v>
      </c>
    </row>
    <row r="922" spans="1:22" x14ac:dyDescent="0.2">
      <c r="A922">
        <f>Arrivals!A922</f>
        <v>8</v>
      </c>
      <c r="B922">
        <f>Arrivals!B922</f>
        <v>77</v>
      </c>
      <c r="C922" s="6">
        <f>Arrivals!F922</f>
        <v>534</v>
      </c>
      <c r="D922" s="6">
        <f>Arrivals!J922</f>
        <v>2.5034565954879051</v>
      </c>
      <c r="E922" s="6">
        <f t="shared" si="304"/>
        <v>856.28485184748843</v>
      </c>
      <c r="F922" s="6">
        <f t="shared" si="295"/>
        <v>856.28485184748843</v>
      </c>
      <c r="G922" s="6">
        <f t="shared" si="296"/>
        <v>858.78830844297636</v>
      </c>
      <c r="H922" s="6">
        <f>Arrivals!L922</f>
        <v>75</v>
      </c>
      <c r="I922" s="6">
        <f>H922*8/ACE_Input!S82+ACE_Input!T82</f>
        <v>6.02</v>
      </c>
      <c r="J922" s="6">
        <f t="shared" si="305"/>
        <v>864.51963297015504</v>
      </c>
      <c r="K922" s="6">
        <f t="shared" si="297"/>
        <v>864.51963297015504</v>
      </c>
      <c r="L922" s="6">
        <f>MOD(K922-Settings!$B$32,Settings!$B$33)</f>
        <v>144.51963297015504</v>
      </c>
      <c r="M922" s="6">
        <f>IF(L922&lt;Settings!$B$30,IF(Settings!$B$30-L922&gt;=I922,K922,K922+(Settings!$B$30-L922)+Settings!$B$31),K922+(Settings!$B$33-L922))</f>
        <v>864.51963297015504</v>
      </c>
      <c r="N922" s="6">
        <f t="shared" si="298"/>
        <v>870.53963297015503</v>
      </c>
      <c r="O922" s="6">
        <f t="shared" si="299"/>
        <v>336.53963297015503</v>
      </c>
      <c r="P922" s="6">
        <f t="shared" si="300"/>
        <v>322.28485184748843</v>
      </c>
      <c r="Q922" s="6">
        <f t="shared" si="301"/>
        <v>5.7313245271786855</v>
      </c>
      <c r="R922" s="6">
        <f t="shared" si="302"/>
        <v>0</v>
      </c>
      <c r="S922" s="6">
        <f t="shared" si="303"/>
        <v>328.01617637466711</v>
      </c>
      <c r="T922" s="6" t="str">
        <f>IF(MOD(C922-Settings!$B$32,Settings!$B$33)&lt;Settings!$B$30,"Up","Down")</f>
        <v>Up</v>
      </c>
      <c r="U922" s="6">
        <f>IF(OR(I922&gt;Settings!$B$30,O922&gt;Settings!$B$37),0,1)</f>
        <v>1</v>
      </c>
      <c r="V922" s="6">
        <f>IF(AND(U922=1,O922&lt;=Settings!$B$36),1,0)</f>
        <v>0</v>
      </c>
    </row>
    <row r="923" spans="1:22" x14ac:dyDescent="0.2">
      <c r="A923">
        <f>Arrivals!A923</f>
        <v>8</v>
      </c>
      <c r="B923">
        <f>Arrivals!B923</f>
        <v>78</v>
      </c>
      <c r="C923" s="6">
        <f>Arrivals!F923</f>
        <v>539</v>
      </c>
      <c r="D923" s="6">
        <f>Arrivals!J923</f>
        <v>15.10752889371263</v>
      </c>
      <c r="E923" s="6">
        <f t="shared" si="304"/>
        <v>858.78830844297636</v>
      </c>
      <c r="F923" s="6">
        <f t="shared" si="295"/>
        <v>858.78830844297636</v>
      </c>
      <c r="G923" s="6">
        <f t="shared" si="296"/>
        <v>873.89583733668894</v>
      </c>
      <c r="H923" s="6">
        <f>Arrivals!L923</f>
        <v>75</v>
      </c>
      <c r="I923" s="6">
        <f>H923*8/ACE_Input!S83+ACE_Input!T83</f>
        <v>6.02</v>
      </c>
      <c r="J923" s="6">
        <f t="shared" si="305"/>
        <v>870.53963297015503</v>
      </c>
      <c r="K923" s="6">
        <f t="shared" si="297"/>
        <v>873.89583733668894</v>
      </c>
      <c r="L923" s="6">
        <f>MOD(K923-Settings!$B$32,Settings!$B$33)</f>
        <v>153.89583733668894</v>
      </c>
      <c r="M923" s="6">
        <f>IF(L923&lt;Settings!$B$30,IF(Settings!$B$30-L923&gt;=I923,K923,K923+(Settings!$B$30-L923)+Settings!$B$31),K923+(Settings!$B$33-L923))</f>
        <v>873.89583733668894</v>
      </c>
      <c r="N923" s="6">
        <f t="shared" si="298"/>
        <v>879.91583733668892</v>
      </c>
      <c r="O923" s="6">
        <f t="shared" si="299"/>
        <v>340.91583733668892</v>
      </c>
      <c r="P923" s="6">
        <f t="shared" si="300"/>
        <v>319.78830844297636</v>
      </c>
      <c r="Q923" s="6">
        <f t="shared" si="301"/>
        <v>0</v>
      </c>
      <c r="R923" s="6">
        <f t="shared" si="302"/>
        <v>0</v>
      </c>
      <c r="S923" s="6">
        <f t="shared" si="303"/>
        <v>319.78830844297636</v>
      </c>
      <c r="T923" s="6" t="str">
        <f>IF(MOD(C923-Settings!$B$32,Settings!$B$33)&lt;Settings!$B$30,"Up","Down")</f>
        <v>Up</v>
      </c>
      <c r="U923" s="6">
        <f>IF(OR(I923&gt;Settings!$B$30,O923&gt;Settings!$B$37),0,1)</f>
        <v>1</v>
      </c>
      <c r="V923" s="6">
        <f>IF(AND(U923=1,O923&lt;=Settings!$B$36),1,0)</f>
        <v>0</v>
      </c>
    </row>
    <row r="924" spans="1:22" x14ac:dyDescent="0.2">
      <c r="A924">
        <f>Arrivals!A924</f>
        <v>8</v>
      </c>
      <c r="B924">
        <f>Arrivals!B924</f>
        <v>79</v>
      </c>
      <c r="C924" s="6">
        <f>Arrivals!F924</f>
        <v>544</v>
      </c>
      <c r="D924" s="6">
        <f>Arrivals!J924</f>
        <v>13.291825106563209</v>
      </c>
      <c r="E924" s="6">
        <f t="shared" si="304"/>
        <v>873.89583733668894</v>
      </c>
      <c r="F924" s="6">
        <f t="shared" si="295"/>
        <v>873.89583733668894</v>
      </c>
      <c r="G924" s="6">
        <f t="shared" si="296"/>
        <v>887.18766244325218</v>
      </c>
      <c r="H924" s="6">
        <f>Arrivals!L924</f>
        <v>75</v>
      </c>
      <c r="I924" s="6">
        <f>H924*8/ACE_Input!S84+ACE_Input!T84</f>
        <v>6.02</v>
      </c>
      <c r="J924" s="6">
        <f t="shared" si="305"/>
        <v>879.91583733668892</v>
      </c>
      <c r="K924" s="6">
        <f t="shared" si="297"/>
        <v>887.18766244325218</v>
      </c>
      <c r="L924" s="6">
        <f>MOD(K924-Settings!$B$32,Settings!$B$33)</f>
        <v>167.18766244325218</v>
      </c>
      <c r="M924" s="6">
        <f>IF(L924&lt;Settings!$B$30,IF(Settings!$B$30-L924&gt;=I924,K924,K924+(Settings!$B$30-L924)+Settings!$B$31),K924+(Settings!$B$33-L924))</f>
        <v>887.18766244325218</v>
      </c>
      <c r="N924" s="6">
        <f t="shared" si="298"/>
        <v>893.20766244325216</v>
      </c>
      <c r="O924" s="6">
        <f t="shared" si="299"/>
        <v>349.20766244325216</v>
      </c>
      <c r="P924" s="6">
        <f t="shared" si="300"/>
        <v>329.89583733668894</v>
      </c>
      <c r="Q924" s="6">
        <f t="shared" si="301"/>
        <v>0</v>
      </c>
      <c r="R924" s="6">
        <f t="shared" si="302"/>
        <v>0</v>
      </c>
      <c r="S924" s="6">
        <f t="shared" si="303"/>
        <v>329.89583733668894</v>
      </c>
      <c r="T924" s="6" t="str">
        <f>IF(MOD(C924-Settings!$B$32,Settings!$B$33)&lt;Settings!$B$30,"Up","Down")</f>
        <v>Up</v>
      </c>
      <c r="U924" s="6">
        <f>IF(OR(I924&gt;Settings!$B$30,O924&gt;Settings!$B$37),0,1)</f>
        <v>1</v>
      </c>
      <c r="V924" s="6">
        <f>IF(AND(U924=1,O924&lt;=Settings!$B$36),1,0)</f>
        <v>0</v>
      </c>
    </row>
    <row r="925" spans="1:22" x14ac:dyDescent="0.2">
      <c r="A925">
        <f>Arrivals!A925</f>
        <v>8</v>
      </c>
      <c r="B925">
        <f>Arrivals!B925</f>
        <v>80</v>
      </c>
      <c r="C925" s="6">
        <f>Arrivals!F925</f>
        <v>549</v>
      </c>
      <c r="D925" s="6">
        <f>Arrivals!J925</f>
        <v>1.0324702009263493</v>
      </c>
      <c r="E925" s="6">
        <f t="shared" si="304"/>
        <v>887.18766244325218</v>
      </c>
      <c r="F925" s="6">
        <f t="shared" si="295"/>
        <v>887.18766244325218</v>
      </c>
      <c r="G925" s="6">
        <f t="shared" si="296"/>
        <v>888.22013264417853</v>
      </c>
      <c r="H925" s="6">
        <f>Arrivals!L925</f>
        <v>75</v>
      </c>
      <c r="I925" s="6">
        <f>H925*8/ACE_Input!S85+ACE_Input!T85</f>
        <v>6.02</v>
      </c>
      <c r="J925" s="6">
        <f t="shared" si="305"/>
        <v>893.20766244325216</v>
      </c>
      <c r="K925" s="6">
        <f t="shared" si="297"/>
        <v>893.20766244325216</v>
      </c>
      <c r="L925" s="6">
        <f>MOD(K925-Settings!$B$32,Settings!$B$33)</f>
        <v>173.20766244325216</v>
      </c>
      <c r="M925" s="6">
        <f>IF(L925&lt;Settings!$B$30,IF(Settings!$B$30-L925&gt;=I925,K925,K925+(Settings!$B$30-L925)+Settings!$B$31),K925+(Settings!$B$33-L925))</f>
        <v>893.20766244325216</v>
      </c>
      <c r="N925" s="6">
        <f t="shared" si="298"/>
        <v>899.22766244325214</v>
      </c>
      <c r="O925" s="6">
        <f t="shared" si="299"/>
        <v>350.22766244325214</v>
      </c>
      <c r="P925" s="6">
        <f t="shared" si="300"/>
        <v>338.18766244325218</v>
      </c>
      <c r="Q925" s="6">
        <f t="shared" si="301"/>
        <v>4.9875297990736271</v>
      </c>
      <c r="R925" s="6">
        <f t="shared" si="302"/>
        <v>0</v>
      </c>
      <c r="S925" s="6">
        <f t="shared" si="303"/>
        <v>343.17519224232581</v>
      </c>
      <c r="T925" s="6" t="str">
        <f>IF(MOD(C925-Settings!$B$32,Settings!$B$33)&lt;Settings!$B$30,"Up","Down")</f>
        <v>Up</v>
      </c>
      <c r="U925" s="6">
        <f>IF(OR(I925&gt;Settings!$B$30,O925&gt;Settings!$B$37),0,1)</f>
        <v>1</v>
      </c>
      <c r="V925" s="6">
        <f>IF(AND(U925=1,O925&lt;=Settings!$B$36),1,0)</f>
        <v>0</v>
      </c>
    </row>
    <row r="926" spans="1:22" x14ac:dyDescent="0.2">
      <c r="A926">
        <f>Arrivals!A926</f>
        <v>8</v>
      </c>
      <c r="B926">
        <f>Arrivals!B926</f>
        <v>81</v>
      </c>
      <c r="C926" s="6">
        <f>Arrivals!F926</f>
        <v>554</v>
      </c>
      <c r="D926" s="6">
        <f>Arrivals!J926</f>
        <v>10.936559093211137</v>
      </c>
      <c r="E926" s="6">
        <f t="shared" si="304"/>
        <v>888.22013264417853</v>
      </c>
      <c r="F926" s="6">
        <f t="shared" si="295"/>
        <v>888.22013264417853</v>
      </c>
      <c r="G926" s="6">
        <f t="shared" si="296"/>
        <v>899.15669173738968</v>
      </c>
      <c r="H926" s="6">
        <f>Arrivals!L926</f>
        <v>75</v>
      </c>
      <c r="I926" s="6">
        <f>H926*8/ACE_Input!S86+ACE_Input!T86</f>
        <v>6.02</v>
      </c>
      <c r="J926" s="6">
        <f t="shared" si="305"/>
        <v>899.22766244325214</v>
      </c>
      <c r="K926" s="6">
        <f t="shared" si="297"/>
        <v>899.22766244325214</v>
      </c>
      <c r="L926" s="6">
        <f>MOD(K926-Settings!$B$32,Settings!$B$33)</f>
        <v>179.22766244325214</v>
      </c>
      <c r="M926" s="6">
        <f>IF(L926&lt;Settings!$B$30,IF(Settings!$B$30-L926&gt;=I926,K926,K926+(Settings!$B$30-L926)+Settings!$B$31),K926+(Settings!$B$33-L926))</f>
        <v>899.22766244325214</v>
      </c>
      <c r="N926" s="6">
        <f t="shared" si="298"/>
        <v>905.24766244325212</v>
      </c>
      <c r="O926" s="6">
        <f t="shared" si="299"/>
        <v>351.24766244325212</v>
      </c>
      <c r="P926" s="6">
        <f t="shared" si="300"/>
        <v>334.22013264417853</v>
      </c>
      <c r="Q926" s="6">
        <f t="shared" si="301"/>
        <v>7.0970705862464456E-2</v>
      </c>
      <c r="R926" s="6">
        <f t="shared" si="302"/>
        <v>0</v>
      </c>
      <c r="S926" s="6">
        <f t="shared" si="303"/>
        <v>334.291103350041</v>
      </c>
      <c r="T926" s="6" t="str">
        <f>IF(MOD(C926-Settings!$B$32,Settings!$B$33)&lt;Settings!$B$30,"Up","Down")</f>
        <v>Up</v>
      </c>
      <c r="U926" s="6">
        <f>IF(OR(I926&gt;Settings!$B$30,O926&gt;Settings!$B$37),0,1)</f>
        <v>1</v>
      </c>
      <c r="V926" s="6">
        <f>IF(AND(U926=1,O926&lt;=Settings!$B$36),1,0)</f>
        <v>0</v>
      </c>
    </row>
    <row r="927" spans="1:22" x14ac:dyDescent="0.2">
      <c r="A927">
        <f>Arrivals!A927</f>
        <v>8</v>
      </c>
      <c r="B927">
        <f>Arrivals!B927</f>
        <v>82</v>
      </c>
      <c r="C927" s="6">
        <f>Arrivals!F927</f>
        <v>559</v>
      </c>
      <c r="D927" s="6">
        <f>Arrivals!J927</f>
        <v>1.3235020130098456</v>
      </c>
      <c r="E927" s="6">
        <f t="shared" si="304"/>
        <v>899.15669173738968</v>
      </c>
      <c r="F927" s="6">
        <f t="shared" si="295"/>
        <v>899.15669173738968</v>
      </c>
      <c r="G927" s="6">
        <f t="shared" si="296"/>
        <v>900.48019375039951</v>
      </c>
      <c r="H927" s="6">
        <f>Arrivals!L927</f>
        <v>75</v>
      </c>
      <c r="I927" s="6">
        <f>H927*8/ACE_Input!S87+ACE_Input!T87</f>
        <v>6.02</v>
      </c>
      <c r="J927" s="6">
        <f t="shared" si="305"/>
        <v>905.24766244325212</v>
      </c>
      <c r="K927" s="6">
        <f t="shared" si="297"/>
        <v>905.24766244325212</v>
      </c>
      <c r="L927" s="6">
        <f>MOD(K927-Settings!$B$32,Settings!$B$33)</f>
        <v>185.24766244325212</v>
      </c>
      <c r="M927" s="6">
        <f>IF(L927&lt;Settings!$B$30,IF(Settings!$B$30-L927&gt;=I927,K927,K927+(Settings!$B$30-L927)+Settings!$B$31),K927+(Settings!$B$33-L927))</f>
        <v>905.24766244325212</v>
      </c>
      <c r="N927" s="6">
        <f t="shared" si="298"/>
        <v>911.26766244325211</v>
      </c>
      <c r="O927" s="6">
        <f t="shared" si="299"/>
        <v>352.26766244325211</v>
      </c>
      <c r="P927" s="6">
        <f t="shared" si="300"/>
        <v>340.15669173738968</v>
      </c>
      <c r="Q927" s="6">
        <f t="shared" si="301"/>
        <v>4.7674686928526171</v>
      </c>
      <c r="R927" s="6">
        <f t="shared" si="302"/>
        <v>0</v>
      </c>
      <c r="S927" s="6">
        <f t="shared" si="303"/>
        <v>344.9241604302423</v>
      </c>
      <c r="T927" s="6" t="str">
        <f>IF(MOD(C927-Settings!$B$32,Settings!$B$33)&lt;Settings!$B$30,"Up","Down")</f>
        <v>Up</v>
      </c>
      <c r="U927" s="6">
        <f>IF(OR(I927&gt;Settings!$B$30,O927&gt;Settings!$B$37),0,1)</f>
        <v>1</v>
      </c>
      <c r="V927" s="6">
        <f>IF(AND(U927=1,O927&lt;=Settings!$B$36),1,0)</f>
        <v>0</v>
      </c>
    </row>
    <row r="928" spans="1:22" x14ac:dyDescent="0.2">
      <c r="A928">
        <f>Arrivals!A928</f>
        <v>8</v>
      </c>
      <c r="B928">
        <f>Arrivals!B928</f>
        <v>83</v>
      </c>
      <c r="C928" s="6">
        <f>Arrivals!F928</f>
        <v>564</v>
      </c>
      <c r="D928" s="6">
        <f>Arrivals!J928</f>
        <v>1.3847813107838616</v>
      </c>
      <c r="E928" s="6">
        <f t="shared" si="304"/>
        <v>900.48019375039951</v>
      </c>
      <c r="F928" s="6">
        <f t="shared" si="295"/>
        <v>900.48019375039951</v>
      </c>
      <c r="G928" s="6">
        <f t="shared" si="296"/>
        <v>901.86497506118337</v>
      </c>
      <c r="H928" s="6">
        <f>Arrivals!L928</f>
        <v>75</v>
      </c>
      <c r="I928" s="6">
        <f>H928*8/ACE_Input!S88+ACE_Input!T88</f>
        <v>6.02</v>
      </c>
      <c r="J928" s="6">
        <f t="shared" si="305"/>
        <v>911.26766244325211</v>
      </c>
      <c r="K928" s="6">
        <f t="shared" si="297"/>
        <v>911.26766244325211</v>
      </c>
      <c r="L928" s="6">
        <f>MOD(K928-Settings!$B$32,Settings!$B$33)</f>
        <v>191.26766244325211</v>
      </c>
      <c r="M928" s="6">
        <f>IF(L928&lt;Settings!$B$30,IF(Settings!$B$30-L928&gt;=I928,K928,K928+(Settings!$B$30-L928)+Settings!$B$31),K928+(Settings!$B$33-L928))</f>
        <v>911.26766244325211</v>
      </c>
      <c r="N928" s="6">
        <f t="shared" si="298"/>
        <v>917.28766244325209</v>
      </c>
      <c r="O928" s="6">
        <f t="shared" si="299"/>
        <v>353.28766244325209</v>
      </c>
      <c r="P928" s="6">
        <f t="shared" si="300"/>
        <v>336.48019375039951</v>
      </c>
      <c r="Q928" s="6">
        <f t="shared" si="301"/>
        <v>9.4026873820687342</v>
      </c>
      <c r="R928" s="6">
        <f t="shared" si="302"/>
        <v>0</v>
      </c>
      <c r="S928" s="6">
        <f t="shared" si="303"/>
        <v>345.88288113246824</v>
      </c>
      <c r="T928" s="6" t="str">
        <f>IF(MOD(C928-Settings!$B$32,Settings!$B$33)&lt;Settings!$B$30,"Up","Down")</f>
        <v>Up</v>
      </c>
      <c r="U928" s="6">
        <f>IF(OR(I928&gt;Settings!$B$30,O928&gt;Settings!$B$37),0,1)</f>
        <v>1</v>
      </c>
      <c r="V928" s="6">
        <f>IF(AND(U928=1,O928&lt;=Settings!$B$36),1,0)</f>
        <v>0</v>
      </c>
    </row>
    <row r="929" spans="1:22" x14ac:dyDescent="0.2">
      <c r="A929">
        <f>Arrivals!A929</f>
        <v>8</v>
      </c>
      <c r="B929">
        <f>Arrivals!B929</f>
        <v>84</v>
      </c>
      <c r="C929" s="6">
        <f>Arrivals!F929</f>
        <v>569</v>
      </c>
      <c r="D929" s="6">
        <f>Arrivals!J929</f>
        <v>18.01639167217995</v>
      </c>
      <c r="E929" s="6">
        <f t="shared" si="304"/>
        <v>901.86497506118337</v>
      </c>
      <c r="F929" s="6">
        <f t="shared" si="295"/>
        <v>901.86497506118337</v>
      </c>
      <c r="G929" s="6">
        <f t="shared" si="296"/>
        <v>919.88136673336328</v>
      </c>
      <c r="H929" s="6">
        <f>Arrivals!L929</f>
        <v>75</v>
      </c>
      <c r="I929" s="6">
        <f>H929*8/ACE_Input!S89+ACE_Input!T89</f>
        <v>6.02</v>
      </c>
      <c r="J929" s="6">
        <f t="shared" si="305"/>
        <v>917.28766244325209</v>
      </c>
      <c r="K929" s="6">
        <f t="shared" si="297"/>
        <v>919.88136673336328</v>
      </c>
      <c r="L929" s="6">
        <f>MOD(K929-Settings!$B$32,Settings!$B$33)</f>
        <v>199.88136673336328</v>
      </c>
      <c r="M929" s="6">
        <f>IF(L929&lt;Settings!$B$30,IF(Settings!$B$30-L929&gt;=I929,K929,K929+(Settings!$B$30-L929)+Settings!$B$31),K929+(Settings!$B$33-L929))</f>
        <v>919.88136673336328</v>
      </c>
      <c r="N929" s="6">
        <f t="shared" si="298"/>
        <v>925.90136673336326</v>
      </c>
      <c r="O929" s="6">
        <f t="shared" si="299"/>
        <v>356.90136673336326</v>
      </c>
      <c r="P929" s="6">
        <f t="shared" si="300"/>
        <v>332.86497506118337</v>
      </c>
      <c r="Q929" s="6">
        <f t="shared" si="301"/>
        <v>0</v>
      </c>
      <c r="R929" s="6">
        <f t="shared" si="302"/>
        <v>0</v>
      </c>
      <c r="S929" s="6">
        <f t="shared" si="303"/>
        <v>332.86497506118337</v>
      </c>
      <c r="T929" s="6" t="str">
        <f>IF(MOD(C929-Settings!$B$32,Settings!$B$33)&lt;Settings!$B$30,"Up","Down")</f>
        <v>Up</v>
      </c>
      <c r="U929" s="6">
        <f>IF(OR(I929&gt;Settings!$B$30,O929&gt;Settings!$B$37),0,1)</f>
        <v>1</v>
      </c>
      <c r="V929" s="6">
        <f>IF(AND(U929=1,O929&lt;=Settings!$B$36),1,0)</f>
        <v>0</v>
      </c>
    </row>
    <row r="930" spans="1:22" x14ac:dyDescent="0.2">
      <c r="A930">
        <f>Arrivals!A930</f>
        <v>8</v>
      </c>
      <c r="B930">
        <f>Arrivals!B930</f>
        <v>85</v>
      </c>
      <c r="C930" s="6">
        <f>Arrivals!F930</f>
        <v>574</v>
      </c>
      <c r="D930" s="6">
        <f>Arrivals!J930</f>
        <v>42.281134220153739</v>
      </c>
      <c r="E930" s="6">
        <f t="shared" si="304"/>
        <v>919.88136673336328</v>
      </c>
      <c r="F930" s="6">
        <f t="shared" si="295"/>
        <v>919.88136673336328</v>
      </c>
      <c r="G930" s="6">
        <f t="shared" si="296"/>
        <v>962.162500953517</v>
      </c>
      <c r="H930" s="6">
        <f>Arrivals!L930</f>
        <v>75</v>
      </c>
      <c r="I930" s="6">
        <f>H930*8/ACE_Input!S90+ACE_Input!T90</f>
        <v>6.02</v>
      </c>
      <c r="J930" s="6">
        <f t="shared" si="305"/>
        <v>925.90136673336326</v>
      </c>
      <c r="K930" s="6">
        <f t="shared" si="297"/>
        <v>962.162500953517</v>
      </c>
      <c r="L930" s="6">
        <f>MOD(K930-Settings!$B$32,Settings!$B$33)</f>
        <v>242.162500953517</v>
      </c>
      <c r="M930" s="6">
        <f>IF(L930&lt;Settings!$B$30,IF(Settings!$B$30-L930&gt;=I930,K930,K930+(Settings!$B$30-L930)+Settings!$B$31),K930+(Settings!$B$33-L930))</f>
        <v>962.162500953517</v>
      </c>
      <c r="N930" s="6">
        <f t="shared" si="298"/>
        <v>968.18250095351698</v>
      </c>
      <c r="O930" s="6">
        <f t="shared" si="299"/>
        <v>394.18250095351698</v>
      </c>
      <c r="P930" s="6">
        <f t="shared" si="300"/>
        <v>345.88136673336328</v>
      </c>
      <c r="Q930" s="6">
        <f t="shared" si="301"/>
        <v>0</v>
      </c>
      <c r="R930" s="6">
        <f t="shared" si="302"/>
        <v>0</v>
      </c>
      <c r="S930" s="6">
        <f t="shared" si="303"/>
        <v>345.88136673336328</v>
      </c>
      <c r="T930" s="6" t="str">
        <f>IF(MOD(C930-Settings!$B$32,Settings!$B$33)&lt;Settings!$B$30,"Up","Down")</f>
        <v>Up</v>
      </c>
      <c r="U930" s="6">
        <f>IF(OR(I930&gt;Settings!$B$30,O930&gt;Settings!$B$37),0,1)</f>
        <v>1</v>
      </c>
      <c r="V930" s="6">
        <f>IF(AND(U930=1,O930&lt;=Settings!$B$36),1,0)</f>
        <v>0</v>
      </c>
    </row>
    <row r="931" spans="1:22" x14ac:dyDescent="0.2">
      <c r="A931">
        <f>Arrivals!A931</f>
        <v>8</v>
      </c>
      <c r="B931">
        <f>Arrivals!B931</f>
        <v>86</v>
      </c>
      <c r="C931" s="6">
        <f>Arrivals!F931</f>
        <v>579</v>
      </c>
      <c r="D931" s="6">
        <f>Arrivals!J931</f>
        <v>3.0533436495335105</v>
      </c>
      <c r="E931" s="6">
        <f t="shared" si="304"/>
        <v>962.162500953517</v>
      </c>
      <c r="F931" s="6">
        <f t="shared" si="295"/>
        <v>962.162500953517</v>
      </c>
      <c r="G931" s="6">
        <f t="shared" si="296"/>
        <v>965.21584460305053</v>
      </c>
      <c r="H931" s="6">
        <f>Arrivals!L931</f>
        <v>75</v>
      </c>
      <c r="I931" s="6">
        <f>H931*8/ACE_Input!S91+ACE_Input!T91</f>
        <v>6.02</v>
      </c>
      <c r="J931" s="6">
        <f t="shared" si="305"/>
        <v>968.18250095351698</v>
      </c>
      <c r="K931" s="6">
        <f t="shared" si="297"/>
        <v>968.18250095351698</v>
      </c>
      <c r="L931" s="6">
        <f>MOD(K931-Settings!$B$32,Settings!$B$33)</f>
        <v>248.18250095351698</v>
      </c>
      <c r="M931" s="6">
        <f>IF(L931&lt;Settings!$B$30,IF(Settings!$B$30-L931&gt;=I931,K931,K931+(Settings!$B$30-L931)+Settings!$B$31),K931+(Settings!$B$33-L931))</f>
        <v>968.18250095351698</v>
      </c>
      <c r="N931" s="6">
        <f t="shared" si="298"/>
        <v>974.20250095351696</v>
      </c>
      <c r="O931" s="6">
        <f t="shared" si="299"/>
        <v>395.20250095351696</v>
      </c>
      <c r="P931" s="6">
        <f t="shared" si="300"/>
        <v>383.162500953517</v>
      </c>
      <c r="Q931" s="6">
        <f t="shared" si="301"/>
        <v>2.9666563504664509</v>
      </c>
      <c r="R931" s="6">
        <f t="shared" si="302"/>
        <v>0</v>
      </c>
      <c r="S931" s="6">
        <f t="shared" si="303"/>
        <v>386.12915730398345</v>
      </c>
      <c r="T931" s="6" t="str">
        <f>IF(MOD(C931-Settings!$B$32,Settings!$B$33)&lt;Settings!$B$30,"Up","Down")</f>
        <v>Up</v>
      </c>
      <c r="U931" s="6">
        <f>IF(OR(I931&gt;Settings!$B$30,O931&gt;Settings!$B$37),0,1)</f>
        <v>1</v>
      </c>
      <c r="V931" s="6">
        <f>IF(AND(U931=1,O931&lt;=Settings!$B$36),1,0)</f>
        <v>0</v>
      </c>
    </row>
    <row r="932" spans="1:22" x14ac:dyDescent="0.2">
      <c r="A932">
        <f>Arrivals!A932</f>
        <v>8</v>
      </c>
      <c r="B932">
        <f>Arrivals!B932</f>
        <v>87</v>
      </c>
      <c r="C932" s="6">
        <f>Arrivals!F932</f>
        <v>584</v>
      </c>
      <c r="D932" s="6">
        <f>Arrivals!J932</f>
        <v>16.734034187461653</v>
      </c>
      <c r="E932" s="6">
        <f t="shared" si="304"/>
        <v>965.21584460305053</v>
      </c>
      <c r="F932" s="6">
        <f t="shared" si="295"/>
        <v>965.21584460305053</v>
      </c>
      <c r="G932" s="6">
        <f t="shared" si="296"/>
        <v>981.94987879051223</v>
      </c>
      <c r="H932" s="6">
        <f>Arrivals!L932</f>
        <v>75</v>
      </c>
      <c r="I932" s="6">
        <f>H932*8/ACE_Input!S92+ACE_Input!T92</f>
        <v>6.02</v>
      </c>
      <c r="J932" s="6">
        <f t="shared" si="305"/>
        <v>974.20250095351696</v>
      </c>
      <c r="K932" s="6">
        <f t="shared" si="297"/>
        <v>981.94987879051223</v>
      </c>
      <c r="L932" s="6">
        <f>MOD(K932-Settings!$B$32,Settings!$B$33)</f>
        <v>261.94987879051223</v>
      </c>
      <c r="M932" s="6">
        <f>IF(L932&lt;Settings!$B$30,IF(Settings!$B$30-L932&gt;=I932,K932,K932+(Settings!$B$30-L932)+Settings!$B$31),K932+(Settings!$B$33-L932))</f>
        <v>981.94987879051223</v>
      </c>
      <c r="N932" s="6">
        <f t="shared" si="298"/>
        <v>987.96987879051221</v>
      </c>
      <c r="O932" s="6">
        <f t="shared" si="299"/>
        <v>403.96987879051221</v>
      </c>
      <c r="P932" s="6">
        <f t="shared" si="300"/>
        <v>381.21584460305053</v>
      </c>
      <c r="Q932" s="6">
        <f t="shared" si="301"/>
        <v>0</v>
      </c>
      <c r="R932" s="6">
        <f t="shared" si="302"/>
        <v>0</v>
      </c>
      <c r="S932" s="6">
        <f t="shared" si="303"/>
        <v>381.21584460305053</v>
      </c>
      <c r="T932" s="6" t="str">
        <f>IF(MOD(C932-Settings!$B$32,Settings!$B$33)&lt;Settings!$B$30,"Up","Down")</f>
        <v>Up</v>
      </c>
      <c r="U932" s="6">
        <f>IF(OR(I932&gt;Settings!$B$30,O932&gt;Settings!$B$37),0,1)</f>
        <v>1</v>
      </c>
      <c r="V932" s="6">
        <f>IF(AND(U932=1,O932&lt;=Settings!$B$36),1,0)</f>
        <v>0</v>
      </c>
    </row>
    <row r="933" spans="1:22" x14ac:dyDescent="0.2">
      <c r="A933">
        <f>Arrivals!A933</f>
        <v>8</v>
      </c>
      <c r="B933">
        <f>Arrivals!B933</f>
        <v>88</v>
      </c>
      <c r="C933" s="6">
        <f>Arrivals!F933</f>
        <v>589</v>
      </c>
      <c r="D933" s="6">
        <f>Arrivals!J933</f>
        <v>10.960884455616469</v>
      </c>
      <c r="E933" s="6">
        <f t="shared" si="304"/>
        <v>981.94987879051223</v>
      </c>
      <c r="F933" s="6">
        <f t="shared" si="295"/>
        <v>981.94987879051223</v>
      </c>
      <c r="G933" s="6">
        <f t="shared" si="296"/>
        <v>992.91076324612868</v>
      </c>
      <c r="H933" s="6">
        <f>Arrivals!L933</f>
        <v>75</v>
      </c>
      <c r="I933" s="6">
        <f>H933*8/ACE_Input!S93+ACE_Input!T93</f>
        <v>6.02</v>
      </c>
      <c r="J933" s="6">
        <f t="shared" si="305"/>
        <v>987.96987879051221</v>
      </c>
      <c r="K933" s="6">
        <f t="shared" si="297"/>
        <v>992.91076324612868</v>
      </c>
      <c r="L933" s="6">
        <f>MOD(K933-Settings!$B$32,Settings!$B$33)</f>
        <v>272.91076324612868</v>
      </c>
      <c r="M933" s="6">
        <f>IF(L933&lt;Settings!$B$30,IF(Settings!$B$30-L933&gt;=I933,K933,K933+(Settings!$B$30-L933)+Settings!$B$31),K933+(Settings!$B$33-L933))</f>
        <v>992.91076324612868</v>
      </c>
      <c r="N933" s="6">
        <f t="shared" si="298"/>
        <v>998.93076324612866</v>
      </c>
      <c r="O933" s="6">
        <f t="shared" si="299"/>
        <v>409.93076324612866</v>
      </c>
      <c r="P933" s="6">
        <f t="shared" si="300"/>
        <v>392.94987879051223</v>
      </c>
      <c r="Q933" s="6">
        <f t="shared" si="301"/>
        <v>0</v>
      </c>
      <c r="R933" s="6">
        <f t="shared" si="302"/>
        <v>0</v>
      </c>
      <c r="S933" s="6">
        <f t="shared" si="303"/>
        <v>392.94987879051223</v>
      </c>
      <c r="T933" s="6" t="str">
        <f>IF(MOD(C933-Settings!$B$32,Settings!$B$33)&lt;Settings!$B$30,"Up","Down")</f>
        <v>Up</v>
      </c>
      <c r="U933" s="6">
        <f>IF(OR(I933&gt;Settings!$B$30,O933&gt;Settings!$B$37),0,1)</f>
        <v>1</v>
      </c>
      <c r="V933" s="6">
        <f>IF(AND(U933=1,O933&lt;=Settings!$B$36),1,0)</f>
        <v>0</v>
      </c>
    </row>
    <row r="934" spans="1:22" x14ac:dyDescent="0.2">
      <c r="A934">
        <f>Arrivals!A934</f>
        <v>8</v>
      </c>
      <c r="B934">
        <f>Arrivals!B934</f>
        <v>89</v>
      </c>
      <c r="C934" s="6">
        <f>Arrivals!F934</f>
        <v>594</v>
      </c>
      <c r="D934" s="6">
        <f>Arrivals!J934</f>
        <v>18.474653283067337</v>
      </c>
      <c r="E934" s="6">
        <f t="shared" si="304"/>
        <v>992.91076324612868</v>
      </c>
      <c r="F934" s="6">
        <f t="shared" si="295"/>
        <v>992.91076324612868</v>
      </c>
      <c r="G934" s="6">
        <f t="shared" si="296"/>
        <v>1011.385416529196</v>
      </c>
      <c r="H934" s="6">
        <f>Arrivals!L934</f>
        <v>75</v>
      </c>
      <c r="I934" s="6">
        <f>H934*8/ACE_Input!S94+ACE_Input!T94</f>
        <v>6.02</v>
      </c>
      <c r="J934" s="6">
        <f t="shared" si="305"/>
        <v>998.93076324612866</v>
      </c>
      <c r="K934" s="6">
        <f t="shared" si="297"/>
        <v>1011.385416529196</v>
      </c>
      <c r="L934" s="6">
        <f>MOD(K934-Settings!$B$32,Settings!$B$33)</f>
        <v>291.38541652919605</v>
      </c>
      <c r="M934" s="6">
        <f>IF(L934&lt;Settings!$B$30,IF(Settings!$B$30-L934&gt;=I934,K934,K934+(Settings!$B$30-L934)+Settings!$B$31),K934+(Settings!$B$33-L934))</f>
        <v>1011.385416529196</v>
      </c>
      <c r="N934" s="6">
        <f t="shared" si="298"/>
        <v>1017.405416529196</v>
      </c>
      <c r="O934" s="6">
        <f t="shared" si="299"/>
        <v>423.40541652919603</v>
      </c>
      <c r="P934" s="6">
        <f t="shared" si="300"/>
        <v>398.91076324612868</v>
      </c>
      <c r="Q934" s="6">
        <f t="shared" si="301"/>
        <v>0</v>
      </c>
      <c r="R934" s="6">
        <f t="shared" si="302"/>
        <v>0</v>
      </c>
      <c r="S934" s="6">
        <f t="shared" si="303"/>
        <v>398.91076324612868</v>
      </c>
      <c r="T934" s="6" t="str">
        <f>IF(MOD(C934-Settings!$B$32,Settings!$B$33)&lt;Settings!$B$30,"Up","Down")</f>
        <v>Up</v>
      </c>
      <c r="U934" s="6">
        <f>IF(OR(I934&gt;Settings!$B$30,O934&gt;Settings!$B$37),0,1)</f>
        <v>1</v>
      </c>
      <c r="V934" s="6">
        <f>IF(AND(U934=1,O934&lt;=Settings!$B$36),1,0)</f>
        <v>0</v>
      </c>
    </row>
    <row r="935" spans="1:22" x14ac:dyDescent="0.2">
      <c r="A935">
        <f>Arrivals!A935</f>
        <v>8</v>
      </c>
      <c r="B935">
        <f>Arrivals!B935</f>
        <v>90</v>
      </c>
      <c r="C935" s="6">
        <f>Arrivals!F935</f>
        <v>599</v>
      </c>
      <c r="D935" s="6">
        <f>Arrivals!J935</f>
        <v>4.1280306924007704</v>
      </c>
      <c r="E935" s="6">
        <f t="shared" si="304"/>
        <v>1011.385416529196</v>
      </c>
      <c r="F935" s="6">
        <f t="shared" si="295"/>
        <v>1011.385416529196</v>
      </c>
      <c r="G935" s="6">
        <f t="shared" si="296"/>
        <v>1015.5134472215968</v>
      </c>
      <c r="H935" s="6">
        <f>Arrivals!L935</f>
        <v>75</v>
      </c>
      <c r="I935" s="6">
        <f>H935*8/ACE_Input!S95+ACE_Input!T95</f>
        <v>6.02</v>
      </c>
      <c r="J935" s="6">
        <f t="shared" si="305"/>
        <v>1017.405416529196</v>
      </c>
      <c r="K935" s="6">
        <f t="shared" si="297"/>
        <v>1017.405416529196</v>
      </c>
      <c r="L935" s="6">
        <f>MOD(K935-Settings!$B$32,Settings!$B$33)</f>
        <v>297.40541652919603</v>
      </c>
      <c r="M935" s="6">
        <f>IF(L935&lt;Settings!$B$30,IF(Settings!$B$30-L935&gt;=I935,K935,K935+(Settings!$B$30-L935)+Settings!$B$31),K935+(Settings!$B$33-L935))</f>
        <v>1017.405416529196</v>
      </c>
      <c r="N935" s="6">
        <f t="shared" si="298"/>
        <v>1023.425416529196</v>
      </c>
      <c r="O935" s="6">
        <f t="shared" si="299"/>
        <v>424.42541652919601</v>
      </c>
      <c r="P935" s="6">
        <f t="shared" si="300"/>
        <v>412.38541652919605</v>
      </c>
      <c r="Q935" s="6">
        <f t="shared" si="301"/>
        <v>1.8919693075991972</v>
      </c>
      <c r="R935" s="6">
        <f t="shared" si="302"/>
        <v>0</v>
      </c>
      <c r="S935" s="6">
        <f t="shared" si="303"/>
        <v>414.27738583679525</v>
      </c>
      <c r="T935" s="6" t="str">
        <f>IF(MOD(C935-Settings!$B$32,Settings!$B$33)&lt;Settings!$B$30,"Up","Down")</f>
        <v>Up</v>
      </c>
      <c r="U935" s="6">
        <f>IF(OR(I935&gt;Settings!$B$30,O935&gt;Settings!$B$37),0,1)</f>
        <v>1</v>
      </c>
      <c r="V935" s="6">
        <f>IF(AND(U935=1,O935&lt;=Settings!$B$36),1,0)</f>
        <v>0</v>
      </c>
    </row>
    <row r="936" spans="1:22" x14ac:dyDescent="0.2">
      <c r="A936">
        <f>Arrivals!A936</f>
        <v>8</v>
      </c>
      <c r="B936">
        <f>Arrivals!B936</f>
        <v>91</v>
      </c>
      <c r="C936" s="6">
        <f>Arrivals!F936</f>
        <v>604</v>
      </c>
      <c r="D936" s="6">
        <f>Arrivals!J936</f>
        <v>0.76782279259506891</v>
      </c>
      <c r="E936" s="6">
        <f t="shared" si="304"/>
        <v>1015.5134472215968</v>
      </c>
      <c r="F936" s="6">
        <f t="shared" si="295"/>
        <v>1015.5134472215968</v>
      </c>
      <c r="G936" s="6">
        <f t="shared" si="296"/>
        <v>1016.2812700141919</v>
      </c>
      <c r="H936" s="6">
        <f>Arrivals!L936</f>
        <v>75</v>
      </c>
      <c r="I936" s="6">
        <f>H936*8/ACE_Input!S96+ACE_Input!T96</f>
        <v>6.02</v>
      </c>
      <c r="J936" s="6">
        <f t="shared" si="305"/>
        <v>1023.425416529196</v>
      </c>
      <c r="K936" s="6">
        <f t="shared" si="297"/>
        <v>1023.425416529196</v>
      </c>
      <c r="L936" s="6">
        <f>MOD(K936-Settings!$B$32,Settings!$B$33)</f>
        <v>303.42541652919601</v>
      </c>
      <c r="M936" s="6">
        <f>IF(L936&lt;Settings!$B$30,IF(Settings!$B$30-L936&gt;=I936,K936,K936+(Settings!$B$30-L936)+Settings!$B$31),K936+(Settings!$B$33-L936))</f>
        <v>1023.425416529196</v>
      </c>
      <c r="N936" s="6">
        <f t="shared" si="298"/>
        <v>1029.4454165291961</v>
      </c>
      <c r="O936" s="6">
        <f t="shared" si="299"/>
        <v>425.44541652919611</v>
      </c>
      <c r="P936" s="6">
        <f t="shared" si="300"/>
        <v>411.51344722159683</v>
      </c>
      <c r="Q936" s="6">
        <f t="shared" si="301"/>
        <v>7.1441465150040813</v>
      </c>
      <c r="R936" s="6">
        <f t="shared" si="302"/>
        <v>0</v>
      </c>
      <c r="S936" s="6">
        <f t="shared" si="303"/>
        <v>418.65759373660092</v>
      </c>
      <c r="T936" s="6" t="str">
        <f>IF(MOD(C936-Settings!$B$32,Settings!$B$33)&lt;Settings!$B$30,"Up","Down")</f>
        <v>Down</v>
      </c>
      <c r="U936" s="6">
        <f>IF(OR(I936&gt;Settings!$B$30,O936&gt;Settings!$B$37),0,1)</f>
        <v>1</v>
      </c>
      <c r="V936" s="6">
        <f>IF(AND(U936=1,O936&lt;=Settings!$B$36),1,0)</f>
        <v>0</v>
      </c>
    </row>
    <row r="937" spans="1:22" x14ac:dyDescent="0.2">
      <c r="A937">
        <f>Arrivals!A937</f>
        <v>8</v>
      </c>
      <c r="B937">
        <f>Arrivals!B937</f>
        <v>92</v>
      </c>
      <c r="C937" s="6">
        <f>Arrivals!F937</f>
        <v>609</v>
      </c>
      <c r="D937" s="6">
        <f>Arrivals!J937</f>
        <v>15.154665186061234</v>
      </c>
      <c r="E937" s="6">
        <f t="shared" si="304"/>
        <v>1016.2812700141919</v>
      </c>
      <c r="F937" s="6">
        <f t="shared" si="295"/>
        <v>1016.2812700141919</v>
      </c>
      <c r="G937" s="6">
        <f t="shared" si="296"/>
        <v>1031.4359352002532</v>
      </c>
      <c r="H937" s="6">
        <f>Arrivals!L937</f>
        <v>75</v>
      </c>
      <c r="I937" s="6">
        <f>H937*8/ACE_Input!S97+ACE_Input!T97</f>
        <v>6.02</v>
      </c>
      <c r="J937" s="6">
        <f t="shared" si="305"/>
        <v>1029.4454165291961</v>
      </c>
      <c r="K937" s="6">
        <f t="shared" si="297"/>
        <v>1031.4359352002532</v>
      </c>
      <c r="L937" s="6">
        <f>MOD(K937-Settings!$B$32,Settings!$B$33)</f>
        <v>311.4359352002532</v>
      </c>
      <c r="M937" s="6">
        <f>IF(L937&lt;Settings!$B$30,IF(Settings!$B$30-L937&gt;=I937,K937,K937+(Settings!$B$30-L937)+Settings!$B$31),K937+(Settings!$B$33-L937))</f>
        <v>1031.4359352002532</v>
      </c>
      <c r="N937" s="6">
        <f t="shared" si="298"/>
        <v>1037.4559352002532</v>
      </c>
      <c r="O937" s="6">
        <f t="shared" si="299"/>
        <v>428.45593520025318</v>
      </c>
      <c r="P937" s="6">
        <f t="shared" si="300"/>
        <v>407.28127001419193</v>
      </c>
      <c r="Q937" s="6">
        <f t="shared" si="301"/>
        <v>0</v>
      </c>
      <c r="R937" s="6">
        <f t="shared" si="302"/>
        <v>0</v>
      </c>
      <c r="S937" s="6">
        <f t="shared" si="303"/>
        <v>407.28127001419193</v>
      </c>
      <c r="T937" s="6" t="str">
        <f>IF(MOD(C937-Settings!$B$32,Settings!$B$33)&lt;Settings!$B$30,"Up","Down")</f>
        <v>Down</v>
      </c>
      <c r="U937" s="6">
        <f>IF(OR(I937&gt;Settings!$B$30,O937&gt;Settings!$B$37),0,1)</f>
        <v>1</v>
      </c>
      <c r="V937" s="6">
        <f>IF(AND(U937=1,O937&lt;=Settings!$B$36),1,0)</f>
        <v>0</v>
      </c>
    </row>
    <row r="938" spans="1:22" x14ac:dyDescent="0.2">
      <c r="A938">
        <f>Arrivals!A938</f>
        <v>8</v>
      </c>
      <c r="B938">
        <f>Arrivals!B938</f>
        <v>93</v>
      </c>
      <c r="C938" s="6">
        <f>Arrivals!F938</f>
        <v>614</v>
      </c>
      <c r="D938" s="6">
        <f>Arrivals!J938</f>
        <v>5.7118218083319796</v>
      </c>
      <c r="E938" s="6">
        <f t="shared" si="304"/>
        <v>1031.4359352002532</v>
      </c>
      <c r="F938" s="6">
        <f t="shared" si="295"/>
        <v>1031.4359352002532</v>
      </c>
      <c r="G938" s="6">
        <f t="shared" si="296"/>
        <v>1037.1477570085851</v>
      </c>
      <c r="H938" s="6">
        <f>Arrivals!L938</f>
        <v>75</v>
      </c>
      <c r="I938" s="6">
        <f>H938*8/ACE_Input!S98+ACE_Input!T98</f>
        <v>6.02</v>
      </c>
      <c r="J938" s="6">
        <f t="shared" si="305"/>
        <v>1037.4559352002532</v>
      </c>
      <c r="K938" s="6">
        <f t="shared" si="297"/>
        <v>1037.4559352002532</v>
      </c>
      <c r="L938" s="6">
        <f>MOD(K938-Settings!$B$32,Settings!$B$33)</f>
        <v>317.45593520025318</v>
      </c>
      <c r="M938" s="6">
        <f>IF(L938&lt;Settings!$B$30,IF(Settings!$B$30-L938&gt;=I938,K938,K938+(Settings!$B$30-L938)+Settings!$B$31),K938+(Settings!$B$33-L938))</f>
        <v>1037.4559352002532</v>
      </c>
      <c r="N938" s="6">
        <f t="shared" si="298"/>
        <v>1043.4759352002532</v>
      </c>
      <c r="O938" s="6">
        <f t="shared" si="299"/>
        <v>429.47593520025316</v>
      </c>
      <c r="P938" s="6">
        <f t="shared" si="300"/>
        <v>417.4359352002532</v>
      </c>
      <c r="Q938" s="6">
        <f t="shared" si="301"/>
        <v>0.30817819166804838</v>
      </c>
      <c r="R938" s="6">
        <f t="shared" si="302"/>
        <v>0</v>
      </c>
      <c r="S938" s="6">
        <f t="shared" si="303"/>
        <v>417.74411339192125</v>
      </c>
      <c r="T938" s="6" t="str">
        <f>IF(MOD(C938-Settings!$B$32,Settings!$B$33)&lt;Settings!$B$30,"Up","Down")</f>
        <v>Down</v>
      </c>
      <c r="U938" s="6">
        <f>IF(OR(I938&gt;Settings!$B$30,O938&gt;Settings!$B$37),0,1)</f>
        <v>1</v>
      </c>
      <c r="V938" s="6">
        <f>IF(AND(U938=1,O938&lt;=Settings!$B$36),1,0)</f>
        <v>0</v>
      </c>
    </row>
    <row r="939" spans="1:22" x14ac:dyDescent="0.2">
      <c r="A939">
        <f>Arrivals!A939</f>
        <v>8</v>
      </c>
      <c r="B939">
        <f>Arrivals!B939</f>
        <v>94</v>
      </c>
      <c r="C939" s="6">
        <f>Arrivals!F939</f>
        <v>619</v>
      </c>
      <c r="D939" s="6">
        <f>Arrivals!J939</f>
        <v>3.7699976485111346</v>
      </c>
      <c r="E939" s="6">
        <f t="shared" si="304"/>
        <v>1037.1477570085851</v>
      </c>
      <c r="F939" s="6">
        <f t="shared" si="295"/>
        <v>1037.1477570085851</v>
      </c>
      <c r="G939" s="6">
        <f t="shared" si="296"/>
        <v>1040.9177546570963</v>
      </c>
      <c r="H939" s="6">
        <f>Arrivals!L939</f>
        <v>75</v>
      </c>
      <c r="I939" s="6">
        <f>H939*8/ACE_Input!S99+ACE_Input!T99</f>
        <v>6.02</v>
      </c>
      <c r="J939" s="6">
        <f t="shared" si="305"/>
        <v>1043.4759352002532</v>
      </c>
      <c r="K939" s="6">
        <f t="shared" si="297"/>
        <v>1043.4759352002532</v>
      </c>
      <c r="L939" s="6">
        <f>MOD(K939-Settings!$B$32,Settings!$B$33)</f>
        <v>323.47593520025316</v>
      </c>
      <c r="M939" s="6">
        <f>IF(L939&lt;Settings!$B$30,IF(Settings!$B$30-L939&gt;=I939,K939,K939+(Settings!$B$30-L939)+Settings!$B$31),K939+(Settings!$B$33-L939))</f>
        <v>1043.4759352002532</v>
      </c>
      <c r="N939" s="6">
        <f t="shared" si="298"/>
        <v>1049.4959352002531</v>
      </c>
      <c r="O939" s="6">
        <f t="shared" si="299"/>
        <v>430.49593520025314</v>
      </c>
      <c r="P939" s="6">
        <f t="shared" si="300"/>
        <v>418.14775700858513</v>
      </c>
      <c r="Q939" s="6">
        <f t="shared" si="301"/>
        <v>2.5581805431568228</v>
      </c>
      <c r="R939" s="6">
        <f t="shared" si="302"/>
        <v>0</v>
      </c>
      <c r="S939" s="6">
        <f t="shared" si="303"/>
        <v>420.70593755174195</v>
      </c>
      <c r="T939" s="6" t="str">
        <f>IF(MOD(C939-Settings!$B$32,Settings!$B$33)&lt;Settings!$B$30,"Up","Down")</f>
        <v>Down</v>
      </c>
      <c r="U939" s="6">
        <f>IF(OR(I939&gt;Settings!$B$30,O939&gt;Settings!$B$37),0,1)</f>
        <v>1</v>
      </c>
      <c r="V939" s="6">
        <f>IF(AND(U939=1,O939&lt;=Settings!$B$36),1,0)</f>
        <v>0</v>
      </c>
    </row>
    <row r="940" spans="1:22" x14ac:dyDescent="0.2">
      <c r="A940">
        <f>Arrivals!A940</f>
        <v>8</v>
      </c>
      <c r="B940">
        <f>Arrivals!B940</f>
        <v>95</v>
      </c>
      <c r="C940" s="6">
        <f>Arrivals!F940</f>
        <v>624</v>
      </c>
      <c r="D940" s="6">
        <f>Arrivals!J940</f>
        <v>2.8350985041065782</v>
      </c>
      <c r="E940" s="6">
        <f t="shared" si="304"/>
        <v>1040.9177546570963</v>
      </c>
      <c r="F940" s="6">
        <f t="shared" si="295"/>
        <v>1040.9177546570963</v>
      </c>
      <c r="G940" s="6">
        <f t="shared" si="296"/>
        <v>1043.7528531612029</v>
      </c>
      <c r="H940" s="6">
        <f>Arrivals!L940</f>
        <v>75</v>
      </c>
      <c r="I940" s="6">
        <f>H940*8/ACE_Input!S100+ACE_Input!T100</f>
        <v>6.02</v>
      </c>
      <c r="J940" s="6">
        <f t="shared" si="305"/>
        <v>1049.4959352002531</v>
      </c>
      <c r="K940" s="6">
        <f t="shared" si="297"/>
        <v>1049.4959352002531</v>
      </c>
      <c r="L940" s="6">
        <f>MOD(K940-Settings!$B$32,Settings!$B$33)</f>
        <v>329.49593520025314</v>
      </c>
      <c r="M940" s="6">
        <f>IF(L940&lt;Settings!$B$30,IF(Settings!$B$30-L940&gt;=I940,K940,K940+(Settings!$B$30-L940)+Settings!$B$31),K940+(Settings!$B$33-L940))</f>
        <v>1049.4959352002531</v>
      </c>
      <c r="N940" s="6">
        <f t="shared" si="298"/>
        <v>1055.5159352002531</v>
      </c>
      <c r="O940" s="6">
        <f t="shared" si="299"/>
        <v>431.51593520025313</v>
      </c>
      <c r="P940" s="6">
        <f t="shared" si="300"/>
        <v>416.91775465709634</v>
      </c>
      <c r="Q940" s="6">
        <f t="shared" si="301"/>
        <v>5.7430820390502504</v>
      </c>
      <c r="R940" s="6">
        <f t="shared" si="302"/>
        <v>0</v>
      </c>
      <c r="S940" s="6">
        <f t="shared" si="303"/>
        <v>422.66083669614659</v>
      </c>
      <c r="T940" s="6" t="str">
        <f>IF(MOD(C940-Settings!$B$32,Settings!$B$33)&lt;Settings!$B$30,"Up","Down")</f>
        <v>Down</v>
      </c>
      <c r="U940" s="6">
        <f>IF(OR(I940&gt;Settings!$B$30,O940&gt;Settings!$B$37),0,1)</f>
        <v>1</v>
      </c>
      <c r="V940" s="6">
        <f>IF(AND(U940=1,O940&lt;=Settings!$B$36),1,0)</f>
        <v>0</v>
      </c>
    </row>
    <row r="941" spans="1:22" x14ac:dyDescent="0.2">
      <c r="A941">
        <f>Arrivals!A941</f>
        <v>8</v>
      </c>
      <c r="B941">
        <f>Arrivals!B941</f>
        <v>96</v>
      </c>
      <c r="C941" s="6">
        <f>Arrivals!F941</f>
        <v>629</v>
      </c>
      <c r="D941" s="6">
        <f>Arrivals!J941</f>
        <v>10.501566023690756</v>
      </c>
      <c r="E941" s="6">
        <f t="shared" si="304"/>
        <v>1043.7528531612029</v>
      </c>
      <c r="F941" s="6">
        <f t="shared" si="295"/>
        <v>1043.7528531612029</v>
      </c>
      <c r="G941" s="6">
        <f t="shared" si="296"/>
        <v>1054.2544191848935</v>
      </c>
      <c r="H941" s="6">
        <f>Arrivals!L941</f>
        <v>75</v>
      </c>
      <c r="I941" s="6">
        <f>H941*8/ACE_Input!S101+ACE_Input!T101</f>
        <v>6.02</v>
      </c>
      <c r="J941" s="6">
        <f t="shared" si="305"/>
        <v>1055.5159352002531</v>
      </c>
      <c r="K941" s="6">
        <f t="shared" si="297"/>
        <v>1055.5159352002531</v>
      </c>
      <c r="L941" s="6">
        <f>MOD(K941-Settings!$B$32,Settings!$B$33)</f>
        <v>335.51593520025313</v>
      </c>
      <c r="M941" s="6">
        <f>IF(L941&lt;Settings!$B$30,IF(Settings!$B$30-L941&gt;=I941,K941,K941+(Settings!$B$30-L941)+Settings!$B$31),K941+(Settings!$B$33-L941))</f>
        <v>1055.5159352002531</v>
      </c>
      <c r="N941" s="6">
        <f t="shared" si="298"/>
        <v>1061.5359352002531</v>
      </c>
      <c r="O941" s="6">
        <f t="shared" si="299"/>
        <v>432.53593520025311</v>
      </c>
      <c r="P941" s="6">
        <f t="shared" si="300"/>
        <v>414.75285316120289</v>
      </c>
      <c r="Q941" s="6">
        <f t="shared" si="301"/>
        <v>1.2615160153595752</v>
      </c>
      <c r="R941" s="6">
        <f t="shared" si="302"/>
        <v>0</v>
      </c>
      <c r="S941" s="6">
        <f t="shared" si="303"/>
        <v>416.01436917656247</v>
      </c>
      <c r="T941" s="6" t="str">
        <f>IF(MOD(C941-Settings!$B$32,Settings!$B$33)&lt;Settings!$B$30,"Up","Down")</f>
        <v>Down</v>
      </c>
      <c r="U941" s="6">
        <f>IF(OR(I941&gt;Settings!$B$30,O941&gt;Settings!$B$37),0,1)</f>
        <v>1</v>
      </c>
      <c r="V941" s="6">
        <f>IF(AND(U941=1,O941&lt;=Settings!$B$36),1,0)</f>
        <v>0</v>
      </c>
    </row>
    <row r="942" spans="1:22" x14ac:dyDescent="0.2">
      <c r="A942">
        <f>Arrivals!A942</f>
        <v>8</v>
      </c>
      <c r="B942">
        <f>Arrivals!B942</f>
        <v>97</v>
      </c>
      <c r="C942" s="6">
        <f>Arrivals!F942</f>
        <v>634</v>
      </c>
      <c r="D942" s="6">
        <f>Arrivals!J942</f>
        <v>15.033694006456573</v>
      </c>
      <c r="E942" s="6">
        <f t="shared" si="304"/>
        <v>1054.2544191848935</v>
      </c>
      <c r="F942" s="6">
        <f t="shared" ref="F942:F945" si="306">MAX(C942,E942)</f>
        <v>1054.2544191848935</v>
      </c>
      <c r="G942" s="6">
        <f t="shared" ref="G942:G945" si="307">F942+D942</f>
        <v>1069.28811319135</v>
      </c>
      <c r="H942" s="6">
        <f>Arrivals!L942</f>
        <v>75</v>
      </c>
      <c r="I942" s="6">
        <f>H942*8/ACE_Input!S102+ACE_Input!T102</f>
        <v>6.02</v>
      </c>
      <c r="J942" s="6">
        <f t="shared" si="305"/>
        <v>1061.5359352002531</v>
      </c>
      <c r="K942" s="6">
        <f t="shared" ref="K942:K945" si="308">MAX(G942,J942)</f>
        <v>1069.28811319135</v>
      </c>
      <c r="L942" s="6">
        <f>MOD(K942-Settings!$B$32,Settings!$B$33)</f>
        <v>349.28811319135002</v>
      </c>
      <c r="M942" s="6">
        <f>IF(L942&lt;Settings!$B$30,IF(Settings!$B$30-L942&gt;=I942,K942,K942+(Settings!$B$30-L942)+Settings!$B$31),K942+(Settings!$B$33-L942))</f>
        <v>1069.28811319135</v>
      </c>
      <c r="N942" s="6">
        <f t="shared" ref="N942:N945" si="309">M942+I942</f>
        <v>1075.30811319135</v>
      </c>
      <c r="O942" s="6">
        <f t="shared" ref="O942:O945" si="310">N942-C942</f>
        <v>441.30811319135</v>
      </c>
      <c r="P942" s="6">
        <f t="shared" si="300"/>
        <v>420.25441918489355</v>
      </c>
      <c r="Q942" s="6">
        <f t="shared" si="301"/>
        <v>0</v>
      </c>
      <c r="R942" s="6">
        <f t="shared" si="302"/>
        <v>0</v>
      </c>
      <c r="S942" s="6">
        <f t="shared" ref="S942:S945" si="311">P942+Q942+R942</f>
        <v>420.25441918489355</v>
      </c>
      <c r="T942" s="6" t="str">
        <f>IF(MOD(C942-Settings!$B$32,Settings!$B$33)&lt;Settings!$B$30,"Up","Down")</f>
        <v>Down</v>
      </c>
      <c r="U942" s="6">
        <f>IF(OR(I942&gt;Settings!$B$30,O942&gt;Settings!$B$37),0,1)</f>
        <v>1</v>
      </c>
      <c r="V942" s="6">
        <f>IF(AND(U942=1,O942&lt;=Settings!$B$36),1,0)</f>
        <v>0</v>
      </c>
    </row>
    <row r="943" spans="1:22" x14ac:dyDescent="0.2">
      <c r="A943">
        <f>Arrivals!A943</f>
        <v>8</v>
      </c>
      <c r="B943">
        <f>Arrivals!B943</f>
        <v>98</v>
      </c>
      <c r="C943" s="6">
        <f>Arrivals!F943</f>
        <v>639</v>
      </c>
      <c r="D943" s="6">
        <f>Arrivals!J943</f>
        <v>2.9115668924823419</v>
      </c>
      <c r="E943" s="6">
        <f t="shared" si="304"/>
        <v>1069.28811319135</v>
      </c>
      <c r="F943" s="6">
        <f t="shared" si="306"/>
        <v>1069.28811319135</v>
      </c>
      <c r="G943" s="6">
        <f t="shared" si="307"/>
        <v>1072.1996800838324</v>
      </c>
      <c r="H943" s="6">
        <f>Arrivals!L943</f>
        <v>75</v>
      </c>
      <c r="I943" s="6">
        <f>H943*8/ACE_Input!S103+ACE_Input!T103</f>
        <v>6.02</v>
      </c>
      <c r="J943" s="6">
        <f t="shared" si="305"/>
        <v>1075.30811319135</v>
      </c>
      <c r="K943" s="6">
        <f t="shared" si="308"/>
        <v>1075.30811319135</v>
      </c>
      <c r="L943" s="6">
        <f>MOD(K943-Settings!$B$32,Settings!$B$33)</f>
        <v>355.30811319135</v>
      </c>
      <c r="M943" s="6">
        <f>IF(L943&lt;Settings!$B$30,IF(Settings!$B$30-L943&gt;=I943,K943,K943+(Settings!$B$30-L943)+Settings!$B$31),K943+(Settings!$B$33-L943))</f>
        <v>1075.30811319135</v>
      </c>
      <c r="N943" s="6">
        <f t="shared" si="309"/>
        <v>1081.32811319135</v>
      </c>
      <c r="O943" s="6">
        <f t="shared" si="310"/>
        <v>442.32811319134998</v>
      </c>
      <c r="P943" s="6">
        <f t="shared" si="300"/>
        <v>430.28811319135002</v>
      </c>
      <c r="Q943" s="6">
        <f t="shared" si="301"/>
        <v>3.1084331075176124</v>
      </c>
      <c r="R943" s="6">
        <f t="shared" si="302"/>
        <v>0</v>
      </c>
      <c r="S943" s="6">
        <f t="shared" si="311"/>
        <v>433.39654629886763</v>
      </c>
      <c r="T943" s="6" t="str">
        <f>IF(MOD(C943-Settings!$B$32,Settings!$B$33)&lt;Settings!$B$30,"Up","Down")</f>
        <v>Down</v>
      </c>
      <c r="U943" s="6">
        <f>IF(OR(I943&gt;Settings!$B$30,O943&gt;Settings!$B$37),0,1)</f>
        <v>1</v>
      </c>
      <c r="V943" s="6">
        <f>IF(AND(U943=1,O943&lt;=Settings!$B$36),1,0)</f>
        <v>0</v>
      </c>
    </row>
    <row r="944" spans="1:22" x14ac:dyDescent="0.2">
      <c r="A944">
        <f>Arrivals!A944</f>
        <v>8</v>
      </c>
      <c r="B944">
        <f>Arrivals!B944</f>
        <v>99</v>
      </c>
      <c r="C944" s="6">
        <f>Arrivals!F944</f>
        <v>684</v>
      </c>
      <c r="D944" s="6">
        <f>Arrivals!J944</f>
        <v>25.272032692222773</v>
      </c>
      <c r="E944" s="6">
        <f t="shared" si="304"/>
        <v>1072.1996800838324</v>
      </c>
      <c r="F944" s="6">
        <f t="shared" si="306"/>
        <v>1072.1996800838324</v>
      </c>
      <c r="G944" s="6">
        <f t="shared" si="307"/>
        <v>1097.4717127760553</v>
      </c>
      <c r="H944" s="6">
        <f>Arrivals!L944</f>
        <v>75</v>
      </c>
      <c r="I944" s="6">
        <f>H944*8/ACE_Input!S104+ACE_Input!T104</f>
        <v>6.02</v>
      </c>
      <c r="J944" s="6">
        <f t="shared" si="305"/>
        <v>1081.32811319135</v>
      </c>
      <c r="K944" s="6">
        <f t="shared" si="308"/>
        <v>1097.4717127760553</v>
      </c>
      <c r="L944" s="6">
        <f>MOD(K944-Settings!$B$32,Settings!$B$33)</f>
        <v>377.47171277605526</v>
      </c>
      <c r="M944" s="6">
        <f>IF(L944&lt;Settings!$B$30,IF(Settings!$B$30-L944&gt;=I944,K944,K944+(Settings!$B$30-L944)+Settings!$B$31),K944+(Settings!$B$33-L944))</f>
        <v>1097.4717127760553</v>
      </c>
      <c r="N944" s="6">
        <f t="shared" si="309"/>
        <v>1103.4917127760552</v>
      </c>
      <c r="O944" s="6">
        <f t="shared" si="310"/>
        <v>419.49171277605524</v>
      </c>
      <c r="P944" s="6">
        <f t="shared" si="300"/>
        <v>388.19968008383239</v>
      </c>
      <c r="Q944" s="6">
        <f t="shared" si="301"/>
        <v>0</v>
      </c>
      <c r="R944" s="6">
        <f t="shared" si="302"/>
        <v>0</v>
      </c>
      <c r="S944" s="6">
        <f t="shared" si="311"/>
        <v>388.19968008383239</v>
      </c>
      <c r="T944" s="6" t="str">
        <f>IF(MOD(C944-Settings!$B$32,Settings!$B$33)&lt;Settings!$B$30,"Up","Down")</f>
        <v>Down</v>
      </c>
      <c r="U944" s="6">
        <f>IF(OR(I944&gt;Settings!$B$30,O944&gt;Settings!$B$37),0,1)</f>
        <v>1</v>
      </c>
      <c r="V944" s="6">
        <f>IF(AND(U944=1,O944&lt;=Settings!$B$36),1,0)</f>
        <v>0</v>
      </c>
    </row>
    <row r="945" spans="1:22" x14ac:dyDescent="0.2">
      <c r="A945">
        <f>Arrivals!A945</f>
        <v>8</v>
      </c>
      <c r="B945">
        <f>Arrivals!B945</f>
        <v>100</v>
      </c>
      <c r="C945" s="6">
        <f>Arrivals!F945</f>
        <v>689</v>
      </c>
      <c r="D945" s="6">
        <f>Arrivals!J945</f>
        <v>2.5607356141289039</v>
      </c>
      <c r="E945" s="6">
        <f t="shared" si="304"/>
        <v>1097.4717127760553</v>
      </c>
      <c r="F945" s="6">
        <f t="shared" si="306"/>
        <v>1097.4717127760553</v>
      </c>
      <c r="G945" s="6">
        <f t="shared" si="307"/>
        <v>1100.0324483901841</v>
      </c>
      <c r="H945" s="6">
        <f>Arrivals!L945</f>
        <v>75</v>
      </c>
      <c r="I945" s="6">
        <f>H945*8/ACE_Input!S105+ACE_Input!T105</f>
        <v>6.02</v>
      </c>
      <c r="J945" s="6">
        <f t="shared" si="305"/>
        <v>1103.4917127760552</v>
      </c>
      <c r="K945" s="6">
        <f t="shared" si="308"/>
        <v>1103.4917127760552</v>
      </c>
      <c r="L945" s="6">
        <f>MOD(K945-Settings!$B$32,Settings!$B$33)</f>
        <v>383.49171277605524</v>
      </c>
      <c r="M945" s="6">
        <f>IF(L945&lt;Settings!$B$30,IF(Settings!$B$30-L945&gt;=I945,K945,K945+(Settings!$B$30-L945)+Settings!$B$31),K945+(Settings!$B$33-L945))</f>
        <v>1103.4917127760552</v>
      </c>
      <c r="N945" s="6">
        <f t="shared" si="309"/>
        <v>1109.5117127760552</v>
      </c>
      <c r="O945" s="6">
        <f t="shared" si="310"/>
        <v>420.51171277605522</v>
      </c>
      <c r="P945" s="6">
        <f t="shared" si="300"/>
        <v>408.47171277605526</v>
      </c>
      <c r="Q945" s="6">
        <f t="shared" si="301"/>
        <v>3.4592643858711654</v>
      </c>
      <c r="R945" s="6">
        <f t="shared" si="302"/>
        <v>0</v>
      </c>
      <c r="S945" s="6">
        <f t="shared" si="311"/>
        <v>411.93097716192642</v>
      </c>
      <c r="T945" s="6" t="str">
        <f>IF(MOD(C945-Settings!$B$32,Settings!$B$33)&lt;Settings!$B$30,"Up","Down")</f>
        <v>Down</v>
      </c>
      <c r="U945" s="6">
        <f>IF(OR(I945&gt;Settings!$B$30,O945&gt;Settings!$B$37),0,1)</f>
        <v>1</v>
      </c>
      <c r="V945" s="6">
        <f>IF(AND(U945=1,O945&lt;=Settings!$B$36),1,0)</f>
        <v>0</v>
      </c>
    </row>
    <row r="946" spans="1:22" x14ac:dyDescent="0.2">
      <c r="C946" s="6"/>
      <c r="D946" s="6"/>
      <c r="E946" s="6"/>
      <c r="F946" s="6"/>
      <c r="G946" s="6"/>
      <c r="H946" s="6"/>
      <c r="I946" s="6"/>
      <c r="J946" s="6"/>
      <c r="K946" s="6"/>
      <c r="L946" s="6"/>
      <c r="M946" s="6"/>
      <c r="N946" s="6"/>
      <c r="O946" s="6"/>
      <c r="P946" s="6"/>
      <c r="Q946" s="6"/>
      <c r="R946" s="6"/>
      <c r="S946" s="6"/>
      <c r="T946" s="6"/>
      <c r="U946" s="6"/>
      <c r="V946" s="6"/>
    </row>
    <row r="947" spans="1:22" x14ac:dyDescent="0.2">
      <c r="C947" s="6"/>
      <c r="D947" s="6"/>
      <c r="E947" s="6"/>
      <c r="F947" s="6"/>
      <c r="G947" s="6"/>
      <c r="H947" s="6"/>
      <c r="I947" s="6"/>
      <c r="J947" s="6"/>
      <c r="K947" s="6"/>
      <c r="L947" s="6"/>
      <c r="M947" s="6"/>
      <c r="N947" s="6"/>
      <c r="O947" s="6"/>
      <c r="P947" s="6"/>
      <c r="Q947" s="6"/>
      <c r="R947" s="6"/>
      <c r="S947" s="6"/>
      <c r="T947" s="6"/>
      <c r="U947" s="6"/>
      <c r="V947" s="6"/>
    </row>
    <row r="948" spans="1:22" x14ac:dyDescent="0.2">
      <c r="C948" s="6"/>
      <c r="D948" s="6"/>
      <c r="E948" s="6"/>
      <c r="F948" s="6"/>
      <c r="G948" s="6"/>
      <c r="H948" s="6"/>
      <c r="I948" s="6"/>
      <c r="J948" s="6"/>
      <c r="K948" s="6"/>
      <c r="L948" s="6"/>
      <c r="M948" s="6"/>
      <c r="N948" s="6"/>
      <c r="O948" s="6"/>
      <c r="P948" s="6"/>
      <c r="Q948" s="6"/>
      <c r="R948" s="6"/>
      <c r="S948" s="6"/>
      <c r="T948" s="6"/>
      <c r="U948" s="6"/>
      <c r="V948" s="6"/>
    </row>
    <row r="949" spans="1:22" x14ac:dyDescent="0.2">
      <c r="C949" s="6"/>
      <c r="D949" s="6"/>
      <c r="E949" s="6"/>
      <c r="F949" s="6"/>
      <c r="G949" s="6"/>
      <c r="H949" s="6"/>
      <c r="I949" s="6"/>
      <c r="J949" s="6"/>
      <c r="K949" s="6"/>
      <c r="L949" s="6"/>
      <c r="M949" s="6"/>
      <c r="N949" s="6"/>
      <c r="O949" s="6"/>
      <c r="P949" s="6"/>
      <c r="Q949" s="6"/>
      <c r="R949" s="6"/>
      <c r="S949" s="6"/>
      <c r="T949" s="6"/>
      <c r="U949" s="6"/>
      <c r="V949" s="6"/>
    </row>
    <row r="950" spans="1:22" x14ac:dyDescent="0.2">
      <c r="C950" s="6"/>
      <c r="D950" s="6"/>
      <c r="E950" s="6"/>
      <c r="F950" s="6"/>
      <c r="G950" s="6"/>
      <c r="H950" s="6"/>
      <c r="I950" s="6"/>
      <c r="J950" s="6"/>
      <c r="K950" s="6"/>
      <c r="L950" s="6"/>
      <c r="M950" s="6"/>
      <c r="N950" s="6"/>
      <c r="O950" s="6"/>
      <c r="P950" s="6"/>
      <c r="Q950" s="6"/>
      <c r="R950" s="6"/>
      <c r="S950" s="6"/>
      <c r="T950" s="6"/>
      <c r="U950" s="6"/>
      <c r="V950" s="6"/>
    </row>
    <row r="951" spans="1:22" x14ac:dyDescent="0.2">
      <c r="C951" s="6"/>
      <c r="D951" s="6"/>
      <c r="E951" s="6"/>
      <c r="F951" s="6"/>
      <c r="G951" s="6"/>
      <c r="H951" s="6"/>
      <c r="I951" s="6"/>
      <c r="J951" s="6"/>
      <c r="K951" s="6"/>
      <c r="L951" s="6"/>
      <c r="M951" s="6"/>
      <c r="N951" s="6"/>
      <c r="O951" s="6"/>
      <c r="P951" s="6"/>
      <c r="Q951" s="6"/>
      <c r="R951" s="6"/>
      <c r="S951" s="6"/>
      <c r="T951" s="6"/>
      <c r="U951" s="6"/>
      <c r="V951" s="6"/>
    </row>
    <row r="952" spans="1:22" x14ac:dyDescent="0.2">
      <c r="C952" s="6"/>
      <c r="D952" s="6"/>
      <c r="E952" s="6"/>
      <c r="F952" s="6"/>
      <c r="G952" s="6"/>
      <c r="H952" s="6"/>
      <c r="I952" s="6"/>
      <c r="J952" s="6"/>
      <c r="K952" s="6"/>
      <c r="L952" s="6"/>
      <c r="M952" s="6"/>
      <c r="N952" s="6"/>
      <c r="O952" s="6"/>
      <c r="P952" s="6"/>
      <c r="Q952" s="6"/>
      <c r="R952" s="6"/>
      <c r="S952" s="6"/>
      <c r="T952" s="6"/>
      <c r="U952" s="6"/>
      <c r="V952" s="6"/>
    </row>
    <row r="953" spans="1:22" x14ac:dyDescent="0.2">
      <c r="C953" s="6"/>
      <c r="D953" s="6"/>
      <c r="E953" s="6"/>
      <c r="F953" s="6"/>
      <c r="G953" s="6"/>
      <c r="H953" s="6"/>
      <c r="I953" s="6"/>
      <c r="J953" s="6"/>
      <c r="K953" s="6"/>
      <c r="L953" s="6"/>
      <c r="M953" s="6"/>
      <c r="N953" s="6"/>
      <c r="O953" s="6"/>
      <c r="P953" s="6"/>
      <c r="Q953" s="6"/>
      <c r="R953" s="6"/>
      <c r="S953" s="6"/>
      <c r="T953" s="6"/>
      <c r="U953" s="6"/>
      <c r="V953" s="6"/>
    </row>
    <row r="954" spans="1:22" x14ac:dyDescent="0.2">
      <c r="C954" s="6"/>
      <c r="D954" s="6"/>
      <c r="E954" s="6"/>
      <c r="F954" s="6"/>
      <c r="G954" s="6"/>
      <c r="H954" s="6"/>
      <c r="I954" s="6"/>
      <c r="J954" s="6"/>
      <c r="K954" s="6"/>
      <c r="L954" s="6"/>
      <c r="M954" s="6"/>
      <c r="N954" s="6"/>
      <c r="O954" s="6"/>
      <c r="P954" s="6"/>
      <c r="Q954" s="6"/>
      <c r="R954" s="6"/>
      <c r="S954" s="6"/>
      <c r="T954" s="6"/>
      <c r="U954" s="6"/>
      <c r="V954" s="6"/>
    </row>
    <row r="955" spans="1:22" x14ac:dyDescent="0.2">
      <c r="C955" s="6"/>
      <c r="D955" s="6"/>
      <c r="E955" s="6"/>
      <c r="F955" s="6"/>
      <c r="G955" s="6"/>
      <c r="H955" s="6"/>
      <c r="I955" s="6"/>
      <c r="J955" s="6"/>
      <c r="K955" s="6"/>
      <c r="L955" s="6"/>
      <c r="M955" s="6"/>
      <c r="N955" s="6"/>
      <c r="O955" s="6"/>
      <c r="P955" s="6"/>
      <c r="Q955" s="6"/>
      <c r="R955" s="6"/>
      <c r="S955" s="6"/>
      <c r="T955" s="6"/>
      <c r="U955" s="6"/>
      <c r="V955" s="6"/>
    </row>
    <row r="956" spans="1:22" x14ac:dyDescent="0.2">
      <c r="C956" s="6"/>
      <c r="D956" s="6"/>
      <c r="E956" s="6"/>
      <c r="F956" s="6"/>
      <c r="G956" s="6"/>
      <c r="H956" s="6"/>
      <c r="I956" s="6"/>
      <c r="J956" s="6"/>
      <c r="K956" s="6"/>
      <c r="L956" s="6"/>
      <c r="M956" s="6"/>
      <c r="N956" s="6"/>
      <c r="O956" s="6"/>
      <c r="P956" s="6"/>
      <c r="Q956" s="6"/>
      <c r="R956" s="6"/>
      <c r="S956" s="6"/>
      <c r="T956" s="6"/>
      <c r="U956" s="6"/>
      <c r="V956" s="6"/>
    </row>
    <row r="957" spans="1:22" x14ac:dyDescent="0.2">
      <c r="C957" s="6"/>
      <c r="D957" s="6"/>
      <c r="E957" s="6"/>
      <c r="F957" s="6"/>
      <c r="G957" s="6"/>
      <c r="H957" s="6"/>
      <c r="I957" s="6"/>
      <c r="J957" s="6"/>
      <c r="K957" s="6"/>
      <c r="L957" s="6"/>
      <c r="M957" s="6"/>
      <c r="N957" s="6"/>
      <c r="O957" s="6"/>
      <c r="P957" s="6"/>
      <c r="Q957" s="6"/>
      <c r="R957" s="6"/>
      <c r="S957" s="6"/>
      <c r="T957" s="6"/>
      <c r="U957" s="6"/>
      <c r="V957" s="6"/>
    </row>
    <row r="958" spans="1:22" x14ac:dyDescent="0.2">
      <c r="C958" s="6"/>
      <c r="D958" s="6"/>
      <c r="E958" s="6"/>
      <c r="F958" s="6"/>
      <c r="G958" s="6"/>
      <c r="H958" s="6"/>
      <c r="I958" s="6"/>
      <c r="J958" s="6"/>
      <c r="K958" s="6"/>
      <c r="L958" s="6"/>
      <c r="M958" s="6"/>
      <c r="N958" s="6"/>
      <c r="O958" s="6"/>
      <c r="P958" s="6"/>
      <c r="Q958" s="6"/>
      <c r="R958" s="6"/>
      <c r="S958" s="6"/>
      <c r="T958" s="6"/>
      <c r="U958" s="6"/>
      <c r="V958" s="6"/>
    </row>
    <row r="959" spans="1:22" x14ac:dyDescent="0.2">
      <c r="C959" s="6"/>
      <c r="D959" s="6"/>
      <c r="E959" s="6"/>
      <c r="F959" s="6"/>
      <c r="G959" s="6"/>
      <c r="H959" s="6"/>
      <c r="I959" s="6"/>
      <c r="J959" s="6"/>
      <c r="K959" s="6"/>
      <c r="L959" s="6"/>
      <c r="M959" s="6"/>
      <c r="N959" s="6"/>
      <c r="O959" s="6"/>
      <c r="P959" s="6"/>
      <c r="Q959" s="6"/>
      <c r="R959" s="6"/>
      <c r="S959" s="6"/>
      <c r="T959" s="6"/>
      <c r="U959" s="6"/>
      <c r="V959" s="6"/>
    </row>
    <row r="960" spans="1:22" x14ac:dyDescent="0.2">
      <c r="C960" s="6"/>
      <c r="D960" s="6"/>
      <c r="E960" s="6"/>
      <c r="F960" s="6"/>
      <c r="G960" s="6"/>
      <c r="H960" s="6"/>
      <c r="I960" s="6"/>
      <c r="J960" s="6"/>
      <c r="K960" s="6"/>
      <c r="L960" s="6"/>
      <c r="M960" s="6"/>
      <c r="N960" s="6"/>
      <c r="O960" s="6"/>
      <c r="P960" s="6"/>
      <c r="Q960" s="6"/>
      <c r="R960" s="6"/>
      <c r="S960" s="6"/>
      <c r="T960" s="6"/>
      <c r="U960" s="6"/>
      <c r="V960" s="6"/>
    </row>
    <row r="961" spans="1:22" x14ac:dyDescent="0.2">
      <c r="C961" s="6"/>
      <c r="D961" s="6"/>
      <c r="E961" s="6"/>
      <c r="F961" s="6"/>
      <c r="G961" s="6"/>
      <c r="H961" s="6"/>
      <c r="I961" s="6"/>
      <c r="J961" s="6"/>
      <c r="K961" s="6"/>
      <c r="L961" s="6"/>
      <c r="M961" s="6"/>
      <c r="N961" s="6"/>
      <c r="O961" s="6"/>
      <c r="P961" s="6"/>
      <c r="Q961" s="6"/>
      <c r="R961" s="6"/>
      <c r="S961" s="6"/>
      <c r="T961" s="6"/>
      <c r="U961" s="6"/>
      <c r="V961" s="6"/>
    </row>
    <row r="962" spans="1:22" x14ac:dyDescent="0.2">
      <c r="C962" s="6"/>
      <c r="D962" s="6"/>
      <c r="E962" s="6"/>
      <c r="F962" s="6"/>
      <c r="G962" s="6"/>
      <c r="H962" s="6"/>
      <c r="I962" s="6"/>
      <c r="J962" s="6"/>
      <c r="K962" s="6"/>
      <c r="L962" s="6"/>
      <c r="M962" s="6"/>
      <c r="N962" s="6"/>
      <c r="O962" s="6"/>
      <c r="P962" s="6"/>
      <c r="Q962" s="6"/>
      <c r="R962" s="6"/>
      <c r="S962" s="6"/>
      <c r="T962" s="6"/>
      <c r="U962" s="6"/>
      <c r="V962" s="6"/>
    </row>
    <row r="963" spans="1:22" x14ac:dyDescent="0.2">
      <c r="C963" s="6"/>
      <c r="D963" s="6"/>
      <c r="E963" s="6"/>
      <c r="F963" s="6"/>
      <c r="G963" s="6"/>
      <c r="H963" s="6"/>
      <c r="I963" s="6"/>
      <c r="J963" s="6"/>
      <c r="K963" s="6"/>
      <c r="L963" s="6"/>
      <c r="M963" s="6"/>
      <c r="N963" s="6"/>
      <c r="O963" s="6"/>
      <c r="P963" s="6"/>
      <c r="Q963" s="6"/>
      <c r="R963" s="6"/>
      <c r="S963" s="6"/>
      <c r="T963" s="6"/>
      <c r="U963" s="6"/>
      <c r="V963" s="6"/>
    </row>
    <row r="964" spans="1:22" x14ac:dyDescent="0.2">
      <c r="C964" s="6"/>
      <c r="D964" s="6"/>
      <c r="E964" s="6"/>
      <c r="F964" s="6"/>
      <c r="G964" s="6"/>
      <c r="H964" s="6"/>
      <c r="I964" s="6"/>
      <c r="J964" s="6"/>
      <c r="K964" s="6"/>
      <c r="L964" s="6"/>
      <c r="M964" s="6"/>
      <c r="N964" s="6"/>
      <c r="O964" s="6"/>
      <c r="P964" s="6"/>
      <c r="Q964" s="6"/>
      <c r="R964" s="6"/>
      <c r="S964" s="6"/>
      <c r="T964" s="6"/>
      <c r="U964" s="6"/>
      <c r="V964" s="6"/>
    </row>
    <row r="965" spans="1:22" x14ac:dyDescent="0.2">
      <c r="C965" s="6"/>
      <c r="D965" s="6"/>
      <c r="E965" s="6"/>
      <c r="F965" s="6"/>
      <c r="G965" s="6"/>
      <c r="H965" s="6"/>
      <c r="I965" s="6"/>
      <c r="J965" s="6"/>
      <c r="K965" s="6"/>
      <c r="L965" s="6"/>
      <c r="M965" s="6"/>
      <c r="N965" s="6"/>
      <c r="O965" s="6"/>
      <c r="P965" s="6"/>
      <c r="Q965" s="6"/>
      <c r="R965" s="6"/>
      <c r="S965" s="6"/>
      <c r="T965" s="6"/>
      <c r="U965" s="6"/>
      <c r="V965" s="6"/>
    </row>
    <row r="966" spans="1:22" x14ac:dyDescent="0.2">
      <c r="A966">
        <f>Arrivals!A966</f>
        <v>9</v>
      </c>
      <c r="B966">
        <f>Arrivals!B966</f>
        <v>1</v>
      </c>
      <c r="C966" s="6">
        <f>Arrivals!F966</f>
        <v>2</v>
      </c>
      <c r="D966" s="6">
        <f>Arrivals!J966</f>
        <v>8.424474539368191</v>
      </c>
      <c r="E966" s="6">
        <f>0</f>
        <v>0</v>
      </c>
      <c r="F966" s="6">
        <f t="shared" ref="F966:F997" si="312">MAX(C966,E966)</f>
        <v>2</v>
      </c>
      <c r="G966" s="6">
        <f t="shared" ref="G966:G997" si="313">F966+D966</f>
        <v>10.424474539368191</v>
      </c>
      <c r="H966" s="6">
        <f>Arrivals!L966</f>
        <v>75</v>
      </c>
      <c r="I966" s="6">
        <f>H966*8/ACE_Input!S6+ACE_Input!T6</f>
        <v>6.02</v>
      </c>
      <c r="J966" s="6">
        <f>0</f>
        <v>0</v>
      </c>
      <c r="K966" s="6">
        <f t="shared" ref="K966:K997" si="314">MAX(G966,J966)</f>
        <v>10.424474539368191</v>
      </c>
      <c r="L966" s="6">
        <f>MOD(K966-Settings!$B$32,Settings!$B$33)</f>
        <v>10.424474539368191</v>
      </c>
      <c r="M966" s="6">
        <f>IF(L966&lt;Settings!$B$30,IF(Settings!$B$30-L966&gt;=I966,K966,K966+(Settings!$B$30-L966)+Settings!$B$31),K966+(Settings!$B$33-L966))</f>
        <v>10.424474539368191</v>
      </c>
      <c r="N966" s="6">
        <f t="shared" ref="N966:N997" si="315">M966+I966</f>
        <v>16.444474539368191</v>
      </c>
      <c r="O966" s="6">
        <f t="shared" ref="O966:O997" si="316">N966-C966</f>
        <v>14.444474539368191</v>
      </c>
      <c r="P966" s="6">
        <f t="shared" ref="P966:P997" si="317">F966-C966</f>
        <v>0</v>
      </c>
      <c r="Q966" s="6">
        <f t="shared" ref="Q966:Q997" si="318">K966-G966</f>
        <v>0</v>
      </c>
      <c r="R966" s="6">
        <f t="shared" ref="R966:R997" si="319">M966-K966</f>
        <v>0</v>
      </c>
      <c r="S966" s="6">
        <f t="shared" ref="S966:S997" si="320">P966+Q966+R966</f>
        <v>0</v>
      </c>
      <c r="T966" s="6" t="str">
        <f>IF(MOD(C966-Settings!$B$32,Settings!$B$33)&lt;Settings!$B$30,"Up","Down")</f>
        <v>Up</v>
      </c>
      <c r="U966" s="6">
        <f>IF(OR(I966&gt;Settings!$B$30,O966&gt;Settings!$B$37),0,1)</f>
        <v>1</v>
      </c>
      <c r="V966" s="6">
        <f>IF(AND(U966=1,O966&lt;=Settings!$B$36),1,0)</f>
        <v>1</v>
      </c>
    </row>
    <row r="967" spans="1:22" x14ac:dyDescent="0.2">
      <c r="A967">
        <f>Arrivals!A967</f>
        <v>9</v>
      </c>
      <c r="B967">
        <f>Arrivals!B967</f>
        <v>2</v>
      </c>
      <c r="C967" s="6">
        <f>Arrivals!F967</f>
        <v>7</v>
      </c>
      <c r="D967" s="6">
        <f>Arrivals!J967</f>
        <v>27.12776151420513</v>
      </c>
      <c r="E967" s="6">
        <f t="shared" ref="E967:E998" si="321">G966</f>
        <v>10.424474539368191</v>
      </c>
      <c r="F967" s="6">
        <f t="shared" si="312"/>
        <v>10.424474539368191</v>
      </c>
      <c r="G967" s="6">
        <f t="shared" si="313"/>
        <v>37.552236053573324</v>
      </c>
      <c r="H967" s="6">
        <f>Arrivals!L967</f>
        <v>75</v>
      </c>
      <c r="I967" s="6">
        <f>H967*8/ACE_Input!S7+ACE_Input!T7</f>
        <v>6.02</v>
      </c>
      <c r="J967" s="6">
        <f t="shared" ref="J967:J998" si="322">N966</f>
        <v>16.444474539368191</v>
      </c>
      <c r="K967" s="6">
        <f t="shared" si="314"/>
        <v>37.552236053573324</v>
      </c>
      <c r="L967" s="6">
        <f>MOD(K967-Settings!$B$32,Settings!$B$33)</f>
        <v>37.552236053573324</v>
      </c>
      <c r="M967" s="6">
        <f>IF(L967&lt;Settings!$B$30,IF(Settings!$B$30-L967&gt;=I967,K967,K967+(Settings!$B$30-L967)+Settings!$B$31),K967+(Settings!$B$33-L967))</f>
        <v>37.552236053573324</v>
      </c>
      <c r="N967" s="6">
        <f t="shared" si="315"/>
        <v>43.57223605357332</v>
      </c>
      <c r="O967" s="6">
        <f t="shared" si="316"/>
        <v>36.57223605357332</v>
      </c>
      <c r="P967" s="6">
        <f t="shared" si="317"/>
        <v>3.424474539368191</v>
      </c>
      <c r="Q967" s="6">
        <f t="shared" si="318"/>
        <v>0</v>
      </c>
      <c r="R967" s="6">
        <f t="shared" si="319"/>
        <v>0</v>
      </c>
      <c r="S967" s="6">
        <f t="shared" si="320"/>
        <v>3.424474539368191</v>
      </c>
      <c r="T967" s="6" t="str">
        <f>IF(MOD(C967-Settings!$B$32,Settings!$B$33)&lt;Settings!$B$30,"Up","Down")</f>
        <v>Up</v>
      </c>
      <c r="U967" s="6">
        <f>IF(OR(I967&gt;Settings!$B$30,O967&gt;Settings!$B$37),0,1)</f>
        <v>1</v>
      </c>
      <c r="V967" s="6">
        <f>IF(AND(U967=1,O967&lt;=Settings!$B$36),1,0)</f>
        <v>1</v>
      </c>
    </row>
    <row r="968" spans="1:22" x14ac:dyDescent="0.2">
      <c r="A968">
        <f>Arrivals!A968</f>
        <v>9</v>
      </c>
      <c r="B968">
        <f>Arrivals!B968</f>
        <v>3</v>
      </c>
      <c r="C968" s="6">
        <f>Arrivals!F968</f>
        <v>32</v>
      </c>
      <c r="D968" s="6">
        <f>Arrivals!J968</f>
        <v>4.5469289893025877</v>
      </c>
      <c r="E968" s="6">
        <f t="shared" si="321"/>
        <v>37.552236053573324</v>
      </c>
      <c r="F968" s="6">
        <f t="shared" si="312"/>
        <v>37.552236053573324</v>
      </c>
      <c r="G968" s="6">
        <f t="shared" si="313"/>
        <v>42.09916504287591</v>
      </c>
      <c r="H968" s="6">
        <f>Arrivals!L968</f>
        <v>75</v>
      </c>
      <c r="I968" s="6">
        <f>H968*8/ACE_Input!S8+ACE_Input!T8</f>
        <v>6.02</v>
      </c>
      <c r="J968" s="6">
        <f t="shared" si="322"/>
        <v>43.57223605357332</v>
      </c>
      <c r="K968" s="6">
        <f t="shared" si="314"/>
        <v>43.57223605357332</v>
      </c>
      <c r="L968" s="6">
        <f>MOD(K968-Settings!$B$32,Settings!$B$33)</f>
        <v>43.57223605357332</v>
      </c>
      <c r="M968" s="6">
        <f>IF(L968&lt;Settings!$B$30,IF(Settings!$B$30-L968&gt;=I968,K968,K968+(Settings!$B$30-L968)+Settings!$B$31),K968+(Settings!$B$33-L968))</f>
        <v>43.57223605357332</v>
      </c>
      <c r="N968" s="6">
        <f t="shared" si="315"/>
        <v>49.592236053573316</v>
      </c>
      <c r="O968" s="6">
        <f t="shared" si="316"/>
        <v>17.592236053573316</v>
      </c>
      <c r="P968" s="6">
        <f t="shared" si="317"/>
        <v>5.5522360535733242</v>
      </c>
      <c r="Q968" s="6">
        <f t="shared" si="318"/>
        <v>1.4730710106974101</v>
      </c>
      <c r="R968" s="6">
        <f t="shared" si="319"/>
        <v>0</v>
      </c>
      <c r="S968" s="6">
        <f t="shared" si="320"/>
        <v>7.0253070642707343</v>
      </c>
      <c r="T968" s="6" t="str">
        <f>IF(MOD(C968-Settings!$B$32,Settings!$B$33)&lt;Settings!$B$30,"Up","Down")</f>
        <v>Up</v>
      </c>
      <c r="U968" s="6">
        <f>IF(OR(I968&gt;Settings!$B$30,O968&gt;Settings!$B$37),0,1)</f>
        <v>1</v>
      </c>
      <c r="V968" s="6">
        <f>IF(AND(U968=1,O968&lt;=Settings!$B$36),1,0)</f>
        <v>1</v>
      </c>
    </row>
    <row r="969" spans="1:22" x14ac:dyDescent="0.2">
      <c r="A969">
        <f>Arrivals!A969</f>
        <v>9</v>
      </c>
      <c r="B969">
        <f>Arrivals!B969</f>
        <v>4</v>
      </c>
      <c r="C969" s="6">
        <f>Arrivals!F969</f>
        <v>37</v>
      </c>
      <c r="D969" s="6">
        <f>Arrivals!J969</f>
        <v>20.248564817738632</v>
      </c>
      <c r="E969" s="6">
        <f t="shared" si="321"/>
        <v>42.09916504287591</v>
      </c>
      <c r="F969" s="6">
        <f t="shared" si="312"/>
        <v>42.09916504287591</v>
      </c>
      <c r="G969" s="6">
        <f t="shared" si="313"/>
        <v>62.347729860614542</v>
      </c>
      <c r="H969" s="6">
        <f>Arrivals!L969</f>
        <v>75</v>
      </c>
      <c r="I969" s="6">
        <f>H969*8/ACE_Input!S9+ACE_Input!T9</f>
        <v>6.02</v>
      </c>
      <c r="J969" s="6">
        <f t="shared" si="322"/>
        <v>49.592236053573316</v>
      </c>
      <c r="K969" s="6">
        <f t="shared" si="314"/>
        <v>62.347729860614542</v>
      </c>
      <c r="L969" s="6">
        <f>MOD(K969-Settings!$B$32,Settings!$B$33)</f>
        <v>62.347729860614542</v>
      </c>
      <c r="M969" s="6">
        <f>IF(L969&lt;Settings!$B$30,IF(Settings!$B$30-L969&gt;=I969,K969,K969+(Settings!$B$30-L969)+Settings!$B$31),K969+(Settings!$B$33-L969))</f>
        <v>62.347729860614542</v>
      </c>
      <c r="N969" s="6">
        <f t="shared" si="315"/>
        <v>68.367729860614546</v>
      </c>
      <c r="O969" s="6">
        <f t="shared" si="316"/>
        <v>31.367729860614546</v>
      </c>
      <c r="P969" s="6">
        <f t="shared" si="317"/>
        <v>5.0991650428759101</v>
      </c>
      <c r="Q969" s="6">
        <f t="shared" si="318"/>
        <v>0</v>
      </c>
      <c r="R969" s="6">
        <f t="shared" si="319"/>
        <v>0</v>
      </c>
      <c r="S969" s="6">
        <f t="shared" si="320"/>
        <v>5.0991650428759101</v>
      </c>
      <c r="T969" s="6" t="str">
        <f>IF(MOD(C969-Settings!$B$32,Settings!$B$33)&lt;Settings!$B$30,"Up","Down")</f>
        <v>Up</v>
      </c>
      <c r="U969" s="6">
        <f>IF(OR(I969&gt;Settings!$B$30,O969&gt;Settings!$B$37),0,1)</f>
        <v>1</v>
      </c>
      <c r="V969" s="6">
        <f>IF(AND(U969=1,O969&lt;=Settings!$B$36),1,0)</f>
        <v>1</v>
      </c>
    </row>
    <row r="970" spans="1:22" x14ac:dyDescent="0.2">
      <c r="A970">
        <f>Arrivals!A970</f>
        <v>9</v>
      </c>
      <c r="B970">
        <f>Arrivals!B970</f>
        <v>5</v>
      </c>
      <c r="C970" s="6">
        <f>Arrivals!F970</f>
        <v>42</v>
      </c>
      <c r="D970" s="6">
        <f>Arrivals!J970</f>
        <v>12.453361592594788</v>
      </c>
      <c r="E970" s="6">
        <f t="shared" si="321"/>
        <v>62.347729860614542</v>
      </c>
      <c r="F970" s="6">
        <f t="shared" si="312"/>
        <v>62.347729860614542</v>
      </c>
      <c r="G970" s="6">
        <f t="shared" si="313"/>
        <v>74.801091453209324</v>
      </c>
      <c r="H970" s="6">
        <f>Arrivals!L970</f>
        <v>75</v>
      </c>
      <c r="I970" s="6">
        <f>H970*8/ACE_Input!S10+ACE_Input!T10</f>
        <v>6.02</v>
      </c>
      <c r="J970" s="6">
        <f t="shared" si="322"/>
        <v>68.367729860614546</v>
      </c>
      <c r="K970" s="6">
        <f t="shared" si="314"/>
        <v>74.801091453209324</v>
      </c>
      <c r="L970" s="6">
        <f>MOD(K970-Settings!$B$32,Settings!$B$33)</f>
        <v>74.801091453209324</v>
      </c>
      <c r="M970" s="6">
        <f>IF(L970&lt;Settings!$B$30,IF(Settings!$B$30-L970&gt;=I970,K970,K970+(Settings!$B$30-L970)+Settings!$B$31),K970+(Settings!$B$33-L970))</f>
        <v>74.801091453209324</v>
      </c>
      <c r="N970" s="6">
        <f t="shared" si="315"/>
        <v>80.82109145320932</v>
      </c>
      <c r="O970" s="6">
        <f t="shared" si="316"/>
        <v>38.82109145320932</v>
      </c>
      <c r="P970" s="6">
        <f t="shared" si="317"/>
        <v>20.347729860614542</v>
      </c>
      <c r="Q970" s="6">
        <f t="shared" si="318"/>
        <v>0</v>
      </c>
      <c r="R970" s="6">
        <f t="shared" si="319"/>
        <v>0</v>
      </c>
      <c r="S970" s="6">
        <f t="shared" si="320"/>
        <v>20.347729860614542</v>
      </c>
      <c r="T970" s="6" t="str">
        <f>IF(MOD(C970-Settings!$B$32,Settings!$B$33)&lt;Settings!$B$30,"Up","Down")</f>
        <v>Up</v>
      </c>
      <c r="U970" s="6">
        <f>IF(OR(I970&gt;Settings!$B$30,O970&gt;Settings!$B$37),0,1)</f>
        <v>1</v>
      </c>
      <c r="V970" s="6">
        <f>IF(AND(U970=1,O970&lt;=Settings!$B$36),1,0)</f>
        <v>1</v>
      </c>
    </row>
    <row r="971" spans="1:22" x14ac:dyDescent="0.2">
      <c r="A971">
        <f>Arrivals!A971</f>
        <v>9</v>
      </c>
      <c r="B971">
        <f>Arrivals!B971</f>
        <v>6</v>
      </c>
      <c r="C971" s="6">
        <f>Arrivals!F971</f>
        <v>47</v>
      </c>
      <c r="D971" s="6">
        <f>Arrivals!J971</f>
        <v>4.0317586132069314</v>
      </c>
      <c r="E971" s="6">
        <f t="shared" si="321"/>
        <v>74.801091453209324</v>
      </c>
      <c r="F971" s="6">
        <f t="shared" si="312"/>
        <v>74.801091453209324</v>
      </c>
      <c r="G971" s="6">
        <f t="shared" si="313"/>
        <v>78.832850066416256</v>
      </c>
      <c r="H971" s="6">
        <f>Arrivals!L971</f>
        <v>75</v>
      </c>
      <c r="I971" s="6">
        <f>H971*8/ACE_Input!S11+ACE_Input!T11</f>
        <v>6.02</v>
      </c>
      <c r="J971" s="6">
        <f t="shared" si="322"/>
        <v>80.82109145320932</v>
      </c>
      <c r="K971" s="6">
        <f t="shared" si="314"/>
        <v>80.82109145320932</v>
      </c>
      <c r="L971" s="6">
        <f>MOD(K971-Settings!$B$32,Settings!$B$33)</f>
        <v>80.82109145320932</v>
      </c>
      <c r="M971" s="6">
        <f>IF(L971&lt;Settings!$B$30,IF(Settings!$B$30-L971&gt;=I971,K971,K971+(Settings!$B$30-L971)+Settings!$B$31),K971+(Settings!$B$33-L971))</f>
        <v>80.82109145320932</v>
      </c>
      <c r="N971" s="6">
        <f t="shared" si="315"/>
        <v>86.841091453209316</v>
      </c>
      <c r="O971" s="6">
        <f t="shared" si="316"/>
        <v>39.841091453209316</v>
      </c>
      <c r="P971" s="6">
        <f t="shared" si="317"/>
        <v>27.801091453209324</v>
      </c>
      <c r="Q971" s="6">
        <f t="shared" si="318"/>
        <v>1.9882413867930637</v>
      </c>
      <c r="R971" s="6">
        <f t="shared" si="319"/>
        <v>0</v>
      </c>
      <c r="S971" s="6">
        <f t="shared" si="320"/>
        <v>29.789332840002388</v>
      </c>
      <c r="T971" s="6" t="str">
        <f>IF(MOD(C971-Settings!$B$32,Settings!$B$33)&lt;Settings!$B$30,"Up","Down")</f>
        <v>Up</v>
      </c>
      <c r="U971" s="6">
        <f>IF(OR(I971&gt;Settings!$B$30,O971&gt;Settings!$B$37),0,1)</f>
        <v>1</v>
      </c>
      <c r="V971" s="6">
        <f>IF(AND(U971=1,O971&lt;=Settings!$B$36),1,0)</f>
        <v>1</v>
      </c>
    </row>
    <row r="972" spans="1:22" x14ac:dyDescent="0.2">
      <c r="A972">
        <f>Arrivals!A972</f>
        <v>9</v>
      </c>
      <c r="B972">
        <f>Arrivals!B972</f>
        <v>7</v>
      </c>
      <c r="C972" s="6">
        <f>Arrivals!F972</f>
        <v>52</v>
      </c>
      <c r="D972" s="6">
        <f>Arrivals!J972</f>
        <v>1.1034978587850921</v>
      </c>
      <c r="E972" s="6">
        <f t="shared" si="321"/>
        <v>78.832850066416256</v>
      </c>
      <c r="F972" s="6">
        <f t="shared" si="312"/>
        <v>78.832850066416256</v>
      </c>
      <c r="G972" s="6">
        <f t="shared" si="313"/>
        <v>79.936347925201346</v>
      </c>
      <c r="H972" s="6">
        <f>Arrivals!L972</f>
        <v>75</v>
      </c>
      <c r="I972" s="6">
        <f>H972*8/ACE_Input!S12+ACE_Input!T12</f>
        <v>6.02</v>
      </c>
      <c r="J972" s="6">
        <f t="shared" si="322"/>
        <v>86.841091453209316</v>
      </c>
      <c r="K972" s="6">
        <f t="shared" si="314"/>
        <v>86.841091453209316</v>
      </c>
      <c r="L972" s="6">
        <f>MOD(K972-Settings!$B$32,Settings!$B$33)</f>
        <v>86.841091453209316</v>
      </c>
      <c r="M972" s="6">
        <f>IF(L972&lt;Settings!$B$30,IF(Settings!$B$30-L972&gt;=I972,K972,K972+(Settings!$B$30-L972)+Settings!$B$31),K972+(Settings!$B$33-L972))</f>
        <v>86.841091453209316</v>
      </c>
      <c r="N972" s="6">
        <f t="shared" si="315"/>
        <v>92.861091453209312</v>
      </c>
      <c r="O972" s="6">
        <f t="shared" si="316"/>
        <v>40.861091453209312</v>
      </c>
      <c r="P972" s="6">
        <f t="shared" si="317"/>
        <v>26.832850066416256</v>
      </c>
      <c r="Q972" s="6">
        <f t="shared" si="318"/>
        <v>6.9047435280079696</v>
      </c>
      <c r="R972" s="6">
        <f t="shared" si="319"/>
        <v>0</v>
      </c>
      <c r="S972" s="6">
        <f t="shared" si="320"/>
        <v>33.737593594424226</v>
      </c>
      <c r="T972" s="6" t="str">
        <f>IF(MOD(C972-Settings!$B$32,Settings!$B$33)&lt;Settings!$B$30,"Up","Down")</f>
        <v>Up</v>
      </c>
      <c r="U972" s="6">
        <f>IF(OR(I972&gt;Settings!$B$30,O972&gt;Settings!$B$37),0,1)</f>
        <v>1</v>
      </c>
      <c r="V972" s="6">
        <f>IF(AND(U972=1,O972&lt;=Settings!$B$36),1,0)</f>
        <v>1</v>
      </c>
    </row>
    <row r="973" spans="1:22" x14ac:dyDescent="0.2">
      <c r="A973">
        <f>Arrivals!A973</f>
        <v>9</v>
      </c>
      <c r="B973">
        <f>Arrivals!B973</f>
        <v>8</v>
      </c>
      <c r="C973" s="6">
        <f>Arrivals!F973</f>
        <v>57</v>
      </c>
      <c r="D973" s="6">
        <f>Arrivals!J973</f>
        <v>11.215386763754946</v>
      </c>
      <c r="E973" s="6">
        <f t="shared" si="321"/>
        <v>79.936347925201346</v>
      </c>
      <c r="F973" s="6">
        <f t="shared" si="312"/>
        <v>79.936347925201346</v>
      </c>
      <c r="G973" s="6">
        <f t="shared" si="313"/>
        <v>91.151734688956296</v>
      </c>
      <c r="H973" s="6">
        <f>Arrivals!L973</f>
        <v>75</v>
      </c>
      <c r="I973" s="6">
        <f>H973*8/ACE_Input!S13+ACE_Input!T13</f>
        <v>6.02</v>
      </c>
      <c r="J973" s="6">
        <f t="shared" si="322"/>
        <v>92.861091453209312</v>
      </c>
      <c r="K973" s="6">
        <f t="shared" si="314"/>
        <v>92.861091453209312</v>
      </c>
      <c r="L973" s="6">
        <f>MOD(K973-Settings!$B$32,Settings!$B$33)</f>
        <v>92.861091453209312</v>
      </c>
      <c r="M973" s="6">
        <f>IF(L973&lt;Settings!$B$30,IF(Settings!$B$30-L973&gt;=I973,K973,K973+(Settings!$B$30-L973)+Settings!$B$31),K973+(Settings!$B$33-L973))</f>
        <v>92.861091453209312</v>
      </c>
      <c r="N973" s="6">
        <f t="shared" si="315"/>
        <v>98.881091453209308</v>
      </c>
      <c r="O973" s="6">
        <f t="shared" si="316"/>
        <v>41.881091453209308</v>
      </c>
      <c r="P973" s="6">
        <f t="shared" si="317"/>
        <v>22.936347925201346</v>
      </c>
      <c r="Q973" s="6">
        <f t="shared" si="318"/>
        <v>1.7093567642530161</v>
      </c>
      <c r="R973" s="6">
        <f t="shared" si="319"/>
        <v>0</v>
      </c>
      <c r="S973" s="6">
        <f t="shared" si="320"/>
        <v>24.645704689454362</v>
      </c>
      <c r="T973" s="6" t="str">
        <f>IF(MOD(C973-Settings!$B$32,Settings!$B$33)&lt;Settings!$B$30,"Up","Down")</f>
        <v>Up</v>
      </c>
      <c r="U973" s="6">
        <f>IF(OR(I973&gt;Settings!$B$30,O973&gt;Settings!$B$37),0,1)</f>
        <v>1</v>
      </c>
      <c r="V973" s="6">
        <f>IF(AND(U973=1,O973&lt;=Settings!$B$36),1,0)</f>
        <v>1</v>
      </c>
    </row>
    <row r="974" spans="1:22" x14ac:dyDescent="0.2">
      <c r="A974">
        <f>Arrivals!A974</f>
        <v>9</v>
      </c>
      <c r="B974">
        <f>Arrivals!B974</f>
        <v>9</v>
      </c>
      <c r="C974" s="6">
        <f>Arrivals!F974</f>
        <v>172</v>
      </c>
      <c r="D974" s="6">
        <f>Arrivals!J974</f>
        <v>3.8141663092313545</v>
      </c>
      <c r="E974" s="6">
        <f t="shared" si="321"/>
        <v>91.151734688956296</v>
      </c>
      <c r="F974" s="6">
        <f t="shared" si="312"/>
        <v>172</v>
      </c>
      <c r="G974" s="6">
        <f t="shared" si="313"/>
        <v>175.81416630923135</v>
      </c>
      <c r="H974" s="6">
        <f>Arrivals!L974</f>
        <v>75</v>
      </c>
      <c r="I974" s="6">
        <f>H974*8/ACE_Input!S14+ACE_Input!T14</f>
        <v>6.02</v>
      </c>
      <c r="J974" s="6">
        <f t="shared" si="322"/>
        <v>98.881091453209308</v>
      </c>
      <c r="K974" s="6">
        <f t="shared" si="314"/>
        <v>175.81416630923135</v>
      </c>
      <c r="L974" s="6">
        <f>MOD(K974-Settings!$B$32,Settings!$B$33)</f>
        <v>175.81416630923135</v>
      </c>
      <c r="M974" s="6">
        <f>IF(L974&lt;Settings!$B$30,IF(Settings!$B$30-L974&gt;=I974,K974,K974+(Settings!$B$30-L974)+Settings!$B$31),K974+(Settings!$B$33-L974))</f>
        <v>175.81416630923135</v>
      </c>
      <c r="N974" s="6">
        <f t="shared" si="315"/>
        <v>181.83416630923136</v>
      </c>
      <c r="O974" s="6">
        <f t="shared" si="316"/>
        <v>9.8341663092313638</v>
      </c>
      <c r="P974" s="6">
        <f t="shared" si="317"/>
        <v>0</v>
      </c>
      <c r="Q974" s="6">
        <f t="shared" si="318"/>
        <v>0</v>
      </c>
      <c r="R974" s="6">
        <f t="shared" si="319"/>
        <v>0</v>
      </c>
      <c r="S974" s="6">
        <f t="shared" si="320"/>
        <v>0</v>
      </c>
      <c r="T974" s="6" t="str">
        <f>IF(MOD(C974-Settings!$B$32,Settings!$B$33)&lt;Settings!$B$30,"Up","Down")</f>
        <v>Up</v>
      </c>
      <c r="U974" s="6">
        <f>IF(OR(I974&gt;Settings!$B$30,O974&gt;Settings!$B$37),0,1)</f>
        <v>1</v>
      </c>
      <c r="V974" s="6">
        <f>IF(AND(U974=1,O974&lt;=Settings!$B$36),1,0)</f>
        <v>1</v>
      </c>
    </row>
    <row r="975" spans="1:22" x14ac:dyDescent="0.2">
      <c r="A975">
        <f>Arrivals!A975</f>
        <v>9</v>
      </c>
      <c r="B975">
        <f>Arrivals!B975</f>
        <v>10</v>
      </c>
      <c r="C975" s="6">
        <f>Arrivals!F975</f>
        <v>177</v>
      </c>
      <c r="D975" s="6">
        <f>Arrivals!J975</f>
        <v>4.4725392591175233</v>
      </c>
      <c r="E975" s="6">
        <f t="shared" si="321"/>
        <v>175.81416630923135</v>
      </c>
      <c r="F975" s="6">
        <f t="shared" si="312"/>
        <v>177</v>
      </c>
      <c r="G975" s="6">
        <f t="shared" si="313"/>
        <v>181.47253925911753</v>
      </c>
      <c r="H975" s="6">
        <f>Arrivals!L975</f>
        <v>75</v>
      </c>
      <c r="I975" s="6">
        <f>H975*8/ACE_Input!S15+ACE_Input!T15</f>
        <v>6.02</v>
      </c>
      <c r="J975" s="6">
        <f t="shared" si="322"/>
        <v>181.83416630923136</v>
      </c>
      <c r="K975" s="6">
        <f t="shared" si="314"/>
        <v>181.83416630923136</v>
      </c>
      <c r="L975" s="6">
        <f>MOD(K975-Settings!$B$32,Settings!$B$33)</f>
        <v>181.83416630923136</v>
      </c>
      <c r="M975" s="6">
        <f>IF(L975&lt;Settings!$B$30,IF(Settings!$B$30-L975&gt;=I975,K975,K975+(Settings!$B$30-L975)+Settings!$B$31),K975+(Settings!$B$33-L975))</f>
        <v>181.83416630923136</v>
      </c>
      <c r="N975" s="6">
        <f t="shared" si="315"/>
        <v>187.85416630923137</v>
      </c>
      <c r="O975" s="6">
        <f t="shared" si="316"/>
        <v>10.854166309231374</v>
      </c>
      <c r="P975" s="6">
        <f t="shared" si="317"/>
        <v>0</v>
      </c>
      <c r="Q975" s="6">
        <f t="shared" si="318"/>
        <v>0.36162705011383878</v>
      </c>
      <c r="R975" s="6">
        <f t="shared" si="319"/>
        <v>0</v>
      </c>
      <c r="S975" s="6">
        <f t="shared" si="320"/>
        <v>0.36162705011383878</v>
      </c>
      <c r="T975" s="6" t="str">
        <f>IF(MOD(C975-Settings!$B$32,Settings!$B$33)&lt;Settings!$B$30,"Up","Down")</f>
        <v>Up</v>
      </c>
      <c r="U975" s="6">
        <f>IF(OR(I975&gt;Settings!$B$30,O975&gt;Settings!$B$37),0,1)</f>
        <v>1</v>
      </c>
      <c r="V975" s="6">
        <f>IF(AND(U975=1,O975&lt;=Settings!$B$36),1,0)</f>
        <v>1</v>
      </c>
    </row>
    <row r="976" spans="1:22" x14ac:dyDescent="0.2">
      <c r="A976">
        <f>Arrivals!A976</f>
        <v>9</v>
      </c>
      <c r="B976">
        <f>Arrivals!B976</f>
        <v>11</v>
      </c>
      <c r="C976" s="6">
        <f>Arrivals!F976</f>
        <v>182</v>
      </c>
      <c r="D976" s="6">
        <f>Arrivals!J976</f>
        <v>3.6938217037583518</v>
      </c>
      <c r="E976" s="6">
        <f t="shared" si="321"/>
        <v>181.47253925911753</v>
      </c>
      <c r="F976" s="6">
        <f t="shared" si="312"/>
        <v>182</v>
      </c>
      <c r="G976" s="6">
        <f t="shared" si="313"/>
        <v>185.69382170375835</v>
      </c>
      <c r="H976" s="6">
        <f>Arrivals!L976</f>
        <v>75</v>
      </c>
      <c r="I976" s="6">
        <f>H976*8/ACE_Input!S16+ACE_Input!T16</f>
        <v>6.02</v>
      </c>
      <c r="J976" s="6">
        <f t="shared" si="322"/>
        <v>187.85416630923137</v>
      </c>
      <c r="K976" s="6">
        <f t="shared" si="314"/>
        <v>187.85416630923137</v>
      </c>
      <c r="L976" s="6">
        <f>MOD(K976-Settings!$B$32,Settings!$B$33)</f>
        <v>187.85416630923137</v>
      </c>
      <c r="M976" s="6">
        <f>IF(L976&lt;Settings!$B$30,IF(Settings!$B$30-L976&gt;=I976,K976,K976+(Settings!$B$30-L976)+Settings!$B$31),K976+(Settings!$B$33-L976))</f>
        <v>187.85416630923137</v>
      </c>
      <c r="N976" s="6">
        <f t="shared" si="315"/>
        <v>193.87416630923138</v>
      </c>
      <c r="O976" s="6">
        <f t="shared" si="316"/>
        <v>11.874166309231384</v>
      </c>
      <c r="P976" s="6">
        <f t="shared" si="317"/>
        <v>0</v>
      </c>
      <c r="Q976" s="6">
        <f t="shared" si="318"/>
        <v>2.1603446054730284</v>
      </c>
      <c r="R976" s="6">
        <f t="shared" si="319"/>
        <v>0</v>
      </c>
      <c r="S976" s="6">
        <f t="shared" si="320"/>
        <v>2.1603446054730284</v>
      </c>
      <c r="T976" s="6" t="str">
        <f>IF(MOD(C976-Settings!$B$32,Settings!$B$33)&lt;Settings!$B$30,"Up","Down")</f>
        <v>Up</v>
      </c>
      <c r="U976" s="6">
        <f>IF(OR(I976&gt;Settings!$B$30,O976&gt;Settings!$B$37),0,1)</f>
        <v>1</v>
      </c>
      <c r="V976" s="6">
        <f>IF(AND(U976=1,O976&lt;=Settings!$B$36),1,0)</f>
        <v>1</v>
      </c>
    </row>
    <row r="977" spans="1:22" x14ac:dyDescent="0.2">
      <c r="A977">
        <f>Arrivals!A977</f>
        <v>9</v>
      </c>
      <c r="B977">
        <f>Arrivals!B977</f>
        <v>12</v>
      </c>
      <c r="C977" s="6">
        <f>Arrivals!F977</f>
        <v>187</v>
      </c>
      <c r="D977" s="6">
        <f>Arrivals!J977</f>
        <v>0.43877639918663236</v>
      </c>
      <c r="E977" s="6">
        <f t="shared" si="321"/>
        <v>185.69382170375835</v>
      </c>
      <c r="F977" s="6">
        <f t="shared" si="312"/>
        <v>187</v>
      </c>
      <c r="G977" s="6">
        <f t="shared" si="313"/>
        <v>187.43877639918662</v>
      </c>
      <c r="H977" s="6">
        <f>Arrivals!L977</f>
        <v>75</v>
      </c>
      <c r="I977" s="6">
        <f>H977*8/ACE_Input!S17+ACE_Input!T17</f>
        <v>6.02</v>
      </c>
      <c r="J977" s="6">
        <f t="shared" si="322"/>
        <v>193.87416630923138</v>
      </c>
      <c r="K977" s="6">
        <f t="shared" si="314"/>
        <v>193.87416630923138</v>
      </c>
      <c r="L977" s="6">
        <f>MOD(K977-Settings!$B$32,Settings!$B$33)</f>
        <v>193.87416630923138</v>
      </c>
      <c r="M977" s="6">
        <f>IF(L977&lt;Settings!$B$30,IF(Settings!$B$30-L977&gt;=I977,K977,K977+(Settings!$B$30-L977)+Settings!$B$31),K977+(Settings!$B$33-L977))</f>
        <v>193.87416630923138</v>
      </c>
      <c r="N977" s="6">
        <f t="shared" si="315"/>
        <v>199.89416630923139</v>
      </c>
      <c r="O977" s="6">
        <f t="shared" si="316"/>
        <v>12.894166309231395</v>
      </c>
      <c r="P977" s="6">
        <f t="shared" si="317"/>
        <v>0</v>
      </c>
      <c r="Q977" s="6">
        <f t="shared" si="318"/>
        <v>6.435389910044762</v>
      </c>
      <c r="R977" s="6">
        <f t="shared" si="319"/>
        <v>0</v>
      </c>
      <c r="S977" s="6">
        <f t="shared" si="320"/>
        <v>6.435389910044762</v>
      </c>
      <c r="T977" s="6" t="str">
        <f>IF(MOD(C977-Settings!$B$32,Settings!$B$33)&lt;Settings!$B$30,"Up","Down")</f>
        <v>Up</v>
      </c>
      <c r="U977" s="6">
        <f>IF(OR(I977&gt;Settings!$B$30,O977&gt;Settings!$B$37),0,1)</f>
        <v>1</v>
      </c>
      <c r="V977" s="6">
        <f>IF(AND(U977=1,O977&lt;=Settings!$B$36),1,0)</f>
        <v>1</v>
      </c>
    </row>
    <row r="978" spans="1:22" x14ac:dyDescent="0.2">
      <c r="A978">
        <f>Arrivals!A978</f>
        <v>9</v>
      </c>
      <c r="B978">
        <f>Arrivals!B978</f>
        <v>13</v>
      </c>
      <c r="C978" s="6">
        <f>Arrivals!F978</f>
        <v>192</v>
      </c>
      <c r="D978" s="6">
        <f>Arrivals!J978</f>
        <v>7.0291510650134663</v>
      </c>
      <c r="E978" s="6">
        <f t="shared" si="321"/>
        <v>187.43877639918662</v>
      </c>
      <c r="F978" s="6">
        <f t="shared" si="312"/>
        <v>192</v>
      </c>
      <c r="G978" s="6">
        <f t="shared" si="313"/>
        <v>199.02915106501348</v>
      </c>
      <c r="H978" s="6">
        <f>Arrivals!L978</f>
        <v>75</v>
      </c>
      <c r="I978" s="6">
        <f>H978*8/ACE_Input!S18+ACE_Input!T18</f>
        <v>6.02</v>
      </c>
      <c r="J978" s="6">
        <f t="shared" si="322"/>
        <v>199.89416630923139</v>
      </c>
      <c r="K978" s="6">
        <f t="shared" si="314"/>
        <v>199.89416630923139</v>
      </c>
      <c r="L978" s="6">
        <f>MOD(K978-Settings!$B$32,Settings!$B$33)</f>
        <v>199.89416630923139</v>
      </c>
      <c r="M978" s="6">
        <f>IF(L978&lt;Settings!$B$30,IF(Settings!$B$30-L978&gt;=I978,K978,K978+(Settings!$B$30-L978)+Settings!$B$31),K978+(Settings!$B$33-L978))</f>
        <v>199.89416630923139</v>
      </c>
      <c r="N978" s="6">
        <f t="shared" si="315"/>
        <v>205.9141663092314</v>
      </c>
      <c r="O978" s="6">
        <f t="shared" si="316"/>
        <v>13.914166309231405</v>
      </c>
      <c r="P978" s="6">
        <f t="shared" si="317"/>
        <v>0</v>
      </c>
      <c r="Q978" s="6">
        <f t="shared" si="318"/>
        <v>0.86501524421791487</v>
      </c>
      <c r="R978" s="6">
        <f t="shared" si="319"/>
        <v>0</v>
      </c>
      <c r="S978" s="6">
        <f t="shared" si="320"/>
        <v>0.86501524421791487</v>
      </c>
      <c r="T978" s="6" t="str">
        <f>IF(MOD(C978-Settings!$B$32,Settings!$B$33)&lt;Settings!$B$30,"Up","Down")</f>
        <v>Up</v>
      </c>
      <c r="U978" s="6">
        <f>IF(OR(I978&gt;Settings!$B$30,O978&gt;Settings!$B$37),0,1)</f>
        <v>1</v>
      </c>
      <c r="V978" s="6">
        <f>IF(AND(U978=1,O978&lt;=Settings!$B$36),1,0)</f>
        <v>1</v>
      </c>
    </row>
    <row r="979" spans="1:22" x14ac:dyDescent="0.2">
      <c r="A979">
        <f>Arrivals!A979</f>
        <v>9</v>
      </c>
      <c r="B979">
        <f>Arrivals!B979</f>
        <v>14</v>
      </c>
      <c r="C979" s="6">
        <f>Arrivals!F979</f>
        <v>197</v>
      </c>
      <c r="D979" s="6">
        <f>Arrivals!J979</f>
        <v>23.541121599956295</v>
      </c>
      <c r="E979" s="6">
        <f t="shared" si="321"/>
        <v>199.02915106501348</v>
      </c>
      <c r="F979" s="6">
        <f t="shared" si="312"/>
        <v>199.02915106501348</v>
      </c>
      <c r="G979" s="6">
        <f t="shared" si="313"/>
        <v>222.57027266496976</v>
      </c>
      <c r="H979" s="6">
        <f>Arrivals!L979</f>
        <v>75</v>
      </c>
      <c r="I979" s="6">
        <f>H979*8/ACE_Input!S19+ACE_Input!T19</f>
        <v>6.02</v>
      </c>
      <c r="J979" s="6">
        <f t="shared" si="322"/>
        <v>205.9141663092314</v>
      </c>
      <c r="K979" s="6">
        <f t="shared" si="314"/>
        <v>222.57027266496976</v>
      </c>
      <c r="L979" s="6">
        <f>MOD(K979-Settings!$B$32,Settings!$B$33)</f>
        <v>222.57027266496976</v>
      </c>
      <c r="M979" s="6">
        <f>IF(L979&lt;Settings!$B$30,IF(Settings!$B$30-L979&gt;=I979,K979,K979+(Settings!$B$30-L979)+Settings!$B$31),K979+(Settings!$B$33-L979))</f>
        <v>222.57027266496976</v>
      </c>
      <c r="N979" s="6">
        <f t="shared" si="315"/>
        <v>228.59027266496977</v>
      </c>
      <c r="O979" s="6">
        <f t="shared" si="316"/>
        <v>31.590272664969774</v>
      </c>
      <c r="P979" s="6">
        <f t="shared" si="317"/>
        <v>2.0291510650134796</v>
      </c>
      <c r="Q979" s="6">
        <f t="shared" si="318"/>
        <v>0</v>
      </c>
      <c r="R979" s="6">
        <f t="shared" si="319"/>
        <v>0</v>
      </c>
      <c r="S979" s="6">
        <f t="shared" si="320"/>
        <v>2.0291510650134796</v>
      </c>
      <c r="T979" s="6" t="str">
        <f>IF(MOD(C979-Settings!$B$32,Settings!$B$33)&lt;Settings!$B$30,"Up","Down")</f>
        <v>Up</v>
      </c>
      <c r="U979" s="6">
        <f>IF(OR(I979&gt;Settings!$B$30,O979&gt;Settings!$B$37),0,1)</f>
        <v>1</v>
      </c>
      <c r="V979" s="6">
        <f>IF(AND(U979=1,O979&lt;=Settings!$B$36),1,0)</f>
        <v>1</v>
      </c>
    </row>
    <row r="980" spans="1:22" x14ac:dyDescent="0.2">
      <c r="A980">
        <f>Arrivals!A980</f>
        <v>9</v>
      </c>
      <c r="B980">
        <f>Arrivals!B980</f>
        <v>15</v>
      </c>
      <c r="C980" s="6">
        <f>Arrivals!F980</f>
        <v>202</v>
      </c>
      <c r="D980" s="6">
        <f>Arrivals!J980</f>
        <v>16.91757357719057</v>
      </c>
      <c r="E980" s="6">
        <f t="shared" si="321"/>
        <v>222.57027266496976</v>
      </c>
      <c r="F980" s="6">
        <f t="shared" si="312"/>
        <v>222.57027266496976</v>
      </c>
      <c r="G980" s="6">
        <f t="shared" si="313"/>
        <v>239.48784624216034</v>
      </c>
      <c r="H980" s="6">
        <f>Arrivals!L980</f>
        <v>75</v>
      </c>
      <c r="I980" s="6">
        <f>H980*8/ACE_Input!S20+ACE_Input!T20</f>
        <v>6.02</v>
      </c>
      <c r="J980" s="6">
        <f t="shared" si="322"/>
        <v>228.59027266496977</v>
      </c>
      <c r="K980" s="6">
        <f t="shared" si="314"/>
        <v>239.48784624216034</v>
      </c>
      <c r="L980" s="6">
        <f>MOD(K980-Settings!$B$32,Settings!$B$33)</f>
        <v>239.48784624216034</v>
      </c>
      <c r="M980" s="6">
        <f>IF(L980&lt;Settings!$B$30,IF(Settings!$B$30-L980&gt;=I980,K980,K980+(Settings!$B$30-L980)+Settings!$B$31),K980+(Settings!$B$33-L980))</f>
        <v>239.48784624216034</v>
      </c>
      <c r="N980" s="6">
        <f t="shared" si="315"/>
        <v>245.50784624216035</v>
      </c>
      <c r="O980" s="6">
        <f t="shared" si="316"/>
        <v>43.507846242160355</v>
      </c>
      <c r="P980" s="6">
        <f t="shared" si="317"/>
        <v>20.570272664969764</v>
      </c>
      <c r="Q980" s="6">
        <f t="shared" si="318"/>
        <v>0</v>
      </c>
      <c r="R980" s="6">
        <f t="shared" si="319"/>
        <v>0</v>
      </c>
      <c r="S980" s="6">
        <f t="shared" si="320"/>
        <v>20.570272664969764</v>
      </c>
      <c r="T980" s="6" t="str">
        <f>IF(MOD(C980-Settings!$B$32,Settings!$B$33)&lt;Settings!$B$30,"Up","Down")</f>
        <v>Up</v>
      </c>
      <c r="U980" s="6">
        <f>IF(OR(I980&gt;Settings!$B$30,O980&gt;Settings!$B$37),0,1)</f>
        <v>1</v>
      </c>
      <c r="V980" s="6">
        <f>IF(AND(U980=1,O980&lt;=Settings!$B$36),1,0)</f>
        <v>1</v>
      </c>
    </row>
    <row r="981" spans="1:22" x14ac:dyDescent="0.2">
      <c r="A981">
        <f>Arrivals!A981</f>
        <v>9</v>
      </c>
      <c r="B981">
        <f>Arrivals!B981</f>
        <v>16</v>
      </c>
      <c r="C981" s="6">
        <f>Arrivals!F981</f>
        <v>207</v>
      </c>
      <c r="D981" s="6">
        <f>Arrivals!J981</f>
        <v>23.094537500299595</v>
      </c>
      <c r="E981" s="6">
        <f t="shared" si="321"/>
        <v>239.48784624216034</v>
      </c>
      <c r="F981" s="6">
        <f t="shared" si="312"/>
        <v>239.48784624216034</v>
      </c>
      <c r="G981" s="6">
        <f t="shared" si="313"/>
        <v>262.58238374245991</v>
      </c>
      <c r="H981" s="6">
        <f>Arrivals!L981</f>
        <v>75</v>
      </c>
      <c r="I981" s="6">
        <f>H981*8/ACE_Input!S21+ACE_Input!T21</f>
        <v>6.02</v>
      </c>
      <c r="J981" s="6">
        <f t="shared" si="322"/>
        <v>245.50784624216035</v>
      </c>
      <c r="K981" s="6">
        <f t="shared" si="314"/>
        <v>262.58238374245991</v>
      </c>
      <c r="L981" s="6">
        <f>MOD(K981-Settings!$B$32,Settings!$B$33)</f>
        <v>262.58238374245991</v>
      </c>
      <c r="M981" s="6">
        <f>IF(L981&lt;Settings!$B$30,IF(Settings!$B$30-L981&gt;=I981,K981,K981+(Settings!$B$30-L981)+Settings!$B$31),K981+(Settings!$B$33-L981))</f>
        <v>262.58238374245991</v>
      </c>
      <c r="N981" s="6">
        <f t="shared" si="315"/>
        <v>268.60238374245989</v>
      </c>
      <c r="O981" s="6">
        <f t="shared" si="316"/>
        <v>61.602383742459892</v>
      </c>
      <c r="P981" s="6">
        <f t="shared" si="317"/>
        <v>32.487846242160344</v>
      </c>
      <c r="Q981" s="6">
        <f t="shared" si="318"/>
        <v>0</v>
      </c>
      <c r="R981" s="6">
        <f t="shared" si="319"/>
        <v>0</v>
      </c>
      <c r="S981" s="6">
        <f t="shared" si="320"/>
        <v>32.487846242160344</v>
      </c>
      <c r="T981" s="6" t="str">
        <f>IF(MOD(C981-Settings!$B$32,Settings!$B$33)&lt;Settings!$B$30,"Up","Down")</f>
        <v>Up</v>
      </c>
      <c r="U981" s="6">
        <f>IF(OR(I981&gt;Settings!$B$30,O981&gt;Settings!$B$37),0,1)</f>
        <v>1</v>
      </c>
      <c r="V981" s="6">
        <f>IF(AND(U981=1,O981&lt;=Settings!$B$36),1,0)</f>
        <v>1</v>
      </c>
    </row>
    <row r="982" spans="1:22" x14ac:dyDescent="0.2">
      <c r="A982">
        <f>Arrivals!A982</f>
        <v>9</v>
      </c>
      <c r="B982">
        <f>Arrivals!B982</f>
        <v>17</v>
      </c>
      <c r="C982" s="6">
        <f>Arrivals!F982</f>
        <v>212</v>
      </c>
      <c r="D982" s="6">
        <f>Arrivals!J982</f>
        <v>1.9481216202242442</v>
      </c>
      <c r="E982" s="6">
        <f t="shared" si="321"/>
        <v>262.58238374245991</v>
      </c>
      <c r="F982" s="6">
        <f t="shared" si="312"/>
        <v>262.58238374245991</v>
      </c>
      <c r="G982" s="6">
        <f t="shared" si="313"/>
        <v>264.53050536268415</v>
      </c>
      <c r="H982" s="6">
        <f>Arrivals!L982</f>
        <v>75</v>
      </c>
      <c r="I982" s="6">
        <f>H982*8/ACE_Input!S22+ACE_Input!T22</f>
        <v>6.02</v>
      </c>
      <c r="J982" s="6">
        <f t="shared" si="322"/>
        <v>268.60238374245989</v>
      </c>
      <c r="K982" s="6">
        <f t="shared" si="314"/>
        <v>268.60238374245989</v>
      </c>
      <c r="L982" s="6">
        <f>MOD(K982-Settings!$B$32,Settings!$B$33)</f>
        <v>268.60238374245989</v>
      </c>
      <c r="M982" s="6">
        <f>IF(L982&lt;Settings!$B$30,IF(Settings!$B$30-L982&gt;=I982,K982,K982+(Settings!$B$30-L982)+Settings!$B$31),K982+(Settings!$B$33-L982))</f>
        <v>268.60238374245989</v>
      </c>
      <c r="N982" s="6">
        <f t="shared" si="315"/>
        <v>274.62238374245987</v>
      </c>
      <c r="O982" s="6">
        <f t="shared" si="316"/>
        <v>62.622383742459874</v>
      </c>
      <c r="P982" s="6">
        <f t="shared" si="317"/>
        <v>50.582383742459911</v>
      </c>
      <c r="Q982" s="6">
        <f t="shared" si="318"/>
        <v>4.0718783797757396</v>
      </c>
      <c r="R982" s="6">
        <f t="shared" si="319"/>
        <v>0</v>
      </c>
      <c r="S982" s="6">
        <f t="shared" si="320"/>
        <v>54.65426212223565</v>
      </c>
      <c r="T982" s="6" t="str">
        <f>IF(MOD(C982-Settings!$B$32,Settings!$B$33)&lt;Settings!$B$30,"Up","Down")</f>
        <v>Up</v>
      </c>
      <c r="U982" s="6">
        <f>IF(OR(I982&gt;Settings!$B$30,O982&gt;Settings!$B$37),0,1)</f>
        <v>1</v>
      </c>
      <c r="V982" s="6">
        <f>IF(AND(U982=1,O982&lt;=Settings!$B$36),1,0)</f>
        <v>1</v>
      </c>
    </row>
    <row r="983" spans="1:22" x14ac:dyDescent="0.2">
      <c r="A983">
        <f>Arrivals!A983</f>
        <v>9</v>
      </c>
      <c r="B983">
        <f>Arrivals!B983</f>
        <v>18</v>
      </c>
      <c r="C983" s="6">
        <f>Arrivals!F983</f>
        <v>217</v>
      </c>
      <c r="D983" s="6">
        <f>Arrivals!J983</f>
        <v>9.400826303274588</v>
      </c>
      <c r="E983" s="6">
        <f t="shared" si="321"/>
        <v>264.53050536268415</v>
      </c>
      <c r="F983" s="6">
        <f t="shared" si="312"/>
        <v>264.53050536268415</v>
      </c>
      <c r="G983" s="6">
        <f t="shared" si="313"/>
        <v>273.93133166595874</v>
      </c>
      <c r="H983" s="6">
        <f>Arrivals!L983</f>
        <v>75</v>
      </c>
      <c r="I983" s="6">
        <f>H983*8/ACE_Input!S23+ACE_Input!T23</f>
        <v>6.02</v>
      </c>
      <c r="J983" s="6">
        <f t="shared" si="322"/>
        <v>274.62238374245987</v>
      </c>
      <c r="K983" s="6">
        <f t="shared" si="314"/>
        <v>274.62238374245987</v>
      </c>
      <c r="L983" s="6">
        <f>MOD(K983-Settings!$B$32,Settings!$B$33)</f>
        <v>274.62238374245987</v>
      </c>
      <c r="M983" s="6">
        <f>IF(L983&lt;Settings!$B$30,IF(Settings!$B$30-L983&gt;=I983,K983,K983+(Settings!$B$30-L983)+Settings!$B$31),K983+(Settings!$B$33-L983))</f>
        <v>274.62238374245987</v>
      </c>
      <c r="N983" s="6">
        <f t="shared" si="315"/>
        <v>280.64238374245986</v>
      </c>
      <c r="O983" s="6">
        <f t="shared" si="316"/>
        <v>63.642383742459856</v>
      </c>
      <c r="P983" s="6">
        <f t="shared" si="317"/>
        <v>47.530505362684153</v>
      </c>
      <c r="Q983" s="6">
        <f t="shared" si="318"/>
        <v>0.69105207650113698</v>
      </c>
      <c r="R983" s="6">
        <f t="shared" si="319"/>
        <v>0</v>
      </c>
      <c r="S983" s="6">
        <f t="shared" si="320"/>
        <v>48.22155743918529</v>
      </c>
      <c r="T983" s="6" t="str">
        <f>IF(MOD(C983-Settings!$B$32,Settings!$B$33)&lt;Settings!$B$30,"Up","Down")</f>
        <v>Up</v>
      </c>
      <c r="U983" s="6">
        <f>IF(OR(I983&gt;Settings!$B$30,O983&gt;Settings!$B$37),0,1)</f>
        <v>1</v>
      </c>
      <c r="V983" s="6">
        <f>IF(AND(U983=1,O983&lt;=Settings!$B$36),1,0)</f>
        <v>1</v>
      </c>
    </row>
    <row r="984" spans="1:22" x14ac:dyDescent="0.2">
      <c r="A984">
        <f>Arrivals!A984</f>
        <v>9</v>
      </c>
      <c r="B984">
        <f>Arrivals!B984</f>
        <v>19</v>
      </c>
      <c r="C984" s="6">
        <f>Arrivals!F984</f>
        <v>222</v>
      </c>
      <c r="D984" s="6">
        <f>Arrivals!J984</f>
        <v>16.053641725912289</v>
      </c>
      <c r="E984" s="6">
        <f t="shared" si="321"/>
        <v>273.93133166595874</v>
      </c>
      <c r="F984" s="6">
        <f t="shared" si="312"/>
        <v>273.93133166595874</v>
      </c>
      <c r="G984" s="6">
        <f t="shared" si="313"/>
        <v>289.98497339187105</v>
      </c>
      <c r="H984" s="6">
        <f>Arrivals!L984</f>
        <v>75</v>
      </c>
      <c r="I984" s="6">
        <f>H984*8/ACE_Input!S24+ACE_Input!T24</f>
        <v>6.02</v>
      </c>
      <c r="J984" s="6">
        <f t="shared" si="322"/>
        <v>280.64238374245986</v>
      </c>
      <c r="K984" s="6">
        <f t="shared" si="314"/>
        <v>289.98497339187105</v>
      </c>
      <c r="L984" s="6">
        <f>MOD(K984-Settings!$B$32,Settings!$B$33)</f>
        <v>289.98497339187105</v>
      </c>
      <c r="M984" s="6">
        <f>IF(L984&lt;Settings!$B$30,IF(Settings!$B$30-L984&gt;=I984,K984,K984+(Settings!$B$30-L984)+Settings!$B$31),K984+(Settings!$B$33-L984))</f>
        <v>289.98497339187105</v>
      </c>
      <c r="N984" s="6">
        <f t="shared" si="315"/>
        <v>296.00497339187103</v>
      </c>
      <c r="O984" s="6">
        <f t="shared" si="316"/>
        <v>74.004973391871033</v>
      </c>
      <c r="P984" s="6">
        <f t="shared" si="317"/>
        <v>51.931331665958737</v>
      </c>
      <c r="Q984" s="6">
        <f t="shared" si="318"/>
        <v>0</v>
      </c>
      <c r="R984" s="6">
        <f t="shared" si="319"/>
        <v>0</v>
      </c>
      <c r="S984" s="6">
        <f t="shared" si="320"/>
        <v>51.931331665958737</v>
      </c>
      <c r="T984" s="6" t="str">
        <f>IF(MOD(C984-Settings!$B$32,Settings!$B$33)&lt;Settings!$B$30,"Up","Down")</f>
        <v>Up</v>
      </c>
      <c r="U984" s="6">
        <f>IF(OR(I984&gt;Settings!$B$30,O984&gt;Settings!$B$37),0,1)</f>
        <v>1</v>
      </c>
      <c r="V984" s="6">
        <f>IF(AND(U984=1,O984&lt;=Settings!$B$36),1,0)</f>
        <v>1</v>
      </c>
    </row>
    <row r="985" spans="1:22" x14ac:dyDescent="0.2">
      <c r="A985">
        <f>Arrivals!A985</f>
        <v>9</v>
      </c>
      <c r="B985">
        <f>Arrivals!B985</f>
        <v>20</v>
      </c>
      <c r="C985" s="6">
        <f>Arrivals!F985</f>
        <v>227</v>
      </c>
      <c r="D985" s="6">
        <f>Arrivals!J985</f>
        <v>7.9090793147931882</v>
      </c>
      <c r="E985" s="6">
        <f t="shared" si="321"/>
        <v>289.98497339187105</v>
      </c>
      <c r="F985" s="6">
        <f t="shared" si="312"/>
        <v>289.98497339187105</v>
      </c>
      <c r="G985" s="6">
        <f t="shared" si="313"/>
        <v>297.89405270666424</v>
      </c>
      <c r="H985" s="6">
        <f>Arrivals!L985</f>
        <v>75</v>
      </c>
      <c r="I985" s="6">
        <f>H985*8/ACE_Input!S25+ACE_Input!T25</f>
        <v>6.02</v>
      </c>
      <c r="J985" s="6">
        <f t="shared" si="322"/>
        <v>296.00497339187103</v>
      </c>
      <c r="K985" s="6">
        <f t="shared" si="314"/>
        <v>297.89405270666424</v>
      </c>
      <c r="L985" s="6">
        <f>MOD(K985-Settings!$B$32,Settings!$B$33)</f>
        <v>297.89405270666424</v>
      </c>
      <c r="M985" s="6">
        <f>IF(L985&lt;Settings!$B$30,IF(Settings!$B$30-L985&gt;=I985,K985,K985+(Settings!$B$30-L985)+Settings!$B$31),K985+(Settings!$B$33-L985))</f>
        <v>297.89405270666424</v>
      </c>
      <c r="N985" s="6">
        <f t="shared" si="315"/>
        <v>303.91405270666422</v>
      </c>
      <c r="O985" s="6">
        <f t="shared" si="316"/>
        <v>76.914052706664222</v>
      </c>
      <c r="P985" s="6">
        <f t="shared" si="317"/>
        <v>62.984973391871051</v>
      </c>
      <c r="Q985" s="6">
        <f t="shared" si="318"/>
        <v>0</v>
      </c>
      <c r="R985" s="6">
        <f t="shared" si="319"/>
        <v>0</v>
      </c>
      <c r="S985" s="6">
        <f t="shared" si="320"/>
        <v>62.984973391871051</v>
      </c>
      <c r="T985" s="6" t="str">
        <f>IF(MOD(C985-Settings!$B$32,Settings!$B$33)&lt;Settings!$B$30,"Up","Down")</f>
        <v>Up</v>
      </c>
      <c r="U985" s="6">
        <f>IF(OR(I985&gt;Settings!$B$30,O985&gt;Settings!$B$37),0,1)</f>
        <v>1</v>
      </c>
      <c r="V985" s="6">
        <f>IF(AND(U985=1,O985&lt;=Settings!$B$36),1,0)</f>
        <v>1</v>
      </c>
    </row>
    <row r="986" spans="1:22" x14ac:dyDescent="0.2">
      <c r="A986">
        <f>Arrivals!A986</f>
        <v>9</v>
      </c>
      <c r="B986">
        <f>Arrivals!B986</f>
        <v>21</v>
      </c>
      <c r="C986" s="6">
        <f>Arrivals!F986</f>
        <v>232</v>
      </c>
      <c r="D986" s="6">
        <f>Arrivals!J986</f>
        <v>5.5560760681995873</v>
      </c>
      <c r="E986" s="6">
        <f t="shared" si="321"/>
        <v>297.89405270666424</v>
      </c>
      <c r="F986" s="6">
        <f t="shared" si="312"/>
        <v>297.89405270666424</v>
      </c>
      <c r="G986" s="6">
        <f t="shared" si="313"/>
        <v>303.45012877486386</v>
      </c>
      <c r="H986" s="6">
        <f>Arrivals!L986</f>
        <v>75</v>
      </c>
      <c r="I986" s="6">
        <f>H986*8/ACE_Input!S26+ACE_Input!T26</f>
        <v>6.02</v>
      </c>
      <c r="J986" s="6">
        <f t="shared" si="322"/>
        <v>303.91405270666422</v>
      </c>
      <c r="K986" s="6">
        <f t="shared" si="314"/>
        <v>303.91405270666422</v>
      </c>
      <c r="L986" s="6">
        <f>MOD(K986-Settings!$B$32,Settings!$B$33)</f>
        <v>303.91405270666422</v>
      </c>
      <c r="M986" s="6">
        <f>IF(L986&lt;Settings!$B$30,IF(Settings!$B$30-L986&gt;=I986,K986,K986+(Settings!$B$30-L986)+Settings!$B$31),K986+(Settings!$B$33-L986))</f>
        <v>303.91405270666422</v>
      </c>
      <c r="N986" s="6">
        <f t="shared" si="315"/>
        <v>309.9340527066642</v>
      </c>
      <c r="O986" s="6">
        <f t="shared" si="316"/>
        <v>77.934052706664204</v>
      </c>
      <c r="P986" s="6">
        <f t="shared" si="317"/>
        <v>65.89405270666424</v>
      </c>
      <c r="Q986" s="6">
        <f t="shared" si="318"/>
        <v>0.46392393180036606</v>
      </c>
      <c r="R986" s="6">
        <f t="shared" si="319"/>
        <v>0</v>
      </c>
      <c r="S986" s="6">
        <f t="shared" si="320"/>
        <v>66.357976638464606</v>
      </c>
      <c r="T986" s="6" t="str">
        <f>IF(MOD(C986-Settings!$B$32,Settings!$B$33)&lt;Settings!$B$30,"Up","Down")</f>
        <v>Up</v>
      </c>
      <c r="U986" s="6">
        <f>IF(OR(I986&gt;Settings!$B$30,O986&gt;Settings!$B$37),0,1)</f>
        <v>1</v>
      </c>
      <c r="V986" s="6">
        <f>IF(AND(U986=1,O986&lt;=Settings!$B$36),1,0)</f>
        <v>1</v>
      </c>
    </row>
    <row r="987" spans="1:22" x14ac:dyDescent="0.2">
      <c r="A987">
        <f>Arrivals!A987</f>
        <v>9</v>
      </c>
      <c r="B987">
        <f>Arrivals!B987</f>
        <v>22</v>
      </c>
      <c r="C987" s="6">
        <f>Arrivals!F987</f>
        <v>237</v>
      </c>
      <c r="D987" s="6">
        <f>Arrivals!J987</f>
        <v>24.03693446105104</v>
      </c>
      <c r="E987" s="6">
        <f t="shared" si="321"/>
        <v>303.45012877486386</v>
      </c>
      <c r="F987" s="6">
        <f t="shared" si="312"/>
        <v>303.45012877486386</v>
      </c>
      <c r="G987" s="6">
        <f t="shared" si="313"/>
        <v>327.48706323591489</v>
      </c>
      <c r="H987" s="6">
        <f>Arrivals!L987</f>
        <v>75</v>
      </c>
      <c r="I987" s="6">
        <f>H987*8/ACE_Input!S27+ACE_Input!T27</f>
        <v>6.02</v>
      </c>
      <c r="J987" s="6">
        <f t="shared" si="322"/>
        <v>309.9340527066642</v>
      </c>
      <c r="K987" s="6">
        <f t="shared" si="314"/>
        <v>327.48706323591489</v>
      </c>
      <c r="L987" s="6">
        <f>MOD(K987-Settings!$B$32,Settings!$B$33)</f>
        <v>327.48706323591489</v>
      </c>
      <c r="M987" s="6">
        <f>IF(L987&lt;Settings!$B$30,IF(Settings!$B$30-L987&gt;=I987,K987,K987+(Settings!$B$30-L987)+Settings!$B$31),K987+(Settings!$B$33-L987))</f>
        <v>327.48706323591489</v>
      </c>
      <c r="N987" s="6">
        <f t="shared" si="315"/>
        <v>333.50706323591487</v>
      </c>
      <c r="O987" s="6">
        <f t="shared" si="316"/>
        <v>96.50706323591487</v>
      </c>
      <c r="P987" s="6">
        <f t="shared" si="317"/>
        <v>66.450128774863856</v>
      </c>
      <c r="Q987" s="6">
        <f t="shared" si="318"/>
        <v>0</v>
      </c>
      <c r="R987" s="6">
        <f t="shared" si="319"/>
        <v>0</v>
      </c>
      <c r="S987" s="6">
        <f t="shared" si="320"/>
        <v>66.450128774863856</v>
      </c>
      <c r="T987" s="6" t="str">
        <f>IF(MOD(C987-Settings!$B$32,Settings!$B$33)&lt;Settings!$B$30,"Up","Down")</f>
        <v>Up</v>
      </c>
      <c r="U987" s="6">
        <f>IF(OR(I987&gt;Settings!$B$30,O987&gt;Settings!$B$37),0,1)</f>
        <v>1</v>
      </c>
      <c r="V987" s="6">
        <f>IF(AND(U987=1,O987&lt;=Settings!$B$36),1,0)</f>
        <v>1</v>
      </c>
    </row>
    <row r="988" spans="1:22" x14ac:dyDescent="0.2">
      <c r="A988">
        <f>Arrivals!A988</f>
        <v>9</v>
      </c>
      <c r="B988">
        <f>Arrivals!B988</f>
        <v>23</v>
      </c>
      <c r="C988" s="6">
        <f>Arrivals!F988</f>
        <v>242</v>
      </c>
      <c r="D988" s="6">
        <f>Arrivals!J988</f>
        <v>6.331545367189797</v>
      </c>
      <c r="E988" s="6">
        <f t="shared" si="321"/>
        <v>327.48706323591489</v>
      </c>
      <c r="F988" s="6">
        <f t="shared" si="312"/>
        <v>327.48706323591489</v>
      </c>
      <c r="G988" s="6">
        <f t="shared" si="313"/>
        <v>333.81860860310468</v>
      </c>
      <c r="H988" s="6">
        <f>Arrivals!L988</f>
        <v>75</v>
      </c>
      <c r="I988" s="6">
        <f>H988*8/ACE_Input!S28+ACE_Input!T28</f>
        <v>6.02</v>
      </c>
      <c r="J988" s="6">
        <f t="shared" si="322"/>
        <v>333.50706323591487</v>
      </c>
      <c r="K988" s="6">
        <f t="shared" si="314"/>
        <v>333.81860860310468</v>
      </c>
      <c r="L988" s="6">
        <f>MOD(K988-Settings!$B$32,Settings!$B$33)</f>
        <v>333.81860860310468</v>
      </c>
      <c r="M988" s="6">
        <f>IF(L988&lt;Settings!$B$30,IF(Settings!$B$30-L988&gt;=I988,K988,K988+(Settings!$B$30-L988)+Settings!$B$31),K988+(Settings!$B$33-L988))</f>
        <v>333.81860860310468</v>
      </c>
      <c r="N988" s="6">
        <f t="shared" si="315"/>
        <v>339.83860860310466</v>
      </c>
      <c r="O988" s="6">
        <f t="shared" si="316"/>
        <v>97.83860860310466</v>
      </c>
      <c r="P988" s="6">
        <f t="shared" si="317"/>
        <v>85.487063235914889</v>
      </c>
      <c r="Q988" s="6">
        <f t="shared" si="318"/>
        <v>0</v>
      </c>
      <c r="R988" s="6">
        <f t="shared" si="319"/>
        <v>0</v>
      </c>
      <c r="S988" s="6">
        <f t="shared" si="320"/>
        <v>85.487063235914889</v>
      </c>
      <c r="T988" s="6" t="str">
        <f>IF(MOD(C988-Settings!$B$32,Settings!$B$33)&lt;Settings!$B$30,"Up","Down")</f>
        <v>Up</v>
      </c>
      <c r="U988" s="6">
        <f>IF(OR(I988&gt;Settings!$B$30,O988&gt;Settings!$B$37),0,1)</f>
        <v>1</v>
      </c>
      <c r="V988" s="6">
        <f>IF(AND(U988=1,O988&lt;=Settings!$B$36),1,0)</f>
        <v>1</v>
      </c>
    </row>
    <row r="989" spans="1:22" x14ac:dyDescent="0.2">
      <c r="A989">
        <f>Arrivals!A989</f>
        <v>9</v>
      </c>
      <c r="B989">
        <f>Arrivals!B989</f>
        <v>24</v>
      </c>
      <c r="C989" s="6">
        <f>Arrivals!F989</f>
        <v>247</v>
      </c>
      <c r="D989" s="6">
        <f>Arrivals!J989</f>
        <v>21.314224971223872</v>
      </c>
      <c r="E989" s="6">
        <f t="shared" si="321"/>
        <v>333.81860860310468</v>
      </c>
      <c r="F989" s="6">
        <f t="shared" si="312"/>
        <v>333.81860860310468</v>
      </c>
      <c r="G989" s="6">
        <f t="shared" si="313"/>
        <v>355.13283357432857</v>
      </c>
      <c r="H989" s="6">
        <f>Arrivals!L989</f>
        <v>75</v>
      </c>
      <c r="I989" s="6">
        <f>H989*8/ACE_Input!S29+ACE_Input!T29</f>
        <v>6.02</v>
      </c>
      <c r="J989" s="6">
        <f t="shared" si="322"/>
        <v>339.83860860310466</v>
      </c>
      <c r="K989" s="6">
        <f t="shared" si="314"/>
        <v>355.13283357432857</v>
      </c>
      <c r="L989" s="6">
        <f>MOD(K989-Settings!$B$32,Settings!$B$33)</f>
        <v>355.13283357432857</v>
      </c>
      <c r="M989" s="6">
        <f>IF(L989&lt;Settings!$B$30,IF(Settings!$B$30-L989&gt;=I989,K989,K989+(Settings!$B$30-L989)+Settings!$B$31),K989+(Settings!$B$33-L989))</f>
        <v>355.13283357432857</v>
      </c>
      <c r="N989" s="6">
        <f t="shared" si="315"/>
        <v>361.15283357432855</v>
      </c>
      <c r="O989" s="6">
        <f t="shared" si="316"/>
        <v>114.15283357432855</v>
      </c>
      <c r="P989" s="6">
        <f t="shared" si="317"/>
        <v>86.818608603104678</v>
      </c>
      <c r="Q989" s="6">
        <f t="shared" si="318"/>
        <v>0</v>
      </c>
      <c r="R989" s="6">
        <f t="shared" si="319"/>
        <v>0</v>
      </c>
      <c r="S989" s="6">
        <f t="shared" si="320"/>
        <v>86.818608603104678</v>
      </c>
      <c r="T989" s="6" t="str">
        <f>IF(MOD(C989-Settings!$B$32,Settings!$B$33)&lt;Settings!$B$30,"Up","Down")</f>
        <v>Up</v>
      </c>
      <c r="U989" s="6">
        <f>IF(OR(I989&gt;Settings!$B$30,O989&gt;Settings!$B$37),0,1)</f>
        <v>1</v>
      </c>
      <c r="V989" s="6">
        <f>IF(AND(U989=1,O989&lt;=Settings!$B$36),1,0)</f>
        <v>1</v>
      </c>
    </row>
    <row r="990" spans="1:22" x14ac:dyDescent="0.2">
      <c r="A990">
        <f>Arrivals!A990</f>
        <v>9</v>
      </c>
      <c r="B990">
        <f>Arrivals!B990</f>
        <v>25</v>
      </c>
      <c r="C990" s="6">
        <f>Arrivals!F990</f>
        <v>252</v>
      </c>
      <c r="D990" s="6">
        <f>Arrivals!J990</f>
        <v>24.148224922108284</v>
      </c>
      <c r="E990" s="6">
        <f t="shared" si="321"/>
        <v>355.13283357432857</v>
      </c>
      <c r="F990" s="6">
        <f t="shared" si="312"/>
        <v>355.13283357432857</v>
      </c>
      <c r="G990" s="6">
        <f t="shared" si="313"/>
        <v>379.28105849643686</v>
      </c>
      <c r="H990" s="6">
        <f>Arrivals!L990</f>
        <v>75</v>
      </c>
      <c r="I990" s="6">
        <f>H990*8/ACE_Input!S30+ACE_Input!T30</f>
        <v>6.02</v>
      </c>
      <c r="J990" s="6">
        <f t="shared" si="322"/>
        <v>361.15283357432855</v>
      </c>
      <c r="K990" s="6">
        <f t="shared" si="314"/>
        <v>379.28105849643686</v>
      </c>
      <c r="L990" s="6">
        <f>MOD(K990-Settings!$B$32,Settings!$B$33)</f>
        <v>379.28105849643686</v>
      </c>
      <c r="M990" s="6">
        <f>IF(L990&lt;Settings!$B$30,IF(Settings!$B$30-L990&gt;=I990,K990,K990+(Settings!$B$30-L990)+Settings!$B$31),K990+(Settings!$B$33-L990))</f>
        <v>379.28105849643686</v>
      </c>
      <c r="N990" s="6">
        <f t="shared" si="315"/>
        <v>385.30105849643684</v>
      </c>
      <c r="O990" s="6">
        <f t="shared" si="316"/>
        <v>133.30105849643684</v>
      </c>
      <c r="P990" s="6">
        <f t="shared" si="317"/>
        <v>103.13283357432857</v>
      </c>
      <c r="Q990" s="6">
        <f t="shared" si="318"/>
        <v>0</v>
      </c>
      <c r="R990" s="6">
        <f t="shared" si="319"/>
        <v>0</v>
      </c>
      <c r="S990" s="6">
        <f t="shared" si="320"/>
        <v>103.13283357432857</v>
      </c>
      <c r="T990" s="6" t="str">
        <f>IF(MOD(C990-Settings!$B$32,Settings!$B$33)&lt;Settings!$B$30,"Up","Down")</f>
        <v>Up</v>
      </c>
      <c r="U990" s="6">
        <f>IF(OR(I990&gt;Settings!$B$30,O990&gt;Settings!$B$37),0,1)</f>
        <v>1</v>
      </c>
      <c r="V990" s="6">
        <f>IF(AND(U990=1,O990&lt;=Settings!$B$36),1,0)</f>
        <v>0</v>
      </c>
    </row>
    <row r="991" spans="1:22" x14ac:dyDescent="0.2">
      <c r="A991">
        <f>Arrivals!A991</f>
        <v>9</v>
      </c>
      <c r="B991">
        <f>Arrivals!B991</f>
        <v>26</v>
      </c>
      <c r="C991" s="6">
        <f>Arrivals!F991</f>
        <v>257</v>
      </c>
      <c r="D991" s="6">
        <f>Arrivals!J991</f>
        <v>5.0385624890206868</v>
      </c>
      <c r="E991" s="6">
        <f t="shared" si="321"/>
        <v>379.28105849643686</v>
      </c>
      <c r="F991" s="6">
        <f t="shared" si="312"/>
        <v>379.28105849643686</v>
      </c>
      <c r="G991" s="6">
        <f t="shared" si="313"/>
        <v>384.31962098545756</v>
      </c>
      <c r="H991" s="6">
        <f>Arrivals!L991</f>
        <v>75</v>
      </c>
      <c r="I991" s="6">
        <f>H991*8/ACE_Input!S31+ACE_Input!T31</f>
        <v>6.02</v>
      </c>
      <c r="J991" s="6">
        <f t="shared" si="322"/>
        <v>385.30105849643684</v>
      </c>
      <c r="K991" s="6">
        <f t="shared" si="314"/>
        <v>385.30105849643684</v>
      </c>
      <c r="L991" s="6">
        <f>MOD(K991-Settings!$B$32,Settings!$B$33)</f>
        <v>385.30105849643684</v>
      </c>
      <c r="M991" s="6">
        <f>IF(L991&lt;Settings!$B$30,IF(Settings!$B$30-L991&gt;=I991,K991,K991+(Settings!$B$30-L991)+Settings!$B$31),K991+(Settings!$B$33-L991))</f>
        <v>385.30105849643684</v>
      </c>
      <c r="N991" s="6">
        <f t="shared" si="315"/>
        <v>391.32105849643682</v>
      </c>
      <c r="O991" s="6">
        <f t="shared" si="316"/>
        <v>134.32105849643682</v>
      </c>
      <c r="P991" s="6">
        <f t="shared" si="317"/>
        <v>122.28105849643686</v>
      </c>
      <c r="Q991" s="6">
        <f t="shared" si="318"/>
        <v>0.98143751097927634</v>
      </c>
      <c r="R991" s="6">
        <f t="shared" si="319"/>
        <v>0</v>
      </c>
      <c r="S991" s="6">
        <f t="shared" si="320"/>
        <v>123.26249600741613</v>
      </c>
      <c r="T991" s="6" t="str">
        <f>IF(MOD(C991-Settings!$B$32,Settings!$B$33)&lt;Settings!$B$30,"Up","Down")</f>
        <v>Up</v>
      </c>
      <c r="U991" s="6">
        <f>IF(OR(I991&gt;Settings!$B$30,O991&gt;Settings!$B$37),0,1)</f>
        <v>1</v>
      </c>
      <c r="V991" s="6">
        <f>IF(AND(U991=1,O991&lt;=Settings!$B$36),1,0)</f>
        <v>0</v>
      </c>
    </row>
    <row r="992" spans="1:22" x14ac:dyDescent="0.2">
      <c r="A992">
        <f>Arrivals!A992</f>
        <v>9</v>
      </c>
      <c r="B992">
        <f>Arrivals!B992</f>
        <v>27</v>
      </c>
      <c r="C992" s="6">
        <f>Arrivals!F992</f>
        <v>262</v>
      </c>
      <c r="D992" s="6">
        <f>Arrivals!J992</f>
        <v>14.098885623221765</v>
      </c>
      <c r="E992" s="6">
        <f t="shared" si="321"/>
        <v>384.31962098545756</v>
      </c>
      <c r="F992" s="6">
        <f t="shared" si="312"/>
        <v>384.31962098545756</v>
      </c>
      <c r="G992" s="6">
        <f t="shared" si="313"/>
        <v>398.41850660867931</v>
      </c>
      <c r="H992" s="6">
        <f>Arrivals!L992</f>
        <v>75</v>
      </c>
      <c r="I992" s="6">
        <f>H992*8/ACE_Input!S32+ACE_Input!T32</f>
        <v>6.02</v>
      </c>
      <c r="J992" s="6">
        <f t="shared" si="322"/>
        <v>391.32105849643682</v>
      </c>
      <c r="K992" s="6">
        <f t="shared" si="314"/>
        <v>398.41850660867931</v>
      </c>
      <c r="L992" s="6">
        <f>MOD(K992-Settings!$B$32,Settings!$B$33)</f>
        <v>398.41850660867931</v>
      </c>
      <c r="M992" s="6">
        <f>IF(L992&lt;Settings!$B$30,IF(Settings!$B$30-L992&gt;=I992,K992,K992+(Settings!$B$30-L992)+Settings!$B$31),K992+(Settings!$B$33-L992))</f>
        <v>398.41850660867931</v>
      </c>
      <c r="N992" s="6">
        <f t="shared" si="315"/>
        <v>404.43850660867929</v>
      </c>
      <c r="O992" s="6">
        <f t="shared" si="316"/>
        <v>142.43850660867929</v>
      </c>
      <c r="P992" s="6">
        <f t="shared" si="317"/>
        <v>122.31962098545756</v>
      </c>
      <c r="Q992" s="6">
        <f t="shared" si="318"/>
        <v>0</v>
      </c>
      <c r="R992" s="6">
        <f t="shared" si="319"/>
        <v>0</v>
      </c>
      <c r="S992" s="6">
        <f t="shared" si="320"/>
        <v>122.31962098545756</v>
      </c>
      <c r="T992" s="6" t="str">
        <f>IF(MOD(C992-Settings!$B$32,Settings!$B$33)&lt;Settings!$B$30,"Up","Down")</f>
        <v>Up</v>
      </c>
      <c r="U992" s="6">
        <f>IF(OR(I992&gt;Settings!$B$30,O992&gt;Settings!$B$37),0,1)</f>
        <v>1</v>
      </c>
      <c r="V992" s="6">
        <f>IF(AND(U992=1,O992&lt;=Settings!$B$36),1,0)</f>
        <v>0</v>
      </c>
    </row>
    <row r="993" spans="1:22" x14ac:dyDescent="0.2">
      <c r="A993">
        <f>Arrivals!A993</f>
        <v>9</v>
      </c>
      <c r="B993">
        <f>Arrivals!B993</f>
        <v>28</v>
      </c>
      <c r="C993" s="6">
        <f>Arrivals!F993</f>
        <v>268</v>
      </c>
      <c r="D993" s="6">
        <f>Arrivals!J993</f>
        <v>2.638610538173368</v>
      </c>
      <c r="E993" s="6">
        <f t="shared" si="321"/>
        <v>398.41850660867931</v>
      </c>
      <c r="F993" s="6">
        <f t="shared" si="312"/>
        <v>398.41850660867931</v>
      </c>
      <c r="G993" s="6">
        <f t="shared" si="313"/>
        <v>401.0571171468527</v>
      </c>
      <c r="H993" s="6">
        <f>Arrivals!L993</f>
        <v>75</v>
      </c>
      <c r="I993" s="6">
        <f>H993*8/ACE_Input!S33+ACE_Input!T33</f>
        <v>6.02</v>
      </c>
      <c r="J993" s="6">
        <f t="shared" si="322"/>
        <v>404.43850660867929</v>
      </c>
      <c r="K993" s="6">
        <f t="shared" si="314"/>
        <v>404.43850660867929</v>
      </c>
      <c r="L993" s="6">
        <f>MOD(K993-Settings!$B$32,Settings!$B$33)</f>
        <v>404.43850660867929</v>
      </c>
      <c r="M993" s="6">
        <f>IF(L993&lt;Settings!$B$30,IF(Settings!$B$30-L993&gt;=I993,K993,K993+(Settings!$B$30-L993)+Settings!$B$31),K993+(Settings!$B$33-L993))</f>
        <v>404.43850660867929</v>
      </c>
      <c r="N993" s="6">
        <f t="shared" si="315"/>
        <v>410.45850660867927</v>
      </c>
      <c r="O993" s="6">
        <f t="shared" si="316"/>
        <v>142.45850660867927</v>
      </c>
      <c r="P993" s="6">
        <f t="shared" si="317"/>
        <v>130.41850660867931</v>
      </c>
      <c r="Q993" s="6">
        <f t="shared" si="318"/>
        <v>3.3813894618265863</v>
      </c>
      <c r="R993" s="6">
        <f t="shared" si="319"/>
        <v>0</v>
      </c>
      <c r="S993" s="6">
        <f t="shared" si="320"/>
        <v>133.79989607050589</v>
      </c>
      <c r="T993" s="6" t="str">
        <f>IF(MOD(C993-Settings!$B$32,Settings!$B$33)&lt;Settings!$B$30,"Up","Down")</f>
        <v>Up</v>
      </c>
      <c r="U993" s="6">
        <f>IF(OR(I993&gt;Settings!$B$30,O993&gt;Settings!$B$37),0,1)</f>
        <v>1</v>
      </c>
      <c r="V993" s="6">
        <f>IF(AND(U993=1,O993&lt;=Settings!$B$36),1,0)</f>
        <v>0</v>
      </c>
    </row>
    <row r="994" spans="1:22" x14ac:dyDescent="0.2">
      <c r="A994">
        <f>Arrivals!A994</f>
        <v>9</v>
      </c>
      <c r="B994">
        <f>Arrivals!B994</f>
        <v>29</v>
      </c>
      <c r="C994" s="6">
        <f>Arrivals!F994</f>
        <v>273</v>
      </c>
      <c r="D994" s="6">
        <f>Arrivals!J994</f>
        <v>8.431701480742765</v>
      </c>
      <c r="E994" s="6">
        <f t="shared" si="321"/>
        <v>401.0571171468527</v>
      </c>
      <c r="F994" s="6">
        <f t="shared" si="312"/>
        <v>401.0571171468527</v>
      </c>
      <c r="G994" s="6">
        <f t="shared" si="313"/>
        <v>409.48881862759549</v>
      </c>
      <c r="H994" s="6">
        <f>Arrivals!L994</f>
        <v>75</v>
      </c>
      <c r="I994" s="6">
        <f>H994*8/ACE_Input!S34+ACE_Input!T34</f>
        <v>6.02</v>
      </c>
      <c r="J994" s="6">
        <f t="shared" si="322"/>
        <v>410.45850660867927</v>
      </c>
      <c r="K994" s="6">
        <f t="shared" si="314"/>
        <v>410.45850660867927</v>
      </c>
      <c r="L994" s="6">
        <f>MOD(K994-Settings!$B$32,Settings!$B$33)</f>
        <v>410.45850660867927</v>
      </c>
      <c r="M994" s="6">
        <f>IF(L994&lt;Settings!$B$30,IF(Settings!$B$30-L994&gt;=I994,K994,K994+(Settings!$B$30-L994)+Settings!$B$31),K994+(Settings!$B$33-L994))</f>
        <v>410.45850660867927</v>
      </c>
      <c r="N994" s="6">
        <f t="shared" si="315"/>
        <v>416.47850660867925</v>
      </c>
      <c r="O994" s="6">
        <f t="shared" si="316"/>
        <v>143.47850660867925</v>
      </c>
      <c r="P994" s="6">
        <f t="shared" si="317"/>
        <v>128.0571171468527</v>
      </c>
      <c r="Q994" s="6">
        <f t="shared" si="318"/>
        <v>0.96968798108377996</v>
      </c>
      <c r="R994" s="6">
        <f t="shared" si="319"/>
        <v>0</v>
      </c>
      <c r="S994" s="6">
        <f t="shared" si="320"/>
        <v>129.02680512793648</v>
      </c>
      <c r="T994" s="6" t="str">
        <f>IF(MOD(C994-Settings!$B$32,Settings!$B$33)&lt;Settings!$B$30,"Up","Down")</f>
        <v>Up</v>
      </c>
      <c r="U994" s="6">
        <f>IF(OR(I994&gt;Settings!$B$30,O994&gt;Settings!$B$37),0,1)</f>
        <v>1</v>
      </c>
      <c r="V994" s="6">
        <f>IF(AND(U994=1,O994&lt;=Settings!$B$36),1,0)</f>
        <v>0</v>
      </c>
    </row>
    <row r="995" spans="1:22" x14ac:dyDescent="0.2">
      <c r="A995">
        <f>Arrivals!A995</f>
        <v>9</v>
      </c>
      <c r="B995">
        <f>Arrivals!B995</f>
        <v>30</v>
      </c>
      <c r="C995" s="6">
        <f>Arrivals!F995</f>
        <v>278</v>
      </c>
      <c r="D995" s="6">
        <f>Arrivals!J995</f>
        <v>28.944671617568854</v>
      </c>
      <c r="E995" s="6">
        <f t="shared" si="321"/>
        <v>409.48881862759549</v>
      </c>
      <c r="F995" s="6">
        <f t="shared" si="312"/>
        <v>409.48881862759549</v>
      </c>
      <c r="G995" s="6">
        <f t="shared" si="313"/>
        <v>438.43349024516436</v>
      </c>
      <c r="H995" s="6">
        <f>Arrivals!L995</f>
        <v>75</v>
      </c>
      <c r="I995" s="6">
        <f>H995*8/ACE_Input!S35+ACE_Input!T35</f>
        <v>6.02</v>
      </c>
      <c r="J995" s="6">
        <f t="shared" si="322"/>
        <v>416.47850660867925</v>
      </c>
      <c r="K995" s="6">
        <f t="shared" si="314"/>
        <v>438.43349024516436</v>
      </c>
      <c r="L995" s="6">
        <f>MOD(K995-Settings!$B$32,Settings!$B$33)</f>
        <v>438.43349024516436</v>
      </c>
      <c r="M995" s="6">
        <f>IF(L995&lt;Settings!$B$30,IF(Settings!$B$30-L995&gt;=I995,K995,K995+(Settings!$B$30-L995)+Settings!$B$31),K995+(Settings!$B$33-L995))</f>
        <v>438.43349024516436</v>
      </c>
      <c r="N995" s="6">
        <f t="shared" si="315"/>
        <v>444.45349024516435</v>
      </c>
      <c r="O995" s="6">
        <f t="shared" si="316"/>
        <v>166.45349024516435</v>
      </c>
      <c r="P995" s="6">
        <f t="shared" si="317"/>
        <v>131.48881862759549</v>
      </c>
      <c r="Q995" s="6">
        <f t="shared" si="318"/>
        <v>0</v>
      </c>
      <c r="R995" s="6">
        <f t="shared" si="319"/>
        <v>0</v>
      </c>
      <c r="S995" s="6">
        <f t="shared" si="320"/>
        <v>131.48881862759549</v>
      </c>
      <c r="T995" s="6" t="str">
        <f>IF(MOD(C995-Settings!$B$32,Settings!$B$33)&lt;Settings!$B$30,"Up","Down")</f>
        <v>Up</v>
      </c>
      <c r="U995" s="6">
        <f>IF(OR(I995&gt;Settings!$B$30,O995&gt;Settings!$B$37),0,1)</f>
        <v>1</v>
      </c>
      <c r="V995" s="6">
        <f>IF(AND(U995=1,O995&lt;=Settings!$B$36),1,0)</f>
        <v>0</v>
      </c>
    </row>
    <row r="996" spans="1:22" x14ac:dyDescent="0.2">
      <c r="A996">
        <f>Arrivals!A996</f>
        <v>9</v>
      </c>
      <c r="B996">
        <f>Arrivals!B996</f>
        <v>31</v>
      </c>
      <c r="C996" s="6">
        <f>Arrivals!F996</f>
        <v>283</v>
      </c>
      <c r="D996" s="6">
        <f>Arrivals!J996</f>
        <v>10.259315922910996</v>
      </c>
      <c r="E996" s="6">
        <f t="shared" si="321"/>
        <v>438.43349024516436</v>
      </c>
      <c r="F996" s="6">
        <f t="shared" si="312"/>
        <v>438.43349024516436</v>
      </c>
      <c r="G996" s="6">
        <f t="shared" si="313"/>
        <v>448.69280616807538</v>
      </c>
      <c r="H996" s="6">
        <f>Arrivals!L996</f>
        <v>75</v>
      </c>
      <c r="I996" s="6">
        <f>H996*8/ACE_Input!S36+ACE_Input!T36</f>
        <v>6.02</v>
      </c>
      <c r="J996" s="6">
        <f t="shared" si="322"/>
        <v>444.45349024516435</v>
      </c>
      <c r="K996" s="6">
        <f t="shared" si="314"/>
        <v>448.69280616807538</v>
      </c>
      <c r="L996" s="6">
        <f>MOD(K996-Settings!$B$32,Settings!$B$33)</f>
        <v>448.69280616807538</v>
      </c>
      <c r="M996" s="6">
        <f>IF(L996&lt;Settings!$B$30,IF(Settings!$B$30-L996&gt;=I996,K996,K996+(Settings!$B$30-L996)+Settings!$B$31),K996+(Settings!$B$33-L996))</f>
        <v>448.69280616807538</v>
      </c>
      <c r="N996" s="6">
        <f t="shared" si="315"/>
        <v>454.71280616807536</v>
      </c>
      <c r="O996" s="6">
        <f t="shared" si="316"/>
        <v>171.71280616807536</v>
      </c>
      <c r="P996" s="6">
        <f t="shared" si="317"/>
        <v>155.43349024516436</v>
      </c>
      <c r="Q996" s="6">
        <f t="shared" si="318"/>
        <v>0</v>
      </c>
      <c r="R996" s="6">
        <f t="shared" si="319"/>
        <v>0</v>
      </c>
      <c r="S996" s="6">
        <f t="shared" si="320"/>
        <v>155.43349024516436</v>
      </c>
      <c r="T996" s="6" t="str">
        <f>IF(MOD(C996-Settings!$B$32,Settings!$B$33)&lt;Settings!$B$30,"Up","Down")</f>
        <v>Up</v>
      </c>
      <c r="U996" s="6">
        <f>IF(OR(I996&gt;Settings!$B$30,O996&gt;Settings!$B$37),0,1)</f>
        <v>1</v>
      </c>
      <c r="V996" s="6">
        <f>IF(AND(U996=1,O996&lt;=Settings!$B$36),1,0)</f>
        <v>0</v>
      </c>
    </row>
    <row r="997" spans="1:22" x14ac:dyDescent="0.2">
      <c r="A997">
        <f>Arrivals!A997</f>
        <v>9</v>
      </c>
      <c r="B997">
        <f>Arrivals!B997</f>
        <v>32</v>
      </c>
      <c r="C997" s="6">
        <f>Arrivals!F997</f>
        <v>288</v>
      </c>
      <c r="D997" s="6">
        <f>Arrivals!J997</f>
        <v>23.417146614894381</v>
      </c>
      <c r="E997" s="6">
        <f t="shared" si="321"/>
        <v>448.69280616807538</v>
      </c>
      <c r="F997" s="6">
        <f t="shared" si="312"/>
        <v>448.69280616807538</v>
      </c>
      <c r="G997" s="6">
        <f t="shared" si="313"/>
        <v>472.10995278296974</v>
      </c>
      <c r="H997" s="6">
        <f>Arrivals!L997</f>
        <v>75</v>
      </c>
      <c r="I997" s="6">
        <f>H997*8/ACE_Input!S37+ACE_Input!T37</f>
        <v>6.02</v>
      </c>
      <c r="J997" s="6">
        <f t="shared" si="322"/>
        <v>454.71280616807536</v>
      </c>
      <c r="K997" s="6">
        <f t="shared" si="314"/>
        <v>472.10995278296974</v>
      </c>
      <c r="L997" s="6">
        <f>MOD(K997-Settings!$B$32,Settings!$B$33)</f>
        <v>472.10995278296974</v>
      </c>
      <c r="M997" s="6">
        <f>IF(L997&lt;Settings!$B$30,IF(Settings!$B$30-L997&gt;=I997,K997,K997+(Settings!$B$30-L997)+Settings!$B$31),K997+(Settings!$B$33-L997))</f>
        <v>472.10995278296974</v>
      </c>
      <c r="N997" s="6">
        <f t="shared" si="315"/>
        <v>478.12995278296972</v>
      </c>
      <c r="O997" s="6">
        <f t="shared" si="316"/>
        <v>190.12995278296972</v>
      </c>
      <c r="P997" s="6">
        <f t="shared" si="317"/>
        <v>160.69280616807538</v>
      </c>
      <c r="Q997" s="6">
        <f t="shared" si="318"/>
        <v>0</v>
      </c>
      <c r="R997" s="6">
        <f t="shared" si="319"/>
        <v>0</v>
      </c>
      <c r="S997" s="6">
        <f t="shared" si="320"/>
        <v>160.69280616807538</v>
      </c>
      <c r="T997" s="6" t="str">
        <f>IF(MOD(C997-Settings!$B$32,Settings!$B$33)&lt;Settings!$B$30,"Up","Down")</f>
        <v>Up</v>
      </c>
      <c r="U997" s="6">
        <f>IF(OR(I997&gt;Settings!$B$30,O997&gt;Settings!$B$37),0,1)</f>
        <v>1</v>
      </c>
      <c r="V997" s="6">
        <f>IF(AND(U997=1,O997&lt;=Settings!$B$36),1,0)</f>
        <v>0</v>
      </c>
    </row>
    <row r="998" spans="1:22" x14ac:dyDescent="0.2">
      <c r="A998">
        <f>Arrivals!A998</f>
        <v>9</v>
      </c>
      <c r="B998">
        <f>Arrivals!B998</f>
        <v>33</v>
      </c>
      <c r="C998" s="6">
        <f>Arrivals!F998</f>
        <v>293</v>
      </c>
      <c r="D998" s="6">
        <f>Arrivals!J998</f>
        <v>2.8894015511671505</v>
      </c>
      <c r="E998" s="6">
        <f t="shared" si="321"/>
        <v>472.10995278296974</v>
      </c>
      <c r="F998" s="6">
        <f t="shared" ref="F998:F1029" si="323">MAX(C998,E998)</f>
        <v>472.10995278296974</v>
      </c>
      <c r="G998" s="6">
        <f t="shared" ref="G998:G1029" si="324">F998+D998</f>
        <v>474.99935433413691</v>
      </c>
      <c r="H998" s="6">
        <f>Arrivals!L998</f>
        <v>75</v>
      </c>
      <c r="I998" s="6">
        <f>H998*8/ACE_Input!S38+ACE_Input!T38</f>
        <v>6.02</v>
      </c>
      <c r="J998" s="6">
        <f t="shared" si="322"/>
        <v>478.12995278296972</v>
      </c>
      <c r="K998" s="6">
        <f t="shared" ref="K998:K1029" si="325">MAX(G998,J998)</f>
        <v>478.12995278296972</v>
      </c>
      <c r="L998" s="6">
        <f>MOD(K998-Settings!$B$32,Settings!$B$33)</f>
        <v>478.12995278296972</v>
      </c>
      <c r="M998" s="6">
        <f>IF(L998&lt;Settings!$B$30,IF(Settings!$B$30-L998&gt;=I998,K998,K998+(Settings!$B$30-L998)+Settings!$B$31),K998+(Settings!$B$33-L998))</f>
        <v>478.12995278296972</v>
      </c>
      <c r="N998" s="6">
        <f t="shared" ref="N998:N1029" si="326">M998+I998</f>
        <v>484.14995278296971</v>
      </c>
      <c r="O998" s="6">
        <f t="shared" ref="O998:O1029" si="327">N998-C998</f>
        <v>191.14995278296971</v>
      </c>
      <c r="P998" s="6">
        <f t="shared" ref="P998:P1029" si="328">F998-C998</f>
        <v>179.10995278296974</v>
      </c>
      <c r="Q998" s="6">
        <f t="shared" ref="Q998:Q1029" si="329">K998-G998</f>
        <v>3.1305984488328136</v>
      </c>
      <c r="R998" s="6">
        <f t="shared" ref="R998:R1029" si="330">M998-K998</f>
        <v>0</v>
      </c>
      <c r="S998" s="6">
        <f t="shared" ref="S998:S1029" si="331">P998+Q998+R998</f>
        <v>182.24055123180256</v>
      </c>
      <c r="T998" s="6" t="str">
        <f>IF(MOD(C998-Settings!$B$32,Settings!$B$33)&lt;Settings!$B$30,"Up","Down")</f>
        <v>Up</v>
      </c>
      <c r="U998" s="6">
        <f>IF(OR(I998&gt;Settings!$B$30,O998&gt;Settings!$B$37),0,1)</f>
        <v>1</v>
      </c>
      <c r="V998" s="6">
        <f>IF(AND(U998=1,O998&lt;=Settings!$B$36),1,0)</f>
        <v>0</v>
      </c>
    </row>
    <row r="999" spans="1:22" x14ac:dyDescent="0.2">
      <c r="A999">
        <f>Arrivals!A999</f>
        <v>9</v>
      </c>
      <c r="B999">
        <f>Arrivals!B999</f>
        <v>34</v>
      </c>
      <c r="C999" s="6">
        <f>Arrivals!F999</f>
        <v>298</v>
      </c>
      <c r="D999" s="6">
        <f>Arrivals!J999</f>
        <v>8.3064319404547131</v>
      </c>
      <c r="E999" s="6">
        <f t="shared" ref="E999:E1030" si="332">G998</f>
        <v>474.99935433413691</v>
      </c>
      <c r="F999" s="6">
        <f t="shared" si="323"/>
        <v>474.99935433413691</v>
      </c>
      <c r="G999" s="6">
        <f t="shared" si="324"/>
        <v>483.30578627459164</v>
      </c>
      <c r="H999" s="6">
        <f>Arrivals!L999</f>
        <v>75</v>
      </c>
      <c r="I999" s="6">
        <f>H999*8/ACE_Input!S39+ACE_Input!T39</f>
        <v>6.02</v>
      </c>
      <c r="J999" s="6">
        <f t="shared" ref="J999:J1030" si="333">N998</f>
        <v>484.14995278296971</v>
      </c>
      <c r="K999" s="6">
        <f t="shared" si="325"/>
        <v>484.14995278296971</v>
      </c>
      <c r="L999" s="6">
        <f>MOD(K999-Settings!$B$32,Settings!$B$33)</f>
        <v>484.14995278296971</v>
      </c>
      <c r="M999" s="6">
        <f>IF(L999&lt;Settings!$B$30,IF(Settings!$B$30-L999&gt;=I999,K999,K999+(Settings!$B$30-L999)+Settings!$B$31),K999+(Settings!$B$33-L999))</f>
        <v>484.14995278296971</v>
      </c>
      <c r="N999" s="6">
        <f t="shared" si="326"/>
        <v>490.16995278296969</v>
      </c>
      <c r="O999" s="6">
        <f t="shared" si="327"/>
        <v>192.16995278296969</v>
      </c>
      <c r="P999" s="6">
        <f t="shared" si="328"/>
        <v>176.99935433413691</v>
      </c>
      <c r="Q999" s="6">
        <f t="shared" si="329"/>
        <v>0.84416650837806628</v>
      </c>
      <c r="R999" s="6">
        <f t="shared" si="330"/>
        <v>0</v>
      </c>
      <c r="S999" s="6">
        <f t="shared" si="331"/>
        <v>177.84352084251498</v>
      </c>
      <c r="T999" s="6" t="str">
        <f>IF(MOD(C999-Settings!$B$32,Settings!$B$33)&lt;Settings!$B$30,"Up","Down")</f>
        <v>Up</v>
      </c>
      <c r="U999" s="6">
        <f>IF(OR(I999&gt;Settings!$B$30,O999&gt;Settings!$B$37),0,1)</f>
        <v>1</v>
      </c>
      <c r="V999" s="6">
        <f>IF(AND(U999=1,O999&lt;=Settings!$B$36),1,0)</f>
        <v>0</v>
      </c>
    </row>
    <row r="1000" spans="1:22" x14ac:dyDescent="0.2">
      <c r="A1000">
        <f>Arrivals!A1000</f>
        <v>9</v>
      </c>
      <c r="B1000">
        <f>Arrivals!B1000</f>
        <v>35</v>
      </c>
      <c r="C1000" s="6">
        <f>Arrivals!F1000</f>
        <v>303</v>
      </c>
      <c r="D1000" s="6">
        <f>Arrivals!J1000</f>
        <v>9.8241485347917017</v>
      </c>
      <c r="E1000" s="6">
        <f t="shared" si="332"/>
        <v>483.30578627459164</v>
      </c>
      <c r="F1000" s="6">
        <f t="shared" si="323"/>
        <v>483.30578627459164</v>
      </c>
      <c r="G1000" s="6">
        <f t="shared" si="324"/>
        <v>493.12993480938331</v>
      </c>
      <c r="H1000" s="6">
        <f>Arrivals!L1000</f>
        <v>75</v>
      </c>
      <c r="I1000" s="6">
        <f>H1000*8/ACE_Input!S40+ACE_Input!T40</f>
        <v>6.02</v>
      </c>
      <c r="J1000" s="6">
        <f t="shared" si="333"/>
        <v>490.16995278296969</v>
      </c>
      <c r="K1000" s="6">
        <f t="shared" si="325"/>
        <v>493.12993480938331</v>
      </c>
      <c r="L1000" s="6">
        <f>MOD(K1000-Settings!$B$32,Settings!$B$33)</f>
        <v>493.12993480938331</v>
      </c>
      <c r="M1000" s="6">
        <f>IF(L1000&lt;Settings!$B$30,IF(Settings!$B$30-L1000&gt;=I1000,K1000,K1000+(Settings!$B$30-L1000)+Settings!$B$31),K1000+(Settings!$B$33-L1000))</f>
        <v>493.12993480938331</v>
      </c>
      <c r="N1000" s="6">
        <f t="shared" si="326"/>
        <v>499.1499348093833</v>
      </c>
      <c r="O1000" s="6">
        <f t="shared" si="327"/>
        <v>196.1499348093833</v>
      </c>
      <c r="P1000" s="6">
        <f t="shared" si="328"/>
        <v>180.30578627459164</v>
      </c>
      <c r="Q1000" s="6">
        <f t="shared" si="329"/>
        <v>0</v>
      </c>
      <c r="R1000" s="6">
        <f t="shared" si="330"/>
        <v>0</v>
      </c>
      <c r="S1000" s="6">
        <f t="shared" si="331"/>
        <v>180.30578627459164</v>
      </c>
      <c r="T1000" s="6" t="str">
        <f>IF(MOD(C1000-Settings!$B$32,Settings!$B$33)&lt;Settings!$B$30,"Up","Down")</f>
        <v>Up</v>
      </c>
      <c r="U1000" s="6">
        <f>IF(OR(I1000&gt;Settings!$B$30,O1000&gt;Settings!$B$37),0,1)</f>
        <v>1</v>
      </c>
      <c r="V1000" s="6">
        <f>IF(AND(U1000=1,O1000&lt;=Settings!$B$36),1,0)</f>
        <v>0</v>
      </c>
    </row>
    <row r="1001" spans="1:22" x14ac:dyDescent="0.2">
      <c r="A1001">
        <f>Arrivals!A1001</f>
        <v>9</v>
      </c>
      <c r="B1001">
        <f>Arrivals!B1001</f>
        <v>36</v>
      </c>
      <c r="C1001" s="6">
        <f>Arrivals!F1001</f>
        <v>308</v>
      </c>
      <c r="D1001" s="6">
        <f>Arrivals!J1001</f>
        <v>25.500018774105854</v>
      </c>
      <c r="E1001" s="6">
        <f t="shared" si="332"/>
        <v>493.12993480938331</v>
      </c>
      <c r="F1001" s="6">
        <f t="shared" si="323"/>
        <v>493.12993480938331</v>
      </c>
      <c r="G1001" s="6">
        <f t="shared" si="324"/>
        <v>518.62995358348917</v>
      </c>
      <c r="H1001" s="6">
        <f>Arrivals!L1001</f>
        <v>75</v>
      </c>
      <c r="I1001" s="6">
        <f>H1001*8/ACE_Input!S41+ACE_Input!T41</f>
        <v>6.02</v>
      </c>
      <c r="J1001" s="6">
        <f t="shared" si="333"/>
        <v>499.1499348093833</v>
      </c>
      <c r="K1001" s="6">
        <f t="shared" si="325"/>
        <v>518.62995358348917</v>
      </c>
      <c r="L1001" s="6">
        <f>MOD(K1001-Settings!$B$32,Settings!$B$33)</f>
        <v>518.62995358348917</v>
      </c>
      <c r="M1001" s="6">
        <f>IF(L1001&lt;Settings!$B$30,IF(Settings!$B$30-L1001&gt;=I1001,K1001,K1001+(Settings!$B$30-L1001)+Settings!$B$31),K1001+(Settings!$B$33-L1001))</f>
        <v>518.62995358348917</v>
      </c>
      <c r="N1001" s="6">
        <f t="shared" si="326"/>
        <v>524.64995358348915</v>
      </c>
      <c r="O1001" s="6">
        <f t="shared" si="327"/>
        <v>216.64995358348915</v>
      </c>
      <c r="P1001" s="6">
        <f t="shared" si="328"/>
        <v>185.12993480938331</v>
      </c>
      <c r="Q1001" s="6">
        <f t="shared" si="329"/>
        <v>0</v>
      </c>
      <c r="R1001" s="6">
        <f t="shared" si="330"/>
        <v>0</v>
      </c>
      <c r="S1001" s="6">
        <f t="shared" si="331"/>
        <v>185.12993480938331</v>
      </c>
      <c r="T1001" s="6" t="str">
        <f>IF(MOD(C1001-Settings!$B$32,Settings!$B$33)&lt;Settings!$B$30,"Up","Down")</f>
        <v>Up</v>
      </c>
      <c r="U1001" s="6">
        <f>IF(OR(I1001&gt;Settings!$B$30,O1001&gt;Settings!$B$37),0,1)</f>
        <v>1</v>
      </c>
      <c r="V1001" s="6">
        <f>IF(AND(U1001=1,O1001&lt;=Settings!$B$36),1,0)</f>
        <v>0</v>
      </c>
    </row>
    <row r="1002" spans="1:22" x14ac:dyDescent="0.2">
      <c r="A1002">
        <f>Arrivals!A1002</f>
        <v>9</v>
      </c>
      <c r="B1002">
        <f>Arrivals!B1002</f>
        <v>37</v>
      </c>
      <c r="C1002" s="6">
        <f>Arrivals!F1002</f>
        <v>313</v>
      </c>
      <c r="D1002" s="6">
        <f>Arrivals!J1002</f>
        <v>14.180384404869557</v>
      </c>
      <c r="E1002" s="6">
        <f t="shared" si="332"/>
        <v>518.62995358348917</v>
      </c>
      <c r="F1002" s="6">
        <f t="shared" si="323"/>
        <v>518.62995358348917</v>
      </c>
      <c r="G1002" s="6">
        <f t="shared" si="324"/>
        <v>532.8103379883587</v>
      </c>
      <c r="H1002" s="6">
        <f>Arrivals!L1002</f>
        <v>75</v>
      </c>
      <c r="I1002" s="6">
        <f>H1002*8/ACE_Input!S42+ACE_Input!T42</f>
        <v>6.02</v>
      </c>
      <c r="J1002" s="6">
        <f t="shared" si="333"/>
        <v>524.64995358348915</v>
      </c>
      <c r="K1002" s="6">
        <f t="shared" si="325"/>
        <v>532.8103379883587</v>
      </c>
      <c r="L1002" s="6">
        <f>MOD(K1002-Settings!$B$32,Settings!$B$33)</f>
        <v>532.8103379883587</v>
      </c>
      <c r="M1002" s="6">
        <f>IF(L1002&lt;Settings!$B$30,IF(Settings!$B$30-L1002&gt;=I1002,K1002,K1002+(Settings!$B$30-L1002)+Settings!$B$31),K1002+(Settings!$B$33-L1002))</f>
        <v>532.8103379883587</v>
      </c>
      <c r="N1002" s="6">
        <f t="shared" si="326"/>
        <v>538.83033798835868</v>
      </c>
      <c r="O1002" s="6">
        <f t="shared" si="327"/>
        <v>225.83033798835868</v>
      </c>
      <c r="P1002" s="6">
        <f t="shared" si="328"/>
        <v>205.62995358348917</v>
      </c>
      <c r="Q1002" s="6">
        <f t="shared" si="329"/>
        <v>0</v>
      </c>
      <c r="R1002" s="6">
        <f t="shared" si="330"/>
        <v>0</v>
      </c>
      <c r="S1002" s="6">
        <f t="shared" si="331"/>
        <v>205.62995358348917</v>
      </c>
      <c r="T1002" s="6" t="str">
        <f>IF(MOD(C1002-Settings!$B$32,Settings!$B$33)&lt;Settings!$B$30,"Up","Down")</f>
        <v>Up</v>
      </c>
      <c r="U1002" s="6">
        <f>IF(OR(I1002&gt;Settings!$B$30,O1002&gt;Settings!$B$37),0,1)</f>
        <v>1</v>
      </c>
      <c r="V1002" s="6">
        <f>IF(AND(U1002=1,O1002&lt;=Settings!$B$36),1,0)</f>
        <v>0</v>
      </c>
    </row>
    <row r="1003" spans="1:22" x14ac:dyDescent="0.2">
      <c r="A1003">
        <f>Arrivals!A1003</f>
        <v>9</v>
      </c>
      <c r="B1003">
        <f>Arrivals!B1003</f>
        <v>38</v>
      </c>
      <c r="C1003" s="6">
        <f>Arrivals!F1003</f>
        <v>318</v>
      </c>
      <c r="D1003" s="6">
        <f>Arrivals!J1003</f>
        <v>4.8347641630376055</v>
      </c>
      <c r="E1003" s="6">
        <f t="shared" si="332"/>
        <v>532.8103379883587</v>
      </c>
      <c r="F1003" s="6">
        <f t="shared" si="323"/>
        <v>532.8103379883587</v>
      </c>
      <c r="G1003" s="6">
        <f t="shared" si="324"/>
        <v>537.64510215139626</v>
      </c>
      <c r="H1003" s="6">
        <f>Arrivals!L1003</f>
        <v>75</v>
      </c>
      <c r="I1003" s="6">
        <f>H1003*8/ACE_Input!S43+ACE_Input!T43</f>
        <v>6.02</v>
      </c>
      <c r="J1003" s="6">
        <f t="shared" si="333"/>
        <v>538.83033798835868</v>
      </c>
      <c r="K1003" s="6">
        <f t="shared" si="325"/>
        <v>538.83033798835868</v>
      </c>
      <c r="L1003" s="6">
        <f>MOD(K1003-Settings!$B$32,Settings!$B$33)</f>
        <v>538.83033798835868</v>
      </c>
      <c r="M1003" s="6">
        <f>IF(L1003&lt;Settings!$B$30,IF(Settings!$B$30-L1003&gt;=I1003,K1003,K1003+(Settings!$B$30-L1003)+Settings!$B$31),K1003+(Settings!$B$33-L1003))</f>
        <v>538.83033798835868</v>
      </c>
      <c r="N1003" s="6">
        <f t="shared" si="326"/>
        <v>544.85033798835866</v>
      </c>
      <c r="O1003" s="6">
        <f t="shared" si="327"/>
        <v>226.85033798835866</v>
      </c>
      <c r="P1003" s="6">
        <f t="shared" si="328"/>
        <v>214.8103379883587</v>
      </c>
      <c r="Q1003" s="6">
        <f t="shared" si="329"/>
        <v>1.1852358369624199</v>
      </c>
      <c r="R1003" s="6">
        <f t="shared" si="330"/>
        <v>0</v>
      </c>
      <c r="S1003" s="6">
        <f t="shared" si="331"/>
        <v>215.99557382532112</v>
      </c>
      <c r="T1003" s="6" t="str">
        <f>IF(MOD(C1003-Settings!$B$32,Settings!$B$33)&lt;Settings!$B$30,"Up","Down")</f>
        <v>Up</v>
      </c>
      <c r="U1003" s="6">
        <f>IF(OR(I1003&gt;Settings!$B$30,O1003&gt;Settings!$B$37),0,1)</f>
        <v>1</v>
      </c>
      <c r="V1003" s="6">
        <f>IF(AND(U1003=1,O1003&lt;=Settings!$B$36),1,0)</f>
        <v>0</v>
      </c>
    </row>
    <row r="1004" spans="1:22" x14ac:dyDescent="0.2">
      <c r="A1004">
        <f>Arrivals!A1004</f>
        <v>9</v>
      </c>
      <c r="B1004">
        <f>Arrivals!B1004</f>
        <v>39</v>
      </c>
      <c r="C1004" s="6">
        <f>Arrivals!F1004</f>
        <v>323</v>
      </c>
      <c r="D1004" s="6">
        <f>Arrivals!J1004</f>
        <v>8.8504714497162382</v>
      </c>
      <c r="E1004" s="6">
        <f t="shared" si="332"/>
        <v>537.64510215139626</v>
      </c>
      <c r="F1004" s="6">
        <f t="shared" si="323"/>
        <v>537.64510215139626</v>
      </c>
      <c r="G1004" s="6">
        <f t="shared" si="324"/>
        <v>546.49557360111248</v>
      </c>
      <c r="H1004" s="6">
        <f>Arrivals!L1004</f>
        <v>75</v>
      </c>
      <c r="I1004" s="6">
        <f>H1004*8/ACE_Input!S44+ACE_Input!T44</f>
        <v>6.02</v>
      </c>
      <c r="J1004" s="6">
        <f t="shared" si="333"/>
        <v>544.85033798835866</v>
      </c>
      <c r="K1004" s="6">
        <f t="shared" si="325"/>
        <v>546.49557360111248</v>
      </c>
      <c r="L1004" s="6">
        <f>MOD(K1004-Settings!$B$32,Settings!$B$33)</f>
        <v>546.49557360111248</v>
      </c>
      <c r="M1004" s="6">
        <f>IF(L1004&lt;Settings!$B$30,IF(Settings!$B$30-L1004&gt;=I1004,K1004,K1004+(Settings!$B$30-L1004)+Settings!$B$31),K1004+(Settings!$B$33-L1004))</f>
        <v>546.49557360111248</v>
      </c>
      <c r="N1004" s="6">
        <f t="shared" si="326"/>
        <v>552.51557360111246</v>
      </c>
      <c r="O1004" s="6">
        <f t="shared" si="327"/>
        <v>229.51557360111246</v>
      </c>
      <c r="P1004" s="6">
        <f t="shared" si="328"/>
        <v>214.64510215139626</v>
      </c>
      <c r="Q1004" s="6">
        <f t="shared" si="329"/>
        <v>0</v>
      </c>
      <c r="R1004" s="6">
        <f t="shared" si="330"/>
        <v>0</v>
      </c>
      <c r="S1004" s="6">
        <f t="shared" si="331"/>
        <v>214.64510215139626</v>
      </c>
      <c r="T1004" s="6" t="str">
        <f>IF(MOD(C1004-Settings!$B$32,Settings!$B$33)&lt;Settings!$B$30,"Up","Down")</f>
        <v>Up</v>
      </c>
      <c r="U1004" s="6">
        <f>IF(OR(I1004&gt;Settings!$B$30,O1004&gt;Settings!$B$37),0,1)</f>
        <v>1</v>
      </c>
      <c r="V1004" s="6">
        <f>IF(AND(U1004=1,O1004&lt;=Settings!$B$36),1,0)</f>
        <v>0</v>
      </c>
    </row>
    <row r="1005" spans="1:22" x14ac:dyDescent="0.2">
      <c r="A1005">
        <f>Arrivals!A1005</f>
        <v>9</v>
      </c>
      <c r="B1005">
        <f>Arrivals!B1005</f>
        <v>40</v>
      </c>
      <c r="C1005" s="6">
        <f>Arrivals!F1005</f>
        <v>328</v>
      </c>
      <c r="D1005" s="6">
        <f>Arrivals!J1005</f>
        <v>5.9321653714221974</v>
      </c>
      <c r="E1005" s="6">
        <f t="shared" si="332"/>
        <v>546.49557360111248</v>
      </c>
      <c r="F1005" s="6">
        <f t="shared" si="323"/>
        <v>546.49557360111248</v>
      </c>
      <c r="G1005" s="6">
        <f t="shared" si="324"/>
        <v>552.42773897253471</v>
      </c>
      <c r="H1005" s="6">
        <f>Arrivals!L1005</f>
        <v>75</v>
      </c>
      <c r="I1005" s="6">
        <f>H1005*8/ACE_Input!S45+ACE_Input!T45</f>
        <v>6.02</v>
      </c>
      <c r="J1005" s="6">
        <f t="shared" si="333"/>
        <v>552.51557360111246</v>
      </c>
      <c r="K1005" s="6">
        <f t="shared" si="325"/>
        <v>552.51557360111246</v>
      </c>
      <c r="L1005" s="6">
        <f>MOD(K1005-Settings!$B$32,Settings!$B$33)</f>
        <v>552.51557360111246</v>
      </c>
      <c r="M1005" s="6">
        <f>IF(L1005&lt;Settings!$B$30,IF(Settings!$B$30-L1005&gt;=I1005,K1005,K1005+(Settings!$B$30-L1005)+Settings!$B$31),K1005+(Settings!$B$33-L1005))</f>
        <v>552.51557360111246</v>
      </c>
      <c r="N1005" s="6">
        <f t="shared" si="326"/>
        <v>558.53557360111245</v>
      </c>
      <c r="O1005" s="6">
        <f t="shared" si="327"/>
        <v>230.53557360111245</v>
      </c>
      <c r="P1005" s="6">
        <f t="shared" si="328"/>
        <v>218.49557360111248</v>
      </c>
      <c r="Q1005" s="6">
        <f t="shared" si="329"/>
        <v>8.7834628577752483E-2</v>
      </c>
      <c r="R1005" s="6">
        <f t="shared" si="330"/>
        <v>0</v>
      </c>
      <c r="S1005" s="6">
        <f t="shared" si="331"/>
        <v>218.58340822969024</v>
      </c>
      <c r="T1005" s="6" t="str">
        <f>IF(MOD(C1005-Settings!$B$32,Settings!$B$33)&lt;Settings!$B$30,"Up","Down")</f>
        <v>Up</v>
      </c>
      <c r="U1005" s="6">
        <f>IF(OR(I1005&gt;Settings!$B$30,O1005&gt;Settings!$B$37),0,1)</f>
        <v>1</v>
      </c>
      <c r="V1005" s="6">
        <f>IF(AND(U1005=1,O1005&lt;=Settings!$B$36),1,0)</f>
        <v>0</v>
      </c>
    </row>
    <row r="1006" spans="1:22" x14ac:dyDescent="0.2">
      <c r="A1006">
        <f>Arrivals!A1006</f>
        <v>9</v>
      </c>
      <c r="B1006">
        <f>Arrivals!B1006</f>
        <v>41</v>
      </c>
      <c r="C1006" s="6">
        <f>Arrivals!F1006</f>
        <v>333</v>
      </c>
      <c r="D1006" s="6">
        <f>Arrivals!J1006</f>
        <v>3.4637888136779065</v>
      </c>
      <c r="E1006" s="6">
        <f t="shared" si="332"/>
        <v>552.42773897253471</v>
      </c>
      <c r="F1006" s="6">
        <f t="shared" si="323"/>
        <v>552.42773897253471</v>
      </c>
      <c r="G1006" s="6">
        <f t="shared" si="324"/>
        <v>555.89152778621258</v>
      </c>
      <c r="H1006" s="6">
        <f>Arrivals!L1006</f>
        <v>75</v>
      </c>
      <c r="I1006" s="6">
        <f>H1006*8/ACE_Input!S46+ACE_Input!T46</f>
        <v>6.02</v>
      </c>
      <c r="J1006" s="6">
        <f t="shared" si="333"/>
        <v>558.53557360111245</v>
      </c>
      <c r="K1006" s="6">
        <f t="shared" si="325"/>
        <v>558.53557360111245</v>
      </c>
      <c r="L1006" s="6">
        <f>MOD(K1006-Settings!$B$32,Settings!$B$33)</f>
        <v>558.53557360111245</v>
      </c>
      <c r="M1006" s="6">
        <f>IF(L1006&lt;Settings!$B$30,IF(Settings!$B$30-L1006&gt;=I1006,K1006,K1006+(Settings!$B$30-L1006)+Settings!$B$31),K1006+(Settings!$B$33-L1006))</f>
        <v>558.53557360111245</v>
      </c>
      <c r="N1006" s="6">
        <f t="shared" si="326"/>
        <v>564.55557360111243</v>
      </c>
      <c r="O1006" s="6">
        <f t="shared" si="327"/>
        <v>231.55557360111243</v>
      </c>
      <c r="P1006" s="6">
        <f t="shared" si="328"/>
        <v>219.42773897253471</v>
      </c>
      <c r="Q1006" s="6">
        <f t="shared" si="329"/>
        <v>2.6440458148998687</v>
      </c>
      <c r="R1006" s="6">
        <f t="shared" si="330"/>
        <v>0</v>
      </c>
      <c r="S1006" s="6">
        <f t="shared" si="331"/>
        <v>222.07178478743458</v>
      </c>
      <c r="T1006" s="6" t="str">
        <f>IF(MOD(C1006-Settings!$B$32,Settings!$B$33)&lt;Settings!$B$30,"Up","Down")</f>
        <v>Up</v>
      </c>
      <c r="U1006" s="6">
        <f>IF(OR(I1006&gt;Settings!$B$30,O1006&gt;Settings!$B$37),0,1)</f>
        <v>1</v>
      </c>
      <c r="V1006" s="6">
        <f>IF(AND(U1006=1,O1006&lt;=Settings!$B$36),1,0)</f>
        <v>0</v>
      </c>
    </row>
    <row r="1007" spans="1:22" x14ac:dyDescent="0.2">
      <c r="A1007">
        <f>Arrivals!A1007</f>
        <v>9</v>
      </c>
      <c r="B1007">
        <f>Arrivals!B1007</f>
        <v>42</v>
      </c>
      <c r="C1007" s="6">
        <f>Arrivals!F1007</f>
        <v>338</v>
      </c>
      <c r="D1007" s="6">
        <f>Arrivals!J1007</f>
        <v>32.495396859947959</v>
      </c>
      <c r="E1007" s="6">
        <f t="shared" si="332"/>
        <v>555.89152778621258</v>
      </c>
      <c r="F1007" s="6">
        <f t="shared" si="323"/>
        <v>555.89152778621258</v>
      </c>
      <c r="G1007" s="6">
        <f t="shared" si="324"/>
        <v>588.38692464616054</v>
      </c>
      <c r="H1007" s="6">
        <f>Arrivals!L1007</f>
        <v>75</v>
      </c>
      <c r="I1007" s="6">
        <f>H1007*8/ACE_Input!S47+ACE_Input!T47</f>
        <v>6.02</v>
      </c>
      <c r="J1007" s="6">
        <f t="shared" si="333"/>
        <v>564.55557360111243</v>
      </c>
      <c r="K1007" s="6">
        <f t="shared" si="325"/>
        <v>588.38692464616054</v>
      </c>
      <c r="L1007" s="6">
        <f>MOD(K1007-Settings!$B$32,Settings!$B$33)</f>
        <v>588.38692464616054</v>
      </c>
      <c r="M1007" s="6">
        <f>IF(L1007&lt;Settings!$B$30,IF(Settings!$B$30-L1007&gt;=I1007,K1007,K1007+(Settings!$B$30-L1007)+Settings!$B$31),K1007+(Settings!$B$33-L1007))</f>
        <v>588.38692464616054</v>
      </c>
      <c r="N1007" s="6">
        <f t="shared" si="326"/>
        <v>594.40692464616052</v>
      </c>
      <c r="O1007" s="6">
        <f t="shared" si="327"/>
        <v>256.40692464616052</v>
      </c>
      <c r="P1007" s="6">
        <f t="shared" si="328"/>
        <v>217.89152778621258</v>
      </c>
      <c r="Q1007" s="6">
        <f t="shared" si="329"/>
        <v>0</v>
      </c>
      <c r="R1007" s="6">
        <f t="shared" si="330"/>
        <v>0</v>
      </c>
      <c r="S1007" s="6">
        <f t="shared" si="331"/>
        <v>217.89152778621258</v>
      </c>
      <c r="T1007" s="6" t="str">
        <f>IF(MOD(C1007-Settings!$B$32,Settings!$B$33)&lt;Settings!$B$30,"Up","Down")</f>
        <v>Up</v>
      </c>
      <c r="U1007" s="6">
        <f>IF(OR(I1007&gt;Settings!$B$30,O1007&gt;Settings!$B$37),0,1)</f>
        <v>1</v>
      </c>
      <c r="V1007" s="6">
        <f>IF(AND(U1007=1,O1007&lt;=Settings!$B$36),1,0)</f>
        <v>0</v>
      </c>
    </row>
    <row r="1008" spans="1:22" x14ac:dyDescent="0.2">
      <c r="A1008">
        <f>Arrivals!A1008</f>
        <v>9</v>
      </c>
      <c r="B1008">
        <f>Arrivals!B1008</f>
        <v>43</v>
      </c>
      <c r="C1008" s="6">
        <f>Arrivals!F1008</f>
        <v>343</v>
      </c>
      <c r="D1008" s="6">
        <f>Arrivals!J1008</f>
        <v>6.5525121435867515</v>
      </c>
      <c r="E1008" s="6">
        <f t="shared" si="332"/>
        <v>588.38692464616054</v>
      </c>
      <c r="F1008" s="6">
        <f t="shared" si="323"/>
        <v>588.38692464616054</v>
      </c>
      <c r="G1008" s="6">
        <f t="shared" si="324"/>
        <v>594.93943678974733</v>
      </c>
      <c r="H1008" s="6">
        <f>Arrivals!L1008</f>
        <v>75</v>
      </c>
      <c r="I1008" s="6">
        <f>H1008*8/ACE_Input!S48+ACE_Input!T48</f>
        <v>6.02</v>
      </c>
      <c r="J1008" s="6">
        <f t="shared" si="333"/>
        <v>594.40692464616052</v>
      </c>
      <c r="K1008" s="6">
        <f t="shared" si="325"/>
        <v>594.93943678974733</v>
      </c>
      <c r="L1008" s="6">
        <f>MOD(K1008-Settings!$B$32,Settings!$B$33)</f>
        <v>594.93943678974733</v>
      </c>
      <c r="M1008" s="6">
        <f>IF(L1008&lt;Settings!$B$30,IF(Settings!$B$30-L1008&gt;=I1008,K1008,K1008+(Settings!$B$30-L1008)+Settings!$B$31),K1008+(Settings!$B$33-L1008))</f>
        <v>720</v>
      </c>
      <c r="N1008" s="6">
        <f t="shared" si="326"/>
        <v>726.02</v>
      </c>
      <c r="O1008" s="6">
        <f t="shared" si="327"/>
        <v>383.02</v>
      </c>
      <c r="P1008" s="6">
        <f t="shared" si="328"/>
        <v>245.38692464616054</v>
      </c>
      <c r="Q1008" s="6">
        <f t="shared" si="329"/>
        <v>0</v>
      </c>
      <c r="R1008" s="6">
        <f t="shared" si="330"/>
        <v>125.06056321025267</v>
      </c>
      <c r="S1008" s="6">
        <f t="shared" si="331"/>
        <v>370.4474878564132</v>
      </c>
      <c r="T1008" s="6" t="str">
        <f>IF(MOD(C1008-Settings!$B$32,Settings!$B$33)&lt;Settings!$B$30,"Up","Down")</f>
        <v>Up</v>
      </c>
      <c r="U1008" s="6">
        <f>IF(OR(I1008&gt;Settings!$B$30,O1008&gt;Settings!$B$37),0,1)</f>
        <v>1</v>
      </c>
      <c r="V1008" s="6">
        <f>IF(AND(U1008=1,O1008&lt;=Settings!$B$36),1,0)</f>
        <v>0</v>
      </c>
    </row>
    <row r="1009" spans="1:22" x14ac:dyDescent="0.2">
      <c r="A1009">
        <f>Arrivals!A1009</f>
        <v>9</v>
      </c>
      <c r="B1009">
        <f>Arrivals!B1009</f>
        <v>44</v>
      </c>
      <c r="C1009" s="6">
        <f>Arrivals!F1009</f>
        <v>348</v>
      </c>
      <c r="D1009" s="6">
        <f>Arrivals!J1009</f>
        <v>16.886440458475683</v>
      </c>
      <c r="E1009" s="6">
        <f t="shared" si="332"/>
        <v>594.93943678974733</v>
      </c>
      <c r="F1009" s="6">
        <f t="shared" si="323"/>
        <v>594.93943678974733</v>
      </c>
      <c r="G1009" s="6">
        <f t="shared" si="324"/>
        <v>611.82587724822304</v>
      </c>
      <c r="H1009" s="6">
        <f>Arrivals!L1009</f>
        <v>75</v>
      </c>
      <c r="I1009" s="6">
        <f>H1009*8/ACE_Input!S49+ACE_Input!T49</f>
        <v>6.02</v>
      </c>
      <c r="J1009" s="6">
        <f t="shared" si="333"/>
        <v>726.02</v>
      </c>
      <c r="K1009" s="6">
        <f t="shared" si="325"/>
        <v>726.02</v>
      </c>
      <c r="L1009" s="6">
        <f>MOD(K1009-Settings!$B$32,Settings!$B$33)</f>
        <v>6.0199999999999818</v>
      </c>
      <c r="M1009" s="6">
        <f>IF(L1009&lt;Settings!$B$30,IF(Settings!$B$30-L1009&gt;=I1009,K1009,K1009+(Settings!$B$30-L1009)+Settings!$B$31),K1009+(Settings!$B$33-L1009))</f>
        <v>726.02</v>
      </c>
      <c r="N1009" s="6">
        <f t="shared" si="326"/>
        <v>732.04</v>
      </c>
      <c r="O1009" s="6">
        <f t="shared" si="327"/>
        <v>384.03999999999996</v>
      </c>
      <c r="P1009" s="6">
        <f t="shared" si="328"/>
        <v>246.93943678974733</v>
      </c>
      <c r="Q1009" s="6">
        <f t="shared" si="329"/>
        <v>114.19412275177694</v>
      </c>
      <c r="R1009" s="6">
        <f t="shared" si="330"/>
        <v>0</v>
      </c>
      <c r="S1009" s="6">
        <f t="shared" si="331"/>
        <v>361.13355954152428</v>
      </c>
      <c r="T1009" s="6" t="str">
        <f>IF(MOD(C1009-Settings!$B$32,Settings!$B$33)&lt;Settings!$B$30,"Up","Down")</f>
        <v>Up</v>
      </c>
      <c r="U1009" s="6">
        <f>IF(OR(I1009&gt;Settings!$B$30,O1009&gt;Settings!$B$37),0,1)</f>
        <v>1</v>
      </c>
      <c r="V1009" s="6">
        <f>IF(AND(U1009=1,O1009&lt;=Settings!$B$36),1,0)</f>
        <v>0</v>
      </c>
    </row>
    <row r="1010" spans="1:22" x14ac:dyDescent="0.2">
      <c r="A1010">
        <f>Arrivals!A1010</f>
        <v>9</v>
      </c>
      <c r="B1010">
        <f>Arrivals!B1010</f>
        <v>45</v>
      </c>
      <c r="C1010" s="6">
        <f>Arrivals!F1010</f>
        <v>354</v>
      </c>
      <c r="D1010" s="6">
        <f>Arrivals!J1010</f>
        <v>2.5631913723296442</v>
      </c>
      <c r="E1010" s="6">
        <f t="shared" si="332"/>
        <v>611.82587724822304</v>
      </c>
      <c r="F1010" s="6">
        <f t="shared" si="323"/>
        <v>611.82587724822304</v>
      </c>
      <c r="G1010" s="6">
        <f t="shared" si="324"/>
        <v>614.38906862055273</v>
      </c>
      <c r="H1010" s="6">
        <f>Arrivals!L1010</f>
        <v>75</v>
      </c>
      <c r="I1010" s="6">
        <f>H1010*8/ACE_Input!S50+ACE_Input!T50</f>
        <v>6.02</v>
      </c>
      <c r="J1010" s="6">
        <f t="shared" si="333"/>
        <v>732.04</v>
      </c>
      <c r="K1010" s="6">
        <f t="shared" si="325"/>
        <v>732.04</v>
      </c>
      <c r="L1010" s="6">
        <f>MOD(K1010-Settings!$B$32,Settings!$B$33)</f>
        <v>12.039999999999964</v>
      </c>
      <c r="M1010" s="6">
        <f>IF(L1010&lt;Settings!$B$30,IF(Settings!$B$30-L1010&gt;=I1010,K1010,K1010+(Settings!$B$30-L1010)+Settings!$B$31),K1010+(Settings!$B$33-L1010))</f>
        <v>732.04</v>
      </c>
      <c r="N1010" s="6">
        <f t="shared" si="326"/>
        <v>738.06</v>
      </c>
      <c r="O1010" s="6">
        <f t="shared" si="327"/>
        <v>384.05999999999995</v>
      </c>
      <c r="P1010" s="6">
        <f t="shared" si="328"/>
        <v>257.82587724822304</v>
      </c>
      <c r="Q1010" s="6">
        <f t="shared" si="329"/>
        <v>117.65093137944723</v>
      </c>
      <c r="R1010" s="6">
        <f t="shared" si="330"/>
        <v>0</v>
      </c>
      <c r="S1010" s="6">
        <f t="shared" si="331"/>
        <v>375.47680862767027</v>
      </c>
      <c r="T1010" s="6" t="str">
        <f>IF(MOD(C1010-Settings!$B$32,Settings!$B$33)&lt;Settings!$B$30,"Up","Down")</f>
        <v>Up</v>
      </c>
      <c r="U1010" s="6">
        <f>IF(OR(I1010&gt;Settings!$B$30,O1010&gt;Settings!$B$37),0,1)</f>
        <v>1</v>
      </c>
      <c r="V1010" s="6">
        <f>IF(AND(U1010=1,O1010&lt;=Settings!$B$36),1,0)</f>
        <v>0</v>
      </c>
    </row>
    <row r="1011" spans="1:22" x14ac:dyDescent="0.2">
      <c r="A1011">
        <f>Arrivals!A1011</f>
        <v>9</v>
      </c>
      <c r="B1011">
        <f>Arrivals!B1011</f>
        <v>46</v>
      </c>
      <c r="C1011" s="6">
        <f>Arrivals!F1011</f>
        <v>359</v>
      </c>
      <c r="D1011" s="6">
        <f>Arrivals!J1011</f>
        <v>7.332300613896054</v>
      </c>
      <c r="E1011" s="6">
        <f t="shared" si="332"/>
        <v>614.38906862055273</v>
      </c>
      <c r="F1011" s="6">
        <f t="shared" si="323"/>
        <v>614.38906862055273</v>
      </c>
      <c r="G1011" s="6">
        <f t="shared" si="324"/>
        <v>621.72136923444884</v>
      </c>
      <c r="H1011" s="6">
        <f>Arrivals!L1011</f>
        <v>75</v>
      </c>
      <c r="I1011" s="6">
        <f>H1011*8/ACE_Input!S51+ACE_Input!T51</f>
        <v>6.02</v>
      </c>
      <c r="J1011" s="6">
        <f t="shared" si="333"/>
        <v>738.06</v>
      </c>
      <c r="K1011" s="6">
        <f t="shared" si="325"/>
        <v>738.06</v>
      </c>
      <c r="L1011" s="6">
        <f>MOD(K1011-Settings!$B$32,Settings!$B$33)</f>
        <v>18.059999999999945</v>
      </c>
      <c r="M1011" s="6">
        <f>IF(L1011&lt;Settings!$B$30,IF(Settings!$B$30-L1011&gt;=I1011,K1011,K1011+(Settings!$B$30-L1011)+Settings!$B$31),K1011+(Settings!$B$33-L1011))</f>
        <v>738.06</v>
      </c>
      <c r="N1011" s="6">
        <f t="shared" si="326"/>
        <v>744.07999999999993</v>
      </c>
      <c r="O1011" s="6">
        <f t="shared" si="327"/>
        <v>385.07999999999993</v>
      </c>
      <c r="P1011" s="6">
        <f t="shared" si="328"/>
        <v>255.38906862055273</v>
      </c>
      <c r="Q1011" s="6">
        <f t="shared" si="329"/>
        <v>116.3386307655511</v>
      </c>
      <c r="R1011" s="6">
        <f t="shared" si="330"/>
        <v>0</v>
      </c>
      <c r="S1011" s="6">
        <f t="shared" si="331"/>
        <v>371.72769938610384</v>
      </c>
      <c r="T1011" s="6" t="str">
        <f>IF(MOD(C1011-Settings!$B$32,Settings!$B$33)&lt;Settings!$B$30,"Up","Down")</f>
        <v>Up</v>
      </c>
      <c r="U1011" s="6">
        <f>IF(OR(I1011&gt;Settings!$B$30,O1011&gt;Settings!$B$37),0,1)</f>
        <v>1</v>
      </c>
      <c r="V1011" s="6">
        <f>IF(AND(U1011=1,O1011&lt;=Settings!$B$36),1,0)</f>
        <v>0</v>
      </c>
    </row>
    <row r="1012" spans="1:22" x14ac:dyDescent="0.2">
      <c r="A1012">
        <f>Arrivals!A1012</f>
        <v>9</v>
      </c>
      <c r="B1012">
        <f>Arrivals!B1012</f>
        <v>47</v>
      </c>
      <c r="C1012" s="6">
        <f>Arrivals!F1012</f>
        <v>364</v>
      </c>
      <c r="D1012" s="6">
        <f>Arrivals!J1012</f>
        <v>3.5811167581448977</v>
      </c>
      <c r="E1012" s="6">
        <f t="shared" si="332"/>
        <v>621.72136923444884</v>
      </c>
      <c r="F1012" s="6">
        <f t="shared" si="323"/>
        <v>621.72136923444884</v>
      </c>
      <c r="G1012" s="6">
        <f t="shared" si="324"/>
        <v>625.30248599259369</v>
      </c>
      <c r="H1012" s="6">
        <f>Arrivals!L1012</f>
        <v>75</v>
      </c>
      <c r="I1012" s="6">
        <f>H1012*8/ACE_Input!S52+ACE_Input!T52</f>
        <v>6.02</v>
      </c>
      <c r="J1012" s="6">
        <f t="shared" si="333"/>
        <v>744.07999999999993</v>
      </c>
      <c r="K1012" s="6">
        <f t="shared" si="325"/>
        <v>744.07999999999993</v>
      </c>
      <c r="L1012" s="6">
        <f>MOD(K1012-Settings!$B$32,Settings!$B$33)</f>
        <v>24.079999999999927</v>
      </c>
      <c r="M1012" s="6">
        <f>IF(L1012&lt;Settings!$B$30,IF(Settings!$B$30-L1012&gt;=I1012,K1012,K1012+(Settings!$B$30-L1012)+Settings!$B$31),K1012+(Settings!$B$33-L1012))</f>
        <v>744.07999999999993</v>
      </c>
      <c r="N1012" s="6">
        <f t="shared" si="326"/>
        <v>750.09999999999991</v>
      </c>
      <c r="O1012" s="6">
        <f t="shared" si="327"/>
        <v>386.09999999999991</v>
      </c>
      <c r="P1012" s="6">
        <f t="shared" si="328"/>
        <v>257.72136923444884</v>
      </c>
      <c r="Q1012" s="6">
        <f t="shared" si="329"/>
        <v>118.77751400740624</v>
      </c>
      <c r="R1012" s="6">
        <f t="shared" si="330"/>
        <v>0</v>
      </c>
      <c r="S1012" s="6">
        <f t="shared" si="331"/>
        <v>376.49888324185508</v>
      </c>
      <c r="T1012" s="6" t="str">
        <f>IF(MOD(C1012-Settings!$B$32,Settings!$B$33)&lt;Settings!$B$30,"Up","Down")</f>
        <v>Up</v>
      </c>
      <c r="U1012" s="6">
        <f>IF(OR(I1012&gt;Settings!$B$30,O1012&gt;Settings!$B$37),0,1)</f>
        <v>1</v>
      </c>
      <c r="V1012" s="6">
        <f>IF(AND(U1012=1,O1012&lt;=Settings!$B$36),1,0)</f>
        <v>0</v>
      </c>
    </row>
    <row r="1013" spans="1:22" x14ac:dyDescent="0.2">
      <c r="A1013">
        <f>Arrivals!A1013</f>
        <v>9</v>
      </c>
      <c r="B1013">
        <f>Arrivals!B1013</f>
        <v>48</v>
      </c>
      <c r="C1013" s="6">
        <f>Arrivals!F1013</f>
        <v>369</v>
      </c>
      <c r="D1013" s="6">
        <f>Arrivals!J1013</f>
        <v>7.3922666573063598</v>
      </c>
      <c r="E1013" s="6">
        <f t="shared" si="332"/>
        <v>625.30248599259369</v>
      </c>
      <c r="F1013" s="6">
        <f t="shared" si="323"/>
        <v>625.30248599259369</v>
      </c>
      <c r="G1013" s="6">
        <f t="shared" si="324"/>
        <v>632.69475264990001</v>
      </c>
      <c r="H1013" s="6">
        <f>Arrivals!L1013</f>
        <v>75</v>
      </c>
      <c r="I1013" s="6">
        <f>H1013*8/ACE_Input!S53+ACE_Input!T53</f>
        <v>6.02</v>
      </c>
      <c r="J1013" s="6">
        <f t="shared" si="333"/>
        <v>750.09999999999991</v>
      </c>
      <c r="K1013" s="6">
        <f t="shared" si="325"/>
        <v>750.09999999999991</v>
      </c>
      <c r="L1013" s="6">
        <f>MOD(K1013-Settings!$B$32,Settings!$B$33)</f>
        <v>30.099999999999909</v>
      </c>
      <c r="M1013" s="6">
        <f>IF(L1013&lt;Settings!$B$30,IF(Settings!$B$30-L1013&gt;=I1013,K1013,K1013+(Settings!$B$30-L1013)+Settings!$B$31),K1013+(Settings!$B$33-L1013))</f>
        <v>750.09999999999991</v>
      </c>
      <c r="N1013" s="6">
        <f t="shared" si="326"/>
        <v>756.11999999999989</v>
      </c>
      <c r="O1013" s="6">
        <f t="shared" si="327"/>
        <v>387.11999999999989</v>
      </c>
      <c r="P1013" s="6">
        <f t="shared" si="328"/>
        <v>256.30248599259369</v>
      </c>
      <c r="Q1013" s="6">
        <f t="shared" si="329"/>
        <v>117.4052473500999</v>
      </c>
      <c r="R1013" s="6">
        <f t="shared" si="330"/>
        <v>0</v>
      </c>
      <c r="S1013" s="6">
        <f t="shared" si="331"/>
        <v>373.70773334269359</v>
      </c>
      <c r="T1013" s="6" t="str">
        <f>IF(MOD(C1013-Settings!$B$32,Settings!$B$33)&lt;Settings!$B$30,"Up","Down")</f>
        <v>Up</v>
      </c>
      <c r="U1013" s="6">
        <f>IF(OR(I1013&gt;Settings!$B$30,O1013&gt;Settings!$B$37),0,1)</f>
        <v>1</v>
      </c>
      <c r="V1013" s="6">
        <f>IF(AND(U1013=1,O1013&lt;=Settings!$B$36),1,0)</f>
        <v>0</v>
      </c>
    </row>
    <row r="1014" spans="1:22" x14ac:dyDescent="0.2">
      <c r="A1014">
        <f>Arrivals!A1014</f>
        <v>9</v>
      </c>
      <c r="B1014">
        <f>Arrivals!B1014</f>
        <v>49</v>
      </c>
      <c r="C1014" s="6">
        <f>Arrivals!F1014</f>
        <v>374</v>
      </c>
      <c r="D1014" s="6">
        <f>Arrivals!J1014</f>
        <v>15.809932821783175</v>
      </c>
      <c r="E1014" s="6">
        <f t="shared" si="332"/>
        <v>632.69475264990001</v>
      </c>
      <c r="F1014" s="6">
        <f t="shared" si="323"/>
        <v>632.69475264990001</v>
      </c>
      <c r="G1014" s="6">
        <f t="shared" si="324"/>
        <v>648.50468547168316</v>
      </c>
      <c r="H1014" s="6">
        <f>Arrivals!L1014</f>
        <v>75</v>
      </c>
      <c r="I1014" s="6">
        <f>H1014*8/ACE_Input!S54+ACE_Input!T54</f>
        <v>6.02</v>
      </c>
      <c r="J1014" s="6">
        <f t="shared" si="333"/>
        <v>756.11999999999989</v>
      </c>
      <c r="K1014" s="6">
        <f t="shared" si="325"/>
        <v>756.11999999999989</v>
      </c>
      <c r="L1014" s="6">
        <f>MOD(K1014-Settings!$B$32,Settings!$B$33)</f>
        <v>36.119999999999891</v>
      </c>
      <c r="M1014" s="6">
        <f>IF(L1014&lt;Settings!$B$30,IF(Settings!$B$30-L1014&gt;=I1014,K1014,K1014+(Settings!$B$30-L1014)+Settings!$B$31),K1014+(Settings!$B$33-L1014))</f>
        <v>756.11999999999989</v>
      </c>
      <c r="N1014" s="6">
        <f t="shared" si="326"/>
        <v>762.13999999999987</v>
      </c>
      <c r="O1014" s="6">
        <f t="shared" si="327"/>
        <v>388.13999999999987</v>
      </c>
      <c r="P1014" s="6">
        <f t="shared" si="328"/>
        <v>258.69475264990001</v>
      </c>
      <c r="Q1014" s="6">
        <f t="shared" si="329"/>
        <v>107.61531452831673</v>
      </c>
      <c r="R1014" s="6">
        <f t="shared" si="330"/>
        <v>0</v>
      </c>
      <c r="S1014" s="6">
        <f t="shared" si="331"/>
        <v>366.31006717821674</v>
      </c>
      <c r="T1014" s="6" t="str">
        <f>IF(MOD(C1014-Settings!$B$32,Settings!$B$33)&lt;Settings!$B$30,"Up","Down")</f>
        <v>Up</v>
      </c>
      <c r="U1014" s="6">
        <f>IF(OR(I1014&gt;Settings!$B$30,O1014&gt;Settings!$B$37),0,1)</f>
        <v>1</v>
      </c>
      <c r="V1014" s="6">
        <f>IF(AND(U1014=1,O1014&lt;=Settings!$B$36),1,0)</f>
        <v>0</v>
      </c>
    </row>
    <row r="1015" spans="1:22" x14ac:dyDescent="0.2">
      <c r="A1015">
        <f>Arrivals!A1015</f>
        <v>9</v>
      </c>
      <c r="B1015">
        <f>Arrivals!B1015</f>
        <v>50</v>
      </c>
      <c r="C1015" s="6">
        <f>Arrivals!F1015</f>
        <v>379</v>
      </c>
      <c r="D1015" s="6">
        <f>Arrivals!J1015</f>
        <v>60.216936220749943</v>
      </c>
      <c r="E1015" s="6">
        <f t="shared" si="332"/>
        <v>648.50468547168316</v>
      </c>
      <c r="F1015" s="6">
        <f t="shared" si="323"/>
        <v>648.50468547168316</v>
      </c>
      <c r="G1015" s="6">
        <f t="shared" si="324"/>
        <v>708.72162169243313</v>
      </c>
      <c r="H1015" s="6">
        <f>Arrivals!L1015</f>
        <v>75</v>
      </c>
      <c r="I1015" s="6">
        <f>H1015*8/ACE_Input!S55+ACE_Input!T55</f>
        <v>6.02</v>
      </c>
      <c r="J1015" s="6">
        <f t="shared" si="333"/>
        <v>762.13999999999987</v>
      </c>
      <c r="K1015" s="6">
        <f t="shared" si="325"/>
        <v>762.13999999999987</v>
      </c>
      <c r="L1015" s="6">
        <f>MOD(K1015-Settings!$B$32,Settings!$B$33)</f>
        <v>42.139999999999873</v>
      </c>
      <c r="M1015" s="6">
        <f>IF(L1015&lt;Settings!$B$30,IF(Settings!$B$30-L1015&gt;=I1015,K1015,K1015+(Settings!$B$30-L1015)+Settings!$B$31),K1015+(Settings!$B$33-L1015))</f>
        <v>762.13999999999987</v>
      </c>
      <c r="N1015" s="6">
        <f t="shared" si="326"/>
        <v>768.15999999999985</v>
      </c>
      <c r="O1015" s="6">
        <f t="shared" si="327"/>
        <v>389.15999999999985</v>
      </c>
      <c r="P1015" s="6">
        <f t="shared" si="328"/>
        <v>269.50468547168316</v>
      </c>
      <c r="Q1015" s="6">
        <f t="shared" si="329"/>
        <v>53.418378307566741</v>
      </c>
      <c r="R1015" s="6">
        <f t="shared" si="330"/>
        <v>0</v>
      </c>
      <c r="S1015" s="6">
        <f t="shared" si="331"/>
        <v>322.9230637792499</v>
      </c>
      <c r="T1015" s="6" t="str">
        <f>IF(MOD(C1015-Settings!$B$32,Settings!$B$33)&lt;Settings!$B$30,"Up","Down")</f>
        <v>Up</v>
      </c>
      <c r="U1015" s="6">
        <f>IF(OR(I1015&gt;Settings!$B$30,O1015&gt;Settings!$B$37),0,1)</f>
        <v>1</v>
      </c>
      <c r="V1015" s="6">
        <f>IF(AND(U1015=1,O1015&lt;=Settings!$B$36),1,0)</f>
        <v>0</v>
      </c>
    </row>
    <row r="1016" spans="1:22" x14ac:dyDescent="0.2">
      <c r="A1016">
        <f>Arrivals!A1016</f>
        <v>9</v>
      </c>
      <c r="B1016">
        <f>Arrivals!B1016</f>
        <v>51</v>
      </c>
      <c r="C1016" s="6">
        <f>Arrivals!F1016</f>
        <v>384</v>
      </c>
      <c r="D1016" s="6">
        <f>Arrivals!J1016</f>
        <v>18.39917630231859</v>
      </c>
      <c r="E1016" s="6">
        <f t="shared" si="332"/>
        <v>708.72162169243313</v>
      </c>
      <c r="F1016" s="6">
        <f t="shared" si="323"/>
        <v>708.72162169243313</v>
      </c>
      <c r="G1016" s="6">
        <f t="shared" si="324"/>
        <v>727.12079799475168</v>
      </c>
      <c r="H1016" s="6">
        <f>Arrivals!L1016</f>
        <v>75</v>
      </c>
      <c r="I1016" s="6">
        <f>H1016*8/ACE_Input!S56+ACE_Input!T56</f>
        <v>6.02</v>
      </c>
      <c r="J1016" s="6">
        <f t="shared" si="333"/>
        <v>768.15999999999985</v>
      </c>
      <c r="K1016" s="6">
        <f t="shared" si="325"/>
        <v>768.15999999999985</v>
      </c>
      <c r="L1016" s="6">
        <f>MOD(K1016-Settings!$B$32,Settings!$B$33)</f>
        <v>48.159999999999854</v>
      </c>
      <c r="M1016" s="6">
        <f>IF(L1016&lt;Settings!$B$30,IF(Settings!$B$30-L1016&gt;=I1016,K1016,K1016+(Settings!$B$30-L1016)+Settings!$B$31),K1016+(Settings!$B$33-L1016))</f>
        <v>768.15999999999985</v>
      </c>
      <c r="N1016" s="6">
        <f t="shared" si="326"/>
        <v>774.17999999999984</v>
      </c>
      <c r="O1016" s="6">
        <f t="shared" si="327"/>
        <v>390.17999999999984</v>
      </c>
      <c r="P1016" s="6">
        <f t="shared" si="328"/>
        <v>324.72162169243313</v>
      </c>
      <c r="Q1016" s="6">
        <f t="shared" si="329"/>
        <v>41.039202005248171</v>
      </c>
      <c r="R1016" s="6">
        <f t="shared" si="330"/>
        <v>0</v>
      </c>
      <c r="S1016" s="6">
        <f t="shared" si="331"/>
        <v>365.7608236976813</v>
      </c>
      <c r="T1016" s="6" t="str">
        <f>IF(MOD(C1016-Settings!$B$32,Settings!$B$33)&lt;Settings!$B$30,"Up","Down")</f>
        <v>Up</v>
      </c>
      <c r="U1016" s="6">
        <f>IF(OR(I1016&gt;Settings!$B$30,O1016&gt;Settings!$B$37),0,1)</f>
        <v>1</v>
      </c>
      <c r="V1016" s="6">
        <f>IF(AND(U1016=1,O1016&lt;=Settings!$B$36),1,0)</f>
        <v>0</v>
      </c>
    </row>
    <row r="1017" spans="1:22" x14ac:dyDescent="0.2">
      <c r="A1017">
        <f>Arrivals!A1017</f>
        <v>9</v>
      </c>
      <c r="B1017">
        <f>Arrivals!B1017</f>
        <v>52</v>
      </c>
      <c r="C1017" s="6">
        <f>Arrivals!F1017</f>
        <v>389</v>
      </c>
      <c r="D1017" s="6">
        <f>Arrivals!J1017</f>
        <v>9.4999246734410594</v>
      </c>
      <c r="E1017" s="6">
        <f t="shared" si="332"/>
        <v>727.12079799475168</v>
      </c>
      <c r="F1017" s="6">
        <f t="shared" si="323"/>
        <v>727.12079799475168</v>
      </c>
      <c r="G1017" s="6">
        <f t="shared" si="324"/>
        <v>736.6207226681928</v>
      </c>
      <c r="H1017" s="6">
        <f>Arrivals!L1017</f>
        <v>75</v>
      </c>
      <c r="I1017" s="6">
        <f>H1017*8/ACE_Input!S57+ACE_Input!T57</f>
        <v>6.02</v>
      </c>
      <c r="J1017" s="6">
        <f t="shared" si="333"/>
        <v>774.17999999999984</v>
      </c>
      <c r="K1017" s="6">
        <f t="shared" si="325"/>
        <v>774.17999999999984</v>
      </c>
      <c r="L1017" s="6">
        <f>MOD(K1017-Settings!$B$32,Settings!$B$33)</f>
        <v>54.179999999999836</v>
      </c>
      <c r="M1017" s="6">
        <f>IF(L1017&lt;Settings!$B$30,IF(Settings!$B$30-L1017&gt;=I1017,K1017,K1017+(Settings!$B$30-L1017)+Settings!$B$31),K1017+(Settings!$B$33-L1017))</f>
        <v>774.17999999999984</v>
      </c>
      <c r="N1017" s="6">
        <f t="shared" si="326"/>
        <v>780.19999999999982</v>
      </c>
      <c r="O1017" s="6">
        <f t="shared" si="327"/>
        <v>391.19999999999982</v>
      </c>
      <c r="P1017" s="6">
        <f t="shared" si="328"/>
        <v>338.12079799475168</v>
      </c>
      <c r="Q1017" s="6">
        <f t="shared" si="329"/>
        <v>37.559277331807039</v>
      </c>
      <c r="R1017" s="6">
        <f t="shared" si="330"/>
        <v>0</v>
      </c>
      <c r="S1017" s="6">
        <f t="shared" si="331"/>
        <v>375.68007532655872</v>
      </c>
      <c r="T1017" s="6" t="str">
        <f>IF(MOD(C1017-Settings!$B$32,Settings!$B$33)&lt;Settings!$B$30,"Up","Down")</f>
        <v>Up</v>
      </c>
      <c r="U1017" s="6">
        <f>IF(OR(I1017&gt;Settings!$B$30,O1017&gt;Settings!$B$37),0,1)</f>
        <v>1</v>
      </c>
      <c r="V1017" s="6">
        <f>IF(AND(U1017=1,O1017&lt;=Settings!$B$36),1,0)</f>
        <v>0</v>
      </c>
    </row>
    <row r="1018" spans="1:22" x14ac:dyDescent="0.2">
      <c r="A1018">
        <f>Arrivals!A1018</f>
        <v>9</v>
      </c>
      <c r="B1018">
        <f>Arrivals!B1018</f>
        <v>53</v>
      </c>
      <c r="C1018" s="6">
        <f>Arrivals!F1018</f>
        <v>394</v>
      </c>
      <c r="D1018" s="6">
        <f>Arrivals!J1018</f>
        <v>25.96275295194242</v>
      </c>
      <c r="E1018" s="6">
        <f t="shared" si="332"/>
        <v>736.6207226681928</v>
      </c>
      <c r="F1018" s="6">
        <f t="shared" si="323"/>
        <v>736.6207226681928</v>
      </c>
      <c r="G1018" s="6">
        <f t="shared" si="324"/>
        <v>762.58347562013523</v>
      </c>
      <c r="H1018" s="6">
        <f>Arrivals!L1018</f>
        <v>75</v>
      </c>
      <c r="I1018" s="6">
        <f>H1018*8/ACE_Input!S58+ACE_Input!T58</f>
        <v>6.02</v>
      </c>
      <c r="J1018" s="6">
        <f t="shared" si="333"/>
        <v>780.19999999999982</v>
      </c>
      <c r="K1018" s="6">
        <f t="shared" si="325"/>
        <v>780.19999999999982</v>
      </c>
      <c r="L1018" s="6">
        <f>MOD(K1018-Settings!$B$32,Settings!$B$33)</f>
        <v>60.199999999999818</v>
      </c>
      <c r="M1018" s="6">
        <f>IF(L1018&lt;Settings!$B$30,IF(Settings!$B$30-L1018&gt;=I1018,K1018,K1018+(Settings!$B$30-L1018)+Settings!$B$31),K1018+(Settings!$B$33-L1018))</f>
        <v>780.19999999999982</v>
      </c>
      <c r="N1018" s="6">
        <f t="shared" si="326"/>
        <v>786.2199999999998</v>
      </c>
      <c r="O1018" s="6">
        <f t="shared" si="327"/>
        <v>392.2199999999998</v>
      </c>
      <c r="P1018" s="6">
        <f t="shared" si="328"/>
        <v>342.6207226681928</v>
      </c>
      <c r="Q1018" s="6">
        <f t="shared" si="329"/>
        <v>17.616524379864586</v>
      </c>
      <c r="R1018" s="6">
        <f t="shared" si="330"/>
        <v>0</v>
      </c>
      <c r="S1018" s="6">
        <f t="shared" si="331"/>
        <v>360.23724704805738</v>
      </c>
      <c r="T1018" s="6" t="str">
        <f>IF(MOD(C1018-Settings!$B$32,Settings!$B$33)&lt;Settings!$B$30,"Up","Down")</f>
        <v>Up</v>
      </c>
      <c r="U1018" s="6">
        <f>IF(OR(I1018&gt;Settings!$B$30,O1018&gt;Settings!$B$37),0,1)</f>
        <v>1</v>
      </c>
      <c r="V1018" s="6">
        <f>IF(AND(U1018=1,O1018&lt;=Settings!$B$36),1,0)</f>
        <v>0</v>
      </c>
    </row>
    <row r="1019" spans="1:22" x14ac:dyDescent="0.2">
      <c r="A1019">
        <f>Arrivals!A1019</f>
        <v>9</v>
      </c>
      <c r="B1019">
        <f>Arrivals!B1019</f>
        <v>54</v>
      </c>
      <c r="C1019" s="6">
        <f>Arrivals!F1019</f>
        <v>399</v>
      </c>
      <c r="D1019" s="6">
        <f>Arrivals!J1019</f>
        <v>11.736881386310603</v>
      </c>
      <c r="E1019" s="6">
        <f t="shared" si="332"/>
        <v>762.58347562013523</v>
      </c>
      <c r="F1019" s="6">
        <f t="shared" si="323"/>
        <v>762.58347562013523</v>
      </c>
      <c r="G1019" s="6">
        <f t="shared" si="324"/>
        <v>774.32035700644587</v>
      </c>
      <c r="H1019" s="6">
        <f>Arrivals!L1019</f>
        <v>75</v>
      </c>
      <c r="I1019" s="6">
        <f>H1019*8/ACE_Input!S59+ACE_Input!T59</f>
        <v>6.02</v>
      </c>
      <c r="J1019" s="6">
        <f t="shared" si="333"/>
        <v>786.2199999999998</v>
      </c>
      <c r="K1019" s="6">
        <f t="shared" si="325"/>
        <v>786.2199999999998</v>
      </c>
      <c r="L1019" s="6">
        <f>MOD(K1019-Settings!$B$32,Settings!$B$33)</f>
        <v>66.2199999999998</v>
      </c>
      <c r="M1019" s="6">
        <f>IF(L1019&lt;Settings!$B$30,IF(Settings!$B$30-L1019&gt;=I1019,K1019,K1019+(Settings!$B$30-L1019)+Settings!$B$31),K1019+(Settings!$B$33-L1019))</f>
        <v>786.2199999999998</v>
      </c>
      <c r="N1019" s="6">
        <f t="shared" si="326"/>
        <v>792.23999999999978</v>
      </c>
      <c r="O1019" s="6">
        <f t="shared" si="327"/>
        <v>393.23999999999978</v>
      </c>
      <c r="P1019" s="6">
        <f t="shared" si="328"/>
        <v>363.58347562013523</v>
      </c>
      <c r="Q1019" s="6">
        <f t="shared" si="329"/>
        <v>11.899642993553925</v>
      </c>
      <c r="R1019" s="6">
        <f t="shared" si="330"/>
        <v>0</v>
      </c>
      <c r="S1019" s="6">
        <f t="shared" si="331"/>
        <v>375.48311861368916</v>
      </c>
      <c r="T1019" s="6" t="str">
        <f>IF(MOD(C1019-Settings!$B$32,Settings!$B$33)&lt;Settings!$B$30,"Up","Down")</f>
        <v>Up</v>
      </c>
      <c r="U1019" s="6">
        <f>IF(OR(I1019&gt;Settings!$B$30,O1019&gt;Settings!$B$37),0,1)</f>
        <v>1</v>
      </c>
      <c r="V1019" s="6">
        <f>IF(AND(U1019=1,O1019&lt;=Settings!$B$36),1,0)</f>
        <v>0</v>
      </c>
    </row>
    <row r="1020" spans="1:22" x14ac:dyDescent="0.2">
      <c r="A1020">
        <f>Arrivals!A1020</f>
        <v>9</v>
      </c>
      <c r="B1020">
        <f>Arrivals!B1020</f>
        <v>55</v>
      </c>
      <c r="C1020" s="6">
        <f>Arrivals!F1020</f>
        <v>404</v>
      </c>
      <c r="D1020" s="6">
        <f>Arrivals!J1020</f>
        <v>48.373292500623435</v>
      </c>
      <c r="E1020" s="6">
        <f t="shared" si="332"/>
        <v>774.32035700644587</v>
      </c>
      <c r="F1020" s="6">
        <f t="shared" si="323"/>
        <v>774.32035700644587</v>
      </c>
      <c r="G1020" s="6">
        <f t="shared" si="324"/>
        <v>822.69364950706927</v>
      </c>
      <c r="H1020" s="6">
        <f>Arrivals!L1020</f>
        <v>75</v>
      </c>
      <c r="I1020" s="6">
        <f>H1020*8/ACE_Input!S60+ACE_Input!T60</f>
        <v>6.02</v>
      </c>
      <c r="J1020" s="6">
        <f t="shared" si="333"/>
        <v>792.23999999999978</v>
      </c>
      <c r="K1020" s="6">
        <f t="shared" si="325"/>
        <v>822.69364950706927</v>
      </c>
      <c r="L1020" s="6">
        <f>MOD(K1020-Settings!$B$32,Settings!$B$33)</f>
        <v>102.69364950706927</v>
      </c>
      <c r="M1020" s="6">
        <f>IF(L1020&lt;Settings!$B$30,IF(Settings!$B$30-L1020&gt;=I1020,K1020,K1020+(Settings!$B$30-L1020)+Settings!$B$31),K1020+(Settings!$B$33-L1020))</f>
        <v>822.69364950706927</v>
      </c>
      <c r="N1020" s="6">
        <f t="shared" si="326"/>
        <v>828.71364950706925</v>
      </c>
      <c r="O1020" s="6">
        <f t="shared" si="327"/>
        <v>424.71364950706925</v>
      </c>
      <c r="P1020" s="6">
        <f t="shared" si="328"/>
        <v>370.32035700644587</v>
      </c>
      <c r="Q1020" s="6">
        <f t="shared" si="329"/>
        <v>0</v>
      </c>
      <c r="R1020" s="6">
        <f t="shared" si="330"/>
        <v>0</v>
      </c>
      <c r="S1020" s="6">
        <f t="shared" si="331"/>
        <v>370.32035700644587</v>
      </c>
      <c r="T1020" s="6" t="str">
        <f>IF(MOD(C1020-Settings!$B$32,Settings!$B$33)&lt;Settings!$B$30,"Up","Down")</f>
        <v>Up</v>
      </c>
      <c r="U1020" s="6">
        <f>IF(OR(I1020&gt;Settings!$B$30,O1020&gt;Settings!$B$37),0,1)</f>
        <v>1</v>
      </c>
      <c r="V1020" s="6">
        <f>IF(AND(U1020=1,O1020&lt;=Settings!$B$36),1,0)</f>
        <v>0</v>
      </c>
    </row>
    <row r="1021" spans="1:22" x14ac:dyDescent="0.2">
      <c r="A1021">
        <f>Arrivals!A1021</f>
        <v>9</v>
      </c>
      <c r="B1021">
        <f>Arrivals!B1021</f>
        <v>56</v>
      </c>
      <c r="C1021" s="6">
        <f>Arrivals!F1021</f>
        <v>409</v>
      </c>
      <c r="D1021" s="6">
        <f>Arrivals!J1021</f>
        <v>10.922585423017653</v>
      </c>
      <c r="E1021" s="6">
        <f t="shared" si="332"/>
        <v>822.69364950706927</v>
      </c>
      <c r="F1021" s="6">
        <f t="shared" si="323"/>
        <v>822.69364950706927</v>
      </c>
      <c r="G1021" s="6">
        <f t="shared" si="324"/>
        <v>833.61623493008688</v>
      </c>
      <c r="H1021" s="6">
        <f>Arrivals!L1021</f>
        <v>75</v>
      </c>
      <c r="I1021" s="6">
        <f>H1021*8/ACE_Input!S61+ACE_Input!T61</f>
        <v>6.02</v>
      </c>
      <c r="J1021" s="6">
        <f t="shared" si="333"/>
        <v>828.71364950706925</v>
      </c>
      <c r="K1021" s="6">
        <f t="shared" si="325"/>
        <v>833.61623493008688</v>
      </c>
      <c r="L1021" s="6">
        <f>MOD(K1021-Settings!$B$32,Settings!$B$33)</f>
        <v>113.61623493008688</v>
      </c>
      <c r="M1021" s="6">
        <f>IF(L1021&lt;Settings!$B$30,IF(Settings!$B$30-L1021&gt;=I1021,K1021,K1021+(Settings!$B$30-L1021)+Settings!$B$31),K1021+(Settings!$B$33-L1021))</f>
        <v>833.61623493008688</v>
      </c>
      <c r="N1021" s="6">
        <f t="shared" si="326"/>
        <v>839.63623493008686</v>
      </c>
      <c r="O1021" s="6">
        <f t="shared" si="327"/>
        <v>430.63623493008686</v>
      </c>
      <c r="P1021" s="6">
        <f t="shared" si="328"/>
        <v>413.69364950706927</v>
      </c>
      <c r="Q1021" s="6">
        <f t="shared" si="329"/>
        <v>0</v>
      </c>
      <c r="R1021" s="6">
        <f t="shared" si="330"/>
        <v>0</v>
      </c>
      <c r="S1021" s="6">
        <f t="shared" si="331"/>
        <v>413.69364950706927</v>
      </c>
      <c r="T1021" s="6" t="str">
        <f>IF(MOD(C1021-Settings!$B$32,Settings!$B$33)&lt;Settings!$B$30,"Up","Down")</f>
        <v>Up</v>
      </c>
      <c r="U1021" s="6">
        <f>IF(OR(I1021&gt;Settings!$B$30,O1021&gt;Settings!$B$37),0,1)</f>
        <v>1</v>
      </c>
      <c r="V1021" s="6">
        <f>IF(AND(U1021=1,O1021&lt;=Settings!$B$36),1,0)</f>
        <v>0</v>
      </c>
    </row>
    <row r="1022" spans="1:22" x14ac:dyDescent="0.2">
      <c r="A1022">
        <f>Arrivals!A1022</f>
        <v>9</v>
      </c>
      <c r="B1022">
        <f>Arrivals!B1022</f>
        <v>57</v>
      </c>
      <c r="C1022" s="6">
        <f>Arrivals!F1022</f>
        <v>414</v>
      </c>
      <c r="D1022" s="6">
        <f>Arrivals!J1022</f>
        <v>3.1799410727505348</v>
      </c>
      <c r="E1022" s="6">
        <f t="shared" si="332"/>
        <v>833.61623493008688</v>
      </c>
      <c r="F1022" s="6">
        <f t="shared" si="323"/>
        <v>833.61623493008688</v>
      </c>
      <c r="G1022" s="6">
        <f t="shared" si="324"/>
        <v>836.79617600283746</v>
      </c>
      <c r="H1022" s="6">
        <f>Arrivals!L1022</f>
        <v>75</v>
      </c>
      <c r="I1022" s="6">
        <f>H1022*8/ACE_Input!S62+ACE_Input!T62</f>
        <v>6.02</v>
      </c>
      <c r="J1022" s="6">
        <f t="shared" si="333"/>
        <v>839.63623493008686</v>
      </c>
      <c r="K1022" s="6">
        <f t="shared" si="325"/>
        <v>839.63623493008686</v>
      </c>
      <c r="L1022" s="6">
        <f>MOD(K1022-Settings!$B$32,Settings!$B$33)</f>
        <v>119.63623493008686</v>
      </c>
      <c r="M1022" s="6">
        <f>IF(L1022&lt;Settings!$B$30,IF(Settings!$B$30-L1022&gt;=I1022,K1022,K1022+(Settings!$B$30-L1022)+Settings!$B$31),K1022+(Settings!$B$33-L1022))</f>
        <v>839.63623493008686</v>
      </c>
      <c r="N1022" s="6">
        <f t="shared" si="326"/>
        <v>845.65623493008684</v>
      </c>
      <c r="O1022" s="6">
        <f t="shared" si="327"/>
        <v>431.65623493008684</v>
      </c>
      <c r="P1022" s="6">
        <f t="shared" si="328"/>
        <v>419.61623493008688</v>
      </c>
      <c r="Q1022" s="6">
        <f t="shared" si="329"/>
        <v>2.8400589272494017</v>
      </c>
      <c r="R1022" s="6">
        <f t="shared" si="330"/>
        <v>0</v>
      </c>
      <c r="S1022" s="6">
        <f t="shared" si="331"/>
        <v>422.45629385733628</v>
      </c>
      <c r="T1022" s="6" t="str">
        <f>IF(MOD(C1022-Settings!$B$32,Settings!$B$33)&lt;Settings!$B$30,"Up","Down")</f>
        <v>Up</v>
      </c>
      <c r="U1022" s="6">
        <f>IF(OR(I1022&gt;Settings!$B$30,O1022&gt;Settings!$B$37),0,1)</f>
        <v>1</v>
      </c>
      <c r="V1022" s="6">
        <f>IF(AND(U1022=1,O1022&lt;=Settings!$B$36),1,0)</f>
        <v>0</v>
      </c>
    </row>
    <row r="1023" spans="1:22" x14ac:dyDescent="0.2">
      <c r="A1023">
        <f>Arrivals!A1023</f>
        <v>9</v>
      </c>
      <c r="B1023">
        <f>Arrivals!B1023</f>
        <v>58</v>
      </c>
      <c r="C1023" s="6">
        <f>Arrivals!F1023</f>
        <v>419</v>
      </c>
      <c r="D1023" s="6">
        <f>Arrivals!J1023</f>
        <v>8.4694202058964407</v>
      </c>
      <c r="E1023" s="6">
        <f t="shared" si="332"/>
        <v>836.79617600283746</v>
      </c>
      <c r="F1023" s="6">
        <f t="shared" si="323"/>
        <v>836.79617600283746</v>
      </c>
      <c r="G1023" s="6">
        <f t="shared" si="324"/>
        <v>845.26559620873388</v>
      </c>
      <c r="H1023" s="6">
        <f>Arrivals!L1023</f>
        <v>75</v>
      </c>
      <c r="I1023" s="6">
        <f>H1023*8/ACE_Input!S63+ACE_Input!T63</f>
        <v>6.02</v>
      </c>
      <c r="J1023" s="6">
        <f t="shared" si="333"/>
        <v>845.65623493008684</v>
      </c>
      <c r="K1023" s="6">
        <f t="shared" si="325"/>
        <v>845.65623493008684</v>
      </c>
      <c r="L1023" s="6">
        <f>MOD(K1023-Settings!$B$32,Settings!$B$33)</f>
        <v>125.65623493008684</v>
      </c>
      <c r="M1023" s="6">
        <f>IF(L1023&lt;Settings!$B$30,IF(Settings!$B$30-L1023&gt;=I1023,K1023,K1023+(Settings!$B$30-L1023)+Settings!$B$31),K1023+(Settings!$B$33-L1023))</f>
        <v>845.65623493008684</v>
      </c>
      <c r="N1023" s="6">
        <f t="shared" si="326"/>
        <v>851.67623493008682</v>
      </c>
      <c r="O1023" s="6">
        <f t="shared" si="327"/>
        <v>432.67623493008682</v>
      </c>
      <c r="P1023" s="6">
        <f t="shared" si="328"/>
        <v>417.79617600283746</v>
      </c>
      <c r="Q1023" s="6">
        <f t="shared" si="329"/>
        <v>0.39063872135295696</v>
      </c>
      <c r="R1023" s="6">
        <f t="shared" si="330"/>
        <v>0</v>
      </c>
      <c r="S1023" s="6">
        <f t="shared" si="331"/>
        <v>418.18681472419041</v>
      </c>
      <c r="T1023" s="6" t="str">
        <f>IF(MOD(C1023-Settings!$B$32,Settings!$B$33)&lt;Settings!$B$30,"Up","Down")</f>
        <v>Up</v>
      </c>
      <c r="U1023" s="6">
        <f>IF(OR(I1023&gt;Settings!$B$30,O1023&gt;Settings!$B$37),0,1)</f>
        <v>1</v>
      </c>
      <c r="V1023" s="6">
        <f>IF(AND(U1023=1,O1023&lt;=Settings!$B$36),1,0)</f>
        <v>0</v>
      </c>
    </row>
    <row r="1024" spans="1:22" x14ac:dyDescent="0.2">
      <c r="A1024">
        <f>Arrivals!A1024</f>
        <v>9</v>
      </c>
      <c r="B1024">
        <f>Arrivals!B1024</f>
        <v>59</v>
      </c>
      <c r="C1024" s="6">
        <f>Arrivals!F1024</f>
        <v>424</v>
      </c>
      <c r="D1024" s="6">
        <f>Arrivals!J1024</f>
        <v>0.41256111065130863</v>
      </c>
      <c r="E1024" s="6">
        <f t="shared" si="332"/>
        <v>845.26559620873388</v>
      </c>
      <c r="F1024" s="6">
        <f t="shared" si="323"/>
        <v>845.26559620873388</v>
      </c>
      <c r="G1024" s="6">
        <f t="shared" si="324"/>
        <v>845.67815731938515</v>
      </c>
      <c r="H1024" s="6">
        <f>Arrivals!L1024</f>
        <v>75</v>
      </c>
      <c r="I1024" s="6">
        <f>H1024*8/ACE_Input!S64+ACE_Input!T64</f>
        <v>6.02</v>
      </c>
      <c r="J1024" s="6">
        <f t="shared" si="333"/>
        <v>851.67623493008682</v>
      </c>
      <c r="K1024" s="6">
        <f t="shared" si="325"/>
        <v>851.67623493008682</v>
      </c>
      <c r="L1024" s="6">
        <f>MOD(K1024-Settings!$B$32,Settings!$B$33)</f>
        <v>131.67623493008682</v>
      </c>
      <c r="M1024" s="6">
        <f>IF(L1024&lt;Settings!$B$30,IF(Settings!$B$30-L1024&gt;=I1024,K1024,K1024+(Settings!$B$30-L1024)+Settings!$B$31),K1024+(Settings!$B$33-L1024))</f>
        <v>851.67623493008682</v>
      </c>
      <c r="N1024" s="6">
        <f t="shared" si="326"/>
        <v>857.6962349300868</v>
      </c>
      <c r="O1024" s="6">
        <f t="shared" si="327"/>
        <v>433.6962349300868</v>
      </c>
      <c r="P1024" s="6">
        <f t="shared" si="328"/>
        <v>421.26559620873388</v>
      </c>
      <c r="Q1024" s="6">
        <f t="shared" si="329"/>
        <v>5.9980776107016709</v>
      </c>
      <c r="R1024" s="6">
        <f t="shared" si="330"/>
        <v>0</v>
      </c>
      <c r="S1024" s="6">
        <f t="shared" si="331"/>
        <v>427.26367381943555</v>
      </c>
      <c r="T1024" s="6" t="str">
        <f>IF(MOD(C1024-Settings!$B$32,Settings!$B$33)&lt;Settings!$B$30,"Up","Down")</f>
        <v>Up</v>
      </c>
      <c r="U1024" s="6">
        <f>IF(OR(I1024&gt;Settings!$B$30,O1024&gt;Settings!$B$37),0,1)</f>
        <v>1</v>
      </c>
      <c r="V1024" s="6">
        <f>IF(AND(U1024=1,O1024&lt;=Settings!$B$36),1,0)</f>
        <v>0</v>
      </c>
    </row>
    <row r="1025" spans="1:22" x14ac:dyDescent="0.2">
      <c r="A1025">
        <f>Arrivals!A1025</f>
        <v>9</v>
      </c>
      <c r="B1025">
        <f>Arrivals!B1025</f>
        <v>60</v>
      </c>
      <c r="C1025" s="6">
        <f>Arrivals!F1025</f>
        <v>429</v>
      </c>
      <c r="D1025" s="6">
        <f>Arrivals!J1025</f>
        <v>7.481705809169828E-2</v>
      </c>
      <c r="E1025" s="6">
        <f t="shared" si="332"/>
        <v>845.67815731938515</v>
      </c>
      <c r="F1025" s="6">
        <f t="shared" si="323"/>
        <v>845.67815731938515</v>
      </c>
      <c r="G1025" s="6">
        <f t="shared" si="324"/>
        <v>845.7529743774769</v>
      </c>
      <c r="H1025" s="6">
        <f>Arrivals!L1025</f>
        <v>75</v>
      </c>
      <c r="I1025" s="6">
        <f>H1025*8/ACE_Input!S65+ACE_Input!T65</f>
        <v>6.02</v>
      </c>
      <c r="J1025" s="6">
        <f t="shared" si="333"/>
        <v>857.6962349300868</v>
      </c>
      <c r="K1025" s="6">
        <f t="shared" si="325"/>
        <v>857.6962349300868</v>
      </c>
      <c r="L1025" s="6">
        <f>MOD(K1025-Settings!$B$32,Settings!$B$33)</f>
        <v>137.6962349300868</v>
      </c>
      <c r="M1025" s="6">
        <f>IF(L1025&lt;Settings!$B$30,IF(Settings!$B$30-L1025&gt;=I1025,K1025,K1025+(Settings!$B$30-L1025)+Settings!$B$31),K1025+(Settings!$B$33-L1025))</f>
        <v>857.6962349300868</v>
      </c>
      <c r="N1025" s="6">
        <f t="shared" si="326"/>
        <v>863.71623493008678</v>
      </c>
      <c r="O1025" s="6">
        <f t="shared" si="327"/>
        <v>434.71623493008678</v>
      </c>
      <c r="P1025" s="6">
        <f t="shared" si="328"/>
        <v>416.67815731938515</v>
      </c>
      <c r="Q1025" s="6">
        <f t="shared" si="329"/>
        <v>11.9432605526099</v>
      </c>
      <c r="R1025" s="6">
        <f t="shared" si="330"/>
        <v>0</v>
      </c>
      <c r="S1025" s="6">
        <f t="shared" si="331"/>
        <v>428.62141787199505</v>
      </c>
      <c r="T1025" s="6" t="str">
        <f>IF(MOD(C1025-Settings!$B$32,Settings!$B$33)&lt;Settings!$B$30,"Up","Down")</f>
        <v>Up</v>
      </c>
      <c r="U1025" s="6">
        <f>IF(OR(I1025&gt;Settings!$B$30,O1025&gt;Settings!$B$37),0,1)</f>
        <v>1</v>
      </c>
      <c r="V1025" s="6">
        <f>IF(AND(U1025=1,O1025&lt;=Settings!$B$36),1,0)</f>
        <v>0</v>
      </c>
    </row>
    <row r="1026" spans="1:22" x14ac:dyDescent="0.2">
      <c r="A1026">
        <f>Arrivals!A1026</f>
        <v>9</v>
      </c>
      <c r="B1026">
        <f>Arrivals!B1026</f>
        <v>61</v>
      </c>
      <c r="C1026" s="6">
        <f>Arrivals!F1026</f>
        <v>434</v>
      </c>
      <c r="D1026" s="6">
        <f>Arrivals!J1026</f>
        <v>7.4285087671176573</v>
      </c>
      <c r="E1026" s="6">
        <f t="shared" si="332"/>
        <v>845.7529743774769</v>
      </c>
      <c r="F1026" s="6">
        <f t="shared" si="323"/>
        <v>845.7529743774769</v>
      </c>
      <c r="G1026" s="6">
        <f t="shared" si="324"/>
        <v>853.18148314459461</v>
      </c>
      <c r="H1026" s="6">
        <f>Arrivals!L1026</f>
        <v>75</v>
      </c>
      <c r="I1026" s="6">
        <f>H1026*8/ACE_Input!S66+ACE_Input!T66</f>
        <v>6.02</v>
      </c>
      <c r="J1026" s="6">
        <f t="shared" si="333"/>
        <v>863.71623493008678</v>
      </c>
      <c r="K1026" s="6">
        <f t="shared" si="325"/>
        <v>863.71623493008678</v>
      </c>
      <c r="L1026" s="6">
        <f>MOD(K1026-Settings!$B$32,Settings!$B$33)</f>
        <v>143.71623493008678</v>
      </c>
      <c r="M1026" s="6">
        <f>IF(L1026&lt;Settings!$B$30,IF(Settings!$B$30-L1026&gt;=I1026,K1026,K1026+(Settings!$B$30-L1026)+Settings!$B$31),K1026+(Settings!$B$33-L1026))</f>
        <v>863.71623493008678</v>
      </c>
      <c r="N1026" s="6">
        <f t="shared" si="326"/>
        <v>869.73623493008677</v>
      </c>
      <c r="O1026" s="6">
        <f t="shared" si="327"/>
        <v>435.73623493008677</v>
      </c>
      <c r="P1026" s="6">
        <f t="shared" si="328"/>
        <v>411.7529743774769</v>
      </c>
      <c r="Q1026" s="6">
        <f t="shared" si="329"/>
        <v>10.534751785492176</v>
      </c>
      <c r="R1026" s="6">
        <f t="shared" si="330"/>
        <v>0</v>
      </c>
      <c r="S1026" s="6">
        <f t="shared" si="331"/>
        <v>422.28772616296908</v>
      </c>
      <c r="T1026" s="6" t="str">
        <f>IF(MOD(C1026-Settings!$B$32,Settings!$B$33)&lt;Settings!$B$30,"Up","Down")</f>
        <v>Up</v>
      </c>
      <c r="U1026" s="6">
        <f>IF(OR(I1026&gt;Settings!$B$30,O1026&gt;Settings!$B$37),0,1)</f>
        <v>1</v>
      </c>
      <c r="V1026" s="6">
        <f>IF(AND(U1026=1,O1026&lt;=Settings!$B$36),1,0)</f>
        <v>0</v>
      </c>
    </row>
    <row r="1027" spans="1:22" x14ac:dyDescent="0.2">
      <c r="A1027">
        <f>Arrivals!A1027</f>
        <v>9</v>
      </c>
      <c r="B1027">
        <f>Arrivals!B1027</f>
        <v>62</v>
      </c>
      <c r="C1027" s="6">
        <f>Arrivals!F1027</f>
        <v>439</v>
      </c>
      <c r="D1027" s="6">
        <f>Arrivals!J1027</f>
        <v>1.3416670272003572</v>
      </c>
      <c r="E1027" s="6">
        <f t="shared" si="332"/>
        <v>853.18148314459461</v>
      </c>
      <c r="F1027" s="6">
        <f t="shared" si="323"/>
        <v>853.18148314459461</v>
      </c>
      <c r="G1027" s="6">
        <f t="shared" si="324"/>
        <v>854.52315017179501</v>
      </c>
      <c r="H1027" s="6">
        <f>Arrivals!L1027</f>
        <v>75</v>
      </c>
      <c r="I1027" s="6">
        <f>H1027*8/ACE_Input!S67+ACE_Input!T67</f>
        <v>6.02</v>
      </c>
      <c r="J1027" s="6">
        <f t="shared" si="333"/>
        <v>869.73623493008677</v>
      </c>
      <c r="K1027" s="6">
        <f t="shared" si="325"/>
        <v>869.73623493008677</v>
      </c>
      <c r="L1027" s="6">
        <f>MOD(K1027-Settings!$B$32,Settings!$B$33)</f>
        <v>149.73623493008677</v>
      </c>
      <c r="M1027" s="6">
        <f>IF(L1027&lt;Settings!$B$30,IF(Settings!$B$30-L1027&gt;=I1027,K1027,K1027+(Settings!$B$30-L1027)+Settings!$B$31),K1027+(Settings!$B$33-L1027))</f>
        <v>869.73623493008677</v>
      </c>
      <c r="N1027" s="6">
        <f t="shared" si="326"/>
        <v>875.75623493008675</v>
      </c>
      <c r="O1027" s="6">
        <f t="shared" si="327"/>
        <v>436.75623493008675</v>
      </c>
      <c r="P1027" s="6">
        <f t="shared" si="328"/>
        <v>414.18148314459461</v>
      </c>
      <c r="Q1027" s="6">
        <f t="shared" si="329"/>
        <v>15.213084758291757</v>
      </c>
      <c r="R1027" s="6">
        <f t="shared" si="330"/>
        <v>0</v>
      </c>
      <c r="S1027" s="6">
        <f t="shared" si="331"/>
        <v>429.39456790288637</v>
      </c>
      <c r="T1027" s="6" t="str">
        <f>IF(MOD(C1027-Settings!$B$32,Settings!$B$33)&lt;Settings!$B$30,"Up","Down")</f>
        <v>Up</v>
      </c>
      <c r="U1027" s="6">
        <f>IF(OR(I1027&gt;Settings!$B$30,O1027&gt;Settings!$B$37),0,1)</f>
        <v>1</v>
      </c>
      <c r="V1027" s="6">
        <f>IF(AND(U1027=1,O1027&lt;=Settings!$B$36),1,0)</f>
        <v>0</v>
      </c>
    </row>
    <row r="1028" spans="1:22" x14ac:dyDescent="0.2">
      <c r="A1028">
        <f>Arrivals!A1028</f>
        <v>9</v>
      </c>
      <c r="B1028">
        <f>Arrivals!B1028</f>
        <v>63</v>
      </c>
      <c r="C1028" s="6">
        <f>Arrivals!F1028</f>
        <v>444</v>
      </c>
      <c r="D1028" s="6">
        <f>Arrivals!J1028</f>
        <v>25.104991201705836</v>
      </c>
      <c r="E1028" s="6">
        <f t="shared" si="332"/>
        <v>854.52315017179501</v>
      </c>
      <c r="F1028" s="6">
        <f t="shared" si="323"/>
        <v>854.52315017179501</v>
      </c>
      <c r="G1028" s="6">
        <f t="shared" si="324"/>
        <v>879.62814137350085</v>
      </c>
      <c r="H1028" s="6">
        <f>Arrivals!L1028</f>
        <v>75</v>
      </c>
      <c r="I1028" s="6">
        <f>H1028*8/ACE_Input!S68+ACE_Input!T68</f>
        <v>6.02</v>
      </c>
      <c r="J1028" s="6">
        <f t="shared" si="333"/>
        <v>875.75623493008675</v>
      </c>
      <c r="K1028" s="6">
        <f t="shared" si="325"/>
        <v>879.62814137350085</v>
      </c>
      <c r="L1028" s="6">
        <f>MOD(K1028-Settings!$B$32,Settings!$B$33)</f>
        <v>159.62814137350085</v>
      </c>
      <c r="M1028" s="6">
        <f>IF(L1028&lt;Settings!$B$30,IF(Settings!$B$30-L1028&gt;=I1028,K1028,K1028+(Settings!$B$30-L1028)+Settings!$B$31),K1028+(Settings!$B$33-L1028))</f>
        <v>879.62814137350085</v>
      </c>
      <c r="N1028" s="6">
        <f t="shared" si="326"/>
        <v>885.64814137350083</v>
      </c>
      <c r="O1028" s="6">
        <f t="shared" si="327"/>
        <v>441.64814137350083</v>
      </c>
      <c r="P1028" s="6">
        <f t="shared" si="328"/>
        <v>410.52315017179501</v>
      </c>
      <c r="Q1028" s="6">
        <f t="shared" si="329"/>
        <v>0</v>
      </c>
      <c r="R1028" s="6">
        <f t="shared" si="330"/>
        <v>0</v>
      </c>
      <c r="S1028" s="6">
        <f t="shared" si="331"/>
        <v>410.52315017179501</v>
      </c>
      <c r="T1028" s="6" t="str">
        <f>IF(MOD(C1028-Settings!$B$32,Settings!$B$33)&lt;Settings!$B$30,"Up","Down")</f>
        <v>Up</v>
      </c>
      <c r="U1028" s="6">
        <f>IF(OR(I1028&gt;Settings!$B$30,O1028&gt;Settings!$B$37),0,1)</f>
        <v>1</v>
      </c>
      <c r="V1028" s="6">
        <f>IF(AND(U1028=1,O1028&lt;=Settings!$B$36),1,0)</f>
        <v>0</v>
      </c>
    </row>
    <row r="1029" spans="1:22" x14ac:dyDescent="0.2">
      <c r="A1029">
        <f>Arrivals!A1029</f>
        <v>9</v>
      </c>
      <c r="B1029">
        <f>Arrivals!B1029</f>
        <v>64</v>
      </c>
      <c r="C1029" s="6">
        <f>Arrivals!F1029</f>
        <v>449</v>
      </c>
      <c r="D1029" s="6">
        <f>Arrivals!J1029</f>
        <v>8.6865597215161809</v>
      </c>
      <c r="E1029" s="6">
        <f t="shared" si="332"/>
        <v>879.62814137350085</v>
      </c>
      <c r="F1029" s="6">
        <f t="shared" si="323"/>
        <v>879.62814137350085</v>
      </c>
      <c r="G1029" s="6">
        <f t="shared" si="324"/>
        <v>888.31470109501709</v>
      </c>
      <c r="H1029" s="6">
        <f>Arrivals!L1029</f>
        <v>75</v>
      </c>
      <c r="I1029" s="6">
        <f>H1029*8/ACE_Input!S69+ACE_Input!T69</f>
        <v>6.02</v>
      </c>
      <c r="J1029" s="6">
        <f t="shared" si="333"/>
        <v>885.64814137350083</v>
      </c>
      <c r="K1029" s="6">
        <f t="shared" si="325"/>
        <v>888.31470109501709</v>
      </c>
      <c r="L1029" s="6">
        <f>MOD(K1029-Settings!$B$32,Settings!$B$33)</f>
        <v>168.31470109501709</v>
      </c>
      <c r="M1029" s="6">
        <f>IF(L1029&lt;Settings!$B$30,IF(Settings!$B$30-L1029&gt;=I1029,K1029,K1029+(Settings!$B$30-L1029)+Settings!$B$31),K1029+(Settings!$B$33-L1029))</f>
        <v>888.31470109501709</v>
      </c>
      <c r="N1029" s="6">
        <f t="shared" si="326"/>
        <v>894.33470109501707</v>
      </c>
      <c r="O1029" s="6">
        <f t="shared" si="327"/>
        <v>445.33470109501707</v>
      </c>
      <c r="P1029" s="6">
        <f t="shared" si="328"/>
        <v>430.62814137350085</v>
      </c>
      <c r="Q1029" s="6">
        <f t="shared" si="329"/>
        <v>0</v>
      </c>
      <c r="R1029" s="6">
        <f t="shared" si="330"/>
        <v>0</v>
      </c>
      <c r="S1029" s="6">
        <f t="shared" si="331"/>
        <v>430.62814137350085</v>
      </c>
      <c r="T1029" s="6" t="str">
        <f>IF(MOD(C1029-Settings!$B$32,Settings!$B$33)&lt;Settings!$B$30,"Up","Down")</f>
        <v>Up</v>
      </c>
      <c r="U1029" s="6">
        <f>IF(OR(I1029&gt;Settings!$B$30,O1029&gt;Settings!$B$37),0,1)</f>
        <v>1</v>
      </c>
      <c r="V1029" s="6">
        <f>IF(AND(U1029=1,O1029&lt;=Settings!$B$36),1,0)</f>
        <v>0</v>
      </c>
    </row>
    <row r="1030" spans="1:22" x14ac:dyDescent="0.2">
      <c r="A1030">
        <f>Arrivals!A1030</f>
        <v>9</v>
      </c>
      <c r="B1030">
        <f>Arrivals!B1030</f>
        <v>65</v>
      </c>
      <c r="C1030" s="6">
        <f>Arrivals!F1030</f>
        <v>454</v>
      </c>
      <c r="D1030" s="6">
        <f>Arrivals!J1030</f>
        <v>21.608990887475809</v>
      </c>
      <c r="E1030" s="6">
        <f t="shared" si="332"/>
        <v>888.31470109501709</v>
      </c>
      <c r="F1030" s="6">
        <f t="shared" ref="F1030:F1061" si="334">MAX(C1030,E1030)</f>
        <v>888.31470109501709</v>
      </c>
      <c r="G1030" s="6">
        <f t="shared" ref="G1030:G1061" si="335">F1030+D1030</f>
        <v>909.92369198249287</v>
      </c>
      <c r="H1030" s="6">
        <f>Arrivals!L1030</f>
        <v>75</v>
      </c>
      <c r="I1030" s="6">
        <f>H1030*8/ACE_Input!S70+ACE_Input!T70</f>
        <v>6.02</v>
      </c>
      <c r="J1030" s="6">
        <f t="shared" si="333"/>
        <v>894.33470109501707</v>
      </c>
      <c r="K1030" s="6">
        <f t="shared" ref="K1030:K1061" si="336">MAX(G1030,J1030)</f>
        <v>909.92369198249287</v>
      </c>
      <c r="L1030" s="6">
        <f>MOD(K1030-Settings!$B$32,Settings!$B$33)</f>
        <v>189.92369198249287</v>
      </c>
      <c r="M1030" s="6">
        <f>IF(L1030&lt;Settings!$B$30,IF(Settings!$B$30-L1030&gt;=I1030,K1030,K1030+(Settings!$B$30-L1030)+Settings!$B$31),K1030+(Settings!$B$33-L1030))</f>
        <v>909.92369198249287</v>
      </c>
      <c r="N1030" s="6">
        <f t="shared" ref="N1030:N1061" si="337">M1030+I1030</f>
        <v>915.94369198249285</v>
      </c>
      <c r="O1030" s="6">
        <f t="shared" ref="O1030:O1061" si="338">N1030-C1030</f>
        <v>461.94369198249285</v>
      </c>
      <c r="P1030" s="6">
        <f t="shared" ref="P1030:P1065" si="339">F1030-C1030</f>
        <v>434.31470109501709</v>
      </c>
      <c r="Q1030" s="6">
        <f t="shared" ref="Q1030:Q1065" si="340">K1030-G1030</f>
        <v>0</v>
      </c>
      <c r="R1030" s="6">
        <f t="shared" ref="R1030:R1065" si="341">M1030-K1030</f>
        <v>0</v>
      </c>
      <c r="S1030" s="6">
        <f t="shared" ref="S1030:S1061" si="342">P1030+Q1030+R1030</f>
        <v>434.31470109501709</v>
      </c>
      <c r="T1030" s="6" t="str">
        <f>IF(MOD(C1030-Settings!$B$32,Settings!$B$33)&lt;Settings!$B$30,"Up","Down")</f>
        <v>Up</v>
      </c>
      <c r="U1030" s="6">
        <f>IF(OR(I1030&gt;Settings!$B$30,O1030&gt;Settings!$B$37),0,1)</f>
        <v>1</v>
      </c>
      <c r="V1030" s="6">
        <f>IF(AND(U1030=1,O1030&lt;=Settings!$B$36),1,0)</f>
        <v>0</v>
      </c>
    </row>
    <row r="1031" spans="1:22" x14ac:dyDescent="0.2">
      <c r="A1031">
        <f>Arrivals!A1031</f>
        <v>9</v>
      </c>
      <c r="B1031">
        <f>Arrivals!B1031</f>
        <v>66</v>
      </c>
      <c r="C1031" s="6">
        <f>Arrivals!F1031</f>
        <v>459</v>
      </c>
      <c r="D1031" s="6">
        <f>Arrivals!J1031</f>
        <v>27.913954429906656</v>
      </c>
      <c r="E1031" s="6">
        <f t="shared" ref="E1031:E1065" si="343">G1030</f>
        <v>909.92369198249287</v>
      </c>
      <c r="F1031" s="6">
        <f t="shared" si="334"/>
        <v>909.92369198249287</v>
      </c>
      <c r="G1031" s="6">
        <f t="shared" si="335"/>
        <v>937.83764641239952</v>
      </c>
      <c r="H1031" s="6">
        <f>Arrivals!L1031</f>
        <v>75</v>
      </c>
      <c r="I1031" s="6">
        <f>H1031*8/ACE_Input!S71+ACE_Input!T71</f>
        <v>6.02</v>
      </c>
      <c r="J1031" s="6">
        <f t="shared" ref="J1031:J1065" si="344">N1030</f>
        <v>915.94369198249285</v>
      </c>
      <c r="K1031" s="6">
        <f t="shared" si="336"/>
        <v>937.83764641239952</v>
      </c>
      <c r="L1031" s="6">
        <f>MOD(K1031-Settings!$B$32,Settings!$B$33)</f>
        <v>217.83764641239952</v>
      </c>
      <c r="M1031" s="6">
        <f>IF(L1031&lt;Settings!$B$30,IF(Settings!$B$30-L1031&gt;=I1031,K1031,K1031+(Settings!$B$30-L1031)+Settings!$B$31),K1031+(Settings!$B$33-L1031))</f>
        <v>937.83764641239952</v>
      </c>
      <c r="N1031" s="6">
        <f t="shared" si="337"/>
        <v>943.8576464123995</v>
      </c>
      <c r="O1031" s="6">
        <f t="shared" si="338"/>
        <v>484.8576464123995</v>
      </c>
      <c r="P1031" s="6">
        <f t="shared" si="339"/>
        <v>450.92369198249287</v>
      </c>
      <c r="Q1031" s="6">
        <f t="shared" si="340"/>
        <v>0</v>
      </c>
      <c r="R1031" s="6">
        <f t="shared" si="341"/>
        <v>0</v>
      </c>
      <c r="S1031" s="6">
        <f t="shared" si="342"/>
        <v>450.92369198249287</v>
      </c>
      <c r="T1031" s="6" t="str">
        <f>IF(MOD(C1031-Settings!$B$32,Settings!$B$33)&lt;Settings!$B$30,"Up","Down")</f>
        <v>Up</v>
      </c>
      <c r="U1031" s="6">
        <f>IF(OR(I1031&gt;Settings!$B$30,O1031&gt;Settings!$B$37),0,1)</f>
        <v>1</v>
      </c>
      <c r="V1031" s="6">
        <f>IF(AND(U1031=1,O1031&lt;=Settings!$B$36),1,0)</f>
        <v>0</v>
      </c>
    </row>
    <row r="1032" spans="1:22" x14ac:dyDescent="0.2">
      <c r="A1032">
        <f>Arrivals!A1032</f>
        <v>9</v>
      </c>
      <c r="B1032">
        <f>Arrivals!B1032</f>
        <v>67</v>
      </c>
      <c r="C1032" s="6">
        <f>Arrivals!F1032</f>
        <v>474</v>
      </c>
      <c r="D1032" s="6">
        <f>Arrivals!J1032</f>
        <v>7.4758022782773104</v>
      </c>
      <c r="E1032" s="6">
        <f t="shared" si="343"/>
        <v>937.83764641239952</v>
      </c>
      <c r="F1032" s="6">
        <f t="shared" si="334"/>
        <v>937.83764641239952</v>
      </c>
      <c r="G1032" s="6">
        <f t="shared" si="335"/>
        <v>945.31344869067686</v>
      </c>
      <c r="H1032" s="6">
        <f>Arrivals!L1032</f>
        <v>75</v>
      </c>
      <c r="I1032" s="6">
        <f>H1032*8/ACE_Input!S72+ACE_Input!T72</f>
        <v>6.02</v>
      </c>
      <c r="J1032" s="6">
        <f t="shared" si="344"/>
        <v>943.8576464123995</v>
      </c>
      <c r="K1032" s="6">
        <f t="shared" si="336"/>
        <v>945.31344869067686</v>
      </c>
      <c r="L1032" s="6">
        <f>MOD(K1032-Settings!$B$32,Settings!$B$33)</f>
        <v>225.31344869067686</v>
      </c>
      <c r="M1032" s="6">
        <f>IF(L1032&lt;Settings!$B$30,IF(Settings!$B$30-L1032&gt;=I1032,K1032,K1032+(Settings!$B$30-L1032)+Settings!$B$31),K1032+(Settings!$B$33-L1032))</f>
        <v>945.31344869067686</v>
      </c>
      <c r="N1032" s="6">
        <f t="shared" si="337"/>
        <v>951.33344869067685</v>
      </c>
      <c r="O1032" s="6">
        <f t="shared" si="338"/>
        <v>477.33344869067685</v>
      </c>
      <c r="P1032" s="6">
        <f t="shared" si="339"/>
        <v>463.83764641239952</v>
      </c>
      <c r="Q1032" s="6">
        <f t="shared" si="340"/>
        <v>0</v>
      </c>
      <c r="R1032" s="6">
        <f t="shared" si="341"/>
        <v>0</v>
      </c>
      <c r="S1032" s="6">
        <f t="shared" si="342"/>
        <v>463.83764641239952</v>
      </c>
      <c r="T1032" s="6" t="str">
        <f>IF(MOD(C1032-Settings!$B$32,Settings!$B$33)&lt;Settings!$B$30,"Up","Down")</f>
        <v>Up</v>
      </c>
      <c r="U1032" s="6">
        <f>IF(OR(I1032&gt;Settings!$B$30,O1032&gt;Settings!$B$37),0,1)</f>
        <v>1</v>
      </c>
      <c r="V1032" s="6">
        <f>IF(AND(U1032=1,O1032&lt;=Settings!$B$36),1,0)</f>
        <v>0</v>
      </c>
    </row>
    <row r="1033" spans="1:22" x14ac:dyDescent="0.2">
      <c r="A1033">
        <f>Arrivals!A1033</f>
        <v>9</v>
      </c>
      <c r="B1033">
        <f>Arrivals!B1033</f>
        <v>68</v>
      </c>
      <c r="C1033" s="6">
        <f>Arrivals!F1033</f>
        <v>479</v>
      </c>
      <c r="D1033" s="6">
        <f>Arrivals!J1033</f>
        <v>14.542579833332073</v>
      </c>
      <c r="E1033" s="6">
        <f t="shared" si="343"/>
        <v>945.31344869067686</v>
      </c>
      <c r="F1033" s="6">
        <f t="shared" si="334"/>
        <v>945.31344869067686</v>
      </c>
      <c r="G1033" s="6">
        <f t="shared" si="335"/>
        <v>959.85602852400893</v>
      </c>
      <c r="H1033" s="6">
        <f>Arrivals!L1033</f>
        <v>75</v>
      </c>
      <c r="I1033" s="6">
        <f>H1033*8/ACE_Input!S73+ACE_Input!T73</f>
        <v>6.02</v>
      </c>
      <c r="J1033" s="6">
        <f t="shared" si="344"/>
        <v>951.33344869067685</v>
      </c>
      <c r="K1033" s="6">
        <f t="shared" si="336"/>
        <v>959.85602852400893</v>
      </c>
      <c r="L1033" s="6">
        <f>MOD(K1033-Settings!$B$32,Settings!$B$33)</f>
        <v>239.85602852400893</v>
      </c>
      <c r="M1033" s="6">
        <f>IF(L1033&lt;Settings!$B$30,IF(Settings!$B$30-L1033&gt;=I1033,K1033,K1033+(Settings!$B$30-L1033)+Settings!$B$31),K1033+(Settings!$B$33-L1033))</f>
        <v>959.85602852400893</v>
      </c>
      <c r="N1033" s="6">
        <f t="shared" si="337"/>
        <v>965.87602852400892</v>
      </c>
      <c r="O1033" s="6">
        <f t="shared" si="338"/>
        <v>486.87602852400892</v>
      </c>
      <c r="P1033" s="6">
        <f t="shared" si="339"/>
        <v>466.31344869067686</v>
      </c>
      <c r="Q1033" s="6">
        <f t="shared" si="340"/>
        <v>0</v>
      </c>
      <c r="R1033" s="6">
        <f t="shared" si="341"/>
        <v>0</v>
      </c>
      <c r="S1033" s="6">
        <f t="shared" si="342"/>
        <v>466.31344869067686</v>
      </c>
      <c r="T1033" s="6" t="str">
        <f>IF(MOD(C1033-Settings!$B$32,Settings!$B$33)&lt;Settings!$B$30,"Up","Down")</f>
        <v>Up</v>
      </c>
      <c r="U1033" s="6">
        <f>IF(OR(I1033&gt;Settings!$B$30,O1033&gt;Settings!$B$37),0,1)</f>
        <v>1</v>
      </c>
      <c r="V1033" s="6">
        <f>IF(AND(U1033=1,O1033&lt;=Settings!$B$36),1,0)</f>
        <v>0</v>
      </c>
    </row>
    <row r="1034" spans="1:22" x14ac:dyDescent="0.2">
      <c r="A1034">
        <f>Arrivals!A1034</f>
        <v>9</v>
      </c>
      <c r="B1034">
        <f>Arrivals!B1034</f>
        <v>69</v>
      </c>
      <c r="C1034" s="6">
        <f>Arrivals!F1034</f>
        <v>494</v>
      </c>
      <c r="D1034" s="6">
        <f>Arrivals!J1034</f>
        <v>11.608744074690366</v>
      </c>
      <c r="E1034" s="6">
        <f t="shared" si="343"/>
        <v>959.85602852400893</v>
      </c>
      <c r="F1034" s="6">
        <f t="shared" si="334"/>
        <v>959.85602852400893</v>
      </c>
      <c r="G1034" s="6">
        <f t="shared" si="335"/>
        <v>971.46477259869926</v>
      </c>
      <c r="H1034" s="6">
        <f>Arrivals!L1034</f>
        <v>75</v>
      </c>
      <c r="I1034" s="6">
        <f>H1034*8/ACE_Input!S74+ACE_Input!T74</f>
        <v>6.02</v>
      </c>
      <c r="J1034" s="6">
        <f t="shared" si="344"/>
        <v>965.87602852400892</v>
      </c>
      <c r="K1034" s="6">
        <f t="shared" si="336"/>
        <v>971.46477259869926</v>
      </c>
      <c r="L1034" s="6">
        <f>MOD(K1034-Settings!$B$32,Settings!$B$33)</f>
        <v>251.46477259869926</v>
      </c>
      <c r="M1034" s="6">
        <f>IF(L1034&lt;Settings!$B$30,IF(Settings!$B$30-L1034&gt;=I1034,K1034,K1034+(Settings!$B$30-L1034)+Settings!$B$31),K1034+(Settings!$B$33-L1034))</f>
        <v>971.46477259869926</v>
      </c>
      <c r="N1034" s="6">
        <f t="shared" si="337"/>
        <v>977.48477259869924</v>
      </c>
      <c r="O1034" s="6">
        <f t="shared" si="338"/>
        <v>483.48477259869924</v>
      </c>
      <c r="P1034" s="6">
        <f t="shared" si="339"/>
        <v>465.85602852400893</v>
      </c>
      <c r="Q1034" s="6">
        <f t="shared" si="340"/>
        <v>0</v>
      </c>
      <c r="R1034" s="6">
        <f t="shared" si="341"/>
        <v>0</v>
      </c>
      <c r="S1034" s="6">
        <f t="shared" si="342"/>
        <v>465.85602852400893</v>
      </c>
      <c r="T1034" s="6" t="str">
        <f>IF(MOD(C1034-Settings!$B$32,Settings!$B$33)&lt;Settings!$B$30,"Up","Down")</f>
        <v>Up</v>
      </c>
      <c r="U1034" s="6">
        <f>IF(OR(I1034&gt;Settings!$B$30,O1034&gt;Settings!$B$37),0,1)</f>
        <v>1</v>
      </c>
      <c r="V1034" s="6">
        <f>IF(AND(U1034=1,O1034&lt;=Settings!$B$36),1,0)</f>
        <v>0</v>
      </c>
    </row>
    <row r="1035" spans="1:22" x14ac:dyDescent="0.2">
      <c r="A1035">
        <f>Arrivals!A1035</f>
        <v>9</v>
      </c>
      <c r="B1035">
        <f>Arrivals!B1035</f>
        <v>70</v>
      </c>
      <c r="C1035" s="6">
        <f>Arrivals!F1035</f>
        <v>499</v>
      </c>
      <c r="D1035" s="6">
        <f>Arrivals!J1035</f>
        <v>1.7376525739235369</v>
      </c>
      <c r="E1035" s="6">
        <f t="shared" si="343"/>
        <v>971.46477259869926</v>
      </c>
      <c r="F1035" s="6">
        <f t="shared" si="334"/>
        <v>971.46477259869926</v>
      </c>
      <c r="G1035" s="6">
        <f t="shared" si="335"/>
        <v>973.20242517262284</v>
      </c>
      <c r="H1035" s="6">
        <f>Arrivals!L1035</f>
        <v>75</v>
      </c>
      <c r="I1035" s="6">
        <f>H1035*8/ACE_Input!S75+ACE_Input!T75</f>
        <v>6.02</v>
      </c>
      <c r="J1035" s="6">
        <f t="shared" si="344"/>
        <v>977.48477259869924</v>
      </c>
      <c r="K1035" s="6">
        <f t="shared" si="336"/>
        <v>977.48477259869924</v>
      </c>
      <c r="L1035" s="6">
        <f>MOD(K1035-Settings!$B$32,Settings!$B$33)</f>
        <v>257.48477259869924</v>
      </c>
      <c r="M1035" s="6">
        <f>IF(L1035&lt;Settings!$B$30,IF(Settings!$B$30-L1035&gt;=I1035,K1035,K1035+(Settings!$B$30-L1035)+Settings!$B$31),K1035+(Settings!$B$33-L1035))</f>
        <v>977.48477259869924</v>
      </c>
      <c r="N1035" s="6">
        <f t="shared" si="337"/>
        <v>983.50477259869922</v>
      </c>
      <c r="O1035" s="6">
        <f t="shared" si="338"/>
        <v>484.50477259869922</v>
      </c>
      <c r="P1035" s="6">
        <f t="shared" si="339"/>
        <v>472.46477259869926</v>
      </c>
      <c r="Q1035" s="6">
        <f t="shared" si="340"/>
        <v>4.2823474260763987</v>
      </c>
      <c r="R1035" s="6">
        <f t="shared" si="341"/>
        <v>0</v>
      </c>
      <c r="S1035" s="6">
        <f t="shared" si="342"/>
        <v>476.74712002477565</v>
      </c>
      <c r="T1035" s="6" t="str">
        <f>IF(MOD(C1035-Settings!$B$32,Settings!$B$33)&lt;Settings!$B$30,"Up","Down")</f>
        <v>Up</v>
      </c>
      <c r="U1035" s="6">
        <f>IF(OR(I1035&gt;Settings!$B$30,O1035&gt;Settings!$B$37),0,1)</f>
        <v>1</v>
      </c>
      <c r="V1035" s="6">
        <f>IF(AND(U1035=1,O1035&lt;=Settings!$B$36),1,0)</f>
        <v>0</v>
      </c>
    </row>
    <row r="1036" spans="1:22" x14ac:dyDescent="0.2">
      <c r="A1036">
        <f>Arrivals!A1036</f>
        <v>9</v>
      </c>
      <c r="B1036">
        <f>Arrivals!B1036</f>
        <v>71</v>
      </c>
      <c r="C1036" s="6">
        <f>Arrivals!F1036</f>
        <v>504</v>
      </c>
      <c r="D1036" s="6">
        <f>Arrivals!J1036</f>
        <v>15.537749138952954</v>
      </c>
      <c r="E1036" s="6">
        <f t="shared" si="343"/>
        <v>973.20242517262284</v>
      </c>
      <c r="F1036" s="6">
        <f t="shared" si="334"/>
        <v>973.20242517262284</v>
      </c>
      <c r="G1036" s="6">
        <f t="shared" si="335"/>
        <v>988.74017431157574</v>
      </c>
      <c r="H1036" s="6">
        <f>Arrivals!L1036</f>
        <v>75</v>
      </c>
      <c r="I1036" s="6">
        <f>H1036*8/ACE_Input!S76+ACE_Input!T76</f>
        <v>6.02</v>
      </c>
      <c r="J1036" s="6">
        <f t="shared" si="344"/>
        <v>983.50477259869922</v>
      </c>
      <c r="K1036" s="6">
        <f t="shared" si="336"/>
        <v>988.74017431157574</v>
      </c>
      <c r="L1036" s="6">
        <f>MOD(K1036-Settings!$B$32,Settings!$B$33)</f>
        <v>268.74017431157574</v>
      </c>
      <c r="M1036" s="6">
        <f>IF(L1036&lt;Settings!$B$30,IF(Settings!$B$30-L1036&gt;=I1036,K1036,K1036+(Settings!$B$30-L1036)+Settings!$B$31),K1036+(Settings!$B$33-L1036))</f>
        <v>988.74017431157574</v>
      </c>
      <c r="N1036" s="6">
        <f t="shared" si="337"/>
        <v>994.76017431157572</v>
      </c>
      <c r="O1036" s="6">
        <f t="shared" si="338"/>
        <v>490.76017431157572</v>
      </c>
      <c r="P1036" s="6">
        <f t="shared" si="339"/>
        <v>469.20242517262284</v>
      </c>
      <c r="Q1036" s="6">
        <f t="shared" si="340"/>
        <v>0</v>
      </c>
      <c r="R1036" s="6">
        <f t="shared" si="341"/>
        <v>0</v>
      </c>
      <c r="S1036" s="6">
        <f t="shared" si="342"/>
        <v>469.20242517262284</v>
      </c>
      <c r="T1036" s="6" t="str">
        <f>IF(MOD(C1036-Settings!$B$32,Settings!$B$33)&lt;Settings!$B$30,"Up","Down")</f>
        <v>Up</v>
      </c>
      <c r="U1036" s="6">
        <f>IF(OR(I1036&gt;Settings!$B$30,O1036&gt;Settings!$B$37),0,1)</f>
        <v>1</v>
      </c>
      <c r="V1036" s="6">
        <f>IF(AND(U1036=1,O1036&lt;=Settings!$B$36),1,0)</f>
        <v>0</v>
      </c>
    </row>
    <row r="1037" spans="1:22" x14ac:dyDescent="0.2">
      <c r="A1037">
        <f>Arrivals!A1037</f>
        <v>9</v>
      </c>
      <c r="B1037">
        <f>Arrivals!B1037</f>
        <v>72</v>
      </c>
      <c r="C1037" s="6">
        <f>Arrivals!F1037</f>
        <v>509</v>
      </c>
      <c r="D1037" s="6">
        <f>Arrivals!J1037</f>
        <v>15.938348758480341</v>
      </c>
      <c r="E1037" s="6">
        <f t="shared" si="343"/>
        <v>988.74017431157574</v>
      </c>
      <c r="F1037" s="6">
        <f t="shared" si="334"/>
        <v>988.74017431157574</v>
      </c>
      <c r="G1037" s="6">
        <f t="shared" si="335"/>
        <v>1004.678523070056</v>
      </c>
      <c r="H1037" s="6">
        <f>Arrivals!L1037</f>
        <v>75</v>
      </c>
      <c r="I1037" s="6">
        <f>H1037*8/ACE_Input!S77+ACE_Input!T77</f>
        <v>6.02</v>
      </c>
      <c r="J1037" s="6">
        <f t="shared" si="344"/>
        <v>994.76017431157572</v>
      </c>
      <c r="K1037" s="6">
        <f t="shared" si="336"/>
        <v>1004.678523070056</v>
      </c>
      <c r="L1037" s="6">
        <f>MOD(K1037-Settings!$B$32,Settings!$B$33)</f>
        <v>284.67852307005603</v>
      </c>
      <c r="M1037" s="6">
        <f>IF(L1037&lt;Settings!$B$30,IF(Settings!$B$30-L1037&gt;=I1037,K1037,K1037+(Settings!$B$30-L1037)+Settings!$B$31),K1037+(Settings!$B$33-L1037))</f>
        <v>1004.678523070056</v>
      </c>
      <c r="N1037" s="6">
        <f t="shared" si="337"/>
        <v>1010.698523070056</v>
      </c>
      <c r="O1037" s="6">
        <f t="shared" si="338"/>
        <v>501.69852307005601</v>
      </c>
      <c r="P1037" s="6">
        <f t="shared" si="339"/>
        <v>479.74017431157574</v>
      </c>
      <c r="Q1037" s="6">
        <f t="shared" si="340"/>
        <v>0</v>
      </c>
      <c r="R1037" s="6">
        <f t="shared" si="341"/>
        <v>0</v>
      </c>
      <c r="S1037" s="6">
        <f t="shared" si="342"/>
        <v>479.74017431157574</v>
      </c>
      <c r="T1037" s="6" t="str">
        <f>IF(MOD(C1037-Settings!$B$32,Settings!$B$33)&lt;Settings!$B$30,"Up","Down")</f>
        <v>Up</v>
      </c>
      <c r="U1037" s="6">
        <f>IF(OR(I1037&gt;Settings!$B$30,O1037&gt;Settings!$B$37),0,1)</f>
        <v>1</v>
      </c>
      <c r="V1037" s="6">
        <f>IF(AND(U1037=1,O1037&lt;=Settings!$B$36),1,0)</f>
        <v>0</v>
      </c>
    </row>
    <row r="1038" spans="1:22" x14ac:dyDescent="0.2">
      <c r="A1038">
        <f>Arrivals!A1038</f>
        <v>9</v>
      </c>
      <c r="B1038">
        <f>Arrivals!B1038</f>
        <v>73</v>
      </c>
      <c r="C1038" s="6">
        <f>Arrivals!F1038</f>
        <v>514</v>
      </c>
      <c r="D1038" s="6">
        <f>Arrivals!J1038</f>
        <v>28.036675914735198</v>
      </c>
      <c r="E1038" s="6">
        <f t="shared" si="343"/>
        <v>1004.678523070056</v>
      </c>
      <c r="F1038" s="6">
        <f t="shared" si="334"/>
        <v>1004.678523070056</v>
      </c>
      <c r="G1038" s="6">
        <f t="shared" si="335"/>
        <v>1032.7151989847912</v>
      </c>
      <c r="H1038" s="6">
        <f>Arrivals!L1038</f>
        <v>75</v>
      </c>
      <c r="I1038" s="6">
        <f>H1038*8/ACE_Input!S78+ACE_Input!T78</f>
        <v>6.02</v>
      </c>
      <c r="J1038" s="6">
        <f t="shared" si="344"/>
        <v>1010.698523070056</v>
      </c>
      <c r="K1038" s="6">
        <f t="shared" si="336"/>
        <v>1032.7151989847912</v>
      </c>
      <c r="L1038" s="6">
        <f>MOD(K1038-Settings!$B$32,Settings!$B$33)</f>
        <v>312.71519898479119</v>
      </c>
      <c r="M1038" s="6">
        <f>IF(L1038&lt;Settings!$B$30,IF(Settings!$B$30-L1038&gt;=I1038,K1038,K1038+(Settings!$B$30-L1038)+Settings!$B$31),K1038+(Settings!$B$33-L1038))</f>
        <v>1032.7151989847912</v>
      </c>
      <c r="N1038" s="6">
        <f t="shared" si="337"/>
        <v>1038.7351989847912</v>
      </c>
      <c r="O1038" s="6">
        <f t="shared" si="338"/>
        <v>524.73519898479117</v>
      </c>
      <c r="P1038" s="6">
        <f t="shared" si="339"/>
        <v>490.67852307005603</v>
      </c>
      <c r="Q1038" s="6">
        <f t="shared" si="340"/>
        <v>0</v>
      </c>
      <c r="R1038" s="6">
        <f t="shared" si="341"/>
        <v>0</v>
      </c>
      <c r="S1038" s="6">
        <f t="shared" si="342"/>
        <v>490.67852307005603</v>
      </c>
      <c r="T1038" s="6" t="str">
        <f>IF(MOD(C1038-Settings!$B$32,Settings!$B$33)&lt;Settings!$B$30,"Up","Down")</f>
        <v>Up</v>
      </c>
      <c r="U1038" s="6">
        <f>IF(OR(I1038&gt;Settings!$B$30,O1038&gt;Settings!$B$37),0,1)</f>
        <v>1</v>
      </c>
      <c r="V1038" s="6">
        <f>IF(AND(U1038=1,O1038&lt;=Settings!$B$36),1,0)</f>
        <v>0</v>
      </c>
    </row>
    <row r="1039" spans="1:22" x14ac:dyDescent="0.2">
      <c r="A1039">
        <f>Arrivals!A1039</f>
        <v>9</v>
      </c>
      <c r="B1039">
        <f>Arrivals!B1039</f>
        <v>74</v>
      </c>
      <c r="C1039" s="6">
        <f>Arrivals!F1039</f>
        <v>519</v>
      </c>
      <c r="D1039" s="6">
        <f>Arrivals!J1039</f>
        <v>2.1747558291932592</v>
      </c>
      <c r="E1039" s="6">
        <f t="shared" si="343"/>
        <v>1032.7151989847912</v>
      </c>
      <c r="F1039" s="6">
        <f t="shared" si="334"/>
        <v>1032.7151989847912</v>
      </c>
      <c r="G1039" s="6">
        <f t="shared" si="335"/>
        <v>1034.8899548139843</v>
      </c>
      <c r="H1039" s="6">
        <f>Arrivals!L1039</f>
        <v>75</v>
      </c>
      <c r="I1039" s="6">
        <f>H1039*8/ACE_Input!S79+ACE_Input!T79</f>
        <v>6.02</v>
      </c>
      <c r="J1039" s="6">
        <f t="shared" si="344"/>
        <v>1038.7351989847912</v>
      </c>
      <c r="K1039" s="6">
        <f t="shared" si="336"/>
        <v>1038.7351989847912</v>
      </c>
      <c r="L1039" s="6">
        <f>MOD(K1039-Settings!$B$32,Settings!$B$33)</f>
        <v>318.73519898479117</v>
      </c>
      <c r="M1039" s="6">
        <f>IF(L1039&lt;Settings!$B$30,IF(Settings!$B$30-L1039&gt;=I1039,K1039,K1039+(Settings!$B$30-L1039)+Settings!$B$31),K1039+(Settings!$B$33-L1039))</f>
        <v>1038.7351989847912</v>
      </c>
      <c r="N1039" s="6">
        <f t="shared" si="337"/>
        <v>1044.7551989847911</v>
      </c>
      <c r="O1039" s="6">
        <f t="shared" si="338"/>
        <v>525.75519898479115</v>
      </c>
      <c r="P1039" s="6">
        <f t="shared" si="339"/>
        <v>513.71519898479119</v>
      </c>
      <c r="Q1039" s="6">
        <f t="shared" si="340"/>
        <v>3.8452441708068363</v>
      </c>
      <c r="R1039" s="6">
        <f t="shared" si="341"/>
        <v>0</v>
      </c>
      <c r="S1039" s="6">
        <f t="shared" si="342"/>
        <v>517.56044315559802</v>
      </c>
      <c r="T1039" s="6" t="str">
        <f>IF(MOD(C1039-Settings!$B$32,Settings!$B$33)&lt;Settings!$B$30,"Up","Down")</f>
        <v>Up</v>
      </c>
      <c r="U1039" s="6">
        <f>IF(OR(I1039&gt;Settings!$B$30,O1039&gt;Settings!$B$37),0,1)</f>
        <v>1</v>
      </c>
      <c r="V1039" s="6">
        <f>IF(AND(U1039=1,O1039&lt;=Settings!$B$36),1,0)</f>
        <v>0</v>
      </c>
    </row>
    <row r="1040" spans="1:22" x14ac:dyDescent="0.2">
      <c r="A1040">
        <f>Arrivals!A1040</f>
        <v>9</v>
      </c>
      <c r="B1040">
        <f>Arrivals!B1040</f>
        <v>75</v>
      </c>
      <c r="C1040" s="6">
        <f>Arrivals!F1040</f>
        <v>524</v>
      </c>
      <c r="D1040" s="6">
        <f>Arrivals!J1040</f>
        <v>24.0550250122253</v>
      </c>
      <c r="E1040" s="6">
        <f t="shared" si="343"/>
        <v>1034.8899548139843</v>
      </c>
      <c r="F1040" s="6">
        <f t="shared" si="334"/>
        <v>1034.8899548139843</v>
      </c>
      <c r="G1040" s="6">
        <f t="shared" si="335"/>
        <v>1058.9449798262096</v>
      </c>
      <c r="H1040" s="6">
        <f>Arrivals!L1040</f>
        <v>75</v>
      </c>
      <c r="I1040" s="6">
        <f>H1040*8/ACE_Input!S80+ACE_Input!T80</f>
        <v>6.02</v>
      </c>
      <c r="J1040" s="6">
        <f t="shared" si="344"/>
        <v>1044.7551989847911</v>
      </c>
      <c r="K1040" s="6">
        <f t="shared" si="336"/>
        <v>1058.9449798262096</v>
      </c>
      <c r="L1040" s="6">
        <f>MOD(K1040-Settings!$B$32,Settings!$B$33)</f>
        <v>338.94497982620965</v>
      </c>
      <c r="M1040" s="6">
        <f>IF(L1040&lt;Settings!$B$30,IF(Settings!$B$30-L1040&gt;=I1040,K1040,K1040+(Settings!$B$30-L1040)+Settings!$B$31),K1040+(Settings!$B$33-L1040))</f>
        <v>1058.9449798262096</v>
      </c>
      <c r="N1040" s="6">
        <f t="shared" si="337"/>
        <v>1064.9649798262096</v>
      </c>
      <c r="O1040" s="6">
        <f t="shared" si="338"/>
        <v>540.96497982620963</v>
      </c>
      <c r="P1040" s="6">
        <f t="shared" si="339"/>
        <v>510.88995481398433</v>
      </c>
      <c r="Q1040" s="6">
        <f t="shared" si="340"/>
        <v>0</v>
      </c>
      <c r="R1040" s="6">
        <f t="shared" si="341"/>
        <v>0</v>
      </c>
      <c r="S1040" s="6">
        <f t="shared" si="342"/>
        <v>510.88995481398433</v>
      </c>
      <c r="T1040" s="6" t="str">
        <f>IF(MOD(C1040-Settings!$B$32,Settings!$B$33)&lt;Settings!$B$30,"Up","Down")</f>
        <v>Up</v>
      </c>
      <c r="U1040" s="6">
        <f>IF(OR(I1040&gt;Settings!$B$30,O1040&gt;Settings!$B$37),0,1)</f>
        <v>1</v>
      </c>
      <c r="V1040" s="6">
        <f>IF(AND(U1040=1,O1040&lt;=Settings!$B$36),1,0)</f>
        <v>0</v>
      </c>
    </row>
    <row r="1041" spans="1:22" x14ac:dyDescent="0.2">
      <c r="A1041">
        <f>Arrivals!A1041</f>
        <v>9</v>
      </c>
      <c r="B1041">
        <f>Arrivals!B1041</f>
        <v>76</v>
      </c>
      <c r="C1041" s="6">
        <f>Arrivals!F1041</f>
        <v>529</v>
      </c>
      <c r="D1041" s="6">
        <f>Arrivals!J1041</f>
        <v>20.97876444592255</v>
      </c>
      <c r="E1041" s="6">
        <f t="shared" si="343"/>
        <v>1058.9449798262096</v>
      </c>
      <c r="F1041" s="6">
        <f t="shared" si="334"/>
        <v>1058.9449798262096</v>
      </c>
      <c r="G1041" s="6">
        <f t="shared" si="335"/>
        <v>1079.9237442721321</v>
      </c>
      <c r="H1041" s="6">
        <f>Arrivals!L1041</f>
        <v>75</v>
      </c>
      <c r="I1041" s="6">
        <f>H1041*8/ACE_Input!S81+ACE_Input!T81</f>
        <v>6.02</v>
      </c>
      <c r="J1041" s="6">
        <f t="shared" si="344"/>
        <v>1064.9649798262096</v>
      </c>
      <c r="K1041" s="6">
        <f t="shared" si="336"/>
        <v>1079.9237442721321</v>
      </c>
      <c r="L1041" s="6">
        <f>MOD(K1041-Settings!$B$32,Settings!$B$33)</f>
        <v>359.92374427213213</v>
      </c>
      <c r="M1041" s="6">
        <f>IF(L1041&lt;Settings!$B$30,IF(Settings!$B$30-L1041&gt;=I1041,K1041,K1041+(Settings!$B$30-L1041)+Settings!$B$31),K1041+(Settings!$B$33-L1041))</f>
        <v>1079.9237442721321</v>
      </c>
      <c r="N1041" s="6">
        <f t="shared" si="337"/>
        <v>1085.9437442721321</v>
      </c>
      <c r="O1041" s="6">
        <f t="shared" si="338"/>
        <v>556.94374427213211</v>
      </c>
      <c r="P1041" s="6">
        <f t="shared" si="339"/>
        <v>529.94497982620965</v>
      </c>
      <c r="Q1041" s="6">
        <f t="shared" si="340"/>
        <v>0</v>
      </c>
      <c r="R1041" s="6">
        <f t="shared" si="341"/>
        <v>0</v>
      </c>
      <c r="S1041" s="6">
        <f t="shared" si="342"/>
        <v>529.94497982620965</v>
      </c>
      <c r="T1041" s="6" t="str">
        <f>IF(MOD(C1041-Settings!$B$32,Settings!$B$33)&lt;Settings!$B$30,"Up","Down")</f>
        <v>Up</v>
      </c>
      <c r="U1041" s="6">
        <f>IF(OR(I1041&gt;Settings!$B$30,O1041&gt;Settings!$B$37),0,1)</f>
        <v>1</v>
      </c>
      <c r="V1041" s="6">
        <f>IF(AND(U1041=1,O1041&lt;=Settings!$B$36),1,0)</f>
        <v>0</v>
      </c>
    </row>
    <row r="1042" spans="1:22" x14ac:dyDescent="0.2">
      <c r="A1042">
        <f>Arrivals!A1042</f>
        <v>9</v>
      </c>
      <c r="B1042">
        <f>Arrivals!B1042</f>
        <v>77</v>
      </c>
      <c r="C1042" s="6">
        <f>Arrivals!F1042</f>
        <v>534</v>
      </c>
      <c r="D1042" s="6">
        <f>Arrivals!J1042</f>
        <v>2.8035349023815597</v>
      </c>
      <c r="E1042" s="6">
        <f t="shared" si="343"/>
        <v>1079.9237442721321</v>
      </c>
      <c r="F1042" s="6">
        <f t="shared" si="334"/>
        <v>1079.9237442721321</v>
      </c>
      <c r="G1042" s="6">
        <f t="shared" si="335"/>
        <v>1082.7272791745138</v>
      </c>
      <c r="H1042" s="6">
        <f>Arrivals!L1042</f>
        <v>75</v>
      </c>
      <c r="I1042" s="6">
        <f>H1042*8/ACE_Input!S82+ACE_Input!T82</f>
        <v>6.02</v>
      </c>
      <c r="J1042" s="6">
        <f t="shared" si="344"/>
        <v>1085.9437442721321</v>
      </c>
      <c r="K1042" s="6">
        <f t="shared" si="336"/>
        <v>1085.9437442721321</v>
      </c>
      <c r="L1042" s="6">
        <f>MOD(K1042-Settings!$B$32,Settings!$B$33)</f>
        <v>365.94374427213211</v>
      </c>
      <c r="M1042" s="6">
        <f>IF(L1042&lt;Settings!$B$30,IF(Settings!$B$30-L1042&gt;=I1042,K1042,K1042+(Settings!$B$30-L1042)+Settings!$B$31),K1042+(Settings!$B$33-L1042))</f>
        <v>1085.9437442721321</v>
      </c>
      <c r="N1042" s="6">
        <f t="shared" si="337"/>
        <v>1091.9637442721321</v>
      </c>
      <c r="O1042" s="6">
        <f t="shared" si="338"/>
        <v>557.96374427213209</v>
      </c>
      <c r="P1042" s="6">
        <f t="shared" si="339"/>
        <v>545.92374427213213</v>
      </c>
      <c r="Q1042" s="6">
        <f t="shared" si="340"/>
        <v>3.2164650976183111</v>
      </c>
      <c r="R1042" s="6">
        <f t="shared" si="341"/>
        <v>0</v>
      </c>
      <c r="S1042" s="6">
        <f t="shared" si="342"/>
        <v>549.14020936975044</v>
      </c>
      <c r="T1042" s="6" t="str">
        <f>IF(MOD(C1042-Settings!$B$32,Settings!$B$33)&lt;Settings!$B$30,"Up","Down")</f>
        <v>Up</v>
      </c>
      <c r="U1042" s="6">
        <f>IF(OR(I1042&gt;Settings!$B$30,O1042&gt;Settings!$B$37),0,1)</f>
        <v>1</v>
      </c>
      <c r="V1042" s="6">
        <f>IF(AND(U1042=1,O1042&lt;=Settings!$B$36),1,0)</f>
        <v>0</v>
      </c>
    </row>
    <row r="1043" spans="1:22" x14ac:dyDescent="0.2">
      <c r="A1043">
        <f>Arrivals!A1043</f>
        <v>9</v>
      </c>
      <c r="B1043">
        <f>Arrivals!B1043</f>
        <v>78</v>
      </c>
      <c r="C1043" s="6">
        <f>Arrivals!F1043</f>
        <v>539</v>
      </c>
      <c r="D1043" s="6">
        <f>Arrivals!J1043</f>
        <v>11.998263424387133</v>
      </c>
      <c r="E1043" s="6">
        <f t="shared" si="343"/>
        <v>1082.7272791745138</v>
      </c>
      <c r="F1043" s="6">
        <f t="shared" si="334"/>
        <v>1082.7272791745138</v>
      </c>
      <c r="G1043" s="6">
        <f t="shared" si="335"/>
        <v>1094.725542598901</v>
      </c>
      <c r="H1043" s="6">
        <f>Arrivals!L1043</f>
        <v>75</v>
      </c>
      <c r="I1043" s="6">
        <f>H1043*8/ACE_Input!S83+ACE_Input!T83</f>
        <v>6.02</v>
      </c>
      <c r="J1043" s="6">
        <f t="shared" si="344"/>
        <v>1091.9637442721321</v>
      </c>
      <c r="K1043" s="6">
        <f t="shared" si="336"/>
        <v>1094.725542598901</v>
      </c>
      <c r="L1043" s="6">
        <f>MOD(K1043-Settings!$B$32,Settings!$B$33)</f>
        <v>374.72554259890103</v>
      </c>
      <c r="M1043" s="6">
        <f>IF(L1043&lt;Settings!$B$30,IF(Settings!$B$30-L1043&gt;=I1043,K1043,K1043+(Settings!$B$30-L1043)+Settings!$B$31),K1043+(Settings!$B$33-L1043))</f>
        <v>1094.725542598901</v>
      </c>
      <c r="N1043" s="6">
        <f t="shared" si="337"/>
        <v>1100.745542598901</v>
      </c>
      <c r="O1043" s="6">
        <f t="shared" si="338"/>
        <v>561.74554259890101</v>
      </c>
      <c r="P1043" s="6">
        <f t="shared" si="339"/>
        <v>543.7272791745138</v>
      </c>
      <c r="Q1043" s="6">
        <f t="shared" si="340"/>
        <v>0</v>
      </c>
      <c r="R1043" s="6">
        <f t="shared" si="341"/>
        <v>0</v>
      </c>
      <c r="S1043" s="6">
        <f t="shared" si="342"/>
        <v>543.7272791745138</v>
      </c>
      <c r="T1043" s="6" t="str">
        <f>IF(MOD(C1043-Settings!$B$32,Settings!$B$33)&lt;Settings!$B$30,"Up","Down")</f>
        <v>Up</v>
      </c>
      <c r="U1043" s="6">
        <f>IF(OR(I1043&gt;Settings!$B$30,O1043&gt;Settings!$B$37),0,1)</f>
        <v>1</v>
      </c>
      <c r="V1043" s="6">
        <f>IF(AND(U1043=1,O1043&lt;=Settings!$B$36),1,0)</f>
        <v>0</v>
      </c>
    </row>
    <row r="1044" spans="1:22" x14ac:dyDescent="0.2">
      <c r="A1044">
        <f>Arrivals!A1044</f>
        <v>9</v>
      </c>
      <c r="B1044">
        <f>Arrivals!B1044</f>
        <v>79</v>
      </c>
      <c r="C1044" s="6">
        <f>Arrivals!F1044</f>
        <v>544</v>
      </c>
      <c r="D1044" s="6">
        <f>Arrivals!J1044</f>
        <v>2.0267648931807138</v>
      </c>
      <c r="E1044" s="6">
        <f t="shared" si="343"/>
        <v>1094.725542598901</v>
      </c>
      <c r="F1044" s="6">
        <f t="shared" si="334"/>
        <v>1094.725542598901</v>
      </c>
      <c r="G1044" s="6">
        <f t="shared" si="335"/>
        <v>1096.7523074920819</v>
      </c>
      <c r="H1044" s="6">
        <f>Arrivals!L1044</f>
        <v>75</v>
      </c>
      <c r="I1044" s="6">
        <f>H1044*8/ACE_Input!S84+ACE_Input!T84</f>
        <v>6.02</v>
      </c>
      <c r="J1044" s="6">
        <f t="shared" si="344"/>
        <v>1100.745542598901</v>
      </c>
      <c r="K1044" s="6">
        <f t="shared" si="336"/>
        <v>1100.745542598901</v>
      </c>
      <c r="L1044" s="6">
        <f>MOD(K1044-Settings!$B$32,Settings!$B$33)</f>
        <v>380.74554259890101</v>
      </c>
      <c r="M1044" s="6">
        <f>IF(L1044&lt;Settings!$B$30,IF(Settings!$B$30-L1044&gt;=I1044,K1044,K1044+(Settings!$B$30-L1044)+Settings!$B$31),K1044+(Settings!$B$33-L1044))</f>
        <v>1100.745542598901</v>
      </c>
      <c r="N1044" s="6">
        <f t="shared" si="337"/>
        <v>1106.765542598901</v>
      </c>
      <c r="O1044" s="6">
        <f t="shared" si="338"/>
        <v>562.76554259890099</v>
      </c>
      <c r="P1044" s="6">
        <f t="shared" si="339"/>
        <v>550.72554259890103</v>
      </c>
      <c r="Q1044" s="6">
        <f t="shared" si="340"/>
        <v>3.9932351068191565</v>
      </c>
      <c r="R1044" s="6">
        <f t="shared" si="341"/>
        <v>0</v>
      </c>
      <c r="S1044" s="6">
        <f t="shared" si="342"/>
        <v>554.71877770572019</v>
      </c>
      <c r="T1044" s="6" t="str">
        <f>IF(MOD(C1044-Settings!$B$32,Settings!$B$33)&lt;Settings!$B$30,"Up","Down")</f>
        <v>Up</v>
      </c>
      <c r="U1044" s="6">
        <f>IF(OR(I1044&gt;Settings!$B$30,O1044&gt;Settings!$B$37),0,1)</f>
        <v>1</v>
      </c>
      <c r="V1044" s="6">
        <f>IF(AND(U1044=1,O1044&lt;=Settings!$B$36),1,0)</f>
        <v>0</v>
      </c>
    </row>
    <row r="1045" spans="1:22" x14ac:dyDescent="0.2">
      <c r="A1045">
        <f>Arrivals!A1045</f>
        <v>9</v>
      </c>
      <c r="B1045">
        <f>Arrivals!B1045</f>
        <v>80</v>
      </c>
      <c r="C1045" s="6">
        <f>Arrivals!F1045</f>
        <v>549</v>
      </c>
      <c r="D1045" s="6">
        <f>Arrivals!J1045</f>
        <v>25.234484259093207</v>
      </c>
      <c r="E1045" s="6">
        <f t="shared" si="343"/>
        <v>1096.7523074920819</v>
      </c>
      <c r="F1045" s="6">
        <f t="shared" si="334"/>
        <v>1096.7523074920819</v>
      </c>
      <c r="G1045" s="6">
        <f t="shared" si="335"/>
        <v>1121.9867917511751</v>
      </c>
      <c r="H1045" s="6">
        <f>Arrivals!L1045</f>
        <v>75</v>
      </c>
      <c r="I1045" s="6">
        <f>H1045*8/ACE_Input!S85+ACE_Input!T85</f>
        <v>6.02</v>
      </c>
      <c r="J1045" s="6">
        <f t="shared" si="344"/>
        <v>1106.765542598901</v>
      </c>
      <c r="K1045" s="6">
        <f t="shared" si="336"/>
        <v>1121.9867917511751</v>
      </c>
      <c r="L1045" s="6">
        <f>MOD(K1045-Settings!$B$32,Settings!$B$33)</f>
        <v>401.98679175117513</v>
      </c>
      <c r="M1045" s="6">
        <f>IF(L1045&lt;Settings!$B$30,IF(Settings!$B$30-L1045&gt;=I1045,K1045,K1045+(Settings!$B$30-L1045)+Settings!$B$31),K1045+(Settings!$B$33-L1045))</f>
        <v>1121.9867917511751</v>
      </c>
      <c r="N1045" s="6">
        <f t="shared" si="337"/>
        <v>1128.0067917511751</v>
      </c>
      <c r="O1045" s="6">
        <f t="shared" si="338"/>
        <v>579.00679175117511</v>
      </c>
      <c r="P1045" s="6">
        <f t="shared" si="339"/>
        <v>547.75230749208185</v>
      </c>
      <c r="Q1045" s="6">
        <f t="shared" si="340"/>
        <v>0</v>
      </c>
      <c r="R1045" s="6">
        <f t="shared" si="341"/>
        <v>0</v>
      </c>
      <c r="S1045" s="6">
        <f t="shared" si="342"/>
        <v>547.75230749208185</v>
      </c>
      <c r="T1045" s="6" t="str">
        <f>IF(MOD(C1045-Settings!$B$32,Settings!$B$33)&lt;Settings!$B$30,"Up","Down")</f>
        <v>Up</v>
      </c>
      <c r="U1045" s="6">
        <f>IF(OR(I1045&gt;Settings!$B$30,O1045&gt;Settings!$B$37),0,1)</f>
        <v>1</v>
      </c>
      <c r="V1045" s="6">
        <f>IF(AND(U1045=1,O1045&lt;=Settings!$B$36),1,0)</f>
        <v>0</v>
      </c>
    </row>
    <row r="1046" spans="1:22" x14ac:dyDescent="0.2">
      <c r="A1046">
        <f>Arrivals!A1046</f>
        <v>9</v>
      </c>
      <c r="B1046">
        <f>Arrivals!B1046</f>
        <v>81</v>
      </c>
      <c r="C1046" s="6">
        <f>Arrivals!F1046</f>
        <v>554</v>
      </c>
      <c r="D1046" s="6">
        <f>Arrivals!J1046</f>
        <v>18.209449554001509</v>
      </c>
      <c r="E1046" s="6">
        <f t="shared" si="343"/>
        <v>1121.9867917511751</v>
      </c>
      <c r="F1046" s="6">
        <f t="shared" si="334"/>
        <v>1121.9867917511751</v>
      </c>
      <c r="G1046" s="6">
        <f t="shared" si="335"/>
        <v>1140.1962413051767</v>
      </c>
      <c r="H1046" s="6">
        <f>Arrivals!L1046</f>
        <v>75</v>
      </c>
      <c r="I1046" s="6">
        <f>H1046*8/ACE_Input!S86+ACE_Input!T86</f>
        <v>6.02</v>
      </c>
      <c r="J1046" s="6">
        <f t="shared" si="344"/>
        <v>1128.0067917511751</v>
      </c>
      <c r="K1046" s="6">
        <f t="shared" si="336"/>
        <v>1140.1962413051767</v>
      </c>
      <c r="L1046" s="6">
        <f>MOD(K1046-Settings!$B$32,Settings!$B$33)</f>
        <v>420.19624130517673</v>
      </c>
      <c r="M1046" s="6">
        <f>IF(L1046&lt;Settings!$B$30,IF(Settings!$B$30-L1046&gt;=I1046,K1046,K1046+(Settings!$B$30-L1046)+Settings!$B$31),K1046+(Settings!$B$33-L1046))</f>
        <v>1140.1962413051767</v>
      </c>
      <c r="N1046" s="6">
        <f t="shared" si="337"/>
        <v>1146.2162413051767</v>
      </c>
      <c r="O1046" s="6">
        <f t="shared" si="338"/>
        <v>592.21624130517671</v>
      </c>
      <c r="P1046" s="6">
        <f t="shared" si="339"/>
        <v>567.98679175117513</v>
      </c>
      <c r="Q1046" s="6">
        <f t="shared" si="340"/>
        <v>0</v>
      </c>
      <c r="R1046" s="6">
        <f t="shared" si="341"/>
        <v>0</v>
      </c>
      <c r="S1046" s="6">
        <f t="shared" si="342"/>
        <v>567.98679175117513</v>
      </c>
      <c r="T1046" s="6" t="str">
        <f>IF(MOD(C1046-Settings!$B$32,Settings!$B$33)&lt;Settings!$B$30,"Up","Down")</f>
        <v>Up</v>
      </c>
      <c r="U1046" s="6">
        <f>IF(OR(I1046&gt;Settings!$B$30,O1046&gt;Settings!$B$37),0,1)</f>
        <v>1</v>
      </c>
      <c r="V1046" s="6">
        <f>IF(AND(U1046=1,O1046&lt;=Settings!$B$36),1,0)</f>
        <v>0</v>
      </c>
    </row>
    <row r="1047" spans="1:22" x14ac:dyDescent="0.2">
      <c r="A1047">
        <f>Arrivals!A1047</f>
        <v>9</v>
      </c>
      <c r="B1047">
        <f>Arrivals!B1047</f>
        <v>82</v>
      </c>
      <c r="C1047" s="6">
        <f>Arrivals!F1047</f>
        <v>559</v>
      </c>
      <c r="D1047" s="6">
        <f>Arrivals!J1047</f>
        <v>16.121193971528577</v>
      </c>
      <c r="E1047" s="6">
        <f t="shared" si="343"/>
        <v>1140.1962413051767</v>
      </c>
      <c r="F1047" s="6">
        <f t="shared" si="334"/>
        <v>1140.1962413051767</v>
      </c>
      <c r="G1047" s="6">
        <f t="shared" si="335"/>
        <v>1156.3174352767053</v>
      </c>
      <c r="H1047" s="6">
        <f>Arrivals!L1047</f>
        <v>75</v>
      </c>
      <c r="I1047" s="6">
        <f>H1047*8/ACE_Input!S87+ACE_Input!T87</f>
        <v>6.02</v>
      </c>
      <c r="J1047" s="6">
        <f t="shared" si="344"/>
        <v>1146.2162413051767</v>
      </c>
      <c r="K1047" s="6">
        <f t="shared" si="336"/>
        <v>1156.3174352767053</v>
      </c>
      <c r="L1047" s="6">
        <f>MOD(K1047-Settings!$B$32,Settings!$B$33)</f>
        <v>436.31743527670528</v>
      </c>
      <c r="M1047" s="6">
        <f>IF(L1047&lt;Settings!$B$30,IF(Settings!$B$30-L1047&gt;=I1047,K1047,K1047+(Settings!$B$30-L1047)+Settings!$B$31),K1047+(Settings!$B$33-L1047))</f>
        <v>1156.3174352767053</v>
      </c>
      <c r="N1047" s="6">
        <f t="shared" si="337"/>
        <v>1162.3374352767053</v>
      </c>
      <c r="O1047" s="6">
        <f t="shared" si="338"/>
        <v>603.33743527670526</v>
      </c>
      <c r="P1047" s="6">
        <f t="shared" si="339"/>
        <v>581.19624130517673</v>
      </c>
      <c r="Q1047" s="6">
        <f t="shared" si="340"/>
        <v>0</v>
      </c>
      <c r="R1047" s="6">
        <f t="shared" si="341"/>
        <v>0</v>
      </c>
      <c r="S1047" s="6">
        <f t="shared" si="342"/>
        <v>581.19624130517673</v>
      </c>
      <c r="T1047" s="6" t="str">
        <f>IF(MOD(C1047-Settings!$B$32,Settings!$B$33)&lt;Settings!$B$30,"Up","Down")</f>
        <v>Up</v>
      </c>
      <c r="U1047" s="6">
        <f>IF(OR(I1047&gt;Settings!$B$30,O1047&gt;Settings!$B$37),0,1)</f>
        <v>1</v>
      </c>
      <c r="V1047" s="6">
        <f>IF(AND(U1047=1,O1047&lt;=Settings!$B$36),1,0)</f>
        <v>0</v>
      </c>
    </row>
    <row r="1048" spans="1:22" x14ac:dyDescent="0.2">
      <c r="A1048">
        <f>Arrivals!A1048</f>
        <v>9</v>
      </c>
      <c r="B1048">
        <f>Arrivals!B1048</f>
        <v>83</v>
      </c>
      <c r="C1048" s="6">
        <f>Arrivals!F1048</f>
        <v>564</v>
      </c>
      <c r="D1048" s="6">
        <f>Arrivals!J1048</f>
        <v>3.3135910267793096</v>
      </c>
      <c r="E1048" s="6">
        <f t="shared" si="343"/>
        <v>1156.3174352767053</v>
      </c>
      <c r="F1048" s="6">
        <f t="shared" si="334"/>
        <v>1156.3174352767053</v>
      </c>
      <c r="G1048" s="6">
        <f t="shared" si="335"/>
        <v>1159.6310263034845</v>
      </c>
      <c r="H1048" s="6">
        <f>Arrivals!L1048</f>
        <v>75</v>
      </c>
      <c r="I1048" s="6">
        <f>H1048*8/ACE_Input!S88+ACE_Input!T88</f>
        <v>6.02</v>
      </c>
      <c r="J1048" s="6">
        <f t="shared" si="344"/>
        <v>1162.3374352767053</v>
      </c>
      <c r="K1048" s="6">
        <f t="shared" si="336"/>
        <v>1162.3374352767053</v>
      </c>
      <c r="L1048" s="6">
        <f>MOD(K1048-Settings!$B$32,Settings!$B$33)</f>
        <v>442.33743527670526</v>
      </c>
      <c r="M1048" s="6">
        <f>IF(L1048&lt;Settings!$B$30,IF(Settings!$B$30-L1048&gt;=I1048,K1048,K1048+(Settings!$B$30-L1048)+Settings!$B$31),K1048+(Settings!$B$33-L1048))</f>
        <v>1162.3374352767053</v>
      </c>
      <c r="N1048" s="6">
        <f t="shared" si="337"/>
        <v>1168.3574352767052</v>
      </c>
      <c r="O1048" s="6">
        <f t="shared" si="338"/>
        <v>604.35743527670525</v>
      </c>
      <c r="P1048" s="6">
        <f t="shared" si="339"/>
        <v>592.31743527670528</v>
      </c>
      <c r="Q1048" s="6">
        <f t="shared" si="340"/>
        <v>2.7064089732207322</v>
      </c>
      <c r="R1048" s="6">
        <f t="shared" si="341"/>
        <v>0</v>
      </c>
      <c r="S1048" s="6">
        <f t="shared" si="342"/>
        <v>595.02384424992601</v>
      </c>
      <c r="T1048" s="6" t="str">
        <f>IF(MOD(C1048-Settings!$B$32,Settings!$B$33)&lt;Settings!$B$30,"Up","Down")</f>
        <v>Up</v>
      </c>
      <c r="U1048" s="6">
        <f>IF(OR(I1048&gt;Settings!$B$30,O1048&gt;Settings!$B$37),0,1)</f>
        <v>1</v>
      </c>
      <c r="V1048" s="6">
        <f>IF(AND(U1048=1,O1048&lt;=Settings!$B$36),1,0)</f>
        <v>0</v>
      </c>
    </row>
    <row r="1049" spans="1:22" x14ac:dyDescent="0.2">
      <c r="A1049">
        <f>Arrivals!A1049</f>
        <v>9</v>
      </c>
      <c r="B1049">
        <f>Arrivals!B1049</f>
        <v>84</v>
      </c>
      <c r="C1049" s="6">
        <f>Arrivals!F1049</f>
        <v>569</v>
      </c>
      <c r="D1049" s="6">
        <f>Arrivals!J1049</f>
        <v>4.6610523785651772</v>
      </c>
      <c r="E1049" s="6">
        <f t="shared" si="343"/>
        <v>1159.6310263034845</v>
      </c>
      <c r="F1049" s="6">
        <f t="shared" si="334"/>
        <v>1159.6310263034845</v>
      </c>
      <c r="G1049" s="6">
        <f t="shared" si="335"/>
        <v>1164.2920786820498</v>
      </c>
      <c r="H1049" s="6">
        <f>Arrivals!L1049</f>
        <v>75</v>
      </c>
      <c r="I1049" s="6">
        <f>H1049*8/ACE_Input!S89+ACE_Input!T89</f>
        <v>6.02</v>
      </c>
      <c r="J1049" s="6">
        <f t="shared" si="344"/>
        <v>1168.3574352767052</v>
      </c>
      <c r="K1049" s="6">
        <f t="shared" si="336"/>
        <v>1168.3574352767052</v>
      </c>
      <c r="L1049" s="6">
        <f>MOD(K1049-Settings!$B$32,Settings!$B$33)</f>
        <v>448.35743527670525</v>
      </c>
      <c r="M1049" s="6">
        <f>IF(L1049&lt;Settings!$B$30,IF(Settings!$B$30-L1049&gt;=I1049,K1049,K1049+(Settings!$B$30-L1049)+Settings!$B$31),K1049+(Settings!$B$33-L1049))</f>
        <v>1168.3574352767052</v>
      </c>
      <c r="N1049" s="6">
        <f t="shared" si="337"/>
        <v>1174.3774352767052</v>
      </c>
      <c r="O1049" s="6">
        <f t="shared" si="338"/>
        <v>605.37743527670523</v>
      </c>
      <c r="P1049" s="6">
        <f t="shared" si="339"/>
        <v>590.63102630348453</v>
      </c>
      <c r="Q1049" s="6">
        <f t="shared" si="340"/>
        <v>4.0653565946554409</v>
      </c>
      <c r="R1049" s="6">
        <f t="shared" si="341"/>
        <v>0</v>
      </c>
      <c r="S1049" s="6">
        <f t="shared" si="342"/>
        <v>594.69638289813997</v>
      </c>
      <c r="T1049" s="6" t="str">
        <f>IF(MOD(C1049-Settings!$B$32,Settings!$B$33)&lt;Settings!$B$30,"Up","Down")</f>
        <v>Up</v>
      </c>
      <c r="U1049" s="6">
        <f>IF(OR(I1049&gt;Settings!$B$30,O1049&gt;Settings!$B$37),0,1)</f>
        <v>1</v>
      </c>
      <c r="V1049" s="6">
        <f>IF(AND(U1049=1,O1049&lt;=Settings!$B$36),1,0)</f>
        <v>0</v>
      </c>
    </row>
    <row r="1050" spans="1:22" x14ac:dyDescent="0.2">
      <c r="A1050">
        <f>Arrivals!A1050</f>
        <v>9</v>
      </c>
      <c r="B1050">
        <f>Arrivals!B1050</f>
        <v>85</v>
      </c>
      <c r="C1050" s="6">
        <f>Arrivals!F1050</f>
        <v>574</v>
      </c>
      <c r="D1050" s="6">
        <f>Arrivals!J1050</f>
        <v>15.420897116609787</v>
      </c>
      <c r="E1050" s="6">
        <f t="shared" si="343"/>
        <v>1164.2920786820498</v>
      </c>
      <c r="F1050" s="6">
        <f t="shared" si="334"/>
        <v>1164.2920786820498</v>
      </c>
      <c r="G1050" s="6">
        <f t="shared" si="335"/>
        <v>1179.7129757986595</v>
      </c>
      <c r="H1050" s="6">
        <f>Arrivals!L1050</f>
        <v>75</v>
      </c>
      <c r="I1050" s="6">
        <f>H1050*8/ACE_Input!S90+ACE_Input!T90</f>
        <v>6.02</v>
      </c>
      <c r="J1050" s="6">
        <f t="shared" si="344"/>
        <v>1174.3774352767052</v>
      </c>
      <c r="K1050" s="6">
        <f t="shared" si="336"/>
        <v>1179.7129757986595</v>
      </c>
      <c r="L1050" s="6">
        <f>MOD(K1050-Settings!$B$32,Settings!$B$33)</f>
        <v>459.7129757986595</v>
      </c>
      <c r="M1050" s="6">
        <f>IF(L1050&lt;Settings!$B$30,IF(Settings!$B$30-L1050&gt;=I1050,K1050,K1050+(Settings!$B$30-L1050)+Settings!$B$31),K1050+(Settings!$B$33-L1050))</f>
        <v>1179.7129757986595</v>
      </c>
      <c r="N1050" s="6">
        <f t="shared" si="337"/>
        <v>1185.7329757986595</v>
      </c>
      <c r="O1050" s="6">
        <f t="shared" si="338"/>
        <v>611.73297579865948</v>
      </c>
      <c r="P1050" s="6">
        <f t="shared" si="339"/>
        <v>590.29207868204981</v>
      </c>
      <c r="Q1050" s="6">
        <f t="shared" si="340"/>
        <v>0</v>
      </c>
      <c r="R1050" s="6">
        <f t="shared" si="341"/>
        <v>0</v>
      </c>
      <c r="S1050" s="6">
        <f t="shared" si="342"/>
        <v>590.29207868204981</v>
      </c>
      <c r="T1050" s="6" t="str">
        <f>IF(MOD(C1050-Settings!$B$32,Settings!$B$33)&lt;Settings!$B$30,"Up","Down")</f>
        <v>Up</v>
      </c>
      <c r="U1050" s="6">
        <f>IF(OR(I1050&gt;Settings!$B$30,O1050&gt;Settings!$B$37),0,1)</f>
        <v>1</v>
      </c>
      <c r="V1050" s="6">
        <f>IF(AND(U1050=1,O1050&lt;=Settings!$B$36),1,0)</f>
        <v>0</v>
      </c>
    </row>
    <row r="1051" spans="1:22" x14ac:dyDescent="0.2">
      <c r="A1051">
        <f>Arrivals!A1051</f>
        <v>9</v>
      </c>
      <c r="B1051">
        <f>Arrivals!B1051</f>
        <v>86</v>
      </c>
      <c r="C1051" s="6">
        <f>Arrivals!F1051</f>
        <v>579</v>
      </c>
      <c r="D1051" s="6">
        <f>Arrivals!J1051</f>
        <v>13.719637877079057</v>
      </c>
      <c r="E1051" s="6">
        <f t="shared" si="343"/>
        <v>1179.7129757986595</v>
      </c>
      <c r="F1051" s="6">
        <f t="shared" si="334"/>
        <v>1179.7129757986595</v>
      </c>
      <c r="G1051" s="6">
        <f t="shared" si="335"/>
        <v>1193.4326136757386</v>
      </c>
      <c r="H1051" s="6">
        <f>Arrivals!L1051</f>
        <v>75</v>
      </c>
      <c r="I1051" s="6">
        <f>H1051*8/ACE_Input!S91+ACE_Input!T91</f>
        <v>6.02</v>
      </c>
      <c r="J1051" s="6">
        <f t="shared" si="344"/>
        <v>1185.7329757986595</v>
      </c>
      <c r="K1051" s="6">
        <f t="shared" si="336"/>
        <v>1193.4326136757386</v>
      </c>
      <c r="L1051" s="6">
        <f>MOD(K1051-Settings!$B$32,Settings!$B$33)</f>
        <v>473.43261367573859</v>
      </c>
      <c r="M1051" s="6">
        <f>IF(L1051&lt;Settings!$B$30,IF(Settings!$B$30-L1051&gt;=I1051,K1051,K1051+(Settings!$B$30-L1051)+Settings!$B$31),K1051+(Settings!$B$33-L1051))</f>
        <v>1193.4326136757386</v>
      </c>
      <c r="N1051" s="6">
        <f t="shared" si="337"/>
        <v>1199.4526136757386</v>
      </c>
      <c r="O1051" s="6">
        <f t="shared" si="338"/>
        <v>620.45261367573858</v>
      </c>
      <c r="P1051" s="6">
        <f t="shared" si="339"/>
        <v>600.7129757986595</v>
      </c>
      <c r="Q1051" s="6">
        <f t="shared" si="340"/>
        <v>0</v>
      </c>
      <c r="R1051" s="6">
        <f t="shared" si="341"/>
        <v>0</v>
      </c>
      <c r="S1051" s="6">
        <f t="shared" si="342"/>
        <v>600.7129757986595</v>
      </c>
      <c r="T1051" s="6" t="str">
        <f>IF(MOD(C1051-Settings!$B$32,Settings!$B$33)&lt;Settings!$B$30,"Up","Down")</f>
        <v>Up</v>
      </c>
      <c r="U1051" s="6">
        <f>IF(OR(I1051&gt;Settings!$B$30,O1051&gt;Settings!$B$37),0,1)</f>
        <v>1</v>
      </c>
      <c r="V1051" s="6">
        <f>IF(AND(U1051=1,O1051&lt;=Settings!$B$36),1,0)</f>
        <v>0</v>
      </c>
    </row>
    <row r="1052" spans="1:22" x14ac:dyDescent="0.2">
      <c r="A1052">
        <f>Arrivals!A1052</f>
        <v>9</v>
      </c>
      <c r="B1052">
        <f>Arrivals!B1052</f>
        <v>87</v>
      </c>
      <c r="C1052" s="6">
        <f>Arrivals!F1052</f>
        <v>584</v>
      </c>
      <c r="D1052" s="6">
        <f>Arrivals!J1052</f>
        <v>8.9973574078616352</v>
      </c>
      <c r="E1052" s="6">
        <f t="shared" si="343"/>
        <v>1193.4326136757386</v>
      </c>
      <c r="F1052" s="6">
        <f t="shared" si="334"/>
        <v>1193.4326136757386</v>
      </c>
      <c r="G1052" s="6">
        <f t="shared" si="335"/>
        <v>1202.4299710836003</v>
      </c>
      <c r="H1052" s="6">
        <f>Arrivals!L1052</f>
        <v>75</v>
      </c>
      <c r="I1052" s="6">
        <f>H1052*8/ACE_Input!S92+ACE_Input!T92</f>
        <v>6.02</v>
      </c>
      <c r="J1052" s="6">
        <f t="shared" si="344"/>
        <v>1199.4526136757386</v>
      </c>
      <c r="K1052" s="6">
        <f t="shared" si="336"/>
        <v>1202.4299710836003</v>
      </c>
      <c r="L1052" s="6">
        <f>MOD(K1052-Settings!$B$32,Settings!$B$33)</f>
        <v>482.42997108360032</v>
      </c>
      <c r="M1052" s="6">
        <f>IF(L1052&lt;Settings!$B$30,IF(Settings!$B$30-L1052&gt;=I1052,K1052,K1052+(Settings!$B$30-L1052)+Settings!$B$31),K1052+(Settings!$B$33-L1052))</f>
        <v>1202.4299710836003</v>
      </c>
      <c r="N1052" s="6">
        <f t="shared" si="337"/>
        <v>1208.4499710836003</v>
      </c>
      <c r="O1052" s="6">
        <f t="shared" si="338"/>
        <v>624.4499710836003</v>
      </c>
      <c r="P1052" s="6">
        <f t="shared" si="339"/>
        <v>609.43261367573859</v>
      </c>
      <c r="Q1052" s="6">
        <f t="shared" si="340"/>
        <v>0</v>
      </c>
      <c r="R1052" s="6">
        <f t="shared" si="341"/>
        <v>0</v>
      </c>
      <c r="S1052" s="6">
        <f t="shared" si="342"/>
        <v>609.43261367573859</v>
      </c>
      <c r="T1052" s="6" t="str">
        <f>IF(MOD(C1052-Settings!$B$32,Settings!$B$33)&lt;Settings!$B$30,"Up","Down")</f>
        <v>Up</v>
      </c>
      <c r="U1052" s="6">
        <f>IF(OR(I1052&gt;Settings!$B$30,O1052&gt;Settings!$B$37),0,1)</f>
        <v>1</v>
      </c>
      <c r="V1052" s="6">
        <f>IF(AND(U1052=1,O1052&lt;=Settings!$B$36),1,0)</f>
        <v>0</v>
      </c>
    </row>
    <row r="1053" spans="1:22" x14ac:dyDescent="0.2">
      <c r="A1053">
        <f>Arrivals!A1053</f>
        <v>9</v>
      </c>
      <c r="B1053">
        <f>Arrivals!B1053</f>
        <v>88</v>
      </c>
      <c r="C1053" s="6">
        <f>Arrivals!F1053</f>
        <v>589</v>
      </c>
      <c r="D1053" s="6">
        <f>Arrivals!J1053</f>
        <v>2.4820232639089803</v>
      </c>
      <c r="E1053" s="6">
        <f t="shared" si="343"/>
        <v>1202.4299710836003</v>
      </c>
      <c r="F1053" s="6">
        <f t="shared" si="334"/>
        <v>1202.4299710836003</v>
      </c>
      <c r="G1053" s="6">
        <f t="shared" si="335"/>
        <v>1204.9119943475093</v>
      </c>
      <c r="H1053" s="6">
        <f>Arrivals!L1053</f>
        <v>75</v>
      </c>
      <c r="I1053" s="6">
        <f>H1053*8/ACE_Input!S93+ACE_Input!T93</f>
        <v>6.02</v>
      </c>
      <c r="J1053" s="6">
        <f t="shared" si="344"/>
        <v>1208.4499710836003</v>
      </c>
      <c r="K1053" s="6">
        <f t="shared" si="336"/>
        <v>1208.4499710836003</v>
      </c>
      <c r="L1053" s="6">
        <f>MOD(K1053-Settings!$B$32,Settings!$B$33)</f>
        <v>488.4499710836003</v>
      </c>
      <c r="M1053" s="6">
        <f>IF(L1053&lt;Settings!$B$30,IF(Settings!$B$30-L1053&gt;=I1053,K1053,K1053+(Settings!$B$30-L1053)+Settings!$B$31),K1053+(Settings!$B$33-L1053))</f>
        <v>1208.4499710836003</v>
      </c>
      <c r="N1053" s="6">
        <f t="shared" si="337"/>
        <v>1214.4699710836003</v>
      </c>
      <c r="O1053" s="6">
        <f t="shared" si="338"/>
        <v>625.46997108360029</v>
      </c>
      <c r="P1053" s="6">
        <f t="shared" si="339"/>
        <v>613.42997108360032</v>
      </c>
      <c r="Q1053" s="6">
        <f t="shared" si="340"/>
        <v>3.5379767360909682</v>
      </c>
      <c r="R1053" s="6">
        <f t="shared" si="341"/>
        <v>0</v>
      </c>
      <c r="S1053" s="6">
        <f t="shared" si="342"/>
        <v>616.96794781969129</v>
      </c>
      <c r="T1053" s="6" t="str">
        <f>IF(MOD(C1053-Settings!$B$32,Settings!$B$33)&lt;Settings!$B$30,"Up","Down")</f>
        <v>Up</v>
      </c>
      <c r="U1053" s="6">
        <f>IF(OR(I1053&gt;Settings!$B$30,O1053&gt;Settings!$B$37),0,1)</f>
        <v>1</v>
      </c>
      <c r="V1053" s="6">
        <f>IF(AND(U1053=1,O1053&lt;=Settings!$B$36),1,0)</f>
        <v>0</v>
      </c>
    </row>
    <row r="1054" spans="1:22" x14ac:dyDescent="0.2">
      <c r="A1054">
        <f>Arrivals!A1054</f>
        <v>9</v>
      </c>
      <c r="B1054">
        <f>Arrivals!B1054</f>
        <v>89</v>
      </c>
      <c r="C1054" s="6">
        <f>Arrivals!F1054</f>
        <v>594</v>
      </c>
      <c r="D1054" s="6">
        <f>Arrivals!J1054</f>
        <v>4.7636143340591657</v>
      </c>
      <c r="E1054" s="6">
        <f t="shared" si="343"/>
        <v>1204.9119943475093</v>
      </c>
      <c r="F1054" s="6">
        <f t="shared" si="334"/>
        <v>1204.9119943475093</v>
      </c>
      <c r="G1054" s="6">
        <f t="shared" si="335"/>
        <v>1209.6756086815685</v>
      </c>
      <c r="H1054" s="6">
        <f>Arrivals!L1054</f>
        <v>75</v>
      </c>
      <c r="I1054" s="6">
        <f>H1054*8/ACE_Input!S94+ACE_Input!T94</f>
        <v>6.02</v>
      </c>
      <c r="J1054" s="6">
        <f t="shared" si="344"/>
        <v>1214.4699710836003</v>
      </c>
      <c r="K1054" s="6">
        <f t="shared" si="336"/>
        <v>1214.4699710836003</v>
      </c>
      <c r="L1054" s="6">
        <f>MOD(K1054-Settings!$B$32,Settings!$B$33)</f>
        <v>494.46997108360029</v>
      </c>
      <c r="M1054" s="6">
        <f>IF(L1054&lt;Settings!$B$30,IF(Settings!$B$30-L1054&gt;=I1054,K1054,K1054+(Settings!$B$30-L1054)+Settings!$B$31),K1054+(Settings!$B$33-L1054))</f>
        <v>1214.4699710836003</v>
      </c>
      <c r="N1054" s="6">
        <f t="shared" si="337"/>
        <v>1220.4899710836003</v>
      </c>
      <c r="O1054" s="6">
        <f t="shared" si="338"/>
        <v>626.48997108360027</v>
      </c>
      <c r="P1054" s="6">
        <f t="shared" si="339"/>
        <v>610.91199434750934</v>
      </c>
      <c r="Q1054" s="6">
        <f t="shared" si="340"/>
        <v>4.7943624020317657</v>
      </c>
      <c r="R1054" s="6">
        <f t="shared" si="341"/>
        <v>0</v>
      </c>
      <c r="S1054" s="6">
        <f t="shared" si="342"/>
        <v>615.7063567495411</v>
      </c>
      <c r="T1054" s="6" t="str">
        <f>IF(MOD(C1054-Settings!$B$32,Settings!$B$33)&lt;Settings!$B$30,"Up","Down")</f>
        <v>Up</v>
      </c>
      <c r="U1054" s="6">
        <f>IF(OR(I1054&gt;Settings!$B$30,O1054&gt;Settings!$B$37),0,1)</f>
        <v>1</v>
      </c>
      <c r="V1054" s="6">
        <f>IF(AND(U1054=1,O1054&lt;=Settings!$B$36),1,0)</f>
        <v>0</v>
      </c>
    </row>
    <row r="1055" spans="1:22" x14ac:dyDescent="0.2">
      <c r="A1055">
        <f>Arrivals!A1055</f>
        <v>9</v>
      </c>
      <c r="B1055">
        <f>Arrivals!B1055</f>
        <v>90</v>
      </c>
      <c r="C1055" s="6">
        <f>Arrivals!F1055</f>
        <v>599</v>
      </c>
      <c r="D1055" s="6">
        <f>Arrivals!J1055</f>
        <v>15.226797352017194</v>
      </c>
      <c r="E1055" s="6">
        <f t="shared" si="343"/>
        <v>1209.6756086815685</v>
      </c>
      <c r="F1055" s="6">
        <f t="shared" si="334"/>
        <v>1209.6756086815685</v>
      </c>
      <c r="G1055" s="6">
        <f t="shared" si="335"/>
        <v>1224.9024060335857</v>
      </c>
      <c r="H1055" s="6">
        <f>Arrivals!L1055</f>
        <v>75</v>
      </c>
      <c r="I1055" s="6">
        <f>H1055*8/ACE_Input!S95+ACE_Input!T95</f>
        <v>6.02</v>
      </c>
      <c r="J1055" s="6">
        <f t="shared" si="344"/>
        <v>1220.4899710836003</v>
      </c>
      <c r="K1055" s="6">
        <f t="shared" si="336"/>
        <v>1224.9024060335857</v>
      </c>
      <c r="L1055" s="6">
        <f>MOD(K1055-Settings!$B$32,Settings!$B$33)</f>
        <v>504.90240603358575</v>
      </c>
      <c r="M1055" s="6">
        <f>IF(L1055&lt;Settings!$B$30,IF(Settings!$B$30-L1055&gt;=I1055,K1055,K1055+(Settings!$B$30-L1055)+Settings!$B$31),K1055+(Settings!$B$33-L1055))</f>
        <v>1224.9024060335857</v>
      </c>
      <c r="N1055" s="6">
        <f t="shared" si="337"/>
        <v>1230.9224060335857</v>
      </c>
      <c r="O1055" s="6">
        <f t="shared" si="338"/>
        <v>631.92240603358573</v>
      </c>
      <c r="P1055" s="6">
        <f t="shared" si="339"/>
        <v>610.67560868156852</v>
      </c>
      <c r="Q1055" s="6">
        <f t="shared" si="340"/>
        <v>0</v>
      </c>
      <c r="R1055" s="6">
        <f t="shared" si="341"/>
        <v>0</v>
      </c>
      <c r="S1055" s="6">
        <f t="shared" si="342"/>
        <v>610.67560868156852</v>
      </c>
      <c r="T1055" s="6" t="str">
        <f>IF(MOD(C1055-Settings!$B$32,Settings!$B$33)&lt;Settings!$B$30,"Up","Down")</f>
        <v>Up</v>
      </c>
      <c r="U1055" s="6">
        <f>IF(OR(I1055&gt;Settings!$B$30,O1055&gt;Settings!$B$37),0,1)</f>
        <v>1</v>
      </c>
      <c r="V1055" s="6">
        <f>IF(AND(U1055=1,O1055&lt;=Settings!$B$36),1,0)</f>
        <v>0</v>
      </c>
    </row>
    <row r="1056" spans="1:22" x14ac:dyDescent="0.2">
      <c r="A1056">
        <f>Arrivals!A1056</f>
        <v>9</v>
      </c>
      <c r="B1056">
        <f>Arrivals!B1056</f>
        <v>91</v>
      </c>
      <c r="C1056" s="6">
        <f>Arrivals!F1056</f>
        <v>604</v>
      </c>
      <c r="D1056" s="6">
        <f>Arrivals!J1056</f>
        <v>24.218144919663128</v>
      </c>
      <c r="E1056" s="6">
        <f t="shared" si="343"/>
        <v>1224.9024060335857</v>
      </c>
      <c r="F1056" s="6">
        <f t="shared" si="334"/>
        <v>1224.9024060335857</v>
      </c>
      <c r="G1056" s="6">
        <f t="shared" si="335"/>
        <v>1249.1205509532488</v>
      </c>
      <c r="H1056" s="6">
        <f>Arrivals!L1056</f>
        <v>75</v>
      </c>
      <c r="I1056" s="6">
        <f>H1056*8/ACE_Input!S96+ACE_Input!T96</f>
        <v>6.02</v>
      </c>
      <c r="J1056" s="6">
        <f t="shared" si="344"/>
        <v>1230.9224060335857</v>
      </c>
      <c r="K1056" s="6">
        <f t="shared" si="336"/>
        <v>1249.1205509532488</v>
      </c>
      <c r="L1056" s="6">
        <f>MOD(K1056-Settings!$B$32,Settings!$B$33)</f>
        <v>529.12055095324877</v>
      </c>
      <c r="M1056" s="6">
        <f>IF(L1056&lt;Settings!$B$30,IF(Settings!$B$30-L1056&gt;=I1056,K1056,K1056+(Settings!$B$30-L1056)+Settings!$B$31),K1056+(Settings!$B$33-L1056))</f>
        <v>1249.1205509532488</v>
      </c>
      <c r="N1056" s="6">
        <f t="shared" si="337"/>
        <v>1255.1405509532487</v>
      </c>
      <c r="O1056" s="6">
        <f t="shared" si="338"/>
        <v>651.14055095324875</v>
      </c>
      <c r="P1056" s="6">
        <f t="shared" si="339"/>
        <v>620.90240603358575</v>
      </c>
      <c r="Q1056" s="6">
        <f t="shared" si="340"/>
        <v>0</v>
      </c>
      <c r="R1056" s="6">
        <f t="shared" si="341"/>
        <v>0</v>
      </c>
      <c r="S1056" s="6">
        <f t="shared" si="342"/>
        <v>620.90240603358575</v>
      </c>
      <c r="T1056" s="6" t="str">
        <f>IF(MOD(C1056-Settings!$B$32,Settings!$B$33)&lt;Settings!$B$30,"Up","Down")</f>
        <v>Down</v>
      </c>
      <c r="U1056" s="6">
        <f>IF(OR(I1056&gt;Settings!$B$30,O1056&gt;Settings!$B$37),0,1)</f>
        <v>1</v>
      </c>
      <c r="V1056" s="6">
        <f>IF(AND(U1056=1,O1056&lt;=Settings!$B$36),1,0)</f>
        <v>0</v>
      </c>
    </row>
    <row r="1057" spans="1:22" x14ac:dyDescent="0.2">
      <c r="A1057">
        <f>Arrivals!A1057</f>
        <v>9</v>
      </c>
      <c r="B1057">
        <f>Arrivals!B1057</f>
        <v>92</v>
      </c>
      <c r="C1057" s="6">
        <f>Arrivals!F1057</f>
        <v>609</v>
      </c>
      <c r="D1057" s="6">
        <f>Arrivals!J1057</f>
        <v>6.0369306928253685</v>
      </c>
      <c r="E1057" s="6">
        <f t="shared" si="343"/>
        <v>1249.1205509532488</v>
      </c>
      <c r="F1057" s="6">
        <f t="shared" si="334"/>
        <v>1249.1205509532488</v>
      </c>
      <c r="G1057" s="6">
        <f t="shared" si="335"/>
        <v>1255.1574816460741</v>
      </c>
      <c r="H1057" s="6">
        <f>Arrivals!L1057</f>
        <v>75</v>
      </c>
      <c r="I1057" s="6">
        <f>H1057*8/ACE_Input!S97+ACE_Input!T97</f>
        <v>6.02</v>
      </c>
      <c r="J1057" s="6">
        <f t="shared" si="344"/>
        <v>1255.1405509532487</v>
      </c>
      <c r="K1057" s="6">
        <f t="shared" si="336"/>
        <v>1255.1574816460741</v>
      </c>
      <c r="L1057" s="6">
        <f>MOD(K1057-Settings!$B$32,Settings!$B$33)</f>
        <v>535.15748164607407</v>
      </c>
      <c r="M1057" s="6">
        <f>IF(L1057&lt;Settings!$B$30,IF(Settings!$B$30-L1057&gt;=I1057,K1057,K1057+(Settings!$B$30-L1057)+Settings!$B$31),K1057+(Settings!$B$33-L1057))</f>
        <v>1255.1574816460741</v>
      </c>
      <c r="N1057" s="6">
        <f t="shared" si="337"/>
        <v>1261.1774816460741</v>
      </c>
      <c r="O1057" s="6">
        <f t="shared" si="338"/>
        <v>652.17748164607406</v>
      </c>
      <c r="P1057" s="6">
        <f t="shared" si="339"/>
        <v>640.12055095324877</v>
      </c>
      <c r="Q1057" s="6">
        <f t="shared" si="340"/>
        <v>0</v>
      </c>
      <c r="R1057" s="6">
        <f t="shared" si="341"/>
        <v>0</v>
      </c>
      <c r="S1057" s="6">
        <f t="shared" si="342"/>
        <v>640.12055095324877</v>
      </c>
      <c r="T1057" s="6" t="str">
        <f>IF(MOD(C1057-Settings!$B$32,Settings!$B$33)&lt;Settings!$B$30,"Up","Down")</f>
        <v>Down</v>
      </c>
      <c r="U1057" s="6">
        <f>IF(OR(I1057&gt;Settings!$B$30,O1057&gt;Settings!$B$37),0,1)</f>
        <v>1</v>
      </c>
      <c r="V1057" s="6">
        <f>IF(AND(U1057=1,O1057&lt;=Settings!$B$36),1,0)</f>
        <v>0</v>
      </c>
    </row>
    <row r="1058" spans="1:22" x14ac:dyDescent="0.2">
      <c r="A1058">
        <f>Arrivals!A1058</f>
        <v>9</v>
      </c>
      <c r="B1058">
        <f>Arrivals!B1058</f>
        <v>93</v>
      </c>
      <c r="C1058" s="6">
        <f>Arrivals!F1058</f>
        <v>614</v>
      </c>
      <c r="D1058" s="6">
        <f>Arrivals!J1058</f>
        <v>5.4208592996046585</v>
      </c>
      <c r="E1058" s="6">
        <f t="shared" si="343"/>
        <v>1255.1574816460741</v>
      </c>
      <c r="F1058" s="6">
        <f t="shared" si="334"/>
        <v>1255.1574816460741</v>
      </c>
      <c r="G1058" s="6">
        <f t="shared" si="335"/>
        <v>1260.5783409456787</v>
      </c>
      <c r="H1058" s="6">
        <f>Arrivals!L1058</f>
        <v>75</v>
      </c>
      <c r="I1058" s="6">
        <f>H1058*8/ACE_Input!S98+ACE_Input!T98</f>
        <v>6.02</v>
      </c>
      <c r="J1058" s="6">
        <f t="shared" si="344"/>
        <v>1261.1774816460741</v>
      </c>
      <c r="K1058" s="6">
        <f t="shared" si="336"/>
        <v>1261.1774816460741</v>
      </c>
      <c r="L1058" s="6">
        <f>MOD(K1058-Settings!$B$32,Settings!$B$33)</f>
        <v>541.17748164607406</v>
      </c>
      <c r="M1058" s="6">
        <f>IF(L1058&lt;Settings!$B$30,IF(Settings!$B$30-L1058&gt;=I1058,K1058,K1058+(Settings!$B$30-L1058)+Settings!$B$31),K1058+(Settings!$B$33-L1058))</f>
        <v>1261.1774816460741</v>
      </c>
      <c r="N1058" s="6">
        <f t="shared" si="337"/>
        <v>1267.197481646074</v>
      </c>
      <c r="O1058" s="6">
        <f t="shared" si="338"/>
        <v>653.19748164607404</v>
      </c>
      <c r="P1058" s="6">
        <f t="shared" si="339"/>
        <v>641.15748164607407</v>
      </c>
      <c r="Q1058" s="6">
        <f t="shared" si="340"/>
        <v>0.59914070039530998</v>
      </c>
      <c r="R1058" s="6">
        <f t="shared" si="341"/>
        <v>0</v>
      </c>
      <c r="S1058" s="6">
        <f t="shared" si="342"/>
        <v>641.75662234646938</v>
      </c>
      <c r="T1058" s="6" t="str">
        <f>IF(MOD(C1058-Settings!$B$32,Settings!$B$33)&lt;Settings!$B$30,"Up","Down")</f>
        <v>Down</v>
      </c>
      <c r="U1058" s="6">
        <f>IF(OR(I1058&gt;Settings!$B$30,O1058&gt;Settings!$B$37),0,1)</f>
        <v>1</v>
      </c>
      <c r="V1058" s="6">
        <f>IF(AND(U1058=1,O1058&lt;=Settings!$B$36),1,0)</f>
        <v>0</v>
      </c>
    </row>
    <row r="1059" spans="1:22" x14ac:dyDescent="0.2">
      <c r="A1059">
        <f>Arrivals!A1059</f>
        <v>9</v>
      </c>
      <c r="B1059">
        <f>Arrivals!B1059</f>
        <v>94</v>
      </c>
      <c r="C1059" s="6">
        <f>Arrivals!F1059</f>
        <v>619</v>
      </c>
      <c r="D1059" s="6">
        <f>Arrivals!J1059</f>
        <v>65.962184578638499</v>
      </c>
      <c r="E1059" s="6">
        <f t="shared" si="343"/>
        <v>1260.5783409456787</v>
      </c>
      <c r="F1059" s="6">
        <f t="shared" si="334"/>
        <v>1260.5783409456787</v>
      </c>
      <c r="G1059" s="6">
        <f t="shared" si="335"/>
        <v>1326.5405255243172</v>
      </c>
      <c r="H1059" s="6">
        <f>Arrivals!L1059</f>
        <v>75</v>
      </c>
      <c r="I1059" s="6">
        <f>H1059*8/ACE_Input!S99+ACE_Input!T99</f>
        <v>6.02</v>
      </c>
      <c r="J1059" s="6">
        <f t="shared" si="344"/>
        <v>1267.197481646074</v>
      </c>
      <c r="K1059" s="6">
        <f t="shared" si="336"/>
        <v>1326.5405255243172</v>
      </c>
      <c r="L1059" s="6">
        <f>MOD(K1059-Settings!$B$32,Settings!$B$33)</f>
        <v>606.54052552431722</v>
      </c>
      <c r="M1059" s="6">
        <f>IF(L1059&lt;Settings!$B$30,IF(Settings!$B$30-L1059&gt;=I1059,K1059,K1059+(Settings!$B$30-L1059)+Settings!$B$31),K1059+(Settings!$B$33-L1059))</f>
        <v>1440</v>
      </c>
      <c r="N1059" s="6">
        <f t="shared" si="337"/>
        <v>1446.02</v>
      </c>
      <c r="O1059" s="6">
        <f t="shared" si="338"/>
        <v>827.02</v>
      </c>
      <c r="P1059" s="6">
        <f t="shared" si="339"/>
        <v>641.57834094567875</v>
      </c>
      <c r="Q1059" s="6">
        <f t="shared" si="340"/>
        <v>0</v>
      </c>
      <c r="R1059" s="6">
        <f t="shared" si="341"/>
        <v>113.45947447568278</v>
      </c>
      <c r="S1059" s="6">
        <f t="shared" si="342"/>
        <v>755.03781542136153</v>
      </c>
      <c r="T1059" s="6" t="str">
        <f>IF(MOD(C1059-Settings!$B$32,Settings!$B$33)&lt;Settings!$B$30,"Up","Down")</f>
        <v>Down</v>
      </c>
      <c r="U1059" s="6">
        <f>IF(OR(I1059&gt;Settings!$B$30,O1059&gt;Settings!$B$37),0,1)</f>
        <v>1</v>
      </c>
      <c r="V1059" s="6">
        <f>IF(AND(U1059=1,O1059&lt;=Settings!$B$36),1,0)</f>
        <v>0</v>
      </c>
    </row>
    <row r="1060" spans="1:22" x14ac:dyDescent="0.2">
      <c r="A1060">
        <f>Arrivals!A1060</f>
        <v>9</v>
      </c>
      <c r="B1060">
        <f>Arrivals!B1060</f>
        <v>95</v>
      </c>
      <c r="C1060" s="6">
        <f>Arrivals!F1060</f>
        <v>624</v>
      </c>
      <c r="D1060" s="6">
        <f>Arrivals!J1060</f>
        <v>1.2222759399791645</v>
      </c>
      <c r="E1060" s="6">
        <f t="shared" si="343"/>
        <v>1326.5405255243172</v>
      </c>
      <c r="F1060" s="6">
        <f t="shared" si="334"/>
        <v>1326.5405255243172</v>
      </c>
      <c r="G1060" s="6">
        <f t="shared" si="335"/>
        <v>1327.7628014642964</v>
      </c>
      <c r="H1060" s="6">
        <f>Arrivals!L1060</f>
        <v>75</v>
      </c>
      <c r="I1060" s="6">
        <f>H1060*8/ACE_Input!S100+ACE_Input!T100</f>
        <v>6.02</v>
      </c>
      <c r="J1060" s="6">
        <f t="shared" si="344"/>
        <v>1446.02</v>
      </c>
      <c r="K1060" s="6">
        <f t="shared" si="336"/>
        <v>1446.02</v>
      </c>
      <c r="L1060" s="6">
        <f>MOD(K1060-Settings!$B$32,Settings!$B$33)</f>
        <v>6.0199999999999818</v>
      </c>
      <c r="M1060" s="6">
        <f>IF(L1060&lt;Settings!$B$30,IF(Settings!$B$30-L1060&gt;=I1060,K1060,K1060+(Settings!$B$30-L1060)+Settings!$B$31),K1060+(Settings!$B$33-L1060))</f>
        <v>1446.02</v>
      </c>
      <c r="N1060" s="6">
        <f t="shared" si="337"/>
        <v>1452.04</v>
      </c>
      <c r="O1060" s="6">
        <f t="shared" si="338"/>
        <v>828.04</v>
      </c>
      <c r="P1060" s="6">
        <f t="shared" si="339"/>
        <v>702.54052552431722</v>
      </c>
      <c r="Q1060" s="6">
        <f t="shared" si="340"/>
        <v>118.25719853570354</v>
      </c>
      <c r="R1060" s="6">
        <f t="shared" si="341"/>
        <v>0</v>
      </c>
      <c r="S1060" s="6">
        <f t="shared" si="342"/>
        <v>820.79772406002076</v>
      </c>
      <c r="T1060" s="6" t="str">
        <f>IF(MOD(C1060-Settings!$B$32,Settings!$B$33)&lt;Settings!$B$30,"Up","Down")</f>
        <v>Down</v>
      </c>
      <c r="U1060" s="6">
        <f>IF(OR(I1060&gt;Settings!$B$30,O1060&gt;Settings!$B$37),0,1)</f>
        <v>1</v>
      </c>
      <c r="V1060" s="6">
        <f>IF(AND(U1060=1,O1060&lt;=Settings!$B$36),1,0)</f>
        <v>0</v>
      </c>
    </row>
    <row r="1061" spans="1:22" x14ac:dyDescent="0.2">
      <c r="A1061">
        <f>Arrivals!A1061</f>
        <v>9</v>
      </c>
      <c r="B1061">
        <f>Arrivals!B1061</f>
        <v>96</v>
      </c>
      <c r="C1061" s="6">
        <f>Arrivals!F1061</f>
        <v>629</v>
      </c>
      <c r="D1061" s="6">
        <f>Arrivals!J1061</f>
        <v>11.044557005807125</v>
      </c>
      <c r="E1061" s="6">
        <f t="shared" si="343"/>
        <v>1327.7628014642964</v>
      </c>
      <c r="F1061" s="6">
        <f t="shared" si="334"/>
        <v>1327.7628014642964</v>
      </c>
      <c r="G1061" s="6">
        <f t="shared" si="335"/>
        <v>1338.8073584701035</v>
      </c>
      <c r="H1061" s="6">
        <f>Arrivals!L1061</f>
        <v>75</v>
      </c>
      <c r="I1061" s="6">
        <f>H1061*8/ACE_Input!S101+ACE_Input!T101</f>
        <v>6.02</v>
      </c>
      <c r="J1061" s="6">
        <f t="shared" si="344"/>
        <v>1452.04</v>
      </c>
      <c r="K1061" s="6">
        <f t="shared" si="336"/>
        <v>1452.04</v>
      </c>
      <c r="L1061" s="6">
        <f>MOD(K1061-Settings!$B$32,Settings!$B$33)</f>
        <v>12.039999999999964</v>
      </c>
      <c r="M1061" s="6">
        <f>IF(L1061&lt;Settings!$B$30,IF(Settings!$B$30-L1061&gt;=I1061,K1061,K1061+(Settings!$B$30-L1061)+Settings!$B$31),K1061+(Settings!$B$33-L1061))</f>
        <v>1452.04</v>
      </c>
      <c r="N1061" s="6">
        <f t="shared" si="337"/>
        <v>1458.06</v>
      </c>
      <c r="O1061" s="6">
        <f t="shared" si="338"/>
        <v>829.06</v>
      </c>
      <c r="P1061" s="6">
        <f t="shared" si="339"/>
        <v>698.76280146429644</v>
      </c>
      <c r="Q1061" s="6">
        <f t="shared" si="340"/>
        <v>113.23264152989645</v>
      </c>
      <c r="R1061" s="6">
        <f t="shared" si="341"/>
        <v>0</v>
      </c>
      <c r="S1061" s="6">
        <f t="shared" si="342"/>
        <v>811.9954429941929</v>
      </c>
      <c r="T1061" s="6" t="str">
        <f>IF(MOD(C1061-Settings!$B$32,Settings!$B$33)&lt;Settings!$B$30,"Up","Down")</f>
        <v>Down</v>
      </c>
      <c r="U1061" s="6">
        <f>IF(OR(I1061&gt;Settings!$B$30,O1061&gt;Settings!$B$37),0,1)</f>
        <v>1</v>
      </c>
      <c r="V1061" s="6">
        <f>IF(AND(U1061=1,O1061&lt;=Settings!$B$36),1,0)</f>
        <v>0</v>
      </c>
    </row>
    <row r="1062" spans="1:22" x14ac:dyDescent="0.2">
      <c r="A1062">
        <f>Arrivals!A1062</f>
        <v>9</v>
      </c>
      <c r="B1062">
        <f>Arrivals!B1062</f>
        <v>97</v>
      </c>
      <c r="C1062" s="6">
        <f>Arrivals!F1062</f>
        <v>634</v>
      </c>
      <c r="D1062" s="6">
        <f>Arrivals!J1062</f>
        <v>12.045997329092437</v>
      </c>
      <c r="E1062" s="6">
        <f t="shared" si="343"/>
        <v>1338.8073584701035</v>
      </c>
      <c r="F1062" s="6">
        <f t="shared" ref="F1062:F1065" si="345">MAX(C1062,E1062)</f>
        <v>1338.8073584701035</v>
      </c>
      <c r="G1062" s="6">
        <f t="shared" ref="G1062:G1065" si="346">F1062+D1062</f>
        <v>1350.8533557991959</v>
      </c>
      <c r="H1062" s="6">
        <f>Arrivals!L1062</f>
        <v>75</v>
      </c>
      <c r="I1062" s="6">
        <f>H1062*8/ACE_Input!S102+ACE_Input!T102</f>
        <v>6.02</v>
      </c>
      <c r="J1062" s="6">
        <f t="shared" si="344"/>
        <v>1458.06</v>
      </c>
      <c r="K1062" s="6">
        <f t="shared" ref="K1062:K1065" si="347">MAX(G1062,J1062)</f>
        <v>1458.06</v>
      </c>
      <c r="L1062" s="6">
        <f>MOD(K1062-Settings!$B$32,Settings!$B$33)</f>
        <v>18.059999999999945</v>
      </c>
      <c r="M1062" s="6">
        <f>IF(L1062&lt;Settings!$B$30,IF(Settings!$B$30-L1062&gt;=I1062,K1062,K1062+(Settings!$B$30-L1062)+Settings!$B$31),K1062+(Settings!$B$33-L1062))</f>
        <v>1458.06</v>
      </c>
      <c r="N1062" s="6">
        <f t="shared" ref="N1062:N1065" si="348">M1062+I1062</f>
        <v>1464.08</v>
      </c>
      <c r="O1062" s="6">
        <f t="shared" ref="O1062:O1065" si="349">N1062-C1062</f>
        <v>830.07999999999993</v>
      </c>
      <c r="P1062" s="6">
        <f t="shared" si="339"/>
        <v>704.80735847010351</v>
      </c>
      <c r="Q1062" s="6">
        <f t="shared" si="340"/>
        <v>107.20664420080402</v>
      </c>
      <c r="R1062" s="6">
        <f t="shared" si="341"/>
        <v>0</v>
      </c>
      <c r="S1062" s="6">
        <f t="shared" ref="S1062:S1065" si="350">P1062+Q1062+R1062</f>
        <v>812.01400267090753</v>
      </c>
      <c r="T1062" s="6" t="str">
        <f>IF(MOD(C1062-Settings!$B$32,Settings!$B$33)&lt;Settings!$B$30,"Up","Down")</f>
        <v>Down</v>
      </c>
      <c r="U1062" s="6">
        <f>IF(OR(I1062&gt;Settings!$B$30,O1062&gt;Settings!$B$37),0,1)</f>
        <v>1</v>
      </c>
      <c r="V1062" s="6">
        <f>IF(AND(U1062=1,O1062&lt;=Settings!$B$36),1,0)</f>
        <v>0</v>
      </c>
    </row>
    <row r="1063" spans="1:22" x14ac:dyDescent="0.2">
      <c r="A1063">
        <f>Arrivals!A1063</f>
        <v>9</v>
      </c>
      <c r="B1063">
        <f>Arrivals!B1063</f>
        <v>98</v>
      </c>
      <c r="C1063" s="6">
        <f>Arrivals!F1063</f>
        <v>639</v>
      </c>
      <c r="D1063" s="6">
        <f>Arrivals!J1063</f>
        <v>14.641195770153882</v>
      </c>
      <c r="E1063" s="6">
        <f t="shared" si="343"/>
        <v>1350.8533557991959</v>
      </c>
      <c r="F1063" s="6">
        <f t="shared" si="345"/>
        <v>1350.8533557991959</v>
      </c>
      <c r="G1063" s="6">
        <f t="shared" si="346"/>
        <v>1365.4945515693498</v>
      </c>
      <c r="H1063" s="6">
        <f>Arrivals!L1063</f>
        <v>75</v>
      </c>
      <c r="I1063" s="6">
        <f>H1063*8/ACE_Input!S103+ACE_Input!T103</f>
        <v>6.02</v>
      </c>
      <c r="J1063" s="6">
        <f t="shared" si="344"/>
        <v>1464.08</v>
      </c>
      <c r="K1063" s="6">
        <f t="shared" si="347"/>
        <v>1464.08</v>
      </c>
      <c r="L1063" s="6">
        <f>MOD(K1063-Settings!$B$32,Settings!$B$33)</f>
        <v>24.079999999999927</v>
      </c>
      <c r="M1063" s="6">
        <f>IF(L1063&lt;Settings!$B$30,IF(Settings!$B$30-L1063&gt;=I1063,K1063,K1063+(Settings!$B$30-L1063)+Settings!$B$31),K1063+(Settings!$B$33-L1063))</f>
        <v>1464.08</v>
      </c>
      <c r="N1063" s="6">
        <f t="shared" si="348"/>
        <v>1470.1</v>
      </c>
      <c r="O1063" s="6">
        <f t="shared" si="349"/>
        <v>831.09999999999991</v>
      </c>
      <c r="P1063" s="6">
        <f t="shared" si="339"/>
        <v>711.85335579919592</v>
      </c>
      <c r="Q1063" s="6">
        <f t="shared" si="340"/>
        <v>98.585448430650104</v>
      </c>
      <c r="R1063" s="6">
        <f t="shared" si="341"/>
        <v>0</v>
      </c>
      <c r="S1063" s="6">
        <f t="shared" si="350"/>
        <v>810.43880422984603</v>
      </c>
      <c r="T1063" s="6" t="str">
        <f>IF(MOD(C1063-Settings!$B$32,Settings!$B$33)&lt;Settings!$B$30,"Up","Down")</f>
        <v>Down</v>
      </c>
      <c r="U1063" s="6">
        <f>IF(OR(I1063&gt;Settings!$B$30,O1063&gt;Settings!$B$37),0,1)</f>
        <v>1</v>
      </c>
      <c r="V1063" s="6">
        <f>IF(AND(U1063=1,O1063&lt;=Settings!$B$36),1,0)</f>
        <v>0</v>
      </c>
    </row>
    <row r="1064" spans="1:22" x14ac:dyDescent="0.2">
      <c r="A1064">
        <f>Arrivals!A1064</f>
        <v>9</v>
      </c>
      <c r="B1064">
        <f>Arrivals!B1064</f>
        <v>99</v>
      </c>
      <c r="C1064" s="6">
        <f>Arrivals!F1064</f>
        <v>684</v>
      </c>
      <c r="D1064" s="6">
        <f>Arrivals!J1064</f>
        <v>9.8791851290962462</v>
      </c>
      <c r="E1064" s="6">
        <f t="shared" si="343"/>
        <v>1365.4945515693498</v>
      </c>
      <c r="F1064" s="6">
        <f t="shared" si="345"/>
        <v>1365.4945515693498</v>
      </c>
      <c r="G1064" s="6">
        <f t="shared" si="346"/>
        <v>1375.373736698446</v>
      </c>
      <c r="H1064" s="6">
        <f>Arrivals!L1064</f>
        <v>75</v>
      </c>
      <c r="I1064" s="6">
        <f>H1064*8/ACE_Input!S104+ACE_Input!T104</f>
        <v>6.02</v>
      </c>
      <c r="J1064" s="6">
        <f t="shared" si="344"/>
        <v>1470.1</v>
      </c>
      <c r="K1064" s="6">
        <f t="shared" si="347"/>
        <v>1470.1</v>
      </c>
      <c r="L1064" s="6">
        <f>MOD(K1064-Settings!$B$32,Settings!$B$33)</f>
        <v>30.099999999999909</v>
      </c>
      <c r="M1064" s="6">
        <f>IF(L1064&lt;Settings!$B$30,IF(Settings!$B$30-L1064&gt;=I1064,K1064,K1064+(Settings!$B$30-L1064)+Settings!$B$31),K1064+(Settings!$B$33-L1064))</f>
        <v>1470.1</v>
      </c>
      <c r="N1064" s="6">
        <f t="shared" si="348"/>
        <v>1476.12</v>
      </c>
      <c r="O1064" s="6">
        <f t="shared" si="349"/>
        <v>792.11999999999989</v>
      </c>
      <c r="P1064" s="6">
        <f t="shared" si="339"/>
        <v>681.49455156934982</v>
      </c>
      <c r="Q1064" s="6">
        <f t="shared" si="340"/>
        <v>94.7262633015539</v>
      </c>
      <c r="R1064" s="6">
        <f t="shared" si="341"/>
        <v>0</v>
      </c>
      <c r="S1064" s="6">
        <f t="shared" si="350"/>
        <v>776.22081487090372</v>
      </c>
      <c r="T1064" s="6" t="str">
        <f>IF(MOD(C1064-Settings!$B$32,Settings!$B$33)&lt;Settings!$B$30,"Up","Down")</f>
        <v>Down</v>
      </c>
      <c r="U1064" s="6">
        <f>IF(OR(I1064&gt;Settings!$B$30,O1064&gt;Settings!$B$37),0,1)</f>
        <v>1</v>
      </c>
      <c r="V1064" s="6">
        <f>IF(AND(U1064=1,O1064&lt;=Settings!$B$36),1,0)</f>
        <v>0</v>
      </c>
    </row>
    <row r="1065" spans="1:22" x14ac:dyDescent="0.2">
      <c r="A1065">
        <f>Arrivals!A1065</f>
        <v>9</v>
      </c>
      <c r="B1065">
        <f>Arrivals!B1065</f>
        <v>100</v>
      </c>
      <c r="C1065" s="6">
        <f>Arrivals!F1065</f>
        <v>689</v>
      </c>
      <c r="D1065" s="6">
        <f>Arrivals!J1065</f>
        <v>19.166979154552266</v>
      </c>
      <c r="E1065" s="6">
        <f t="shared" si="343"/>
        <v>1375.373736698446</v>
      </c>
      <c r="F1065" s="6">
        <f t="shared" si="345"/>
        <v>1375.373736698446</v>
      </c>
      <c r="G1065" s="6">
        <f t="shared" si="346"/>
        <v>1394.5407158529983</v>
      </c>
      <c r="H1065" s="6">
        <f>Arrivals!L1065</f>
        <v>75</v>
      </c>
      <c r="I1065" s="6">
        <f>H1065*8/ACE_Input!S105+ACE_Input!T105</f>
        <v>6.02</v>
      </c>
      <c r="J1065" s="6">
        <f t="shared" si="344"/>
        <v>1476.12</v>
      </c>
      <c r="K1065" s="6">
        <f t="shared" si="347"/>
        <v>1476.12</v>
      </c>
      <c r="L1065" s="6">
        <f>MOD(K1065-Settings!$B$32,Settings!$B$33)</f>
        <v>36.119999999999891</v>
      </c>
      <c r="M1065" s="6">
        <f>IF(L1065&lt;Settings!$B$30,IF(Settings!$B$30-L1065&gt;=I1065,K1065,K1065+(Settings!$B$30-L1065)+Settings!$B$31),K1065+(Settings!$B$33-L1065))</f>
        <v>1476.12</v>
      </c>
      <c r="N1065" s="6">
        <f t="shared" si="348"/>
        <v>1482.1399999999999</v>
      </c>
      <c r="O1065" s="6">
        <f t="shared" si="349"/>
        <v>793.13999999999987</v>
      </c>
      <c r="P1065" s="6">
        <f t="shared" si="339"/>
        <v>686.37373669844601</v>
      </c>
      <c r="Q1065" s="6">
        <f t="shared" si="340"/>
        <v>81.579284147001545</v>
      </c>
      <c r="R1065" s="6">
        <f t="shared" si="341"/>
        <v>0</v>
      </c>
      <c r="S1065" s="6">
        <f t="shared" si="350"/>
        <v>767.95302084544755</v>
      </c>
      <c r="T1065" s="6" t="str">
        <f>IF(MOD(C1065-Settings!$B$32,Settings!$B$33)&lt;Settings!$B$30,"Up","Down")</f>
        <v>Down</v>
      </c>
      <c r="U1065" s="6">
        <f>IF(OR(I1065&gt;Settings!$B$30,O1065&gt;Settings!$B$37),0,1)</f>
        <v>1</v>
      </c>
      <c r="V1065" s="6">
        <f>IF(AND(U1065=1,O1065&lt;=Settings!$B$36),1,0)</f>
        <v>0</v>
      </c>
    </row>
    <row r="1066" spans="1:22" x14ac:dyDescent="0.2">
      <c r="C1066" s="6"/>
      <c r="D1066" s="6"/>
      <c r="E1066" s="6"/>
      <c r="F1066" s="6"/>
      <c r="G1066" s="6"/>
      <c r="H1066" s="6"/>
      <c r="I1066" s="6"/>
      <c r="J1066" s="6"/>
      <c r="K1066" s="6"/>
      <c r="L1066" s="6"/>
      <c r="M1066" s="6"/>
      <c r="N1066" s="6"/>
      <c r="O1066" s="6"/>
      <c r="P1066" s="6"/>
      <c r="Q1066" s="6"/>
      <c r="R1066" s="6"/>
      <c r="S1066" s="6"/>
      <c r="T1066" s="6"/>
      <c r="U1066" s="6"/>
      <c r="V1066" s="6"/>
    </row>
    <row r="1067" spans="1:22" x14ac:dyDescent="0.2">
      <c r="C1067" s="6"/>
      <c r="D1067" s="6"/>
      <c r="E1067" s="6"/>
      <c r="F1067" s="6"/>
      <c r="G1067" s="6"/>
      <c r="H1067" s="6"/>
      <c r="I1067" s="6"/>
      <c r="J1067" s="6"/>
      <c r="K1067" s="6"/>
      <c r="L1067" s="6"/>
      <c r="M1067" s="6"/>
      <c r="N1067" s="6"/>
      <c r="O1067" s="6"/>
      <c r="P1067" s="6"/>
      <c r="Q1067" s="6"/>
      <c r="R1067" s="6"/>
      <c r="S1067" s="6"/>
      <c r="T1067" s="6"/>
      <c r="U1067" s="6"/>
      <c r="V1067" s="6"/>
    </row>
    <row r="1068" spans="1:22" x14ac:dyDescent="0.2">
      <c r="C1068" s="6"/>
      <c r="D1068" s="6"/>
      <c r="E1068" s="6"/>
      <c r="F1068" s="6"/>
      <c r="G1068" s="6"/>
      <c r="H1068" s="6"/>
      <c r="I1068" s="6"/>
      <c r="J1068" s="6"/>
      <c r="K1068" s="6"/>
      <c r="L1068" s="6"/>
      <c r="M1068" s="6"/>
      <c r="N1068" s="6"/>
      <c r="O1068" s="6"/>
      <c r="P1068" s="6"/>
      <c r="Q1068" s="6"/>
      <c r="R1068" s="6"/>
      <c r="S1068" s="6"/>
      <c r="T1068" s="6"/>
      <c r="U1068" s="6"/>
      <c r="V1068" s="6"/>
    </row>
    <row r="1069" spans="1:22" x14ac:dyDescent="0.2">
      <c r="C1069" s="6"/>
      <c r="D1069" s="6"/>
      <c r="E1069" s="6"/>
      <c r="F1069" s="6"/>
      <c r="G1069" s="6"/>
      <c r="H1069" s="6"/>
      <c r="I1069" s="6"/>
      <c r="J1069" s="6"/>
      <c r="K1069" s="6"/>
      <c r="L1069" s="6"/>
      <c r="M1069" s="6"/>
      <c r="N1069" s="6"/>
      <c r="O1069" s="6"/>
      <c r="P1069" s="6"/>
      <c r="Q1069" s="6"/>
      <c r="R1069" s="6"/>
      <c r="S1069" s="6"/>
      <c r="T1069" s="6"/>
      <c r="U1069" s="6"/>
      <c r="V1069" s="6"/>
    </row>
    <row r="1070" spans="1:22" x14ac:dyDescent="0.2">
      <c r="C1070" s="6"/>
      <c r="D1070" s="6"/>
      <c r="E1070" s="6"/>
      <c r="F1070" s="6"/>
      <c r="G1070" s="6"/>
      <c r="H1070" s="6"/>
      <c r="I1070" s="6"/>
      <c r="J1070" s="6"/>
      <c r="K1070" s="6"/>
      <c r="L1070" s="6"/>
      <c r="M1070" s="6"/>
      <c r="N1070" s="6"/>
      <c r="O1070" s="6"/>
      <c r="P1070" s="6"/>
      <c r="Q1070" s="6"/>
      <c r="R1070" s="6"/>
      <c r="S1070" s="6"/>
      <c r="T1070" s="6"/>
      <c r="U1070" s="6"/>
      <c r="V1070" s="6"/>
    </row>
    <row r="1071" spans="1:22" x14ac:dyDescent="0.2">
      <c r="C1071" s="6"/>
      <c r="D1071" s="6"/>
      <c r="E1071" s="6"/>
      <c r="F1071" s="6"/>
      <c r="G1071" s="6"/>
      <c r="H1071" s="6"/>
      <c r="I1071" s="6"/>
      <c r="J1071" s="6"/>
      <c r="K1071" s="6"/>
      <c r="L1071" s="6"/>
      <c r="M1071" s="6"/>
      <c r="N1071" s="6"/>
      <c r="O1071" s="6"/>
      <c r="P1071" s="6"/>
      <c r="Q1071" s="6"/>
      <c r="R1071" s="6"/>
      <c r="S1071" s="6"/>
      <c r="T1071" s="6"/>
      <c r="U1071" s="6"/>
      <c r="V1071" s="6"/>
    </row>
    <row r="1072" spans="1:22" x14ac:dyDescent="0.2">
      <c r="C1072" s="6"/>
      <c r="D1072" s="6"/>
      <c r="E1072" s="6"/>
      <c r="F1072" s="6"/>
      <c r="G1072" s="6"/>
      <c r="H1072" s="6"/>
      <c r="I1072" s="6"/>
      <c r="J1072" s="6"/>
      <c r="K1072" s="6"/>
      <c r="L1072" s="6"/>
      <c r="M1072" s="6"/>
      <c r="N1072" s="6"/>
      <c r="O1072" s="6"/>
      <c r="P1072" s="6"/>
      <c r="Q1072" s="6"/>
      <c r="R1072" s="6"/>
      <c r="S1072" s="6"/>
      <c r="T1072" s="6"/>
      <c r="U1072" s="6"/>
      <c r="V1072" s="6"/>
    </row>
    <row r="1073" spans="1:22" x14ac:dyDescent="0.2">
      <c r="C1073" s="6"/>
      <c r="D1073" s="6"/>
      <c r="E1073" s="6"/>
      <c r="F1073" s="6"/>
      <c r="G1073" s="6"/>
      <c r="H1073" s="6"/>
      <c r="I1073" s="6"/>
      <c r="J1073" s="6"/>
      <c r="K1073" s="6"/>
      <c r="L1073" s="6"/>
      <c r="M1073" s="6"/>
      <c r="N1073" s="6"/>
      <c r="O1073" s="6"/>
      <c r="P1073" s="6"/>
      <c r="Q1073" s="6"/>
      <c r="R1073" s="6"/>
      <c r="S1073" s="6"/>
      <c r="T1073" s="6"/>
      <c r="U1073" s="6"/>
      <c r="V1073" s="6"/>
    </row>
    <row r="1074" spans="1:22" x14ac:dyDescent="0.2">
      <c r="C1074" s="6"/>
      <c r="D1074" s="6"/>
      <c r="E1074" s="6"/>
      <c r="F1074" s="6"/>
      <c r="G1074" s="6"/>
      <c r="H1074" s="6"/>
      <c r="I1074" s="6"/>
      <c r="J1074" s="6"/>
      <c r="K1074" s="6"/>
      <c r="L1074" s="6"/>
      <c r="M1074" s="6"/>
      <c r="N1074" s="6"/>
      <c r="O1074" s="6"/>
      <c r="P1074" s="6"/>
      <c r="Q1074" s="6"/>
      <c r="R1074" s="6"/>
      <c r="S1074" s="6"/>
      <c r="T1074" s="6"/>
      <c r="U1074" s="6"/>
      <c r="V1074" s="6"/>
    </row>
    <row r="1075" spans="1:22" x14ac:dyDescent="0.2">
      <c r="C1075" s="6"/>
      <c r="D1075" s="6"/>
      <c r="E1075" s="6"/>
      <c r="F1075" s="6"/>
      <c r="G1075" s="6"/>
      <c r="H1075" s="6"/>
      <c r="I1075" s="6"/>
      <c r="J1075" s="6"/>
      <c r="K1075" s="6"/>
      <c r="L1075" s="6"/>
      <c r="M1075" s="6"/>
      <c r="N1075" s="6"/>
      <c r="O1075" s="6"/>
      <c r="P1075" s="6"/>
      <c r="Q1075" s="6"/>
      <c r="R1075" s="6"/>
      <c r="S1075" s="6"/>
      <c r="T1075" s="6"/>
      <c r="U1075" s="6"/>
      <c r="V1075" s="6"/>
    </row>
    <row r="1076" spans="1:22" x14ac:dyDescent="0.2">
      <c r="C1076" s="6"/>
      <c r="D1076" s="6"/>
      <c r="E1076" s="6"/>
      <c r="F1076" s="6"/>
      <c r="G1076" s="6"/>
      <c r="H1076" s="6"/>
      <c r="I1076" s="6"/>
      <c r="J1076" s="6"/>
      <c r="K1076" s="6"/>
      <c r="L1076" s="6"/>
      <c r="M1076" s="6"/>
      <c r="N1076" s="6"/>
      <c r="O1076" s="6"/>
      <c r="P1076" s="6"/>
      <c r="Q1076" s="6"/>
      <c r="R1076" s="6"/>
      <c r="S1076" s="6"/>
      <c r="T1076" s="6"/>
      <c r="U1076" s="6"/>
      <c r="V1076" s="6"/>
    </row>
    <row r="1077" spans="1:22" x14ac:dyDescent="0.2">
      <c r="C1077" s="6"/>
      <c r="D1077" s="6"/>
      <c r="E1077" s="6"/>
      <c r="F1077" s="6"/>
      <c r="G1077" s="6"/>
      <c r="H1077" s="6"/>
      <c r="I1077" s="6"/>
      <c r="J1077" s="6"/>
      <c r="K1077" s="6"/>
      <c r="L1077" s="6"/>
      <c r="M1077" s="6"/>
      <c r="N1077" s="6"/>
      <c r="O1077" s="6"/>
      <c r="P1077" s="6"/>
      <c r="Q1077" s="6"/>
      <c r="R1077" s="6"/>
      <c r="S1077" s="6"/>
      <c r="T1077" s="6"/>
      <c r="U1077" s="6"/>
      <c r="V1077" s="6"/>
    </row>
    <row r="1078" spans="1:22" x14ac:dyDescent="0.2">
      <c r="C1078" s="6"/>
      <c r="D1078" s="6"/>
      <c r="E1078" s="6"/>
      <c r="F1078" s="6"/>
      <c r="G1078" s="6"/>
      <c r="H1078" s="6"/>
      <c r="I1078" s="6"/>
      <c r="J1078" s="6"/>
      <c r="K1078" s="6"/>
      <c r="L1078" s="6"/>
      <c r="M1078" s="6"/>
      <c r="N1078" s="6"/>
      <c r="O1078" s="6"/>
      <c r="P1078" s="6"/>
      <c r="Q1078" s="6"/>
      <c r="R1078" s="6"/>
      <c r="S1078" s="6"/>
      <c r="T1078" s="6"/>
      <c r="U1078" s="6"/>
      <c r="V1078" s="6"/>
    </row>
    <row r="1079" spans="1:22" x14ac:dyDescent="0.2">
      <c r="C1079" s="6"/>
      <c r="D1079" s="6"/>
      <c r="E1079" s="6"/>
      <c r="F1079" s="6"/>
      <c r="G1079" s="6"/>
      <c r="H1079" s="6"/>
      <c r="I1079" s="6"/>
      <c r="J1079" s="6"/>
      <c r="K1079" s="6"/>
      <c r="L1079" s="6"/>
      <c r="M1079" s="6"/>
      <c r="N1079" s="6"/>
      <c r="O1079" s="6"/>
      <c r="P1079" s="6"/>
      <c r="Q1079" s="6"/>
      <c r="R1079" s="6"/>
      <c r="S1079" s="6"/>
      <c r="T1079" s="6"/>
      <c r="U1079" s="6"/>
      <c r="V1079" s="6"/>
    </row>
    <row r="1080" spans="1:22" x14ac:dyDescent="0.2">
      <c r="C1080" s="6"/>
      <c r="D1080" s="6"/>
      <c r="E1080" s="6"/>
      <c r="F1080" s="6"/>
      <c r="G1080" s="6"/>
      <c r="H1080" s="6"/>
      <c r="I1080" s="6"/>
      <c r="J1080" s="6"/>
      <c r="K1080" s="6"/>
      <c r="L1080" s="6"/>
      <c r="M1080" s="6"/>
      <c r="N1080" s="6"/>
      <c r="O1080" s="6"/>
      <c r="P1080" s="6"/>
      <c r="Q1080" s="6"/>
      <c r="R1080" s="6"/>
      <c r="S1080" s="6"/>
      <c r="T1080" s="6"/>
      <c r="U1080" s="6"/>
      <c r="V1080" s="6"/>
    </row>
    <row r="1081" spans="1:22" x14ac:dyDescent="0.2">
      <c r="C1081" s="6"/>
      <c r="D1081" s="6"/>
      <c r="E1081" s="6"/>
      <c r="F1081" s="6"/>
      <c r="G1081" s="6"/>
      <c r="H1081" s="6"/>
      <c r="I1081" s="6"/>
      <c r="J1081" s="6"/>
      <c r="K1081" s="6"/>
      <c r="L1081" s="6"/>
      <c r="M1081" s="6"/>
      <c r="N1081" s="6"/>
      <c r="O1081" s="6"/>
      <c r="P1081" s="6"/>
      <c r="Q1081" s="6"/>
      <c r="R1081" s="6"/>
      <c r="S1081" s="6"/>
      <c r="T1081" s="6"/>
      <c r="U1081" s="6"/>
      <c r="V1081" s="6"/>
    </row>
    <row r="1082" spans="1:22" x14ac:dyDescent="0.2">
      <c r="C1082" s="6"/>
      <c r="D1082" s="6"/>
      <c r="E1082" s="6"/>
      <c r="F1082" s="6"/>
      <c r="G1082" s="6"/>
      <c r="H1082" s="6"/>
      <c r="I1082" s="6"/>
      <c r="J1082" s="6"/>
      <c r="K1082" s="6"/>
      <c r="L1082" s="6"/>
      <c r="M1082" s="6"/>
      <c r="N1082" s="6"/>
      <c r="O1082" s="6"/>
      <c r="P1082" s="6"/>
      <c r="Q1082" s="6"/>
      <c r="R1082" s="6"/>
      <c r="S1082" s="6"/>
      <c r="T1082" s="6"/>
      <c r="U1082" s="6"/>
      <c r="V1082" s="6"/>
    </row>
    <row r="1083" spans="1:22" x14ac:dyDescent="0.2">
      <c r="C1083" s="6"/>
      <c r="D1083" s="6"/>
      <c r="E1083" s="6"/>
      <c r="F1083" s="6"/>
      <c r="G1083" s="6"/>
      <c r="H1083" s="6"/>
      <c r="I1083" s="6"/>
      <c r="J1083" s="6"/>
      <c r="K1083" s="6"/>
      <c r="L1083" s="6"/>
      <c r="M1083" s="6"/>
      <c r="N1083" s="6"/>
      <c r="O1083" s="6"/>
      <c r="P1083" s="6"/>
      <c r="Q1083" s="6"/>
      <c r="R1083" s="6"/>
      <c r="S1083" s="6"/>
      <c r="T1083" s="6"/>
      <c r="U1083" s="6"/>
      <c r="V1083" s="6"/>
    </row>
    <row r="1084" spans="1:22" x14ac:dyDescent="0.2">
      <c r="C1084" s="6"/>
      <c r="D1084" s="6"/>
      <c r="E1084" s="6"/>
      <c r="F1084" s="6"/>
      <c r="G1084" s="6"/>
      <c r="H1084" s="6"/>
      <c r="I1084" s="6"/>
      <c r="J1084" s="6"/>
      <c r="K1084" s="6"/>
      <c r="L1084" s="6"/>
      <c r="M1084" s="6"/>
      <c r="N1084" s="6"/>
      <c r="O1084" s="6"/>
      <c r="P1084" s="6"/>
      <c r="Q1084" s="6"/>
      <c r="R1084" s="6"/>
      <c r="S1084" s="6"/>
      <c r="T1084" s="6"/>
      <c r="U1084" s="6"/>
      <c r="V1084" s="6"/>
    </row>
    <row r="1085" spans="1:22" x14ac:dyDescent="0.2">
      <c r="C1085" s="6"/>
      <c r="D1085" s="6"/>
      <c r="E1085" s="6"/>
      <c r="F1085" s="6"/>
      <c r="G1085" s="6"/>
      <c r="H1085" s="6"/>
      <c r="I1085" s="6"/>
      <c r="J1085" s="6"/>
      <c r="K1085" s="6"/>
      <c r="L1085" s="6"/>
      <c r="M1085" s="6"/>
      <c r="N1085" s="6"/>
      <c r="O1085" s="6"/>
      <c r="P1085" s="6"/>
      <c r="Q1085" s="6"/>
      <c r="R1085" s="6"/>
      <c r="S1085" s="6"/>
      <c r="T1085" s="6"/>
      <c r="U1085" s="6"/>
      <c r="V1085" s="6"/>
    </row>
    <row r="1086" spans="1:22" x14ac:dyDescent="0.2">
      <c r="A1086">
        <f>Arrivals!A1086</f>
        <v>10</v>
      </c>
      <c r="B1086">
        <f>Arrivals!B1086</f>
        <v>1</v>
      </c>
      <c r="C1086" s="6">
        <f>Arrivals!F1086</f>
        <v>2</v>
      </c>
      <c r="D1086" s="6">
        <f>Arrivals!J1086</f>
        <v>8.2364448074448564</v>
      </c>
      <c r="E1086" s="6">
        <f>0</f>
        <v>0</v>
      </c>
      <c r="F1086" s="6">
        <f t="shared" ref="F1086:F1117" si="351">MAX(C1086,E1086)</f>
        <v>2</v>
      </c>
      <c r="G1086" s="6">
        <f t="shared" ref="G1086:G1117" si="352">F1086+D1086</f>
        <v>10.236444807444856</v>
      </c>
      <c r="H1086" s="6">
        <f>Arrivals!L1086</f>
        <v>75</v>
      </c>
      <c r="I1086" s="6">
        <f>H1086*8/ACE_Input!S6+ACE_Input!T6</f>
        <v>6.02</v>
      </c>
      <c r="J1086" s="6">
        <f>0</f>
        <v>0</v>
      </c>
      <c r="K1086" s="6">
        <f t="shared" ref="K1086:K1117" si="353">MAX(G1086,J1086)</f>
        <v>10.236444807444856</v>
      </c>
      <c r="L1086" s="6">
        <f>MOD(K1086-Settings!$B$32,Settings!$B$33)</f>
        <v>10.236444807444856</v>
      </c>
      <c r="M1086" s="6">
        <f>IF(L1086&lt;Settings!$B$30,IF(Settings!$B$30-L1086&gt;=I1086,K1086,K1086+(Settings!$B$30-L1086)+Settings!$B$31),K1086+(Settings!$B$33-L1086))</f>
        <v>10.236444807444856</v>
      </c>
      <c r="N1086" s="6">
        <f t="shared" ref="N1086:N1117" si="354">M1086+I1086</f>
        <v>16.256444807444858</v>
      </c>
      <c r="O1086" s="6">
        <f t="shared" ref="O1086:O1117" si="355">N1086-C1086</f>
        <v>14.256444807444858</v>
      </c>
      <c r="P1086" s="6">
        <f t="shared" ref="P1086:P1117" si="356">F1086-C1086</f>
        <v>0</v>
      </c>
      <c r="Q1086" s="6">
        <f t="shared" ref="Q1086:Q1117" si="357">K1086-G1086</f>
        <v>0</v>
      </c>
      <c r="R1086" s="6">
        <f t="shared" ref="R1086:R1117" si="358">M1086-K1086</f>
        <v>0</v>
      </c>
      <c r="S1086" s="6">
        <f t="shared" ref="S1086:S1117" si="359">P1086+Q1086+R1086</f>
        <v>0</v>
      </c>
      <c r="T1086" s="6" t="str">
        <f>IF(MOD(C1086-Settings!$B$32,Settings!$B$33)&lt;Settings!$B$30,"Up","Down")</f>
        <v>Up</v>
      </c>
      <c r="U1086" s="6">
        <f>IF(OR(I1086&gt;Settings!$B$30,O1086&gt;Settings!$B$37),0,1)</f>
        <v>1</v>
      </c>
      <c r="V1086" s="6">
        <f>IF(AND(U1086=1,O1086&lt;=Settings!$B$36),1,0)</f>
        <v>1</v>
      </c>
    </row>
    <row r="1087" spans="1:22" x14ac:dyDescent="0.2">
      <c r="A1087">
        <f>Arrivals!A1087</f>
        <v>10</v>
      </c>
      <c r="B1087">
        <f>Arrivals!B1087</f>
        <v>2</v>
      </c>
      <c r="C1087" s="6">
        <f>Arrivals!F1087</f>
        <v>7</v>
      </c>
      <c r="D1087" s="6">
        <f>Arrivals!J1087</f>
        <v>5.3166737473788519</v>
      </c>
      <c r="E1087" s="6">
        <f t="shared" ref="E1087:E1118" si="360">G1086</f>
        <v>10.236444807444856</v>
      </c>
      <c r="F1087" s="6">
        <f t="shared" si="351"/>
        <v>10.236444807444856</v>
      </c>
      <c r="G1087" s="6">
        <f t="shared" si="352"/>
        <v>15.553118554823708</v>
      </c>
      <c r="H1087" s="6">
        <f>Arrivals!L1087</f>
        <v>75</v>
      </c>
      <c r="I1087" s="6">
        <f>H1087*8/ACE_Input!S7+ACE_Input!T7</f>
        <v>6.02</v>
      </c>
      <c r="J1087" s="6">
        <f t="shared" ref="J1087:J1118" si="361">N1086</f>
        <v>16.256444807444858</v>
      </c>
      <c r="K1087" s="6">
        <f t="shared" si="353"/>
        <v>16.256444807444858</v>
      </c>
      <c r="L1087" s="6">
        <f>MOD(K1087-Settings!$B$32,Settings!$B$33)</f>
        <v>16.256444807444858</v>
      </c>
      <c r="M1087" s="6">
        <f>IF(L1087&lt;Settings!$B$30,IF(Settings!$B$30-L1087&gt;=I1087,K1087,K1087+(Settings!$B$30-L1087)+Settings!$B$31),K1087+(Settings!$B$33-L1087))</f>
        <v>16.256444807444858</v>
      </c>
      <c r="N1087" s="6">
        <f t="shared" si="354"/>
        <v>22.276444807444857</v>
      </c>
      <c r="O1087" s="6">
        <f t="shared" si="355"/>
        <v>15.276444807444857</v>
      </c>
      <c r="P1087" s="6">
        <f t="shared" si="356"/>
        <v>3.2364448074448564</v>
      </c>
      <c r="Q1087" s="6">
        <f t="shared" si="357"/>
        <v>0.70332625262114945</v>
      </c>
      <c r="R1087" s="6">
        <f t="shared" si="358"/>
        <v>0</v>
      </c>
      <c r="S1087" s="6">
        <f t="shared" si="359"/>
        <v>3.9397710600660059</v>
      </c>
      <c r="T1087" s="6" t="str">
        <f>IF(MOD(C1087-Settings!$B$32,Settings!$B$33)&lt;Settings!$B$30,"Up","Down")</f>
        <v>Up</v>
      </c>
      <c r="U1087" s="6">
        <f>IF(OR(I1087&gt;Settings!$B$30,O1087&gt;Settings!$B$37),0,1)</f>
        <v>1</v>
      </c>
      <c r="V1087" s="6">
        <f>IF(AND(U1087=1,O1087&lt;=Settings!$B$36),1,0)</f>
        <v>1</v>
      </c>
    </row>
    <row r="1088" spans="1:22" x14ac:dyDescent="0.2">
      <c r="A1088">
        <f>Arrivals!A1088</f>
        <v>10</v>
      </c>
      <c r="B1088">
        <f>Arrivals!B1088</f>
        <v>3</v>
      </c>
      <c r="C1088" s="6">
        <f>Arrivals!F1088</f>
        <v>32</v>
      </c>
      <c r="D1088" s="6">
        <f>Arrivals!J1088</f>
        <v>14.857434423058617</v>
      </c>
      <c r="E1088" s="6">
        <f t="shared" si="360"/>
        <v>15.553118554823708</v>
      </c>
      <c r="F1088" s="6">
        <f t="shared" si="351"/>
        <v>32</v>
      </c>
      <c r="G1088" s="6">
        <f t="shared" si="352"/>
        <v>46.857434423058621</v>
      </c>
      <c r="H1088" s="6">
        <f>Arrivals!L1088</f>
        <v>75</v>
      </c>
      <c r="I1088" s="6">
        <f>H1088*8/ACE_Input!S8+ACE_Input!T8</f>
        <v>6.02</v>
      </c>
      <c r="J1088" s="6">
        <f t="shared" si="361"/>
        <v>22.276444807444857</v>
      </c>
      <c r="K1088" s="6">
        <f t="shared" si="353"/>
        <v>46.857434423058621</v>
      </c>
      <c r="L1088" s="6">
        <f>MOD(K1088-Settings!$B$32,Settings!$B$33)</f>
        <v>46.857434423058621</v>
      </c>
      <c r="M1088" s="6">
        <f>IF(L1088&lt;Settings!$B$30,IF(Settings!$B$30-L1088&gt;=I1088,K1088,K1088+(Settings!$B$30-L1088)+Settings!$B$31),K1088+(Settings!$B$33-L1088))</f>
        <v>46.857434423058621</v>
      </c>
      <c r="N1088" s="6">
        <f t="shared" si="354"/>
        <v>52.877434423058617</v>
      </c>
      <c r="O1088" s="6">
        <f t="shared" si="355"/>
        <v>20.877434423058617</v>
      </c>
      <c r="P1088" s="6">
        <f t="shared" si="356"/>
        <v>0</v>
      </c>
      <c r="Q1088" s="6">
        <f t="shared" si="357"/>
        <v>0</v>
      </c>
      <c r="R1088" s="6">
        <f t="shared" si="358"/>
        <v>0</v>
      </c>
      <c r="S1088" s="6">
        <f t="shared" si="359"/>
        <v>0</v>
      </c>
      <c r="T1088" s="6" t="str">
        <f>IF(MOD(C1088-Settings!$B$32,Settings!$B$33)&lt;Settings!$B$30,"Up","Down")</f>
        <v>Up</v>
      </c>
      <c r="U1088" s="6">
        <f>IF(OR(I1088&gt;Settings!$B$30,O1088&gt;Settings!$B$37),0,1)</f>
        <v>1</v>
      </c>
      <c r="V1088" s="6">
        <f>IF(AND(U1088=1,O1088&lt;=Settings!$B$36),1,0)</f>
        <v>1</v>
      </c>
    </row>
    <row r="1089" spans="1:22" x14ac:dyDescent="0.2">
      <c r="A1089">
        <f>Arrivals!A1089</f>
        <v>10</v>
      </c>
      <c r="B1089">
        <f>Arrivals!B1089</f>
        <v>4</v>
      </c>
      <c r="C1089" s="6">
        <f>Arrivals!F1089</f>
        <v>37</v>
      </c>
      <c r="D1089" s="6">
        <f>Arrivals!J1089</f>
        <v>2.1619362467437728</v>
      </c>
      <c r="E1089" s="6">
        <f t="shared" si="360"/>
        <v>46.857434423058621</v>
      </c>
      <c r="F1089" s="6">
        <f t="shared" si="351"/>
        <v>46.857434423058621</v>
      </c>
      <c r="G1089" s="6">
        <f t="shared" si="352"/>
        <v>49.019370669802392</v>
      </c>
      <c r="H1089" s="6">
        <f>Arrivals!L1089</f>
        <v>75</v>
      </c>
      <c r="I1089" s="6">
        <f>H1089*8/ACE_Input!S9+ACE_Input!T9</f>
        <v>6.02</v>
      </c>
      <c r="J1089" s="6">
        <f t="shared" si="361"/>
        <v>52.877434423058617</v>
      </c>
      <c r="K1089" s="6">
        <f t="shared" si="353"/>
        <v>52.877434423058617</v>
      </c>
      <c r="L1089" s="6">
        <f>MOD(K1089-Settings!$B$32,Settings!$B$33)</f>
        <v>52.877434423058617</v>
      </c>
      <c r="M1089" s="6">
        <f>IF(L1089&lt;Settings!$B$30,IF(Settings!$B$30-L1089&gt;=I1089,K1089,K1089+(Settings!$B$30-L1089)+Settings!$B$31),K1089+(Settings!$B$33-L1089))</f>
        <v>52.877434423058617</v>
      </c>
      <c r="N1089" s="6">
        <f t="shared" si="354"/>
        <v>58.897434423058613</v>
      </c>
      <c r="O1089" s="6">
        <f t="shared" si="355"/>
        <v>21.897434423058613</v>
      </c>
      <c r="P1089" s="6">
        <f t="shared" si="356"/>
        <v>9.8574344230586206</v>
      </c>
      <c r="Q1089" s="6">
        <f t="shared" si="357"/>
        <v>3.858063753256225</v>
      </c>
      <c r="R1089" s="6">
        <f t="shared" si="358"/>
        <v>0</v>
      </c>
      <c r="S1089" s="6">
        <f t="shared" si="359"/>
        <v>13.715498176314846</v>
      </c>
      <c r="T1089" s="6" t="str">
        <f>IF(MOD(C1089-Settings!$B$32,Settings!$B$33)&lt;Settings!$B$30,"Up","Down")</f>
        <v>Up</v>
      </c>
      <c r="U1089" s="6">
        <f>IF(OR(I1089&gt;Settings!$B$30,O1089&gt;Settings!$B$37),0,1)</f>
        <v>1</v>
      </c>
      <c r="V1089" s="6">
        <f>IF(AND(U1089=1,O1089&lt;=Settings!$B$36),1,0)</f>
        <v>1</v>
      </c>
    </row>
    <row r="1090" spans="1:22" x14ac:dyDescent="0.2">
      <c r="A1090">
        <f>Arrivals!A1090</f>
        <v>10</v>
      </c>
      <c r="B1090">
        <f>Arrivals!B1090</f>
        <v>5</v>
      </c>
      <c r="C1090" s="6">
        <f>Arrivals!F1090</f>
        <v>42</v>
      </c>
      <c r="D1090" s="6">
        <f>Arrivals!J1090</f>
        <v>25.29630591598491</v>
      </c>
      <c r="E1090" s="6">
        <f t="shared" si="360"/>
        <v>49.019370669802392</v>
      </c>
      <c r="F1090" s="6">
        <f t="shared" si="351"/>
        <v>49.019370669802392</v>
      </c>
      <c r="G1090" s="6">
        <f t="shared" si="352"/>
        <v>74.315676585787301</v>
      </c>
      <c r="H1090" s="6">
        <f>Arrivals!L1090</f>
        <v>75</v>
      </c>
      <c r="I1090" s="6">
        <f>H1090*8/ACE_Input!S10+ACE_Input!T10</f>
        <v>6.02</v>
      </c>
      <c r="J1090" s="6">
        <f t="shared" si="361"/>
        <v>58.897434423058613</v>
      </c>
      <c r="K1090" s="6">
        <f t="shared" si="353"/>
        <v>74.315676585787301</v>
      </c>
      <c r="L1090" s="6">
        <f>MOD(K1090-Settings!$B$32,Settings!$B$33)</f>
        <v>74.315676585787301</v>
      </c>
      <c r="M1090" s="6">
        <f>IF(L1090&lt;Settings!$B$30,IF(Settings!$B$30-L1090&gt;=I1090,K1090,K1090+(Settings!$B$30-L1090)+Settings!$B$31),K1090+(Settings!$B$33-L1090))</f>
        <v>74.315676585787301</v>
      </c>
      <c r="N1090" s="6">
        <f t="shared" si="354"/>
        <v>80.335676585787297</v>
      </c>
      <c r="O1090" s="6">
        <f t="shared" si="355"/>
        <v>38.335676585787297</v>
      </c>
      <c r="P1090" s="6">
        <f t="shared" si="356"/>
        <v>7.0193706698023917</v>
      </c>
      <c r="Q1090" s="6">
        <f t="shared" si="357"/>
        <v>0</v>
      </c>
      <c r="R1090" s="6">
        <f t="shared" si="358"/>
        <v>0</v>
      </c>
      <c r="S1090" s="6">
        <f t="shared" si="359"/>
        <v>7.0193706698023917</v>
      </c>
      <c r="T1090" s="6" t="str">
        <f>IF(MOD(C1090-Settings!$B$32,Settings!$B$33)&lt;Settings!$B$30,"Up","Down")</f>
        <v>Up</v>
      </c>
      <c r="U1090" s="6">
        <f>IF(OR(I1090&gt;Settings!$B$30,O1090&gt;Settings!$B$37),0,1)</f>
        <v>1</v>
      </c>
      <c r="V1090" s="6">
        <f>IF(AND(U1090=1,O1090&lt;=Settings!$B$36),1,0)</f>
        <v>1</v>
      </c>
    </row>
    <row r="1091" spans="1:22" x14ac:dyDescent="0.2">
      <c r="A1091">
        <f>Arrivals!A1091</f>
        <v>10</v>
      </c>
      <c r="B1091">
        <f>Arrivals!B1091</f>
        <v>6</v>
      </c>
      <c r="C1091" s="6">
        <f>Arrivals!F1091</f>
        <v>47</v>
      </c>
      <c r="D1091" s="6">
        <f>Arrivals!J1091</f>
        <v>4.7374393569059272</v>
      </c>
      <c r="E1091" s="6">
        <f t="shared" si="360"/>
        <v>74.315676585787301</v>
      </c>
      <c r="F1091" s="6">
        <f t="shared" si="351"/>
        <v>74.315676585787301</v>
      </c>
      <c r="G1091" s="6">
        <f t="shared" si="352"/>
        <v>79.053115942693225</v>
      </c>
      <c r="H1091" s="6">
        <f>Arrivals!L1091</f>
        <v>75</v>
      </c>
      <c r="I1091" s="6">
        <f>H1091*8/ACE_Input!S11+ACE_Input!T11</f>
        <v>6.02</v>
      </c>
      <c r="J1091" s="6">
        <f t="shared" si="361"/>
        <v>80.335676585787297</v>
      </c>
      <c r="K1091" s="6">
        <f t="shared" si="353"/>
        <v>80.335676585787297</v>
      </c>
      <c r="L1091" s="6">
        <f>MOD(K1091-Settings!$B$32,Settings!$B$33)</f>
        <v>80.335676585787297</v>
      </c>
      <c r="M1091" s="6">
        <f>IF(L1091&lt;Settings!$B$30,IF(Settings!$B$30-L1091&gt;=I1091,K1091,K1091+(Settings!$B$30-L1091)+Settings!$B$31),K1091+(Settings!$B$33-L1091))</f>
        <v>80.335676585787297</v>
      </c>
      <c r="N1091" s="6">
        <f t="shared" si="354"/>
        <v>86.355676585787293</v>
      </c>
      <c r="O1091" s="6">
        <f t="shared" si="355"/>
        <v>39.355676585787293</v>
      </c>
      <c r="P1091" s="6">
        <f t="shared" si="356"/>
        <v>27.315676585787301</v>
      </c>
      <c r="Q1091" s="6">
        <f t="shared" si="357"/>
        <v>1.2825606430940724</v>
      </c>
      <c r="R1091" s="6">
        <f t="shared" si="358"/>
        <v>0</v>
      </c>
      <c r="S1091" s="6">
        <f t="shared" si="359"/>
        <v>28.598237228881374</v>
      </c>
      <c r="T1091" s="6" t="str">
        <f>IF(MOD(C1091-Settings!$B$32,Settings!$B$33)&lt;Settings!$B$30,"Up","Down")</f>
        <v>Up</v>
      </c>
      <c r="U1091" s="6">
        <f>IF(OR(I1091&gt;Settings!$B$30,O1091&gt;Settings!$B$37),0,1)</f>
        <v>1</v>
      </c>
      <c r="V1091" s="6">
        <f>IF(AND(U1091=1,O1091&lt;=Settings!$B$36),1,0)</f>
        <v>1</v>
      </c>
    </row>
    <row r="1092" spans="1:22" x14ac:dyDescent="0.2">
      <c r="A1092">
        <f>Arrivals!A1092</f>
        <v>10</v>
      </c>
      <c r="B1092">
        <f>Arrivals!B1092</f>
        <v>7</v>
      </c>
      <c r="C1092" s="6">
        <f>Arrivals!F1092</f>
        <v>52</v>
      </c>
      <c r="D1092" s="6">
        <f>Arrivals!J1092</f>
        <v>0.53043830244409751</v>
      </c>
      <c r="E1092" s="6">
        <f t="shared" si="360"/>
        <v>79.053115942693225</v>
      </c>
      <c r="F1092" s="6">
        <f t="shared" si="351"/>
        <v>79.053115942693225</v>
      </c>
      <c r="G1092" s="6">
        <f t="shared" si="352"/>
        <v>79.583554245137321</v>
      </c>
      <c r="H1092" s="6">
        <f>Arrivals!L1092</f>
        <v>75</v>
      </c>
      <c r="I1092" s="6">
        <f>H1092*8/ACE_Input!S12+ACE_Input!T12</f>
        <v>6.02</v>
      </c>
      <c r="J1092" s="6">
        <f t="shared" si="361"/>
        <v>86.355676585787293</v>
      </c>
      <c r="K1092" s="6">
        <f t="shared" si="353"/>
        <v>86.355676585787293</v>
      </c>
      <c r="L1092" s="6">
        <f>MOD(K1092-Settings!$B$32,Settings!$B$33)</f>
        <v>86.355676585787293</v>
      </c>
      <c r="M1092" s="6">
        <f>IF(L1092&lt;Settings!$B$30,IF(Settings!$B$30-L1092&gt;=I1092,K1092,K1092+(Settings!$B$30-L1092)+Settings!$B$31),K1092+(Settings!$B$33-L1092))</f>
        <v>86.355676585787293</v>
      </c>
      <c r="N1092" s="6">
        <f t="shared" si="354"/>
        <v>92.375676585787289</v>
      </c>
      <c r="O1092" s="6">
        <f t="shared" si="355"/>
        <v>40.375676585787289</v>
      </c>
      <c r="P1092" s="6">
        <f t="shared" si="356"/>
        <v>27.053115942693225</v>
      </c>
      <c r="Q1092" s="6">
        <f t="shared" si="357"/>
        <v>6.7721223406499718</v>
      </c>
      <c r="R1092" s="6">
        <f t="shared" si="358"/>
        <v>0</v>
      </c>
      <c r="S1092" s="6">
        <f t="shared" si="359"/>
        <v>33.825238283343197</v>
      </c>
      <c r="T1092" s="6" t="str">
        <f>IF(MOD(C1092-Settings!$B$32,Settings!$B$33)&lt;Settings!$B$30,"Up","Down")</f>
        <v>Up</v>
      </c>
      <c r="U1092" s="6">
        <f>IF(OR(I1092&gt;Settings!$B$30,O1092&gt;Settings!$B$37),0,1)</f>
        <v>1</v>
      </c>
      <c r="V1092" s="6">
        <f>IF(AND(U1092=1,O1092&lt;=Settings!$B$36),1,0)</f>
        <v>1</v>
      </c>
    </row>
    <row r="1093" spans="1:22" x14ac:dyDescent="0.2">
      <c r="A1093">
        <f>Arrivals!A1093</f>
        <v>10</v>
      </c>
      <c r="B1093">
        <f>Arrivals!B1093</f>
        <v>8</v>
      </c>
      <c r="C1093" s="6">
        <f>Arrivals!F1093</f>
        <v>57</v>
      </c>
      <c r="D1093" s="6">
        <f>Arrivals!J1093</f>
        <v>16.282985169704052</v>
      </c>
      <c r="E1093" s="6">
        <f t="shared" si="360"/>
        <v>79.583554245137321</v>
      </c>
      <c r="F1093" s="6">
        <f t="shared" si="351"/>
        <v>79.583554245137321</v>
      </c>
      <c r="G1093" s="6">
        <f t="shared" si="352"/>
        <v>95.86653941484137</v>
      </c>
      <c r="H1093" s="6">
        <f>Arrivals!L1093</f>
        <v>75</v>
      </c>
      <c r="I1093" s="6">
        <f>H1093*8/ACE_Input!S13+ACE_Input!T13</f>
        <v>6.02</v>
      </c>
      <c r="J1093" s="6">
        <f t="shared" si="361"/>
        <v>92.375676585787289</v>
      </c>
      <c r="K1093" s="6">
        <f t="shared" si="353"/>
        <v>95.86653941484137</v>
      </c>
      <c r="L1093" s="6">
        <f>MOD(K1093-Settings!$B$32,Settings!$B$33)</f>
        <v>95.86653941484137</v>
      </c>
      <c r="M1093" s="6">
        <f>IF(L1093&lt;Settings!$B$30,IF(Settings!$B$30-L1093&gt;=I1093,K1093,K1093+(Settings!$B$30-L1093)+Settings!$B$31),K1093+(Settings!$B$33-L1093))</f>
        <v>95.86653941484137</v>
      </c>
      <c r="N1093" s="6">
        <f t="shared" si="354"/>
        <v>101.88653941484137</v>
      </c>
      <c r="O1093" s="6">
        <f t="shared" si="355"/>
        <v>44.886539414841366</v>
      </c>
      <c r="P1093" s="6">
        <f t="shared" si="356"/>
        <v>22.583554245137321</v>
      </c>
      <c r="Q1093" s="6">
        <f t="shared" si="357"/>
        <v>0</v>
      </c>
      <c r="R1093" s="6">
        <f t="shared" si="358"/>
        <v>0</v>
      </c>
      <c r="S1093" s="6">
        <f t="shared" si="359"/>
        <v>22.583554245137321</v>
      </c>
      <c r="T1093" s="6" t="str">
        <f>IF(MOD(C1093-Settings!$B$32,Settings!$B$33)&lt;Settings!$B$30,"Up","Down")</f>
        <v>Up</v>
      </c>
      <c r="U1093" s="6">
        <f>IF(OR(I1093&gt;Settings!$B$30,O1093&gt;Settings!$B$37),0,1)</f>
        <v>1</v>
      </c>
      <c r="V1093" s="6">
        <f>IF(AND(U1093=1,O1093&lt;=Settings!$B$36),1,0)</f>
        <v>1</v>
      </c>
    </row>
    <row r="1094" spans="1:22" x14ac:dyDescent="0.2">
      <c r="A1094">
        <f>Arrivals!A1094</f>
        <v>10</v>
      </c>
      <c r="B1094">
        <f>Arrivals!B1094</f>
        <v>9</v>
      </c>
      <c r="C1094" s="6">
        <f>Arrivals!F1094</f>
        <v>172</v>
      </c>
      <c r="D1094" s="6">
        <f>Arrivals!J1094</f>
        <v>44.696658064074299</v>
      </c>
      <c r="E1094" s="6">
        <f t="shared" si="360"/>
        <v>95.86653941484137</v>
      </c>
      <c r="F1094" s="6">
        <f t="shared" si="351"/>
        <v>172</v>
      </c>
      <c r="G1094" s="6">
        <f t="shared" si="352"/>
        <v>216.69665806407431</v>
      </c>
      <c r="H1094" s="6">
        <f>Arrivals!L1094</f>
        <v>75</v>
      </c>
      <c r="I1094" s="6">
        <f>H1094*8/ACE_Input!S14+ACE_Input!T14</f>
        <v>6.02</v>
      </c>
      <c r="J1094" s="6">
        <f t="shared" si="361"/>
        <v>101.88653941484137</v>
      </c>
      <c r="K1094" s="6">
        <f t="shared" si="353"/>
        <v>216.69665806407431</v>
      </c>
      <c r="L1094" s="6">
        <f>MOD(K1094-Settings!$B$32,Settings!$B$33)</f>
        <v>216.69665806407431</v>
      </c>
      <c r="M1094" s="6">
        <f>IF(L1094&lt;Settings!$B$30,IF(Settings!$B$30-L1094&gt;=I1094,K1094,K1094+(Settings!$B$30-L1094)+Settings!$B$31),K1094+(Settings!$B$33-L1094))</f>
        <v>216.69665806407431</v>
      </c>
      <c r="N1094" s="6">
        <f t="shared" si="354"/>
        <v>222.71665806407432</v>
      </c>
      <c r="O1094" s="6">
        <f t="shared" si="355"/>
        <v>50.716658064074323</v>
      </c>
      <c r="P1094" s="6">
        <f t="shared" si="356"/>
        <v>0</v>
      </c>
      <c r="Q1094" s="6">
        <f t="shared" si="357"/>
        <v>0</v>
      </c>
      <c r="R1094" s="6">
        <f t="shared" si="358"/>
        <v>0</v>
      </c>
      <c r="S1094" s="6">
        <f t="shared" si="359"/>
        <v>0</v>
      </c>
      <c r="T1094" s="6" t="str">
        <f>IF(MOD(C1094-Settings!$B$32,Settings!$B$33)&lt;Settings!$B$30,"Up","Down")</f>
        <v>Up</v>
      </c>
      <c r="U1094" s="6">
        <f>IF(OR(I1094&gt;Settings!$B$30,O1094&gt;Settings!$B$37),0,1)</f>
        <v>1</v>
      </c>
      <c r="V1094" s="6">
        <f>IF(AND(U1094=1,O1094&lt;=Settings!$B$36),1,0)</f>
        <v>1</v>
      </c>
    </row>
    <row r="1095" spans="1:22" x14ac:dyDescent="0.2">
      <c r="A1095">
        <f>Arrivals!A1095</f>
        <v>10</v>
      </c>
      <c r="B1095">
        <f>Arrivals!B1095</f>
        <v>10</v>
      </c>
      <c r="C1095" s="6">
        <f>Arrivals!F1095</f>
        <v>177</v>
      </c>
      <c r="D1095" s="6">
        <f>Arrivals!J1095</f>
        <v>11.555563654042952</v>
      </c>
      <c r="E1095" s="6">
        <f t="shared" si="360"/>
        <v>216.69665806407431</v>
      </c>
      <c r="F1095" s="6">
        <f t="shared" si="351"/>
        <v>216.69665806407431</v>
      </c>
      <c r="G1095" s="6">
        <f t="shared" si="352"/>
        <v>228.25222171811726</v>
      </c>
      <c r="H1095" s="6">
        <f>Arrivals!L1095</f>
        <v>75</v>
      </c>
      <c r="I1095" s="6">
        <f>H1095*8/ACE_Input!S15+ACE_Input!T15</f>
        <v>6.02</v>
      </c>
      <c r="J1095" s="6">
        <f t="shared" si="361"/>
        <v>222.71665806407432</v>
      </c>
      <c r="K1095" s="6">
        <f t="shared" si="353"/>
        <v>228.25222171811726</v>
      </c>
      <c r="L1095" s="6">
        <f>MOD(K1095-Settings!$B$32,Settings!$B$33)</f>
        <v>228.25222171811726</v>
      </c>
      <c r="M1095" s="6">
        <f>IF(L1095&lt;Settings!$B$30,IF(Settings!$B$30-L1095&gt;=I1095,K1095,K1095+(Settings!$B$30-L1095)+Settings!$B$31),K1095+(Settings!$B$33-L1095))</f>
        <v>228.25222171811726</v>
      </c>
      <c r="N1095" s="6">
        <f t="shared" si="354"/>
        <v>234.27222171811727</v>
      </c>
      <c r="O1095" s="6">
        <f t="shared" si="355"/>
        <v>57.272221718117265</v>
      </c>
      <c r="P1095" s="6">
        <f t="shared" si="356"/>
        <v>39.696658064074313</v>
      </c>
      <c r="Q1095" s="6">
        <f t="shared" si="357"/>
        <v>0</v>
      </c>
      <c r="R1095" s="6">
        <f t="shared" si="358"/>
        <v>0</v>
      </c>
      <c r="S1095" s="6">
        <f t="shared" si="359"/>
        <v>39.696658064074313</v>
      </c>
      <c r="T1095" s="6" t="str">
        <f>IF(MOD(C1095-Settings!$B$32,Settings!$B$33)&lt;Settings!$B$30,"Up","Down")</f>
        <v>Up</v>
      </c>
      <c r="U1095" s="6">
        <f>IF(OR(I1095&gt;Settings!$B$30,O1095&gt;Settings!$B$37),0,1)</f>
        <v>1</v>
      </c>
      <c r="V1095" s="6">
        <f>IF(AND(U1095=1,O1095&lt;=Settings!$B$36),1,0)</f>
        <v>1</v>
      </c>
    </row>
    <row r="1096" spans="1:22" x14ac:dyDescent="0.2">
      <c r="A1096">
        <f>Arrivals!A1096</f>
        <v>10</v>
      </c>
      <c r="B1096">
        <f>Arrivals!B1096</f>
        <v>11</v>
      </c>
      <c r="C1096" s="6">
        <f>Arrivals!F1096</f>
        <v>182</v>
      </c>
      <c r="D1096" s="6">
        <f>Arrivals!J1096</f>
        <v>17.269952203593682</v>
      </c>
      <c r="E1096" s="6">
        <f t="shared" si="360"/>
        <v>228.25222171811726</v>
      </c>
      <c r="F1096" s="6">
        <f t="shared" si="351"/>
        <v>228.25222171811726</v>
      </c>
      <c r="G1096" s="6">
        <f t="shared" si="352"/>
        <v>245.52217392171093</v>
      </c>
      <c r="H1096" s="6">
        <f>Arrivals!L1096</f>
        <v>75</v>
      </c>
      <c r="I1096" s="6">
        <f>H1096*8/ACE_Input!S16+ACE_Input!T16</f>
        <v>6.02</v>
      </c>
      <c r="J1096" s="6">
        <f t="shared" si="361"/>
        <v>234.27222171811727</v>
      </c>
      <c r="K1096" s="6">
        <f t="shared" si="353"/>
        <v>245.52217392171093</v>
      </c>
      <c r="L1096" s="6">
        <f>MOD(K1096-Settings!$B$32,Settings!$B$33)</f>
        <v>245.52217392171093</v>
      </c>
      <c r="M1096" s="6">
        <f>IF(L1096&lt;Settings!$B$30,IF(Settings!$B$30-L1096&gt;=I1096,K1096,K1096+(Settings!$B$30-L1096)+Settings!$B$31),K1096+(Settings!$B$33-L1096))</f>
        <v>245.52217392171093</v>
      </c>
      <c r="N1096" s="6">
        <f t="shared" si="354"/>
        <v>251.54217392171094</v>
      </c>
      <c r="O1096" s="6">
        <f t="shared" si="355"/>
        <v>69.54217392171094</v>
      </c>
      <c r="P1096" s="6">
        <f t="shared" si="356"/>
        <v>46.252221718117255</v>
      </c>
      <c r="Q1096" s="6">
        <f t="shared" si="357"/>
        <v>0</v>
      </c>
      <c r="R1096" s="6">
        <f t="shared" si="358"/>
        <v>0</v>
      </c>
      <c r="S1096" s="6">
        <f t="shared" si="359"/>
        <v>46.252221718117255</v>
      </c>
      <c r="T1096" s="6" t="str">
        <f>IF(MOD(C1096-Settings!$B$32,Settings!$B$33)&lt;Settings!$B$30,"Up","Down")</f>
        <v>Up</v>
      </c>
      <c r="U1096" s="6">
        <f>IF(OR(I1096&gt;Settings!$B$30,O1096&gt;Settings!$B$37),0,1)</f>
        <v>1</v>
      </c>
      <c r="V1096" s="6">
        <f>IF(AND(U1096=1,O1096&lt;=Settings!$B$36),1,0)</f>
        <v>1</v>
      </c>
    </row>
    <row r="1097" spans="1:22" x14ac:dyDescent="0.2">
      <c r="A1097">
        <f>Arrivals!A1097</f>
        <v>10</v>
      </c>
      <c r="B1097">
        <f>Arrivals!B1097</f>
        <v>12</v>
      </c>
      <c r="C1097" s="6">
        <f>Arrivals!F1097</f>
        <v>187</v>
      </c>
      <c r="D1097" s="6">
        <f>Arrivals!J1097</f>
        <v>11.596245308210529</v>
      </c>
      <c r="E1097" s="6">
        <f t="shared" si="360"/>
        <v>245.52217392171093</v>
      </c>
      <c r="F1097" s="6">
        <f t="shared" si="351"/>
        <v>245.52217392171093</v>
      </c>
      <c r="G1097" s="6">
        <f t="shared" si="352"/>
        <v>257.11841922992147</v>
      </c>
      <c r="H1097" s="6">
        <f>Arrivals!L1097</f>
        <v>75</v>
      </c>
      <c r="I1097" s="6">
        <f>H1097*8/ACE_Input!S17+ACE_Input!T17</f>
        <v>6.02</v>
      </c>
      <c r="J1097" s="6">
        <f t="shared" si="361"/>
        <v>251.54217392171094</v>
      </c>
      <c r="K1097" s="6">
        <f t="shared" si="353"/>
        <v>257.11841922992147</v>
      </c>
      <c r="L1097" s="6">
        <f>MOD(K1097-Settings!$B$32,Settings!$B$33)</f>
        <v>257.11841922992147</v>
      </c>
      <c r="M1097" s="6">
        <f>IF(L1097&lt;Settings!$B$30,IF(Settings!$B$30-L1097&gt;=I1097,K1097,K1097+(Settings!$B$30-L1097)+Settings!$B$31),K1097+(Settings!$B$33-L1097))</f>
        <v>257.11841922992147</v>
      </c>
      <c r="N1097" s="6">
        <f t="shared" si="354"/>
        <v>263.13841922992145</v>
      </c>
      <c r="O1097" s="6">
        <f t="shared" si="355"/>
        <v>76.138419229921453</v>
      </c>
      <c r="P1097" s="6">
        <f t="shared" si="356"/>
        <v>58.52217392171093</v>
      </c>
      <c r="Q1097" s="6">
        <f t="shared" si="357"/>
        <v>0</v>
      </c>
      <c r="R1097" s="6">
        <f t="shared" si="358"/>
        <v>0</v>
      </c>
      <c r="S1097" s="6">
        <f t="shared" si="359"/>
        <v>58.52217392171093</v>
      </c>
      <c r="T1097" s="6" t="str">
        <f>IF(MOD(C1097-Settings!$B$32,Settings!$B$33)&lt;Settings!$B$30,"Up","Down")</f>
        <v>Up</v>
      </c>
      <c r="U1097" s="6">
        <f>IF(OR(I1097&gt;Settings!$B$30,O1097&gt;Settings!$B$37),0,1)</f>
        <v>1</v>
      </c>
      <c r="V1097" s="6">
        <f>IF(AND(U1097=1,O1097&lt;=Settings!$B$36),1,0)</f>
        <v>1</v>
      </c>
    </row>
    <row r="1098" spans="1:22" x14ac:dyDescent="0.2">
      <c r="A1098">
        <f>Arrivals!A1098</f>
        <v>10</v>
      </c>
      <c r="B1098">
        <f>Arrivals!B1098</f>
        <v>13</v>
      </c>
      <c r="C1098" s="6">
        <f>Arrivals!F1098</f>
        <v>192</v>
      </c>
      <c r="D1098" s="6">
        <f>Arrivals!J1098</f>
        <v>7.8004248736597814</v>
      </c>
      <c r="E1098" s="6">
        <f t="shared" si="360"/>
        <v>257.11841922992147</v>
      </c>
      <c r="F1098" s="6">
        <f t="shared" si="351"/>
        <v>257.11841922992147</v>
      </c>
      <c r="G1098" s="6">
        <f t="shared" si="352"/>
        <v>264.91884410358125</v>
      </c>
      <c r="H1098" s="6">
        <f>Arrivals!L1098</f>
        <v>75</v>
      </c>
      <c r="I1098" s="6">
        <f>H1098*8/ACE_Input!S18+ACE_Input!T18</f>
        <v>6.02</v>
      </c>
      <c r="J1098" s="6">
        <f t="shared" si="361"/>
        <v>263.13841922992145</v>
      </c>
      <c r="K1098" s="6">
        <f t="shared" si="353"/>
        <v>264.91884410358125</v>
      </c>
      <c r="L1098" s="6">
        <f>MOD(K1098-Settings!$B$32,Settings!$B$33)</f>
        <v>264.91884410358125</v>
      </c>
      <c r="M1098" s="6">
        <f>IF(L1098&lt;Settings!$B$30,IF(Settings!$B$30-L1098&gt;=I1098,K1098,K1098+(Settings!$B$30-L1098)+Settings!$B$31),K1098+(Settings!$B$33-L1098))</f>
        <v>264.91884410358125</v>
      </c>
      <c r="N1098" s="6">
        <f t="shared" si="354"/>
        <v>270.93884410358123</v>
      </c>
      <c r="O1098" s="6">
        <f t="shared" si="355"/>
        <v>78.938844103581232</v>
      </c>
      <c r="P1098" s="6">
        <f t="shared" si="356"/>
        <v>65.118419229921471</v>
      </c>
      <c r="Q1098" s="6">
        <f t="shared" si="357"/>
        <v>0</v>
      </c>
      <c r="R1098" s="6">
        <f t="shared" si="358"/>
        <v>0</v>
      </c>
      <c r="S1098" s="6">
        <f t="shared" si="359"/>
        <v>65.118419229921471</v>
      </c>
      <c r="T1098" s="6" t="str">
        <f>IF(MOD(C1098-Settings!$B$32,Settings!$B$33)&lt;Settings!$B$30,"Up","Down")</f>
        <v>Up</v>
      </c>
      <c r="U1098" s="6">
        <f>IF(OR(I1098&gt;Settings!$B$30,O1098&gt;Settings!$B$37),0,1)</f>
        <v>1</v>
      </c>
      <c r="V1098" s="6">
        <f>IF(AND(U1098=1,O1098&lt;=Settings!$B$36),1,0)</f>
        <v>1</v>
      </c>
    </row>
    <row r="1099" spans="1:22" x14ac:dyDescent="0.2">
      <c r="A1099">
        <f>Arrivals!A1099</f>
        <v>10</v>
      </c>
      <c r="B1099">
        <f>Arrivals!B1099</f>
        <v>14</v>
      </c>
      <c r="C1099" s="6">
        <f>Arrivals!F1099</f>
        <v>197</v>
      </c>
      <c r="D1099" s="6">
        <f>Arrivals!J1099</f>
        <v>4.063978886166363</v>
      </c>
      <c r="E1099" s="6">
        <f t="shared" si="360"/>
        <v>264.91884410358125</v>
      </c>
      <c r="F1099" s="6">
        <f t="shared" si="351"/>
        <v>264.91884410358125</v>
      </c>
      <c r="G1099" s="6">
        <f t="shared" si="352"/>
        <v>268.9828229897476</v>
      </c>
      <c r="H1099" s="6">
        <f>Arrivals!L1099</f>
        <v>75</v>
      </c>
      <c r="I1099" s="6">
        <f>H1099*8/ACE_Input!S19+ACE_Input!T19</f>
        <v>6.02</v>
      </c>
      <c r="J1099" s="6">
        <f t="shared" si="361"/>
        <v>270.93884410358123</v>
      </c>
      <c r="K1099" s="6">
        <f t="shared" si="353"/>
        <v>270.93884410358123</v>
      </c>
      <c r="L1099" s="6">
        <f>MOD(K1099-Settings!$B$32,Settings!$B$33)</f>
        <v>270.93884410358123</v>
      </c>
      <c r="M1099" s="6">
        <f>IF(L1099&lt;Settings!$B$30,IF(Settings!$B$30-L1099&gt;=I1099,K1099,K1099+(Settings!$B$30-L1099)+Settings!$B$31),K1099+(Settings!$B$33-L1099))</f>
        <v>270.93884410358123</v>
      </c>
      <c r="N1099" s="6">
        <f t="shared" si="354"/>
        <v>276.95884410358121</v>
      </c>
      <c r="O1099" s="6">
        <f t="shared" si="355"/>
        <v>79.958844103581214</v>
      </c>
      <c r="P1099" s="6">
        <f t="shared" si="356"/>
        <v>67.91884410358125</v>
      </c>
      <c r="Q1099" s="6">
        <f t="shared" si="357"/>
        <v>1.9560211138336285</v>
      </c>
      <c r="R1099" s="6">
        <f t="shared" si="358"/>
        <v>0</v>
      </c>
      <c r="S1099" s="6">
        <f t="shared" si="359"/>
        <v>69.874865217414879</v>
      </c>
      <c r="T1099" s="6" t="str">
        <f>IF(MOD(C1099-Settings!$B$32,Settings!$B$33)&lt;Settings!$B$30,"Up","Down")</f>
        <v>Up</v>
      </c>
      <c r="U1099" s="6">
        <f>IF(OR(I1099&gt;Settings!$B$30,O1099&gt;Settings!$B$37),0,1)</f>
        <v>1</v>
      </c>
      <c r="V1099" s="6">
        <f>IF(AND(U1099=1,O1099&lt;=Settings!$B$36),1,0)</f>
        <v>1</v>
      </c>
    </row>
    <row r="1100" spans="1:22" x14ac:dyDescent="0.2">
      <c r="A1100">
        <f>Arrivals!A1100</f>
        <v>10</v>
      </c>
      <c r="B1100">
        <f>Arrivals!B1100</f>
        <v>15</v>
      </c>
      <c r="C1100" s="6">
        <f>Arrivals!F1100</f>
        <v>202</v>
      </c>
      <c r="D1100" s="6">
        <f>Arrivals!J1100</f>
        <v>4.1806094857898444</v>
      </c>
      <c r="E1100" s="6">
        <f t="shared" si="360"/>
        <v>268.9828229897476</v>
      </c>
      <c r="F1100" s="6">
        <f t="shared" si="351"/>
        <v>268.9828229897476</v>
      </c>
      <c r="G1100" s="6">
        <f t="shared" si="352"/>
        <v>273.16343247553743</v>
      </c>
      <c r="H1100" s="6">
        <f>Arrivals!L1100</f>
        <v>75</v>
      </c>
      <c r="I1100" s="6">
        <f>H1100*8/ACE_Input!S20+ACE_Input!T20</f>
        <v>6.02</v>
      </c>
      <c r="J1100" s="6">
        <f t="shared" si="361"/>
        <v>276.95884410358121</v>
      </c>
      <c r="K1100" s="6">
        <f t="shared" si="353"/>
        <v>276.95884410358121</v>
      </c>
      <c r="L1100" s="6">
        <f>MOD(K1100-Settings!$B$32,Settings!$B$33)</f>
        <v>276.95884410358121</v>
      </c>
      <c r="M1100" s="6">
        <f>IF(L1100&lt;Settings!$B$30,IF(Settings!$B$30-L1100&gt;=I1100,K1100,K1100+(Settings!$B$30-L1100)+Settings!$B$31),K1100+(Settings!$B$33-L1100))</f>
        <v>276.95884410358121</v>
      </c>
      <c r="N1100" s="6">
        <f t="shared" si="354"/>
        <v>282.9788441035812</v>
      </c>
      <c r="O1100" s="6">
        <f t="shared" si="355"/>
        <v>80.978844103581196</v>
      </c>
      <c r="P1100" s="6">
        <f t="shared" si="356"/>
        <v>66.982822989747604</v>
      </c>
      <c r="Q1100" s="6">
        <f t="shared" si="357"/>
        <v>3.7954116280437802</v>
      </c>
      <c r="R1100" s="6">
        <f t="shared" si="358"/>
        <v>0</v>
      </c>
      <c r="S1100" s="6">
        <f t="shared" si="359"/>
        <v>70.778234617791384</v>
      </c>
      <c r="T1100" s="6" t="str">
        <f>IF(MOD(C1100-Settings!$B$32,Settings!$B$33)&lt;Settings!$B$30,"Up","Down")</f>
        <v>Up</v>
      </c>
      <c r="U1100" s="6">
        <f>IF(OR(I1100&gt;Settings!$B$30,O1100&gt;Settings!$B$37),0,1)</f>
        <v>1</v>
      </c>
      <c r="V1100" s="6">
        <f>IF(AND(U1100=1,O1100&lt;=Settings!$B$36),1,0)</f>
        <v>1</v>
      </c>
    </row>
    <row r="1101" spans="1:22" x14ac:dyDescent="0.2">
      <c r="A1101">
        <f>Arrivals!A1101</f>
        <v>10</v>
      </c>
      <c r="B1101">
        <f>Arrivals!B1101</f>
        <v>16</v>
      </c>
      <c r="C1101" s="6">
        <f>Arrivals!F1101</f>
        <v>207</v>
      </c>
      <c r="D1101" s="6">
        <f>Arrivals!J1101</f>
        <v>2.004909044715542</v>
      </c>
      <c r="E1101" s="6">
        <f t="shared" si="360"/>
        <v>273.16343247553743</v>
      </c>
      <c r="F1101" s="6">
        <f t="shared" si="351"/>
        <v>273.16343247553743</v>
      </c>
      <c r="G1101" s="6">
        <f t="shared" si="352"/>
        <v>275.16834152025297</v>
      </c>
      <c r="H1101" s="6">
        <f>Arrivals!L1101</f>
        <v>75</v>
      </c>
      <c r="I1101" s="6">
        <f>H1101*8/ACE_Input!S21+ACE_Input!T21</f>
        <v>6.02</v>
      </c>
      <c r="J1101" s="6">
        <f t="shared" si="361"/>
        <v>282.9788441035812</v>
      </c>
      <c r="K1101" s="6">
        <f t="shared" si="353"/>
        <v>282.9788441035812</v>
      </c>
      <c r="L1101" s="6">
        <f>MOD(K1101-Settings!$B$32,Settings!$B$33)</f>
        <v>282.9788441035812</v>
      </c>
      <c r="M1101" s="6">
        <f>IF(L1101&lt;Settings!$B$30,IF(Settings!$B$30-L1101&gt;=I1101,K1101,K1101+(Settings!$B$30-L1101)+Settings!$B$31),K1101+(Settings!$B$33-L1101))</f>
        <v>282.9788441035812</v>
      </c>
      <c r="N1101" s="6">
        <f t="shared" si="354"/>
        <v>288.99884410358118</v>
      </c>
      <c r="O1101" s="6">
        <f t="shared" si="355"/>
        <v>81.998844103581177</v>
      </c>
      <c r="P1101" s="6">
        <f t="shared" si="356"/>
        <v>66.163432475537434</v>
      </c>
      <c r="Q1101" s="6">
        <f t="shared" si="357"/>
        <v>7.8105025833282298</v>
      </c>
      <c r="R1101" s="6">
        <f t="shared" si="358"/>
        <v>0</v>
      </c>
      <c r="S1101" s="6">
        <f t="shared" si="359"/>
        <v>73.973935058865663</v>
      </c>
      <c r="T1101" s="6" t="str">
        <f>IF(MOD(C1101-Settings!$B$32,Settings!$B$33)&lt;Settings!$B$30,"Up","Down")</f>
        <v>Up</v>
      </c>
      <c r="U1101" s="6">
        <f>IF(OR(I1101&gt;Settings!$B$30,O1101&gt;Settings!$B$37),0,1)</f>
        <v>1</v>
      </c>
      <c r="V1101" s="6">
        <f>IF(AND(U1101=1,O1101&lt;=Settings!$B$36),1,0)</f>
        <v>1</v>
      </c>
    </row>
    <row r="1102" spans="1:22" x14ac:dyDescent="0.2">
      <c r="A1102">
        <f>Arrivals!A1102</f>
        <v>10</v>
      </c>
      <c r="B1102">
        <f>Arrivals!B1102</f>
        <v>17</v>
      </c>
      <c r="C1102" s="6">
        <f>Arrivals!F1102</f>
        <v>212</v>
      </c>
      <c r="D1102" s="6">
        <f>Arrivals!J1102</f>
        <v>5.6025200243577768E-3</v>
      </c>
      <c r="E1102" s="6">
        <f t="shared" si="360"/>
        <v>275.16834152025297</v>
      </c>
      <c r="F1102" s="6">
        <f t="shared" si="351"/>
        <v>275.16834152025297</v>
      </c>
      <c r="G1102" s="6">
        <f t="shared" si="352"/>
        <v>275.17394404027732</v>
      </c>
      <c r="H1102" s="6">
        <f>Arrivals!L1102</f>
        <v>75</v>
      </c>
      <c r="I1102" s="6">
        <f>H1102*8/ACE_Input!S22+ACE_Input!T22</f>
        <v>6.02</v>
      </c>
      <c r="J1102" s="6">
        <f t="shared" si="361"/>
        <v>288.99884410358118</v>
      </c>
      <c r="K1102" s="6">
        <f t="shared" si="353"/>
        <v>288.99884410358118</v>
      </c>
      <c r="L1102" s="6">
        <f>MOD(K1102-Settings!$B$32,Settings!$B$33)</f>
        <v>288.99884410358118</v>
      </c>
      <c r="M1102" s="6">
        <f>IF(L1102&lt;Settings!$B$30,IF(Settings!$B$30-L1102&gt;=I1102,K1102,K1102+(Settings!$B$30-L1102)+Settings!$B$31),K1102+(Settings!$B$33-L1102))</f>
        <v>288.99884410358118</v>
      </c>
      <c r="N1102" s="6">
        <f t="shared" si="354"/>
        <v>295.01884410358116</v>
      </c>
      <c r="O1102" s="6">
        <f t="shared" si="355"/>
        <v>83.018844103581159</v>
      </c>
      <c r="P1102" s="6">
        <f t="shared" si="356"/>
        <v>63.168341520252966</v>
      </c>
      <c r="Q1102" s="6">
        <f t="shared" si="357"/>
        <v>13.824900063303858</v>
      </c>
      <c r="R1102" s="6">
        <f t="shared" si="358"/>
        <v>0</v>
      </c>
      <c r="S1102" s="6">
        <f t="shared" si="359"/>
        <v>76.993241583556824</v>
      </c>
      <c r="T1102" s="6" t="str">
        <f>IF(MOD(C1102-Settings!$B$32,Settings!$B$33)&lt;Settings!$B$30,"Up","Down")</f>
        <v>Up</v>
      </c>
      <c r="U1102" s="6">
        <f>IF(OR(I1102&gt;Settings!$B$30,O1102&gt;Settings!$B$37),0,1)</f>
        <v>1</v>
      </c>
      <c r="V1102" s="6">
        <f>IF(AND(U1102=1,O1102&lt;=Settings!$B$36),1,0)</f>
        <v>1</v>
      </c>
    </row>
    <row r="1103" spans="1:22" x14ac:dyDescent="0.2">
      <c r="A1103">
        <f>Arrivals!A1103</f>
        <v>10</v>
      </c>
      <c r="B1103">
        <f>Arrivals!B1103</f>
        <v>18</v>
      </c>
      <c r="C1103" s="6">
        <f>Arrivals!F1103</f>
        <v>217</v>
      </c>
      <c r="D1103" s="6">
        <f>Arrivals!J1103</f>
        <v>22.369230342338973</v>
      </c>
      <c r="E1103" s="6">
        <f t="shared" si="360"/>
        <v>275.17394404027732</v>
      </c>
      <c r="F1103" s="6">
        <f t="shared" si="351"/>
        <v>275.17394404027732</v>
      </c>
      <c r="G1103" s="6">
        <f t="shared" si="352"/>
        <v>297.54317438261631</v>
      </c>
      <c r="H1103" s="6">
        <f>Arrivals!L1103</f>
        <v>75</v>
      </c>
      <c r="I1103" s="6">
        <f>H1103*8/ACE_Input!S23+ACE_Input!T23</f>
        <v>6.02</v>
      </c>
      <c r="J1103" s="6">
        <f t="shared" si="361"/>
        <v>295.01884410358116</v>
      </c>
      <c r="K1103" s="6">
        <f t="shared" si="353"/>
        <v>297.54317438261631</v>
      </c>
      <c r="L1103" s="6">
        <f>MOD(K1103-Settings!$B$32,Settings!$B$33)</f>
        <v>297.54317438261631</v>
      </c>
      <c r="M1103" s="6">
        <f>IF(L1103&lt;Settings!$B$30,IF(Settings!$B$30-L1103&gt;=I1103,K1103,K1103+(Settings!$B$30-L1103)+Settings!$B$31),K1103+(Settings!$B$33-L1103))</f>
        <v>297.54317438261631</v>
      </c>
      <c r="N1103" s="6">
        <f t="shared" si="354"/>
        <v>303.5631743826163</v>
      </c>
      <c r="O1103" s="6">
        <f t="shared" si="355"/>
        <v>86.563174382616296</v>
      </c>
      <c r="P1103" s="6">
        <f t="shared" si="356"/>
        <v>58.17394404027732</v>
      </c>
      <c r="Q1103" s="6">
        <f t="shared" si="357"/>
        <v>0</v>
      </c>
      <c r="R1103" s="6">
        <f t="shared" si="358"/>
        <v>0</v>
      </c>
      <c r="S1103" s="6">
        <f t="shared" si="359"/>
        <v>58.17394404027732</v>
      </c>
      <c r="T1103" s="6" t="str">
        <f>IF(MOD(C1103-Settings!$B$32,Settings!$B$33)&lt;Settings!$B$30,"Up","Down")</f>
        <v>Up</v>
      </c>
      <c r="U1103" s="6">
        <f>IF(OR(I1103&gt;Settings!$B$30,O1103&gt;Settings!$B$37),0,1)</f>
        <v>1</v>
      </c>
      <c r="V1103" s="6">
        <f>IF(AND(U1103=1,O1103&lt;=Settings!$B$36),1,0)</f>
        <v>1</v>
      </c>
    </row>
    <row r="1104" spans="1:22" x14ac:dyDescent="0.2">
      <c r="A1104">
        <f>Arrivals!A1104</f>
        <v>10</v>
      </c>
      <c r="B1104">
        <f>Arrivals!B1104</f>
        <v>19</v>
      </c>
      <c r="C1104" s="6">
        <f>Arrivals!F1104</f>
        <v>222</v>
      </c>
      <c r="D1104" s="6">
        <f>Arrivals!J1104</f>
        <v>4.6620179854181671</v>
      </c>
      <c r="E1104" s="6">
        <f t="shared" si="360"/>
        <v>297.54317438261631</v>
      </c>
      <c r="F1104" s="6">
        <f t="shared" si="351"/>
        <v>297.54317438261631</v>
      </c>
      <c r="G1104" s="6">
        <f t="shared" si="352"/>
        <v>302.20519236803449</v>
      </c>
      <c r="H1104" s="6">
        <f>Arrivals!L1104</f>
        <v>75</v>
      </c>
      <c r="I1104" s="6">
        <f>H1104*8/ACE_Input!S24+ACE_Input!T24</f>
        <v>6.02</v>
      </c>
      <c r="J1104" s="6">
        <f t="shared" si="361"/>
        <v>303.5631743826163</v>
      </c>
      <c r="K1104" s="6">
        <f t="shared" si="353"/>
        <v>303.5631743826163</v>
      </c>
      <c r="L1104" s="6">
        <f>MOD(K1104-Settings!$B$32,Settings!$B$33)</f>
        <v>303.5631743826163</v>
      </c>
      <c r="M1104" s="6">
        <f>IF(L1104&lt;Settings!$B$30,IF(Settings!$B$30-L1104&gt;=I1104,K1104,K1104+(Settings!$B$30-L1104)+Settings!$B$31),K1104+(Settings!$B$33-L1104))</f>
        <v>303.5631743826163</v>
      </c>
      <c r="N1104" s="6">
        <f t="shared" si="354"/>
        <v>309.58317438261628</v>
      </c>
      <c r="O1104" s="6">
        <f t="shared" si="355"/>
        <v>87.583174382616278</v>
      </c>
      <c r="P1104" s="6">
        <f t="shared" si="356"/>
        <v>75.543174382616314</v>
      </c>
      <c r="Q1104" s="6">
        <f t="shared" si="357"/>
        <v>1.3579820145818076</v>
      </c>
      <c r="R1104" s="6">
        <f t="shared" si="358"/>
        <v>0</v>
      </c>
      <c r="S1104" s="6">
        <f t="shared" si="359"/>
        <v>76.901156397198122</v>
      </c>
      <c r="T1104" s="6" t="str">
        <f>IF(MOD(C1104-Settings!$B$32,Settings!$B$33)&lt;Settings!$B$30,"Up","Down")</f>
        <v>Up</v>
      </c>
      <c r="U1104" s="6">
        <f>IF(OR(I1104&gt;Settings!$B$30,O1104&gt;Settings!$B$37),0,1)</f>
        <v>1</v>
      </c>
      <c r="V1104" s="6">
        <f>IF(AND(U1104=1,O1104&lt;=Settings!$B$36),1,0)</f>
        <v>1</v>
      </c>
    </row>
    <row r="1105" spans="1:22" x14ac:dyDescent="0.2">
      <c r="A1105">
        <f>Arrivals!A1105</f>
        <v>10</v>
      </c>
      <c r="B1105">
        <f>Arrivals!B1105</f>
        <v>20</v>
      </c>
      <c r="C1105" s="6">
        <f>Arrivals!F1105</f>
        <v>227</v>
      </c>
      <c r="D1105" s="6">
        <f>Arrivals!J1105</f>
        <v>12.27450958473727</v>
      </c>
      <c r="E1105" s="6">
        <f t="shared" si="360"/>
        <v>302.20519236803449</v>
      </c>
      <c r="F1105" s="6">
        <f t="shared" si="351"/>
        <v>302.20519236803449</v>
      </c>
      <c r="G1105" s="6">
        <f t="shared" si="352"/>
        <v>314.47970195277173</v>
      </c>
      <c r="H1105" s="6">
        <f>Arrivals!L1105</f>
        <v>75</v>
      </c>
      <c r="I1105" s="6">
        <f>H1105*8/ACE_Input!S25+ACE_Input!T25</f>
        <v>6.02</v>
      </c>
      <c r="J1105" s="6">
        <f t="shared" si="361"/>
        <v>309.58317438261628</v>
      </c>
      <c r="K1105" s="6">
        <f t="shared" si="353"/>
        <v>314.47970195277173</v>
      </c>
      <c r="L1105" s="6">
        <f>MOD(K1105-Settings!$B$32,Settings!$B$33)</f>
        <v>314.47970195277173</v>
      </c>
      <c r="M1105" s="6">
        <f>IF(L1105&lt;Settings!$B$30,IF(Settings!$B$30-L1105&gt;=I1105,K1105,K1105+(Settings!$B$30-L1105)+Settings!$B$31),K1105+(Settings!$B$33-L1105))</f>
        <v>314.47970195277173</v>
      </c>
      <c r="N1105" s="6">
        <f t="shared" si="354"/>
        <v>320.49970195277172</v>
      </c>
      <c r="O1105" s="6">
        <f t="shared" si="355"/>
        <v>93.499701952771716</v>
      </c>
      <c r="P1105" s="6">
        <f t="shared" si="356"/>
        <v>75.205192368034488</v>
      </c>
      <c r="Q1105" s="6">
        <f t="shared" si="357"/>
        <v>0</v>
      </c>
      <c r="R1105" s="6">
        <f t="shared" si="358"/>
        <v>0</v>
      </c>
      <c r="S1105" s="6">
        <f t="shared" si="359"/>
        <v>75.205192368034488</v>
      </c>
      <c r="T1105" s="6" t="str">
        <f>IF(MOD(C1105-Settings!$B$32,Settings!$B$33)&lt;Settings!$B$30,"Up","Down")</f>
        <v>Up</v>
      </c>
      <c r="U1105" s="6">
        <f>IF(OR(I1105&gt;Settings!$B$30,O1105&gt;Settings!$B$37),0,1)</f>
        <v>1</v>
      </c>
      <c r="V1105" s="6">
        <f>IF(AND(U1105=1,O1105&lt;=Settings!$B$36),1,0)</f>
        <v>1</v>
      </c>
    </row>
    <row r="1106" spans="1:22" x14ac:dyDescent="0.2">
      <c r="A1106">
        <f>Arrivals!A1106</f>
        <v>10</v>
      </c>
      <c r="B1106">
        <f>Arrivals!B1106</f>
        <v>21</v>
      </c>
      <c r="C1106" s="6">
        <f>Arrivals!F1106</f>
        <v>232</v>
      </c>
      <c r="D1106" s="6">
        <f>Arrivals!J1106</f>
        <v>25.91604873875054</v>
      </c>
      <c r="E1106" s="6">
        <f t="shared" si="360"/>
        <v>314.47970195277173</v>
      </c>
      <c r="F1106" s="6">
        <f t="shared" si="351"/>
        <v>314.47970195277173</v>
      </c>
      <c r="G1106" s="6">
        <f t="shared" si="352"/>
        <v>340.39575069152227</v>
      </c>
      <c r="H1106" s="6">
        <f>Arrivals!L1106</f>
        <v>75</v>
      </c>
      <c r="I1106" s="6">
        <f>H1106*8/ACE_Input!S26+ACE_Input!T26</f>
        <v>6.02</v>
      </c>
      <c r="J1106" s="6">
        <f t="shared" si="361"/>
        <v>320.49970195277172</v>
      </c>
      <c r="K1106" s="6">
        <f t="shared" si="353"/>
        <v>340.39575069152227</v>
      </c>
      <c r="L1106" s="6">
        <f>MOD(K1106-Settings!$B$32,Settings!$B$33)</f>
        <v>340.39575069152227</v>
      </c>
      <c r="M1106" s="6">
        <f>IF(L1106&lt;Settings!$B$30,IF(Settings!$B$30-L1106&gt;=I1106,K1106,K1106+(Settings!$B$30-L1106)+Settings!$B$31),K1106+(Settings!$B$33-L1106))</f>
        <v>340.39575069152227</v>
      </c>
      <c r="N1106" s="6">
        <f t="shared" si="354"/>
        <v>346.41575069152225</v>
      </c>
      <c r="O1106" s="6">
        <f t="shared" si="355"/>
        <v>114.41575069152225</v>
      </c>
      <c r="P1106" s="6">
        <f t="shared" si="356"/>
        <v>82.479701952771734</v>
      </c>
      <c r="Q1106" s="6">
        <f t="shared" si="357"/>
        <v>0</v>
      </c>
      <c r="R1106" s="6">
        <f t="shared" si="358"/>
        <v>0</v>
      </c>
      <c r="S1106" s="6">
        <f t="shared" si="359"/>
        <v>82.479701952771734</v>
      </c>
      <c r="T1106" s="6" t="str">
        <f>IF(MOD(C1106-Settings!$B$32,Settings!$B$33)&lt;Settings!$B$30,"Up","Down")</f>
        <v>Up</v>
      </c>
      <c r="U1106" s="6">
        <f>IF(OR(I1106&gt;Settings!$B$30,O1106&gt;Settings!$B$37),0,1)</f>
        <v>1</v>
      </c>
      <c r="V1106" s="6">
        <f>IF(AND(U1106=1,O1106&lt;=Settings!$B$36),1,0)</f>
        <v>1</v>
      </c>
    </row>
    <row r="1107" spans="1:22" x14ac:dyDescent="0.2">
      <c r="A1107">
        <f>Arrivals!A1107</f>
        <v>10</v>
      </c>
      <c r="B1107">
        <f>Arrivals!B1107</f>
        <v>22</v>
      </c>
      <c r="C1107" s="6">
        <f>Arrivals!F1107</f>
        <v>237</v>
      </c>
      <c r="D1107" s="6">
        <f>Arrivals!J1107</f>
        <v>1.1629986710877285</v>
      </c>
      <c r="E1107" s="6">
        <f t="shared" si="360"/>
        <v>340.39575069152227</v>
      </c>
      <c r="F1107" s="6">
        <f t="shared" si="351"/>
        <v>340.39575069152227</v>
      </c>
      <c r="G1107" s="6">
        <f t="shared" si="352"/>
        <v>341.55874936261</v>
      </c>
      <c r="H1107" s="6">
        <f>Arrivals!L1107</f>
        <v>75</v>
      </c>
      <c r="I1107" s="6">
        <f>H1107*8/ACE_Input!S27+ACE_Input!T27</f>
        <v>6.02</v>
      </c>
      <c r="J1107" s="6">
        <f t="shared" si="361"/>
        <v>346.41575069152225</v>
      </c>
      <c r="K1107" s="6">
        <f t="shared" si="353"/>
        <v>346.41575069152225</v>
      </c>
      <c r="L1107" s="6">
        <f>MOD(K1107-Settings!$B$32,Settings!$B$33)</f>
        <v>346.41575069152225</v>
      </c>
      <c r="M1107" s="6">
        <f>IF(L1107&lt;Settings!$B$30,IF(Settings!$B$30-L1107&gt;=I1107,K1107,K1107+(Settings!$B$30-L1107)+Settings!$B$31),K1107+(Settings!$B$33-L1107))</f>
        <v>346.41575069152225</v>
      </c>
      <c r="N1107" s="6">
        <f t="shared" si="354"/>
        <v>352.43575069152223</v>
      </c>
      <c r="O1107" s="6">
        <f t="shared" si="355"/>
        <v>115.43575069152223</v>
      </c>
      <c r="P1107" s="6">
        <f t="shared" si="356"/>
        <v>103.39575069152227</v>
      </c>
      <c r="Q1107" s="6">
        <f t="shared" si="357"/>
        <v>4.8570013289122471</v>
      </c>
      <c r="R1107" s="6">
        <f t="shared" si="358"/>
        <v>0</v>
      </c>
      <c r="S1107" s="6">
        <f t="shared" si="359"/>
        <v>108.25275202043451</v>
      </c>
      <c r="T1107" s="6" t="str">
        <f>IF(MOD(C1107-Settings!$B$32,Settings!$B$33)&lt;Settings!$B$30,"Up","Down")</f>
        <v>Up</v>
      </c>
      <c r="U1107" s="6">
        <f>IF(OR(I1107&gt;Settings!$B$30,O1107&gt;Settings!$B$37),0,1)</f>
        <v>1</v>
      </c>
      <c r="V1107" s="6">
        <f>IF(AND(U1107=1,O1107&lt;=Settings!$B$36),1,0)</f>
        <v>1</v>
      </c>
    </row>
    <row r="1108" spans="1:22" x14ac:dyDescent="0.2">
      <c r="A1108">
        <f>Arrivals!A1108</f>
        <v>10</v>
      </c>
      <c r="B1108">
        <f>Arrivals!B1108</f>
        <v>23</v>
      </c>
      <c r="C1108" s="6">
        <f>Arrivals!F1108</f>
        <v>242</v>
      </c>
      <c r="D1108" s="6">
        <f>Arrivals!J1108</f>
        <v>6.8162631728746863</v>
      </c>
      <c r="E1108" s="6">
        <f t="shared" si="360"/>
        <v>341.55874936261</v>
      </c>
      <c r="F1108" s="6">
        <f t="shared" si="351"/>
        <v>341.55874936261</v>
      </c>
      <c r="G1108" s="6">
        <f t="shared" si="352"/>
        <v>348.3750125354847</v>
      </c>
      <c r="H1108" s="6">
        <f>Arrivals!L1108</f>
        <v>75</v>
      </c>
      <c r="I1108" s="6">
        <f>H1108*8/ACE_Input!S28+ACE_Input!T28</f>
        <v>6.02</v>
      </c>
      <c r="J1108" s="6">
        <f t="shared" si="361"/>
        <v>352.43575069152223</v>
      </c>
      <c r="K1108" s="6">
        <f t="shared" si="353"/>
        <v>352.43575069152223</v>
      </c>
      <c r="L1108" s="6">
        <f>MOD(K1108-Settings!$B$32,Settings!$B$33)</f>
        <v>352.43575069152223</v>
      </c>
      <c r="M1108" s="6">
        <f>IF(L1108&lt;Settings!$B$30,IF(Settings!$B$30-L1108&gt;=I1108,K1108,K1108+(Settings!$B$30-L1108)+Settings!$B$31),K1108+(Settings!$B$33-L1108))</f>
        <v>352.43575069152223</v>
      </c>
      <c r="N1108" s="6">
        <f t="shared" si="354"/>
        <v>358.45575069152221</v>
      </c>
      <c r="O1108" s="6">
        <f t="shared" si="355"/>
        <v>116.45575069152221</v>
      </c>
      <c r="P1108" s="6">
        <f t="shared" si="356"/>
        <v>99.558749362610001</v>
      </c>
      <c r="Q1108" s="6">
        <f t="shared" si="357"/>
        <v>4.0607381560375302</v>
      </c>
      <c r="R1108" s="6">
        <f t="shared" si="358"/>
        <v>0</v>
      </c>
      <c r="S1108" s="6">
        <f t="shared" si="359"/>
        <v>103.61948751864753</v>
      </c>
      <c r="T1108" s="6" t="str">
        <f>IF(MOD(C1108-Settings!$B$32,Settings!$B$33)&lt;Settings!$B$30,"Up","Down")</f>
        <v>Up</v>
      </c>
      <c r="U1108" s="6">
        <f>IF(OR(I1108&gt;Settings!$B$30,O1108&gt;Settings!$B$37),0,1)</f>
        <v>1</v>
      </c>
      <c r="V1108" s="6">
        <f>IF(AND(U1108=1,O1108&lt;=Settings!$B$36),1,0)</f>
        <v>1</v>
      </c>
    </row>
    <row r="1109" spans="1:22" x14ac:dyDescent="0.2">
      <c r="A1109">
        <f>Arrivals!A1109</f>
        <v>10</v>
      </c>
      <c r="B1109">
        <f>Arrivals!B1109</f>
        <v>24</v>
      </c>
      <c r="C1109" s="6">
        <f>Arrivals!F1109</f>
        <v>247</v>
      </c>
      <c r="D1109" s="6">
        <f>Arrivals!J1109</f>
        <v>6.0149124781773864</v>
      </c>
      <c r="E1109" s="6">
        <f t="shared" si="360"/>
        <v>348.3750125354847</v>
      </c>
      <c r="F1109" s="6">
        <f t="shared" si="351"/>
        <v>348.3750125354847</v>
      </c>
      <c r="G1109" s="6">
        <f t="shared" si="352"/>
        <v>354.38992501366209</v>
      </c>
      <c r="H1109" s="6">
        <f>Arrivals!L1109</f>
        <v>75</v>
      </c>
      <c r="I1109" s="6">
        <f>H1109*8/ACE_Input!S29+ACE_Input!T29</f>
        <v>6.02</v>
      </c>
      <c r="J1109" s="6">
        <f t="shared" si="361"/>
        <v>358.45575069152221</v>
      </c>
      <c r="K1109" s="6">
        <f t="shared" si="353"/>
        <v>358.45575069152221</v>
      </c>
      <c r="L1109" s="6">
        <f>MOD(K1109-Settings!$B$32,Settings!$B$33)</f>
        <v>358.45575069152221</v>
      </c>
      <c r="M1109" s="6">
        <f>IF(L1109&lt;Settings!$B$30,IF(Settings!$B$30-L1109&gt;=I1109,K1109,K1109+(Settings!$B$30-L1109)+Settings!$B$31),K1109+(Settings!$B$33-L1109))</f>
        <v>358.45575069152221</v>
      </c>
      <c r="N1109" s="6">
        <f t="shared" si="354"/>
        <v>364.47575069152219</v>
      </c>
      <c r="O1109" s="6">
        <f t="shared" si="355"/>
        <v>117.47575069152219</v>
      </c>
      <c r="P1109" s="6">
        <f t="shared" si="356"/>
        <v>101.3750125354847</v>
      </c>
      <c r="Q1109" s="6">
        <f t="shared" si="357"/>
        <v>4.0658256778601185</v>
      </c>
      <c r="R1109" s="6">
        <f t="shared" si="358"/>
        <v>0</v>
      </c>
      <c r="S1109" s="6">
        <f t="shared" si="359"/>
        <v>105.44083821334482</v>
      </c>
      <c r="T1109" s="6" t="str">
        <f>IF(MOD(C1109-Settings!$B$32,Settings!$B$33)&lt;Settings!$B$30,"Up","Down")</f>
        <v>Up</v>
      </c>
      <c r="U1109" s="6">
        <f>IF(OR(I1109&gt;Settings!$B$30,O1109&gt;Settings!$B$37),0,1)</f>
        <v>1</v>
      </c>
      <c r="V1109" s="6">
        <f>IF(AND(U1109=1,O1109&lt;=Settings!$B$36),1,0)</f>
        <v>1</v>
      </c>
    </row>
    <row r="1110" spans="1:22" x14ac:dyDescent="0.2">
      <c r="A1110">
        <f>Arrivals!A1110</f>
        <v>10</v>
      </c>
      <c r="B1110">
        <f>Arrivals!B1110</f>
        <v>25</v>
      </c>
      <c r="C1110" s="6">
        <f>Arrivals!F1110</f>
        <v>252</v>
      </c>
      <c r="D1110" s="6">
        <f>Arrivals!J1110</f>
        <v>14.425118785028175</v>
      </c>
      <c r="E1110" s="6">
        <f t="shared" si="360"/>
        <v>354.38992501366209</v>
      </c>
      <c r="F1110" s="6">
        <f t="shared" si="351"/>
        <v>354.38992501366209</v>
      </c>
      <c r="G1110" s="6">
        <f t="shared" si="352"/>
        <v>368.81504379869028</v>
      </c>
      <c r="H1110" s="6">
        <f>Arrivals!L1110</f>
        <v>75</v>
      </c>
      <c r="I1110" s="6">
        <f>H1110*8/ACE_Input!S30+ACE_Input!T30</f>
        <v>6.02</v>
      </c>
      <c r="J1110" s="6">
        <f t="shared" si="361"/>
        <v>364.47575069152219</v>
      </c>
      <c r="K1110" s="6">
        <f t="shared" si="353"/>
        <v>368.81504379869028</v>
      </c>
      <c r="L1110" s="6">
        <f>MOD(K1110-Settings!$B$32,Settings!$B$33)</f>
        <v>368.81504379869028</v>
      </c>
      <c r="M1110" s="6">
        <f>IF(L1110&lt;Settings!$B$30,IF(Settings!$B$30-L1110&gt;=I1110,K1110,K1110+(Settings!$B$30-L1110)+Settings!$B$31),K1110+(Settings!$B$33-L1110))</f>
        <v>368.81504379869028</v>
      </c>
      <c r="N1110" s="6">
        <f t="shared" si="354"/>
        <v>374.83504379869026</v>
      </c>
      <c r="O1110" s="6">
        <f t="shared" si="355"/>
        <v>122.83504379869026</v>
      </c>
      <c r="P1110" s="6">
        <f t="shared" si="356"/>
        <v>102.38992501366209</v>
      </c>
      <c r="Q1110" s="6">
        <f t="shared" si="357"/>
        <v>0</v>
      </c>
      <c r="R1110" s="6">
        <f t="shared" si="358"/>
        <v>0</v>
      </c>
      <c r="S1110" s="6">
        <f t="shared" si="359"/>
        <v>102.38992501366209</v>
      </c>
      <c r="T1110" s="6" t="str">
        <f>IF(MOD(C1110-Settings!$B$32,Settings!$B$33)&lt;Settings!$B$30,"Up","Down")</f>
        <v>Up</v>
      </c>
      <c r="U1110" s="6">
        <f>IF(OR(I1110&gt;Settings!$B$30,O1110&gt;Settings!$B$37),0,1)</f>
        <v>1</v>
      </c>
      <c r="V1110" s="6">
        <f>IF(AND(U1110=1,O1110&lt;=Settings!$B$36),1,0)</f>
        <v>0</v>
      </c>
    </row>
    <row r="1111" spans="1:22" x14ac:dyDescent="0.2">
      <c r="A1111">
        <f>Arrivals!A1111</f>
        <v>10</v>
      </c>
      <c r="B1111">
        <f>Arrivals!B1111</f>
        <v>26</v>
      </c>
      <c r="C1111" s="6">
        <f>Arrivals!F1111</f>
        <v>257</v>
      </c>
      <c r="D1111" s="6">
        <f>Arrivals!J1111</f>
        <v>6.4152099269540592</v>
      </c>
      <c r="E1111" s="6">
        <f t="shared" si="360"/>
        <v>368.81504379869028</v>
      </c>
      <c r="F1111" s="6">
        <f t="shared" si="351"/>
        <v>368.81504379869028</v>
      </c>
      <c r="G1111" s="6">
        <f t="shared" si="352"/>
        <v>375.23025372564433</v>
      </c>
      <c r="H1111" s="6">
        <f>Arrivals!L1111</f>
        <v>75</v>
      </c>
      <c r="I1111" s="6">
        <f>H1111*8/ACE_Input!S31+ACE_Input!T31</f>
        <v>6.02</v>
      </c>
      <c r="J1111" s="6">
        <f t="shared" si="361"/>
        <v>374.83504379869026</v>
      </c>
      <c r="K1111" s="6">
        <f t="shared" si="353"/>
        <v>375.23025372564433</v>
      </c>
      <c r="L1111" s="6">
        <f>MOD(K1111-Settings!$B$32,Settings!$B$33)</f>
        <v>375.23025372564433</v>
      </c>
      <c r="M1111" s="6">
        <f>IF(L1111&lt;Settings!$B$30,IF(Settings!$B$30-L1111&gt;=I1111,K1111,K1111+(Settings!$B$30-L1111)+Settings!$B$31),K1111+(Settings!$B$33-L1111))</f>
        <v>375.23025372564433</v>
      </c>
      <c r="N1111" s="6">
        <f t="shared" si="354"/>
        <v>381.25025372564431</v>
      </c>
      <c r="O1111" s="6">
        <f t="shared" si="355"/>
        <v>124.25025372564431</v>
      </c>
      <c r="P1111" s="6">
        <f t="shared" si="356"/>
        <v>111.81504379869028</v>
      </c>
      <c r="Q1111" s="6">
        <f t="shared" si="357"/>
        <v>0</v>
      </c>
      <c r="R1111" s="6">
        <f t="shared" si="358"/>
        <v>0</v>
      </c>
      <c r="S1111" s="6">
        <f t="shared" si="359"/>
        <v>111.81504379869028</v>
      </c>
      <c r="T1111" s="6" t="str">
        <f>IF(MOD(C1111-Settings!$B$32,Settings!$B$33)&lt;Settings!$B$30,"Up","Down")</f>
        <v>Up</v>
      </c>
      <c r="U1111" s="6">
        <f>IF(OR(I1111&gt;Settings!$B$30,O1111&gt;Settings!$B$37),0,1)</f>
        <v>1</v>
      </c>
      <c r="V1111" s="6">
        <f>IF(AND(U1111=1,O1111&lt;=Settings!$B$36),1,0)</f>
        <v>0</v>
      </c>
    </row>
    <row r="1112" spans="1:22" x14ac:dyDescent="0.2">
      <c r="A1112">
        <f>Arrivals!A1112</f>
        <v>10</v>
      </c>
      <c r="B1112">
        <f>Arrivals!B1112</f>
        <v>27</v>
      </c>
      <c r="C1112" s="6">
        <f>Arrivals!F1112</f>
        <v>262</v>
      </c>
      <c r="D1112" s="6">
        <f>Arrivals!J1112</f>
        <v>15.546987734194076</v>
      </c>
      <c r="E1112" s="6">
        <f t="shared" si="360"/>
        <v>375.23025372564433</v>
      </c>
      <c r="F1112" s="6">
        <f t="shared" si="351"/>
        <v>375.23025372564433</v>
      </c>
      <c r="G1112" s="6">
        <f t="shared" si="352"/>
        <v>390.77724145983842</v>
      </c>
      <c r="H1112" s="6">
        <f>Arrivals!L1112</f>
        <v>75</v>
      </c>
      <c r="I1112" s="6">
        <f>H1112*8/ACE_Input!S32+ACE_Input!T32</f>
        <v>6.02</v>
      </c>
      <c r="J1112" s="6">
        <f t="shared" si="361"/>
        <v>381.25025372564431</v>
      </c>
      <c r="K1112" s="6">
        <f t="shared" si="353"/>
        <v>390.77724145983842</v>
      </c>
      <c r="L1112" s="6">
        <f>MOD(K1112-Settings!$B$32,Settings!$B$33)</f>
        <v>390.77724145983842</v>
      </c>
      <c r="M1112" s="6">
        <f>IF(L1112&lt;Settings!$B$30,IF(Settings!$B$30-L1112&gt;=I1112,K1112,K1112+(Settings!$B$30-L1112)+Settings!$B$31),K1112+(Settings!$B$33-L1112))</f>
        <v>390.77724145983842</v>
      </c>
      <c r="N1112" s="6">
        <f t="shared" si="354"/>
        <v>396.7972414598384</v>
      </c>
      <c r="O1112" s="6">
        <f t="shared" si="355"/>
        <v>134.7972414598384</v>
      </c>
      <c r="P1112" s="6">
        <f t="shared" si="356"/>
        <v>113.23025372564433</v>
      </c>
      <c r="Q1112" s="6">
        <f t="shared" si="357"/>
        <v>0</v>
      </c>
      <c r="R1112" s="6">
        <f t="shared" si="358"/>
        <v>0</v>
      </c>
      <c r="S1112" s="6">
        <f t="shared" si="359"/>
        <v>113.23025372564433</v>
      </c>
      <c r="T1112" s="6" t="str">
        <f>IF(MOD(C1112-Settings!$B$32,Settings!$B$33)&lt;Settings!$B$30,"Up","Down")</f>
        <v>Up</v>
      </c>
      <c r="U1112" s="6">
        <f>IF(OR(I1112&gt;Settings!$B$30,O1112&gt;Settings!$B$37),0,1)</f>
        <v>1</v>
      </c>
      <c r="V1112" s="6">
        <f>IF(AND(U1112=1,O1112&lt;=Settings!$B$36),1,0)</f>
        <v>0</v>
      </c>
    </row>
    <row r="1113" spans="1:22" x14ac:dyDescent="0.2">
      <c r="A1113">
        <f>Arrivals!A1113</f>
        <v>10</v>
      </c>
      <c r="B1113">
        <f>Arrivals!B1113</f>
        <v>28</v>
      </c>
      <c r="C1113" s="6">
        <f>Arrivals!F1113</f>
        <v>268</v>
      </c>
      <c r="D1113" s="6">
        <f>Arrivals!J1113</f>
        <v>3.9158436934402903</v>
      </c>
      <c r="E1113" s="6">
        <f t="shared" si="360"/>
        <v>390.77724145983842</v>
      </c>
      <c r="F1113" s="6">
        <f t="shared" si="351"/>
        <v>390.77724145983842</v>
      </c>
      <c r="G1113" s="6">
        <f t="shared" si="352"/>
        <v>394.69308515327873</v>
      </c>
      <c r="H1113" s="6">
        <f>Arrivals!L1113</f>
        <v>75</v>
      </c>
      <c r="I1113" s="6">
        <f>H1113*8/ACE_Input!S33+ACE_Input!T33</f>
        <v>6.02</v>
      </c>
      <c r="J1113" s="6">
        <f t="shared" si="361"/>
        <v>396.7972414598384</v>
      </c>
      <c r="K1113" s="6">
        <f t="shared" si="353"/>
        <v>396.7972414598384</v>
      </c>
      <c r="L1113" s="6">
        <f>MOD(K1113-Settings!$B$32,Settings!$B$33)</f>
        <v>396.7972414598384</v>
      </c>
      <c r="M1113" s="6">
        <f>IF(L1113&lt;Settings!$B$30,IF(Settings!$B$30-L1113&gt;=I1113,K1113,K1113+(Settings!$B$30-L1113)+Settings!$B$31),K1113+(Settings!$B$33-L1113))</f>
        <v>396.7972414598384</v>
      </c>
      <c r="N1113" s="6">
        <f t="shared" si="354"/>
        <v>402.81724145983839</v>
      </c>
      <c r="O1113" s="6">
        <f t="shared" si="355"/>
        <v>134.81724145983839</v>
      </c>
      <c r="P1113" s="6">
        <f t="shared" si="356"/>
        <v>122.77724145983842</v>
      </c>
      <c r="Q1113" s="6">
        <f t="shared" si="357"/>
        <v>2.1041563065596733</v>
      </c>
      <c r="R1113" s="6">
        <f t="shared" si="358"/>
        <v>0</v>
      </c>
      <c r="S1113" s="6">
        <f t="shared" si="359"/>
        <v>124.88139776639809</v>
      </c>
      <c r="T1113" s="6" t="str">
        <f>IF(MOD(C1113-Settings!$B$32,Settings!$B$33)&lt;Settings!$B$30,"Up","Down")</f>
        <v>Up</v>
      </c>
      <c r="U1113" s="6">
        <f>IF(OR(I1113&gt;Settings!$B$30,O1113&gt;Settings!$B$37),0,1)</f>
        <v>1</v>
      </c>
      <c r="V1113" s="6">
        <f>IF(AND(U1113=1,O1113&lt;=Settings!$B$36),1,0)</f>
        <v>0</v>
      </c>
    </row>
    <row r="1114" spans="1:22" x14ac:dyDescent="0.2">
      <c r="A1114">
        <f>Arrivals!A1114</f>
        <v>10</v>
      </c>
      <c r="B1114">
        <f>Arrivals!B1114</f>
        <v>29</v>
      </c>
      <c r="C1114" s="6">
        <f>Arrivals!F1114</f>
        <v>273</v>
      </c>
      <c r="D1114" s="6">
        <f>Arrivals!J1114</f>
        <v>8.4472944363647251</v>
      </c>
      <c r="E1114" s="6">
        <f t="shared" si="360"/>
        <v>394.69308515327873</v>
      </c>
      <c r="F1114" s="6">
        <f t="shared" si="351"/>
        <v>394.69308515327873</v>
      </c>
      <c r="G1114" s="6">
        <f t="shared" si="352"/>
        <v>403.14037958964343</v>
      </c>
      <c r="H1114" s="6">
        <f>Arrivals!L1114</f>
        <v>75</v>
      </c>
      <c r="I1114" s="6">
        <f>H1114*8/ACE_Input!S34+ACE_Input!T34</f>
        <v>6.02</v>
      </c>
      <c r="J1114" s="6">
        <f t="shared" si="361"/>
        <v>402.81724145983839</v>
      </c>
      <c r="K1114" s="6">
        <f t="shared" si="353"/>
        <v>403.14037958964343</v>
      </c>
      <c r="L1114" s="6">
        <f>MOD(K1114-Settings!$B$32,Settings!$B$33)</f>
        <v>403.14037958964343</v>
      </c>
      <c r="M1114" s="6">
        <f>IF(L1114&lt;Settings!$B$30,IF(Settings!$B$30-L1114&gt;=I1114,K1114,K1114+(Settings!$B$30-L1114)+Settings!$B$31),K1114+(Settings!$B$33-L1114))</f>
        <v>403.14037958964343</v>
      </c>
      <c r="N1114" s="6">
        <f t="shared" si="354"/>
        <v>409.16037958964341</v>
      </c>
      <c r="O1114" s="6">
        <f t="shared" si="355"/>
        <v>136.16037958964341</v>
      </c>
      <c r="P1114" s="6">
        <f t="shared" si="356"/>
        <v>121.69308515327873</v>
      </c>
      <c r="Q1114" s="6">
        <f t="shared" si="357"/>
        <v>0</v>
      </c>
      <c r="R1114" s="6">
        <f t="shared" si="358"/>
        <v>0</v>
      </c>
      <c r="S1114" s="6">
        <f t="shared" si="359"/>
        <v>121.69308515327873</v>
      </c>
      <c r="T1114" s="6" t="str">
        <f>IF(MOD(C1114-Settings!$B$32,Settings!$B$33)&lt;Settings!$B$30,"Up","Down")</f>
        <v>Up</v>
      </c>
      <c r="U1114" s="6">
        <f>IF(OR(I1114&gt;Settings!$B$30,O1114&gt;Settings!$B$37),0,1)</f>
        <v>1</v>
      </c>
      <c r="V1114" s="6">
        <f>IF(AND(U1114=1,O1114&lt;=Settings!$B$36),1,0)</f>
        <v>0</v>
      </c>
    </row>
    <row r="1115" spans="1:22" x14ac:dyDescent="0.2">
      <c r="A1115">
        <f>Arrivals!A1115</f>
        <v>10</v>
      </c>
      <c r="B1115">
        <f>Arrivals!B1115</f>
        <v>30</v>
      </c>
      <c r="C1115" s="6">
        <f>Arrivals!F1115</f>
        <v>278</v>
      </c>
      <c r="D1115" s="6">
        <f>Arrivals!J1115</f>
        <v>15.265937498980083</v>
      </c>
      <c r="E1115" s="6">
        <f t="shared" si="360"/>
        <v>403.14037958964343</v>
      </c>
      <c r="F1115" s="6">
        <f t="shared" si="351"/>
        <v>403.14037958964343</v>
      </c>
      <c r="G1115" s="6">
        <f t="shared" si="352"/>
        <v>418.4063170886235</v>
      </c>
      <c r="H1115" s="6">
        <f>Arrivals!L1115</f>
        <v>75</v>
      </c>
      <c r="I1115" s="6">
        <f>H1115*8/ACE_Input!S35+ACE_Input!T35</f>
        <v>6.02</v>
      </c>
      <c r="J1115" s="6">
        <f t="shared" si="361"/>
        <v>409.16037958964341</v>
      </c>
      <c r="K1115" s="6">
        <f t="shared" si="353"/>
        <v>418.4063170886235</v>
      </c>
      <c r="L1115" s="6">
        <f>MOD(K1115-Settings!$B$32,Settings!$B$33)</f>
        <v>418.4063170886235</v>
      </c>
      <c r="M1115" s="6">
        <f>IF(L1115&lt;Settings!$B$30,IF(Settings!$B$30-L1115&gt;=I1115,K1115,K1115+(Settings!$B$30-L1115)+Settings!$B$31),K1115+(Settings!$B$33-L1115))</f>
        <v>418.4063170886235</v>
      </c>
      <c r="N1115" s="6">
        <f t="shared" si="354"/>
        <v>424.42631708862348</v>
      </c>
      <c r="O1115" s="6">
        <f t="shared" si="355"/>
        <v>146.42631708862348</v>
      </c>
      <c r="P1115" s="6">
        <f t="shared" si="356"/>
        <v>125.14037958964343</v>
      </c>
      <c r="Q1115" s="6">
        <f t="shared" si="357"/>
        <v>0</v>
      </c>
      <c r="R1115" s="6">
        <f t="shared" si="358"/>
        <v>0</v>
      </c>
      <c r="S1115" s="6">
        <f t="shared" si="359"/>
        <v>125.14037958964343</v>
      </c>
      <c r="T1115" s="6" t="str">
        <f>IF(MOD(C1115-Settings!$B$32,Settings!$B$33)&lt;Settings!$B$30,"Up","Down")</f>
        <v>Up</v>
      </c>
      <c r="U1115" s="6">
        <f>IF(OR(I1115&gt;Settings!$B$30,O1115&gt;Settings!$B$37),0,1)</f>
        <v>1</v>
      </c>
      <c r="V1115" s="6">
        <f>IF(AND(U1115=1,O1115&lt;=Settings!$B$36),1,0)</f>
        <v>0</v>
      </c>
    </row>
    <row r="1116" spans="1:22" x14ac:dyDescent="0.2">
      <c r="A1116">
        <f>Arrivals!A1116</f>
        <v>10</v>
      </c>
      <c r="B1116">
        <f>Arrivals!B1116</f>
        <v>31</v>
      </c>
      <c r="C1116" s="6">
        <f>Arrivals!F1116</f>
        <v>283</v>
      </c>
      <c r="D1116" s="6">
        <f>Arrivals!J1116</f>
        <v>3.5141377127918068</v>
      </c>
      <c r="E1116" s="6">
        <f t="shared" si="360"/>
        <v>418.4063170886235</v>
      </c>
      <c r="F1116" s="6">
        <f t="shared" si="351"/>
        <v>418.4063170886235</v>
      </c>
      <c r="G1116" s="6">
        <f t="shared" si="352"/>
        <v>421.9204548014153</v>
      </c>
      <c r="H1116" s="6">
        <f>Arrivals!L1116</f>
        <v>75</v>
      </c>
      <c r="I1116" s="6">
        <f>H1116*8/ACE_Input!S36+ACE_Input!T36</f>
        <v>6.02</v>
      </c>
      <c r="J1116" s="6">
        <f t="shared" si="361"/>
        <v>424.42631708862348</v>
      </c>
      <c r="K1116" s="6">
        <f t="shared" si="353"/>
        <v>424.42631708862348</v>
      </c>
      <c r="L1116" s="6">
        <f>MOD(K1116-Settings!$B$32,Settings!$B$33)</f>
        <v>424.42631708862348</v>
      </c>
      <c r="M1116" s="6">
        <f>IF(L1116&lt;Settings!$B$30,IF(Settings!$B$30-L1116&gt;=I1116,K1116,K1116+(Settings!$B$30-L1116)+Settings!$B$31),K1116+(Settings!$B$33-L1116))</f>
        <v>424.42631708862348</v>
      </c>
      <c r="N1116" s="6">
        <f t="shared" si="354"/>
        <v>430.44631708862346</v>
      </c>
      <c r="O1116" s="6">
        <f t="shared" si="355"/>
        <v>147.44631708862346</v>
      </c>
      <c r="P1116" s="6">
        <f t="shared" si="356"/>
        <v>135.4063170886235</v>
      </c>
      <c r="Q1116" s="6">
        <f t="shared" si="357"/>
        <v>2.5058622872081742</v>
      </c>
      <c r="R1116" s="6">
        <f t="shared" si="358"/>
        <v>0</v>
      </c>
      <c r="S1116" s="6">
        <f t="shared" si="359"/>
        <v>137.91217937583167</v>
      </c>
      <c r="T1116" s="6" t="str">
        <f>IF(MOD(C1116-Settings!$B$32,Settings!$B$33)&lt;Settings!$B$30,"Up","Down")</f>
        <v>Up</v>
      </c>
      <c r="U1116" s="6">
        <f>IF(OR(I1116&gt;Settings!$B$30,O1116&gt;Settings!$B$37),0,1)</f>
        <v>1</v>
      </c>
      <c r="V1116" s="6">
        <f>IF(AND(U1116=1,O1116&lt;=Settings!$B$36),1,0)</f>
        <v>0</v>
      </c>
    </row>
    <row r="1117" spans="1:22" x14ac:dyDescent="0.2">
      <c r="A1117">
        <f>Arrivals!A1117</f>
        <v>10</v>
      </c>
      <c r="B1117">
        <f>Arrivals!B1117</f>
        <v>32</v>
      </c>
      <c r="C1117" s="6">
        <f>Arrivals!F1117</f>
        <v>288</v>
      </c>
      <c r="D1117" s="6">
        <f>Arrivals!J1117</f>
        <v>12.941812724246383</v>
      </c>
      <c r="E1117" s="6">
        <f t="shared" si="360"/>
        <v>421.9204548014153</v>
      </c>
      <c r="F1117" s="6">
        <f t="shared" si="351"/>
        <v>421.9204548014153</v>
      </c>
      <c r="G1117" s="6">
        <f t="shared" si="352"/>
        <v>434.86226752566171</v>
      </c>
      <c r="H1117" s="6">
        <f>Arrivals!L1117</f>
        <v>75</v>
      </c>
      <c r="I1117" s="6">
        <f>H1117*8/ACE_Input!S37+ACE_Input!T37</f>
        <v>6.02</v>
      </c>
      <c r="J1117" s="6">
        <f t="shared" si="361"/>
        <v>430.44631708862346</v>
      </c>
      <c r="K1117" s="6">
        <f t="shared" si="353"/>
        <v>434.86226752566171</v>
      </c>
      <c r="L1117" s="6">
        <f>MOD(K1117-Settings!$B$32,Settings!$B$33)</f>
        <v>434.86226752566171</v>
      </c>
      <c r="M1117" s="6">
        <f>IF(L1117&lt;Settings!$B$30,IF(Settings!$B$30-L1117&gt;=I1117,K1117,K1117+(Settings!$B$30-L1117)+Settings!$B$31),K1117+(Settings!$B$33-L1117))</f>
        <v>434.86226752566171</v>
      </c>
      <c r="N1117" s="6">
        <f t="shared" si="354"/>
        <v>440.88226752566169</v>
      </c>
      <c r="O1117" s="6">
        <f t="shared" si="355"/>
        <v>152.88226752566169</v>
      </c>
      <c r="P1117" s="6">
        <f t="shared" si="356"/>
        <v>133.9204548014153</v>
      </c>
      <c r="Q1117" s="6">
        <f t="shared" si="357"/>
        <v>0</v>
      </c>
      <c r="R1117" s="6">
        <f t="shared" si="358"/>
        <v>0</v>
      </c>
      <c r="S1117" s="6">
        <f t="shared" si="359"/>
        <v>133.9204548014153</v>
      </c>
      <c r="T1117" s="6" t="str">
        <f>IF(MOD(C1117-Settings!$B$32,Settings!$B$33)&lt;Settings!$B$30,"Up","Down")</f>
        <v>Up</v>
      </c>
      <c r="U1117" s="6">
        <f>IF(OR(I1117&gt;Settings!$B$30,O1117&gt;Settings!$B$37),0,1)</f>
        <v>1</v>
      </c>
      <c r="V1117" s="6">
        <f>IF(AND(U1117=1,O1117&lt;=Settings!$B$36),1,0)</f>
        <v>0</v>
      </c>
    </row>
    <row r="1118" spans="1:22" x14ac:dyDescent="0.2">
      <c r="A1118">
        <f>Arrivals!A1118</f>
        <v>10</v>
      </c>
      <c r="B1118">
        <f>Arrivals!B1118</f>
        <v>33</v>
      </c>
      <c r="C1118" s="6">
        <f>Arrivals!F1118</f>
        <v>293</v>
      </c>
      <c r="D1118" s="6">
        <f>Arrivals!J1118</f>
        <v>17.175225928355928</v>
      </c>
      <c r="E1118" s="6">
        <f t="shared" si="360"/>
        <v>434.86226752566171</v>
      </c>
      <c r="F1118" s="6">
        <f t="shared" ref="F1118:F1149" si="362">MAX(C1118,E1118)</f>
        <v>434.86226752566171</v>
      </c>
      <c r="G1118" s="6">
        <f t="shared" ref="G1118:G1149" si="363">F1118+D1118</f>
        <v>452.03749345401764</v>
      </c>
      <c r="H1118" s="6">
        <f>Arrivals!L1118</f>
        <v>75</v>
      </c>
      <c r="I1118" s="6">
        <f>H1118*8/ACE_Input!S38+ACE_Input!T38</f>
        <v>6.02</v>
      </c>
      <c r="J1118" s="6">
        <f t="shared" si="361"/>
        <v>440.88226752566169</v>
      </c>
      <c r="K1118" s="6">
        <f t="shared" ref="K1118:K1149" si="364">MAX(G1118,J1118)</f>
        <v>452.03749345401764</v>
      </c>
      <c r="L1118" s="6">
        <f>MOD(K1118-Settings!$B$32,Settings!$B$33)</f>
        <v>452.03749345401764</v>
      </c>
      <c r="M1118" s="6">
        <f>IF(L1118&lt;Settings!$B$30,IF(Settings!$B$30-L1118&gt;=I1118,K1118,K1118+(Settings!$B$30-L1118)+Settings!$B$31),K1118+(Settings!$B$33-L1118))</f>
        <v>452.03749345401764</v>
      </c>
      <c r="N1118" s="6">
        <f t="shared" ref="N1118:N1149" si="365">M1118+I1118</f>
        <v>458.05749345401762</v>
      </c>
      <c r="O1118" s="6">
        <f t="shared" ref="O1118:O1149" si="366">N1118-C1118</f>
        <v>165.05749345401762</v>
      </c>
      <c r="P1118" s="6">
        <f t="shared" ref="P1118:P1149" si="367">F1118-C1118</f>
        <v>141.86226752566171</v>
      </c>
      <c r="Q1118" s="6">
        <f t="shared" ref="Q1118:Q1149" si="368">K1118-G1118</f>
        <v>0</v>
      </c>
      <c r="R1118" s="6">
        <f t="shared" ref="R1118:R1149" si="369">M1118-K1118</f>
        <v>0</v>
      </c>
      <c r="S1118" s="6">
        <f t="shared" ref="S1118:S1149" si="370">P1118+Q1118+R1118</f>
        <v>141.86226752566171</v>
      </c>
      <c r="T1118" s="6" t="str">
        <f>IF(MOD(C1118-Settings!$B$32,Settings!$B$33)&lt;Settings!$B$30,"Up","Down")</f>
        <v>Up</v>
      </c>
      <c r="U1118" s="6">
        <f>IF(OR(I1118&gt;Settings!$B$30,O1118&gt;Settings!$B$37),0,1)</f>
        <v>1</v>
      </c>
      <c r="V1118" s="6">
        <f>IF(AND(U1118=1,O1118&lt;=Settings!$B$36),1,0)</f>
        <v>0</v>
      </c>
    </row>
    <row r="1119" spans="1:22" x14ac:dyDescent="0.2">
      <c r="A1119">
        <f>Arrivals!A1119</f>
        <v>10</v>
      </c>
      <c r="B1119">
        <f>Arrivals!B1119</f>
        <v>34</v>
      </c>
      <c r="C1119" s="6">
        <f>Arrivals!F1119</f>
        <v>298</v>
      </c>
      <c r="D1119" s="6">
        <f>Arrivals!J1119</f>
        <v>0.42769786123409431</v>
      </c>
      <c r="E1119" s="6">
        <f t="shared" ref="E1119:E1150" si="371">G1118</f>
        <v>452.03749345401764</v>
      </c>
      <c r="F1119" s="6">
        <f t="shared" si="362"/>
        <v>452.03749345401764</v>
      </c>
      <c r="G1119" s="6">
        <f t="shared" si="363"/>
        <v>452.46519131525173</v>
      </c>
      <c r="H1119" s="6">
        <f>Arrivals!L1119</f>
        <v>75</v>
      </c>
      <c r="I1119" s="6">
        <f>H1119*8/ACE_Input!S39+ACE_Input!T39</f>
        <v>6.02</v>
      </c>
      <c r="J1119" s="6">
        <f t="shared" ref="J1119:J1150" si="372">N1118</f>
        <v>458.05749345401762</v>
      </c>
      <c r="K1119" s="6">
        <f t="shared" si="364"/>
        <v>458.05749345401762</v>
      </c>
      <c r="L1119" s="6">
        <f>MOD(K1119-Settings!$B$32,Settings!$B$33)</f>
        <v>458.05749345401762</v>
      </c>
      <c r="M1119" s="6">
        <f>IF(L1119&lt;Settings!$B$30,IF(Settings!$B$30-L1119&gt;=I1119,K1119,K1119+(Settings!$B$30-L1119)+Settings!$B$31),K1119+(Settings!$B$33-L1119))</f>
        <v>458.05749345401762</v>
      </c>
      <c r="N1119" s="6">
        <f t="shared" si="365"/>
        <v>464.0774934540176</v>
      </c>
      <c r="O1119" s="6">
        <f t="shared" si="366"/>
        <v>166.0774934540176</v>
      </c>
      <c r="P1119" s="6">
        <f t="shared" si="367"/>
        <v>154.03749345401764</v>
      </c>
      <c r="Q1119" s="6">
        <f t="shared" si="368"/>
        <v>5.5923021387658878</v>
      </c>
      <c r="R1119" s="6">
        <f t="shared" si="369"/>
        <v>0</v>
      </c>
      <c r="S1119" s="6">
        <f t="shared" si="370"/>
        <v>159.62979559278352</v>
      </c>
      <c r="T1119" s="6" t="str">
        <f>IF(MOD(C1119-Settings!$B$32,Settings!$B$33)&lt;Settings!$B$30,"Up","Down")</f>
        <v>Up</v>
      </c>
      <c r="U1119" s="6">
        <f>IF(OR(I1119&gt;Settings!$B$30,O1119&gt;Settings!$B$37),0,1)</f>
        <v>1</v>
      </c>
      <c r="V1119" s="6">
        <f>IF(AND(U1119=1,O1119&lt;=Settings!$B$36),1,0)</f>
        <v>0</v>
      </c>
    </row>
    <row r="1120" spans="1:22" x14ac:dyDescent="0.2">
      <c r="A1120">
        <f>Arrivals!A1120</f>
        <v>10</v>
      </c>
      <c r="B1120">
        <f>Arrivals!B1120</f>
        <v>35</v>
      </c>
      <c r="C1120" s="6">
        <f>Arrivals!F1120</f>
        <v>303</v>
      </c>
      <c r="D1120" s="6">
        <f>Arrivals!J1120</f>
        <v>7.7804168303015047</v>
      </c>
      <c r="E1120" s="6">
        <f t="shared" si="371"/>
        <v>452.46519131525173</v>
      </c>
      <c r="F1120" s="6">
        <f t="shared" si="362"/>
        <v>452.46519131525173</v>
      </c>
      <c r="G1120" s="6">
        <f t="shared" si="363"/>
        <v>460.24560814555321</v>
      </c>
      <c r="H1120" s="6">
        <f>Arrivals!L1120</f>
        <v>75</v>
      </c>
      <c r="I1120" s="6">
        <f>H1120*8/ACE_Input!S40+ACE_Input!T40</f>
        <v>6.02</v>
      </c>
      <c r="J1120" s="6">
        <f t="shared" si="372"/>
        <v>464.0774934540176</v>
      </c>
      <c r="K1120" s="6">
        <f t="shared" si="364"/>
        <v>464.0774934540176</v>
      </c>
      <c r="L1120" s="6">
        <f>MOD(K1120-Settings!$B$32,Settings!$B$33)</f>
        <v>464.0774934540176</v>
      </c>
      <c r="M1120" s="6">
        <f>IF(L1120&lt;Settings!$B$30,IF(Settings!$B$30-L1120&gt;=I1120,K1120,K1120+(Settings!$B$30-L1120)+Settings!$B$31),K1120+(Settings!$B$33-L1120))</f>
        <v>464.0774934540176</v>
      </c>
      <c r="N1120" s="6">
        <f t="shared" si="365"/>
        <v>470.09749345401758</v>
      </c>
      <c r="O1120" s="6">
        <f t="shared" si="366"/>
        <v>167.09749345401758</v>
      </c>
      <c r="P1120" s="6">
        <f t="shared" si="367"/>
        <v>149.46519131525173</v>
      </c>
      <c r="Q1120" s="6">
        <f t="shared" si="368"/>
        <v>3.8318853084643933</v>
      </c>
      <c r="R1120" s="6">
        <f t="shared" si="369"/>
        <v>0</v>
      </c>
      <c r="S1120" s="6">
        <f t="shared" si="370"/>
        <v>153.29707662371612</v>
      </c>
      <c r="T1120" s="6" t="str">
        <f>IF(MOD(C1120-Settings!$B$32,Settings!$B$33)&lt;Settings!$B$30,"Up","Down")</f>
        <v>Up</v>
      </c>
      <c r="U1120" s="6">
        <f>IF(OR(I1120&gt;Settings!$B$30,O1120&gt;Settings!$B$37),0,1)</f>
        <v>1</v>
      </c>
      <c r="V1120" s="6">
        <f>IF(AND(U1120=1,O1120&lt;=Settings!$B$36),1,0)</f>
        <v>0</v>
      </c>
    </row>
    <row r="1121" spans="1:22" x14ac:dyDescent="0.2">
      <c r="A1121">
        <f>Arrivals!A1121</f>
        <v>10</v>
      </c>
      <c r="B1121">
        <f>Arrivals!B1121</f>
        <v>36</v>
      </c>
      <c r="C1121" s="6">
        <f>Arrivals!F1121</f>
        <v>308</v>
      </c>
      <c r="D1121" s="6">
        <f>Arrivals!J1121</f>
        <v>12.473068287079444</v>
      </c>
      <c r="E1121" s="6">
        <f t="shared" si="371"/>
        <v>460.24560814555321</v>
      </c>
      <c r="F1121" s="6">
        <f t="shared" si="362"/>
        <v>460.24560814555321</v>
      </c>
      <c r="G1121" s="6">
        <f t="shared" si="363"/>
        <v>472.71867643263266</v>
      </c>
      <c r="H1121" s="6">
        <f>Arrivals!L1121</f>
        <v>75</v>
      </c>
      <c r="I1121" s="6">
        <f>H1121*8/ACE_Input!S41+ACE_Input!T41</f>
        <v>6.02</v>
      </c>
      <c r="J1121" s="6">
        <f t="shared" si="372"/>
        <v>470.09749345401758</v>
      </c>
      <c r="K1121" s="6">
        <f t="shared" si="364"/>
        <v>472.71867643263266</v>
      </c>
      <c r="L1121" s="6">
        <f>MOD(K1121-Settings!$B$32,Settings!$B$33)</f>
        <v>472.71867643263266</v>
      </c>
      <c r="M1121" s="6">
        <f>IF(L1121&lt;Settings!$B$30,IF(Settings!$B$30-L1121&gt;=I1121,K1121,K1121+(Settings!$B$30-L1121)+Settings!$B$31),K1121+(Settings!$B$33-L1121))</f>
        <v>472.71867643263266</v>
      </c>
      <c r="N1121" s="6">
        <f t="shared" si="365"/>
        <v>478.73867643263264</v>
      </c>
      <c r="O1121" s="6">
        <f t="shared" si="366"/>
        <v>170.73867643263264</v>
      </c>
      <c r="P1121" s="6">
        <f t="shared" si="367"/>
        <v>152.24560814555321</v>
      </c>
      <c r="Q1121" s="6">
        <f t="shared" si="368"/>
        <v>0</v>
      </c>
      <c r="R1121" s="6">
        <f t="shared" si="369"/>
        <v>0</v>
      </c>
      <c r="S1121" s="6">
        <f t="shared" si="370"/>
        <v>152.24560814555321</v>
      </c>
      <c r="T1121" s="6" t="str">
        <f>IF(MOD(C1121-Settings!$B$32,Settings!$B$33)&lt;Settings!$B$30,"Up","Down")</f>
        <v>Up</v>
      </c>
      <c r="U1121" s="6">
        <f>IF(OR(I1121&gt;Settings!$B$30,O1121&gt;Settings!$B$37),0,1)</f>
        <v>1</v>
      </c>
      <c r="V1121" s="6">
        <f>IF(AND(U1121=1,O1121&lt;=Settings!$B$36),1,0)</f>
        <v>0</v>
      </c>
    </row>
    <row r="1122" spans="1:22" x14ac:dyDescent="0.2">
      <c r="A1122">
        <f>Arrivals!A1122</f>
        <v>10</v>
      </c>
      <c r="B1122">
        <f>Arrivals!B1122</f>
        <v>37</v>
      </c>
      <c r="C1122" s="6">
        <f>Arrivals!F1122</f>
        <v>313</v>
      </c>
      <c r="D1122" s="6">
        <f>Arrivals!J1122</f>
        <v>0.67471674091626221</v>
      </c>
      <c r="E1122" s="6">
        <f t="shared" si="371"/>
        <v>472.71867643263266</v>
      </c>
      <c r="F1122" s="6">
        <f t="shared" si="362"/>
        <v>472.71867643263266</v>
      </c>
      <c r="G1122" s="6">
        <f t="shared" si="363"/>
        <v>473.39339317354893</v>
      </c>
      <c r="H1122" s="6">
        <f>Arrivals!L1122</f>
        <v>75</v>
      </c>
      <c r="I1122" s="6">
        <f>H1122*8/ACE_Input!S42+ACE_Input!T42</f>
        <v>6.02</v>
      </c>
      <c r="J1122" s="6">
        <f t="shared" si="372"/>
        <v>478.73867643263264</v>
      </c>
      <c r="K1122" s="6">
        <f t="shared" si="364"/>
        <v>478.73867643263264</v>
      </c>
      <c r="L1122" s="6">
        <f>MOD(K1122-Settings!$B$32,Settings!$B$33)</f>
        <v>478.73867643263264</v>
      </c>
      <c r="M1122" s="6">
        <f>IF(L1122&lt;Settings!$B$30,IF(Settings!$B$30-L1122&gt;=I1122,K1122,K1122+(Settings!$B$30-L1122)+Settings!$B$31),K1122+(Settings!$B$33-L1122))</f>
        <v>478.73867643263264</v>
      </c>
      <c r="N1122" s="6">
        <f t="shared" si="365"/>
        <v>484.75867643263263</v>
      </c>
      <c r="O1122" s="6">
        <f t="shared" si="366"/>
        <v>171.75867643263263</v>
      </c>
      <c r="P1122" s="6">
        <f t="shared" si="367"/>
        <v>159.71867643263266</v>
      </c>
      <c r="Q1122" s="6">
        <f t="shared" si="368"/>
        <v>5.3452832590837147</v>
      </c>
      <c r="R1122" s="6">
        <f t="shared" si="369"/>
        <v>0</v>
      </c>
      <c r="S1122" s="6">
        <f t="shared" si="370"/>
        <v>165.06395969171638</v>
      </c>
      <c r="T1122" s="6" t="str">
        <f>IF(MOD(C1122-Settings!$B$32,Settings!$B$33)&lt;Settings!$B$30,"Up","Down")</f>
        <v>Up</v>
      </c>
      <c r="U1122" s="6">
        <f>IF(OR(I1122&gt;Settings!$B$30,O1122&gt;Settings!$B$37),0,1)</f>
        <v>1</v>
      </c>
      <c r="V1122" s="6">
        <f>IF(AND(U1122=1,O1122&lt;=Settings!$B$36),1,0)</f>
        <v>0</v>
      </c>
    </row>
    <row r="1123" spans="1:22" x14ac:dyDescent="0.2">
      <c r="A1123">
        <f>Arrivals!A1123</f>
        <v>10</v>
      </c>
      <c r="B1123">
        <f>Arrivals!B1123</f>
        <v>38</v>
      </c>
      <c r="C1123" s="6">
        <f>Arrivals!F1123</f>
        <v>318</v>
      </c>
      <c r="D1123" s="6">
        <f>Arrivals!J1123</f>
        <v>30.479926727279796</v>
      </c>
      <c r="E1123" s="6">
        <f t="shared" si="371"/>
        <v>473.39339317354893</v>
      </c>
      <c r="F1123" s="6">
        <f t="shared" si="362"/>
        <v>473.39339317354893</v>
      </c>
      <c r="G1123" s="6">
        <f t="shared" si="363"/>
        <v>503.87331990082873</v>
      </c>
      <c r="H1123" s="6">
        <f>Arrivals!L1123</f>
        <v>75</v>
      </c>
      <c r="I1123" s="6">
        <f>H1123*8/ACE_Input!S43+ACE_Input!T43</f>
        <v>6.02</v>
      </c>
      <c r="J1123" s="6">
        <f t="shared" si="372"/>
        <v>484.75867643263263</v>
      </c>
      <c r="K1123" s="6">
        <f t="shared" si="364"/>
        <v>503.87331990082873</v>
      </c>
      <c r="L1123" s="6">
        <f>MOD(K1123-Settings!$B$32,Settings!$B$33)</f>
        <v>503.87331990082873</v>
      </c>
      <c r="M1123" s="6">
        <f>IF(L1123&lt;Settings!$B$30,IF(Settings!$B$30-L1123&gt;=I1123,K1123,K1123+(Settings!$B$30-L1123)+Settings!$B$31),K1123+(Settings!$B$33-L1123))</f>
        <v>503.87331990082873</v>
      </c>
      <c r="N1123" s="6">
        <f t="shared" si="365"/>
        <v>509.89331990082871</v>
      </c>
      <c r="O1123" s="6">
        <f t="shared" si="366"/>
        <v>191.89331990082871</v>
      </c>
      <c r="P1123" s="6">
        <f t="shared" si="367"/>
        <v>155.39339317354893</v>
      </c>
      <c r="Q1123" s="6">
        <f t="shared" si="368"/>
        <v>0</v>
      </c>
      <c r="R1123" s="6">
        <f t="shared" si="369"/>
        <v>0</v>
      </c>
      <c r="S1123" s="6">
        <f t="shared" si="370"/>
        <v>155.39339317354893</v>
      </c>
      <c r="T1123" s="6" t="str">
        <f>IF(MOD(C1123-Settings!$B$32,Settings!$B$33)&lt;Settings!$B$30,"Up","Down")</f>
        <v>Up</v>
      </c>
      <c r="U1123" s="6">
        <f>IF(OR(I1123&gt;Settings!$B$30,O1123&gt;Settings!$B$37),0,1)</f>
        <v>1</v>
      </c>
      <c r="V1123" s="6">
        <f>IF(AND(U1123=1,O1123&lt;=Settings!$B$36),1,0)</f>
        <v>0</v>
      </c>
    </row>
    <row r="1124" spans="1:22" x14ac:dyDescent="0.2">
      <c r="A1124">
        <f>Arrivals!A1124</f>
        <v>10</v>
      </c>
      <c r="B1124">
        <f>Arrivals!B1124</f>
        <v>39</v>
      </c>
      <c r="C1124" s="6">
        <f>Arrivals!F1124</f>
        <v>323</v>
      </c>
      <c r="D1124" s="6">
        <f>Arrivals!J1124</f>
        <v>7.9473441853842974</v>
      </c>
      <c r="E1124" s="6">
        <f t="shared" si="371"/>
        <v>503.87331990082873</v>
      </c>
      <c r="F1124" s="6">
        <f t="shared" si="362"/>
        <v>503.87331990082873</v>
      </c>
      <c r="G1124" s="6">
        <f t="shared" si="363"/>
        <v>511.82066408621301</v>
      </c>
      <c r="H1124" s="6">
        <f>Arrivals!L1124</f>
        <v>75</v>
      </c>
      <c r="I1124" s="6">
        <f>H1124*8/ACE_Input!S44+ACE_Input!T44</f>
        <v>6.02</v>
      </c>
      <c r="J1124" s="6">
        <f t="shared" si="372"/>
        <v>509.89331990082871</v>
      </c>
      <c r="K1124" s="6">
        <f t="shared" si="364"/>
        <v>511.82066408621301</v>
      </c>
      <c r="L1124" s="6">
        <f>MOD(K1124-Settings!$B$32,Settings!$B$33)</f>
        <v>511.82066408621301</v>
      </c>
      <c r="M1124" s="6">
        <f>IF(L1124&lt;Settings!$B$30,IF(Settings!$B$30-L1124&gt;=I1124,K1124,K1124+(Settings!$B$30-L1124)+Settings!$B$31),K1124+(Settings!$B$33-L1124))</f>
        <v>511.82066408621301</v>
      </c>
      <c r="N1124" s="6">
        <f t="shared" si="365"/>
        <v>517.840664086213</v>
      </c>
      <c r="O1124" s="6">
        <f t="shared" si="366"/>
        <v>194.840664086213</v>
      </c>
      <c r="P1124" s="6">
        <f t="shared" si="367"/>
        <v>180.87331990082873</v>
      </c>
      <c r="Q1124" s="6">
        <f t="shared" si="368"/>
        <v>0</v>
      </c>
      <c r="R1124" s="6">
        <f t="shared" si="369"/>
        <v>0</v>
      </c>
      <c r="S1124" s="6">
        <f t="shared" si="370"/>
        <v>180.87331990082873</v>
      </c>
      <c r="T1124" s="6" t="str">
        <f>IF(MOD(C1124-Settings!$B$32,Settings!$B$33)&lt;Settings!$B$30,"Up","Down")</f>
        <v>Up</v>
      </c>
      <c r="U1124" s="6">
        <f>IF(OR(I1124&gt;Settings!$B$30,O1124&gt;Settings!$B$37),0,1)</f>
        <v>1</v>
      </c>
      <c r="V1124" s="6">
        <f>IF(AND(U1124=1,O1124&lt;=Settings!$B$36),1,0)</f>
        <v>0</v>
      </c>
    </row>
    <row r="1125" spans="1:22" x14ac:dyDescent="0.2">
      <c r="A1125">
        <f>Arrivals!A1125</f>
        <v>10</v>
      </c>
      <c r="B1125">
        <f>Arrivals!B1125</f>
        <v>40</v>
      </c>
      <c r="C1125" s="6">
        <f>Arrivals!F1125</f>
        <v>328</v>
      </c>
      <c r="D1125" s="6">
        <f>Arrivals!J1125</f>
        <v>0.63271403916934821</v>
      </c>
      <c r="E1125" s="6">
        <f t="shared" si="371"/>
        <v>511.82066408621301</v>
      </c>
      <c r="F1125" s="6">
        <f t="shared" si="362"/>
        <v>511.82066408621301</v>
      </c>
      <c r="G1125" s="6">
        <f t="shared" si="363"/>
        <v>512.45337812538241</v>
      </c>
      <c r="H1125" s="6">
        <f>Arrivals!L1125</f>
        <v>75</v>
      </c>
      <c r="I1125" s="6">
        <f>H1125*8/ACE_Input!S45+ACE_Input!T45</f>
        <v>6.02</v>
      </c>
      <c r="J1125" s="6">
        <f t="shared" si="372"/>
        <v>517.840664086213</v>
      </c>
      <c r="K1125" s="6">
        <f t="shared" si="364"/>
        <v>517.840664086213</v>
      </c>
      <c r="L1125" s="6">
        <f>MOD(K1125-Settings!$B$32,Settings!$B$33)</f>
        <v>517.840664086213</v>
      </c>
      <c r="M1125" s="6">
        <f>IF(L1125&lt;Settings!$B$30,IF(Settings!$B$30-L1125&gt;=I1125,K1125,K1125+(Settings!$B$30-L1125)+Settings!$B$31),K1125+(Settings!$B$33-L1125))</f>
        <v>517.840664086213</v>
      </c>
      <c r="N1125" s="6">
        <f t="shared" si="365"/>
        <v>523.86066408621298</v>
      </c>
      <c r="O1125" s="6">
        <f t="shared" si="366"/>
        <v>195.86066408621298</v>
      </c>
      <c r="P1125" s="6">
        <f t="shared" si="367"/>
        <v>183.82066408621301</v>
      </c>
      <c r="Q1125" s="6">
        <f t="shared" si="368"/>
        <v>5.3872859608305816</v>
      </c>
      <c r="R1125" s="6">
        <f t="shared" si="369"/>
        <v>0</v>
      </c>
      <c r="S1125" s="6">
        <f t="shared" si="370"/>
        <v>189.2079500470436</v>
      </c>
      <c r="T1125" s="6" t="str">
        <f>IF(MOD(C1125-Settings!$B$32,Settings!$B$33)&lt;Settings!$B$30,"Up","Down")</f>
        <v>Up</v>
      </c>
      <c r="U1125" s="6">
        <f>IF(OR(I1125&gt;Settings!$B$30,O1125&gt;Settings!$B$37),0,1)</f>
        <v>1</v>
      </c>
      <c r="V1125" s="6">
        <f>IF(AND(U1125=1,O1125&lt;=Settings!$B$36),1,0)</f>
        <v>0</v>
      </c>
    </row>
    <row r="1126" spans="1:22" x14ac:dyDescent="0.2">
      <c r="A1126">
        <f>Arrivals!A1126</f>
        <v>10</v>
      </c>
      <c r="B1126">
        <f>Arrivals!B1126</f>
        <v>41</v>
      </c>
      <c r="C1126" s="6">
        <f>Arrivals!F1126</f>
        <v>333</v>
      </c>
      <c r="D1126" s="6">
        <f>Arrivals!J1126</f>
        <v>2.8566392432190666</v>
      </c>
      <c r="E1126" s="6">
        <f t="shared" si="371"/>
        <v>512.45337812538241</v>
      </c>
      <c r="F1126" s="6">
        <f t="shared" si="362"/>
        <v>512.45337812538241</v>
      </c>
      <c r="G1126" s="6">
        <f t="shared" si="363"/>
        <v>515.31001736860151</v>
      </c>
      <c r="H1126" s="6">
        <f>Arrivals!L1126</f>
        <v>75</v>
      </c>
      <c r="I1126" s="6">
        <f>H1126*8/ACE_Input!S46+ACE_Input!T46</f>
        <v>6.02</v>
      </c>
      <c r="J1126" s="6">
        <f t="shared" si="372"/>
        <v>523.86066408621298</v>
      </c>
      <c r="K1126" s="6">
        <f t="shared" si="364"/>
        <v>523.86066408621298</v>
      </c>
      <c r="L1126" s="6">
        <f>MOD(K1126-Settings!$B$32,Settings!$B$33)</f>
        <v>523.86066408621298</v>
      </c>
      <c r="M1126" s="6">
        <f>IF(L1126&lt;Settings!$B$30,IF(Settings!$B$30-L1126&gt;=I1126,K1126,K1126+(Settings!$B$30-L1126)+Settings!$B$31),K1126+(Settings!$B$33-L1126))</f>
        <v>523.86066408621298</v>
      </c>
      <c r="N1126" s="6">
        <f t="shared" si="365"/>
        <v>529.88066408621296</v>
      </c>
      <c r="O1126" s="6">
        <f t="shared" si="366"/>
        <v>196.88066408621296</v>
      </c>
      <c r="P1126" s="6">
        <f t="shared" si="367"/>
        <v>179.45337812538241</v>
      </c>
      <c r="Q1126" s="6">
        <f t="shared" si="368"/>
        <v>8.5506467176114711</v>
      </c>
      <c r="R1126" s="6">
        <f t="shared" si="369"/>
        <v>0</v>
      </c>
      <c r="S1126" s="6">
        <f t="shared" si="370"/>
        <v>188.00402484299389</v>
      </c>
      <c r="T1126" s="6" t="str">
        <f>IF(MOD(C1126-Settings!$B$32,Settings!$B$33)&lt;Settings!$B$30,"Up","Down")</f>
        <v>Up</v>
      </c>
      <c r="U1126" s="6">
        <f>IF(OR(I1126&gt;Settings!$B$30,O1126&gt;Settings!$B$37),0,1)</f>
        <v>1</v>
      </c>
      <c r="V1126" s="6">
        <f>IF(AND(U1126=1,O1126&lt;=Settings!$B$36),1,0)</f>
        <v>0</v>
      </c>
    </row>
    <row r="1127" spans="1:22" x14ac:dyDescent="0.2">
      <c r="A1127">
        <f>Arrivals!A1127</f>
        <v>10</v>
      </c>
      <c r="B1127">
        <f>Arrivals!B1127</f>
        <v>42</v>
      </c>
      <c r="C1127" s="6">
        <f>Arrivals!F1127</f>
        <v>338</v>
      </c>
      <c r="D1127" s="6">
        <f>Arrivals!J1127</f>
        <v>5.7954212394464371</v>
      </c>
      <c r="E1127" s="6">
        <f t="shared" si="371"/>
        <v>515.31001736860151</v>
      </c>
      <c r="F1127" s="6">
        <f t="shared" si="362"/>
        <v>515.31001736860151</v>
      </c>
      <c r="G1127" s="6">
        <f t="shared" si="363"/>
        <v>521.10543860804796</v>
      </c>
      <c r="H1127" s="6">
        <f>Arrivals!L1127</f>
        <v>75</v>
      </c>
      <c r="I1127" s="6">
        <f>H1127*8/ACE_Input!S47+ACE_Input!T47</f>
        <v>6.02</v>
      </c>
      <c r="J1127" s="6">
        <f t="shared" si="372"/>
        <v>529.88066408621296</v>
      </c>
      <c r="K1127" s="6">
        <f t="shared" si="364"/>
        <v>529.88066408621296</v>
      </c>
      <c r="L1127" s="6">
        <f>MOD(K1127-Settings!$B$32,Settings!$B$33)</f>
        <v>529.88066408621296</v>
      </c>
      <c r="M1127" s="6">
        <f>IF(L1127&lt;Settings!$B$30,IF(Settings!$B$30-L1127&gt;=I1127,K1127,K1127+(Settings!$B$30-L1127)+Settings!$B$31),K1127+(Settings!$B$33-L1127))</f>
        <v>529.88066408621296</v>
      </c>
      <c r="N1127" s="6">
        <f t="shared" si="365"/>
        <v>535.90066408621294</v>
      </c>
      <c r="O1127" s="6">
        <f t="shared" si="366"/>
        <v>197.90066408621294</v>
      </c>
      <c r="P1127" s="6">
        <f t="shared" si="367"/>
        <v>177.31001736860151</v>
      </c>
      <c r="Q1127" s="6">
        <f t="shared" si="368"/>
        <v>8.7752254781649981</v>
      </c>
      <c r="R1127" s="6">
        <f t="shared" si="369"/>
        <v>0</v>
      </c>
      <c r="S1127" s="6">
        <f t="shared" si="370"/>
        <v>186.0852428467665</v>
      </c>
      <c r="T1127" s="6" t="str">
        <f>IF(MOD(C1127-Settings!$B$32,Settings!$B$33)&lt;Settings!$B$30,"Up","Down")</f>
        <v>Up</v>
      </c>
      <c r="U1127" s="6">
        <f>IF(OR(I1127&gt;Settings!$B$30,O1127&gt;Settings!$B$37),0,1)</f>
        <v>1</v>
      </c>
      <c r="V1127" s="6">
        <f>IF(AND(U1127=1,O1127&lt;=Settings!$B$36),1,0)</f>
        <v>0</v>
      </c>
    </row>
    <row r="1128" spans="1:22" x14ac:dyDescent="0.2">
      <c r="A1128">
        <f>Arrivals!A1128</f>
        <v>10</v>
      </c>
      <c r="B1128">
        <f>Arrivals!B1128</f>
        <v>43</v>
      </c>
      <c r="C1128" s="6">
        <f>Arrivals!F1128</f>
        <v>343</v>
      </c>
      <c r="D1128" s="6">
        <f>Arrivals!J1128</f>
        <v>17.143495642428682</v>
      </c>
      <c r="E1128" s="6">
        <f t="shared" si="371"/>
        <v>521.10543860804796</v>
      </c>
      <c r="F1128" s="6">
        <f t="shared" si="362"/>
        <v>521.10543860804796</v>
      </c>
      <c r="G1128" s="6">
        <f t="shared" si="363"/>
        <v>538.24893425047662</v>
      </c>
      <c r="H1128" s="6">
        <f>Arrivals!L1128</f>
        <v>75</v>
      </c>
      <c r="I1128" s="6">
        <f>H1128*8/ACE_Input!S48+ACE_Input!T48</f>
        <v>6.02</v>
      </c>
      <c r="J1128" s="6">
        <f t="shared" si="372"/>
        <v>535.90066408621294</v>
      </c>
      <c r="K1128" s="6">
        <f t="shared" si="364"/>
        <v>538.24893425047662</v>
      </c>
      <c r="L1128" s="6">
        <f>MOD(K1128-Settings!$B$32,Settings!$B$33)</f>
        <v>538.24893425047662</v>
      </c>
      <c r="M1128" s="6">
        <f>IF(L1128&lt;Settings!$B$30,IF(Settings!$B$30-L1128&gt;=I1128,K1128,K1128+(Settings!$B$30-L1128)+Settings!$B$31),K1128+(Settings!$B$33-L1128))</f>
        <v>538.24893425047662</v>
      </c>
      <c r="N1128" s="6">
        <f t="shared" si="365"/>
        <v>544.2689342504766</v>
      </c>
      <c r="O1128" s="6">
        <f t="shared" si="366"/>
        <v>201.2689342504766</v>
      </c>
      <c r="P1128" s="6">
        <f t="shared" si="367"/>
        <v>178.10543860804796</v>
      </c>
      <c r="Q1128" s="6">
        <f t="shared" si="368"/>
        <v>0</v>
      </c>
      <c r="R1128" s="6">
        <f t="shared" si="369"/>
        <v>0</v>
      </c>
      <c r="S1128" s="6">
        <f t="shared" si="370"/>
        <v>178.10543860804796</v>
      </c>
      <c r="T1128" s="6" t="str">
        <f>IF(MOD(C1128-Settings!$B$32,Settings!$B$33)&lt;Settings!$B$30,"Up","Down")</f>
        <v>Up</v>
      </c>
      <c r="U1128" s="6">
        <f>IF(OR(I1128&gt;Settings!$B$30,O1128&gt;Settings!$B$37),0,1)</f>
        <v>1</v>
      </c>
      <c r="V1128" s="6">
        <f>IF(AND(U1128=1,O1128&lt;=Settings!$B$36),1,0)</f>
        <v>0</v>
      </c>
    </row>
    <row r="1129" spans="1:22" x14ac:dyDescent="0.2">
      <c r="A1129">
        <f>Arrivals!A1129</f>
        <v>10</v>
      </c>
      <c r="B1129">
        <f>Arrivals!B1129</f>
        <v>44</v>
      </c>
      <c r="C1129" s="6">
        <f>Arrivals!F1129</f>
        <v>348</v>
      </c>
      <c r="D1129" s="6">
        <f>Arrivals!J1129</f>
        <v>6.1166747687667558</v>
      </c>
      <c r="E1129" s="6">
        <f t="shared" si="371"/>
        <v>538.24893425047662</v>
      </c>
      <c r="F1129" s="6">
        <f t="shared" si="362"/>
        <v>538.24893425047662</v>
      </c>
      <c r="G1129" s="6">
        <f t="shared" si="363"/>
        <v>544.36560901924338</v>
      </c>
      <c r="H1129" s="6">
        <f>Arrivals!L1129</f>
        <v>75</v>
      </c>
      <c r="I1129" s="6">
        <f>H1129*8/ACE_Input!S49+ACE_Input!T49</f>
        <v>6.02</v>
      </c>
      <c r="J1129" s="6">
        <f t="shared" si="372"/>
        <v>544.2689342504766</v>
      </c>
      <c r="K1129" s="6">
        <f t="shared" si="364"/>
        <v>544.36560901924338</v>
      </c>
      <c r="L1129" s="6">
        <f>MOD(K1129-Settings!$B$32,Settings!$B$33)</f>
        <v>544.36560901924338</v>
      </c>
      <c r="M1129" s="6">
        <f>IF(L1129&lt;Settings!$B$30,IF(Settings!$B$30-L1129&gt;=I1129,K1129,K1129+(Settings!$B$30-L1129)+Settings!$B$31),K1129+(Settings!$B$33-L1129))</f>
        <v>544.36560901924338</v>
      </c>
      <c r="N1129" s="6">
        <f t="shared" si="365"/>
        <v>550.38560901924336</v>
      </c>
      <c r="O1129" s="6">
        <f t="shared" si="366"/>
        <v>202.38560901924336</v>
      </c>
      <c r="P1129" s="6">
        <f t="shared" si="367"/>
        <v>190.24893425047662</v>
      </c>
      <c r="Q1129" s="6">
        <f t="shared" si="368"/>
        <v>0</v>
      </c>
      <c r="R1129" s="6">
        <f t="shared" si="369"/>
        <v>0</v>
      </c>
      <c r="S1129" s="6">
        <f t="shared" si="370"/>
        <v>190.24893425047662</v>
      </c>
      <c r="T1129" s="6" t="str">
        <f>IF(MOD(C1129-Settings!$B$32,Settings!$B$33)&lt;Settings!$B$30,"Up","Down")</f>
        <v>Up</v>
      </c>
      <c r="U1129" s="6">
        <f>IF(OR(I1129&gt;Settings!$B$30,O1129&gt;Settings!$B$37),0,1)</f>
        <v>1</v>
      </c>
      <c r="V1129" s="6">
        <f>IF(AND(U1129=1,O1129&lt;=Settings!$B$36),1,0)</f>
        <v>0</v>
      </c>
    </row>
    <row r="1130" spans="1:22" x14ac:dyDescent="0.2">
      <c r="A1130">
        <f>Arrivals!A1130</f>
        <v>10</v>
      </c>
      <c r="B1130">
        <f>Arrivals!B1130</f>
        <v>45</v>
      </c>
      <c r="C1130" s="6">
        <f>Arrivals!F1130</f>
        <v>354</v>
      </c>
      <c r="D1130" s="6">
        <f>Arrivals!J1130</f>
        <v>13.441216370028595</v>
      </c>
      <c r="E1130" s="6">
        <f t="shared" si="371"/>
        <v>544.36560901924338</v>
      </c>
      <c r="F1130" s="6">
        <f t="shared" si="362"/>
        <v>544.36560901924338</v>
      </c>
      <c r="G1130" s="6">
        <f t="shared" si="363"/>
        <v>557.80682538927192</v>
      </c>
      <c r="H1130" s="6">
        <f>Arrivals!L1130</f>
        <v>75</v>
      </c>
      <c r="I1130" s="6">
        <f>H1130*8/ACE_Input!S50+ACE_Input!T50</f>
        <v>6.02</v>
      </c>
      <c r="J1130" s="6">
        <f t="shared" si="372"/>
        <v>550.38560901924336</v>
      </c>
      <c r="K1130" s="6">
        <f t="shared" si="364"/>
        <v>557.80682538927192</v>
      </c>
      <c r="L1130" s="6">
        <f>MOD(K1130-Settings!$B$32,Settings!$B$33)</f>
        <v>557.80682538927192</v>
      </c>
      <c r="M1130" s="6">
        <f>IF(L1130&lt;Settings!$B$30,IF(Settings!$B$30-L1130&gt;=I1130,K1130,K1130+(Settings!$B$30-L1130)+Settings!$B$31),K1130+(Settings!$B$33-L1130))</f>
        <v>557.80682538927192</v>
      </c>
      <c r="N1130" s="6">
        <f t="shared" si="365"/>
        <v>563.8268253892719</v>
      </c>
      <c r="O1130" s="6">
        <f t="shared" si="366"/>
        <v>209.8268253892719</v>
      </c>
      <c r="P1130" s="6">
        <f t="shared" si="367"/>
        <v>190.36560901924338</v>
      </c>
      <c r="Q1130" s="6">
        <f t="shared" si="368"/>
        <v>0</v>
      </c>
      <c r="R1130" s="6">
        <f t="shared" si="369"/>
        <v>0</v>
      </c>
      <c r="S1130" s="6">
        <f t="shared" si="370"/>
        <v>190.36560901924338</v>
      </c>
      <c r="T1130" s="6" t="str">
        <f>IF(MOD(C1130-Settings!$B$32,Settings!$B$33)&lt;Settings!$B$30,"Up","Down")</f>
        <v>Up</v>
      </c>
      <c r="U1130" s="6">
        <f>IF(OR(I1130&gt;Settings!$B$30,O1130&gt;Settings!$B$37),0,1)</f>
        <v>1</v>
      </c>
      <c r="V1130" s="6">
        <f>IF(AND(U1130=1,O1130&lt;=Settings!$B$36),1,0)</f>
        <v>0</v>
      </c>
    </row>
    <row r="1131" spans="1:22" x14ac:dyDescent="0.2">
      <c r="A1131">
        <f>Arrivals!A1131</f>
        <v>10</v>
      </c>
      <c r="B1131">
        <f>Arrivals!B1131</f>
        <v>46</v>
      </c>
      <c r="C1131" s="6">
        <f>Arrivals!F1131</f>
        <v>359</v>
      </c>
      <c r="D1131" s="6">
        <f>Arrivals!J1131</f>
        <v>17.70532963629956</v>
      </c>
      <c r="E1131" s="6">
        <f t="shared" si="371"/>
        <v>557.80682538927192</v>
      </c>
      <c r="F1131" s="6">
        <f t="shared" si="362"/>
        <v>557.80682538927192</v>
      </c>
      <c r="G1131" s="6">
        <f t="shared" si="363"/>
        <v>575.51215502557147</v>
      </c>
      <c r="H1131" s="6">
        <f>Arrivals!L1131</f>
        <v>75</v>
      </c>
      <c r="I1131" s="6">
        <f>H1131*8/ACE_Input!S51+ACE_Input!T51</f>
        <v>6.02</v>
      </c>
      <c r="J1131" s="6">
        <f t="shared" si="372"/>
        <v>563.8268253892719</v>
      </c>
      <c r="K1131" s="6">
        <f t="shared" si="364"/>
        <v>575.51215502557147</v>
      </c>
      <c r="L1131" s="6">
        <f>MOD(K1131-Settings!$B$32,Settings!$B$33)</f>
        <v>575.51215502557147</v>
      </c>
      <c r="M1131" s="6">
        <f>IF(L1131&lt;Settings!$B$30,IF(Settings!$B$30-L1131&gt;=I1131,K1131,K1131+(Settings!$B$30-L1131)+Settings!$B$31),K1131+(Settings!$B$33-L1131))</f>
        <v>575.51215502557147</v>
      </c>
      <c r="N1131" s="6">
        <f t="shared" si="365"/>
        <v>581.53215502557146</v>
      </c>
      <c r="O1131" s="6">
        <f t="shared" si="366"/>
        <v>222.53215502557146</v>
      </c>
      <c r="P1131" s="6">
        <f t="shared" si="367"/>
        <v>198.80682538927192</v>
      </c>
      <c r="Q1131" s="6">
        <f t="shared" si="368"/>
        <v>0</v>
      </c>
      <c r="R1131" s="6">
        <f t="shared" si="369"/>
        <v>0</v>
      </c>
      <c r="S1131" s="6">
        <f t="shared" si="370"/>
        <v>198.80682538927192</v>
      </c>
      <c r="T1131" s="6" t="str">
        <f>IF(MOD(C1131-Settings!$B$32,Settings!$B$33)&lt;Settings!$B$30,"Up","Down")</f>
        <v>Up</v>
      </c>
      <c r="U1131" s="6">
        <f>IF(OR(I1131&gt;Settings!$B$30,O1131&gt;Settings!$B$37),0,1)</f>
        <v>1</v>
      </c>
      <c r="V1131" s="6">
        <f>IF(AND(U1131=1,O1131&lt;=Settings!$B$36),1,0)</f>
        <v>0</v>
      </c>
    </row>
    <row r="1132" spans="1:22" x14ac:dyDescent="0.2">
      <c r="A1132">
        <f>Arrivals!A1132</f>
        <v>10</v>
      </c>
      <c r="B1132">
        <f>Arrivals!B1132</f>
        <v>47</v>
      </c>
      <c r="C1132" s="6">
        <f>Arrivals!F1132</f>
        <v>364</v>
      </c>
      <c r="D1132" s="6">
        <f>Arrivals!J1132</f>
        <v>11.715578601957354</v>
      </c>
      <c r="E1132" s="6">
        <f t="shared" si="371"/>
        <v>575.51215502557147</v>
      </c>
      <c r="F1132" s="6">
        <f t="shared" si="362"/>
        <v>575.51215502557147</v>
      </c>
      <c r="G1132" s="6">
        <f t="shared" si="363"/>
        <v>587.22773362752878</v>
      </c>
      <c r="H1132" s="6">
        <f>Arrivals!L1132</f>
        <v>75</v>
      </c>
      <c r="I1132" s="6">
        <f>H1132*8/ACE_Input!S52+ACE_Input!T52</f>
        <v>6.02</v>
      </c>
      <c r="J1132" s="6">
        <f t="shared" si="372"/>
        <v>581.53215502557146</v>
      </c>
      <c r="K1132" s="6">
        <f t="shared" si="364"/>
        <v>587.22773362752878</v>
      </c>
      <c r="L1132" s="6">
        <f>MOD(K1132-Settings!$B$32,Settings!$B$33)</f>
        <v>587.22773362752878</v>
      </c>
      <c r="M1132" s="6">
        <f>IF(L1132&lt;Settings!$B$30,IF(Settings!$B$30-L1132&gt;=I1132,K1132,K1132+(Settings!$B$30-L1132)+Settings!$B$31),K1132+(Settings!$B$33-L1132))</f>
        <v>587.22773362752878</v>
      </c>
      <c r="N1132" s="6">
        <f t="shared" si="365"/>
        <v>593.24773362752876</v>
      </c>
      <c r="O1132" s="6">
        <f t="shared" si="366"/>
        <v>229.24773362752876</v>
      </c>
      <c r="P1132" s="6">
        <f t="shared" si="367"/>
        <v>211.51215502557147</v>
      </c>
      <c r="Q1132" s="6">
        <f t="shared" si="368"/>
        <v>0</v>
      </c>
      <c r="R1132" s="6">
        <f t="shared" si="369"/>
        <v>0</v>
      </c>
      <c r="S1132" s="6">
        <f t="shared" si="370"/>
        <v>211.51215502557147</v>
      </c>
      <c r="T1132" s="6" t="str">
        <f>IF(MOD(C1132-Settings!$B$32,Settings!$B$33)&lt;Settings!$B$30,"Up","Down")</f>
        <v>Up</v>
      </c>
      <c r="U1132" s="6">
        <f>IF(OR(I1132&gt;Settings!$B$30,O1132&gt;Settings!$B$37),0,1)</f>
        <v>1</v>
      </c>
      <c r="V1132" s="6">
        <f>IF(AND(U1132=1,O1132&lt;=Settings!$B$36),1,0)</f>
        <v>0</v>
      </c>
    </row>
    <row r="1133" spans="1:22" x14ac:dyDescent="0.2">
      <c r="A1133">
        <f>Arrivals!A1133</f>
        <v>10</v>
      </c>
      <c r="B1133">
        <f>Arrivals!B1133</f>
        <v>48</v>
      </c>
      <c r="C1133" s="6">
        <f>Arrivals!F1133</f>
        <v>369</v>
      </c>
      <c r="D1133" s="6">
        <f>Arrivals!J1133</f>
        <v>16.76986065171522</v>
      </c>
      <c r="E1133" s="6">
        <f t="shared" si="371"/>
        <v>587.22773362752878</v>
      </c>
      <c r="F1133" s="6">
        <f t="shared" si="362"/>
        <v>587.22773362752878</v>
      </c>
      <c r="G1133" s="6">
        <f t="shared" si="363"/>
        <v>603.99759427924403</v>
      </c>
      <c r="H1133" s="6">
        <f>Arrivals!L1133</f>
        <v>75</v>
      </c>
      <c r="I1133" s="6">
        <f>H1133*8/ACE_Input!S53+ACE_Input!T53</f>
        <v>6.02</v>
      </c>
      <c r="J1133" s="6">
        <f t="shared" si="372"/>
        <v>593.24773362752876</v>
      </c>
      <c r="K1133" s="6">
        <f t="shared" si="364"/>
        <v>603.99759427924403</v>
      </c>
      <c r="L1133" s="6">
        <f>MOD(K1133-Settings!$B$32,Settings!$B$33)</f>
        <v>603.99759427924403</v>
      </c>
      <c r="M1133" s="6">
        <f>IF(L1133&lt;Settings!$B$30,IF(Settings!$B$30-L1133&gt;=I1133,K1133,K1133+(Settings!$B$30-L1133)+Settings!$B$31),K1133+(Settings!$B$33-L1133))</f>
        <v>720</v>
      </c>
      <c r="N1133" s="6">
        <f t="shared" si="365"/>
        <v>726.02</v>
      </c>
      <c r="O1133" s="6">
        <f t="shared" si="366"/>
        <v>357.02</v>
      </c>
      <c r="P1133" s="6">
        <f t="shared" si="367"/>
        <v>218.22773362752878</v>
      </c>
      <c r="Q1133" s="6">
        <f t="shared" si="368"/>
        <v>0</v>
      </c>
      <c r="R1133" s="6">
        <f t="shared" si="369"/>
        <v>116.00240572075597</v>
      </c>
      <c r="S1133" s="6">
        <f t="shared" si="370"/>
        <v>334.23013934828475</v>
      </c>
      <c r="T1133" s="6" t="str">
        <f>IF(MOD(C1133-Settings!$B$32,Settings!$B$33)&lt;Settings!$B$30,"Up","Down")</f>
        <v>Up</v>
      </c>
      <c r="U1133" s="6">
        <f>IF(OR(I1133&gt;Settings!$B$30,O1133&gt;Settings!$B$37),0,1)</f>
        <v>1</v>
      </c>
      <c r="V1133" s="6">
        <f>IF(AND(U1133=1,O1133&lt;=Settings!$B$36),1,0)</f>
        <v>0</v>
      </c>
    </row>
    <row r="1134" spans="1:22" x14ac:dyDescent="0.2">
      <c r="A1134">
        <f>Arrivals!A1134</f>
        <v>10</v>
      </c>
      <c r="B1134">
        <f>Arrivals!B1134</f>
        <v>49</v>
      </c>
      <c r="C1134" s="6">
        <f>Arrivals!F1134</f>
        <v>374</v>
      </c>
      <c r="D1134" s="6">
        <f>Arrivals!J1134</f>
        <v>0.26974224485801085</v>
      </c>
      <c r="E1134" s="6">
        <f t="shared" si="371"/>
        <v>603.99759427924403</v>
      </c>
      <c r="F1134" s="6">
        <f t="shared" si="362"/>
        <v>603.99759427924403</v>
      </c>
      <c r="G1134" s="6">
        <f t="shared" si="363"/>
        <v>604.26733652410201</v>
      </c>
      <c r="H1134" s="6">
        <f>Arrivals!L1134</f>
        <v>75</v>
      </c>
      <c r="I1134" s="6">
        <f>H1134*8/ACE_Input!S54+ACE_Input!T54</f>
        <v>6.02</v>
      </c>
      <c r="J1134" s="6">
        <f t="shared" si="372"/>
        <v>726.02</v>
      </c>
      <c r="K1134" s="6">
        <f t="shared" si="364"/>
        <v>726.02</v>
      </c>
      <c r="L1134" s="6">
        <f>MOD(K1134-Settings!$B$32,Settings!$B$33)</f>
        <v>6.0199999999999818</v>
      </c>
      <c r="M1134" s="6">
        <f>IF(L1134&lt;Settings!$B$30,IF(Settings!$B$30-L1134&gt;=I1134,K1134,K1134+(Settings!$B$30-L1134)+Settings!$B$31),K1134+(Settings!$B$33-L1134))</f>
        <v>726.02</v>
      </c>
      <c r="N1134" s="6">
        <f t="shared" si="365"/>
        <v>732.04</v>
      </c>
      <c r="O1134" s="6">
        <f t="shared" si="366"/>
        <v>358.03999999999996</v>
      </c>
      <c r="P1134" s="6">
        <f t="shared" si="367"/>
        <v>229.99759427924403</v>
      </c>
      <c r="Q1134" s="6">
        <f t="shared" si="368"/>
        <v>121.75266347589798</v>
      </c>
      <c r="R1134" s="6">
        <f t="shared" si="369"/>
        <v>0</v>
      </c>
      <c r="S1134" s="6">
        <f t="shared" si="370"/>
        <v>351.750257755142</v>
      </c>
      <c r="T1134" s="6" t="str">
        <f>IF(MOD(C1134-Settings!$B$32,Settings!$B$33)&lt;Settings!$B$30,"Up","Down")</f>
        <v>Up</v>
      </c>
      <c r="U1134" s="6">
        <f>IF(OR(I1134&gt;Settings!$B$30,O1134&gt;Settings!$B$37),0,1)</f>
        <v>1</v>
      </c>
      <c r="V1134" s="6">
        <f>IF(AND(U1134=1,O1134&lt;=Settings!$B$36),1,0)</f>
        <v>0</v>
      </c>
    </row>
    <row r="1135" spans="1:22" x14ac:dyDescent="0.2">
      <c r="A1135">
        <f>Arrivals!A1135</f>
        <v>10</v>
      </c>
      <c r="B1135">
        <f>Arrivals!B1135</f>
        <v>50</v>
      </c>
      <c r="C1135" s="6">
        <f>Arrivals!F1135</f>
        <v>379</v>
      </c>
      <c r="D1135" s="6">
        <f>Arrivals!J1135</f>
        <v>10.466629224705965</v>
      </c>
      <c r="E1135" s="6">
        <f t="shared" si="371"/>
        <v>604.26733652410201</v>
      </c>
      <c r="F1135" s="6">
        <f t="shared" si="362"/>
        <v>604.26733652410201</v>
      </c>
      <c r="G1135" s="6">
        <f t="shared" si="363"/>
        <v>614.73396574880792</v>
      </c>
      <c r="H1135" s="6">
        <f>Arrivals!L1135</f>
        <v>75</v>
      </c>
      <c r="I1135" s="6">
        <f>H1135*8/ACE_Input!S55+ACE_Input!T55</f>
        <v>6.02</v>
      </c>
      <c r="J1135" s="6">
        <f t="shared" si="372"/>
        <v>732.04</v>
      </c>
      <c r="K1135" s="6">
        <f t="shared" si="364"/>
        <v>732.04</v>
      </c>
      <c r="L1135" s="6">
        <f>MOD(K1135-Settings!$B$32,Settings!$B$33)</f>
        <v>12.039999999999964</v>
      </c>
      <c r="M1135" s="6">
        <f>IF(L1135&lt;Settings!$B$30,IF(Settings!$B$30-L1135&gt;=I1135,K1135,K1135+(Settings!$B$30-L1135)+Settings!$B$31),K1135+(Settings!$B$33-L1135))</f>
        <v>732.04</v>
      </c>
      <c r="N1135" s="6">
        <f t="shared" si="365"/>
        <v>738.06</v>
      </c>
      <c r="O1135" s="6">
        <f t="shared" si="366"/>
        <v>359.05999999999995</v>
      </c>
      <c r="P1135" s="6">
        <f t="shared" si="367"/>
        <v>225.26733652410201</v>
      </c>
      <c r="Q1135" s="6">
        <f t="shared" si="368"/>
        <v>117.30603425119205</v>
      </c>
      <c r="R1135" s="6">
        <f t="shared" si="369"/>
        <v>0</v>
      </c>
      <c r="S1135" s="6">
        <f t="shared" si="370"/>
        <v>342.57337077529405</v>
      </c>
      <c r="T1135" s="6" t="str">
        <f>IF(MOD(C1135-Settings!$B$32,Settings!$B$33)&lt;Settings!$B$30,"Up","Down")</f>
        <v>Up</v>
      </c>
      <c r="U1135" s="6">
        <f>IF(OR(I1135&gt;Settings!$B$30,O1135&gt;Settings!$B$37),0,1)</f>
        <v>1</v>
      </c>
      <c r="V1135" s="6">
        <f>IF(AND(U1135=1,O1135&lt;=Settings!$B$36),1,0)</f>
        <v>0</v>
      </c>
    </row>
    <row r="1136" spans="1:22" x14ac:dyDescent="0.2">
      <c r="A1136">
        <f>Arrivals!A1136</f>
        <v>10</v>
      </c>
      <c r="B1136">
        <f>Arrivals!B1136</f>
        <v>51</v>
      </c>
      <c r="C1136" s="6">
        <f>Arrivals!F1136</f>
        <v>384</v>
      </c>
      <c r="D1136" s="6">
        <f>Arrivals!J1136</f>
        <v>4.0996158656081603</v>
      </c>
      <c r="E1136" s="6">
        <f t="shared" si="371"/>
        <v>614.73396574880792</v>
      </c>
      <c r="F1136" s="6">
        <f t="shared" si="362"/>
        <v>614.73396574880792</v>
      </c>
      <c r="G1136" s="6">
        <f t="shared" si="363"/>
        <v>618.83358161441606</v>
      </c>
      <c r="H1136" s="6">
        <f>Arrivals!L1136</f>
        <v>75</v>
      </c>
      <c r="I1136" s="6">
        <f>H1136*8/ACE_Input!S56+ACE_Input!T56</f>
        <v>6.02</v>
      </c>
      <c r="J1136" s="6">
        <f t="shared" si="372"/>
        <v>738.06</v>
      </c>
      <c r="K1136" s="6">
        <f t="shared" si="364"/>
        <v>738.06</v>
      </c>
      <c r="L1136" s="6">
        <f>MOD(K1136-Settings!$B$32,Settings!$B$33)</f>
        <v>18.059999999999945</v>
      </c>
      <c r="M1136" s="6">
        <f>IF(L1136&lt;Settings!$B$30,IF(Settings!$B$30-L1136&gt;=I1136,K1136,K1136+(Settings!$B$30-L1136)+Settings!$B$31),K1136+(Settings!$B$33-L1136))</f>
        <v>738.06</v>
      </c>
      <c r="N1136" s="6">
        <f t="shared" si="365"/>
        <v>744.07999999999993</v>
      </c>
      <c r="O1136" s="6">
        <f t="shared" si="366"/>
        <v>360.07999999999993</v>
      </c>
      <c r="P1136" s="6">
        <f t="shared" si="367"/>
        <v>230.73396574880792</v>
      </c>
      <c r="Q1136" s="6">
        <f t="shared" si="368"/>
        <v>119.22641838558388</v>
      </c>
      <c r="R1136" s="6">
        <f t="shared" si="369"/>
        <v>0</v>
      </c>
      <c r="S1136" s="6">
        <f t="shared" si="370"/>
        <v>349.9603841343918</v>
      </c>
      <c r="T1136" s="6" t="str">
        <f>IF(MOD(C1136-Settings!$B$32,Settings!$B$33)&lt;Settings!$B$30,"Up","Down")</f>
        <v>Up</v>
      </c>
      <c r="U1136" s="6">
        <f>IF(OR(I1136&gt;Settings!$B$30,O1136&gt;Settings!$B$37),0,1)</f>
        <v>1</v>
      </c>
      <c r="V1136" s="6">
        <f>IF(AND(U1136=1,O1136&lt;=Settings!$B$36),1,0)</f>
        <v>0</v>
      </c>
    </row>
    <row r="1137" spans="1:22" x14ac:dyDescent="0.2">
      <c r="A1137">
        <f>Arrivals!A1137</f>
        <v>10</v>
      </c>
      <c r="B1137">
        <f>Arrivals!B1137</f>
        <v>52</v>
      </c>
      <c r="C1137" s="6">
        <f>Arrivals!F1137</f>
        <v>389</v>
      </c>
      <c r="D1137" s="6">
        <f>Arrivals!J1137</f>
        <v>20.258081400979719</v>
      </c>
      <c r="E1137" s="6">
        <f t="shared" si="371"/>
        <v>618.83358161441606</v>
      </c>
      <c r="F1137" s="6">
        <f t="shared" si="362"/>
        <v>618.83358161441606</v>
      </c>
      <c r="G1137" s="6">
        <f t="shared" si="363"/>
        <v>639.09166301539574</v>
      </c>
      <c r="H1137" s="6">
        <f>Arrivals!L1137</f>
        <v>75</v>
      </c>
      <c r="I1137" s="6">
        <f>H1137*8/ACE_Input!S57+ACE_Input!T57</f>
        <v>6.02</v>
      </c>
      <c r="J1137" s="6">
        <f t="shared" si="372"/>
        <v>744.07999999999993</v>
      </c>
      <c r="K1137" s="6">
        <f t="shared" si="364"/>
        <v>744.07999999999993</v>
      </c>
      <c r="L1137" s="6">
        <f>MOD(K1137-Settings!$B$32,Settings!$B$33)</f>
        <v>24.079999999999927</v>
      </c>
      <c r="M1137" s="6">
        <f>IF(L1137&lt;Settings!$B$30,IF(Settings!$B$30-L1137&gt;=I1137,K1137,K1137+(Settings!$B$30-L1137)+Settings!$B$31),K1137+(Settings!$B$33-L1137))</f>
        <v>744.07999999999993</v>
      </c>
      <c r="N1137" s="6">
        <f t="shared" si="365"/>
        <v>750.09999999999991</v>
      </c>
      <c r="O1137" s="6">
        <f t="shared" si="366"/>
        <v>361.09999999999991</v>
      </c>
      <c r="P1137" s="6">
        <f t="shared" si="367"/>
        <v>229.83358161441606</v>
      </c>
      <c r="Q1137" s="6">
        <f t="shared" si="368"/>
        <v>104.98833698460419</v>
      </c>
      <c r="R1137" s="6">
        <f t="shared" si="369"/>
        <v>0</v>
      </c>
      <c r="S1137" s="6">
        <f t="shared" si="370"/>
        <v>334.82191859902025</v>
      </c>
      <c r="T1137" s="6" t="str">
        <f>IF(MOD(C1137-Settings!$B$32,Settings!$B$33)&lt;Settings!$B$30,"Up","Down")</f>
        <v>Up</v>
      </c>
      <c r="U1137" s="6">
        <f>IF(OR(I1137&gt;Settings!$B$30,O1137&gt;Settings!$B$37),0,1)</f>
        <v>1</v>
      </c>
      <c r="V1137" s="6">
        <f>IF(AND(U1137=1,O1137&lt;=Settings!$B$36),1,0)</f>
        <v>0</v>
      </c>
    </row>
    <row r="1138" spans="1:22" x14ac:dyDescent="0.2">
      <c r="A1138">
        <f>Arrivals!A1138</f>
        <v>10</v>
      </c>
      <c r="B1138">
        <f>Arrivals!B1138</f>
        <v>53</v>
      </c>
      <c r="C1138" s="6">
        <f>Arrivals!F1138</f>
        <v>394</v>
      </c>
      <c r="D1138" s="6">
        <f>Arrivals!J1138</f>
        <v>1.4071911654847726</v>
      </c>
      <c r="E1138" s="6">
        <f t="shared" si="371"/>
        <v>639.09166301539574</v>
      </c>
      <c r="F1138" s="6">
        <f t="shared" si="362"/>
        <v>639.09166301539574</v>
      </c>
      <c r="G1138" s="6">
        <f t="shared" si="363"/>
        <v>640.49885418088047</v>
      </c>
      <c r="H1138" s="6">
        <f>Arrivals!L1138</f>
        <v>75</v>
      </c>
      <c r="I1138" s="6">
        <f>H1138*8/ACE_Input!S58+ACE_Input!T58</f>
        <v>6.02</v>
      </c>
      <c r="J1138" s="6">
        <f t="shared" si="372"/>
        <v>750.09999999999991</v>
      </c>
      <c r="K1138" s="6">
        <f t="shared" si="364"/>
        <v>750.09999999999991</v>
      </c>
      <c r="L1138" s="6">
        <f>MOD(K1138-Settings!$B$32,Settings!$B$33)</f>
        <v>30.099999999999909</v>
      </c>
      <c r="M1138" s="6">
        <f>IF(L1138&lt;Settings!$B$30,IF(Settings!$B$30-L1138&gt;=I1138,K1138,K1138+(Settings!$B$30-L1138)+Settings!$B$31),K1138+(Settings!$B$33-L1138))</f>
        <v>750.09999999999991</v>
      </c>
      <c r="N1138" s="6">
        <f t="shared" si="365"/>
        <v>756.11999999999989</v>
      </c>
      <c r="O1138" s="6">
        <f t="shared" si="366"/>
        <v>362.11999999999989</v>
      </c>
      <c r="P1138" s="6">
        <f t="shared" si="367"/>
        <v>245.09166301539574</v>
      </c>
      <c r="Q1138" s="6">
        <f t="shared" si="368"/>
        <v>109.60114581911944</v>
      </c>
      <c r="R1138" s="6">
        <f t="shared" si="369"/>
        <v>0</v>
      </c>
      <c r="S1138" s="6">
        <f t="shared" si="370"/>
        <v>354.69280883451518</v>
      </c>
      <c r="T1138" s="6" t="str">
        <f>IF(MOD(C1138-Settings!$B$32,Settings!$B$33)&lt;Settings!$B$30,"Up","Down")</f>
        <v>Up</v>
      </c>
      <c r="U1138" s="6">
        <f>IF(OR(I1138&gt;Settings!$B$30,O1138&gt;Settings!$B$37),0,1)</f>
        <v>1</v>
      </c>
      <c r="V1138" s="6">
        <f>IF(AND(U1138=1,O1138&lt;=Settings!$B$36),1,0)</f>
        <v>0</v>
      </c>
    </row>
    <row r="1139" spans="1:22" x14ac:dyDescent="0.2">
      <c r="A1139">
        <f>Arrivals!A1139</f>
        <v>10</v>
      </c>
      <c r="B1139">
        <f>Arrivals!B1139</f>
        <v>54</v>
      </c>
      <c r="C1139" s="6">
        <f>Arrivals!F1139</f>
        <v>399</v>
      </c>
      <c r="D1139" s="6">
        <f>Arrivals!J1139</f>
        <v>15.152995515224081</v>
      </c>
      <c r="E1139" s="6">
        <f t="shared" si="371"/>
        <v>640.49885418088047</v>
      </c>
      <c r="F1139" s="6">
        <f t="shared" si="362"/>
        <v>640.49885418088047</v>
      </c>
      <c r="G1139" s="6">
        <f t="shared" si="363"/>
        <v>655.65184969610459</v>
      </c>
      <c r="H1139" s="6">
        <f>Arrivals!L1139</f>
        <v>75</v>
      </c>
      <c r="I1139" s="6">
        <f>H1139*8/ACE_Input!S59+ACE_Input!T59</f>
        <v>6.02</v>
      </c>
      <c r="J1139" s="6">
        <f t="shared" si="372"/>
        <v>756.11999999999989</v>
      </c>
      <c r="K1139" s="6">
        <f t="shared" si="364"/>
        <v>756.11999999999989</v>
      </c>
      <c r="L1139" s="6">
        <f>MOD(K1139-Settings!$B$32,Settings!$B$33)</f>
        <v>36.119999999999891</v>
      </c>
      <c r="M1139" s="6">
        <f>IF(L1139&lt;Settings!$B$30,IF(Settings!$B$30-L1139&gt;=I1139,K1139,K1139+(Settings!$B$30-L1139)+Settings!$B$31),K1139+(Settings!$B$33-L1139))</f>
        <v>756.11999999999989</v>
      </c>
      <c r="N1139" s="6">
        <f t="shared" si="365"/>
        <v>762.13999999999987</v>
      </c>
      <c r="O1139" s="6">
        <f t="shared" si="366"/>
        <v>363.13999999999987</v>
      </c>
      <c r="P1139" s="6">
        <f t="shared" si="367"/>
        <v>241.49885418088047</v>
      </c>
      <c r="Q1139" s="6">
        <f t="shared" si="368"/>
        <v>100.4681503038953</v>
      </c>
      <c r="R1139" s="6">
        <f t="shared" si="369"/>
        <v>0</v>
      </c>
      <c r="S1139" s="6">
        <f t="shared" si="370"/>
        <v>341.96700448477577</v>
      </c>
      <c r="T1139" s="6" t="str">
        <f>IF(MOD(C1139-Settings!$B$32,Settings!$B$33)&lt;Settings!$B$30,"Up","Down")</f>
        <v>Up</v>
      </c>
      <c r="U1139" s="6">
        <f>IF(OR(I1139&gt;Settings!$B$30,O1139&gt;Settings!$B$37),0,1)</f>
        <v>1</v>
      </c>
      <c r="V1139" s="6">
        <f>IF(AND(U1139=1,O1139&lt;=Settings!$B$36),1,0)</f>
        <v>0</v>
      </c>
    </row>
    <row r="1140" spans="1:22" x14ac:dyDescent="0.2">
      <c r="A1140">
        <f>Arrivals!A1140</f>
        <v>10</v>
      </c>
      <c r="B1140">
        <f>Arrivals!B1140</f>
        <v>55</v>
      </c>
      <c r="C1140" s="6">
        <f>Arrivals!F1140</f>
        <v>404</v>
      </c>
      <c r="D1140" s="6">
        <f>Arrivals!J1140</f>
        <v>15.158986800038607</v>
      </c>
      <c r="E1140" s="6">
        <f t="shared" si="371"/>
        <v>655.65184969610459</v>
      </c>
      <c r="F1140" s="6">
        <f t="shared" si="362"/>
        <v>655.65184969610459</v>
      </c>
      <c r="G1140" s="6">
        <f t="shared" si="363"/>
        <v>670.81083649614322</v>
      </c>
      <c r="H1140" s="6">
        <f>Arrivals!L1140</f>
        <v>75</v>
      </c>
      <c r="I1140" s="6">
        <f>H1140*8/ACE_Input!S60+ACE_Input!T60</f>
        <v>6.02</v>
      </c>
      <c r="J1140" s="6">
        <f t="shared" si="372"/>
        <v>762.13999999999987</v>
      </c>
      <c r="K1140" s="6">
        <f t="shared" si="364"/>
        <v>762.13999999999987</v>
      </c>
      <c r="L1140" s="6">
        <f>MOD(K1140-Settings!$B$32,Settings!$B$33)</f>
        <v>42.139999999999873</v>
      </c>
      <c r="M1140" s="6">
        <f>IF(L1140&lt;Settings!$B$30,IF(Settings!$B$30-L1140&gt;=I1140,K1140,K1140+(Settings!$B$30-L1140)+Settings!$B$31),K1140+(Settings!$B$33-L1140))</f>
        <v>762.13999999999987</v>
      </c>
      <c r="N1140" s="6">
        <f t="shared" si="365"/>
        <v>768.15999999999985</v>
      </c>
      <c r="O1140" s="6">
        <f t="shared" si="366"/>
        <v>364.15999999999985</v>
      </c>
      <c r="P1140" s="6">
        <f t="shared" si="367"/>
        <v>251.65184969610459</v>
      </c>
      <c r="Q1140" s="6">
        <f t="shared" si="368"/>
        <v>91.329163503856648</v>
      </c>
      <c r="R1140" s="6">
        <f t="shared" si="369"/>
        <v>0</v>
      </c>
      <c r="S1140" s="6">
        <f t="shared" si="370"/>
        <v>342.98101319996124</v>
      </c>
      <c r="T1140" s="6" t="str">
        <f>IF(MOD(C1140-Settings!$B$32,Settings!$B$33)&lt;Settings!$B$30,"Up","Down")</f>
        <v>Up</v>
      </c>
      <c r="U1140" s="6">
        <f>IF(OR(I1140&gt;Settings!$B$30,O1140&gt;Settings!$B$37),0,1)</f>
        <v>1</v>
      </c>
      <c r="V1140" s="6">
        <f>IF(AND(U1140=1,O1140&lt;=Settings!$B$36),1,0)</f>
        <v>0</v>
      </c>
    </row>
    <row r="1141" spans="1:22" x14ac:dyDescent="0.2">
      <c r="A1141">
        <f>Arrivals!A1141</f>
        <v>10</v>
      </c>
      <c r="B1141">
        <f>Arrivals!B1141</f>
        <v>56</v>
      </c>
      <c r="C1141" s="6">
        <f>Arrivals!F1141</f>
        <v>409</v>
      </c>
      <c r="D1141" s="6">
        <f>Arrivals!J1141</f>
        <v>1.1365037291685547</v>
      </c>
      <c r="E1141" s="6">
        <f t="shared" si="371"/>
        <v>670.81083649614322</v>
      </c>
      <c r="F1141" s="6">
        <f t="shared" si="362"/>
        <v>670.81083649614322</v>
      </c>
      <c r="G1141" s="6">
        <f t="shared" si="363"/>
        <v>671.94734022531179</v>
      </c>
      <c r="H1141" s="6">
        <f>Arrivals!L1141</f>
        <v>75</v>
      </c>
      <c r="I1141" s="6">
        <f>H1141*8/ACE_Input!S61+ACE_Input!T61</f>
        <v>6.02</v>
      </c>
      <c r="J1141" s="6">
        <f t="shared" si="372"/>
        <v>768.15999999999985</v>
      </c>
      <c r="K1141" s="6">
        <f t="shared" si="364"/>
        <v>768.15999999999985</v>
      </c>
      <c r="L1141" s="6">
        <f>MOD(K1141-Settings!$B$32,Settings!$B$33)</f>
        <v>48.159999999999854</v>
      </c>
      <c r="M1141" s="6">
        <f>IF(L1141&lt;Settings!$B$30,IF(Settings!$B$30-L1141&gt;=I1141,K1141,K1141+(Settings!$B$30-L1141)+Settings!$B$31),K1141+(Settings!$B$33-L1141))</f>
        <v>768.15999999999985</v>
      </c>
      <c r="N1141" s="6">
        <f t="shared" si="365"/>
        <v>774.17999999999984</v>
      </c>
      <c r="O1141" s="6">
        <f t="shared" si="366"/>
        <v>365.17999999999984</v>
      </c>
      <c r="P1141" s="6">
        <f t="shared" si="367"/>
        <v>261.81083649614322</v>
      </c>
      <c r="Q1141" s="6">
        <f t="shared" si="368"/>
        <v>96.212659774688063</v>
      </c>
      <c r="R1141" s="6">
        <f t="shared" si="369"/>
        <v>0</v>
      </c>
      <c r="S1141" s="6">
        <f t="shared" si="370"/>
        <v>358.02349627083129</v>
      </c>
      <c r="T1141" s="6" t="str">
        <f>IF(MOD(C1141-Settings!$B$32,Settings!$B$33)&lt;Settings!$B$30,"Up","Down")</f>
        <v>Up</v>
      </c>
      <c r="U1141" s="6">
        <f>IF(OR(I1141&gt;Settings!$B$30,O1141&gt;Settings!$B$37),0,1)</f>
        <v>1</v>
      </c>
      <c r="V1141" s="6">
        <f>IF(AND(U1141=1,O1141&lt;=Settings!$B$36),1,0)</f>
        <v>0</v>
      </c>
    </row>
    <row r="1142" spans="1:22" x14ac:dyDescent="0.2">
      <c r="A1142">
        <f>Arrivals!A1142</f>
        <v>10</v>
      </c>
      <c r="B1142">
        <f>Arrivals!B1142</f>
        <v>57</v>
      </c>
      <c r="C1142" s="6">
        <f>Arrivals!F1142</f>
        <v>414</v>
      </c>
      <c r="D1142" s="6">
        <f>Arrivals!J1142</f>
        <v>15.080353673655393</v>
      </c>
      <c r="E1142" s="6">
        <f t="shared" si="371"/>
        <v>671.94734022531179</v>
      </c>
      <c r="F1142" s="6">
        <f t="shared" si="362"/>
        <v>671.94734022531179</v>
      </c>
      <c r="G1142" s="6">
        <f t="shared" si="363"/>
        <v>687.02769389896719</v>
      </c>
      <c r="H1142" s="6">
        <f>Arrivals!L1142</f>
        <v>75</v>
      </c>
      <c r="I1142" s="6">
        <f>H1142*8/ACE_Input!S62+ACE_Input!T62</f>
        <v>6.02</v>
      </c>
      <c r="J1142" s="6">
        <f t="shared" si="372"/>
        <v>774.17999999999984</v>
      </c>
      <c r="K1142" s="6">
        <f t="shared" si="364"/>
        <v>774.17999999999984</v>
      </c>
      <c r="L1142" s="6">
        <f>MOD(K1142-Settings!$B$32,Settings!$B$33)</f>
        <v>54.179999999999836</v>
      </c>
      <c r="M1142" s="6">
        <f>IF(L1142&lt;Settings!$B$30,IF(Settings!$B$30-L1142&gt;=I1142,K1142,K1142+(Settings!$B$30-L1142)+Settings!$B$31),K1142+(Settings!$B$33-L1142))</f>
        <v>774.17999999999984</v>
      </c>
      <c r="N1142" s="6">
        <f t="shared" si="365"/>
        <v>780.19999999999982</v>
      </c>
      <c r="O1142" s="6">
        <f t="shared" si="366"/>
        <v>366.19999999999982</v>
      </c>
      <c r="P1142" s="6">
        <f t="shared" si="367"/>
        <v>257.94734022531179</v>
      </c>
      <c r="Q1142" s="6">
        <f t="shared" si="368"/>
        <v>87.15230610103265</v>
      </c>
      <c r="R1142" s="6">
        <f t="shared" si="369"/>
        <v>0</v>
      </c>
      <c r="S1142" s="6">
        <f t="shared" si="370"/>
        <v>345.09964632634444</v>
      </c>
      <c r="T1142" s="6" t="str">
        <f>IF(MOD(C1142-Settings!$B$32,Settings!$B$33)&lt;Settings!$B$30,"Up","Down")</f>
        <v>Up</v>
      </c>
      <c r="U1142" s="6">
        <f>IF(OR(I1142&gt;Settings!$B$30,O1142&gt;Settings!$B$37),0,1)</f>
        <v>1</v>
      </c>
      <c r="V1142" s="6">
        <f>IF(AND(U1142=1,O1142&lt;=Settings!$B$36),1,0)</f>
        <v>0</v>
      </c>
    </row>
    <row r="1143" spans="1:22" x14ac:dyDescent="0.2">
      <c r="A1143">
        <f>Arrivals!A1143</f>
        <v>10</v>
      </c>
      <c r="B1143">
        <f>Arrivals!B1143</f>
        <v>58</v>
      </c>
      <c r="C1143" s="6">
        <f>Arrivals!F1143</f>
        <v>419</v>
      </c>
      <c r="D1143" s="6">
        <f>Arrivals!J1143</f>
        <v>22.764848147221542</v>
      </c>
      <c r="E1143" s="6">
        <f t="shared" si="371"/>
        <v>687.02769389896719</v>
      </c>
      <c r="F1143" s="6">
        <f t="shared" si="362"/>
        <v>687.02769389896719</v>
      </c>
      <c r="G1143" s="6">
        <f t="shared" si="363"/>
        <v>709.79254204618871</v>
      </c>
      <c r="H1143" s="6">
        <f>Arrivals!L1143</f>
        <v>75</v>
      </c>
      <c r="I1143" s="6">
        <f>H1143*8/ACE_Input!S63+ACE_Input!T63</f>
        <v>6.02</v>
      </c>
      <c r="J1143" s="6">
        <f t="shared" si="372"/>
        <v>780.19999999999982</v>
      </c>
      <c r="K1143" s="6">
        <f t="shared" si="364"/>
        <v>780.19999999999982</v>
      </c>
      <c r="L1143" s="6">
        <f>MOD(K1143-Settings!$B$32,Settings!$B$33)</f>
        <v>60.199999999999818</v>
      </c>
      <c r="M1143" s="6">
        <f>IF(L1143&lt;Settings!$B$30,IF(Settings!$B$30-L1143&gt;=I1143,K1143,K1143+(Settings!$B$30-L1143)+Settings!$B$31),K1143+(Settings!$B$33-L1143))</f>
        <v>780.19999999999982</v>
      </c>
      <c r="N1143" s="6">
        <f t="shared" si="365"/>
        <v>786.2199999999998</v>
      </c>
      <c r="O1143" s="6">
        <f t="shared" si="366"/>
        <v>367.2199999999998</v>
      </c>
      <c r="P1143" s="6">
        <f t="shared" si="367"/>
        <v>268.02769389896719</v>
      </c>
      <c r="Q1143" s="6">
        <f t="shared" si="368"/>
        <v>70.407457953811104</v>
      </c>
      <c r="R1143" s="6">
        <f t="shared" si="369"/>
        <v>0</v>
      </c>
      <c r="S1143" s="6">
        <f t="shared" si="370"/>
        <v>338.43515185277829</v>
      </c>
      <c r="T1143" s="6" t="str">
        <f>IF(MOD(C1143-Settings!$B$32,Settings!$B$33)&lt;Settings!$B$30,"Up","Down")</f>
        <v>Up</v>
      </c>
      <c r="U1143" s="6">
        <f>IF(OR(I1143&gt;Settings!$B$30,O1143&gt;Settings!$B$37),0,1)</f>
        <v>1</v>
      </c>
      <c r="V1143" s="6">
        <f>IF(AND(U1143=1,O1143&lt;=Settings!$B$36),1,0)</f>
        <v>0</v>
      </c>
    </row>
    <row r="1144" spans="1:22" x14ac:dyDescent="0.2">
      <c r="A1144">
        <f>Arrivals!A1144</f>
        <v>10</v>
      </c>
      <c r="B1144">
        <f>Arrivals!B1144</f>
        <v>59</v>
      </c>
      <c r="C1144" s="6">
        <f>Arrivals!F1144</f>
        <v>424</v>
      </c>
      <c r="D1144" s="6">
        <f>Arrivals!J1144</f>
        <v>20.963326435102818</v>
      </c>
      <c r="E1144" s="6">
        <f t="shared" si="371"/>
        <v>709.79254204618871</v>
      </c>
      <c r="F1144" s="6">
        <f t="shared" si="362"/>
        <v>709.79254204618871</v>
      </c>
      <c r="G1144" s="6">
        <f t="shared" si="363"/>
        <v>730.75586848129149</v>
      </c>
      <c r="H1144" s="6">
        <f>Arrivals!L1144</f>
        <v>75</v>
      </c>
      <c r="I1144" s="6">
        <f>H1144*8/ACE_Input!S64+ACE_Input!T64</f>
        <v>6.02</v>
      </c>
      <c r="J1144" s="6">
        <f t="shared" si="372"/>
        <v>786.2199999999998</v>
      </c>
      <c r="K1144" s="6">
        <f t="shared" si="364"/>
        <v>786.2199999999998</v>
      </c>
      <c r="L1144" s="6">
        <f>MOD(K1144-Settings!$B$32,Settings!$B$33)</f>
        <v>66.2199999999998</v>
      </c>
      <c r="M1144" s="6">
        <f>IF(L1144&lt;Settings!$B$30,IF(Settings!$B$30-L1144&gt;=I1144,K1144,K1144+(Settings!$B$30-L1144)+Settings!$B$31),K1144+(Settings!$B$33-L1144))</f>
        <v>786.2199999999998</v>
      </c>
      <c r="N1144" s="6">
        <f t="shared" si="365"/>
        <v>792.23999999999978</v>
      </c>
      <c r="O1144" s="6">
        <f t="shared" si="366"/>
        <v>368.23999999999978</v>
      </c>
      <c r="P1144" s="6">
        <f t="shared" si="367"/>
        <v>285.79254204618871</v>
      </c>
      <c r="Q1144" s="6">
        <f t="shared" si="368"/>
        <v>55.464131518708314</v>
      </c>
      <c r="R1144" s="6">
        <f t="shared" si="369"/>
        <v>0</v>
      </c>
      <c r="S1144" s="6">
        <f t="shared" si="370"/>
        <v>341.25667356489703</v>
      </c>
      <c r="T1144" s="6" t="str">
        <f>IF(MOD(C1144-Settings!$B$32,Settings!$B$33)&lt;Settings!$B$30,"Up","Down")</f>
        <v>Up</v>
      </c>
      <c r="U1144" s="6">
        <f>IF(OR(I1144&gt;Settings!$B$30,O1144&gt;Settings!$B$37),0,1)</f>
        <v>1</v>
      </c>
      <c r="V1144" s="6">
        <f>IF(AND(U1144=1,O1144&lt;=Settings!$B$36),1,0)</f>
        <v>0</v>
      </c>
    </row>
    <row r="1145" spans="1:22" x14ac:dyDescent="0.2">
      <c r="A1145">
        <f>Arrivals!A1145</f>
        <v>10</v>
      </c>
      <c r="B1145">
        <f>Arrivals!B1145</f>
        <v>60</v>
      </c>
      <c r="C1145" s="6">
        <f>Arrivals!F1145</f>
        <v>429</v>
      </c>
      <c r="D1145" s="6">
        <f>Arrivals!J1145</f>
        <v>6.998343385752543</v>
      </c>
      <c r="E1145" s="6">
        <f t="shared" si="371"/>
        <v>730.75586848129149</v>
      </c>
      <c r="F1145" s="6">
        <f t="shared" si="362"/>
        <v>730.75586848129149</v>
      </c>
      <c r="G1145" s="6">
        <f t="shared" si="363"/>
        <v>737.75421186704398</v>
      </c>
      <c r="H1145" s="6">
        <f>Arrivals!L1145</f>
        <v>75</v>
      </c>
      <c r="I1145" s="6">
        <f>H1145*8/ACE_Input!S65+ACE_Input!T65</f>
        <v>6.02</v>
      </c>
      <c r="J1145" s="6">
        <f t="shared" si="372"/>
        <v>792.23999999999978</v>
      </c>
      <c r="K1145" s="6">
        <f t="shared" si="364"/>
        <v>792.23999999999978</v>
      </c>
      <c r="L1145" s="6">
        <f>MOD(K1145-Settings!$B$32,Settings!$B$33)</f>
        <v>72.239999999999782</v>
      </c>
      <c r="M1145" s="6">
        <f>IF(L1145&lt;Settings!$B$30,IF(Settings!$B$30-L1145&gt;=I1145,K1145,K1145+(Settings!$B$30-L1145)+Settings!$B$31),K1145+(Settings!$B$33-L1145))</f>
        <v>792.23999999999978</v>
      </c>
      <c r="N1145" s="6">
        <f t="shared" si="365"/>
        <v>798.25999999999976</v>
      </c>
      <c r="O1145" s="6">
        <f t="shared" si="366"/>
        <v>369.25999999999976</v>
      </c>
      <c r="P1145" s="6">
        <f t="shared" si="367"/>
        <v>301.75586848129149</v>
      </c>
      <c r="Q1145" s="6">
        <f t="shared" si="368"/>
        <v>54.485788132955804</v>
      </c>
      <c r="R1145" s="6">
        <f t="shared" si="369"/>
        <v>0</v>
      </c>
      <c r="S1145" s="6">
        <f t="shared" si="370"/>
        <v>356.24165661424729</v>
      </c>
      <c r="T1145" s="6" t="str">
        <f>IF(MOD(C1145-Settings!$B$32,Settings!$B$33)&lt;Settings!$B$30,"Up","Down")</f>
        <v>Up</v>
      </c>
      <c r="U1145" s="6">
        <f>IF(OR(I1145&gt;Settings!$B$30,O1145&gt;Settings!$B$37),0,1)</f>
        <v>1</v>
      </c>
      <c r="V1145" s="6">
        <f>IF(AND(U1145=1,O1145&lt;=Settings!$B$36),1,0)</f>
        <v>0</v>
      </c>
    </row>
    <row r="1146" spans="1:22" x14ac:dyDescent="0.2">
      <c r="A1146">
        <f>Arrivals!A1146</f>
        <v>10</v>
      </c>
      <c r="B1146">
        <f>Arrivals!B1146</f>
        <v>61</v>
      </c>
      <c r="C1146" s="6">
        <f>Arrivals!F1146</f>
        <v>434</v>
      </c>
      <c r="D1146" s="6">
        <f>Arrivals!J1146</f>
        <v>19.831141727802144</v>
      </c>
      <c r="E1146" s="6">
        <f t="shared" si="371"/>
        <v>737.75421186704398</v>
      </c>
      <c r="F1146" s="6">
        <f t="shared" si="362"/>
        <v>737.75421186704398</v>
      </c>
      <c r="G1146" s="6">
        <f t="shared" si="363"/>
        <v>757.58535359484608</v>
      </c>
      <c r="H1146" s="6">
        <f>Arrivals!L1146</f>
        <v>75</v>
      </c>
      <c r="I1146" s="6">
        <f>H1146*8/ACE_Input!S66+ACE_Input!T66</f>
        <v>6.02</v>
      </c>
      <c r="J1146" s="6">
        <f t="shared" si="372"/>
        <v>798.25999999999976</v>
      </c>
      <c r="K1146" s="6">
        <f t="shared" si="364"/>
        <v>798.25999999999976</v>
      </c>
      <c r="L1146" s="6">
        <f>MOD(K1146-Settings!$B$32,Settings!$B$33)</f>
        <v>78.259999999999764</v>
      </c>
      <c r="M1146" s="6">
        <f>IF(L1146&lt;Settings!$B$30,IF(Settings!$B$30-L1146&gt;=I1146,K1146,K1146+(Settings!$B$30-L1146)+Settings!$B$31),K1146+(Settings!$B$33-L1146))</f>
        <v>798.25999999999976</v>
      </c>
      <c r="N1146" s="6">
        <f t="shared" si="365"/>
        <v>804.27999999999975</v>
      </c>
      <c r="O1146" s="6">
        <f t="shared" si="366"/>
        <v>370.27999999999975</v>
      </c>
      <c r="P1146" s="6">
        <f t="shared" si="367"/>
        <v>303.75421186704398</v>
      </c>
      <c r="Q1146" s="6">
        <f t="shared" si="368"/>
        <v>40.67464640515368</v>
      </c>
      <c r="R1146" s="6">
        <f t="shared" si="369"/>
        <v>0</v>
      </c>
      <c r="S1146" s="6">
        <f t="shared" si="370"/>
        <v>344.42885827219766</v>
      </c>
      <c r="T1146" s="6" t="str">
        <f>IF(MOD(C1146-Settings!$B$32,Settings!$B$33)&lt;Settings!$B$30,"Up","Down")</f>
        <v>Up</v>
      </c>
      <c r="U1146" s="6">
        <f>IF(OR(I1146&gt;Settings!$B$30,O1146&gt;Settings!$B$37),0,1)</f>
        <v>1</v>
      </c>
      <c r="V1146" s="6">
        <f>IF(AND(U1146=1,O1146&lt;=Settings!$B$36),1,0)</f>
        <v>0</v>
      </c>
    </row>
    <row r="1147" spans="1:22" x14ac:dyDescent="0.2">
      <c r="A1147">
        <f>Arrivals!A1147</f>
        <v>10</v>
      </c>
      <c r="B1147">
        <f>Arrivals!B1147</f>
        <v>62</v>
      </c>
      <c r="C1147" s="6">
        <f>Arrivals!F1147</f>
        <v>439</v>
      </c>
      <c r="D1147" s="6">
        <f>Arrivals!J1147</f>
        <v>10.492782116815011</v>
      </c>
      <c r="E1147" s="6">
        <f t="shared" si="371"/>
        <v>757.58535359484608</v>
      </c>
      <c r="F1147" s="6">
        <f t="shared" si="362"/>
        <v>757.58535359484608</v>
      </c>
      <c r="G1147" s="6">
        <f t="shared" si="363"/>
        <v>768.07813571166105</v>
      </c>
      <c r="H1147" s="6">
        <f>Arrivals!L1147</f>
        <v>75</v>
      </c>
      <c r="I1147" s="6">
        <f>H1147*8/ACE_Input!S67+ACE_Input!T67</f>
        <v>6.02</v>
      </c>
      <c r="J1147" s="6">
        <f t="shared" si="372"/>
        <v>804.27999999999975</v>
      </c>
      <c r="K1147" s="6">
        <f t="shared" si="364"/>
        <v>804.27999999999975</v>
      </c>
      <c r="L1147" s="6">
        <f>MOD(K1147-Settings!$B$32,Settings!$B$33)</f>
        <v>84.279999999999745</v>
      </c>
      <c r="M1147" s="6">
        <f>IF(L1147&lt;Settings!$B$30,IF(Settings!$B$30-L1147&gt;=I1147,K1147,K1147+(Settings!$B$30-L1147)+Settings!$B$31),K1147+(Settings!$B$33-L1147))</f>
        <v>804.27999999999975</v>
      </c>
      <c r="N1147" s="6">
        <f t="shared" si="365"/>
        <v>810.29999999999973</v>
      </c>
      <c r="O1147" s="6">
        <f t="shared" si="366"/>
        <v>371.29999999999973</v>
      </c>
      <c r="P1147" s="6">
        <f t="shared" si="367"/>
        <v>318.58535359484608</v>
      </c>
      <c r="Q1147" s="6">
        <f t="shared" si="368"/>
        <v>36.201864288338697</v>
      </c>
      <c r="R1147" s="6">
        <f t="shared" si="369"/>
        <v>0</v>
      </c>
      <c r="S1147" s="6">
        <f t="shared" si="370"/>
        <v>354.78721788318478</v>
      </c>
      <c r="T1147" s="6" t="str">
        <f>IF(MOD(C1147-Settings!$B$32,Settings!$B$33)&lt;Settings!$B$30,"Up","Down")</f>
        <v>Up</v>
      </c>
      <c r="U1147" s="6">
        <f>IF(OR(I1147&gt;Settings!$B$30,O1147&gt;Settings!$B$37),0,1)</f>
        <v>1</v>
      </c>
      <c r="V1147" s="6">
        <f>IF(AND(U1147=1,O1147&lt;=Settings!$B$36),1,0)</f>
        <v>0</v>
      </c>
    </row>
    <row r="1148" spans="1:22" x14ac:dyDescent="0.2">
      <c r="A1148">
        <f>Arrivals!A1148</f>
        <v>10</v>
      </c>
      <c r="B1148">
        <f>Arrivals!B1148</f>
        <v>63</v>
      </c>
      <c r="C1148" s="6">
        <f>Arrivals!F1148</f>
        <v>444</v>
      </c>
      <c r="D1148" s="6">
        <f>Arrivals!J1148</f>
        <v>10.542349465034125</v>
      </c>
      <c r="E1148" s="6">
        <f t="shared" si="371"/>
        <v>768.07813571166105</v>
      </c>
      <c r="F1148" s="6">
        <f t="shared" si="362"/>
        <v>768.07813571166105</v>
      </c>
      <c r="G1148" s="6">
        <f t="shared" si="363"/>
        <v>778.62048517669518</v>
      </c>
      <c r="H1148" s="6">
        <f>Arrivals!L1148</f>
        <v>75</v>
      </c>
      <c r="I1148" s="6">
        <f>H1148*8/ACE_Input!S68+ACE_Input!T68</f>
        <v>6.02</v>
      </c>
      <c r="J1148" s="6">
        <f t="shared" si="372"/>
        <v>810.29999999999973</v>
      </c>
      <c r="K1148" s="6">
        <f t="shared" si="364"/>
        <v>810.29999999999973</v>
      </c>
      <c r="L1148" s="6">
        <f>MOD(K1148-Settings!$B$32,Settings!$B$33)</f>
        <v>90.299999999999727</v>
      </c>
      <c r="M1148" s="6">
        <f>IF(L1148&lt;Settings!$B$30,IF(Settings!$B$30-L1148&gt;=I1148,K1148,K1148+(Settings!$B$30-L1148)+Settings!$B$31),K1148+(Settings!$B$33-L1148))</f>
        <v>810.29999999999973</v>
      </c>
      <c r="N1148" s="6">
        <f t="shared" si="365"/>
        <v>816.31999999999971</v>
      </c>
      <c r="O1148" s="6">
        <f t="shared" si="366"/>
        <v>372.31999999999971</v>
      </c>
      <c r="P1148" s="6">
        <f t="shared" si="367"/>
        <v>324.07813571166105</v>
      </c>
      <c r="Q1148" s="6">
        <f t="shared" si="368"/>
        <v>31.679514823304544</v>
      </c>
      <c r="R1148" s="6">
        <f t="shared" si="369"/>
        <v>0</v>
      </c>
      <c r="S1148" s="6">
        <f t="shared" si="370"/>
        <v>355.75765053496559</v>
      </c>
      <c r="T1148" s="6" t="str">
        <f>IF(MOD(C1148-Settings!$B$32,Settings!$B$33)&lt;Settings!$B$30,"Up","Down")</f>
        <v>Up</v>
      </c>
      <c r="U1148" s="6">
        <f>IF(OR(I1148&gt;Settings!$B$30,O1148&gt;Settings!$B$37),0,1)</f>
        <v>1</v>
      </c>
      <c r="V1148" s="6">
        <f>IF(AND(U1148=1,O1148&lt;=Settings!$B$36),1,0)</f>
        <v>0</v>
      </c>
    </row>
    <row r="1149" spans="1:22" x14ac:dyDescent="0.2">
      <c r="A1149">
        <f>Arrivals!A1149</f>
        <v>10</v>
      </c>
      <c r="B1149">
        <f>Arrivals!B1149</f>
        <v>64</v>
      </c>
      <c r="C1149" s="6">
        <f>Arrivals!F1149</f>
        <v>449</v>
      </c>
      <c r="D1149" s="6">
        <f>Arrivals!J1149</f>
        <v>7.8977977920505023</v>
      </c>
      <c r="E1149" s="6">
        <f t="shared" si="371"/>
        <v>778.62048517669518</v>
      </c>
      <c r="F1149" s="6">
        <f t="shared" si="362"/>
        <v>778.62048517669518</v>
      </c>
      <c r="G1149" s="6">
        <f t="shared" si="363"/>
        <v>786.51828296874567</v>
      </c>
      <c r="H1149" s="6">
        <f>Arrivals!L1149</f>
        <v>75</v>
      </c>
      <c r="I1149" s="6">
        <f>H1149*8/ACE_Input!S69+ACE_Input!T69</f>
        <v>6.02</v>
      </c>
      <c r="J1149" s="6">
        <f t="shared" si="372"/>
        <v>816.31999999999971</v>
      </c>
      <c r="K1149" s="6">
        <f t="shared" si="364"/>
        <v>816.31999999999971</v>
      </c>
      <c r="L1149" s="6">
        <f>MOD(K1149-Settings!$B$32,Settings!$B$33)</f>
        <v>96.319999999999709</v>
      </c>
      <c r="M1149" s="6">
        <f>IF(L1149&lt;Settings!$B$30,IF(Settings!$B$30-L1149&gt;=I1149,K1149,K1149+(Settings!$B$30-L1149)+Settings!$B$31),K1149+(Settings!$B$33-L1149))</f>
        <v>816.31999999999971</v>
      </c>
      <c r="N1149" s="6">
        <f t="shared" si="365"/>
        <v>822.33999999999969</v>
      </c>
      <c r="O1149" s="6">
        <f t="shared" si="366"/>
        <v>373.33999999999969</v>
      </c>
      <c r="P1149" s="6">
        <f t="shared" si="367"/>
        <v>329.62048517669518</v>
      </c>
      <c r="Q1149" s="6">
        <f t="shared" si="368"/>
        <v>29.801717031254043</v>
      </c>
      <c r="R1149" s="6">
        <f t="shared" si="369"/>
        <v>0</v>
      </c>
      <c r="S1149" s="6">
        <f t="shared" si="370"/>
        <v>359.42220220794923</v>
      </c>
      <c r="T1149" s="6" t="str">
        <f>IF(MOD(C1149-Settings!$B$32,Settings!$B$33)&lt;Settings!$B$30,"Up","Down")</f>
        <v>Up</v>
      </c>
      <c r="U1149" s="6">
        <f>IF(OR(I1149&gt;Settings!$B$30,O1149&gt;Settings!$B$37),0,1)</f>
        <v>1</v>
      </c>
      <c r="V1149" s="6">
        <f>IF(AND(U1149=1,O1149&lt;=Settings!$B$36),1,0)</f>
        <v>0</v>
      </c>
    </row>
    <row r="1150" spans="1:22" x14ac:dyDescent="0.2">
      <c r="A1150">
        <f>Arrivals!A1150</f>
        <v>10</v>
      </c>
      <c r="B1150">
        <f>Arrivals!B1150</f>
        <v>65</v>
      </c>
      <c r="C1150" s="6">
        <f>Arrivals!F1150</f>
        <v>454</v>
      </c>
      <c r="D1150" s="6">
        <f>Arrivals!J1150</f>
        <v>2.5689108852228468</v>
      </c>
      <c r="E1150" s="6">
        <f t="shared" si="371"/>
        <v>786.51828296874567</v>
      </c>
      <c r="F1150" s="6">
        <f t="shared" ref="F1150:F1181" si="373">MAX(C1150,E1150)</f>
        <v>786.51828296874567</v>
      </c>
      <c r="G1150" s="6">
        <f t="shared" ref="G1150:G1181" si="374">F1150+D1150</f>
        <v>789.08719385396853</v>
      </c>
      <c r="H1150" s="6">
        <f>Arrivals!L1150</f>
        <v>75</v>
      </c>
      <c r="I1150" s="6">
        <f>H1150*8/ACE_Input!S70+ACE_Input!T70</f>
        <v>6.02</v>
      </c>
      <c r="J1150" s="6">
        <f t="shared" si="372"/>
        <v>822.33999999999969</v>
      </c>
      <c r="K1150" s="6">
        <f t="shared" ref="K1150:K1181" si="375">MAX(G1150,J1150)</f>
        <v>822.33999999999969</v>
      </c>
      <c r="L1150" s="6">
        <f>MOD(K1150-Settings!$B$32,Settings!$B$33)</f>
        <v>102.33999999999969</v>
      </c>
      <c r="M1150" s="6">
        <f>IF(L1150&lt;Settings!$B$30,IF(Settings!$B$30-L1150&gt;=I1150,K1150,K1150+(Settings!$B$30-L1150)+Settings!$B$31),K1150+(Settings!$B$33-L1150))</f>
        <v>822.33999999999969</v>
      </c>
      <c r="N1150" s="6">
        <f t="shared" ref="N1150:N1181" si="376">M1150+I1150</f>
        <v>828.35999999999967</v>
      </c>
      <c r="O1150" s="6">
        <f t="shared" ref="O1150:O1181" si="377">N1150-C1150</f>
        <v>374.35999999999967</v>
      </c>
      <c r="P1150" s="6">
        <f t="shared" ref="P1150:P1185" si="378">F1150-C1150</f>
        <v>332.51828296874567</v>
      </c>
      <c r="Q1150" s="6">
        <f t="shared" ref="Q1150:Q1185" si="379">K1150-G1150</f>
        <v>33.252806146031162</v>
      </c>
      <c r="R1150" s="6">
        <f t="shared" ref="R1150:R1185" si="380">M1150-K1150</f>
        <v>0</v>
      </c>
      <c r="S1150" s="6">
        <f t="shared" ref="S1150:S1181" si="381">P1150+Q1150+R1150</f>
        <v>365.77108911477683</v>
      </c>
      <c r="T1150" s="6" t="str">
        <f>IF(MOD(C1150-Settings!$B$32,Settings!$B$33)&lt;Settings!$B$30,"Up","Down")</f>
        <v>Up</v>
      </c>
      <c r="U1150" s="6">
        <f>IF(OR(I1150&gt;Settings!$B$30,O1150&gt;Settings!$B$37),0,1)</f>
        <v>1</v>
      </c>
      <c r="V1150" s="6">
        <f>IF(AND(U1150=1,O1150&lt;=Settings!$B$36),1,0)</f>
        <v>0</v>
      </c>
    </row>
    <row r="1151" spans="1:22" x14ac:dyDescent="0.2">
      <c r="A1151">
        <f>Arrivals!A1151</f>
        <v>10</v>
      </c>
      <c r="B1151">
        <f>Arrivals!B1151</f>
        <v>66</v>
      </c>
      <c r="C1151" s="6">
        <f>Arrivals!F1151</f>
        <v>459</v>
      </c>
      <c r="D1151" s="6">
        <f>Arrivals!J1151</f>
        <v>31.186887219768145</v>
      </c>
      <c r="E1151" s="6">
        <f t="shared" ref="E1151:E1185" si="382">G1150</f>
        <v>789.08719385396853</v>
      </c>
      <c r="F1151" s="6">
        <f t="shared" si="373"/>
        <v>789.08719385396853</v>
      </c>
      <c r="G1151" s="6">
        <f t="shared" si="374"/>
        <v>820.27408107373662</v>
      </c>
      <c r="H1151" s="6">
        <f>Arrivals!L1151</f>
        <v>75</v>
      </c>
      <c r="I1151" s="6">
        <f>H1151*8/ACE_Input!S71+ACE_Input!T71</f>
        <v>6.02</v>
      </c>
      <c r="J1151" s="6">
        <f t="shared" ref="J1151:J1185" si="383">N1150</f>
        <v>828.35999999999967</v>
      </c>
      <c r="K1151" s="6">
        <f t="shared" si="375"/>
        <v>828.35999999999967</v>
      </c>
      <c r="L1151" s="6">
        <f>MOD(K1151-Settings!$B$32,Settings!$B$33)</f>
        <v>108.35999999999967</v>
      </c>
      <c r="M1151" s="6">
        <f>IF(L1151&lt;Settings!$B$30,IF(Settings!$B$30-L1151&gt;=I1151,K1151,K1151+(Settings!$B$30-L1151)+Settings!$B$31),K1151+(Settings!$B$33-L1151))</f>
        <v>828.35999999999967</v>
      </c>
      <c r="N1151" s="6">
        <f t="shared" si="376"/>
        <v>834.37999999999965</v>
      </c>
      <c r="O1151" s="6">
        <f t="shared" si="377"/>
        <v>375.37999999999965</v>
      </c>
      <c r="P1151" s="6">
        <f t="shared" si="378"/>
        <v>330.08719385396853</v>
      </c>
      <c r="Q1151" s="6">
        <f t="shared" si="379"/>
        <v>8.085918926263048</v>
      </c>
      <c r="R1151" s="6">
        <f t="shared" si="380"/>
        <v>0</v>
      </c>
      <c r="S1151" s="6">
        <f t="shared" si="381"/>
        <v>338.17311278023158</v>
      </c>
      <c r="T1151" s="6" t="str">
        <f>IF(MOD(C1151-Settings!$B$32,Settings!$B$33)&lt;Settings!$B$30,"Up","Down")</f>
        <v>Up</v>
      </c>
      <c r="U1151" s="6">
        <f>IF(OR(I1151&gt;Settings!$B$30,O1151&gt;Settings!$B$37),0,1)</f>
        <v>1</v>
      </c>
      <c r="V1151" s="6">
        <f>IF(AND(U1151=1,O1151&lt;=Settings!$B$36),1,0)</f>
        <v>0</v>
      </c>
    </row>
    <row r="1152" spans="1:22" x14ac:dyDescent="0.2">
      <c r="A1152">
        <f>Arrivals!A1152</f>
        <v>10</v>
      </c>
      <c r="B1152">
        <f>Arrivals!B1152</f>
        <v>67</v>
      </c>
      <c r="C1152" s="6">
        <f>Arrivals!F1152</f>
        <v>474</v>
      </c>
      <c r="D1152" s="6">
        <f>Arrivals!J1152</f>
        <v>4.6129753058087957</v>
      </c>
      <c r="E1152" s="6">
        <f t="shared" si="382"/>
        <v>820.27408107373662</v>
      </c>
      <c r="F1152" s="6">
        <f t="shared" si="373"/>
        <v>820.27408107373662</v>
      </c>
      <c r="G1152" s="6">
        <f t="shared" si="374"/>
        <v>824.88705637954547</v>
      </c>
      <c r="H1152" s="6">
        <f>Arrivals!L1152</f>
        <v>75</v>
      </c>
      <c r="I1152" s="6">
        <f>H1152*8/ACE_Input!S72+ACE_Input!T72</f>
        <v>6.02</v>
      </c>
      <c r="J1152" s="6">
        <f t="shared" si="383"/>
        <v>834.37999999999965</v>
      </c>
      <c r="K1152" s="6">
        <f t="shared" si="375"/>
        <v>834.37999999999965</v>
      </c>
      <c r="L1152" s="6">
        <f>MOD(K1152-Settings!$B$32,Settings!$B$33)</f>
        <v>114.37999999999965</v>
      </c>
      <c r="M1152" s="6">
        <f>IF(L1152&lt;Settings!$B$30,IF(Settings!$B$30-L1152&gt;=I1152,K1152,K1152+(Settings!$B$30-L1152)+Settings!$B$31),K1152+(Settings!$B$33-L1152))</f>
        <v>834.37999999999965</v>
      </c>
      <c r="N1152" s="6">
        <f t="shared" si="376"/>
        <v>840.39999999999964</v>
      </c>
      <c r="O1152" s="6">
        <f t="shared" si="377"/>
        <v>366.39999999999964</v>
      </c>
      <c r="P1152" s="6">
        <f t="shared" si="378"/>
        <v>346.27408107373662</v>
      </c>
      <c r="Q1152" s="6">
        <f t="shared" si="379"/>
        <v>9.4929436204541844</v>
      </c>
      <c r="R1152" s="6">
        <f t="shared" si="380"/>
        <v>0</v>
      </c>
      <c r="S1152" s="6">
        <f t="shared" si="381"/>
        <v>355.76702469419081</v>
      </c>
      <c r="T1152" s="6" t="str">
        <f>IF(MOD(C1152-Settings!$B$32,Settings!$B$33)&lt;Settings!$B$30,"Up","Down")</f>
        <v>Up</v>
      </c>
      <c r="U1152" s="6">
        <f>IF(OR(I1152&gt;Settings!$B$30,O1152&gt;Settings!$B$37),0,1)</f>
        <v>1</v>
      </c>
      <c r="V1152" s="6">
        <f>IF(AND(U1152=1,O1152&lt;=Settings!$B$36),1,0)</f>
        <v>0</v>
      </c>
    </row>
    <row r="1153" spans="1:22" x14ac:dyDescent="0.2">
      <c r="A1153">
        <f>Arrivals!A1153</f>
        <v>10</v>
      </c>
      <c r="B1153">
        <f>Arrivals!B1153</f>
        <v>68</v>
      </c>
      <c r="C1153" s="6">
        <f>Arrivals!F1153</f>
        <v>479</v>
      </c>
      <c r="D1153" s="6">
        <f>Arrivals!J1153</f>
        <v>41.86792333061576</v>
      </c>
      <c r="E1153" s="6">
        <f t="shared" si="382"/>
        <v>824.88705637954547</v>
      </c>
      <c r="F1153" s="6">
        <f t="shared" si="373"/>
        <v>824.88705637954547</v>
      </c>
      <c r="G1153" s="6">
        <f t="shared" si="374"/>
        <v>866.75497971016125</v>
      </c>
      <c r="H1153" s="6">
        <f>Arrivals!L1153</f>
        <v>75</v>
      </c>
      <c r="I1153" s="6">
        <f>H1153*8/ACE_Input!S73+ACE_Input!T73</f>
        <v>6.02</v>
      </c>
      <c r="J1153" s="6">
        <f t="shared" si="383"/>
        <v>840.39999999999964</v>
      </c>
      <c r="K1153" s="6">
        <f t="shared" si="375"/>
        <v>866.75497971016125</v>
      </c>
      <c r="L1153" s="6">
        <f>MOD(K1153-Settings!$B$32,Settings!$B$33)</f>
        <v>146.75497971016125</v>
      </c>
      <c r="M1153" s="6">
        <f>IF(L1153&lt;Settings!$B$30,IF(Settings!$B$30-L1153&gt;=I1153,K1153,K1153+(Settings!$B$30-L1153)+Settings!$B$31),K1153+(Settings!$B$33-L1153))</f>
        <v>866.75497971016125</v>
      </c>
      <c r="N1153" s="6">
        <f t="shared" si="376"/>
        <v>872.77497971016123</v>
      </c>
      <c r="O1153" s="6">
        <f t="shared" si="377"/>
        <v>393.77497971016123</v>
      </c>
      <c r="P1153" s="6">
        <f t="shared" si="378"/>
        <v>345.88705637954547</v>
      </c>
      <c r="Q1153" s="6">
        <f t="shared" si="379"/>
        <v>0</v>
      </c>
      <c r="R1153" s="6">
        <f t="shared" si="380"/>
        <v>0</v>
      </c>
      <c r="S1153" s="6">
        <f t="shared" si="381"/>
        <v>345.88705637954547</v>
      </c>
      <c r="T1153" s="6" t="str">
        <f>IF(MOD(C1153-Settings!$B$32,Settings!$B$33)&lt;Settings!$B$30,"Up","Down")</f>
        <v>Up</v>
      </c>
      <c r="U1153" s="6">
        <f>IF(OR(I1153&gt;Settings!$B$30,O1153&gt;Settings!$B$37),0,1)</f>
        <v>1</v>
      </c>
      <c r="V1153" s="6">
        <f>IF(AND(U1153=1,O1153&lt;=Settings!$B$36),1,0)</f>
        <v>0</v>
      </c>
    </row>
    <row r="1154" spans="1:22" x14ac:dyDescent="0.2">
      <c r="A1154">
        <f>Arrivals!A1154</f>
        <v>10</v>
      </c>
      <c r="B1154">
        <f>Arrivals!B1154</f>
        <v>69</v>
      </c>
      <c r="C1154" s="6">
        <f>Arrivals!F1154</f>
        <v>494</v>
      </c>
      <c r="D1154" s="6">
        <f>Arrivals!J1154</f>
        <v>23.228528017328237</v>
      </c>
      <c r="E1154" s="6">
        <f t="shared" si="382"/>
        <v>866.75497971016125</v>
      </c>
      <c r="F1154" s="6">
        <f t="shared" si="373"/>
        <v>866.75497971016125</v>
      </c>
      <c r="G1154" s="6">
        <f t="shared" si="374"/>
        <v>889.9835077274895</v>
      </c>
      <c r="H1154" s="6">
        <f>Arrivals!L1154</f>
        <v>75</v>
      </c>
      <c r="I1154" s="6">
        <f>H1154*8/ACE_Input!S74+ACE_Input!T74</f>
        <v>6.02</v>
      </c>
      <c r="J1154" s="6">
        <f t="shared" si="383"/>
        <v>872.77497971016123</v>
      </c>
      <c r="K1154" s="6">
        <f t="shared" si="375"/>
        <v>889.9835077274895</v>
      </c>
      <c r="L1154" s="6">
        <f>MOD(K1154-Settings!$B$32,Settings!$B$33)</f>
        <v>169.9835077274895</v>
      </c>
      <c r="M1154" s="6">
        <f>IF(L1154&lt;Settings!$B$30,IF(Settings!$B$30-L1154&gt;=I1154,K1154,K1154+(Settings!$B$30-L1154)+Settings!$B$31),K1154+(Settings!$B$33-L1154))</f>
        <v>889.9835077274895</v>
      </c>
      <c r="N1154" s="6">
        <f t="shared" si="376"/>
        <v>896.00350772748948</v>
      </c>
      <c r="O1154" s="6">
        <f t="shared" si="377"/>
        <v>402.00350772748948</v>
      </c>
      <c r="P1154" s="6">
        <f t="shared" si="378"/>
        <v>372.75497971016125</v>
      </c>
      <c r="Q1154" s="6">
        <f t="shared" si="379"/>
        <v>0</v>
      </c>
      <c r="R1154" s="6">
        <f t="shared" si="380"/>
        <v>0</v>
      </c>
      <c r="S1154" s="6">
        <f t="shared" si="381"/>
        <v>372.75497971016125</v>
      </c>
      <c r="T1154" s="6" t="str">
        <f>IF(MOD(C1154-Settings!$B$32,Settings!$B$33)&lt;Settings!$B$30,"Up","Down")</f>
        <v>Up</v>
      </c>
      <c r="U1154" s="6">
        <f>IF(OR(I1154&gt;Settings!$B$30,O1154&gt;Settings!$B$37),0,1)</f>
        <v>1</v>
      </c>
      <c r="V1154" s="6">
        <f>IF(AND(U1154=1,O1154&lt;=Settings!$B$36),1,0)</f>
        <v>0</v>
      </c>
    </row>
    <row r="1155" spans="1:22" x14ac:dyDescent="0.2">
      <c r="A1155">
        <f>Arrivals!A1155</f>
        <v>10</v>
      </c>
      <c r="B1155">
        <f>Arrivals!B1155</f>
        <v>70</v>
      </c>
      <c r="C1155" s="6">
        <f>Arrivals!F1155</f>
        <v>499</v>
      </c>
      <c r="D1155" s="6">
        <f>Arrivals!J1155</f>
        <v>5.8479122465562492</v>
      </c>
      <c r="E1155" s="6">
        <f t="shared" si="382"/>
        <v>889.9835077274895</v>
      </c>
      <c r="F1155" s="6">
        <f t="shared" si="373"/>
        <v>889.9835077274895</v>
      </c>
      <c r="G1155" s="6">
        <f t="shared" si="374"/>
        <v>895.83141997404573</v>
      </c>
      <c r="H1155" s="6">
        <f>Arrivals!L1155</f>
        <v>75</v>
      </c>
      <c r="I1155" s="6">
        <f>H1155*8/ACE_Input!S75+ACE_Input!T75</f>
        <v>6.02</v>
      </c>
      <c r="J1155" s="6">
        <f t="shared" si="383"/>
        <v>896.00350772748948</v>
      </c>
      <c r="K1155" s="6">
        <f t="shared" si="375"/>
        <v>896.00350772748948</v>
      </c>
      <c r="L1155" s="6">
        <f>MOD(K1155-Settings!$B$32,Settings!$B$33)</f>
        <v>176.00350772748948</v>
      </c>
      <c r="M1155" s="6">
        <f>IF(L1155&lt;Settings!$B$30,IF(Settings!$B$30-L1155&gt;=I1155,K1155,K1155+(Settings!$B$30-L1155)+Settings!$B$31),K1155+(Settings!$B$33-L1155))</f>
        <v>896.00350772748948</v>
      </c>
      <c r="N1155" s="6">
        <f t="shared" si="376"/>
        <v>902.02350772748946</v>
      </c>
      <c r="O1155" s="6">
        <f t="shared" si="377"/>
        <v>403.02350772748946</v>
      </c>
      <c r="P1155" s="6">
        <f t="shared" si="378"/>
        <v>390.9835077274895</v>
      </c>
      <c r="Q1155" s="6">
        <f t="shared" si="379"/>
        <v>0.17208775344374772</v>
      </c>
      <c r="R1155" s="6">
        <f t="shared" si="380"/>
        <v>0</v>
      </c>
      <c r="S1155" s="6">
        <f t="shared" si="381"/>
        <v>391.15559548093324</v>
      </c>
      <c r="T1155" s="6" t="str">
        <f>IF(MOD(C1155-Settings!$B$32,Settings!$B$33)&lt;Settings!$B$30,"Up","Down")</f>
        <v>Up</v>
      </c>
      <c r="U1155" s="6">
        <f>IF(OR(I1155&gt;Settings!$B$30,O1155&gt;Settings!$B$37),0,1)</f>
        <v>1</v>
      </c>
      <c r="V1155" s="6">
        <f>IF(AND(U1155=1,O1155&lt;=Settings!$B$36),1,0)</f>
        <v>0</v>
      </c>
    </row>
    <row r="1156" spans="1:22" x14ac:dyDescent="0.2">
      <c r="A1156">
        <f>Arrivals!A1156</f>
        <v>10</v>
      </c>
      <c r="B1156">
        <f>Arrivals!B1156</f>
        <v>71</v>
      </c>
      <c r="C1156" s="6">
        <f>Arrivals!F1156</f>
        <v>504</v>
      </c>
      <c r="D1156" s="6">
        <f>Arrivals!J1156</f>
        <v>0.22965518581123678</v>
      </c>
      <c r="E1156" s="6">
        <f t="shared" si="382"/>
        <v>895.83141997404573</v>
      </c>
      <c r="F1156" s="6">
        <f t="shared" si="373"/>
        <v>895.83141997404573</v>
      </c>
      <c r="G1156" s="6">
        <f t="shared" si="374"/>
        <v>896.06107515985695</v>
      </c>
      <c r="H1156" s="6">
        <f>Arrivals!L1156</f>
        <v>75</v>
      </c>
      <c r="I1156" s="6">
        <f>H1156*8/ACE_Input!S76+ACE_Input!T76</f>
        <v>6.02</v>
      </c>
      <c r="J1156" s="6">
        <f t="shared" si="383"/>
        <v>902.02350772748946</v>
      </c>
      <c r="K1156" s="6">
        <f t="shared" si="375"/>
        <v>902.02350772748946</v>
      </c>
      <c r="L1156" s="6">
        <f>MOD(K1156-Settings!$B$32,Settings!$B$33)</f>
        <v>182.02350772748946</v>
      </c>
      <c r="M1156" s="6">
        <f>IF(L1156&lt;Settings!$B$30,IF(Settings!$B$30-L1156&gt;=I1156,K1156,K1156+(Settings!$B$30-L1156)+Settings!$B$31),K1156+(Settings!$B$33-L1156))</f>
        <v>902.02350772748946</v>
      </c>
      <c r="N1156" s="6">
        <f t="shared" si="376"/>
        <v>908.04350772748944</v>
      </c>
      <c r="O1156" s="6">
        <f t="shared" si="377"/>
        <v>404.04350772748944</v>
      </c>
      <c r="P1156" s="6">
        <f t="shared" si="378"/>
        <v>391.83141997404573</v>
      </c>
      <c r="Q1156" s="6">
        <f t="shared" si="379"/>
        <v>5.9624325676325043</v>
      </c>
      <c r="R1156" s="6">
        <f t="shared" si="380"/>
        <v>0</v>
      </c>
      <c r="S1156" s="6">
        <f t="shared" si="381"/>
        <v>397.79385254167823</v>
      </c>
      <c r="T1156" s="6" t="str">
        <f>IF(MOD(C1156-Settings!$B$32,Settings!$B$33)&lt;Settings!$B$30,"Up","Down")</f>
        <v>Up</v>
      </c>
      <c r="U1156" s="6">
        <f>IF(OR(I1156&gt;Settings!$B$30,O1156&gt;Settings!$B$37),0,1)</f>
        <v>1</v>
      </c>
      <c r="V1156" s="6">
        <f>IF(AND(U1156=1,O1156&lt;=Settings!$B$36),1,0)</f>
        <v>0</v>
      </c>
    </row>
    <row r="1157" spans="1:22" x14ac:dyDescent="0.2">
      <c r="A1157">
        <f>Arrivals!A1157</f>
        <v>10</v>
      </c>
      <c r="B1157">
        <f>Arrivals!B1157</f>
        <v>72</v>
      </c>
      <c r="C1157" s="6">
        <f>Arrivals!F1157</f>
        <v>509</v>
      </c>
      <c r="D1157" s="6">
        <f>Arrivals!J1157</f>
        <v>10.784271536109351</v>
      </c>
      <c r="E1157" s="6">
        <f t="shared" si="382"/>
        <v>896.06107515985695</v>
      </c>
      <c r="F1157" s="6">
        <f t="shared" si="373"/>
        <v>896.06107515985695</v>
      </c>
      <c r="G1157" s="6">
        <f t="shared" si="374"/>
        <v>906.84534669596633</v>
      </c>
      <c r="H1157" s="6">
        <f>Arrivals!L1157</f>
        <v>75</v>
      </c>
      <c r="I1157" s="6">
        <f>H1157*8/ACE_Input!S77+ACE_Input!T77</f>
        <v>6.02</v>
      </c>
      <c r="J1157" s="6">
        <f t="shared" si="383"/>
        <v>908.04350772748944</v>
      </c>
      <c r="K1157" s="6">
        <f t="shared" si="375"/>
        <v>908.04350772748944</v>
      </c>
      <c r="L1157" s="6">
        <f>MOD(K1157-Settings!$B$32,Settings!$B$33)</f>
        <v>188.04350772748944</v>
      </c>
      <c r="M1157" s="6">
        <f>IF(L1157&lt;Settings!$B$30,IF(Settings!$B$30-L1157&gt;=I1157,K1157,K1157+(Settings!$B$30-L1157)+Settings!$B$31),K1157+(Settings!$B$33-L1157))</f>
        <v>908.04350772748944</v>
      </c>
      <c r="N1157" s="6">
        <f t="shared" si="376"/>
        <v>914.06350772748942</v>
      </c>
      <c r="O1157" s="6">
        <f t="shared" si="377"/>
        <v>405.06350772748942</v>
      </c>
      <c r="P1157" s="6">
        <f t="shared" si="378"/>
        <v>387.06107515985695</v>
      </c>
      <c r="Q1157" s="6">
        <f t="shared" si="379"/>
        <v>1.1981610315231137</v>
      </c>
      <c r="R1157" s="6">
        <f t="shared" si="380"/>
        <v>0</v>
      </c>
      <c r="S1157" s="6">
        <f t="shared" si="381"/>
        <v>388.25923619138007</v>
      </c>
      <c r="T1157" s="6" t="str">
        <f>IF(MOD(C1157-Settings!$B$32,Settings!$B$33)&lt;Settings!$B$30,"Up","Down")</f>
        <v>Up</v>
      </c>
      <c r="U1157" s="6">
        <f>IF(OR(I1157&gt;Settings!$B$30,O1157&gt;Settings!$B$37),0,1)</f>
        <v>1</v>
      </c>
      <c r="V1157" s="6">
        <f>IF(AND(U1157=1,O1157&lt;=Settings!$B$36),1,0)</f>
        <v>0</v>
      </c>
    </row>
    <row r="1158" spans="1:22" x14ac:dyDescent="0.2">
      <c r="A1158">
        <f>Arrivals!A1158</f>
        <v>10</v>
      </c>
      <c r="B1158">
        <f>Arrivals!B1158</f>
        <v>73</v>
      </c>
      <c r="C1158" s="6">
        <f>Arrivals!F1158</f>
        <v>514</v>
      </c>
      <c r="D1158" s="6">
        <f>Arrivals!J1158</f>
        <v>20.679591469473102</v>
      </c>
      <c r="E1158" s="6">
        <f t="shared" si="382"/>
        <v>906.84534669596633</v>
      </c>
      <c r="F1158" s="6">
        <f t="shared" si="373"/>
        <v>906.84534669596633</v>
      </c>
      <c r="G1158" s="6">
        <f t="shared" si="374"/>
        <v>927.52493816543938</v>
      </c>
      <c r="H1158" s="6">
        <f>Arrivals!L1158</f>
        <v>75</v>
      </c>
      <c r="I1158" s="6">
        <f>H1158*8/ACE_Input!S78+ACE_Input!T78</f>
        <v>6.02</v>
      </c>
      <c r="J1158" s="6">
        <f t="shared" si="383"/>
        <v>914.06350772748942</v>
      </c>
      <c r="K1158" s="6">
        <f t="shared" si="375"/>
        <v>927.52493816543938</v>
      </c>
      <c r="L1158" s="6">
        <f>MOD(K1158-Settings!$B$32,Settings!$B$33)</f>
        <v>207.52493816543938</v>
      </c>
      <c r="M1158" s="6">
        <f>IF(L1158&lt;Settings!$B$30,IF(Settings!$B$30-L1158&gt;=I1158,K1158,K1158+(Settings!$B$30-L1158)+Settings!$B$31),K1158+(Settings!$B$33-L1158))</f>
        <v>927.52493816543938</v>
      </c>
      <c r="N1158" s="6">
        <f t="shared" si="376"/>
        <v>933.54493816543936</v>
      </c>
      <c r="O1158" s="6">
        <f t="shared" si="377"/>
        <v>419.54493816543936</v>
      </c>
      <c r="P1158" s="6">
        <f t="shared" si="378"/>
        <v>392.84534669596633</v>
      </c>
      <c r="Q1158" s="6">
        <f t="shared" si="379"/>
        <v>0</v>
      </c>
      <c r="R1158" s="6">
        <f t="shared" si="380"/>
        <v>0</v>
      </c>
      <c r="S1158" s="6">
        <f t="shared" si="381"/>
        <v>392.84534669596633</v>
      </c>
      <c r="T1158" s="6" t="str">
        <f>IF(MOD(C1158-Settings!$B$32,Settings!$B$33)&lt;Settings!$B$30,"Up","Down")</f>
        <v>Up</v>
      </c>
      <c r="U1158" s="6">
        <f>IF(OR(I1158&gt;Settings!$B$30,O1158&gt;Settings!$B$37),0,1)</f>
        <v>1</v>
      </c>
      <c r="V1158" s="6">
        <f>IF(AND(U1158=1,O1158&lt;=Settings!$B$36),1,0)</f>
        <v>0</v>
      </c>
    </row>
    <row r="1159" spans="1:22" x14ac:dyDescent="0.2">
      <c r="A1159">
        <f>Arrivals!A1159</f>
        <v>10</v>
      </c>
      <c r="B1159">
        <f>Arrivals!B1159</f>
        <v>74</v>
      </c>
      <c r="C1159" s="6">
        <f>Arrivals!F1159</f>
        <v>519</v>
      </c>
      <c r="D1159" s="6">
        <f>Arrivals!J1159</f>
        <v>5.1383140594500674</v>
      </c>
      <c r="E1159" s="6">
        <f t="shared" si="382"/>
        <v>927.52493816543938</v>
      </c>
      <c r="F1159" s="6">
        <f t="shared" si="373"/>
        <v>927.52493816543938</v>
      </c>
      <c r="G1159" s="6">
        <f t="shared" si="374"/>
        <v>932.66325222488945</v>
      </c>
      <c r="H1159" s="6">
        <f>Arrivals!L1159</f>
        <v>75</v>
      </c>
      <c r="I1159" s="6">
        <f>H1159*8/ACE_Input!S79+ACE_Input!T79</f>
        <v>6.02</v>
      </c>
      <c r="J1159" s="6">
        <f t="shared" si="383"/>
        <v>933.54493816543936</v>
      </c>
      <c r="K1159" s="6">
        <f t="shared" si="375"/>
        <v>933.54493816543936</v>
      </c>
      <c r="L1159" s="6">
        <f>MOD(K1159-Settings!$B$32,Settings!$B$33)</f>
        <v>213.54493816543936</v>
      </c>
      <c r="M1159" s="6">
        <f>IF(L1159&lt;Settings!$B$30,IF(Settings!$B$30-L1159&gt;=I1159,K1159,K1159+(Settings!$B$30-L1159)+Settings!$B$31),K1159+(Settings!$B$33-L1159))</f>
        <v>933.54493816543936</v>
      </c>
      <c r="N1159" s="6">
        <f t="shared" si="376"/>
        <v>939.56493816543934</v>
      </c>
      <c r="O1159" s="6">
        <f t="shared" si="377"/>
        <v>420.56493816543934</v>
      </c>
      <c r="P1159" s="6">
        <f t="shared" si="378"/>
        <v>408.52493816543938</v>
      </c>
      <c r="Q1159" s="6">
        <f t="shared" si="379"/>
        <v>0.88168594054991445</v>
      </c>
      <c r="R1159" s="6">
        <f t="shared" si="380"/>
        <v>0</v>
      </c>
      <c r="S1159" s="6">
        <f t="shared" si="381"/>
        <v>409.40662410598929</v>
      </c>
      <c r="T1159" s="6" t="str">
        <f>IF(MOD(C1159-Settings!$B$32,Settings!$B$33)&lt;Settings!$B$30,"Up","Down")</f>
        <v>Up</v>
      </c>
      <c r="U1159" s="6">
        <f>IF(OR(I1159&gt;Settings!$B$30,O1159&gt;Settings!$B$37),0,1)</f>
        <v>1</v>
      </c>
      <c r="V1159" s="6">
        <f>IF(AND(U1159=1,O1159&lt;=Settings!$B$36),1,0)</f>
        <v>0</v>
      </c>
    </row>
    <row r="1160" spans="1:22" x14ac:dyDescent="0.2">
      <c r="A1160">
        <f>Arrivals!A1160</f>
        <v>10</v>
      </c>
      <c r="B1160">
        <f>Arrivals!B1160</f>
        <v>75</v>
      </c>
      <c r="C1160" s="6">
        <f>Arrivals!F1160</f>
        <v>524</v>
      </c>
      <c r="D1160" s="6">
        <f>Arrivals!J1160</f>
        <v>1.5052644879789989</v>
      </c>
      <c r="E1160" s="6">
        <f t="shared" si="382"/>
        <v>932.66325222488945</v>
      </c>
      <c r="F1160" s="6">
        <f t="shared" si="373"/>
        <v>932.66325222488945</v>
      </c>
      <c r="G1160" s="6">
        <f t="shared" si="374"/>
        <v>934.1685167128685</v>
      </c>
      <c r="H1160" s="6">
        <f>Arrivals!L1160</f>
        <v>75</v>
      </c>
      <c r="I1160" s="6">
        <f>H1160*8/ACE_Input!S80+ACE_Input!T80</f>
        <v>6.02</v>
      </c>
      <c r="J1160" s="6">
        <f t="shared" si="383"/>
        <v>939.56493816543934</v>
      </c>
      <c r="K1160" s="6">
        <f t="shared" si="375"/>
        <v>939.56493816543934</v>
      </c>
      <c r="L1160" s="6">
        <f>MOD(K1160-Settings!$B$32,Settings!$B$33)</f>
        <v>219.56493816543934</v>
      </c>
      <c r="M1160" s="6">
        <f>IF(L1160&lt;Settings!$B$30,IF(Settings!$B$30-L1160&gt;=I1160,K1160,K1160+(Settings!$B$30-L1160)+Settings!$B$31),K1160+(Settings!$B$33-L1160))</f>
        <v>939.56493816543934</v>
      </c>
      <c r="N1160" s="6">
        <f t="shared" si="376"/>
        <v>945.58493816543933</v>
      </c>
      <c r="O1160" s="6">
        <f t="shared" si="377"/>
        <v>421.58493816543933</v>
      </c>
      <c r="P1160" s="6">
        <f t="shared" si="378"/>
        <v>408.66325222488945</v>
      </c>
      <c r="Q1160" s="6">
        <f t="shared" si="379"/>
        <v>5.3964214525708485</v>
      </c>
      <c r="R1160" s="6">
        <f t="shared" si="380"/>
        <v>0</v>
      </c>
      <c r="S1160" s="6">
        <f t="shared" si="381"/>
        <v>414.0596736774603</v>
      </c>
      <c r="T1160" s="6" t="str">
        <f>IF(MOD(C1160-Settings!$B$32,Settings!$B$33)&lt;Settings!$B$30,"Up","Down")</f>
        <v>Up</v>
      </c>
      <c r="U1160" s="6">
        <f>IF(OR(I1160&gt;Settings!$B$30,O1160&gt;Settings!$B$37),0,1)</f>
        <v>1</v>
      </c>
      <c r="V1160" s="6">
        <f>IF(AND(U1160=1,O1160&lt;=Settings!$B$36),1,0)</f>
        <v>0</v>
      </c>
    </row>
    <row r="1161" spans="1:22" x14ac:dyDescent="0.2">
      <c r="A1161">
        <f>Arrivals!A1161</f>
        <v>10</v>
      </c>
      <c r="B1161">
        <f>Arrivals!B1161</f>
        <v>76</v>
      </c>
      <c r="C1161" s="6">
        <f>Arrivals!F1161</f>
        <v>529</v>
      </c>
      <c r="D1161" s="6">
        <f>Arrivals!J1161</f>
        <v>5.7382358954319548</v>
      </c>
      <c r="E1161" s="6">
        <f t="shared" si="382"/>
        <v>934.1685167128685</v>
      </c>
      <c r="F1161" s="6">
        <f t="shared" si="373"/>
        <v>934.1685167128685</v>
      </c>
      <c r="G1161" s="6">
        <f t="shared" si="374"/>
        <v>939.90675260830039</v>
      </c>
      <c r="H1161" s="6">
        <f>Arrivals!L1161</f>
        <v>75</v>
      </c>
      <c r="I1161" s="6">
        <f>H1161*8/ACE_Input!S81+ACE_Input!T81</f>
        <v>6.02</v>
      </c>
      <c r="J1161" s="6">
        <f t="shared" si="383"/>
        <v>945.58493816543933</v>
      </c>
      <c r="K1161" s="6">
        <f t="shared" si="375"/>
        <v>945.58493816543933</v>
      </c>
      <c r="L1161" s="6">
        <f>MOD(K1161-Settings!$B$32,Settings!$B$33)</f>
        <v>225.58493816543933</v>
      </c>
      <c r="M1161" s="6">
        <f>IF(L1161&lt;Settings!$B$30,IF(Settings!$B$30-L1161&gt;=I1161,K1161,K1161+(Settings!$B$30-L1161)+Settings!$B$31),K1161+(Settings!$B$33-L1161))</f>
        <v>945.58493816543933</v>
      </c>
      <c r="N1161" s="6">
        <f t="shared" si="376"/>
        <v>951.60493816543931</v>
      </c>
      <c r="O1161" s="6">
        <f t="shared" si="377"/>
        <v>422.60493816543931</v>
      </c>
      <c r="P1161" s="6">
        <f t="shared" si="378"/>
        <v>405.1685167128685</v>
      </c>
      <c r="Q1161" s="6">
        <f t="shared" si="379"/>
        <v>5.6781855571389315</v>
      </c>
      <c r="R1161" s="6">
        <f t="shared" si="380"/>
        <v>0</v>
      </c>
      <c r="S1161" s="6">
        <f t="shared" si="381"/>
        <v>410.84670227000743</v>
      </c>
      <c r="T1161" s="6" t="str">
        <f>IF(MOD(C1161-Settings!$B$32,Settings!$B$33)&lt;Settings!$B$30,"Up","Down")</f>
        <v>Up</v>
      </c>
      <c r="U1161" s="6">
        <f>IF(OR(I1161&gt;Settings!$B$30,O1161&gt;Settings!$B$37),0,1)</f>
        <v>1</v>
      </c>
      <c r="V1161" s="6">
        <f>IF(AND(U1161=1,O1161&lt;=Settings!$B$36),1,0)</f>
        <v>0</v>
      </c>
    </row>
    <row r="1162" spans="1:22" x14ac:dyDescent="0.2">
      <c r="A1162">
        <f>Arrivals!A1162</f>
        <v>10</v>
      </c>
      <c r="B1162">
        <f>Arrivals!B1162</f>
        <v>77</v>
      </c>
      <c r="C1162" s="6">
        <f>Arrivals!F1162</f>
        <v>534</v>
      </c>
      <c r="D1162" s="6">
        <f>Arrivals!J1162</f>
        <v>3.1113100066497799</v>
      </c>
      <c r="E1162" s="6">
        <f t="shared" si="382"/>
        <v>939.90675260830039</v>
      </c>
      <c r="F1162" s="6">
        <f t="shared" si="373"/>
        <v>939.90675260830039</v>
      </c>
      <c r="G1162" s="6">
        <f t="shared" si="374"/>
        <v>943.01806261495017</v>
      </c>
      <c r="H1162" s="6">
        <f>Arrivals!L1162</f>
        <v>75</v>
      </c>
      <c r="I1162" s="6">
        <f>H1162*8/ACE_Input!S82+ACE_Input!T82</f>
        <v>6.02</v>
      </c>
      <c r="J1162" s="6">
        <f t="shared" si="383"/>
        <v>951.60493816543931</v>
      </c>
      <c r="K1162" s="6">
        <f t="shared" si="375"/>
        <v>951.60493816543931</v>
      </c>
      <c r="L1162" s="6">
        <f>MOD(K1162-Settings!$B$32,Settings!$B$33)</f>
        <v>231.60493816543931</v>
      </c>
      <c r="M1162" s="6">
        <f>IF(L1162&lt;Settings!$B$30,IF(Settings!$B$30-L1162&gt;=I1162,K1162,K1162+(Settings!$B$30-L1162)+Settings!$B$31),K1162+(Settings!$B$33-L1162))</f>
        <v>951.60493816543931</v>
      </c>
      <c r="N1162" s="6">
        <f t="shared" si="376"/>
        <v>957.62493816543929</v>
      </c>
      <c r="O1162" s="6">
        <f t="shared" si="377"/>
        <v>423.62493816543929</v>
      </c>
      <c r="P1162" s="6">
        <f t="shared" si="378"/>
        <v>405.90675260830039</v>
      </c>
      <c r="Q1162" s="6">
        <f t="shared" si="379"/>
        <v>8.5868755504891396</v>
      </c>
      <c r="R1162" s="6">
        <f t="shared" si="380"/>
        <v>0</v>
      </c>
      <c r="S1162" s="6">
        <f t="shared" si="381"/>
        <v>414.49362815878953</v>
      </c>
      <c r="T1162" s="6" t="str">
        <f>IF(MOD(C1162-Settings!$B$32,Settings!$B$33)&lt;Settings!$B$30,"Up","Down")</f>
        <v>Up</v>
      </c>
      <c r="U1162" s="6">
        <f>IF(OR(I1162&gt;Settings!$B$30,O1162&gt;Settings!$B$37),0,1)</f>
        <v>1</v>
      </c>
      <c r="V1162" s="6">
        <f>IF(AND(U1162=1,O1162&lt;=Settings!$B$36),1,0)</f>
        <v>0</v>
      </c>
    </row>
    <row r="1163" spans="1:22" x14ac:dyDescent="0.2">
      <c r="A1163">
        <f>Arrivals!A1163</f>
        <v>10</v>
      </c>
      <c r="B1163">
        <f>Arrivals!B1163</f>
        <v>78</v>
      </c>
      <c r="C1163" s="6">
        <f>Arrivals!F1163</f>
        <v>539</v>
      </c>
      <c r="D1163" s="6">
        <f>Arrivals!J1163</f>
        <v>9.5310969854166636</v>
      </c>
      <c r="E1163" s="6">
        <f t="shared" si="382"/>
        <v>943.01806261495017</v>
      </c>
      <c r="F1163" s="6">
        <f t="shared" si="373"/>
        <v>943.01806261495017</v>
      </c>
      <c r="G1163" s="6">
        <f t="shared" si="374"/>
        <v>952.54915960036681</v>
      </c>
      <c r="H1163" s="6">
        <f>Arrivals!L1163</f>
        <v>75</v>
      </c>
      <c r="I1163" s="6">
        <f>H1163*8/ACE_Input!S83+ACE_Input!T83</f>
        <v>6.02</v>
      </c>
      <c r="J1163" s="6">
        <f t="shared" si="383"/>
        <v>957.62493816543929</v>
      </c>
      <c r="K1163" s="6">
        <f t="shared" si="375"/>
        <v>957.62493816543929</v>
      </c>
      <c r="L1163" s="6">
        <f>MOD(K1163-Settings!$B$32,Settings!$B$33)</f>
        <v>237.62493816543929</v>
      </c>
      <c r="M1163" s="6">
        <f>IF(L1163&lt;Settings!$B$30,IF(Settings!$B$30-L1163&gt;=I1163,K1163,K1163+(Settings!$B$30-L1163)+Settings!$B$31),K1163+(Settings!$B$33-L1163))</f>
        <v>957.62493816543929</v>
      </c>
      <c r="N1163" s="6">
        <f t="shared" si="376"/>
        <v>963.64493816543927</v>
      </c>
      <c r="O1163" s="6">
        <f t="shared" si="377"/>
        <v>424.64493816543927</v>
      </c>
      <c r="P1163" s="6">
        <f t="shared" si="378"/>
        <v>404.01806261495017</v>
      </c>
      <c r="Q1163" s="6">
        <f t="shared" si="379"/>
        <v>5.0757785650724827</v>
      </c>
      <c r="R1163" s="6">
        <f t="shared" si="380"/>
        <v>0</v>
      </c>
      <c r="S1163" s="6">
        <f t="shared" si="381"/>
        <v>409.09384118002265</v>
      </c>
      <c r="T1163" s="6" t="str">
        <f>IF(MOD(C1163-Settings!$B$32,Settings!$B$33)&lt;Settings!$B$30,"Up","Down")</f>
        <v>Up</v>
      </c>
      <c r="U1163" s="6">
        <f>IF(OR(I1163&gt;Settings!$B$30,O1163&gt;Settings!$B$37),0,1)</f>
        <v>1</v>
      </c>
      <c r="V1163" s="6">
        <f>IF(AND(U1163=1,O1163&lt;=Settings!$B$36),1,0)</f>
        <v>0</v>
      </c>
    </row>
    <row r="1164" spans="1:22" x14ac:dyDescent="0.2">
      <c r="A1164">
        <f>Arrivals!A1164</f>
        <v>10</v>
      </c>
      <c r="B1164">
        <f>Arrivals!B1164</f>
        <v>79</v>
      </c>
      <c r="C1164" s="6">
        <f>Arrivals!F1164</f>
        <v>544</v>
      </c>
      <c r="D1164" s="6">
        <f>Arrivals!J1164</f>
        <v>12.297941653987111</v>
      </c>
      <c r="E1164" s="6">
        <f t="shared" si="382"/>
        <v>952.54915960036681</v>
      </c>
      <c r="F1164" s="6">
        <f t="shared" si="373"/>
        <v>952.54915960036681</v>
      </c>
      <c r="G1164" s="6">
        <f t="shared" si="374"/>
        <v>964.8471012543539</v>
      </c>
      <c r="H1164" s="6">
        <f>Arrivals!L1164</f>
        <v>75</v>
      </c>
      <c r="I1164" s="6">
        <f>H1164*8/ACE_Input!S84+ACE_Input!T84</f>
        <v>6.02</v>
      </c>
      <c r="J1164" s="6">
        <f t="shared" si="383"/>
        <v>963.64493816543927</v>
      </c>
      <c r="K1164" s="6">
        <f t="shared" si="375"/>
        <v>964.8471012543539</v>
      </c>
      <c r="L1164" s="6">
        <f>MOD(K1164-Settings!$B$32,Settings!$B$33)</f>
        <v>244.8471012543539</v>
      </c>
      <c r="M1164" s="6">
        <f>IF(L1164&lt;Settings!$B$30,IF(Settings!$B$30-L1164&gt;=I1164,K1164,K1164+(Settings!$B$30-L1164)+Settings!$B$31),K1164+(Settings!$B$33-L1164))</f>
        <v>964.8471012543539</v>
      </c>
      <c r="N1164" s="6">
        <f t="shared" si="376"/>
        <v>970.86710125435388</v>
      </c>
      <c r="O1164" s="6">
        <f t="shared" si="377"/>
        <v>426.86710125435388</v>
      </c>
      <c r="P1164" s="6">
        <f t="shared" si="378"/>
        <v>408.54915960036681</v>
      </c>
      <c r="Q1164" s="6">
        <f t="shared" si="379"/>
        <v>0</v>
      </c>
      <c r="R1164" s="6">
        <f t="shared" si="380"/>
        <v>0</v>
      </c>
      <c r="S1164" s="6">
        <f t="shared" si="381"/>
        <v>408.54915960036681</v>
      </c>
      <c r="T1164" s="6" t="str">
        <f>IF(MOD(C1164-Settings!$B$32,Settings!$B$33)&lt;Settings!$B$30,"Up","Down")</f>
        <v>Up</v>
      </c>
      <c r="U1164" s="6">
        <f>IF(OR(I1164&gt;Settings!$B$30,O1164&gt;Settings!$B$37),0,1)</f>
        <v>1</v>
      </c>
      <c r="V1164" s="6">
        <f>IF(AND(U1164=1,O1164&lt;=Settings!$B$36),1,0)</f>
        <v>0</v>
      </c>
    </row>
    <row r="1165" spans="1:22" x14ac:dyDescent="0.2">
      <c r="A1165">
        <f>Arrivals!A1165</f>
        <v>10</v>
      </c>
      <c r="B1165">
        <f>Arrivals!B1165</f>
        <v>80</v>
      </c>
      <c r="C1165" s="6">
        <f>Arrivals!F1165</f>
        <v>549</v>
      </c>
      <c r="D1165" s="6">
        <f>Arrivals!J1165</f>
        <v>13.426326595852762</v>
      </c>
      <c r="E1165" s="6">
        <f t="shared" si="382"/>
        <v>964.8471012543539</v>
      </c>
      <c r="F1165" s="6">
        <f t="shared" si="373"/>
        <v>964.8471012543539</v>
      </c>
      <c r="G1165" s="6">
        <f t="shared" si="374"/>
        <v>978.27342785020664</v>
      </c>
      <c r="H1165" s="6">
        <f>Arrivals!L1165</f>
        <v>75</v>
      </c>
      <c r="I1165" s="6">
        <f>H1165*8/ACE_Input!S85+ACE_Input!T85</f>
        <v>6.02</v>
      </c>
      <c r="J1165" s="6">
        <f t="shared" si="383"/>
        <v>970.86710125435388</v>
      </c>
      <c r="K1165" s="6">
        <f t="shared" si="375"/>
        <v>978.27342785020664</v>
      </c>
      <c r="L1165" s="6">
        <f>MOD(K1165-Settings!$B$32,Settings!$B$33)</f>
        <v>258.27342785020664</v>
      </c>
      <c r="M1165" s="6">
        <f>IF(L1165&lt;Settings!$B$30,IF(Settings!$B$30-L1165&gt;=I1165,K1165,K1165+(Settings!$B$30-L1165)+Settings!$B$31),K1165+(Settings!$B$33-L1165))</f>
        <v>978.27342785020664</v>
      </c>
      <c r="N1165" s="6">
        <f t="shared" si="376"/>
        <v>984.29342785020663</v>
      </c>
      <c r="O1165" s="6">
        <f t="shared" si="377"/>
        <v>435.29342785020663</v>
      </c>
      <c r="P1165" s="6">
        <f t="shared" si="378"/>
        <v>415.8471012543539</v>
      </c>
      <c r="Q1165" s="6">
        <f t="shared" si="379"/>
        <v>0</v>
      </c>
      <c r="R1165" s="6">
        <f t="shared" si="380"/>
        <v>0</v>
      </c>
      <c r="S1165" s="6">
        <f t="shared" si="381"/>
        <v>415.8471012543539</v>
      </c>
      <c r="T1165" s="6" t="str">
        <f>IF(MOD(C1165-Settings!$B$32,Settings!$B$33)&lt;Settings!$B$30,"Up","Down")</f>
        <v>Up</v>
      </c>
      <c r="U1165" s="6">
        <f>IF(OR(I1165&gt;Settings!$B$30,O1165&gt;Settings!$B$37),0,1)</f>
        <v>1</v>
      </c>
      <c r="V1165" s="6">
        <f>IF(AND(U1165=1,O1165&lt;=Settings!$B$36),1,0)</f>
        <v>0</v>
      </c>
    </row>
    <row r="1166" spans="1:22" x14ac:dyDescent="0.2">
      <c r="A1166">
        <f>Arrivals!A1166</f>
        <v>10</v>
      </c>
      <c r="B1166">
        <f>Arrivals!B1166</f>
        <v>81</v>
      </c>
      <c r="C1166" s="6">
        <f>Arrivals!F1166</f>
        <v>554</v>
      </c>
      <c r="D1166" s="6">
        <f>Arrivals!J1166</f>
        <v>39.702435185877775</v>
      </c>
      <c r="E1166" s="6">
        <f t="shared" si="382"/>
        <v>978.27342785020664</v>
      </c>
      <c r="F1166" s="6">
        <f t="shared" si="373"/>
        <v>978.27342785020664</v>
      </c>
      <c r="G1166" s="6">
        <f t="shared" si="374"/>
        <v>1017.9758630360844</v>
      </c>
      <c r="H1166" s="6">
        <f>Arrivals!L1166</f>
        <v>75</v>
      </c>
      <c r="I1166" s="6">
        <f>H1166*8/ACE_Input!S86+ACE_Input!T86</f>
        <v>6.02</v>
      </c>
      <c r="J1166" s="6">
        <f t="shared" si="383"/>
        <v>984.29342785020663</v>
      </c>
      <c r="K1166" s="6">
        <f t="shared" si="375"/>
        <v>1017.9758630360844</v>
      </c>
      <c r="L1166" s="6">
        <f>MOD(K1166-Settings!$B$32,Settings!$B$33)</f>
        <v>297.97586303608443</v>
      </c>
      <c r="M1166" s="6">
        <f>IF(L1166&lt;Settings!$B$30,IF(Settings!$B$30-L1166&gt;=I1166,K1166,K1166+(Settings!$B$30-L1166)+Settings!$B$31),K1166+(Settings!$B$33-L1166))</f>
        <v>1017.9758630360844</v>
      </c>
      <c r="N1166" s="6">
        <f t="shared" si="376"/>
        <v>1023.9958630360844</v>
      </c>
      <c r="O1166" s="6">
        <f t="shared" si="377"/>
        <v>469.99586303608442</v>
      </c>
      <c r="P1166" s="6">
        <f t="shared" si="378"/>
        <v>424.27342785020664</v>
      </c>
      <c r="Q1166" s="6">
        <f t="shared" si="379"/>
        <v>0</v>
      </c>
      <c r="R1166" s="6">
        <f t="shared" si="380"/>
        <v>0</v>
      </c>
      <c r="S1166" s="6">
        <f t="shared" si="381"/>
        <v>424.27342785020664</v>
      </c>
      <c r="T1166" s="6" t="str">
        <f>IF(MOD(C1166-Settings!$B$32,Settings!$B$33)&lt;Settings!$B$30,"Up","Down")</f>
        <v>Up</v>
      </c>
      <c r="U1166" s="6">
        <f>IF(OR(I1166&gt;Settings!$B$30,O1166&gt;Settings!$B$37),0,1)</f>
        <v>1</v>
      </c>
      <c r="V1166" s="6">
        <f>IF(AND(U1166=1,O1166&lt;=Settings!$B$36),1,0)</f>
        <v>0</v>
      </c>
    </row>
    <row r="1167" spans="1:22" x14ac:dyDescent="0.2">
      <c r="A1167">
        <f>Arrivals!A1167</f>
        <v>10</v>
      </c>
      <c r="B1167">
        <f>Arrivals!B1167</f>
        <v>82</v>
      </c>
      <c r="C1167" s="6">
        <f>Arrivals!F1167</f>
        <v>559</v>
      </c>
      <c r="D1167" s="6">
        <f>Arrivals!J1167</f>
        <v>5.6146508406711071</v>
      </c>
      <c r="E1167" s="6">
        <f t="shared" si="382"/>
        <v>1017.9758630360844</v>
      </c>
      <c r="F1167" s="6">
        <f t="shared" si="373"/>
        <v>1017.9758630360844</v>
      </c>
      <c r="G1167" s="6">
        <f t="shared" si="374"/>
        <v>1023.5905138767555</v>
      </c>
      <c r="H1167" s="6">
        <f>Arrivals!L1167</f>
        <v>75</v>
      </c>
      <c r="I1167" s="6">
        <f>H1167*8/ACE_Input!S87+ACE_Input!T87</f>
        <v>6.02</v>
      </c>
      <c r="J1167" s="6">
        <f t="shared" si="383"/>
        <v>1023.9958630360844</v>
      </c>
      <c r="K1167" s="6">
        <f t="shared" si="375"/>
        <v>1023.9958630360844</v>
      </c>
      <c r="L1167" s="6">
        <f>MOD(K1167-Settings!$B$32,Settings!$B$33)</f>
        <v>303.99586303608442</v>
      </c>
      <c r="M1167" s="6">
        <f>IF(L1167&lt;Settings!$B$30,IF(Settings!$B$30-L1167&gt;=I1167,K1167,K1167+(Settings!$B$30-L1167)+Settings!$B$31),K1167+(Settings!$B$33-L1167))</f>
        <v>1023.9958630360844</v>
      </c>
      <c r="N1167" s="6">
        <f t="shared" si="376"/>
        <v>1030.0158630360845</v>
      </c>
      <c r="O1167" s="6">
        <f t="shared" si="377"/>
        <v>471.01586303608451</v>
      </c>
      <c r="P1167" s="6">
        <f t="shared" si="378"/>
        <v>458.97586303608443</v>
      </c>
      <c r="Q1167" s="6">
        <f t="shared" si="379"/>
        <v>0.4053491593289209</v>
      </c>
      <c r="R1167" s="6">
        <f t="shared" si="380"/>
        <v>0</v>
      </c>
      <c r="S1167" s="6">
        <f t="shared" si="381"/>
        <v>459.38121219541335</v>
      </c>
      <c r="T1167" s="6" t="str">
        <f>IF(MOD(C1167-Settings!$B$32,Settings!$B$33)&lt;Settings!$B$30,"Up","Down")</f>
        <v>Up</v>
      </c>
      <c r="U1167" s="6">
        <f>IF(OR(I1167&gt;Settings!$B$30,O1167&gt;Settings!$B$37),0,1)</f>
        <v>1</v>
      </c>
      <c r="V1167" s="6">
        <f>IF(AND(U1167=1,O1167&lt;=Settings!$B$36),1,0)</f>
        <v>0</v>
      </c>
    </row>
    <row r="1168" spans="1:22" x14ac:dyDescent="0.2">
      <c r="A1168">
        <f>Arrivals!A1168</f>
        <v>10</v>
      </c>
      <c r="B1168">
        <f>Arrivals!B1168</f>
        <v>83</v>
      </c>
      <c r="C1168" s="6">
        <f>Arrivals!F1168</f>
        <v>564</v>
      </c>
      <c r="D1168" s="6">
        <f>Arrivals!J1168</f>
        <v>5.6129330179577277</v>
      </c>
      <c r="E1168" s="6">
        <f t="shared" si="382"/>
        <v>1023.5905138767555</v>
      </c>
      <c r="F1168" s="6">
        <f t="shared" si="373"/>
        <v>1023.5905138767555</v>
      </c>
      <c r="G1168" s="6">
        <f t="shared" si="374"/>
        <v>1029.2034468947131</v>
      </c>
      <c r="H1168" s="6">
        <f>Arrivals!L1168</f>
        <v>75</v>
      </c>
      <c r="I1168" s="6">
        <f>H1168*8/ACE_Input!S88+ACE_Input!T88</f>
        <v>6.02</v>
      </c>
      <c r="J1168" s="6">
        <f t="shared" si="383"/>
        <v>1030.0158630360845</v>
      </c>
      <c r="K1168" s="6">
        <f t="shared" si="375"/>
        <v>1030.0158630360845</v>
      </c>
      <c r="L1168" s="6">
        <f>MOD(K1168-Settings!$B$32,Settings!$B$33)</f>
        <v>310.01586303608451</v>
      </c>
      <c r="M1168" s="6">
        <f>IF(L1168&lt;Settings!$B$30,IF(Settings!$B$30-L1168&gt;=I1168,K1168,K1168+(Settings!$B$30-L1168)+Settings!$B$31),K1168+(Settings!$B$33-L1168))</f>
        <v>1030.0158630360845</v>
      </c>
      <c r="N1168" s="6">
        <f t="shared" si="376"/>
        <v>1036.0358630360845</v>
      </c>
      <c r="O1168" s="6">
        <f t="shared" si="377"/>
        <v>472.03586303608449</v>
      </c>
      <c r="P1168" s="6">
        <f t="shared" si="378"/>
        <v>459.59051387675549</v>
      </c>
      <c r="Q1168" s="6">
        <f t="shared" si="379"/>
        <v>0.8124161413713864</v>
      </c>
      <c r="R1168" s="6">
        <f t="shared" si="380"/>
        <v>0</v>
      </c>
      <c r="S1168" s="6">
        <f t="shared" si="381"/>
        <v>460.40293001812688</v>
      </c>
      <c r="T1168" s="6" t="str">
        <f>IF(MOD(C1168-Settings!$B$32,Settings!$B$33)&lt;Settings!$B$30,"Up","Down")</f>
        <v>Up</v>
      </c>
      <c r="U1168" s="6">
        <f>IF(OR(I1168&gt;Settings!$B$30,O1168&gt;Settings!$B$37),0,1)</f>
        <v>1</v>
      </c>
      <c r="V1168" s="6">
        <f>IF(AND(U1168=1,O1168&lt;=Settings!$B$36),1,0)</f>
        <v>0</v>
      </c>
    </row>
    <row r="1169" spans="1:22" x14ac:dyDescent="0.2">
      <c r="A1169">
        <f>Arrivals!A1169</f>
        <v>10</v>
      </c>
      <c r="B1169">
        <f>Arrivals!B1169</f>
        <v>84</v>
      </c>
      <c r="C1169" s="6">
        <f>Arrivals!F1169</f>
        <v>569</v>
      </c>
      <c r="D1169" s="6">
        <f>Arrivals!J1169</f>
        <v>24.170322664113286</v>
      </c>
      <c r="E1169" s="6">
        <f t="shared" si="382"/>
        <v>1029.2034468947131</v>
      </c>
      <c r="F1169" s="6">
        <f t="shared" si="373"/>
        <v>1029.2034468947131</v>
      </c>
      <c r="G1169" s="6">
        <f t="shared" si="374"/>
        <v>1053.3737695588263</v>
      </c>
      <c r="H1169" s="6">
        <f>Arrivals!L1169</f>
        <v>75</v>
      </c>
      <c r="I1169" s="6">
        <f>H1169*8/ACE_Input!S89+ACE_Input!T89</f>
        <v>6.02</v>
      </c>
      <c r="J1169" s="6">
        <f t="shared" si="383"/>
        <v>1036.0358630360845</v>
      </c>
      <c r="K1169" s="6">
        <f t="shared" si="375"/>
        <v>1053.3737695588263</v>
      </c>
      <c r="L1169" s="6">
        <f>MOD(K1169-Settings!$B$32,Settings!$B$33)</f>
        <v>333.37376955882633</v>
      </c>
      <c r="M1169" s="6">
        <f>IF(L1169&lt;Settings!$B$30,IF(Settings!$B$30-L1169&gt;=I1169,K1169,K1169+(Settings!$B$30-L1169)+Settings!$B$31),K1169+(Settings!$B$33-L1169))</f>
        <v>1053.3737695588263</v>
      </c>
      <c r="N1169" s="6">
        <f t="shared" si="376"/>
        <v>1059.3937695588263</v>
      </c>
      <c r="O1169" s="6">
        <f t="shared" si="377"/>
        <v>490.39376955882631</v>
      </c>
      <c r="P1169" s="6">
        <f t="shared" si="378"/>
        <v>460.20344689471312</v>
      </c>
      <c r="Q1169" s="6">
        <f t="shared" si="379"/>
        <v>0</v>
      </c>
      <c r="R1169" s="6">
        <f t="shared" si="380"/>
        <v>0</v>
      </c>
      <c r="S1169" s="6">
        <f t="shared" si="381"/>
        <v>460.20344689471312</v>
      </c>
      <c r="T1169" s="6" t="str">
        <f>IF(MOD(C1169-Settings!$B$32,Settings!$B$33)&lt;Settings!$B$30,"Up","Down")</f>
        <v>Up</v>
      </c>
      <c r="U1169" s="6">
        <f>IF(OR(I1169&gt;Settings!$B$30,O1169&gt;Settings!$B$37),0,1)</f>
        <v>1</v>
      </c>
      <c r="V1169" s="6">
        <f>IF(AND(U1169=1,O1169&lt;=Settings!$B$36),1,0)</f>
        <v>0</v>
      </c>
    </row>
    <row r="1170" spans="1:22" x14ac:dyDescent="0.2">
      <c r="A1170">
        <f>Arrivals!A1170</f>
        <v>10</v>
      </c>
      <c r="B1170">
        <f>Arrivals!B1170</f>
        <v>85</v>
      </c>
      <c r="C1170" s="6">
        <f>Arrivals!F1170</f>
        <v>574</v>
      </c>
      <c r="D1170" s="6">
        <f>Arrivals!J1170</f>
        <v>7.7606225965150468</v>
      </c>
      <c r="E1170" s="6">
        <f t="shared" si="382"/>
        <v>1053.3737695588263</v>
      </c>
      <c r="F1170" s="6">
        <f t="shared" si="373"/>
        <v>1053.3737695588263</v>
      </c>
      <c r="G1170" s="6">
        <f t="shared" si="374"/>
        <v>1061.1343921553414</v>
      </c>
      <c r="H1170" s="6">
        <f>Arrivals!L1170</f>
        <v>75</v>
      </c>
      <c r="I1170" s="6">
        <f>H1170*8/ACE_Input!S90+ACE_Input!T90</f>
        <v>6.02</v>
      </c>
      <c r="J1170" s="6">
        <f t="shared" si="383"/>
        <v>1059.3937695588263</v>
      </c>
      <c r="K1170" s="6">
        <f t="shared" si="375"/>
        <v>1061.1343921553414</v>
      </c>
      <c r="L1170" s="6">
        <f>MOD(K1170-Settings!$B$32,Settings!$B$33)</f>
        <v>341.1343921553414</v>
      </c>
      <c r="M1170" s="6">
        <f>IF(L1170&lt;Settings!$B$30,IF(Settings!$B$30-L1170&gt;=I1170,K1170,K1170+(Settings!$B$30-L1170)+Settings!$B$31),K1170+(Settings!$B$33-L1170))</f>
        <v>1061.1343921553414</v>
      </c>
      <c r="N1170" s="6">
        <f t="shared" si="376"/>
        <v>1067.1543921553414</v>
      </c>
      <c r="O1170" s="6">
        <f t="shared" si="377"/>
        <v>493.15439215534138</v>
      </c>
      <c r="P1170" s="6">
        <f t="shared" si="378"/>
        <v>479.37376955882633</v>
      </c>
      <c r="Q1170" s="6">
        <f t="shared" si="379"/>
        <v>0</v>
      </c>
      <c r="R1170" s="6">
        <f t="shared" si="380"/>
        <v>0</v>
      </c>
      <c r="S1170" s="6">
        <f t="shared" si="381"/>
        <v>479.37376955882633</v>
      </c>
      <c r="T1170" s="6" t="str">
        <f>IF(MOD(C1170-Settings!$B$32,Settings!$B$33)&lt;Settings!$B$30,"Up","Down")</f>
        <v>Up</v>
      </c>
      <c r="U1170" s="6">
        <f>IF(OR(I1170&gt;Settings!$B$30,O1170&gt;Settings!$B$37),0,1)</f>
        <v>1</v>
      </c>
      <c r="V1170" s="6">
        <f>IF(AND(U1170=1,O1170&lt;=Settings!$B$36),1,0)</f>
        <v>0</v>
      </c>
    </row>
    <row r="1171" spans="1:22" x14ac:dyDescent="0.2">
      <c r="A1171">
        <f>Arrivals!A1171</f>
        <v>10</v>
      </c>
      <c r="B1171">
        <f>Arrivals!B1171</f>
        <v>86</v>
      </c>
      <c r="C1171" s="6">
        <f>Arrivals!F1171</f>
        <v>579</v>
      </c>
      <c r="D1171" s="6">
        <f>Arrivals!J1171</f>
        <v>1.7794633202592764</v>
      </c>
      <c r="E1171" s="6">
        <f t="shared" si="382"/>
        <v>1061.1343921553414</v>
      </c>
      <c r="F1171" s="6">
        <f t="shared" si="373"/>
        <v>1061.1343921553414</v>
      </c>
      <c r="G1171" s="6">
        <f t="shared" si="374"/>
        <v>1062.9138554756007</v>
      </c>
      <c r="H1171" s="6">
        <f>Arrivals!L1171</f>
        <v>75</v>
      </c>
      <c r="I1171" s="6">
        <f>H1171*8/ACE_Input!S91+ACE_Input!T91</f>
        <v>6.02</v>
      </c>
      <c r="J1171" s="6">
        <f t="shared" si="383"/>
        <v>1067.1543921553414</v>
      </c>
      <c r="K1171" s="6">
        <f t="shared" si="375"/>
        <v>1067.1543921553414</v>
      </c>
      <c r="L1171" s="6">
        <f>MOD(K1171-Settings!$B$32,Settings!$B$33)</f>
        <v>347.15439215534138</v>
      </c>
      <c r="M1171" s="6">
        <f>IF(L1171&lt;Settings!$B$30,IF(Settings!$B$30-L1171&gt;=I1171,K1171,K1171+(Settings!$B$30-L1171)+Settings!$B$31),K1171+(Settings!$B$33-L1171))</f>
        <v>1067.1543921553414</v>
      </c>
      <c r="N1171" s="6">
        <f t="shared" si="376"/>
        <v>1073.1743921553414</v>
      </c>
      <c r="O1171" s="6">
        <f t="shared" si="377"/>
        <v>494.17439215534137</v>
      </c>
      <c r="P1171" s="6">
        <f t="shared" si="378"/>
        <v>482.1343921553414</v>
      </c>
      <c r="Q1171" s="6">
        <f t="shared" si="379"/>
        <v>4.2405366797406714</v>
      </c>
      <c r="R1171" s="6">
        <f t="shared" si="380"/>
        <v>0</v>
      </c>
      <c r="S1171" s="6">
        <f t="shared" si="381"/>
        <v>486.37492883508207</v>
      </c>
      <c r="T1171" s="6" t="str">
        <f>IF(MOD(C1171-Settings!$B$32,Settings!$B$33)&lt;Settings!$B$30,"Up","Down")</f>
        <v>Up</v>
      </c>
      <c r="U1171" s="6">
        <f>IF(OR(I1171&gt;Settings!$B$30,O1171&gt;Settings!$B$37),0,1)</f>
        <v>1</v>
      </c>
      <c r="V1171" s="6">
        <f>IF(AND(U1171=1,O1171&lt;=Settings!$B$36),1,0)</f>
        <v>0</v>
      </c>
    </row>
    <row r="1172" spans="1:22" x14ac:dyDescent="0.2">
      <c r="A1172">
        <f>Arrivals!A1172</f>
        <v>10</v>
      </c>
      <c r="B1172">
        <f>Arrivals!B1172</f>
        <v>87</v>
      </c>
      <c r="C1172" s="6">
        <f>Arrivals!F1172</f>
        <v>584</v>
      </c>
      <c r="D1172" s="6">
        <f>Arrivals!J1172</f>
        <v>4.3318984565661003</v>
      </c>
      <c r="E1172" s="6">
        <f t="shared" si="382"/>
        <v>1062.9138554756007</v>
      </c>
      <c r="F1172" s="6">
        <f t="shared" si="373"/>
        <v>1062.9138554756007</v>
      </c>
      <c r="G1172" s="6">
        <f t="shared" si="374"/>
        <v>1067.2457539321667</v>
      </c>
      <c r="H1172" s="6">
        <f>Arrivals!L1172</f>
        <v>75</v>
      </c>
      <c r="I1172" s="6">
        <f>H1172*8/ACE_Input!S92+ACE_Input!T92</f>
        <v>6.02</v>
      </c>
      <c r="J1172" s="6">
        <f t="shared" si="383"/>
        <v>1073.1743921553414</v>
      </c>
      <c r="K1172" s="6">
        <f t="shared" si="375"/>
        <v>1073.1743921553414</v>
      </c>
      <c r="L1172" s="6">
        <f>MOD(K1172-Settings!$B$32,Settings!$B$33)</f>
        <v>353.17439215534137</v>
      </c>
      <c r="M1172" s="6">
        <f>IF(L1172&lt;Settings!$B$30,IF(Settings!$B$30-L1172&gt;=I1172,K1172,K1172+(Settings!$B$30-L1172)+Settings!$B$31),K1172+(Settings!$B$33-L1172))</f>
        <v>1073.1743921553414</v>
      </c>
      <c r="N1172" s="6">
        <f t="shared" si="376"/>
        <v>1079.1943921553413</v>
      </c>
      <c r="O1172" s="6">
        <f t="shared" si="377"/>
        <v>495.19439215534135</v>
      </c>
      <c r="P1172" s="6">
        <f t="shared" si="378"/>
        <v>478.91385547560071</v>
      </c>
      <c r="Q1172" s="6">
        <f t="shared" si="379"/>
        <v>5.9286382231746302</v>
      </c>
      <c r="R1172" s="6">
        <f t="shared" si="380"/>
        <v>0</v>
      </c>
      <c r="S1172" s="6">
        <f t="shared" si="381"/>
        <v>484.84249369877534</v>
      </c>
      <c r="T1172" s="6" t="str">
        <f>IF(MOD(C1172-Settings!$B$32,Settings!$B$33)&lt;Settings!$B$30,"Up","Down")</f>
        <v>Up</v>
      </c>
      <c r="U1172" s="6">
        <f>IF(OR(I1172&gt;Settings!$B$30,O1172&gt;Settings!$B$37),0,1)</f>
        <v>1</v>
      </c>
      <c r="V1172" s="6">
        <f>IF(AND(U1172=1,O1172&lt;=Settings!$B$36),1,0)</f>
        <v>0</v>
      </c>
    </row>
    <row r="1173" spans="1:22" x14ac:dyDescent="0.2">
      <c r="A1173">
        <f>Arrivals!A1173</f>
        <v>10</v>
      </c>
      <c r="B1173">
        <f>Arrivals!B1173</f>
        <v>88</v>
      </c>
      <c r="C1173" s="6">
        <f>Arrivals!F1173</f>
        <v>589</v>
      </c>
      <c r="D1173" s="6">
        <f>Arrivals!J1173</f>
        <v>17.891752782152032</v>
      </c>
      <c r="E1173" s="6">
        <f t="shared" si="382"/>
        <v>1067.2457539321667</v>
      </c>
      <c r="F1173" s="6">
        <f t="shared" si="373"/>
        <v>1067.2457539321667</v>
      </c>
      <c r="G1173" s="6">
        <f t="shared" si="374"/>
        <v>1085.1375067143188</v>
      </c>
      <c r="H1173" s="6">
        <f>Arrivals!L1173</f>
        <v>75</v>
      </c>
      <c r="I1173" s="6">
        <f>H1173*8/ACE_Input!S93+ACE_Input!T93</f>
        <v>6.02</v>
      </c>
      <c r="J1173" s="6">
        <f t="shared" si="383"/>
        <v>1079.1943921553413</v>
      </c>
      <c r="K1173" s="6">
        <f t="shared" si="375"/>
        <v>1085.1375067143188</v>
      </c>
      <c r="L1173" s="6">
        <f>MOD(K1173-Settings!$B$32,Settings!$B$33)</f>
        <v>365.13750671431876</v>
      </c>
      <c r="M1173" s="6">
        <f>IF(L1173&lt;Settings!$B$30,IF(Settings!$B$30-L1173&gt;=I1173,K1173,K1173+(Settings!$B$30-L1173)+Settings!$B$31),K1173+(Settings!$B$33-L1173))</f>
        <v>1085.1375067143188</v>
      </c>
      <c r="N1173" s="6">
        <f t="shared" si="376"/>
        <v>1091.1575067143187</v>
      </c>
      <c r="O1173" s="6">
        <f t="shared" si="377"/>
        <v>502.15750671431874</v>
      </c>
      <c r="P1173" s="6">
        <f t="shared" si="378"/>
        <v>478.24575393216674</v>
      </c>
      <c r="Q1173" s="6">
        <f t="shared" si="379"/>
        <v>0</v>
      </c>
      <c r="R1173" s="6">
        <f t="shared" si="380"/>
        <v>0</v>
      </c>
      <c r="S1173" s="6">
        <f t="shared" si="381"/>
        <v>478.24575393216674</v>
      </c>
      <c r="T1173" s="6" t="str">
        <f>IF(MOD(C1173-Settings!$B$32,Settings!$B$33)&lt;Settings!$B$30,"Up","Down")</f>
        <v>Up</v>
      </c>
      <c r="U1173" s="6">
        <f>IF(OR(I1173&gt;Settings!$B$30,O1173&gt;Settings!$B$37),0,1)</f>
        <v>1</v>
      </c>
      <c r="V1173" s="6">
        <f>IF(AND(U1173=1,O1173&lt;=Settings!$B$36),1,0)</f>
        <v>0</v>
      </c>
    </row>
    <row r="1174" spans="1:22" x14ac:dyDescent="0.2">
      <c r="A1174">
        <f>Arrivals!A1174</f>
        <v>10</v>
      </c>
      <c r="B1174">
        <f>Arrivals!B1174</f>
        <v>89</v>
      </c>
      <c r="C1174" s="6">
        <f>Arrivals!F1174</f>
        <v>594</v>
      </c>
      <c r="D1174" s="6">
        <f>Arrivals!J1174</f>
        <v>24.461011704464937</v>
      </c>
      <c r="E1174" s="6">
        <f t="shared" si="382"/>
        <v>1085.1375067143188</v>
      </c>
      <c r="F1174" s="6">
        <f t="shared" si="373"/>
        <v>1085.1375067143188</v>
      </c>
      <c r="G1174" s="6">
        <f t="shared" si="374"/>
        <v>1109.5985184187837</v>
      </c>
      <c r="H1174" s="6">
        <f>Arrivals!L1174</f>
        <v>75</v>
      </c>
      <c r="I1174" s="6">
        <f>H1174*8/ACE_Input!S94+ACE_Input!T94</f>
        <v>6.02</v>
      </c>
      <c r="J1174" s="6">
        <f t="shared" si="383"/>
        <v>1091.1575067143187</v>
      </c>
      <c r="K1174" s="6">
        <f t="shared" si="375"/>
        <v>1109.5985184187837</v>
      </c>
      <c r="L1174" s="6">
        <f>MOD(K1174-Settings!$B$32,Settings!$B$33)</f>
        <v>389.59851841878367</v>
      </c>
      <c r="M1174" s="6">
        <f>IF(L1174&lt;Settings!$B$30,IF(Settings!$B$30-L1174&gt;=I1174,K1174,K1174+(Settings!$B$30-L1174)+Settings!$B$31),K1174+(Settings!$B$33-L1174))</f>
        <v>1109.5985184187837</v>
      </c>
      <c r="N1174" s="6">
        <f t="shared" si="376"/>
        <v>1115.6185184187837</v>
      </c>
      <c r="O1174" s="6">
        <f t="shared" si="377"/>
        <v>521.61851841878365</v>
      </c>
      <c r="P1174" s="6">
        <f t="shared" si="378"/>
        <v>491.13750671431876</v>
      </c>
      <c r="Q1174" s="6">
        <f t="shared" si="379"/>
        <v>0</v>
      </c>
      <c r="R1174" s="6">
        <f t="shared" si="380"/>
        <v>0</v>
      </c>
      <c r="S1174" s="6">
        <f t="shared" si="381"/>
        <v>491.13750671431876</v>
      </c>
      <c r="T1174" s="6" t="str">
        <f>IF(MOD(C1174-Settings!$B$32,Settings!$B$33)&lt;Settings!$B$30,"Up","Down")</f>
        <v>Up</v>
      </c>
      <c r="U1174" s="6">
        <f>IF(OR(I1174&gt;Settings!$B$30,O1174&gt;Settings!$B$37),0,1)</f>
        <v>1</v>
      </c>
      <c r="V1174" s="6">
        <f>IF(AND(U1174=1,O1174&lt;=Settings!$B$36),1,0)</f>
        <v>0</v>
      </c>
    </row>
    <row r="1175" spans="1:22" x14ac:dyDescent="0.2">
      <c r="A1175">
        <f>Arrivals!A1175</f>
        <v>10</v>
      </c>
      <c r="B1175">
        <f>Arrivals!B1175</f>
        <v>90</v>
      </c>
      <c r="C1175" s="6">
        <f>Arrivals!F1175</f>
        <v>599</v>
      </c>
      <c r="D1175" s="6">
        <f>Arrivals!J1175</f>
        <v>1.9029638020881654</v>
      </c>
      <c r="E1175" s="6">
        <f t="shared" si="382"/>
        <v>1109.5985184187837</v>
      </c>
      <c r="F1175" s="6">
        <f t="shared" si="373"/>
        <v>1109.5985184187837</v>
      </c>
      <c r="G1175" s="6">
        <f t="shared" si="374"/>
        <v>1111.5014822208718</v>
      </c>
      <c r="H1175" s="6">
        <f>Arrivals!L1175</f>
        <v>75</v>
      </c>
      <c r="I1175" s="6">
        <f>H1175*8/ACE_Input!S95+ACE_Input!T95</f>
        <v>6.02</v>
      </c>
      <c r="J1175" s="6">
        <f t="shared" si="383"/>
        <v>1115.6185184187837</v>
      </c>
      <c r="K1175" s="6">
        <f t="shared" si="375"/>
        <v>1115.6185184187837</v>
      </c>
      <c r="L1175" s="6">
        <f>MOD(K1175-Settings!$B$32,Settings!$B$33)</f>
        <v>395.61851841878365</v>
      </c>
      <c r="M1175" s="6">
        <f>IF(L1175&lt;Settings!$B$30,IF(Settings!$B$30-L1175&gt;=I1175,K1175,K1175+(Settings!$B$30-L1175)+Settings!$B$31),K1175+(Settings!$B$33-L1175))</f>
        <v>1115.6185184187837</v>
      </c>
      <c r="N1175" s="6">
        <f t="shared" si="376"/>
        <v>1121.6385184187836</v>
      </c>
      <c r="O1175" s="6">
        <f t="shared" si="377"/>
        <v>522.63851841878363</v>
      </c>
      <c r="P1175" s="6">
        <f t="shared" si="378"/>
        <v>510.59851841878367</v>
      </c>
      <c r="Q1175" s="6">
        <f t="shared" si="379"/>
        <v>4.1170361979118297</v>
      </c>
      <c r="R1175" s="6">
        <f t="shared" si="380"/>
        <v>0</v>
      </c>
      <c r="S1175" s="6">
        <f t="shared" si="381"/>
        <v>514.7155546166955</v>
      </c>
      <c r="T1175" s="6" t="str">
        <f>IF(MOD(C1175-Settings!$B$32,Settings!$B$33)&lt;Settings!$B$30,"Up","Down")</f>
        <v>Up</v>
      </c>
      <c r="U1175" s="6">
        <f>IF(OR(I1175&gt;Settings!$B$30,O1175&gt;Settings!$B$37),0,1)</f>
        <v>1</v>
      </c>
      <c r="V1175" s="6">
        <f>IF(AND(U1175=1,O1175&lt;=Settings!$B$36),1,0)</f>
        <v>0</v>
      </c>
    </row>
    <row r="1176" spans="1:22" x14ac:dyDescent="0.2">
      <c r="A1176">
        <f>Arrivals!A1176</f>
        <v>10</v>
      </c>
      <c r="B1176">
        <f>Arrivals!B1176</f>
        <v>91</v>
      </c>
      <c r="C1176" s="6">
        <f>Arrivals!F1176</f>
        <v>604</v>
      </c>
      <c r="D1176" s="6">
        <f>Arrivals!J1176</f>
        <v>13.385108280737832</v>
      </c>
      <c r="E1176" s="6">
        <f t="shared" si="382"/>
        <v>1111.5014822208718</v>
      </c>
      <c r="F1176" s="6">
        <f t="shared" si="373"/>
        <v>1111.5014822208718</v>
      </c>
      <c r="G1176" s="6">
        <f t="shared" si="374"/>
        <v>1124.8865905016096</v>
      </c>
      <c r="H1176" s="6">
        <f>Arrivals!L1176</f>
        <v>75</v>
      </c>
      <c r="I1176" s="6">
        <f>H1176*8/ACE_Input!S96+ACE_Input!T96</f>
        <v>6.02</v>
      </c>
      <c r="J1176" s="6">
        <f t="shared" si="383"/>
        <v>1121.6385184187836</v>
      </c>
      <c r="K1176" s="6">
        <f t="shared" si="375"/>
        <v>1124.8865905016096</v>
      </c>
      <c r="L1176" s="6">
        <f>MOD(K1176-Settings!$B$32,Settings!$B$33)</f>
        <v>404.88659050160959</v>
      </c>
      <c r="M1176" s="6">
        <f>IF(L1176&lt;Settings!$B$30,IF(Settings!$B$30-L1176&gt;=I1176,K1176,K1176+(Settings!$B$30-L1176)+Settings!$B$31),K1176+(Settings!$B$33-L1176))</f>
        <v>1124.8865905016096</v>
      </c>
      <c r="N1176" s="6">
        <f t="shared" si="376"/>
        <v>1130.9065905016096</v>
      </c>
      <c r="O1176" s="6">
        <f t="shared" si="377"/>
        <v>526.90659050160957</v>
      </c>
      <c r="P1176" s="6">
        <f t="shared" si="378"/>
        <v>507.50148222087182</v>
      </c>
      <c r="Q1176" s="6">
        <f t="shared" si="379"/>
        <v>0</v>
      </c>
      <c r="R1176" s="6">
        <f t="shared" si="380"/>
        <v>0</v>
      </c>
      <c r="S1176" s="6">
        <f t="shared" si="381"/>
        <v>507.50148222087182</v>
      </c>
      <c r="T1176" s="6" t="str">
        <f>IF(MOD(C1176-Settings!$B$32,Settings!$B$33)&lt;Settings!$B$30,"Up","Down")</f>
        <v>Down</v>
      </c>
      <c r="U1176" s="6">
        <f>IF(OR(I1176&gt;Settings!$B$30,O1176&gt;Settings!$B$37),0,1)</f>
        <v>1</v>
      </c>
      <c r="V1176" s="6">
        <f>IF(AND(U1176=1,O1176&lt;=Settings!$B$36),1,0)</f>
        <v>0</v>
      </c>
    </row>
    <row r="1177" spans="1:22" x14ac:dyDescent="0.2">
      <c r="A1177">
        <f>Arrivals!A1177</f>
        <v>10</v>
      </c>
      <c r="B1177">
        <f>Arrivals!B1177</f>
        <v>92</v>
      </c>
      <c r="C1177" s="6">
        <f>Arrivals!F1177</f>
        <v>609</v>
      </c>
      <c r="D1177" s="6">
        <f>Arrivals!J1177</f>
        <v>0.91612079338540231</v>
      </c>
      <c r="E1177" s="6">
        <f t="shared" si="382"/>
        <v>1124.8865905016096</v>
      </c>
      <c r="F1177" s="6">
        <f t="shared" si="373"/>
        <v>1124.8865905016096</v>
      </c>
      <c r="G1177" s="6">
        <f t="shared" si="374"/>
        <v>1125.8027112949949</v>
      </c>
      <c r="H1177" s="6">
        <f>Arrivals!L1177</f>
        <v>75</v>
      </c>
      <c r="I1177" s="6">
        <f>H1177*8/ACE_Input!S97+ACE_Input!T97</f>
        <v>6.02</v>
      </c>
      <c r="J1177" s="6">
        <f t="shared" si="383"/>
        <v>1130.9065905016096</v>
      </c>
      <c r="K1177" s="6">
        <f t="shared" si="375"/>
        <v>1130.9065905016096</v>
      </c>
      <c r="L1177" s="6">
        <f>MOD(K1177-Settings!$B$32,Settings!$B$33)</f>
        <v>410.90659050160957</v>
      </c>
      <c r="M1177" s="6">
        <f>IF(L1177&lt;Settings!$B$30,IF(Settings!$B$30-L1177&gt;=I1177,K1177,K1177+(Settings!$B$30-L1177)+Settings!$B$31),K1177+(Settings!$B$33-L1177))</f>
        <v>1130.9065905016096</v>
      </c>
      <c r="N1177" s="6">
        <f t="shared" si="376"/>
        <v>1136.9265905016096</v>
      </c>
      <c r="O1177" s="6">
        <f t="shared" si="377"/>
        <v>527.92659050160955</v>
      </c>
      <c r="P1177" s="6">
        <f t="shared" si="378"/>
        <v>515.88659050160959</v>
      </c>
      <c r="Q1177" s="6">
        <f t="shared" si="379"/>
        <v>5.1038792066146925</v>
      </c>
      <c r="R1177" s="6">
        <f t="shared" si="380"/>
        <v>0</v>
      </c>
      <c r="S1177" s="6">
        <f t="shared" si="381"/>
        <v>520.99046970822428</v>
      </c>
      <c r="T1177" s="6" t="str">
        <f>IF(MOD(C1177-Settings!$B$32,Settings!$B$33)&lt;Settings!$B$30,"Up","Down")</f>
        <v>Down</v>
      </c>
      <c r="U1177" s="6">
        <f>IF(OR(I1177&gt;Settings!$B$30,O1177&gt;Settings!$B$37),0,1)</f>
        <v>1</v>
      </c>
      <c r="V1177" s="6">
        <f>IF(AND(U1177=1,O1177&lt;=Settings!$B$36),1,0)</f>
        <v>0</v>
      </c>
    </row>
    <row r="1178" spans="1:22" x14ac:dyDescent="0.2">
      <c r="A1178">
        <f>Arrivals!A1178</f>
        <v>10</v>
      </c>
      <c r="B1178">
        <f>Arrivals!B1178</f>
        <v>93</v>
      </c>
      <c r="C1178" s="6">
        <f>Arrivals!F1178</f>
        <v>614</v>
      </c>
      <c r="D1178" s="6">
        <f>Arrivals!J1178</f>
        <v>5.1367850337723082</v>
      </c>
      <c r="E1178" s="6">
        <f t="shared" si="382"/>
        <v>1125.8027112949949</v>
      </c>
      <c r="F1178" s="6">
        <f t="shared" si="373"/>
        <v>1125.8027112949949</v>
      </c>
      <c r="G1178" s="6">
        <f t="shared" si="374"/>
        <v>1130.9394963287673</v>
      </c>
      <c r="H1178" s="6">
        <f>Arrivals!L1178</f>
        <v>75</v>
      </c>
      <c r="I1178" s="6">
        <f>H1178*8/ACE_Input!S98+ACE_Input!T98</f>
        <v>6.02</v>
      </c>
      <c r="J1178" s="6">
        <f t="shared" si="383"/>
        <v>1136.9265905016096</v>
      </c>
      <c r="K1178" s="6">
        <f t="shared" si="375"/>
        <v>1136.9265905016096</v>
      </c>
      <c r="L1178" s="6">
        <f>MOD(K1178-Settings!$B$32,Settings!$B$33)</f>
        <v>416.92659050160955</v>
      </c>
      <c r="M1178" s="6">
        <f>IF(L1178&lt;Settings!$B$30,IF(Settings!$B$30-L1178&gt;=I1178,K1178,K1178+(Settings!$B$30-L1178)+Settings!$B$31),K1178+(Settings!$B$33-L1178))</f>
        <v>1136.9265905016096</v>
      </c>
      <c r="N1178" s="6">
        <f t="shared" si="376"/>
        <v>1142.9465905016095</v>
      </c>
      <c r="O1178" s="6">
        <f t="shared" si="377"/>
        <v>528.94659050160953</v>
      </c>
      <c r="P1178" s="6">
        <f t="shared" si="378"/>
        <v>511.80271129499488</v>
      </c>
      <c r="Q1178" s="6">
        <f t="shared" si="379"/>
        <v>5.9870941728422622</v>
      </c>
      <c r="R1178" s="6">
        <f t="shared" si="380"/>
        <v>0</v>
      </c>
      <c r="S1178" s="6">
        <f t="shared" si="381"/>
        <v>517.78980546783714</v>
      </c>
      <c r="T1178" s="6" t="str">
        <f>IF(MOD(C1178-Settings!$B$32,Settings!$B$33)&lt;Settings!$B$30,"Up","Down")</f>
        <v>Down</v>
      </c>
      <c r="U1178" s="6">
        <f>IF(OR(I1178&gt;Settings!$B$30,O1178&gt;Settings!$B$37),0,1)</f>
        <v>1</v>
      </c>
      <c r="V1178" s="6">
        <f>IF(AND(U1178=1,O1178&lt;=Settings!$B$36),1,0)</f>
        <v>0</v>
      </c>
    </row>
    <row r="1179" spans="1:22" x14ac:dyDescent="0.2">
      <c r="A1179">
        <f>Arrivals!A1179</f>
        <v>10</v>
      </c>
      <c r="B1179">
        <f>Arrivals!B1179</f>
        <v>94</v>
      </c>
      <c r="C1179" s="6">
        <f>Arrivals!F1179</f>
        <v>619</v>
      </c>
      <c r="D1179" s="6">
        <f>Arrivals!J1179</f>
        <v>15.370163574840525</v>
      </c>
      <c r="E1179" s="6">
        <f t="shared" si="382"/>
        <v>1130.9394963287673</v>
      </c>
      <c r="F1179" s="6">
        <f t="shared" si="373"/>
        <v>1130.9394963287673</v>
      </c>
      <c r="G1179" s="6">
        <f t="shared" si="374"/>
        <v>1146.3096599036078</v>
      </c>
      <c r="H1179" s="6">
        <f>Arrivals!L1179</f>
        <v>75</v>
      </c>
      <c r="I1179" s="6">
        <f>H1179*8/ACE_Input!S99+ACE_Input!T99</f>
        <v>6.02</v>
      </c>
      <c r="J1179" s="6">
        <f t="shared" si="383"/>
        <v>1142.9465905016095</v>
      </c>
      <c r="K1179" s="6">
        <f t="shared" si="375"/>
        <v>1146.3096599036078</v>
      </c>
      <c r="L1179" s="6">
        <f>MOD(K1179-Settings!$B$32,Settings!$B$33)</f>
        <v>426.30965990360778</v>
      </c>
      <c r="M1179" s="6">
        <f>IF(L1179&lt;Settings!$B$30,IF(Settings!$B$30-L1179&gt;=I1179,K1179,K1179+(Settings!$B$30-L1179)+Settings!$B$31),K1179+(Settings!$B$33-L1179))</f>
        <v>1146.3096599036078</v>
      </c>
      <c r="N1179" s="6">
        <f t="shared" si="376"/>
        <v>1152.3296599036078</v>
      </c>
      <c r="O1179" s="6">
        <f t="shared" si="377"/>
        <v>533.32965990360776</v>
      </c>
      <c r="P1179" s="6">
        <f t="shared" si="378"/>
        <v>511.93949632876729</v>
      </c>
      <c r="Q1179" s="6">
        <f t="shared" si="379"/>
        <v>0</v>
      </c>
      <c r="R1179" s="6">
        <f t="shared" si="380"/>
        <v>0</v>
      </c>
      <c r="S1179" s="6">
        <f t="shared" si="381"/>
        <v>511.93949632876729</v>
      </c>
      <c r="T1179" s="6" t="str">
        <f>IF(MOD(C1179-Settings!$B$32,Settings!$B$33)&lt;Settings!$B$30,"Up","Down")</f>
        <v>Down</v>
      </c>
      <c r="U1179" s="6">
        <f>IF(OR(I1179&gt;Settings!$B$30,O1179&gt;Settings!$B$37),0,1)</f>
        <v>1</v>
      </c>
      <c r="V1179" s="6">
        <f>IF(AND(U1179=1,O1179&lt;=Settings!$B$36),1,0)</f>
        <v>0</v>
      </c>
    </row>
    <row r="1180" spans="1:22" x14ac:dyDescent="0.2">
      <c r="A1180">
        <f>Arrivals!A1180</f>
        <v>10</v>
      </c>
      <c r="B1180">
        <f>Arrivals!B1180</f>
        <v>95</v>
      </c>
      <c r="C1180" s="6">
        <f>Arrivals!F1180</f>
        <v>624</v>
      </c>
      <c r="D1180" s="6">
        <f>Arrivals!J1180</f>
        <v>49.078139193244056</v>
      </c>
      <c r="E1180" s="6">
        <f t="shared" si="382"/>
        <v>1146.3096599036078</v>
      </c>
      <c r="F1180" s="6">
        <f t="shared" si="373"/>
        <v>1146.3096599036078</v>
      </c>
      <c r="G1180" s="6">
        <f t="shared" si="374"/>
        <v>1195.3877990968517</v>
      </c>
      <c r="H1180" s="6">
        <f>Arrivals!L1180</f>
        <v>75</v>
      </c>
      <c r="I1180" s="6">
        <f>H1180*8/ACE_Input!S100+ACE_Input!T100</f>
        <v>6.02</v>
      </c>
      <c r="J1180" s="6">
        <f t="shared" si="383"/>
        <v>1152.3296599036078</v>
      </c>
      <c r="K1180" s="6">
        <f t="shared" si="375"/>
        <v>1195.3877990968517</v>
      </c>
      <c r="L1180" s="6">
        <f>MOD(K1180-Settings!$B$32,Settings!$B$33)</f>
        <v>475.38779909685172</v>
      </c>
      <c r="M1180" s="6">
        <f>IF(L1180&lt;Settings!$B$30,IF(Settings!$B$30-L1180&gt;=I1180,K1180,K1180+(Settings!$B$30-L1180)+Settings!$B$31),K1180+(Settings!$B$33-L1180))</f>
        <v>1195.3877990968517</v>
      </c>
      <c r="N1180" s="6">
        <f t="shared" si="376"/>
        <v>1201.4077990968517</v>
      </c>
      <c r="O1180" s="6">
        <f t="shared" si="377"/>
        <v>577.4077990968517</v>
      </c>
      <c r="P1180" s="6">
        <f t="shared" si="378"/>
        <v>522.30965990360778</v>
      </c>
      <c r="Q1180" s="6">
        <f t="shared" si="379"/>
        <v>0</v>
      </c>
      <c r="R1180" s="6">
        <f t="shared" si="380"/>
        <v>0</v>
      </c>
      <c r="S1180" s="6">
        <f t="shared" si="381"/>
        <v>522.30965990360778</v>
      </c>
      <c r="T1180" s="6" t="str">
        <f>IF(MOD(C1180-Settings!$B$32,Settings!$B$33)&lt;Settings!$B$30,"Up","Down")</f>
        <v>Down</v>
      </c>
      <c r="U1180" s="6">
        <f>IF(OR(I1180&gt;Settings!$B$30,O1180&gt;Settings!$B$37),0,1)</f>
        <v>1</v>
      </c>
      <c r="V1180" s="6">
        <f>IF(AND(U1180=1,O1180&lt;=Settings!$B$36),1,0)</f>
        <v>0</v>
      </c>
    </row>
    <row r="1181" spans="1:22" x14ac:dyDescent="0.2">
      <c r="A1181">
        <f>Arrivals!A1181</f>
        <v>10</v>
      </c>
      <c r="B1181">
        <f>Arrivals!B1181</f>
        <v>96</v>
      </c>
      <c r="C1181" s="6">
        <f>Arrivals!F1181</f>
        <v>629</v>
      </c>
      <c r="D1181" s="6">
        <f>Arrivals!J1181</f>
        <v>11.613287201302549</v>
      </c>
      <c r="E1181" s="6">
        <f t="shared" si="382"/>
        <v>1195.3877990968517</v>
      </c>
      <c r="F1181" s="6">
        <f t="shared" si="373"/>
        <v>1195.3877990968517</v>
      </c>
      <c r="G1181" s="6">
        <f t="shared" si="374"/>
        <v>1207.0010862981542</v>
      </c>
      <c r="H1181" s="6">
        <f>Arrivals!L1181</f>
        <v>75</v>
      </c>
      <c r="I1181" s="6">
        <f>H1181*8/ACE_Input!S101+ACE_Input!T101</f>
        <v>6.02</v>
      </c>
      <c r="J1181" s="6">
        <f t="shared" si="383"/>
        <v>1201.4077990968517</v>
      </c>
      <c r="K1181" s="6">
        <f t="shared" si="375"/>
        <v>1207.0010862981542</v>
      </c>
      <c r="L1181" s="6">
        <f>MOD(K1181-Settings!$B$32,Settings!$B$33)</f>
        <v>487.00108629815418</v>
      </c>
      <c r="M1181" s="6">
        <f>IF(L1181&lt;Settings!$B$30,IF(Settings!$B$30-L1181&gt;=I1181,K1181,K1181+(Settings!$B$30-L1181)+Settings!$B$31),K1181+(Settings!$B$33-L1181))</f>
        <v>1207.0010862981542</v>
      </c>
      <c r="N1181" s="6">
        <f t="shared" si="376"/>
        <v>1213.0210862981542</v>
      </c>
      <c r="O1181" s="6">
        <f t="shared" si="377"/>
        <v>584.02108629815416</v>
      </c>
      <c r="P1181" s="6">
        <f t="shared" si="378"/>
        <v>566.38779909685172</v>
      </c>
      <c r="Q1181" s="6">
        <f t="shared" si="379"/>
        <v>0</v>
      </c>
      <c r="R1181" s="6">
        <f t="shared" si="380"/>
        <v>0</v>
      </c>
      <c r="S1181" s="6">
        <f t="shared" si="381"/>
        <v>566.38779909685172</v>
      </c>
      <c r="T1181" s="6" t="str">
        <f>IF(MOD(C1181-Settings!$B$32,Settings!$B$33)&lt;Settings!$B$30,"Up","Down")</f>
        <v>Down</v>
      </c>
      <c r="U1181" s="6">
        <f>IF(OR(I1181&gt;Settings!$B$30,O1181&gt;Settings!$B$37),0,1)</f>
        <v>1</v>
      </c>
      <c r="V1181" s="6">
        <f>IF(AND(U1181=1,O1181&lt;=Settings!$B$36),1,0)</f>
        <v>0</v>
      </c>
    </row>
    <row r="1182" spans="1:22" x14ac:dyDescent="0.2">
      <c r="A1182">
        <f>Arrivals!A1182</f>
        <v>10</v>
      </c>
      <c r="B1182">
        <f>Arrivals!B1182</f>
        <v>97</v>
      </c>
      <c r="C1182" s="6">
        <f>Arrivals!F1182</f>
        <v>634</v>
      </c>
      <c r="D1182" s="6">
        <f>Arrivals!J1182</f>
        <v>9.6558500863092593</v>
      </c>
      <c r="E1182" s="6">
        <f t="shared" si="382"/>
        <v>1207.0010862981542</v>
      </c>
      <c r="F1182" s="6">
        <f t="shared" ref="F1182:F1185" si="384">MAX(C1182,E1182)</f>
        <v>1207.0010862981542</v>
      </c>
      <c r="G1182" s="6">
        <f t="shared" ref="G1182:G1185" si="385">F1182+D1182</f>
        <v>1216.6569363844635</v>
      </c>
      <c r="H1182" s="6">
        <f>Arrivals!L1182</f>
        <v>75</v>
      </c>
      <c r="I1182" s="6">
        <f>H1182*8/ACE_Input!S102+ACE_Input!T102</f>
        <v>6.02</v>
      </c>
      <c r="J1182" s="6">
        <f t="shared" si="383"/>
        <v>1213.0210862981542</v>
      </c>
      <c r="K1182" s="6">
        <f t="shared" ref="K1182:K1185" si="386">MAX(G1182,J1182)</f>
        <v>1216.6569363844635</v>
      </c>
      <c r="L1182" s="6">
        <f>MOD(K1182-Settings!$B$32,Settings!$B$33)</f>
        <v>496.65693638446351</v>
      </c>
      <c r="M1182" s="6">
        <f>IF(L1182&lt;Settings!$B$30,IF(Settings!$B$30-L1182&gt;=I1182,K1182,K1182+(Settings!$B$30-L1182)+Settings!$B$31),K1182+(Settings!$B$33-L1182))</f>
        <v>1216.6569363844635</v>
      </c>
      <c r="N1182" s="6">
        <f t="shared" ref="N1182:N1185" si="387">M1182+I1182</f>
        <v>1222.6769363844635</v>
      </c>
      <c r="O1182" s="6">
        <f t="shared" ref="O1182:O1185" si="388">N1182-C1182</f>
        <v>588.67693638446349</v>
      </c>
      <c r="P1182" s="6">
        <f t="shared" si="378"/>
        <v>573.00108629815418</v>
      </c>
      <c r="Q1182" s="6">
        <f t="shared" si="379"/>
        <v>0</v>
      </c>
      <c r="R1182" s="6">
        <f t="shared" si="380"/>
        <v>0</v>
      </c>
      <c r="S1182" s="6">
        <f t="shared" ref="S1182:S1185" si="389">P1182+Q1182+R1182</f>
        <v>573.00108629815418</v>
      </c>
      <c r="T1182" s="6" t="str">
        <f>IF(MOD(C1182-Settings!$B$32,Settings!$B$33)&lt;Settings!$B$30,"Up","Down")</f>
        <v>Down</v>
      </c>
      <c r="U1182" s="6">
        <f>IF(OR(I1182&gt;Settings!$B$30,O1182&gt;Settings!$B$37),0,1)</f>
        <v>1</v>
      </c>
      <c r="V1182" s="6">
        <f>IF(AND(U1182=1,O1182&lt;=Settings!$B$36),1,0)</f>
        <v>0</v>
      </c>
    </row>
    <row r="1183" spans="1:22" x14ac:dyDescent="0.2">
      <c r="A1183">
        <f>Arrivals!A1183</f>
        <v>10</v>
      </c>
      <c r="B1183">
        <f>Arrivals!B1183</f>
        <v>98</v>
      </c>
      <c r="C1183" s="6">
        <f>Arrivals!F1183</f>
        <v>639</v>
      </c>
      <c r="D1183" s="6">
        <f>Arrivals!J1183</f>
        <v>2.5904378063043643</v>
      </c>
      <c r="E1183" s="6">
        <f t="shared" si="382"/>
        <v>1216.6569363844635</v>
      </c>
      <c r="F1183" s="6">
        <f t="shared" si="384"/>
        <v>1216.6569363844635</v>
      </c>
      <c r="G1183" s="6">
        <f t="shared" si="385"/>
        <v>1219.2473741907679</v>
      </c>
      <c r="H1183" s="6">
        <f>Arrivals!L1183</f>
        <v>75</v>
      </c>
      <c r="I1183" s="6">
        <f>H1183*8/ACE_Input!S103+ACE_Input!T103</f>
        <v>6.02</v>
      </c>
      <c r="J1183" s="6">
        <f t="shared" si="383"/>
        <v>1222.6769363844635</v>
      </c>
      <c r="K1183" s="6">
        <f t="shared" si="386"/>
        <v>1222.6769363844635</v>
      </c>
      <c r="L1183" s="6">
        <f>MOD(K1183-Settings!$B$32,Settings!$B$33)</f>
        <v>502.67693638446349</v>
      </c>
      <c r="M1183" s="6">
        <f>IF(L1183&lt;Settings!$B$30,IF(Settings!$B$30-L1183&gt;=I1183,K1183,K1183+(Settings!$B$30-L1183)+Settings!$B$31),K1183+(Settings!$B$33-L1183))</f>
        <v>1222.6769363844635</v>
      </c>
      <c r="N1183" s="6">
        <f t="shared" si="387"/>
        <v>1228.6969363844635</v>
      </c>
      <c r="O1183" s="6">
        <f t="shared" si="388"/>
        <v>589.69693638446347</v>
      </c>
      <c r="P1183" s="6">
        <f t="shared" si="378"/>
        <v>577.65693638446351</v>
      </c>
      <c r="Q1183" s="6">
        <f t="shared" si="379"/>
        <v>3.429562193695574</v>
      </c>
      <c r="R1183" s="6">
        <f t="shared" si="380"/>
        <v>0</v>
      </c>
      <c r="S1183" s="6">
        <f t="shared" si="389"/>
        <v>581.08649857815908</v>
      </c>
      <c r="T1183" s="6" t="str">
        <f>IF(MOD(C1183-Settings!$B$32,Settings!$B$33)&lt;Settings!$B$30,"Up","Down")</f>
        <v>Down</v>
      </c>
      <c r="U1183" s="6">
        <f>IF(OR(I1183&gt;Settings!$B$30,O1183&gt;Settings!$B$37),0,1)</f>
        <v>1</v>
      </c>
      <c r="V1183" s="6">
        <f>IF(AND(U1183=1,O1183&lt;=Settings!$B$36),1,0)</f>
        <v>0</v>
      </c>
    </row>
    <row r="1184" spans="1:22" x14ac:dyDescent="0.2">
      <c r="A1184">
        <f>Arrivals!A1184</f>
        <v>10</v>
      </c>
      <c r="B1184">
        <f>Arrivals!B1184</f>
        <v>99</v>
      </c>
      <c r="C1184" s="6">
        <f>Arrivals!F1184</f>
        <v>684</v>
      </c>
      <c r="D1184" s="6">
        <f>Arrivals!J1184</f>
        <v>3.3523128710859322</v>
      </c>
      <c r="E1184" s="6">
        <f t="shared" si="382"/>
        <v>1219.2473741907679</v>
      </c>
      <c r="F1184" s="6">
        <f t="shared" si="384"/>
        <v>1219.2473741907679</v>
      </c>
      <c r="G1184" s="6">
        <f t="shared" si="385"/>
        <v>1222.599687061854</v>
      </c>
      <c r="H1184" s="6">
        <f>Arrivals!L1184</f>
        <v>75</v>
      </c>
      <c r="I1184" s="6">
        <f>H1184*8/ACE_Input!S104+ACE_Input!T104</f>
        <v>6.02</v>
      </c>
      <c r="J1184" s="6">
        <f t="shared" si="383"/>
        <v>1228.6969363844635</v>
      </c>
      <c r="K1184" s="6">
        <f t="shared" si="386"/>
        <v>1228.6969363844635</v>
      </c>
      <c r="L1184" s="6">
        <f>MOD(K1184-Settings!$B$32,Settings!$B$33)</f>
        <v>508.69693638446347</v>
      </c>
      <c r="M1184" s="6">
        <f>IF(L1184&lt;Settings!$B$30,IF(Settings!$B$30-L1184&gt;=I1184,K1184,K1184+(Settings!$B$30-L1184)+Settings!$B$31),K1184+(Settings!$B$33-L1184))</f>
        <v>1228.6969363844635</v>
      </c>
      <c r="N1184" s="6">
        <f t="shared" si="387"/>
        <v>1234.7169363844635</v>
      </c>
      <c r="O1184" s="6">
        <f t="shared" si="388"/>
        <v>550.71693638446345</v>
      </c>
      <c r="P1184" s="6">
        <f t="shared" si="378"/>
        <v>535.24737419076791</v>
      </c>
      <c r="Q1184" s="6">
        <f t="shared" si="379"/>
        <v>6.0972493226095139</v>
      </c>
      <c r="R1184" s="6">
        <f t="shared" si="380"/>
        <v>0</v>
      </c>
      <c r="S1184" s="6">
        <f t="shared" si="389"/>
        <v>541.34462351337743</v>
      </c>
      <c r="T1184" s="6" t="str">
        <f>IF(MOD(C1184-Settings!$B$32,Settings!$B$33)&lt;Settings!$B$30,"Up","Down")</f>
        <v>Down</v>
      </c>
      <c r="U1184" s="6">
        <f>IF(OR(I1184&gt;Settings!$B$30,O1184&gt;Settings!$B$37),0,1)</f>
        <v>1</v>
      </c>
      <c r="V1184" s="6">
        <f>IF(AND(U1184=1,O1184&lt;=Settings!$B$36),1,0)</f>
        <v>0</v>
      </c>
    </row>
    <row r="1185" spans="1:22" x14ac:dyDescent="0.2">
      <c r="A1185">
        <f>Arrivals!A1185</f>
        <v>10</v>
      </c>
      <c r="B1185">
        <f>Arrivals!B1185</f>
        <v>100</v>
      </c>
      <c r="C1185" s="6">
        <f>Arrivals!F1185</f>
        <v>689</v>
      </c>
      <c r="D1185" s="6">
        <f>Arrivals!J1185</f>
        <v>6.1886826967481721</v>
      </c>
      <c r="E1185" s="6">
        <f t="shared" si="382"/>
        <v>1222.599687061854</v>
      </c>
      <c r="F1185" s="6">
        <f t="shared" si="384"/>
        <v>1222.599687061854</v>
      </c>
      <c r="G1185" s="6">
        <f t="shared" si="385"/>
        <v>1228.7883697586021</v>
      </c>
      <c r="H1185" s="6">
        <f>Arrivals!L1185</f>
        <v>75</v>
      </c>
      <c r="I1185" s="6">
        <f>H1185*8/ACE_Input!S105+ACE_Input!T105</f>
        <v>6.02</v>
      </c>
      <c r="J1185" s="6">
        <f t="shared" si="383"/>
        <v>1234.7169363844635</v>
      </c>
      <c r="K1185" s="6">
        <f t="shared" si="386"/>
        <v>1234.7169363844635</v>
      </c>
      <c r="L1185" s="6">
        <f>MOD(K1185-Settings!$B$32,Settings!$B$33)</f>
        <v>514.71693638446345</v>
      </c>
      <c r="M1185" s="6">
        <f>IF(L1185&lt;Settings!$B$30,IF(Settings!$B$30-L1185&gt;=I1185,K1185,K1185+(Settings!$B$30-L1185)+Settings!$B$31),K1185+(Settings!$B$33-L1185))</f>
        <v>1234.7169363844635</v>
      </c>
      <c r="N1185" s="6">
        <f t="shared" si="387"/>
        <v>1240.7369363844634</v>
      </c>
      <c r="O1185" s="6">
        <f t="shared" si="388"/>
        <v>551.73693638446343</v>
      </c>
      <c r="P1185" s="6">
        <f t="shared" si="378"/>
        <v>533.59968706185396</v>
      </c>
      <c r="Q1185" s="6">
        <f t="shared" si="379"/>
        <v>5.9285666258613219</v>
      </c>
      <c r="R1185" s="6">
        <f t="shared" si="380"/>
        <v>0</v>
      </c>
      <c r="S1185" s="6">
        <f t="shared" si="389"/>
        <v>539.52825368771528</v>
      </c>
      <c r="T1185" s="6" t="str">
        <f>IF(MOD(C1185-Settings!$B$32,Settings!$B$33)&lt;Settings!$B$30,"Up","Down")</f>
        <v>Down</v>
      </c>
      <c r="U1185" s="6">
        <f>IF(OR(I1185&gt;Settings!$B$30,O1185&gt;Settings!$B$37),0,1)</f>
        <v>1</v>
      </c>
      <c r="V1185" s="6">
        <f>IF(AND(U1185=1,O1185&lt;=Settings!$B$36),1,0)</f>
        <v>0</v>
      </c>
    </row>
    <row r="1186" spans="1:22" x14ac:dyDescent="0.2">
      <c r="C1186" s="6"/>
      <c r="D1186" s="6"/>
      <c r="E1186" s="6"/>
      <c r="F1186" s="6"/>
      <c r="G1186" s="6"/>
      <c r="H1186" s="6"/>
      <c r="I1186" s="6"/>
      <c r="J1186" s="6"/>
      <c r="K1186" s="6"/>
      <c r="L1186" s="6"/>
      <c r="M1186" s="6"/>
      <c r="N1186" s="6"/>
      <c r="O1186" s="6"/>
      <c r="P1186" s="6"/>
      <c r="Q1186" s="6"/>
      <c r="R1186" s="6"/>
      <c r="S1186" s="6"/>
      <c r="T1186" s="6"/>
      <c r="U1186" s="6"/>
      <c r="V1186" s="6"/>
    </row>
    <row r="1187" spans="1:22" x14ac:dyDescent="0.2">
      <c r="C1187" s="6"/>
      <c r="D1187" s="6"/>
      <c r="E1187" s="6"/>
      <c r="F1187" s="6"/>
      <c r="G1187" s="6"/>
      <c r="H1187" s="6"/>
      <c r="I1187" s="6"/>
      <c r="J1187" s="6"/>
      <c r="K1187" s="6"/>
      <c r="L1187" s="6"/>
      <c r="M1187" s="6"/>
      <c r="N1187" s="6"/>
      <c r="O1187" s="6"/>
      <c r="P1187" s="6"/>
      <c r="Q1187" s="6"/>
      <c r="R1187" s="6"/>
      <c r="S1187" s="6"/>
      <c r="T1187" s="6"/>
      <c r="U1187" s="6"/>
      <c r="V1187" s="6"/>
    </row>
    <row r="1188" spans="1:22" x14ac:dyDescent="0.2">
      <c r="C1188" s="6"/>
      <c r="D1188" s="6"/>
      <c r="E1188" s="6"/>
      <c r="F1188" s="6"/>
      <c r="G1188" s="6"/>
      <c r="H1188" s="6"/>
      <c r="I1188" s="6"/>
      <c r="J1188" s="6"/>
      <c r="K1188" s="6"/>
      <c r="L1188" s="6"/>
      <c r="M1188" s="6"/>
      <c r="N1188" s="6"/>
      <c r="O1188" s="6"/>
      <c r="P1188" s="6"/>
      <c r="Q1188" s="6"/>
      <c r="R1188" s="6"/>
      <c r="S1188" s="6"/>
      <c r="T1188" s="6"/>
      <c r="U1188" s="6"/>
      <c r="V1188" s="6"/>
    </row>
    <row r="1189" spans="1:22" x14ac:dyDescent="0.2">
      <c r="C1189" s="6"/>
      <c r="D1189" s="6"/>
      <c r="E1189" s="6"/>
      <c r="F1189" s="6"/>
      <c r="G1189" s="6"/>
      <c r="H1189" s="6"/>
      <c r="I1189" s="6"/>
      <c r="J1189" s="6"/>
      <c r="K1189" s="6"/>
      <c r="L1189" s="6"/>
      <c r="M1189" s="6"/>
      <c r="N1189" s="6"/>
      <c r="O1189" s="6"/>
      <c r="P1189" s="6"/>
      <c r="Q1189" s="6"/>
      <c r="R1189" s="6"/>
      <c r="S1189" s="6"/>
      <c r="T1189" s="6"/>
      <c r="U1189" s="6"/>
      <c r="V1189" s="6"/>
    </row>
    <row r="1190" spans="1:22" x14ac:dyDescent="0.2">
      <c r="C1190" s="6"/>
      <c r="D1190" s="6"/>
      <c r="E1190" s="6"/>
      <c r="F1190" s="6"/>
      <c r="G1190" s="6"/>
      <c r="H1190" s="6"/>
      <c r="I1190" s="6"/>
      <c r="J1190" s="6"/>
      <c r="K1190" s="6"/>
      <c r="L1190" s="6"/>
      <c r="M1190" s="6"/>
      <c r="N1190" s="6"/>
      <c r="O1190" s="6"/>
      <c r="P1190" s="6"/>
      <c r="Q1190" s="6"/>
      <c r="R1190" s="6"/>
      <c r="S1190" s="6"/>
      <c r="T1190" s="6"/>
      <c r="U1190" s="6"/>
      <c r="V1190" s="6"/>
    </row>
    <row r="1191" spans="1:22" x14ac:dyDescent="0.2">
      <c r="C1191" s="6"/>
      <c r="D1191" s="6"/>
      <c r="E1191" s="6"/>
      <c r="F1191" s="6"/>
      <c r="G1191" s="6"/>
      <c r="H1191" s="6"/>
      <c r="I1191" s="6"/>
      <c r="J1191" s="6"/>
      <c r="K1191" s="6"/>
      <c r="L1191" s="6"/>
      <c r="M1191" s="6"/>
      <c r="N1191" s="6"/>
      <c r="O1191" s="6"/>
      <c r="P1191" s="6"/>
      <c r="Q1191" s="6"/>
      <c r="R1191" s="6"/>
      <c r="S1191" s="6"/>
      <c r="T1191" s="6"/>
      <c r="U1191" s="6"/>
      <c r="V1191" s="6"/>
    </row>
    <row r="1192" spans="1:22" x14ac:dyDescent="0.2">
      <c r="C1192" s="6"/>
      <c r="D1192" s="6"/>
      <c r="E1192" s="6"/>
      <c r="F1192" s="6"/>
      <c r="G1192" s="6"/>
      <c r="H1192" s="6"/>
      <c r="I1192" s="6"/>
      <c r="J1192" s="6"/>
      <c r="K1192" s="6"/>
      <c r="L1192" s="6"/>
      <c r="M1192" s="6"/>
      <c r="N1192" s="6"/>
      <c r="O1192" s="6"/>
      <c r="P1192" s="6"/>
      <c r="Q1192" s="6"/>
      <c r="R1192" s="6"/>
      <c r="S1192" s="6"/>
      <c r="T1192" s="6"/>
      <c r="U1192" s="6"/>
      <c r="V1192" s="6"/>
    </row>
    <row r="1193" spans="1:22" x14ac:dyDescent="0.2">
      <c r="C1193" s="6"/>
      <c r="D1193" s="6"/>
      <c r="E1193" s="6"/>
      <c r="F1193" s="6"/>
      <c r="G1193" s="6"/>
      <c r="H1193" s="6"/>
      <c r="I1193" s="6"/>
      <c r="J1193" s="6"/>
      <c r="K1193" s="6"/>
      <c r="L1193" s="6"/>
      <c r="M1193" s="6"/>
      <c r="N1193" s="6"/>
      <c r="O1193" s="6"/>
      <c r="P1193" s="6"/>
      <c r="Q1193" s="6"/>
      <c r="R1193" s="6"/>
      <c r="S1193" s="6"/>
      <c r="T1193" s="6"/>
      <c r="U1193" s="6"/>
      <c r="V1193" s="6"/>
    </row>
    <row r="1194" spans="1:22" x14ac:dyDescent="0.2">
      <c r="C1194" s="6"/>
      <c r="D1194" s="6"/>
      <c r="E1194" s="6"/>
      <c r="F1194" s="6"/>
      <c r="G1194" s="6"/>
      <c r="H1194" s="6"/>
      <c r="I1194" s="6"/>
      <c r="J1194" s="6"/>
      <c r="K1194" s="6"/>
      <c r="L1194" s="6"/>
      <c r="M1194" s="6"/>
      <c r="N1194" s="6"/>
      <c r="O1194" s="6"/>
      <c r="P1194" s="6"/>
      <c r="Q1194" s="6"/>
      <c r="R1194" s="6"/>
      <c r="S1194" s="6"/>
      <c r="T1194" s="6"/>
      <c r="U1194" s="6"/>
      <c r="V1194" s="6"/>
    </row>
    <row r="1195" spans="1:22" x14ac:dyDescent="0.2">
      <c r="C1195" s="6"/>
      <c r="D1195" s="6"/>
      <c r="E1195" s="6"/>
      <c r="F1195" s="6"/>
      <c r="G1195" s="6"/>
      <c r="H1195" s="6"/>
      <c r="I1195" s="6"/>
      <c r="J1195" s="6"/>
      <c r="K1195" s="6"/>
      <c r="L1195" s="6"/>
      <c r="M1195" s="6"/>
      <c r="N1195" s="6"/>
      <c r="O1195" s="6"/>
      <c r="P1195" s="6"/>
      <c r="Q1195" s="6"/>
      <c r="R1195" s="6"/>
      <c r="S1195" s="6"/>
      <c r="T1195" s="6"/>
      <c r="U1195" s="6"/>
      <c r="V1195" s="6"/>
    </row>
    <row r="1196" spans="1:22" x14ac:dyDescent="0.2">
      <c r="C1196" s="6"/>
      <c r="D1196" s="6"/>
      <c r="E1196" s="6"/>
      <c r="F1196" s="6"/>
      <c r="G1196" s="6"/>
      <c r="H1196" s="6"/>
      <c r="I1196" s="6"/>
      <c r="J1196" s="6"/>
      <c r="K1196" s="6"/>
      <c r="L1196" s="6"/>
      <c r="M1196" s="6"/>
      <c r="N1196" s="6"/>
      <c r="O1196" s="6"/>
      <c r="P1196" s="6"/>
      <c r="Q1196" s="6"/>
      <c r="R1196" s="6"/>
      <c r="S1196" s="6"/>
      <c r="T1196" s="6"/>
      <c r="U1196" s="6"/>
      <c r="V1196" s="6"/>
    </row>
    <row r="1197" spans="1:22" x14ac:dyDescent="0.2">
      <c r="C1197" s="6"/>
      <c r="D1197" s="6"/>
      <c r="E1197" s="6"/>
      <c r="F1197" s="6"/>
      <c r="G1197" s="6"/>
      <c r="H1197" s="6"/>
      <c r="I1197" s="6"/>
      <c r="J1197" s="6"/>
      <c r="K1197" s="6"/>
      <c r="L1197" s="6"/>
      <c r="M1197" s="6"/>
      <c r="N1197" s="6"/>
      <c r="O1197" s="6"/>
      <c r="P1197" s="6"/>
      <c r="Q1197" s="6"/>
      <c r="R1197" s="6"/>
      <c r="S1197" s="6"/>
      <c r="T1197" s="6"/>
      <c r="U1197" s="6"/>
      <c r="V1197" s="6"/>
    </row>
    <row r="1198" spans="1:22" x14ac:dyDescent="0.2">
      <c r="C1198" s="6"/>
      <c r="D1198" s="6"/>
      <c r="E1198" s="6"/>
      <c r="F1198" s="6"/>
      <c r="G1198" s="6"/>
      <c r="H1198" s="6"/>
      <c r="I1198" s="6"/>
      <c r="J1198" s="6"/>
      <c r="K1198" s="6"/>
      <c r="L1198" s="6"/>
      <c r="M1198" s="6"/>
      <c r="N1198" s="6"/>
      <c r="O1198" s="6"/>
      <c r="P1198" s="6"/>
      <c r="Q1198" s="6"/>
      <c r="R1198" s="6"/>
      <c r="S1198" s="6"/>
      <c r="T1198" s="6"/>
      <c r="U1198" s="6"/>
      <c r="V1198" s="6"/>
    </row>
    <row r="1199" spans="1:22" x14ac:dyDescent="0.2">
      <c r="C1199" s="6"/>
      <c r="D1199" s="6"/>
      <c r="E1199" s="6"/>
      <c r="F1199" s="6"/>
      <c r="G1199" s="6"/>
      <c r="H1199" s="6"/>
      <c r="I1199" s="6"/>
      <c r="J1199" s="6"/>
      <c r="K1199" s="6"/>
      <c r="L1199" s="6"/>
      <c r="M1199" s="6"/>
      <c r="N1199" s="6"/>
      <c r="O1199" s="6"/>
      <c r="P1199" s="6"/>
      <c r="Q1199" s="6"/>
      <c r="R1199" s="6"/>
      <c r="S1199" s="6"/>
      <c r="T1199" s="6"/>
      <c r="U1199" s="6"/>
      <c r="V1199" s="6"/>
    </row>
    <row r="1200" spans="1:22" x14ac:dyDescent="0.2">
      <c r="C1200" s="6"/>
      <c r="D1200" s="6"/>
      <c r="E1200" s="6"/>
      <c r="F1200" s="6"/>
      <c r="G1200" s="6"/>
      <c r="H1200" s="6"/>
      <c r="I1200" s="6"/>
      <c r="J1200" s="6"/>
      <c r="K1200" s="6"/>
      <c r="L1200" s="6"/>
      <c r="M1200" s="6"/>
      <c r="N1200" s="6"/>
      <c r="O1200" s="6"/>
      <c r="P1200" s="6"/>
      <c r="Q1200" s="6"/>
      <c r="R1200" s="6"/>
      <c r="S1200" s="6"/>
      <c r="T1200" s="6"/>
      <c r="U1200" s="6"/>
      <c r="V1200" s="6"/>
    </row>
    <row r="1201" spans="3:22" x14ac:dyDescent="0.2">
      <c r="C1201" s="6"/>
      <c r="D1201" s="6"/>
      <c r="E1201" s="6"/>
      <c r="F1201" s="6"/>
      <c r="G1201" s="6"/>
      <c r="H1201" s="6"/>
      <c r="I1201" s="6"/>
      <c r="J1201" s="6"/>
      <c r="K1201" s="6"/>
      <c r="L1201" s="6"/>
      <c r="M1201" s="6"/>
      <c r="N1201" s="6"/>
      <c r="O1201" s="6"/>
      <c r="P1201" s="6"/>
      <c r="Q1201" s="6"/>
      <c r="R1201" s="6"/>
      <c r="S1201" s="6"/>
      <c r="T1201" s="6"/>
      <c r="U1201" s="6"/>
      <c r="V1201" s="6"/>
    </row>
    <row r="1202" spans="3:22" x14ac:dyDescent="0.2">
      <c r="C1202" s="6"/>
      <c r="D1202" s="6"/>
      <c r="E1202" s="6"/>
      <c r="F1202" s="6"/>
      <c r="G1202" s="6"/>
      <c r="H1202" s="6"/>
      <c r="I1202" s="6"/>
      <c r="J1202" s="6"/>
      <c r="K1202" s="6"/>
      <c r="L1202" s="6"/>
      <c r="M1202" s="6"/>
      <c r="N1202" s="6"/>
      <c r="O1202" s="6"/>
      <c r="P1202" s="6"/>
      <c r="Q1202" s="6"/>
      <c r="R1202" s="6"/>
      <c r="S1202" s="6"/>
      <c r="T1202" s="6"/>
      <c r="U1202" s="6"/>
      <c r="V1202" s="6"/>
    </row>
    <row r="1203" spans="3:22" x14ac:dyDescent="0.2">
      <c r="C1203" s="6"/>
      <c r="D1203" s="6"/>
      <c r="E1203" s="6"/>
      <c r="F1203" s="6"/>
      <c r="G1203" s="6"/>
      <c r="H1203" s="6"/>
      <c r="I1203" s="6"/>
      <c r="J1203" s="6"/>
      <c r="K1203" s="6"/>
      <c r="L1203" s="6"/>
      <c r="M1203" s="6"/>
      <c r="N1203" s="6"/>
      <c r="O1203" s="6"/>
      <c r="P1203" s="6"/>
      <c r="Q1203" s="6"/>
      <c r="R1203" s="6"/>
      <c r="S1203" s="6"/>
      <c r="T1203" s="6"/>
      <c r="U1203" s="6"/>
      <c r="V1203" s="6"/>
    </row>
    <row r="1204" spans="3:22" x14ac:dyDescent="0.2">
      <c r="C1204" s="6"/>
      <c r="D1204" s="6"/>
      <c r="E1204" s="6"/>
      <c r="F1204" s="6"/>
      <c r="G1204" s="6"/>
      <c r="H1204" s="6"/>
      <c r="I1204" s="6"/>
      <c r="J1204" s="6"/>
      <c r="K1204" s="6"/>
      <c r="L1204" s="6"/>
      <c r="M1204" s="6"/>
      <c r="N1204" s="6"/>
      <c r="O1204" s="6"/>
      <c r="P1204" s="6"/>
      <c r="Q1204" s="6"/>
      <c r="R1204" s="6"/>
      <c r="S1204" s="6"/>
      <c r="T1204" s="6"/>
      <c r="U1204" s="6"/>
      <c r="V1204" s="6"/>
    </row>
    <row r="1205" spans="3:22" x14ac:dyDescent="0.2">
      <c r="C1205" s="6"/>
      <c r="D1205" s="6"/>
      <c r="E1205" s="6"/>
      <c r="F1205" s="6"/>
      <c r="G1205" s="6"/>
      <c r="H1205" s="6"/>
      <c r="I1205" s="6"/>
      <c r="J1205" s="6"/>
      <c r="K1205" s="6"/>
      <c r="L1205" s="6"/>
      <c r="M1205" s="6"/>
      <c r="N1205" s="6"/>
      <c r="O1205" s="6"/>
      <c r="P1205" s="6"/>
      <c r="Q1205" s="6"/>
      <c r="R1205" s="6"/>
      <c r="S1205" s="6"/>
      <c r="T1205" s="6"/>
      <c r="U1205" s="6"/>
      <c r="V1205" s="6"/>
    </row>
  </sheetData>
  <mergeCells count="2">
    <mergeCell ref="A1:V1"/>
    <mergeCell ref="A2:V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C45"/>
  <sheetViews>
    <sheetView workbookViewId="0"/>
  </sheetViews>
  <sheetFormatPr defaultRowHeight="15" x14ac:dyDescent="0.2"/>
  <cols>
    <col min="1" max="1" width="64.97265625" customWidth="1"/>
    <col min="2" max="2" width="55.01953125" customWidth="1"/>
    <col min="3" max="3" width="69.94921875" customWidth="1"/>
  </cols>
  <sheetData>
    <row r="1" spans="1:3" ht="33.950000000000003" customHeight="1" x14ac:dyDescent="0.25">
      <c r="A1" s="3" t="s">
        <v>272</v>
      </c>
      <c r="B1" s="3"/>
      <c r="C1" s="3"/>
    </row>
    <row r="2" spans="1:3" ht="21.95" customHeight="1" x14ac:dyDescent="0.2">
      <c r="A2" s="2"/>
      <c r="B2" s="2"/>
      <c r="C2" s="2"/>
    </row>
    <row r="3" spans="1:3" ht="21.95" customHeight="1" x14ac:dyDescent="0.2">
      <c r="A3" s="2"/>
      <c r="B3" s="2"/>
      <c r="C3" s="2"/>
    </row>
    <row r="4" spans="1:3" ht="21.95" customHeight="1" x14ac:dyDescent="0.2">
      <c r="A4" s="2"/>
      <c r="B4" s="2"/>
      <c r="C4" s="2"/>
    </row>
    <row r="5" spans="1:3" ht="21.95" customHeight="1" x14ac:dyDescent="0.2">
      <c r="A5" s="2" t="s">
        <v>273</v>
      </c>
      <c r="B5" s="2" t="str">
        <f>Settings!$B$40</f>
        <v>Mean</v>
      </c>
      <c r="C5" s="2"/>
    </row>
    <row r="6" spans="1:3" ht="21.95" customHeight="1" x14ac:dyDescent="0.2">
      <c r="A6" s="2"/>
      <c r="B6" s="2"/>
      <c r="C6" s="2"/>
    </row>
    <row r="7" spans="1:3" ht="21.95" customHeight="1" x14ac:dyDescent="0.2">
      <c r="A7" s="2" t="s">
        <v>274</v>
      </c>
      <c r="B7" s="2"/>
      <c r="C7" s="2"/>
    </row>
    <row r="8" spans="1:3" ht="21.95" customHeight="1" x14ac:dyDescent="0.2">
      <c r="A8" s="2" t="s">
        <v>275</v>
      </c>
      <c r="B8" s="2" t="str">
        <f>Settings!$B$43</f>
        <v>Edge processing does not reduce the selected latency measure.</v>
      </c>
      <c r="C8" s="2" t="s">
        <v>276</v>
      </c>
    </row>
    <row r="9" spans="1:3" ht="21.95" customHeight="1" x14ac:dyDescent="0.2">
      <c r="A9" s="2" t="s">
        <v>277</v>
      </c>
      <c r="B9" s="2">
        <f>COUNT(Replications!V6:V15)</f>
        <v>10</v>
      </c>
      <c r="C9" s="2" t="s">
        <v>278</v>
      </c>
    </row>
    <row r="10" spans="1:3" ht="21.95" customHeight="1" x14ac:dyDescent="0.2">
      <c r="A10" s="2" t="s">
        <v>117</v>
      </c>
      <c r="B10" s="2">
        <f>AVERAGE(Replications!V6:V15)</f>
        <v>787.67590343513132</v>
      </c>
      <c r="C10" s="2" t="s">
        <v>279</v>
      </c>
    </row>
    <row r="11" spans="1:3" ht="21.95" customHeight="1" x14ac:dyDescent="0.2">
      <c r="A11" s="2" t="s">
        <v>280</v>
      </c>
      <c r="B11" s="2">
        <f>STDEV(Replications!V6:V15)</f>
        <v>63.916766010805802</v>
      </c>
      <c r="C11" s="2"/>
    </row>
    <row r="12" spans="1:3" ht="21.95" customHeight="1" x14ac:dyDescent="0.2">
      <c r="A12" s="2" t="s">
        <v>281</v>
      </c>
      <c r="B12" s="2">
        <f>B11/SQRT(B9)</f>
        <v>20.212256126618076</v>
      </c>
      <c r="C12" s="2"/>
    </row>
    <row r="13" spans="1:3" ht="21.95" customHeight="1" x14ac:dyDescent="0.2">
      <c r="A13" s="2" t="s">
        <v>282</v>
      </c>
      <c r="B13" s="2">
        <f>_xlfn.T.INV(1-Settings!$B$38/2,B9-1)</f>
        <v>2.2621571627982049</v>
      </c>
      <c r="C13" s="2" t="s">
        <v>283</v>
      </c>
    </row>
    <row r="14" spans="1:3" ht="21.95" customHeight="1" x14ac:dyDescent="0.2">
      <c r="A14" s="2" t="s">
        <v>284</v>
      </c>
      <c r="B14" s="2">
        <f>B13*B12</f>
        <v>45.723299973140982</v>
      </c>
      <c r="C14" s="2"/>
    </row>
    <row r="15" spans="1:3" ht="21.95" customHeight="1" x14ac:dyDescent="0.2">
      <c r="A15" s="2" t="s">
        <v>285</v>
      </c>
      <c r="B15" s="2">
        <f>B10-B14</f>
        <v>741.95260346199029</v>
      </c>
      <c r="C15" s="2"/>
    </row>
    <row r="16" spans="1:3" ht="21.95" customHeight="1" x14ac:dyDescent="0.2">
      <c r="A16" s="2" t="s">
        <v>286</v>
      </c>
      <c r="B16" s="2">
        <f>B10+B14</f>
        <v>833.39920340827234</v>
      </c>
      <c r="C16" s="2"/>
    </row>
    <row r="17" spans="1:3" ht="21.95" customHeight="1" x14ac:dyDescent="0.2">
      <c r="A17" s="2" t="s">
        <v>120</v>
      </c>
      <c r="B17" s="2">
        <v>0</v>
      </c>
      <c r="C17" s="2" t="s">
        <v>287</v>
      </c>
    </row>
    <row r="18" spans="1:3" ht="21.95" customHeight="1" x14ac:dyDescent="0.2">
      <c r="A18" s="2" t="s">
        <v>121</v>
      </c>
      <c r="B18" s="2" t="str">
        <f>IF(B15&gt;0,"Model interval above zero — assumptions only",IF(B16&lt;0,"Model interval below zero — assumptions only","Conditional interval includes zero"))</f>
        <v>Model interval above zero — assumptions only</v>
      </c>
      <c r="C18" s="2" t="s">
        <v>288</v>
      </c>
    </row>
    <row r="19" spans="1:3" ht="21.95" customHeight="1" x14ac:dyDescent="0.2">
      <c r="A19" s="2"/>
      <c r="B19" s="2"/>
      <c r="C19" s="2"/>
    </row>
    <row r="20" spans="1:3" ht="21.95" customHeight="1" x14ac:dyDescent="0.2">
      <c r="A20" s="2"/>
      <c r="B20" s="2"/>
      <c r="C20" s="2"/>
    </row>
    <row r="21" spans="1:3" ht="21.95" customHeight="1" x14ac:dyDescent="0.2">
      <c r="A21" s="2" t="s">
        <v>289</v>
      </c>
      <c r="B21" s="2"/>
      <c r="C21" s="2"/>
    </row>
    <row r="22" spans="1:3" ht="21.95" customHeight="1" x14ac:dyDescent="0.2">
      <c r="A22" s="2" t="s">
        <v>275</v>
      </c>
      <c r="B22" s="2" t="str">
        <f>Settings!$B$45</f>
        <v>Edge availability is not higher than ground availability.</v>
      </c>
      <c r="C22" s="2" t="s">
        <v>276</v>
      </c>
    </row>
    <row r="23" spans="1:3" ht="21.95" customHeight="1" x14ac:dyDescent="0.2">
      <c r="A23" s="2" t="s">
        <v>277</v>
      </c>
      <c r="B23" s="2">
        <f>COUNT(Replications!W6:W15)</f>
        <v>10</v>
      </c>
      <c r="C23" s="2" t="s">
        <v>278</v>
      </c>
    </row>
    <row r="24" spans="1:3" ht="21.95" customHeight="1" x14ac:dyDescent="0.2">
      <c r="A24" s="2" t="s">
        <v>117</v>
      </c>
      <c r="B24" s="2">
        <f>AVERAGE(Replications!W6:W15)</f>
        <v>0.183</v>
      </c>
      <c r="C24" s="2" t="s">
        <v>279</v>
      </c>
    </row>
    <row r="25" spans="1:3" ht="21.95" customHeight="1" x14ac:dyDescent="0.2">
      <c r="A25" s="2" t="s">
        <v>280</v>
      </c>
      <c r="B25" s="2">
        <f>STDEV(Replications!W6:W15)</f>
        <v>9.3458249739894292E-2</v>
      </c>
      <c r="C25" s="2"/>
    </row>
    <row r="26" spans="1:3" ht="21.95" customHeight="1" x14ac:dyDescent="0.2">
      <c r="A26" s="2" t="s">
        <v>281</v>
      </c>
      <c r="B26" s="2">
        <f>B25/SQRT(B23)</f>
        <v>2.9554093531090495E-2</v>
      </c>
      <c r="C26" s="2"/>
    </row>
    <row r="27" spans="1:3" ht="21.95" customHeight="1" x14ac:dyDescent="0.2">
      <c r="A27" s="2" t="s">
        <v>282</v>
      </c>
      <c r="B27" s="2">
        <f>_xlfn.T.INV(1-Settings!$B$38/2,B23-1)</f>
        <v>2.2621571627982049</v>
      </c>
      <c r="C27" s="2" t="s">
        <v>283</v>
      </c>
    </row>
    <row r="28" spans="1:3" ht="21.95" customHeight="1" x14ac:dyDescent="0.2">
      <c r="A28" s="2" t="s">
        <v>284</v>
      </c>
      <c r="B28" s="2">
        <f>B27*B26</f>
        <v>6.685600437136445E-2</v>
      </c>
      <c r="C28" s="2"/>
    </row>
    <row r="29" spans="1:3" ht="21.95" customHeight="1" x14ac:dyDescent="0.2">
      <c r="A29" s="2" t="s">
        <v>285</v>
      </c>
      <c r="B29" s="2">
        <f>B24-B28</f>
        <v>0.11614399562863555</v>
      </c>
      <c r="C29" s="2"/>
    </row>
    <row r="30" spans="1:3" ht="21.95" customHeight="1" x14ac:dyDescent="0.2">
      <c r="A30" s="2" t="s">
        <v>286</v>
      </c>
      <c r="B30" s="2">
        <f>B24+B28</f>
        <v>0.24985600437136446</v>
      </c>
      <c r="C30" s="2"/>
    </row>
    <row r="31" spans="1:3" ht="21.95" customHeight="1" x14ac:dyDescent="0.2">
      <c r="A31" s="2" t="s">
        <v>120</v>
      </c>
      <c r="B31" s="2">
        <v>0</v>
      </c>
      <c r="C31" s="2" t="s">
        <v>287</v>
      </c>
    </row>
    <row r="32" spans="1:3" ht="21.95" customHeight="1" x14ac:dyDescent="0.2">
      <c r="A32" s="2" t="s">
        <v>121</v>
      </c>
      <c r="B32" s="2" t="str">
        <f>IF(B29&gt;0,"Model interval above zero — assumptions only",IF(B30&lt;0,"Model interval below zero — assumptions only","Conditional interval includes zero"))</f>
        <v>Model interval above zero — assumptions only</v>
      </c>
      <c r="C32" s="2" t="s">
        <v>288</v>
      </c>
    </row>
    <row r="33" spans="1:3" ht="21.95" customHeight="1" x14ac:dyDescent="0.2">
      <c r="A33" s="2" t="s">
        <v>290</v>
      </c>
      <c r="B33" s="2">
        <f>Settings!$B$39</f>
        <v>0.02</v>
      </c>
      <c r="C33" s="2" t="s">
        <v>291</v>
      </c>
    </row>
    <row r="34" spans="1:3" ht="21.95" customHeight="1" x14ac:dyDescent="0.2">
      <c r="A34" s="2"/>
      <c r="B34" s="2"/>
      <c r="C34" s="2"/>
    </row>
    <row r="35" spans="1:3" ht="21.95" customHeight="1" x14ac:dyDescent="0.2">
      <c r="A35" s="2"/>
      <c r="B35" s="2"/>
      <c r="C35" s="2"/>
    </row>
    <row r="36" spans="1:3" ht="21.95" customHeight="1" x14ac:dyDescent="0.2">
      <c r="A36" s="2" t="s">
        <v>292</v>
      </c>
      <c r="B36" s="2"/>
      <c r="C36" s="2"/>
    </row>
    <row r="37" spans="1:3" ht="21.95" customHeight="1" x14ac:dyDescent="0.2">
      <c r="A37" s="2" t="s">
        <v>293</v>
      </c>
      <c r="B37" s="2">
        <f>AVERAGE(Replications!I6:I15)</f>
        <v>0.45899999999999996</v>
      </c>
      <c r="C37" s="2" t="s">
        <v>294</v>
      </c>
    </row>
    <row r="38" spans="1:3" ht="21.95" customHeight="1" x14ac:dyDescent="0.2">
      <c r="A38" s="2" t="s">
        <v>295</v>
      </c>
      <c r="B38" s="2">
        <f>AVERAGE(Replications!S6:S15)</f>
        <v>1</v>
      </c>
      <c r="C38" s="2"/>
    </row>
    <row r="39" spans="1:3" ht="21.95" customHeight="1" x14ac:dyDescent="0.2">
      <c r="A39" s="2" t="s">
        <v>296</v>
      </c>
      <c r="B39" s="2">
        <f>AVERAGE(Replications!G6:G15)</f>
        <v>143.02000000000041</v>
      </c>
      <c r="C39" s="2" t="s">
        <v>297</v>
      </c>
    </row>
    <row r="40" spans="1:3" ht="21.95" customHeight="1" x14ac:dyDescent="0.2">
      <c r="A40" s="2" t="s">
        <v>298</v>
      </c>
      <c r="B40" s="2">
        <f>AVERAGE(Replications!Q6:Q15)</f>
        <v>120.0255351423793</v>
      </c>
      <c r="C40" s="2"/>
    </row>
    <row r="41" spans="1:3" ht="21.95" customHeight="1" x14ac:dyDescent="0.2">
      <c r="A41" s="2" t="s">
        <v>299</v>
      </c>
      <c r="B41" s="2">
        <f>AVERAGE(Replications!Z6:Z15)</f>
        <v>0.86956521739130443</v>
      </c>
      <c r="C41" s="2" t="s">
        <v>300</v>
      </c>
    </row>
    <row r="42" spans="1:3" ht="21.95" customHeight="1" x14ac:dyDescent="0.2">
      <c r="A42" s="2" t="s">
        <v>301</v>
      </c>
      <c r="B42" s="2">
        <f>AVERAGE(Replications!Y6:Y15)</f>
        <v>90</v>
      </c>
      <c r="C42" s="2"/>
    </row>
    <row r="43" spans="1:3" ht="21.95" customHeight="1" x14ac:dyDescent="0.2">
      <c r="A43" s="2"/>
      <c r="B43" s="2"/>
      <c r="C43" s="2"/>
    </row>
    <row r="44" spans="1:3" ht="21.95" customHeight="1" x14ac:dyDescent="0.2">
      <c r="A44" s="2" t="s">
        <v>302</v>
      </c>
      <c r="B44" s="2"/>
      <c r="C44" s="2"/>
    </row>
    <row r="45" spans="1:3" ht="21.95" customHeight="1" x14ac:dyDescent="0.2">
      <c r="A45" s="2"/>
      <c r="B45" s="2"/>
      <c r="C45"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5" tint="-0.249977111117893"/>
  </sheetPr>
  <dimension ref="A1:Z18"/>
  <sheetViews>
    <sheetView workbookViewId="0"/>
  </sheetViews>
  <sheetFormatPr defaultRowHeight="15" x14ac:dyDescent="0.2"/>
  <cols>
    <col min="1" max="26" width="18.0234375" customWidth="1"/>
  </cols>
  <sheetData>
    <row r="1" spans="1:26" ht="33.950000000000003" customHeight="1" x14ac:dyDescent="0.25">
      <c r="A1" s="3" t="s">
        <v>303</v>
      </c>
      <c r="B1" s="3"/>
      <c r="C1" s="3"/>
      <c r="D1" s="3"/>
      <c r="E1" s="3"/>
      <c r="F1" s="3"/>
      <c r="G1" s="3"/>
      <c r="H1" s="3"/>
      <c r="I1" s="3"/>
      <c r="J1" s="3"/>
      <c r="K1" s="3"/>
      <c r="L1" s="3"/>
      <c r="M1" s="3"/>
      <c r="N1" s="3"/>
      <c r="O1" s="3"/>
      <c r="P1" s="3"/>
      <c r="Q1" s="3"/>
      <c r="R1" s="3"/>
      <c r="S1" s="3"/>
      <c r="T1" s="3"/>
      <c r="U1" s="3"/>
      <c r="V1" s="3"/>
      <c r="W1" s="3"/>
      <c r="X1" s="3"/>
      <c r="Y1" s="3"/>
      <c r="Z1" s="3"/>
    </row>
    <row r="2" spans="1:26" ht="21.95" customHeight="1" x14ac:dyDescent="0.2">
      <c r="A2" s="2" t="s">
        <v>304</v>
      </c>
      <c r="B2" s="2"/>
      <c r="C2" s="2"/>
      <c r="D2" s="2"/>
      <c r="E2" s="2"/>
      <c r="F2" s="2"/>
      <c r="G2" s="2"/>
      <c r="H2" s="2"/>
      <c r="I2" s="2"/>
      <c r="J2" s="2"/>
      <c r="K2" s="2"/>
      <c r="L2" s="2"/>
      <c r="M2" s="2"/>
      <c r="N2" s="2"/>
      <c r="O2" s="2"/>
      <c r="P2" s="2"/>
      <c r="Q2" s="2"/>
      <c r="R2" s="2"/>
      <c r="S2" s="2"/>
      <c r="T2" s="2"/>
      <c r="U2" s="2"/>
      <c r="V2" s="2"/>
      <c r="W2" s="2"/>
      <c r="X2" s="2"/>
      <c r="Y2" s="2"/>
      <c r="Z2" s="2"/>
    </row>
    <row r="3" spans="1:26" ht="21.9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21.9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21.95" customHeight="1" x14ac:dyDescent="0.2">
      <c r="A5" s="2" t="s">
        <v>232</v>
      </c>
      <c r="B5" s="2" t="s">
        <v>305</v>
      </c>
      <c r="C5" s="2" t="s">
        <v>306</v>
      </c>
      <c r="D5" s="2" t="s">
        <v>307</v>
      </c>
      <c r="E5" s="2" t="s">
        <v>308</v>
      </c>
      <c r="F5" s="2" t="s">
        <v>309</v>
      </c>
      <c r="G5" s="2" t="s">
        <v>310</v>
      </c>
      <c r="H5" s="2" t="s">
        <v>311</v>
      </c>
      <c r="I5" s="2" t="s">
        <v>312</v>
      </c>
      <c r="J5" s="2" t="s">
        <v>313</v>
      </c>
      <c r="K5" s="2" t="s">
        <v>314</v>
      </c>
      <c r="L5" s="2" t="s">
        <v>315</v>
      </c>
      <c r="M5" s="2" t="s">
        <v>316</v>
      </c>
      <c r="N5" s="2" t="s">
        <v>317</v>
      </c>
      <c r="O5" s="2" t="s">
        <v>318</v>
      </c>
      <c r="P5" s="2" t="s">
        <v>319</v>
      </c>
      <c r="Q5" s="2" t="s">
        <v>320</v>
      </c>
      <c r="R5" s="2" t="s">
        <v>321</v>
      </c>
      <c r="S5" s="2" t="s">
        <v>322</v>
      </c>
      <c r="T5" s="2" t="s">
        <v>323</v>
      </c>
      <c r="U5" s="2" t="s">
        <v>324</v>
      </c>
      <c r="V5" s="2" t="s">
        <v>325</v>
      </c>
      <c r="W5" s="2" t="s">
        <v>326</v>
      </c>
      <c r="X5" s="2" t="s">
        <v>327</v>
      </c>
      <c r="Y5" s="2" t="s">
        <v>301</v>
      </c>
      <c r="Z5" s="2" t="s">
        <v>328</v>
      </c>
    </row>
    <row r="6" spans="1:26" ht="21.95" customHeight="1" x14ac:dyDescent="0.2">
      <c r="A6" s="2">
        <f>1</f>
        <v>1</v>
      </c>
      <c r="B6" s="2">
        <f>IF(Settings!$B$40="Median",D6,IF(Settings!$B$40="P90",E6,C6))</f>
        <v>1067.6433833916303</v>
      </c>
      <c r="C6" s="2">
        <f>AVERAGE(RGS_Ground_Run!Q6:Q105)</f>
        <v>1067.6433833916303</v>
      </c>
      <c r="D6" s="2">
        <f>MEDIAN(RGS_Ground_Run!Q6:Q105)</f>
        <v>1121.9325462062668</v>
      </c>
      <c r="E6" s="2">
        <f>PERCENTILE(RGS_Ground_Run!Q6:Q105,0.9)</f>
        <v>1996.7505660841939</v>
      </c>
      <c r="F6" s="2">
        <f>AVERAGE(RGS_Ground_Run!U6:U105)</f>
        <v>1040.1119999999996</v>
      </c>
      <c r="G6" s="2">
        <f>IF(COUNTIF(RGS_Ground_Run!S6:S105,"&gt;0")=0,0,SUMIF(RGS_Ground_Run!S6:S105,"&gt;0",RGS_Ground_Run!S6:S105)/COUNTIF(RGS_Ground_Run!S6:S105,"&gt;0"))</f>
        <v>143.02000000000038</v>
      </c>
      <c r="H6" s="2">
        <f>COUNTIF(RGS_Ground_Run!S6:S105,"&gt;0")</f>
        <v>4</v>
      </c>
      <c r="I6" s="2">
        <f>AVERAGE(RGS_Ground_Run!W6:W105)</f>
        <v>0.45</v>
      </c>
      <c r="J6" s="2">
        <f>AVERAGE(RGS_Ground_Run!X6:X105)</f>
        <v>0.1</v>
      </c>
      <c r="K6" s="2">
        <f>MAX(RGS_Ground_Run!P6:P105)</f>
        <v>2988.4376894079564</v>
      </c>
      <c r="L6" s="2">
        <f>IF(Settings!$B$40="Median",N6,IF(Settings!$B$40="P90",O6,M6))</f>
        <v>198.2280133331837</v>
      </c>
      <c r="M6" s="2">
        <f>AVERAGE(Edge_Run!O6:O105)</f>
        <v>198.2280133331837</v>
      </c>
      <c r="N6" s="2">
        <f>MEDIAN(Edge_Run!O6:O105)</f>
        <v>153.68271121032774</v>
      </c>
      <c r="O6" s="2">
        <f>PERCENTILE(Edge_Run!O6:O105,0.9)</f>
        <v>419.24399932899195</v>
      </c>
      <c r="P6" s="2">
        <f>AVERAGE(Edge_Run!S6:S105)</f>
        <v>181.67386315829197</v>
      </c>
      <c r="Q6" s="2">
        <f>IF(COUNTIF(Edge_Run!R6:R105,"&gt;0")=0,0,SUMIF(Edge_Run!R6:R105,"&gt;0",Edge_Run!R6:R105)/COUNTIF(Edge_Run!R6:R105,"&gt;0"))</f>
        <v>117.26905507366052</v>
      </c>
      <c r="R6" s="2">
        <f>COUNTIF(Edge_Run!R6:R105,"&gt;0")</f>
        <v>1</v>
      </c>
      <c r="S6" s="2">
        <f>AVERAGE(Edge_Run!U6:U105)</f>
        <v>1</v>
      </c>
      <c r="T6" s="2">
        <f>AVERAGE(Edge_Run!V6:V105)</f>
        <v>0.45</v>
      </c>
      <c r="U6" s="2">
        <f>MAX(Edge_Run!N6:N105)</f>
        <v>1143.8320460547461</v>
      </c>
      <c r="V6" s="2">
        <f t="shared" ref="V6:V15" si="0">B6-L6</f>
        <v>869.41537005844657</v>
      </c>
      <c r="W6" s="2">
        <f t="shared" ref="W6:W15" si="1">T6-J6</f>
        <v>0.35</v>
      </c>
      <c r="X6" s="2">
        <f>(INT((Settings!$B$10-Settings!$B$32+(Settings!$B$33*1000))/Settings!$B$33)*Settings!$B$30+MIN(MOD(Settings!$B$10-Settings!$B$32+(Settings!$B$33*1000),Settings!$B$33),Settings!$B$30))-(INT((-Settings!$B$32+(Settings!$B$33*1000))/Settings!$B$33)*Settings!$B$30+MIN(MOD(-Settings!$B$32+(Settings!$B$33*1000),Settings!$B$33),Settings!$B$30))</f>
        <v>600</v>
      </c>
      <c r="Y6" s="2">
        <f>Settings!$B$10-X6</f>
        <v>90</v>
      </c>
      <c r="Z6" s="2">
        <f>X6/Settings!$B$10</f>
        <v>0.86956521739130432</v>
      </c>
    </row>
    <row r="7" spans="1:26" ht="21.95" customHeight="1" x14ac:dyDescent="0.2">
      <c r="A7" s="2">
        <f>2</f>
        <v>2</v>
      </c>
      <c r="B7" s="2">
        <f>IF(Settings!$B$40="Median",D7,IF(Settings!$B$40="P90",E7,C7))</f>
        <v>1068.5117513034854</v>
      </c>
      <c r="C7" s="2">
        <f>AVERAGE(RGS_Ground_Run!Q126:Q225)</f>
        <v>1068.5117513034854</v>
      </c>
      <c r="D7" s="2">
        <f>MEDIAN(RGS_Ground_Run!Q126:Q225)</f>
        <v>1123.2496554952672</v>
      </c>
      <c r="E7" s="2">
        <f>PERCENTILE(RGS_Ground_Run!Q126:Q225,0.9)</f>
        <v>2000.0063034846853</v>
      </c>
      <c r="F7" s="2">
        <f>AVERAGE(RGS_Ground_Run!U126:U225)</f>
        <v>1040.1920725815191</v>
      </c>
      <c r="G7" s="2">
        <f>IF(COUNTIF(RGS_Ground_Run!S126:S225,"&gt;0")=0,0,SUMIF(RGS_Ground_Run!S126:S225,"&gt;0",RGS_Ground_Run!S126:S225)/COUNTIF(RGS_Ground_Run!S126:S225,"&gt;0"))</f>
        <v>143.02000000000038</v>
      </c>
      <c r="H7" s="2">
        <f>COUNTIF(RGS_Ground_Run!S126:S225,"&gt;0")</f>
        <v>4</v>
      </c>
      <c r="I7" s="2">
        <f>AVERAGE(RGS_Ground_Run!W126:W225)</f>
        <v>0.46</v>
      </c>
      <c r="J7" s="2">
        <f>AVERAGE(RGS_Ground_Run!X126:X225)</f>
        <v>0.09</v>
      </c>
      <c r="K7" s="2">
        <f>MAX(RGS_Ground_Run!P126:P225)</f>
        <v>2979.3626149537322</v>
      </c>
      <c r="L7" s="2">
        <f>IF(Settings!$B$40="Median",N7,IF(Settings!$B$40="P90",O7,M7))</f>
        <v>352.61342856228492</v>
      </c>
      <c r="M7" s="2">
        <f>AVERAGE(Edge_Run!O126:O225)</f>
        <v>352.61342856228492</v>
      </c>
      <c r="N7" s="2">
        <f>MEDIAN(Edge_Run!O126:O225)</f>
        <v>389.66999999999985</v>
      </c>
      <c r="O7" s="2">
        <f>PERCENTILE(Edge_Run!O126:O225,0.9)</f>
        <v>596.98084197469336</v>
      </c>
      <c r="P7" s="2">
        <f>AVERAGE(Edge_Run!S126:S225)</f>
        <v>333.69439239638632</v>
      </c>
      <c r="Q7" s="2">
        <f>IF(COUNTIF(Edge_Run!R126:R225,"&gt;0")=0,0,SUMIF(Edge_Run!R126:R225,"&gt;0",Edge_Run!R126:R225)/COUNTIF(Edge_Run!R126:R225,"&gt;0"))</f>
        <v>125.02390888347657</v>
      </c>
      <c r="R7" s="2">
        <f>COUNTIF(Edge_Run!R126:R225,"&gt;0")</f>
        <v>1</v>
      </c>
      <c r="S7" s="2">
        <f>AVERAGE(Edge_Run!U126:U225)</f>
        <v>1</v>
      </c>
      <c r="T7" s="2">
        <f>AVERAGE(Edge_Run!V126:V225)</f>
        <v>0.15</v>
      </c>
      <c r="U7" s="2">
        <f>MAX(Edge_Run!N126:N225)</f>
        <v>1317.4212109011523</v>
      </c>
      <c r="V7" s="2">
        <f t="shared" si="0"/>
        <v>715.89832274120045</v>
      </c>
      <c r="W7" s="2">
        <f t="shared" si="1"/>
        <v>0.06</v>
      </c>
      <c r="X7" s="2">
        <f>(INT((Settings!$B$10-Settings!$B$32+(Settings!$B$33*1000))/Settings!$B$33)*Settings!$B$30+MIN(MOD(Settings!$B$10-Settings!$B$32+(Settings!$B$33*1000),Settings!$B$33),Settings!$B$30))-(INT((-Settings!$B$32+(Settings!$B$33*1000))/Settings!$B$33)*Settings!$B$30+MIN(MOD(-Settings!$B$32+(Settings!$B$33*1000),Settings!$B$33),Settings!$B$30))</f>
        <v>600</v>
      </c>
      <c r="Y7" s="2">
        <f>Settings!$B$10-X7</f>
        <v>90</v>
      </c>
      <c r="Z7" s="2">
        <f>X7/Settings!$B$10</f>
        <v>0.86956521739130432</v>
      </c>
    </row>
    <row r="8" spans="1:26" ht="21.95" customHeight="1" x14ac:dyDescent="0.2">
      <c r="A8" s="2">
        <f>3</f>
        <v>3</v>
      </c>
      <c r="B8" s="2">
        <f>IF(Settings!$B$40="Median",D8,IF(Settings!$B$40="P90",E8,C8))</f>
        <v>1067.4277896530723</v>
      </c>
      <c r="C8" s="2">
        <f>AVERAGE(RGS_Ground_Run!Q246:Q345)</f>
        <v>1067.4277896530723</v>
      </c>
      <c r="D8" s="2">
        <f>MEDIAN(RGS_Ground_Run!Q246:Q345)</f>
        <v>1122.5845294334154</v>
      </c>
      <c r="E8" s="2">
        <f>PERCENTILE(RGS_Ground_Run!Q246:Q345,0.9)</f>
        <v>1995.8709685301442</v>
      </c>
      <c r="F8" s="2">
        <f>AVERAGE(RGS_Ground_Run!U246:U345)</f>
        <v>1040.1119999999996</v>
      </c>
      <c r="G8" s="2">
        <f>IF(COUNTIF(RGS_Ground_Run!S246:S345,"&gt;0")=0,0,SUMIF(RGS_Ground_Run!S246:S345,"&gt;0",RGS_Ground_Run!S246:S345)/COUNTIF(RGS_Ground_Run!S246:S345,"&gt;0"))</f>
        <v>143.02000000000038</v>
      </c>
      <c r="H8" s="2">
        <f>COUNTIF(RGS_Ground_Run!S246:S345,"&gt;0")</f>
        <v>4</v>
      </c>
      <c r="I8" s="2">
        <f>AVERAGE(RGS_Ground_Run!W246:W345)</f>
        <v>0.46</v>
      </c>
      <c r="J8" s="2">
        <f>AVERAGE(RGS_Ground_Run!X246:X345)</f>
        <v>0.11</v>
      </c>
      <c r="K8" s="2">
        <f>MAX(RGS_Ground_Run!P246:P345)</f>
        <v>2976.8024469723655</v>
      </c>
      <c r="L8" s="2">
        <f>IF(Settings!$B$40="Median",N8,IF(Settings!$B$40="P90",O8,M8))</f>
        <v>223.2607508772993</v>
      </c>
      <c r="M8" s="2">
        <f>AVERAGE(Edge_Run!O246:O345)</f>
        <v>223.2607508772993</v>
      </c>
      <c r="N8" s="2">
        <f>MEDIAN(Edge_Run!O246:O345)</f>
        <v>280.57703400567067</v>
      </c>
      <c r="O8" s="2">
        <f>PERCENTILE(Edge_Run!O246:O345,0.9)</f>
        <v>411.65572443899856</v>
      </c>
      <c r="P8" s="2">
        <f>AVERAGE(Edge_Run!S246:S345)</f>
        <v>207.35338191808171</v>
      </c>
      <c r="Q8" s="2">
        <f>IF(COUNTIF(Edge_Run!R246:R345,"&gt;0")=0,0,SUMIF(Edge_Run!R246:R345,"&gt;0",Edge_Run!R246:R345)/COUNTIF(Edge_Run!R246:R345,"&gt;0"))</f>
        <v>109.47342765137853</v>
      </c>
      <c r="R8" s="2">
        <f>COUNTIF(Edge_Run!R246:R345,"&gt;0")</f>
        <v>1</v>
      </c>
      <c r="S8" s="2">
        <f>AVERAGE(Edge_Run!U246:U345)</f>
        <v>1</v>
      </c>
      <c r="T8" s="2">
        <f>AVERAGE(Edge_Run!V246:V345)</f>
        <v>0.38</v>
      </c>
      <c r="U8" s="2">
        <f>MAX(Edge_Run!N246:N345)</f>
        <v>1086.9076641431234</v>
      </c>
      <c r="V8" s="2">
        <f t="shared" si="0"/>
        <v>844.16703877577299</v>
      </c>
      <c r="W8" s="2">
        <f t="shared" si="1"/>
        <v>0.27</v>
      </c>
      <c r="X8" s="2">
        <f>(INT((Settings!$B$10-Settings!$B$32+(Settings!$B$33*1000))/Settings!$B$33)*Settings!$B$30+MIN(MOD(Settings!$B$10-Settings!$B$32+(Settings!$B$33*1000),Settings!$B$33),Settings!$B$30))-(INT((-Settings!$B$32+(Settings!$B$33*1000))/Settings!$B$33)*Settings!$B$30+MIN(MOD(-Settings!$B$32+(Settings!$B$33*1000),Settings!$B$33),Settings!$B$30))</f>
        <v>600</v>
      </c>
      <c r="Y8" s="2">
        <f>Settings!$B$10-X8</f>
        <v>90</v>
      </c>
      <c r="Z8" s="2">
        <f>X8/Settings!$B$10</f>
        <v>0.86956521739130432</v>
      </c>
    </row>
    <row r="9" spans="1:26" ht="21.95" customHeight="1" x14ac:dyDescent="0.2">
      <c r="A9" s="2">
        <f>4</f>
        <v>4</v>
      </c>
      <c r="B9" s="2">
        <f>IF(Settings!$B$40="Median",D9,IF(Settings!$B$40="P90",E9,C9))</f>
        <v>1068.0757325946929</v>
      </c>
      <c r="C9" s="2">
        <f>AVERAGE(RGS_Ground_Run!Q366:Q465)</f>
        <v>1068.0757325946929</v>
      </c>
      <c r="D9" s="2">
        <f>MEDIAN(RGS_Ground_Run!Q366:Q465)</f>
        <v>1119.2504244970628</v>
      </c>
      <c r="E9" s="2">
        <f>PERCENTILE(RGS_Ground_Run!Q366:Q465,0.9)</f>
        <v>1999.1211680294186</v>
      </c>
      <c r="F9" s="2">
        <f>AVERAGE(RGS_Ground_Run!U366:U465)</f>
        <v>1040.1119999999996</v>
      </c>
      <c r="G9" s="2">
        <f>IF(COUNTIF(RGS_Ground_Run!S366:S465,"&gt;0")=0,0,SUMIF(RGS_Ground_Run!S366:S465,"&gt;0",RGS_Ground_Run!S366:S465)/COUNTIF(RGS_Ground_Run!S366:S465,"&gt;0"))</f>
        <v>143.02000000000038</v>
      </c>
      <c r="H9" s="2">
        <f>COUNTIF(RGS_Ground_Run!S366:S465,"&gt;0")</f>
        <v>4</v>
      </c>
      <c r="I9" s="2">
        <f>AVERAGE(RGS_Ground_Run!W366:W465)</f>
        <v>0.46</v>
      </c>
      <c r="J9" s="2">
        <f>AVERAGE(RGS_Ground_Run!X366:X465)</f>
        <v>0.11</v>
      </c>
      <c r="K9" s="2">
        <f>MAX(RGS_Ground_Run!P366:P465)</f>
        <v>2981.9695887241132</v>
      </c>
      <c r="L9" s="2">
        <f>IF(Settings!$B$40="Median",N9,IF(Settings!$B$40="P90",O9,M9))</f>
        <v>359.96748868884288</v>
      </c>
      <c r="M9" s="2">
        <f>AVERAGE(Edge_Run!O366:O465)</f>
        <v>359.96748868884288</v>
      </c>
      <c r="N9" s="2">
        <f>MEDIAN(Edge_Run!O366:O465)</f>
        <v>425.78999999999974</v>
      </c>
      <c r="O9" s="2">
        <f>PERCENTILE(Edge_Run!O366:O465,0.9)</f>
        <v>602.16457805144853</v>
      </c>
      <c r="P9" s="2">
        <f>AVERAGE(Edge_Run!S366:S465)</f>
        <v>342.1162909047647</v>
      </c>
      <c r="Q9" s="2">
        <f>IF(COUNTIF(Edge_Run!R366:R465,"&gt;0")=0,0,SUMIF(Edge_Run!R366:R465,"&gt;0",Edge_Run!R366:R465)/COUNTIF(Edge_Run!R366:R465,"&gt;0"))</f>
        <v>119.35350386682796</v>
      </c>
      <c r="R9" s="2">
        <f>COUNTIF(Edge_Run!R366:R465,"&gt;0")</f>
        <v>1</v>
      </c>
      <c r="S9" s="2">
        <f>AVERAGE(Edge_Run!U366:U465)</f>
        <v>1</v>
      </c>
      <c r="T9" s="2">
        <f>AVERAGE(Edge_Run!V366:V465)</f>
        <v>0.24</v>
      </c>
      <c r="U9" s="2">
        <f>MAX(Edge_Run!N366:N465)</f>
        <v>1290.3709857288584</v>
      </c>
      <c r="V9" s="2">
        <f t="shared" si="0"/>
        <v>708.10824390585003</v>
      </c>
      <c r="W9" s="2">
        <f t="shared" si="1"/>
        <v>0.13</v>
      </c>
      <c r="X9" s="2">
        <f>(INT((Settings!$B$10-Settings!$B$32+(Settings!$B$33*1000))/Settings!$B$33)*Settings!$B$30+MIN(MOD(Settings!$B$10-Settings!$B$32+(Settings!$B$33*1000),Settings!$B$33),Settings!$B$30))-(INT((-Settings!$B$32+(Settings!$B$33*1000))/Settings!$B$33)*Settings!$B$30+MIN(MOD(-Settings!$B$32+(Settings!$B$33*1000),Settings!$B$33),Settings!$B$30))</f>
        <v>600</v>
      </c>
      <c r="Y9" s="2">
        <f>Settings!$B$10-X9</f>
        <v>90</v>
      </c>
      <c r="Z9" s="2">
        <f>X9/Settings!$B$10</f>
        <v>0.86956521739130432</v>
      </c>
    </row>
    <row r="10" spans="1:26" ht="21.95" customHeight="1" x14ac:dyDescent="0.2">
      <c r="A10" s="2">
        <f>5</f>
        <v>5</v>
      </c>
      <c r="B10" s="2">
        <f>IF(Settings!$B$40="Median",D10,IF(Settings!$B$40="P90",E10,C10))</f>
        <v>1067.6202941527604</v>
      </c>
      <c r="C10" s="2">
        <f>AVERAGE(RGS_Ground_Run!Q486:Q585)</f>
        <v>1067.6202941527604</v>
      </c>
      <c r="D10" s="2">
        <f>MEDIAN(RGS_Ground_Run!Q486:Q585)</f>
        <v>1123.4695525201485</v>
      </c>
      <c r="E10" s="2">
        <f>PERCENTILE(RGS_Ground_Run!Q486:Q585,0.9)</f>
        <v>1995.7059580132259</v>
      </c>
      <c r="F10" s="2">
        <f>AVERAGE(RGS_Ground_Run!U486:U585)</f>
        <v>1040.1119999999996</v>
      </c>
      <c r="G10" s="2">
        <f>IF(COUNTIF(RGS_Ground_Run!S486:S585,"&gt;0")=0,0,SUMIF(RGS_Ground_Run!S486:S585,"&gt;0",RGS_Ground_Run!S486:S585)/COUNTIF(RGS_Ground_Run!S486:S585,"&gt;0"))</f>
        <v>143.02000000000038</v>
      </c>
      <c r="H10" s="2">
        <f>COUNTIF(RGS_Ground_Run!S486:S585,"&gt;0")</f>
        <v>4</v>
      </c>
      <c r="I10" s="2">
        <f>AVERAGE(RGS_Ground_Run!W486:W585)</f>
        <v>0.46</v>
      </c>
      <c r="J10" s="2">
        <f>AVERAGE(RGS_Ground_Run!X486:X585)</f>
        <v>0.11</v>
      </c>
      <c r="K10" s="2">
        <f>MAX(RGS_Ground_Run!P486:P585)</f>
        <v>2977.9664802347802</v>
      </c>
      <c r="L10" s="2">
        <f>IF(Settings!$B$40="Median",N10,IF(Settings!$B$40="P90",O10,M10))</f>
        <v>276.19405429161935</v>
      </c>
      <c r="M10" s="2">
        <f>AVERAGE(Edge_Run!O486:O585)</f>
        <v>276.19405429161935</v>
      </c>
      <c r="N10" s="2">
        <f>MEDIAN(Edge_Run!O486:O585)</f>
        <v>382.8299999999997</v>
      </c>
      <c r="O10" s="2">
        <f>PERCENTILE(Edge_Run!O486:O585,0.9)</f>
        <v>451.1360796250346</v>
      </c>
      <c r="P10" s="2">
        <f>AVERAGE(Edge_Run!S486:S585)</f>
        <v>259.70917183333916</v>
      </c>
      <c r="Q10" s="2">
        <f>IF(COUNTIF(Edge_Run!R486:R585,"&gt;0")=0,0,SUMIF(Edge_Run!R486:R585,"&gt;0",Edge_Run!R486:R585)/COUNTIF(Edge_Run!R486:R585,"&gt;0"))</f>
        <v>125.78323560914771</v>
      </c>
      <c r="R10" s="2">
        <f>COUNTIF(Edge_Run!R486:R585,"&gt;0")</f>
        <v>1</v>
      </c>
      <c r="S10" s="2">
        <f>AVERAGE(Edge_Run!U486:U585)</f>
        <v>1</v>
      </c>
      <c r="T10" s="2">
        <f>AVERAGE(Edge_Run!V486:V585)</f>
        <v>0.27</v>
      </c>
      <c r="U10" s="2">
        <f>MAX(Edge_Run!N486:N585)</f>
        <v>1174.2628347276593</v>
      </c>
      <c r="V10" s="2">
        <f t="shared" si="0"/>
        <v>791.42623986114108</v>
      </c>
      <c r="W10" s="2">
        <f t="shared" si="1"/>
        <v>0.16000000000000003</v>
      </c>
      <c r="X10" s="2">
        <f>(INT((Settings!$B$10-Settings!$B$32+(Settings!$B$33*1000))/Settings!$B$33)*Settings!$B$30+MIN(MOD(Settings!$B$10-Settings!$B$32+(Settings!$B$33*1000),Settings!$B$33),Settings!$B$30))-(INT((-Settings!$B$32+(Settings!$B$33*1000))/Settings!$B$33)*Settings!$B$30+MIN(MOD(-Settings!$B$32+(Settings!$B$33*1000),Settings!$B$33),Settings!$B$30))</f>
        <v>600</v>
      </c>
      <c r="Y10" s="2">
        <f>Settings!$B$10-X10</f>
        <v>90</v>
      </c>
      <c r="Z10" s="2">
        <f>X10/Settings!$B$10</f>
        <v>0.86956521739130432</v>
      </c>
    </row>
    <row r="11" spans="1:26" ht="21.95" customHeight="1" x14ac:dyDescent="0.2">
      <c r="A11" s="2">
        <f>6</f>
        <v>6</v>
      </c>
      <c r="B11" s="2">
        <f>IF(Settings!$B$40="Median",D11,IF(Settings!$B$40="P90",E11,C11))</f>
        <v>1068.0754935919397</v>
      </c>
      <c r="C11" s="2">
        <f>AVERAGE(RGS_Ground_Run!Q606:Q705)</f>
        <v>1068.0754935919397</v>
      </c>
      <c r="D11" s="2">
        <f>MEDIAN(RGS_Ground_Run!Q606:Q705)</f>
        <v>1119.6918310507504</v>
      </c>
      <c r="E11" s="2">
        <f>PERCENTILE(RGS_Ground_Run!Q606:Q705,0.9)</f>
        <v>1997.5609356650032</v>
      </c>
      <c r="F11" s="2">
        <f>AVERAGE(RGS_Ground_Run!U606:U705)</f>
        <v>1040.1119999999996</v>
      </c>
      <c r="G11" s="2">
        <f>IF(COUNTIF(RGS_Ground_Run!S606:S705,"&gt;0")=0,0,SUMIF(RGS_Ground_Run!S606:S705,"&gt;0",RGS_Ground_Run!S606:S705)/COUNTIF(RGS_Ground_Run!S606:S705,"&gt;0"))</f>
        <v>143.02000000000038</v>
      </c>
      <c r="H11" s="2">
        <f>COUNTIF(RGS_Ground_Run!S606:S705,"&gt;0")</f>
        <v>4</v>
      </c>
      <c r="I11" s="2">
        <f>AVERAGE(RGS_Ground_Run!W606:W705)</f>
        <v>0.46</v>
      </c>
      <c r="J11" s="2">
        <f>AVERAGE(RGS_Ground_Run!X606:X705)</f>
        <v>0.11</v>
      </c>
      <c r="K11" s="2">
        <f>MAX(RGS_Ground_Run!P606:P705)</f>
        <v>2992.0170582231913</v>
      </c>
      <c r="L11" s="2">
        <f>IF(Settings!$B$40="Median",N11,IF(Settings!$B$40="P90",O11,M11))</f>
        <v>313.9422608571777</v>
      </c>
      <c r="M11" s="2">
        <f>AVERAGE(Edge_Run!O606:O705)</f>
        <v>313.9422608571777</v>
      </c>
      <c r="N11" s="2">
        <f>MEDIAN(Edge_Run!O606:O705)</f>
        <v>383.64999999999986</v>
      </c>
      <c r="O11" s="2">
        <f>PERCENTILE(Edge_Run!O606:O705,0.9)</f>
        <v>544.95993497497</v>
      </c>
      <c r="P11" s="2">
        <f>AVERAGE(Edge_Run!S606:S705)</f>
        <v>296.09178008135899</v>
      </c>
      <c r="Q11" s="2">
        <f>IF(COUNTIF(Edge_Run!R606:R705,"&gt;0")=0,0,SUMIF(Edge_Run!R606:R705,"&gt;0",Edge_Run!R606:R705)/COUNTIF(Edge_Run!R606:R705,"&gt;0"))</f>
        <v>120.41110663702932</v>
      </c>
      <c r="R11" s="2">
        <f>COUNTIF(Edge_Run!R606:R705,"&gt;0")</f>
        <v>1</v>
      </c>
      <c r="S11" s="2">
        <f>AVERAGE(Edge_Run!U606:U705)</f>
        <v>1</v>
      </c>
      <c r="T11" s="2">
        <f>AVERAGE(Edge_Run!V606:V705)</f>
        <v>0.2</v>
      </c>
      <c r="U11" s="2">
        <f>MAX(Edge_Run!N606:N705)</f>
        <v>1284.1239808415048</v>
      </c>
      <c r="V11" s="2">
        <f t="shared" si="0"/>
        <v>754.13323273476203</v>
      </c>
      <c r="W11" s="2">
        <f t="shared" si="1"/>
        <v>9.0000000000000011E-2</v>
      </c>
      <c r="X11" s="2">
        <f>(INT((Settings!$B$10-Settings!$B$32+(Settings!$B$33*1000))/Settings!$B$33)*Settings!$B$30+MIN(MOD(Settings!$B$10-Settings!$B$32+(Settings!$B$33*1000),Settings!$B$33),Settings!$B$30))-(INT((-Settings!$B$32+(Settings!$B$33*1000))/Settings!$B$33)*Settings!$B$30+MIN(MOD(-Settings!$B$32+(Settings!$B$33*1000),Settings!$B$33),Settings!$B$30))</f>
        <v>600</v>
      </c>
      <c r="Y11" s="2">
        <f>Settings!$B$10-X11</f>
        <v>90</v>
      </c>
      <c r="Z11" s="2">
        <f>X11/Settings!$B$10</f>
        <v>0.86956521739130432</v>
      </c>
    </row>
    <row r="12" spans="1:26" ht="21.95" customHeight="1" x14ac:dyDescent="0.2">
      <c r="A12" s="2">
        <f>7</f>
        <v>7</v>
      </c>
      <c r="B12" s="2">
        <f>IF(Settings!$B$40="Median",D12,IF(Settings!$B$40="P90",E12,C12))</f>
        <v>1067.3533305521935</v>
      </c>
      <c r="C12" s="2">
        <f>AVERAGE(RGS_Ground_Run!Q726:Q825)</f>
        <v>1067.3533305521935</v>
      </c>
      <c r="D12" s="2">
        <f>MEDIAN(RGS_Ground_Run!Q726:Q825)</f>
        <v>1124.9097655710443</v>
      </c>
      <c r="E12" s="2">
        <f>PERCENTILE(RGS_Ground_Run!Q726:Q825,0.9)</f>
        <v>2002.5442731519181</v>
      </c>
      <c r="F12" s="2">
        <f>AVERAGE(RGS_Ground_Run!U726:U825)</f>
        <v>1040.1119999999996</v>
      </c>
      <c r="G12" s="2">
        <f>IF(COUNTIF(RGS_Ground_Run!S726:S825,"&gt;0")=0,0,SUMIF(RGS_Ground_Run!S726:S825,"&gt;0",RGS_Ground_Run!S726:S825)/COUNTIF(RGS_Ground_Run!S726:S825,"&gt;0"))</f>
        <v>143.02000000000038</v>
      </c>
      <c r="H12" s="2">
        <f>COUNTIF(RGS_Ground_Run!S726:S825,"&gt;0")</f>
        <v>4</v>
      </c>
      <c r="I12" s="2">
        <f>AVERAGE(RGS_Ground_Run!W726:W825)</f>
        <v>0.46</v>
      </c>
      <c r="J12" s="2">
        <f>AVERAGE(RGS_Ground_Run!X726:X825)</f>
        <v>0.11</v>
      </c>
      <c r="K12" s="2">
        <f>MAX(RGS_Ground_Run!P726:P825)</f>
        <v>2979.6150841197341</v>
      </c>
      <c r="L12" s="2">
        <f>IF(Settings!$B$40="Median",N12,IF(Settings!$B$40="P90",O12,M12))</f>
        <v>231.14909302216711</v>
      </c>
      <c r="M12" s="2">
        <f>AVERAGE(Edge_Run!O726:O825)</f>
        <v>231.14909302216711</v>
      </c>
      <c r="N12" s="2">
        <f>MEDIAN(Edge_Run!O726:O825)</f>
        <v>271.91365628375615</v>
      </c>
      <c r="O12" s="2">
        <f>PERCENTILE(Edge_Run!O726:O825,0.9)</f>
        <v>379.21235252875056</v>
      </c>
      <c r="P12" s="2">
        <f>AVERAGE(Edge_Run!S726:S825)</f>
        <v>215.4651013655855</v>
      </c>
      <c r="Q12" s="2">
        <f>IF(COUNTIF(Edge_Run!R726:R825,"&gt;0")=0,0,SUMIF(Edge_Run!R726:R825,"&gt;0",Edge_Run!R726:R825)/COUNTIF(Edge_Run!R726:R825,"&gt;0"))</f>
        <v>125.74059164769255</v>
      </c>
      <c r="R12" s="2">
        <f>COUNTIF(Edge_Run!R726:R825,"&gt;0")</f>
        <v>1</v>
      </c>
      <c r="S12" s="2">
        <f>AVERAGE(Edge_Run!U726:U825)</f>
        <v>1</v>
      </c>
      <c r="T12" s="2">
        <f>AVERAGE(Edge_Run!V726:V825)</f>
        <v>0.36</v>
      </c>
      <c r="U12" s="2">
        <f>MAX(Edge_Run!N726:N825)</f>
        <v>1070.1891038420774</v>
      </c>
      <c r="V12" s="2">
        <f t="shared" si="0"/>
        <v>836.20423753002638</v>
      </c>
      <c r="W12" s="2">
        <f t="shared" si="1"/>
        <v>0.25</v>
      </c>
      <c r="X12" s="2">
        <f>(INT((Settings!$B$10-Settings!$B$32+(Settings!$B$33*1000))/Settings!$B$33)*Settings!$B$30+MIN(MOD(Settings!$B$10-Settings!$B$32+(Settings!$B$33*1000),Settings!$B$33),Settings!$B$30))-(INT((-Settings!$B$32+(Settings!$B$33*1000))/Settings!$B$33)*Settings!$B$30+MIN(MOD(-Settings!$B$32+(Settings!$B$33*1000),Settings!$B$33),Settings!$B$30))</f>
        <v>600</v>
      </c>
      <c r="Y12" s="2">
        <f>Settings!$B$10-X12</f>
        <v>90</v>
      </c>
      <c r="Z12" s="2">
        <f>X12/Settings!$B$10</f>
        <v>0.86956521739130432</v>
      </c>
    </row>
    <row r="13" spans="1:26" ht="21.95" customHeight="1" x14ac:dyDescent="0.2">
      <c r="A13" s="2">
        <f>8</f>
        <v>8</v>
      </c>
      <c r="B13" s="2">
        <f>IF(Settings!$B$40="Median",D13,IF(Settings!$B$40="P90",E13,C13))</f>
        <v>1067.467064774559</v>
      </c>
      <c r="C13" s="2">
        <f>AVERAGE(RGS_Ground_Run!Q846:Q945)</f>
        <v>1067.467064774559</v>
      </c>
      <c r="D13" s="2">
        <f>MEDIAN(RGS_Ground_Run!Q846:Q945)</f>
        <v>1120.2417646592312</v>
      </c>
      <c r="E13" s="2">
        <f>PERCENTILE(RGS_Ground_Run!Q846:Q945,0.9)</f>
        <v>1996.5260033008065</v>
      </c>
      <c r="F13" s="2">
        <f>AVERAGE(RGS_Ground_Run!U846:U945)</f>
        <v>1040.1119999999996</v>
      </c>
      <c r="G13" s="2">
        <f>IF(COUNTIF(RGS_Ground_Run!S846:S945,"&gt;0")=0,0,SUMIF(RGS_Ground_Run!S846:S945,"&gt;0",RGS_Ground_Run!S846:S945)/COUNTIF(RGS_Ground_Run!S846:S945,"&gt;0"))</f>
        <v>143.02000000000038</v>
      </c>
      <c r="H13" s="2">
        <f>COUNTIF(RGS_Ground_Run!S846:S945,"&gt;0")</f>
        <v>4</v>
      </c>
      <c r="I13" s="2">
        <f>AVERAGE(RGS_Ground_Run!W846:W945)</f>
        <v>0.46</v>
      </c>
      <c r="J13" s="2">
        <f>AVERAGE(RGS_Ground_Run!X846:X945)</f>
        <v>0.11</v>
      </c>
      <c r="K13" s="2">
        <f>MAX(RGS_Ground_Run!P846:P945)</f>
        <v>2976.9335785380431</v>
      </c>
      <c r="L13" s="2">
        <f>IF(Settings!$B$40="Median",N13,IF(Settings!$B$40="P90",O13,M13))</f>
        <v>201.60895713134741</v>
      </c>
      <c r="M13" s="2">
        <f>AVERAGE(Edge_Run!O846:O945)</f>
        <v>201.60895713134741</v>
      </c>
      <c r="N13" s="2">
        <f>MEDIAN(Edge_Run!O846:O945)</f>
        <v>164.9545889472505</v>
      </c>
      <c r="O13" s="2">
        <f>PERCENTILE(Edge_Run!O846:O945,0.9)</f>
        <v>420.80108315136931</v>
      </c>
      <c r="P13" s="2">
        <f>AVERAGE(Edge_Run!S846:S945)</f>
        <v>185.58376280766993</v>
      </c>
      <c r="Q13" s="2">
        <f>IF(COUNTIF(Edge_Run!R846:R945,"&gt;0")=0,0,SUMIF(Edge_Run!R846:R945,"&gt;0",Edge_Run!R846:R945)/COUNTIF(Edge_Run!R846:R945,"&gt;0"))</f>
        <v>121.93809749085608</v>
      </c>
      <c r="R13" s="2">
        <f>COUNTIF(Edge_Run!R846:R945,"&gt;0")</f>
        <v>1</v>
      </c>
      <c r="S13" s="2">
        <f>AVERAGE(Edge_Run!U846:U945)</f>
        <v>1</v>
      </c>
      <c r="T13" s="2">
        <f>AVERAGE(Edge_Run!V846:V945)</f>
        <v>0.37</v>
      </c>
      <c r="U13" s="2">
        <f>MAX(Edge_Run!N846:N945)</f>
        <v>1109.5117127760552</v>
      </c>
      <c r="V13" s="2">
        <f t="shared" si="0"/>
        <v>865.85810764321161</v>
      </c>
      <c r="W13" s="2">
        <f t="shared" si="1"/>
        <v>0.26</v>
      </c>
      <c r="X13" s="2">
        <f>(INT((Settings!$B$10-Settings!$B$32+(Settings!$B$33*1000))/Settings!$B$33)*Settings!$B$30+MIN(MOD(Settings!$B$10-Settings!$B$32+(Settings!$B$33*1000),Settings!$B$33),Settings!$B$30))-(INT((-Settings!$B$32+(Settings!$B$33*1000))/Settings!$B$33)*Settings!$B$30+MIN(MOD(-Settings!$B$32+(Settings!$B$33*1000),Settings!$B$33),Settings!$B$30))</f>
        <v>600</v>
      </c>
      <c r="Y13" s="2">
        <f>Settings!$B$10-X13</f>
        <v>90</v>
      </c>
      <c r="Z13" s="2">
        <f>X13/Settings!$B$10</f>
        <v>0.86956521739130432</v>
      </c>
    </row>
    <row r="14" spans="1:26" ht="21.95" customHeight="1" x14ac:dyDescent="0.2">
      <c r="A14" s="2">
        <f>9</f>
        <v>9</v>
      </c>
      <c r="B14" s="2">
        <f>IF(Settings!$B$40="Median",D14,IF(Settings!$B$40="P90",E14,C14))</f>
        <v>1068.4790391807105</v>
      </c>
      <c r="C14" s="2">
        <f>AVERAGE(RGS_Ground_Run!Q966:Q1065)</f>
        <v>1068.4790391807105</v>
      </c>
      <c r="D14" s="2">
        <f>MEDIAN(RGS_Ground_Run!Q966:Q1065)</f>
        <v>1131.6526854205113</v>
      </c>
      <c r="E14" s="2">
        <f>PERCENTILE(RGS_Ground_Run!Q966:Q1065,0.9)</f>
        <v>2000.6373107029272</v>
      </c>
      <c r="F14" s="2">
        <f>AVERAGE(RGS_Ground_Run!U966:U1065)</f>
        <v>1040.1119999999996</v>
      </c>
      <c r="G14" s="2">
        <f>IF(COUNTIF(RGS_Ground_Run!S966:S1065,"&gt;0")=0,0,SUMIF(RGS_Ground_Run!S966:S1065,"&gt;0",RGS_Ground_Run!S966:S1065)/COUNTIF(RGS_Ground_Run!S966:S1065,"&gt;0"))</f>
        <v>143.02000000000038</v>
      </c>
      <c r="H14" s="2">
        <f>COUNTIF(RGS_Ground_Run!S966:S1065,"&gt;0")</f>
        <v>4</v>
      </c>
      <c r="I14" s="2">
        <f>AVERAGE(RGS_Ground_Run!W966:W1065)</f>
        <v>0.46</v>
      </c>
      <c r="J14" s="2">
        <f>AVERAGE(RGS_Ground_Run!X966:X1065)</f>
        <v>0.11</v>
      </c>
      <c r="K14" s="2">
        <f>MAX(RGS_Ground_Run!P966:P1065)</f>
        <v>2982.4689930515174</v>
      </c>
      <c r="L14" s="2">
        <f>IF(Settings!$B$40="Median",N14,IF(Settings!$B$40="P90",O14,M14))</f>
        <v>356.57528637722652</v>
      </c>
      <c r="M14" s="2">
        <f>AVERAGE(Edge_Run!O966:O1065)</f>
        <v>356.57528637722652</v>
      </c>
      <c r="N14" s="2">
        <f>MEDIAN(Edge_Run!O966:O1065)</f>
        <v>389.66999999999985</v>
      </c>
      <c r="O14" s="2">
        <f>PERCENTILE(Edge_Run!O966:O1065,0.9)</f>
        <v>633.84422052555215</v>
      </c>
      <c r="P14" s="2">
        <f>AVERAGE(Edge_Run!S966:S1065)</f>
        <v>337.51416883509393</v>
      </c>
      <c r="Q14" s="2">
        <f>IF(COUNTIF(Edge_Run!R966:R1065,"&gt;0")=0,0,SUMIF(Edge_Run!R966:R1065,"&gt;0",Edge_Run!R966:R1065)/COUNTIF(Edge_Run!R966:R1065,"&gt;0"))</f>
        <v>119.26001884296772</v>
      </c>
      <c r="R14" s="2">
        <f>COUNTIF(Edge_Run!R966:R1065,"&gt;0")</f>
        <v>2</v>
      </c>
      <c r="S14" s="2">
        <f>AVERAGE(Edge_Run!U966:U1065)</f>
        <v>1</v>
      </c>
      <c r="T14" s="2">
        <f>AVERAGE(Edge_Run!V966:V1065)</f>
        <v>0.24</v>
      </c>
      <c r="U14" s="2">
        <f>MAX(Edge_Run!N966:N1065)</f>
        <v>1482.1399999999999</v>
      </c>
      <c r="V14" s="2">
        <f t="shared" si="0"/>
        <v>711.90375280348394</v>
      </c>
      <c r="W14" s="2">
        <f t="shared" si="1"/>
        <v>0.13</v>
      </c>
      <c r="X14" s="2">
        <f>(INT((Settings!$B$10-Settings!$B$32+(Settings!$B$33*1000))/Settings!$B$33)*Settings!$B$30+MIN(MOD(Settings!$B$10-Settings!$B$32+(Settings!$B$33*1000),Settings!$B$33),Settings!$B$30))-(INT((-Settings!$B$32+(Settings!$B$33*1000))/Settings!$B$33)*Settings!$B$30+MIN(MOD(-Settings!$B$32+(Settings!$B$33*1000),Settings!$B$33),Settings!$B$30))</f>
        <v>600</v>
      </c>
      <c r="Y14" s="2">
        <f>Settings!$B$10-X14</f>
        <v>90</v>
      </c>
      <c r="Z14" s="2">
        <f>X14/Settings!$B$10</f>
        <v>0.86956521739130432</v>
      </c>
    </row>
    <row r="15" spans="1:26" ht="21.95" customHeight="1" x14ac:dyDescent="0.2">
      <c r="A15" s="2">
        <f>10</f>
        <v>10</v>
      </c>
      <c r="B15" s="2">
        <f>IF(Settings!$B$40="Median",D15,IF(Settings!$B$40="P90",E15,C15))</f>
        <v>1067.9126934257608</v>
      </c>
      <c r="C15" s="2">
        <f>AVERAGE(RGS_Ground_Run!Q1086:Q1185)</f>
        <v>1067.9126934257608</v>
      </c>
      <c r="D15" s="2">
        <f>MEDIAN(RGS_Ground_Run!Q1086:Q1185)</f>
        <v>1120.9777075150523</v>
      </c>
      <c r="E15" s="2">
        <f>PERCENTILE(RGS_Ground_Run!Q1086:Q1185,0.9)</f>
        <v>1996.2790594166509</v>
      </c>
      <c r="F15" s="2">
        <f>AVERAGE(RGS_Ground_Run!U1086:U1185)</f>
        <v>1040.1119999999996</v>
      </c>
      <c r="G15" s="2">
        <f>IF(COUNTIF(RGS_Ground_Run!S1086:S1185,"&gt;0")=0,0,SUMIF(RGS_Ground_Run!S1086:S1185,"&gt;0",RGS_Ground_Run!S1086:S1185)/COUNTIF(RGS_Ground_Run!S1086:S1185,"&gt;0"))</f>
        <v>143.02000000000038</v>
      </c>
      <c r="H15" s="2">
        <f>COUNTIF(RGS_Ground_Run!S1086:S1185,"&gt;0")</f>
        <v>4</v>
      </c>
      <c r="I15" s="2">
        <f>AVERAGE(RGS_Ground_Run!W1086:W1185)</f>
        <v>0.46</v>
      </c>
      <c r="J15" s="2">
        <f>AVERAGE(RGS_Ground_Run!X1086:X1185)</f>
        <v>0.11</v>
      </c>
      <c r="K15" s="2">
        <f>MAX(RGS_Ground_Run!P1086:P1185)</f>
        <v>2978.1428942322491</v>
      </c>
      <c r="L15" s="2">
        <f>IF(Settings!$B$40="Median",N15,IF(Settings!$B$40="P90",O15,M15))</f>
        <v>288.26820512834291</v>
      </c>
      <c r="M15" s="2">
        <f>AVERAGE(Edge_Run!O1086:O1185)</f>
        <v>288.26820512834291</v>
      </c>
      <c r="N15" s="2">
        <f>MEDIAN(Edge_Run!O1086:O1185)</f>
        <v>359.56999999999994</v>
      </c>
      <c r="O15" s="2">
        <f>PERCENTILE(Edge_Run!O1086:O1185,0.9)</f>
        <v>523.06532562706627</v>
      </c>
      <c r="P15" s="2">
        <f>AVERAGE(Edge_Run!S1086:S1185)</f>
        <v>270.90612485106021</v>
      </c>
      <c r="Q15" s="2">
        <f>IF(COUNTIF(Edge_Run!R1086:R1185,"&gt;0")=0,0,SUMIF(Edge_Run!R1086:R1185,"&gt;0",Edge_Run!R1086:R1185)/COUNTIF(Edge_Run!R1086:R1185,"&gt;0"))</f>
        <v>116.00240572075597</v>
      </c>
      <c r="R15" s="2">
        <f>COUNTIF(Edge_Run!R1086:R1185,"&gt;0")</f>
        <v>1</v>
      </c>
      <c r="S15" s="2">
        <f>AVERAGE(Edge_Run!U1086:U1185)</f>
        <v>1</v>
      </c>
      <c r="T15" s="2">
        <f>AVERAGE(Edge_Run!V1086:V1185)</f>
        <v>0.24</v>
      </c>
      <c r="U15" s="2">
        <f>MAX(Edge_Run!N1086:N1185)</f>
        <v>1240.7369363844634</v>
      </c>
      <c r="V15" s="2">
        <f t="shared" si="0"/>
        <v>779.64448829741787</v>
      </c>
      <c r="W15" s="2">
        <f t="shared" si="1"/>
        <v>0.13</v>
      </c>
      <c r="X15" s="2">
        <f>(INT((Settings!$B$10-Settings!$B$32+(Settings!$B$33*1000))/Settings!$B$33)*Settings!$B$30+MIN(MOD(Settings!$B$10-Settings!$B$32+(Settings!$B$33*1000),Settings!$B$33),Settings!$B$30))-(INT((-Settings!$B$32+(Settings!$B$33*1000))/Settings!$B$33)*Settings!$B$30+MIN(MOD(-Settings!$B$32+(Settings!$B$33*1000),Settings!$B$33),Settings!$B$30))</f>
        <v>600</v>
      </c>
      <c r="Y15" s="2">
        <f>Settings!$B$10-X15</f>
        <v>90</v>
      </c>
      <c r="Z15" s="2">
        <f>X15/Settings!$B$10</f>
        <v>0.86956521739130432</v>
      </c>
    </row>
    <row r="16" spans="1:26" ht="21.9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21.95" customHeight="1" x14ac:dyDescent="0.2">
      <c r="A17" s="2" t="s">
        <v>329</v>
      </c>
      <c r="B17" s="2"/>
      <c r="C17" s="2"/>
      <c r="D17" s="2"/>
      <c r="E17" s="2"/>
      <c r="F17" s="2"/>
      <c r="G17" s="2"/>
      <c r="H17" s="2"/>
      <c r="I17" s="2"/>
      <c r="J17" s="2"/>
      <c r="K17" s="2"/>
      <c r="L17" s="2"/>
      <c r="M17" s="2"/>
      <c r="N17" s="2"/>
      <c r="O17" s="2"/>
      <c r="P17" s="2"/>
      <c r="Q17" s="2"/>
      <c r="R17" s="2"/>
      <c r="S17" s="2"/>
      <c r="T17" s="2"/>
      <c r="U17" s="2"/>
      <c r="V17" s="2"/>
      <c r="W17" s="2"/>
      <c r="X17" s="2"/>
      <c r="Y17" s="2"/>
      <c r="Z17" s="2"/>
    </row>
    <row r="18" spans="1:26" ht="21.95" customHeight="1" x14ac:dyDescent="0.2">
      <c r="A18" s="2" t="s">
        <v>330</v>
      </c>
      <c r="B18" s="2"/>
      <c r="C18" s="2"/>
      <c r="D18" s="2"/>
      <c r="E18" s="2"/>
      <c r="F18" s="2"/>
      <c r="G18" s="2"/>
      <c r="H18" s="2"/>
      <c r="I18" s="2"/>
      <c r="J18" s="2"/>
      <c r="K18" s="2"/>
      <c r="L18" s="2"/>
      <c r="M18" s="2"/>
      <c r="N18" s="2"/>
      <c r="O18" s="2"/>
      <c r="P18" s="2"/>
      <c r="Q18" s="2"/>
      <c r="R18" s="2"/>
      <c r="S18" s="2"/>
      <c r="T18" s="2"/>
      <c r="U18" s="2"/>
      <c r="V18" s="2"/>
      <c r="W18" s="2"/>
      <c r="X18" s="2"/>
      <c r="Y18" s="2"/>
      <c r="Z18"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249977111117893"/>
  </sheetPr>
  <dimension ref="A1:H13"/>
  <sheetViews>
    <sheetView workbookViewId="0">
      <selection activeCell="A12" sqref="A12:XFD12"/>
    </sheetView>
  </sheetViews>
  <sheetFormatPr defaultRowHeight="15" x14ac:dyDescent="0.2"/>
  <cols>
    <col min="1" max="8" width="18.0234375" customWidth="1"/>
  </cols>
  <sheetData>
    <row r="1" spans="1:8" ht="33.950000000000003" customHeight="1" x14ac:dyDescent="0.25">
      <c r="A1" s="3" t="s">
        <v>331</v>
      </c>
      <c r="B1" s="3"/>
      <c r="C1" s="3"/>
      <c r="D1" s="3"/>
      <c r="E1" s="3"/>
      <c r="F1" s="3"/>
      <c r="G1" s="3"/>
      <c r="H1" s="3"/>
    </row>
    <row r="2" spans="1:8" ht="21.95" customHeight="1" x14ac:dyDescent="0.2">
      <c r="A2" s="2"/>
      <c r="B2" s="2"/>
      <c r="C2" s="2"/>
      <c r="D2" s="2"/>
      <c r="E2" s="2"/>
      <c r="F2" s="2"/>
      <c r="G2" s="2"/>
      <c r="H2" s="2"/>
    </row>
    <row r="3" spans="1:8" ht="21.95" customHeight="1" x14ac:dyDescent="0.2">
      <c r="A3" s="2"/>
      <c r="B3" s="2"/>
      <c r="C3" s="2"/>
      <c r="D3" s="2"/>
      <c r="E3" s="2"/>
      <c r="F3" s="2"/>
      <c r="G3" s="2"/>
      <c r="H3" s="2"/>
    </row>
    <row r="4" spans="1:8" ht="21.95" customHeight="1" x14ac:dyDescent="0.2">
      <c r="A4" s="2"/>
      <c r="B4" s="2"/>
      <c r="C4" s="2"/>
      <c r="D4" s="2"/>
      <c r="E4" s="2"/>
      <c r="F4" s="2"/>
      <c r="G4" s="2"/>
      <c r="H4" s="2"/>
    </row>
    <row r="5" spans="1:8" ht="21.95" customHeight="1" x14ac:dyDescent="0.2">
      <c r="A5" s="2" t="s">
        <v>233</v>
      </c>
      <c r="B5" s="2" t="s">
        <v>246</v>
      </c>
      <c r="C5" s="2" t="s">
        <v>332</v>
      </c>
      <c r="D5" s="2" t="s">
        <v>333</v>
      </c>
      <c r="E5" s="2" t="s">
        <v>334</v>
      </c>
      <c r="F5" s="2" t="s">
        <v>335</v>
      </c>
      <c r="G5" s="2" t="s">
        <v>336</v>
      </c>
      <c r="H5" s="2" t="s">
        <v>337</v>
      </c>
    </row>
    <row r="6" spans="1:8" ht="21.95" customHeight="1" x14ac:dyDescent="0.2">
      <c r="A6" s="2">
        <v>1</v>
      </c>
      <c r="B6" s="2">
        <v>0</v>
      </c>
      <c r="C6" s="2">
        <v>3</v>
      </c>
      <c r="D6" s="2">
        <f>B6</f>
        <v>0</v>
      </c>
      <c r="E6" s="2">
        <f>D6+C6</f>
        <v>3</v>
      </c>
      <c r="F6" s="2">
        <f>D6-B6</f>
        <v>0</v>
      </c>
      <c r="G6" s="2">
        <v>0</v>
      </c>
      <c r="H6" s="2" t="str">
        <f>IF(ABS(F6-G6)&lt;0.000001,"OK","CHECK")</f>
        <v>OK</v>
      </c>
    </row>
    <row r="7" spans="1:8" ht="21.95" customHeight="1" x14ac:dyDescent="0.2">
      <c r="A7" s="2">
        <v>2</v>
      </c>
      <c r="B7" s="2">
        <v>1</v>
      </c>
      <c r="C7" s="2">
        <v>2</v>
      </c>
      <c r="D7" s="2">
        <f>MAX(B7,E6)</f>
        <v>3</v>
      </c>
      <c r="E7" s="2">
        <f>D7+C7</f>
        <v>5</v>
      </c>
      <c r="F7" s="2">
        <f>D7-B7</f>
        <v>2</v>
      </c>
      <c r="G7" s="2">
        <v>2</v>
      </c>
      <c r="H7" s="2" t="str">
        <f>IF(ABS(F7-G7)&lt;0.000001,"OK","CHECK")</f>
        <v>OK</v>
      </c>
    </row>
    <row r="8" spans="1:8" ht="21.95" customHeight="1" x14ac:dyDescent="0.2">
      <c r="A8" s="2">
        <v>3</v>
      </c>
      <c r="B8" s="2">
        <v>2</v>
      </c>
      <c r="C8" s="2">
        <v>4</v>
      </c>
      <c r="D8" s="2">
        <f>MAX(B8,E7)</f>
        <v>5</v>
      </c>
      <c r="E8" s="2">
        <f>D8+C8</f>
        <v>9</v>
      </c>
      <c r="F8" s="2">
        <f>D8-B8</f>
        <v>3</v>
      </c>
      <c r="G8" s="2">
        <v>3</v>
      </c>
      <c r="H8" s="2" t="str">
        <f>IF(ABS(F8-G8)&lt;0.000001,"OK","CHECK")</f>
        <v>OK</v>
      </c>
    </row>
    <row r="9" spans="1:8" ht="21.95" customHeight="1" x14ac:dyDescent="0.2">
      <c r="A9" s="2">
        <v>4</v>
      </c>
      <c r="B9" s="2">
        <v>3</v>
      </c>
      <c r="C9" s="2">
        <v>1</v>
      </c>
      <c r="D9" s="2">
        <f>MAX(B9,E8)</f>
        <v>9</v>
      </c>
      <c r="E9" s="2">
        <f>D9+C9</f>
        <v>10</v>
      </c>
      <c r="F9" s="2">
        <f>D9-B9</f>
        <v>6</v>
      </c>
      <c r="G9" s="2">
        <v>6</v>
      </c>
      <c r="H9" s="2" t="str">
        <f>IF(ABS(F9-G9)&lt;0.000001,"OK","CHECK")</f>
        <v>OK</v>
      </c>
    </row>
    <row r="10" spans="1:8" ht="21.95" customHeight="1" x14ac:dyDescent="0.2">
      <c r="A10" s="2">
        <v>5</v>
      </c>
      <c r="B10" s="2">
        <v>10</v>
      </c>
      <c r="C10" s="2">
        <v>2</v>
      </c>
      <c r="D10" s="2">
        <f>MAX(B10,E9)</f>
        <v>10</v>
      </c>
      <c r="E10" s="2">
        <f>D10+C10</f>
        <v>12</v>
      </c>
      <c r="F10" s="2">
        <f>D10-B10</f>
        <v>0</v>
      </c>
      <c r="G10" s="2">
        <v>0</v>
      </c>
      <c r="H10" s="2" t="str">
        <f>IF(ABS(F10-G10)&lt;0.000001,"OK","CHECK")</f>
        <v>OK</v>
      </c>
    </row>
    <row r="11" spans="1:8" x14ac:dyDescent="0.2">
      <c r="A11" s="2"/>
      <c r="B11" s="2"/>
      <c r="C11" s="2"/>
      <c r="D11" s="2"/>
      <c r="E11" s="2"/>
      <c r="F11" s="2"/>
      <c r="G11" s="2"/>
      <c r="H11" s="2"/>
    </row>
    <row r="12" spans="1:8" ht="87.75" customHeight="1" x14ac:dyDescent="0.2">
      <c r="A12" s="2" t="s">
        <v>338</v>
      </c>
      <c r="B12" s="2"/>
      <c r="C12" s="2"/>
      <c r="D12" s="2"/>
      <c r="E12" s="2"/>
      <c r="F12" s="2"/>
      <c r="G12" s="2"/>
      <c r="H12" s="2"/>
    </row>
    <row r="13" spans="1:8" ht="44.25" customHeight="1" x14ac:dyDescent="0.2">
      <c r="A13" s="2" t="s">
        <v>339</v>
      </c>
      <c r="B13" s="2"/>
      <c r="C13" s="2"/>
      <c r="D13" s="2"/>
      <c r="E13" s="2"/>
      <c r="F13" s="2"/>
      <c r="G13" s="2"/>
      <c r="H13"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2" tint="-0.749992370372631"/>
  </sheetPr>
  <dimension ref="A1:D13"/>
  <sheetViews>
    <sheetView workbookViewId="0">
      <selection activeCell="A2" sqref="A2"/>
    </sheetView>
  </sheetViews>
  <sheetFormatPr defaultRowHeight="15" x14ac:dyDescent="0.2"/>
  <cols>
    <col min="1" max="4" width="45.0625" customWidth="1"/>
  </cols>
  <sheetData>
    <row r="1" spans="1:4" ht="51.95" customHeight="1" x14ac:dyDescent="0.25">
      <c r="A1" s="3" t="s">
        <v>340</v>
      </c>
      <c r="B1" s="3"/>
      <c r="C1" s="3"/>
      <c r="D1" s="3"/>
    </row>
    <row r="2" spans="1:4" ht="51.95" customHeight="1" x14ac:dyDescent="0.2">
      <c r="A2" s="2" t="s">
        <v>1726</v>
      </c>
      <c r="B2" s="2"/>
      <c r="C2" s="2"/>
      <c r="D2" s="2"/>
    </row>
    <row r="3" spans="1:4" ht="51.95" customHeight="1" x14ac:dyDescent="0.2">
      <c r="A3" s="2"/>
      <c r="B3" s="2"/>
      <c r="C3" s="2"/>
      <c r="D3" s="2"/>
    </row>
    <row r="4" spans="1:4" ht="51.95" customHeight="1" x14ac:dyDescent="0.2">
      <c r="A4" s="2"/>
      <c r="B4" s="2"/>
      <c r="C4" s="2"/>
      <c r="D4" s="2"/>
    </row>
    <row r="5" spans="1:4" ht="51.95" customHeight="1" x14ac:dyDescent="0.2">
      <c r="A5" s="2" t="s">
        <v>341</v>
      </c>
      <c r="B5" s="2" t="s">
        <v>342</v>
      </c>
      <c r="C5" s="2" t="s">
        <v>343</v>
      </c>
      <c r="D5" s="2" t="s">
        <v>99</v>
      </c>
    </row>
    <row r="6" spans="1:4" ht="51.95" customHeight="1" x14ac:dyDescent="0.2">
      <c r="A6" s="2" t="s">
        <v>344</v>
      </c>
      <c r="B6" s="2" t="s">
        <v>345</v>
      </c>
      <c r="C6" s="2" t="s">
        <v>346</v>
      </c>
      <c r="D6" s="2" t="s">
        <v>347</v>
      </c>
    </row>
    <row r="7" spans="1:4" ht="51.95" customHeight="1" x14ac:dyDescent="0.2">
      <c r="A7" s="2" t="s">
        <v>348</v>
      </c>
      <c r="B7" s="2" t="s">
        <v>349</v>
      </c>
      <c r="C7" s="2" t="s">
        <v>350</v>
      </c>
      <c r="D7" s="2" t="s">
        <v>351</v>
      </c>
    </row>
    <row r="8" spans="1:4" ht="51.95" customHeight="1" x14ac:dyDescent="0.2">
      <c r="A8" s="2" t="s">
        <v>352</v>
      </c>
      <c r="B8" s="2" t="s">
        <v>353</v>
      </c>
      <c r="C8" s="2" t="s">
        <v>354</v>
      </c>
      <c r="D8" s="2" t="s">
        <v>355</v>
      </c>
    </row>
    <row r="9" spans="1:4" ht="51.95" customHeight="1" x14ac:dyDescent="0.2">
      <c r="A9" s="2" t="s">
        <v>356</v>
      </c>
      <c r="B9" s="2" t="s">
        <v>357</v>
      </c>
      <c r="C9" s="2" t="s">
        <v>358</v>
      </c>
      <c r="D9" s="2" t="s">
        <v>359</v>
      </c>
    </row>
    <row r="10" spans="1:4" ht="51.95" customHeight="1" x14ac:dyDescent="0.2">
      <c r="A10" s="2" t="s">
        <v>360</v>
      </c>
      <c r="B10" s="2" t="s">
        <v>361</v>
      </c>
      <c r="C10" s="2" t="s">
        <v>362</v>
      </c>
      <c r="D10" s="2" t="s">
        <v>363</v>
      </c>
    </row>
    <row r="11" spans="1:4" ht="51.95" customHeight="1" x14ac:dyDescent="0.2">
      <c r="A11" s="2" t="s">
        <v>364</v>
      </c>
      <c r="B11" s="2" t="s">
        <v>365</v>
      </c>
      <c r="C11" s="2" t="s">
        <v>366</v>
      </c>
      <c r="D11" s="2" t="s">
        <v>367</v>
      </c>
    </row>
    <row r="12" spans="1:4" ht="51.95" customHeight="1" x14ac:dyDescent="0.2">
      <c r="A12" s="2" t="s">
        <v>368</v>
      </c>
      <c r="B12" s="2" t="s">
        <v>30</v>
      </c>
      <c r="C12" s="2" t="s">
        <v>369</v>
      </c>
      <c r="D12" s="2" t="s">
        <v>370</v>
      </c>
    </row>
    <row r="13" spans="1:4" ht="51.95" customHeight="1" x14ac:dyDescent="0.2">
      <c r="A13" s="2" t="s">
        <v>371</v>
      </c>
      <c r="B13" s="2" t="s">
        <v>372</v>
      </c>
      <c r="C13" s="2" t="s">
        <v>373</v>
      </c>
      <c r="D13" s="2" t="s">
        <v>374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D5"/>
  <sheetViews>
    <sheetView workbookViewId="0"/>
  </sheetViews>
  <sheetFormatPr defaultRowHeight="15" x14ac:dyDescent="0.2"/>
  <cols>
    <col min="1" max="4" width="43.98828125" customWidth="1"/>
  </cols>
  <sheetData>
    <row r="1" spans="1:4" ht="60" customHeight="1" x14ac:dyDescent="0.2">
      <c r="A1" s="22" t="s">
        <v>375</v>
      </c>
      <c r="B1" s="22" t="s">
        <v>376</v>
      </c>
      <c r="C1" s="22" t="s">
        <v>377</v>
      </c>
      <c r="D1" s="22" t="s">
        <v>378</v>
      </c>
    </row>
    <row r="2" spans="1:4" ht="60" customHeight="1" x14ac:dyDescent="0.2">
      <c r="A2" s="9" t="s">
        <v>379</v>
      </c>
      <c r="B2" s="9" t="s">
        <v>380</v>
      </c>
      <c r="C2" s="9" t="s">
        <v>381</v>
      </c>
      <c r="D2" s="9" t="s">
        <v>382</v>
      </c>
    </row>
    <row r="3" spans="1:4" ht="60" customHeight="1" x14ac:dyDescent="0.2">
      <c r="A3" s="9" t="s">
        <v>383</v>
      </c>
      <c r="B3" s="9" t="s">
        <v>384</v>
      </c>
      <c r="C3" s="9" t="s">
        <v>385</v>
      </c>
      <c r="D3" s="9" t="s">
        <v>382</v>
      </c>
    </row>
    <row r="4" spans="1:4" ht="60" customHeight="1" x14ac:dyDescent="0.2">
      <c r="A4" s="9" t="s">
        <v>386</v>
      </c>
      <c r="B4" s="9" t="s">
        <v>387</v>
      </c>
      <c r="C4" s="9" t="s">
        <v>388</v>
      </c>
      <c r="D4" s="9" t="s">
        <v>382</v>
      </c>
    </row>
    <row r="5" spans="1:4" ht="60" customHeight="1" x14ac:dyDescent="0.2">
      <c r="A5" s="9" t="s">
        <v>389</v>
      </c>
      <c r="B5" s="9" t="s">
        <v>390</v>
      </c>
      <c r="C5" s="9" t="s">
        <v>391</v>
      </c>
      <c r="D5" s="9" t="s">
        <v>392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A1:B70"/>
  <sheetViews>
    <sheetView workbookViewId="0">
      <selection sqref="A1:B1"/>
    </sheetView>
  </sheetViews>
  <sheetFormatPr defaultRowHeight="15" x14ac:dyDescent="0.2"/>
  <cols>
    <col min="1" max="1" width="16.94921875" customWidth="1"/>
    <col min="2" max="2" width="110.0390625" customWidth="1"/>
  </cols>
  <sheetData>
    <row r="1" spans="1:2" ht="33.950000000000003" customHeight="1" x14ac:dyDescent="0.3">
      <c r="A1" s="101" t="s">
        <v>393</v>
      </c>
      <c r="B1" s="80"/>
    </row>
    <row r="2" spans="1:2" ht="23.1" customHeight="1" x14ac:dyDescent="0.2">
      <c r="A2" s="102" t="s">
        <v>394</v>
      </c>
      <c r="B2" s="80"/>
    </row>
    <row r="3" spans="1:2" ht="23.1" customHeight="1" x14ac:dyDescent="0.2">
      <c r="A3" s="80"/>
      <c r="B3" s="80"/>
    </row>
    <row r="4" spans="1:2" x14ac:dyDescent="0.2">
      <c r="A4" s="1"/>
      <c r="B4" s="1"/>
    </row>
    <row r="5" spans="1:2" ht="42" customHeight="1" x14ac:dyDescent="0.2">
      <c r="A5" s="5" t="s">
        <v>395</v>
      </c>
      <c r="B5" s="5" t="s">
        <v>396</v>
      </c>
    </row>
    <row r="6" spans="1:2" ht="51.95" customHeight="1" x14ac:dyDescent="0.2">
      <c r="A6" s="7">
        <v>2</v>
      </c>
      <c r="B6" s="8" t="s">
        <v>397</v>
      </c>
    </row>
    <row r="7" spans="1:2" ht="51.95" customHeight="1" x14ac:dyDescent="0.2">
      <c r="A7" s="7">
        <v>3</v>
      </c>
      <c r="B7" s="8" t="s">
        <v>398</v>
      </c>
    </row>
    <row r="8" spans="1:2" ht="51.95" customHeight="1" x14ac:dyDescent="0.2">
      <c r="A8" s="7">
        <v>5</v>
      </c>
      <c r="B8" s="8" t="s">
        <v>399</v>
      </c>
    </row>
    <row r="9" spans="1:2" ht="51.95" customHeight="1" x14ac:dyDescent="0.2">
      <c r="A9" s="7">
        <v>6</v>
      </c>
      <c r="B9" s="8" t="s">
        <v>400</v>
      </c>
    </row>
    <row r="10" spans="1:2" ht="51.95" customHeight="1" x14ac:dyDescent="0.2">
      <c r="A10" s="7">
        <v>7</v>
      </c>
      <c r="B10" s="8" t="s">
        <v>401</v>
      </c>
    </row>
    <row r="11" spans="1:2" ht="51.95" customHeight="1" x14ac:dyDescent="0.2">
      <c r="A11" s="7">
        <v>8</v>
      </c>
      <c r="B11" s="8" t="s">
        <v>402</v>
      </c>
    </row>
    <row r="12" spans="1:2" ht="51.95" customHeight="1" x14ac:dyDescent="0.2">
      <c r="A12" s="7">
        <v>10</v>
      </c>
      <c r="B12" s="8" t="s">
        <v>403</v>
      </c>
    </row>
    <row r="13" spans="1:2" ht="51.95" customHeight="1" x14ac:dyDescent="0.2">
      <c r="A13" s="7">
        <v>11</v>
      </c>
      <c r="B13" s="8" t="s">
        <v>404</v>
      </c>
    </row>
    <row r="14" spans="1:2" ht="51.95" customHeight="1" x14ac:dyDescent="0.2">
      <c r="A14" s="7">
        <v>12</v>
      </c>
      <c r="B14" s="8" t="s">
        <v>405</v>
      </c>
    </row>
    <row r="15" spans="1:2" ht="51.95" customHeight="1" x14ac:dyDescent="0.2">
      <c r="A15" s="7">
        <v>13</v>
      </c>
      <c r="B15" s="8" t="s">
        <v>406</v>
      </c>
    </row>
    <row r="16" spans="1:2" ht="51.95" customHeight="1" x14ac:dyDescent="0.2">
      <c r="A16" s="7">
        <v>14</v>
      </c>
      <c r="B16" s="8" t="s">
        <v>407</v>
      </c>
    </row>
    <row r="17" spans="1:2" ht="51.95" customHeight="1" x14ac:dyDescent="0.2">
      <c r="A17" s="7">
        <v>15</v>
      </c>
      <c r="B17" s="8" t="s">
        <v>408</v>
      </c>
    </row>
    <row r="18" spans="1:2" ht="51.95" customHeight="1" x14ac:dyDescent="0.2">
      <c r="A18" s="7">
        <v>16</v>
      </c>
      <c r="B18" s="8" t="s">
        <v>409</v>
      </c>
    </row>
    <row r="19" spans="1:2" ht="51.95" customHeight="1" x14ac:dyDescent="0.2">
      <c r="A19" s="7">
        <v>17</v>
      </c>
      <c r="B19" s="8" t="s">
        <v>410</v>
      </c>
    </row>
    <row r="20" spans="1:2" ht="51.95" customHeight="1" x14ac:dyDescent="0.2">
      <c r="A20" s="7">
        <v>18</v>
      </c>
      <c r="B20" s="8" t="s">
        <v>411</v>
      </c>
    </row>
    <row r="21" spans="1:2" ht="51.95" customHeight="1" x14ac:dyDescent="0.2">
      <c r="A21" s="7">
        <v>19</v>
      </c>
      <c r="B21" s="8" t="s">
        <v>412</v>
      </c>
    </row>
    <row r="22" spans="1:2" ht="51.95" customHeight="1" x14ac:dyDescent="0.2">
      <c r="A22" s="7">
        <v>21</v>
      </c>
      <c r="B22" s="8" t="s">
        <v>413</v>
      </c>
    </row>
    <row r="23" spans="1:2" ht="51.95" customHeight="1" x14ac:dyDescent="0.2">
      <c r="A23" s="7">
        <v>22</v>
      </c>
      <c r="B23" s="8" t="s">
        <v>414</v>
      </c>
    </row>
    <row r="24" spans="1:2" ht="51.95" customHeight="1" x14ac:dyDescent="0.2">
      <c r="A24" s="7">
        <v>24</v>
      </c>
      <c r="B24" s="8" t="s">
        <v>415</v>
      </c>
    </row>
    <row r="25" spans="1:2" ht="51.95" customHeight="1" x14ac:dyDescent="0.2">
      <c r="A25" s="7">
        <v>25</v>
      </c>
      <c r="B25" s="8" t="s">
        <v>416</v>
      </c>
    </row>
    <row r="26" spans="1:2" ht="51.95" customHeight="1" x14ac:dyDescent="0.2">
      <c r="A26" s="7">
        <v>27</v>
      </c>
      <c r="B26" s="8" t="s">
        <v>417</v>
      </c>
    </row>
    <row r="27" spans="1:2" ht="51.95" customHeight="1" x14ac:dyDescent="0.2">
      <c r="A27" s="7">
        <v>28</v>
      </c>
      <c r="B27" s="8" t="s">
        <v>418</v>
      </c>
    </row>
    <row r="28" spans="1:2" ht="51.95" customHeight="1" x14ac:dyDescent="0.2">
      <c r="A28" s="7">
        <v>30</v>
      </c>
      <c r="B28" s="8" t="s">
        <v>419</v>
      </c>
    </row>
    <row r="29" spans="1:2" ht="51.95" customHeight="1" x14ac:dyDescent="0.2">
      <c r="A29" s="7">
        <v>31</v>
      </c>
      <c r="B29" s="8" t="s">
        <v>420</v>
      </c>
    </row>
    <row r="30" spans="1:2" ht="51.95" customHeight="1" x14ac:dyDescent="0.2">
      <c r="A30" s="7">
        <v>32</v>
      </c>
      <c r="B30" s="8" t="s">
        <v>421</v>
      </c>
    </row>
    <row r="31" spans="1:2" ht="51.95" customHeight="1" x14ac:dyDescent="0.2">
      <c r="A31" s="7">
        <v>33</v>
      </c>
      <c r="B31" s="8" t="s">
        <v>422</v>
      </c>
    </row>
    <row r="32" spans="1:2" ht="51.95" customHeight="1" x14ac:dyDescent="0.2">
      <c r="A32" s="7">
        <v>34</v>
      </c>
      <c r="B32" s="8" t="s">
        <v>423</v>
      </c>
    </row>
    <row r="33" spans="1:2" ht="51.95" customHeight="1" x14ac:dyDescent="0.2">
      <c r="A33" s="7">
        <v>35</v>
      </c>
      <c r="B33" s="8" t="s">
        <v>424</v>
      </c>
    </row>
    <row r="34" spans="1:2" ht="51.95" customHeight="1" x14ac:dyDescent="0.2">
      <c r="A34" s="7">
        <v>36</v>
      </c>
      <c r="B34" s="8" t="s">
        <v>425</v>
      </c>
    </row>
    <row r="35" spans="1:2" ht="51.95" customHeight="1" x14ac:dyDescent="0.2">
      <c r="A35" s="7">
        <v>38</v>
      </c>
      <c r="B35" s="8" t="s">
        <v>426</v>
      </c>
    </row>
    <row r="36" spans="1:2" ht="51.95" customHeight="1" x14ac:dyDescent="0.2">
      <c r="A36" s="7">
        <v>39</v>
      </c>
      <c r="B36" s="8" t="s">
        <v>427</v>
      </c>
    </row>
    <row r="37" spans="1:2" ht="51.95" customHeight="1" x14ac:dyDescent="0.2">
      <c r="A37" s="7">
        <v>40</v>
      </c>
      <c r="B37" s="8" t="s">
        <v>428</v>
      </c>
    </row>
    <row r="38" spans="1:2" ht="51.95" customHeight="1" x14ac:dyDescent="0.2">
      <c r="A38" s="7">
        <v>41</v>
      </c>
      <c r="B38" s="8" t="s">
        <v>429</v>
      </c>
    </row>
    <row r="39" spans="1:2" ht="51.95" customHeight="1" x14ac:dyDescent="0.2">
      <c r="A39" s="7">
        <v>42</v>
      </c>
      <c r="B39" s="8" t="s">
        <v>430</v>
      </c>
    </row>
    <row r="40" spans="1:2" ht="51.95" customHeight="1" x14ac:dyDescent="0.2">
      <c r="A40" s="7">
        <v>43</v>
      </c>
      <c r="B40" s="8" t="s">
        <v>431</v>
      </c>
    </row>
    <row r="41" spans="1:2" ht="51.95" customHeight="1" x14ac:dyDescent="0.2">
      <c r="A41" s="7">
        <v>45</v>
      </c>
      <c r="B41" s="8" t="s">
        <v>432</v>
      </c>
    </row>
    <row r="42" spans="1:2" ht="51.95" customHeight="1" x14ac:dyDescent="0.2">
      <c r="A42" s="7">
        <v>46</v>
      </c>
      <c r="B42" s="8" t="s">
        <v>433</v>
      </c>
    </row>
    <row r="43" spans="1:2" ht="51.95" customHeight="1" x14ac:dyDescent="0.2">
      <c r="A43" s="7">
        <v>48</v>
      </c>
      <c r="B43" s="8" t="s">
        <v>434</v>
      </c>
    </row>
    <row r="44" spans="1:2" ht="51.95" customHeight="1" x14ac:dyDescent="0.2">
      <c r="A44" s="7">
        <v>49</v>
      </c>
      <c r="B44" s="8" t="s">
        <v>435</v>
      </c>
    </row>
    <row r="45" spans="1:2" ht="51.95" customHeight="1" x14ac:dyDescent="0.2">
      <c r="A45" s="7">
        <v>51</v>
      </c>
      <c r="B45" s="8" t="s">
        <v>436</v>
      </c>
    </row>
    <row r="46" spans="1:2" ht="51.95" customHeight="1" x14ac:dyDescent="0.2">
      <c r="A46" s="7">
        <v>52</v>
      </c>
      <c r="B46" s="8" t="s">
        <v>437</v>
      </c>
    </row>
    <row r="47" spans="1:2" ht="51.95" customHeight="1" x14ac:dyDescent="0.2">
      <c r="B47" s="9"/>
    </row>
    <row r="48" spans="1:2" ht="51.95" customHeight="1" x14ac:dyDescent="0.2">
      <c r="B48" s="9"/>
    </row>
    <row r="49" spans="2:2" ht="51.95" customHeight="1" x14ac:dyDescent="0.2">
      <c r="B49" s="9"/>
    </row>
    <row r="50" spans="2:2" ht="51.95" customHeight="1" x14ac:dyDescent="0.2">
      <c r="B50" s="9"/>
    </row>
    <row r="51" spans="2:2" ht="51.95" customHeight="1" x14ac:dyDescent="0.2">
      <c r="B51" s="9"/>
    </row>
    <row r="52" spans="2:2" ht="51.95" customHeight="1" x14ac:dyDescent="0.2">
      <c r="B52" s="9"/>
    </row>
    <row r="53" spans="2:2" ht="51.95" customHeight="1" x14ac:dyDescent="0.2">
      <c r="B53" s="9"/>
    </row>
    <row r="54" spans="2:2" ht="51.95" customHeight="1" x14ac:dyDescent="0.2">
      <c r="B54" s="9"/>
    </row>
    <row r="55" spans="2:2" ht="51.95" customHeight="1" x14ac:dyDescent="0.2">
      <c r="B55" s="9"/>
    </row>
    <row r="56" spans="2:2" ht="51.95" customHeight="1" x14ac:dyDescent="0.2">
      <c r="B56" s="9"/>
    </row>
    <row r="57" spans="2:2" ht="51.95" customHeight="1" x14ac:dyDescent="0.2">
      <c r="B57" s="9"/>
    </row>
    <row r="58" spans="2:2" ht="51.95" customHeight="1" x14ac:dyDescent="0.2">
      <c r="B58" s="9"/>
    </row>
    <row r="59" spans="2:2" ht="51.95" customHeight="1" x14ac:dyDescent="0.2">
      <c r="B59" s="9"/>
    </row>
    <row r="60" spans="2:2" ht="51.95" customHeight="1" x14ac:dyDescent="0.2">
      <c r="B60" s="9"/>
    </row>
    <row r="61" spans="2:2" ht="51.95" customHeight="1" x14ac:dyDescent="0.2">
      <c r="B61" s="9"/>
    </row>
    <row r="62" spans="2:2" ht="51.95" customHeight="1" x14ac:dyDescent="0.2">
      <c r="B62" s="9"/>
    </row>
    <row r="63" spans="2:2" ht="51.95" customHeight="1" x14ac:dyDescent="0.2">
      <c r="B63" s="9"/>
    </row>
    <row r="64" spans="2:2" ht="51.95" customHeight="1" x14ac:dyDescent="0.2">
      <c r="B64" s="9"/>
    </row>
    <row r="65" spans="2:2" ht="51.95" customHeight="1" x14ac:dyDescent="0.2">
      <c r="B65" s="9"/>
    </row>
    <row r="66" spans="2:2" ht="51.95" customHeight="1" x14ac:dyDescent="0.2">
      <c r="B66" s="9"/>
    </row>
    <row r="67" spans="2:2" ht="51.95" customHeight="1" x14ac:dyDescent="0.2">
      <c r="B67" s="9"/>
    </row>
    <row r="68" spans="2:2" ht="51.95" customHeight="1" x14ac:dyDescent="0.2">
      <c r="B68" s="9"/>
    </row>
    <row r="69" spans="2:2" ht="51.95" customHeight="1" x14ac:dyDescent="0.2">
      <c r="B69" s="9"/>
    </row>
    <row r="70" spans="2:2" ht="51.95" customHeight="1" x14ac:dyDescent="0.2">
      <c r="B70" s="9"/>
    </row>
  </sheetData>
  <mergeCells count="2">
    <mergeCell ref="A1:B1"/>
    <mergeCell ref="A2:B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C29"/>
  <sheetViews>
    <sheetView workbookViewId="0">
      <selection sqref="A1:C1"/>
    </sheetView>
  </sheetViews>
  <sheetFormatPr defaultRowHeight="15" x14ac:dyDescent="0.2"/>
  <cols>
    <col min="1" max="1" width="39.01171875" customWidth="1"/>
    <col min="2" max="2" width="50.984375" customWidth="1"/>
    <col min="3" max="3" width="103.04296875" customWidth="1"/>
  </cols>
  <sheetData>
    <row r="1" spans="1:3" ht="33.950000000000003" customHeight="1" x14ac:dyDescent="0.3">
      <c r="A1" s="101" t="s">
        <v>438</v>
      </c>
      <c r="B1" s="80"/>
      <c r="C1" s="80"/>
    </row>
    <row r="2" spans="1:3" ht="23.1" customHeight="1" x14ac:dyDescent="0.2">
      <c r="A2" s="102" t="s">
        <v>439</v>
      </c>
      <c r="B2" s="80"/>
      <c r="C2" s="80"/>
    </row>
    <row r="3" spans="1:3" ht="23.1" customHeight="1" x14ac:dyDescent="0.2">
      <c r="A3" s="80"/>
      <c r="B3" s="80"/>
      <c r="C3" s="80"/>
    </row>
    <row r="4" spans="1:3" x14ac:dyDescent="0.2">
      <c r="A4" s="1"/>
      <c r="B4" s="1"/>
      <c r="C4" s="1"/>
    </row>
    <row r="5" spans="1:3" ht="42" customHeight="1" x14ac:dyDescent="0.2">
      <c r="A5" s="5" t="s">
        <v>72</v>
      </c>
      <c r="B5" s="5" t="s">
        <v>73</v>
      </c>
      <c r="C5" s="5" t="s">
        <v>440</v>
      </c>
    </row>
    <row r="6" spans="1:3" ht="45.95" customHeight="1" x14ac:dyDescent="0.2">
      <c r="A6" s="8" t="s">
        <v>441</v>
      </c>
      <c r="B6" s="8" t="s">
        <v>442</v>
      </c>
      <c r="C6" s="8" t="s">
        <v>443</v>
      </c>
    </row>
    <row r="7" spans="1:3" ht="45.95" customHeight="1" x14ac:dyDescent="0.2">
      <c r="A7" s="8" t="s">
        <v>444</v>
      </c>
      <c r="B7" s="8">
        <v>1643391769</v>
      </c>
      <c r="C7" s="8" t="s">
        <v>445</v>
      </c>
    </row>
    <row r="8" spans="1:3" ht="45.95" customHeight="1" x14ac:dyDescent="0.2">
      <c r="A8" s="8" t="s">
        <v>446</v>
      </c>
      <c r="B8" s="8">
        <v>1643392459</v>
      </c>
      <c r="C8" s="8" t="s">
        <v>447</v>
      </c>
    </row>
    <row r="9" spans="1:3" ht="45.95" customHeight="1" x14ac:dyDescent="0.2">
      <c r="A9" s="8" t="s">
        <v>448</v>
      </c>
      <c r="B9" s="8">
        <v>10</v>
      </c>
      <c r="C9" s="8" t="s">
        <v>449</v>
      </c>
    </row>
    <row r="10" spans="1:3" ht="45.95" customHeight="1" x14ac:dyDescent="0.2">
      <c r="A10" s="8" t="s">
        <v>450</v>
      </c>
      <c r="B10" s="8">
        <v>100</v>
      </c>
      <c r="C10" s="8" t="s">
        <v>451</v>
      </c>
    </row>
    <row r="11" spans="1:3" ht="45.95" customHeight="1" x14ac:dyDescent="0.2">
      <c r="A11" s="8" t="s">
        <v>452</v>
      </c>
      <c r="B11" s="8">
        <v>111</v>
      </c>
      <c r="C11" s="8" t="s">
        <v>453</v>
      </c>
    </row>
    <row r="12" spans="1:3" ht="45.95" customHeight="1" x14ac:dyDescent="0.2">
      <c r="A12" s="8" t="s">
        <v>30</v>
      </c>
      <c r="B12" s="8">
        <v>10</v>
      </c>
      <c r="C12" s="8" t="s">
        <v>454</v>
      </c>
    </row>
    <row r="13" spans="1:3" ht="45.95" customHeight="1" x14ac:dyDescent="0.2">
      <c r="A13" s="8" t="s">
        <v>455</v>
      </c>
      <c r="B13" s="8" t="s">
        <v>456</v>
      </c>
      <c r="C13" s="8" t="s">
        <v>457</v>
      </c>
    </row>
    <row r="14" spans="1:3" ht="45.95" customHeight="1" x14ac:dyDescent="0.2">
      <c r="A14" s="8" t="s">
        <v>458</v>
      </c>
      <c r="B14" s="8" t="s">
        <v>459</v>
      </c>
      <c r="C14" s="8" t="s">
        <v>460</v>
      </c>
    </row>
    <row r="15" spans="1:3" ht="45.95" customHeight="1" x14ac:dyDescent="0.2">
      <c r="A15" s="8" t="s">
        <v>28</v>
      </c>
      <c r="B15" s="8" t="s">
        <v>461</v>
      </c>
      <c r="C15" s="8" t="s">
        <v>462</v>
      </c>
    </row>
    <row r="16" spans="1:3" ht="45.95" customHeight="1" x14ac:dyDescent="0.2">
      <c r="A16" s="8" t="s">
        <v>463</v>
      </c>
      <c r="B16" s="8" t="s">
        <v>464</v>
      </c>
      <c r="C16" s="8" t="s">
        <v>465</v>
      </c>
    </row>
    <row r="17" spans="1:3" ht="45.95" customHeight="1" x14ac:dyDescent="0.2">
      <c r="A17" s="8" t="s">
        <v>466</v>
      </c>
      <c r="B17" s="8" t="s">
        <v>467</v>
      </c>
      <c r="C17" s="8" t="s">
        <v>468</v>
      </c>
    </row>
    <row r="18" spans="1:3" ht="45.95" customHeight="1" x14ac:dyDescent="0.2">
      <c r="A18" s="8" t="s">
        <v>469</v>
      </c>
      <c r="B18" s="8" t="s">
        <v>470</v>
      </c>
      <c r="C18" s="8" t="s">
        <v>471</v>
      </c>
    </row>
    <row r="19" spans="1:3" ht="45.95" customHeight="1" x14ac:dyDescent="0.2">
      <c r="A19" s="8" t="s">
        <v>472</v>
      </c>
      <c r="B19" s="8" t="s">
        <v>473</v>
      </c>
      <c r="C19" s="8" t="s">
        <v>474</v>
      </c>
    </row>
    <row r="20" spans="1:3" ht="45.95" customHeight="1" x14ac:dyDescent="0.2">
      <c r="A20" s="8" t="s">
        <v>475</v>
      </c>
      <c r="B20" s="8" t="s">
        <v>476</v>
      </c>
      <c r="C20" s="8" t="s">
        <v>477</v>
      </c>
    </row>
    <row r="21" spans="1:3" ht="45.95" customHeight="1" x14ac:dyDescent="0.2">
      <c r="A21" s="8" t="s">
        <v>478</v>
      </c>
      <c r="B21" s="8" t="s">
        <v>479</v>
      </c>
      <c r="C21" s="8" t="s">
        <v>480</v>
      </c>
    </row>
    <row r="22" spans="1:3" ht="45.95" customHeight="1" x14ac:dyDescent="0.2">
      <c r="A22" s="8" t="s">
        <v>481</v>
      </c>
      <c r="B22" s="8" t="s">
        <v>482</v>
      </c>
      <c r="C22" s="8" t="s">
        <v>483</v>
      </c>
    </row>
    <row r="23" spans="1:3" ht="45.95" customHeight="1" x14ac:dyDescent="0.2">
      <c r="A23" s="8" t="s">
        <v>484</v>
      </c>
      <c r="B23" s="8" t="s">
        <v>485</v>
      </c>
      <c r="C23" s="8" t="s">
        <v>486</v>
      </c>
    </row>
    <row r="24" spans="1:3" ht="45.95" customHeight="1" x14ac:dyDescent="0.2">
      <c r="A24" s="8" t="s">
        <v>487</v>
      </c>
      <c r="B24" s="8" t="s">
        <v>488</v>
      </c>
      <c r="C24" s="8" t="s">
        <v>489</v>
      </c>
    </row>
    <row r="25" spans="1:3" ht="45.95" customHeight="1" x14ac:dyDescent="0.2">
      <c r="A25" s="8" t="s">
        <v>490</v>
      </c>
      <c r="B25" s="8" t="s">
        <v>491</v>
      </c>
      <c r="C25" s="8" t="s">
        <v>492</v>
      </c>
    </row>
    <row r="26" spans="1:3" ht="69.95" customHeight="1" x14ac:dyDescent="0.2">
      <c r="A26" s="9" t="s">
        <v>493</v>
      </c>
      <c r="B26" s="9" t="s">
        <v>494</v>
      </c>
      <c r="C26" s="9" t="s">
        <v>495</v>
      </c>
    </row>
    <row r="27" spans="1:3" ht="69.95" customHeight="1" x14ac:dyDescent="0.2">
      <c r="A27" s="9" t="s">
        <v>496</v>
      </c>
      <c r="B27" s="9" t="s">
        <v>497</v>
      </c>
      <c r="C27" s="9" t="s">
        <v>498</v>
      </c>
    </row>
    <row r="28" spans="1:3" ht="69.95" customHeight="1" x14ac:dyDescent="0.2">
      <c r="A28" s="9" t="s">
        <v>499</v>
      </c>
      <c r="B28" s="9" t="s">
        <v>500</v>
      </c>
      <c r="C28" s="9" t="s">
        <v>501</v>
      </c>
    </row>
    <row r="29" spans="1:3" ht="69.95" customHeight="1" x14ac:dyDescent="0.2">
      <c r="A29" s="9" t="s">
        <v>502</v>
      </c>
      <c r="B29" s="9" t="s">
        <v>503</v>
      </c>
      <c r="C29" s="9" t="s">
        <v>504</v>
      </c>
    </row>
  </sheetData>
  <mergeCells count="2">
    <mergeCell ref="A1:C1"/>
    <mergeCell ref="A2: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5" tint="-0.249977111117893"/>
  </sheetPr>
  <dimension ref="A1:AC11"/>
  <sheetViews>
    <sheetView workbookViewId="0">
      <selection sqref="A1:AC1"/>
    </sheetView>
  </sheetViews>
  <sheetFormatPr defaultRowHeight="15" x14ac:dyDescent="0.2"/>
  <cols>
    <col min="1" max="23" width="16.94921875" customWidth="1"/>
    <col min="24" max="25" width="27.98046875" customWidth="1"/>
    <col min="26" max="29" width="16.94921875" customWidth="1"/>
  </cols>
  <sheetData>
    <row r="1" spans="1:29" ht="33.950000000000003" customHeight="1" x14ac:dyDescent="0.3">
      <c r="A1" s="101" t="s">
        <v>505</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row>
    <row r="2" spans="1:29" ht="23.1" customHeight="1" x14ac:dyDescent="0.2">
      <c r="A2" s="102" t="s">
        <v>506</v>
      </c>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row>
    <row r="3" spans="1:29" ht="23.1" customHeight="1" x14ac:dyDescent="0.2">
      <c r="A3" s="80"/>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row>
    <row r="4" spans="1:29" x14ac:dyDescent="0.2">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42" customHeight="1" x14ac:dyDescent="0.2">
      <c r="A5" s="5" t="s">
        <v>507</v>
      </c>
      <c r="B5" s="5" t="s">
        <v>508</v>
      </c>
      <c r="C5" s="5" t="s">
        <v>509</v>
      </c>
      <c r="D5" s="5" t="s">
        <v>510</v>
      </c>
      <c r="E5" s="5" t="s">
        <v>511</v>
      </c>
      <c r="F5" s="5" t="s">
        <v>512</v>
      </c>
      <c r="G5" s="5" t="s">
        <v>513</v>
      </c>
      <c r="H5" s="5" t="s">
        <v>514</v>
      </c>
      <c r="I5" s="5" t="s">
        <v>515</v>
      </c>
      <c r="J5" s="5" t="s">
        <v>516</v>
      </c>
      <c r="K5" s="5" t="s">
        <v>517</v>
      </c>
      <c r="L5" s="5" t="s">
        <v>518</v>
      </c>
      <c r="M5" s="5" t="s">
        <v>519</v>
      </c>
      <c r="N5" s="5" t="s">
        <v>520</v>
      </c>
      <c r="O5" s="5" t="s">
        <v>521</v>
      </c>
      <c r="P5" s="5" t="s">
        <v>522</v>
      </c>
      <c r="Q5" s="5" t="s">
        <v>523</v>
      </c>
      <c r="R5" s="5" t="s">
        <v>524</v>
      </c>
      <c r="S5" s="5" t="s">
        <v>525</v>
      </c>
      <c r="T5" s="5" t="s">
        <v>526</v>
      </c>
      <c r="U5" s="5" t="s">
        <v>527</v>
      </c>
      <c r="V5" s="5" t="s">
        <v>528</v>
      </c>
      <c r="W5" s="5" t="s">
        <v>529</v>
      </c>
      <c r="X5" s="5" t="s">
        <v>530</v>
      </c>
      <c r="Y5" s="5" t="s">
        <v>531</v>
      </c>
      <c r="Z5" s="5" t="s">
        <v>532</v>
      </c>
      <c r="AA5" s="5" t="s">
        <v>533</v>
      </c>
      <c r="AB5" s="5" t="s">
        <v>534</v>
      </c>
      <c r="AC5" s="5" t="s">
        <v>535</v>
      </c>
    </row>
    <row r="6" spans="1:29" ht="21.95" customHeight="1" x14ac:dyDescent="0.2">
      <c r="A6" s="7">
        <v>1352</v>
      </c>
      <c r="B6" s="7">
        <v>1</v>
      </c>
      <c r="C6" s="7">
        <v>1</v>
      </c>
      <c r="D6" s="7" t="s">
        <v>536</v>
      </c>
      <c r="E6" s="7">
        <v>5</v>
      </c>
      <c r="F6" s="7">
        <v>110</v>
      </c>
      <c r="G6" s="7">
        <v>23</v>
      </c>
      <c r="H6" s="7">
        <v>-4.0313083478260872E-6</v>
      </c>
      <c r="I6" s="7">
        <v>2.8395563350221819E-10</v>
      </c>
      <c r="J6" s="7">
        <v>1.685098316129413E-5</v>
      </c>
      <c r="K6" s="7">
        <v>-0.44737886110467651</v>
      </c>
      <c r="L6" s="7">
        <v>-0.3838735558993096</v>
      </c>
      <c r="M6" s="7">
        <v>1</v>
      </c>
      <c r="N6" s="7">
        <v>1</v>
      </c>
      <c r="O6" s="7">
        <v>0</v>
      </c>
      <c r="P6" s="7">
        <v>4</v>
      </c>
      <c r="Q6" s="7">
        <v>3</v>
      </c>
      <c r="R6" s="7">
        <v>4.5974856608151422E-11</v>
      </c>
      <c r="S6" s="7">
        <v>7.9443068394069179E-11</v>
      </c>
      <c r="T6" s="7">
        <v>550</v>
      </c>
      <c r="U6" s="7">
        <v>115</v>
      </c>
      <c r="V6" s="7">
        <v>2.5814148500201649E-12</v>
      </c>
      <c r="W6" s="7">
        <v>1.2345897108792089E-11</v>
      </c>
      <c r="X6" s="24">
        <v>44589.737627314818</v>
      </c>
      <c r="Y6" s="24">
        <v>44589.738900462973</v>
      </c>
      <c r="Z6" s="7">
        <v>23</v>
      </c>
      <c r="AA6" s="7">
        <v>15</v>
      </c>
      <c r="AB6" s="7">
        <v>8</v>
      </c>
      <c r="AC6" s="7" t="s">
        <v>537</v>
      </c>
    </row>
    <row r="7" spans="1:29" ht="21.95" customHeight="1" x14ac:dyDescent="0.2">
      <c r="A7" s="7">
        <v>1353</v>
      </c>
      <c r="B7" s="7">
        <v>0</v>
      </c>
      <c r="C7" s="7">
        <v>0</v>
      </c>
      <c r="D7" s="7" t="s">
        <v>536</v>
      </c>
      <c r="E7" s="7">
        <v>5</v>
      </c>
      <c r="F7" s="7">
        <v>111</v>
      </c>
      <c r="G7" s="7">
        <v>23</v>
      </c>
      <c r="H7" s="7">
        <v>2.043560652173913E-6</v>
      </c>
      <c r="I7" s="7">
        <v>7.1829910979209628E-10</v>
      </c>
      <c r="J7" s="7">
        <v>2.6801102771940121E-5</v>
      </c>
      <c r="K7" s="7">
        <v>-1.525537031920589</v>
      </c>
      <c r="L7" s="7">
        <v>-3.9585219157121029E-2</v>
      </c>
      <c r="M7" s="7">
        <v>1</v>
      </c>
      <c r="N7" s="7">
        <v>1</v>
      </c>
      <c r="O7" s="7">
        <v>2</v>
      </c>
      <c r="P7" s="7">
        <v>2</v>
      </c>
      <c r="Q7" s="7">
        <v>4</v>
      </c>
      <c r="R7" s="7">
        <v>5.7019216699590291E-11</v>
      </c>
      <c r="S7" s="7">
        <v>6.1735957011785718E-12</v>
      </c>
      <c r="T7" s="7">
        <v>561</v>
      </c>
      <c r="U7" s="7">
        <v>115</v>
      </c>
      <c r="V7" s="7">
        <v>6.4711631512801467E-12</v>
      </c>
      <c r="W7" s="7">
        <v>3.1230396077917229E-11</v>
      </c>
      <c r="X7" s="24">
        <v>44589.740057870367</v>
      </c>
      <c r="Y7" s="24">
        <v>44589.741342592592</v>
      </c>
      <c r="Z7" s="7">
        <v>23</v>
      </c>
      <c r="AA7" s="7">
        <v>23</v>
      </c>
      <c r="AB7" s="7">
        <v>23</v>
      </c>
      <c r="AC7" s="7" t="s">
        <v>538</v>
      </c>
    </row>
    <row r="8" spans="1:29" ht="21.95" customHeight="1" x14ac:dyDescent="0.2">
      <c r="A8" s="7">
        <v>1354</v>
      </c>
      <c r="B8" s="7">
        <v>0</v>
      </c>
      <c r="C8" s="7">
        <v>1</v>
      </c>
      <c r="D8" s="7" t="s">
        <v>536</v>
      </c>
      <c r="E8" s="7">
        <v>5</v>
      </c>
      <c r="F8" s="7">
        <v>91</v>
      </c>
      <c r="G8" s="7">
        <v>19</v>
      </c>
      <c r="H8" s="7">
        <v>-1.733333684210526E-6</v>
      </c>
      <c r="I8" s="7">
        <v>3.2172046783788639E-10</v>
      </c>
      <c r="J8" s="7">
        <v>1.7936567894608111E-5</v>
      </c>
      <c r="K8" s="7">
        <v>-1.388080490791135</v>
      </c>
      <c r="L8" s="7">
        <v>-0.2071209280247078</v>
      </c>
      <c r="M8" s="7">
        <v>1</v>
      </c>
      <c r="N8" s="7">
        <v>1</v>
      </c>
      <c r="O8" s="7">
        <v>2</v>
      </c>
      <c r="P8" s="7">
        <v>1</v>
      </c>
      <c r="Q8" s="7">
        <v>3</v>
      </c>
      <c r="R8" s="7">
        <v>3.7603540148444449E-11</v>
      </c>
      <c r="S8" s="7">
        <v>3.3186085831183428E-12</v>
      </c>
      <c r="T8" s="7">
        <v>461</v>
      </c>
      <c r="U8" s="7">
        <v>95</v>
      </c>
      <c r="V8" s="7">
        <v>3.5353897564602901E-12</v>
      </c>
      <c r="W8" s="7">
        <v>1.6932656201994021E-11</v>
      </c>
      <c r="X8" s="24">
        <v>44589.741400462961</v>
      </c>
      <c r="Y8" s="24">
        <v>44589.7424537037</v>
      </c>
      <c r="Z8" s="7">
        <v>19</v>
      </c>
      <c r="AA8" s="7">
        <v>19</v>
      </c>
      <c r="AB8" s="7">
        <v>19</v>
      </c>
      <c r="AC8" s="7" t="s">
        <v>538</v>
      </c>
    </row>
    <row r="9" spans="1:29" ht="21.95" customHeight="1" x14ac:dyDescent="0.2">
      <c r="A9" s="7">
        <v>1355</v>
      </c>
      <c r="B9" s="7">
        <v>0</v>
      </c>
      <c r="C9" s="7">
        <v>1</v>
      </c>
      <c r="D9" s="7" t="s">
        <v>536</v>
      </c>
      <c r="E9" s="7">
        <v>5</v>
      </c>
      <c r="F9" s="7">
        <v>100</v>
      </c>
      <c r="G9" s="7">
        <v>21</v>
      </c>
      <c r="H9" s="7">
        <v>5.4702566666666667E-6</v>
      </c>
      <c r="I9" s="7">
        <v>5.3905639989462214E-10</v>
      </c>
      <c r="J9" s="7">
        <v>2.3217588158433301E-5</v>
      </c>
      <c r="K9" s="7">
        <v>-1.505653389884912</v>
      </c>
      <c r="L9" s="7">
        <v>-0.1155086512222273</v>
      </c>
      <c r="M9" s="7">
        <v>1</v>
      </c>
      <c r="N9" s="7">
        <v>1</v>
      </c>
      <c r="O9" s="7">
        <v>2</v>
      </c>
      <c r="P9" s="7">
        <v>1</v>
      </c>
      <c r="Q9" s="7">
        <v>4</v>
      </c>
      <c r="R9" s="7">
        <v>5.1556346985144998E-11</v>
      </c>
      <c r="S9" s="7">
        <v>4.175102389206094E-12</v>
      </c>
      <c r="T9" s="7">
        <v>500</v>
      </c>
      <c r="U9" s="7">
        <v>105</v>
      </c>
      <c r="V9" s="7">
        <v>5.3905639989462207E-12</v>
      </c>
      <c r="W9" s="7">
        <v>2.566935237593439E-11</v>
      </c>
      <c r="X9" s="24">
        <v>44589.742511574077</v>
      </c>
      <c r="Y9" s="24">
        <v>44589.743668981479</v>
      </c>
      <c r="Z9" s="7">
        <v>21</v>
      </c>
      <c r="AA9" s="7">
        <v>21</v>
      </c>
      <c r="AB9" s="7">
        <v>18</v>
      </c>
      <c r="AC9" s="7" t="s">
        <v>538</v>
      </c>
    </row>
    <row r="10" spans="1:29" ht="21.95" customHeight="1" x14ac:dyDescent="0.2">
      <c r="A10" s="7">
        <v>1356</v>
      </c>
      <c r="B10" s="7">
        <v>0</v>
      </c>
      <c r="C10" s="7">
        <v>1</v>
      </c>
      <c r="D10" s="7" t="s">
        <v>536</v>
      </c>
      <c r="E10" s="7">
        <v>5</v>
      </c>
      <c r="F10" s="7">
        <v>105</v>
      </c>
      <c r="G10" s="7">
        <v>22</v>
      </c>
      <c r="H10" s="7">
        <v>1.0673751818181809E-6</v>
      </c>
      <c r="I10" s="7">
        <v>5.3483262153527657E-10</v>
      </c>
      <c r="J10" s="7">
        <v>2.3126448528368481E-5</v>
      </c>
      <c r="K10" s="7">
        <v>-1.5542387994928759</v>
      </c>
      <c r="L10" s="7">
        <v>-2.776449665395898E-2</v>
      </c>
      <c r="M10" s="7">
        <v>1</v>
      </c>
      <c r="N10" s="7">
        <v>1</v>
      </c>
      <c r="O10" s="7">
        <v>2</v>
      </c>
      <c r="P10" s="7">
        <v>1</v>
      </c>
      <c r="Q10" s="7">
        <v>4</v>
      </c>
      <c r="R10" s="7">
        <v>4.6098651218782213E-11</v>
      </c>
      <c r="S10" s="7">
        <v>4.6494869825137978E-12</v>
      </c>
      <c r="T10" s="7">
        <v>525</v>
      </c>
      <c r="U10" s="7">
        <v>110</v>
      </c>
      <c r="V10" s="7">
        <v>5.0936440146216819E-12</v>
      </c>
      <c r="W10" s="7">
        <v>2.4310573706148931E-11</v>
      </c>
      <c r="X10" s="24">
        <v>44589.743726851862</v>
      </c>
      <c r="Y10" s="24">
        <v>44589.744942129633</v>
      </c>
      <c r="Z10" s="7">
        <v>22</v>
      </c>
      <c r="AA10" s="7">
        <v>22</v>
      </c>
      <c r="AB10" s="7">
        <v>21</v>
      </c>
      <c r="AC10" s="7" t="s">
        <v>538</v>
      </c>
    </row>
    <row r="11" spans="1:29" ht="21.95" customHeight="1" x14ac:dyDescent="0.2">
      <c r="A11" s="7">
        <v>1357</v>
      </c>
      <c r="B11" s="7">
        <v>1</v>
      </c>
      <c r="C11" s="7">
        <v>1</v>
      </c>
      <c r="D11" s="7" t="s">
        <v>536</v>
      </c>
      <c r="E11" s="7">
        <v>5</v>
      </c>
      <c r="F11" s="7">
        <v>95</v>
      </c>
      <c r="G11" s="7">
        <v>12</v>
      </c>
      <c r="H11" s="7">
        <v>-6.1861823333333332E-6</v>
      </c>
      <c r="I11" s="7">
        <v>3.4089968768501661E-10</v>
      </c>
      <c r="J11" s="7">
        <v>1.846346900463227E-5</v>
      </c>
      <c r="K11" s="7">
        <v>-1.2547785297759779</v>
      </c>
      <c r="L11" s="7">
        <v>0.44700300469053561</v>
      </c>
      <c r="M11" s="7">
        <v>1</v>
      </c>
      <c r="N11" s="7">
        <v>1</v>
      </c>
      <c r="O11" s="7">
        <v>1</v>
      </c>
      <c r="P11" s="7">
        <v>1</v>
      </c>
      <c r="Q11" s="7">
        <v>1</v>
      </c>
      <c r="R11" s="7">
        <v>1.856624501033866E-10</v>
      </c>
      <c r="S11" s="7">
        <v>3.1322433998470629E-10</v>
      </c>
      <c r="T11" s="7">
        <v>2275</v>
      </c>
      <c r="U11" s="7">
        <v>60</v>
      </c>
      <c r="V11" s="7">
        <v>3.5884177651054369E-12</v>
      </c>
      <c r="W11" s="7">
        <v>2.8408307307084709E-11</v>
      </c>
      <c r="X11" s="24">
        <v>44589.745000000003</v>
      </c>
      <c r="Y11" s="24">
        <v>44589.746099537027</v>
      </c>
      <c r="Z11" s="7">
        <v>12</v>
      </c>
      <c r="AA11" s="7">
        <v>11</v>
      </c>
      <c r="AB11" s="7">
        <v>11</v>
      </c>
      <c r="AC11" s="7" t="s">
        <v>539</v>
      </c>
    </row>
  </sheetData>
  <mergeCells count="2">
    <mergeCell ref="A1:AC1"/>
    <mergeCell ref="A2:AC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J125"/>
  <sheetViews>
    <sheetView workbookViewId="0">
      <selection sqref="A1:J1"/>
    </sheetView>
  </sheetViews>
  <sheetFormatPr defaultRowHeight="15" x14ac:dyDescent="0.2"/>
  <cols>
    <col min="1" max="2" width="16.94921875" customWidth="1"/>
    <col min="3" max="3" width="27.98046875" customWidth="1"/>
    <col min="4" max="10" width="16.94921875" customWidth="1"/>
  </cols>
  <sheetData>
    <row r="1" spans="1:10" ht="33.950000000000003" customHeight="1" x14ac:dyDescent="0.3">
      <c r="A1" s="101" t="s">
        <v>540</v>
      </c>
      <c r="B1" s="80"/>
      <c r="C1" s="80"/>
      <c r="D1" s="80"/>
      <c r="E1" s="80"/>
      <c r="F1" s="80"/>
      <c r="G1" s="80"/>
      <c r="H1" s="80"/>
      <c r="I1" s="80"/>
      <c r="J1" s="80"/>
    </row>
    <row r="2" spans="1:10" ht="23.1" customHeight="1" x14ac:dyDescent="0.2">
      <c r="A2" s="102" t="s">
        <v>541</v>
      </c>
      <c r="B2" s="80"/>
      <c r="C2" s="80"/>
      <c r="D2" s="80"/>
      <c r="E2" s="80"/>
      <c r="F2" s="80"/>
      <c r="G2" s="80"/>
      <c r="H2" s="80"/>
      <c r="I2" s="80"/>
      <c r="J2" s="80"/>
    </row>
    <row r="3" spans="1:10" ht="23.1" customHeight="1" x14ac:dyDescent="0.2">
      <c r="A3" s="80"/>
      <c r="B3" s="80"/>
      <c r="C3" s="80"/>
      <c r="D3" s="80"/>
      <c r="E3" s="80"/>
      <c r="F3" s="80"/>
      <c r="G3" s="80"/>
      <c r="H3" s="80"/>
      <c r="I3" s="80"/>
      <c r="J3" s="80"/>
    </row>
    <row r="4" spans="1:10" x14ac:dyDescent="0.2">
      <c r="A4" s="1"/>
      <c r="B4" s="1"/>
      <c r="C4" s="1"/>
      <c r="D4" s="1"/>
      <c r="E4" s="1"/>
      <c r="F4" s="1"/>
      <c r="G4" s="1"/>
      <c r="H4" s="1"/>
      <c r="I4" s="1"/>
      <c r="J4" s="1"/>
    </row>
    <row r="5" spans="1:10" ht="42" customHeight="1" x14ac:dyDescent="0.2">
      <c r="A5" s="5" t="s">
        <v>542</v>
      </c>
      <c r="B5" s="5" t="s">
        <v>543</v>
      </c>
      <c r="C5" s="5" t="s">
        <v>544</v>
      </c>
      <c r="D5" s="5" t="s">
        <v>545</v>
      </c>
      <c r="E5" s="5" t="s">
        <v>546</v>
      </c>
      <c r="F5" s="5" t="s">
        <v>547</v>
      </c>
      <c r="G5" s="5" t="s">
        <v>548</v>
      </c>
      <c r="H5" s="5" t="s">
        <v>45</v>
      </c>
      <c r="I5" s="5" t="s">
        <v>549</v>
      </c>
      <c r="J5" s="5" t="s">
        <v>550</v>
      </c>
    </row>
    <row r="6" spans="1:10" ht="21.95" customHeight="1" x14ac:dyDescent="0.2">
      <c r="A6" s="7">
        <v>242240</v>
      </c>
      <c r="B6" s="7" t="s">
        <v>536</v>
      </c>
      <c r="C6" s="24">
        <v>44589.737627314818</v>
      </c>
      <c r="D6" s="10">
        <v>-3.5909199999999998E-5</v>
      </c>
      <c r="E6" s="7" t="s">
        <v>508</v>
      </c>
      <c r="F6" s="7">
        <v>5</v>
      </c>
      <c r="G6" s="7">
        <v>1</v>
      </c>
      <c r="H6" s="7">
        <v>1352</v>
      </c>
      <c r="I6" s="7">
        <v>1</v>
      </c>
      <c r="J6" s="7">
        <v>1643391731</v>
      </c>
    </row>
    <row r="7" spans="1:10" ht="21.95" customHeight="1" x14ac:dyDescent="0.2">
      <c r="A7" s="7">
        <v>242241</v>
      </c>
      <c r="B7" s="7" t="s">
        <v>536</v>
      </c>
      <c r="C7" s="24">
        <v>44589.737685185188</v>
      </c>
      <c r="D7" s="10">
        <v>-3.4996200000000002E-5</v>
      </c>
      <c r="E7" s="7" t="s">
        <v>508</v>
      </c>
      <c r="F7" s="7">
        <v>5</v>
      </c>
      <c r="G7" s="7">
        <v>1</v>
      </c>
      <c r="H7" s="7">
        <v>1352</v>
      </c>
      <c r="I7" s="7">
        <v>1</v>
      </c>
      <c r="J7" s="7">
        <v>1643391736</v>
      </c>
    </row>
    <row r="8" spans="1:10" ht="21.95" customHeight="1" x14ac:dyDescent="0.2">
      <c r="A8" s="7">
        <v>242242</v>
      </c>
      <c r="B8" s="7" t="s">
        <v>536</v>
      </c>
      <c r="C8" s="24">
        <v>44589.737743055557</v>
      </c>
      <c r="D8" s="10">
        <v>-3.29433E-5</v>
      </c>
      <c r="E8" s="7" t="s">
        <v>508</v>
      </c>
      <c r="F8" s="7">
        <v>5</v>
      </c>
      <c r="G8" s="7">
        <v>1</v>
      </c>
      <c r="H8" s="7">
        <v>1352</v>
      </c>
      <c r="I8" s="7">
        <v>1</v>
      </c>
      <c r="J8" s="7">
        <v>1643391741</v>
      </c>
    </row>
    <row r="9" spans="1:10" ht="21.95" customHeight="1" x14ac:dyDescent="0.2">
      <c r="A9" s="7">
        <v>242243</v>
      </c>
      <c r="B9" s="7" t="s">
        <v>536</v>
      </c>
      <c r="C9" s="24">
        <v>44589.737800925926</v>
      </c>
      <c r="D9" s="10">
        <v>-2.7886500000000001E-5</v>
      </c>
      <c r="E9" s="7" t="s">
        <v>508</v>
      </c>
      <c r="F9" s="7">
        <v>5</v>
      </c>
      <c r="G9" s="7">
        <v>1</v>
      </c>
      <c r="H9" s="7">
        <v>1352</v>
      </c>
      <c r="I9" s="7">
        <v>1</v>
      </c>
      <c r="J9" s="7">
        <v>1643391746</v>
      </c>
    </row>
    <row r="10" spans="1:10" ht="21.95" customHeight="1" x14ac:dyDescent="0.2">
      <c r="A10" s="7">
        <v>242244</v>
      </c>
      <c r="B10" s="7" t="s">
        <v>536</v>
      </c>
      <c r="C10" s="24">
        <v>44589.737858796303</v>
      </c>
      <c r="D10" s="10">
        <v>-2.17408E-5</v>
      </c>
      <c r="E10" s="7" t="s">
        <v>508</v>
      </c>
      <c r="F10" s="7">
        <v>5</v>
      </c>
      <c r="G10" s="7">
        <v>1</v>
      </c>
      <c r="H10" s="7">
        <v>1352</v>
      </c>
      <c r="I10" s="7">
        <v>1</v>
      </c>
      <c r="J10" s="7">
        <v>1643391751</v>
      </c>
    </row>
    <row r="11" spans="1:10" ht="21.95" customHeight="1" x14ac:dyDescent="0.2">
      <c r="A11" s="7">
        <v>242245</v>
      </c>
      <c r="B11" s="7" t="s">
        <v>536</v>
      </c>
      <c r="C11" s="24">
        <v>44589.737916666672</v>
      </c>
      <c r="D11" s="10">
        <v>-1.4212299999999999E-5</v>
      </c>
      <c r="E11" s="7" t="s">
        <v>508</v>
      </c>
      <c r="F11" s="7">
        <v>5</v>
      </c>
      <c r="G11" s="7">
        <v>1</v>
      </c>
      <c r="H11" s="7">
        <v>1352</v>
      </c>
      <c r="I11" s="7">
        <v>1</v>
      </c>
      <c r="J11" s="7">
        <v>1643391756</v>
      </c>
    </row>
    <row r="12" spans="1:10" ht="21.95" customHeight="1" x14ac:dyDescent="0.2">
      <c r="A12" s="7">
        <v>242246</v>
      </c>
      <c r="B12" s="7" t="s">
        <v>536</v>
      </c>
      <c r="C12" s="24">
        <v>44589.737974537027</v>
      </c>
      <c r="D12" s="10">
        <v>-6.1210000000000003E-6</v>
      </c>
      <c r="E12" s="7" t="s">
        <v>508</v>
      </c>
      <c r="F12" s="7">
        <v>5</v>
      </c>
      <c r="G12" s="7">
        <v>1</v>
      </c>
      <c r="H12" s="7">
        <v>1352</v>
      </c>
      <c r="I12" s="7">
        <v>1</v>
      </c>
      <c r="J12" s="7">
        <v>1643391761</v>
      </c>
    </row>
    <row r="13" spans="1:10" ht="21.95" customHeight="1" x14ac:dyDescent="0.2">
      <c r="A13" s="7">
        <v>242247</v>
      </c>
      <c r="B13" s="7" t="s">
        <v>536</v>
      </c>
      <c r="C13" s="24">
        <v>44589.738032407397</v>
      </c>
      <c r="D13" s="10">
        <v>6.1761900000000002E-7</v>
      </c>
      <c r="E13" s="7" t="s">
        <v>508</v>
      </c>
      <c r="F13" s="7">
        <v>5</v>
      </c>
      <c r="G13" s="7">
        <v>1</v>
      </c>
      <c r="H13" s="7">
        <v>1352</v>
      </c>
      <c r="I13" s="7">
        <v>1</v>
      </c>
      <c r="J13" s="7">
        <v>1643391766</v>
      </c>
    </row>
    <row r="14" spans="1:10" ht="21.95" customHeight="1" x14ac:dyDescent="0.2">
      <c r="A14" s="7">
        <v>242248</v>
      </c>
      <c r="B14" s="7" t="s">
        <v>536</v>
      </c>
      <c r="C14" s="24">
        <v>44589.73809027778</v>
      </c>
      <c r="D14" s="10">
        <v>0</v>
      </c>
      <c r="E14" s="7" t="s">
        <v>508</v>
      </c>
      <c r="F14" s="7">
        <v>5</v>
      </c>
      <c r="G14" s="7">
        <v>1</v>
      </c>
      <c r="H14" s="7">
        <v>1352</v>
      </c>
      <c r="I14" s="7">
        <v>1</v>
      </c>
      <c r="J14" s="7">
        <v>1643391771</v>
      </c>
    </row>
    <row r="15" spans="1:10" ht="21.95" customHeight="1" x14ac:dyDescent="0.2">
      <c r="A15" s="7">
        <v>242249</v>
      </c>
      <c r="B15" s="7" t="s">
        <v>536</v>
      </c>
      <c r="C15" s="24">
        <v>44589.73814814815</v>
      </c>
      <c r="D15" s="10">
        <v>0</v>
      </c>
      <c r="E15" s="7" t="s">
        <v>508</v>
      </c>
      <c r="F15" s="7">
        <v>5</v>
      </c>
      <c r="G15" s="7">
        <v>1</v>
      </c>
      <c r="H15" s="7">
        <v>1352</v>
      </c>
      <c r="I15" s="7">
        <v>1</v>
      </c>
      <c r="J15" s="7">
        <v>1643391776</v>
      </c>
    </row>
    <row r="16" spans="1:10" ht="21.95" customHeight="1" x14ac:dyDescent="0.2">
      <c r="A16" s="7">
        <v>242250</v>
      </c>
      <c r="B16" s="7" t="s">
        <v>536</v>
      </c>
      <c r="C16" s="24">
        <v>44589.738206018519</v>
      </c>
      <c r="D16" s="10">
        <v>0</v>
      </c>
      <c r="E16" s="7" t="s">
        <v>508</v>
      </c>
      <c r="F16" s="7">
        <v>5</v>
      </c>
      <c r="G16" s="7">
        <v>1</v>
      </c>
      <c r="H16" s="7">
        <v>1352</v>
      </c>
      <c r="I16" s="7">
        <v>1</v>
      </c>
      <c r="J16" s="7">
        <v>1643391781</v>
      </c>
    </row>
    <row r="17" spans="1:10" ht="21.95" customHeight="1" x14ac:dyDescent="0.2">
      <c r="A17" s="7">
        <v>242251</v>
      </c>
      <c r="B17" s="7" t="s">
        <v>536</v>
      </c>
      <c r="C17" s="24">
        <v>44589.738263888888</v>
      </c>
      <c r="D17" s="10">
        <v>0</v>
      </c>
      <c r="E17" s="7" t="s">
        <v>508</v>
      </c>
      <c r="F17" s="7">
        <v>5</v>
      </c>
      <c r="G17" s="7">
        <v>1</v>
      </c>
      <c r="H17" s="7">
        <v>1352</v>
      </c>
      <c r="I17" s="7">
        <v>1</v>
      </c>
      <c r="J17" s="7">
        <v>1643391786</v>
      </c>
    </row>
    <row r="18" spans="1:10" ht="21.95" customHeight="1" x14ac:dyDescent="0.2">
      <c r="A18" s="7">
        <v>242252</v>
      </c>
      <c r="B18" s="7" t="s">
        <v>536</v>
      </c>
      <c r="C18" s="24">
        <v>44589.738321759258</v>
      </c>
      <c r="D18" s="10">
        <v>0</v>
      </c>
      <c r="E18" s="7" t="s">
        <v>508</v>
      </c>
      <c r="F18" s="7">
        <v>5</v>
      </c>
      <c r="G18" s="7">
        <v>1</v>
      </c>
      <c r="H18" s="7">
        <v>1352</v>
      </c>
      <c r="I18" s="7">
        <v>1</v>
      </c>
      <c r="J18" s="7">
        <v>1643391791</v>
      </c>
    </row>
    <row r="19" spans="1:10" ht="21.95" customHeight="1" x14ac:dyDescent="0.2">
      <c r="A19" s="7">
        <v>242253</v>
      </c>
      <c r="B19" s="7" t="s">
        <v>536</v>
      </c>
      <c r="C19" s="24">
        <v>44589.738379629627</v>
      </c>
      <c r="D19" s="10">
        <v>2.5475700000000001E-5</v>
      </c>
      <c r="E19" s="7" t="s">
        <v>508</v>
      </c>
      <c r="F19" s="7">
        <v>5</v>
      </c>
      <c r="G19" s="7">
        <v>1</v>
      </c>
      <c r="H19" s="7">
        <v>1352</v>
      </c>
      <c r="I19" s="7">
        <v>1</v>
      </c>
      <c r="J19" s="7">
        <v>1643391796</v>
      </c>
    </row>
    <row r="20" spans="1:10" ht="21.95" customHeight="1" x14ac:dyDescent="0.2">
      <c r="A20" s="7">
        <v>242254</v>
      </c>
      <c r="B20" s="7" t="s">
        <v>536</v>
      </c>
      <c r="C20" s="24">
        <v>44589.738437499997</v>
      </c>
      <c r="D20" s="10">
        <v>2.3526399999999999E-5</v>
      </c>
      <c r="E20" s="7" t="s">
        <v>508</v>
      </c>
      <c r="F20" s="7">
        <v>5</v>
      </c>
      <c r="G20" s="7">
        <v>1</v>
      </c>
      <c r="H20" s="7">
        <v>1352</v>
      </c>
      <c r="I20" s="7">
        <v>1</v>
      </c>
      <c r="J20" s="7">
        <v>1643391801</v>
      </c>
    </row>
    <row r="21" spans="1:10" ht="21.95" customHeight="1" x14ac:dyDescent="0.2">
      <c r="A21" s="7">
        <v>242255</v>
      </c>
      <c r="B21" s="7" t="s">
        <v>536</v>
      </c>
      <c r="C21" s="24">
        <v>44589.738495370373</v>
      </c>
      <c r="D21" s="10">
        <v>1.6178600000000001E-5</v>
      </c>
      <c r="E21" s="7" t="s">
        <v>508</v>
      </c>
      <c r="F21" s="7">
        <v>5</v>
      </c>
      <c r="G21" s="7">
        <v>1</v>
      </c>
      <c r="H21" s="7">
        <v>1352</v>
      </c>
      <c r="I21" s="7">
        <v>1</v>
      </c>
      <c r="J21" s="7">
        <v>1643391806</v>
      </c>
    </row>
    <row r="22" spans="1:10" ht="21.95" customHeight="1" x14ac:dyDescent="0.2">
      <c r="A22" s="7">
        <v>242256</v>
      </c>
      <c r="B22" s="7" t="s">
        <v>536</v>
      </c>
      <c r="C22" s="24">
        <v>44589.738553240742</v>
      </c>
      <c r="D22" s="10">
        <v>1.46847E-5</v>
      </c>
      <c r="E22" s="7" t="s">
        <v>508</v>
      </c>
      <c r="F22" s="7">
        <v>5</v>
      </c>
      <c r="G22" s="7">
        <v>1</v>
      </c>
      <c r="H22" s="7">
        <v>1352</v>
      </c>
      <c r="I22" s="7">
        <v>1</v>
      </c>
      <c r="J22" s="7">
        <v>1643391811</v>
      </c>
    </row>
    <row r="23" spans="1:10" ht="21.95" customHeight="1" x14ac:dyDescent="0.2">
      <c r="A23" s="7">
        <v>242257</v>
      </c>
      <c r="B23" s="7" t="s">
        <v>536</v>
      </c>
      <c r="C23" s="24">
        <v>44589.738611111112</v>
      </c>
      <c r="D23" s="10">
        <v>6.8151500000000003E-6</v>
      </c>
      <c r="E23" s="7" t="s">
        <v>508</v>
      </c>
      <c r="F23" s="7">
        <v>5</v>
      </c>
      <c r="G23" s="7">
        <v>1</v>
      </c>
      <c r="H23" s="7">
        <v>1352</v>
      </c>
      <c r="I23" s="7">
        <v>1</v>
      </c>
      <c r="J23" s="7">
        <v>1643391816</v>
      </c>
    </row>
    <row r="24" spans="1:10" ht="21.95" customHeight="1" x14ac:dyDescent="0.2">
      <c r="A24" s="7">
        <v>242258</v>
      </c>
      <c r="B24" s="7" t="s">
        <v>536</v>
      </c>
      <c r="C24" s="24">
        <v>44589.738668981481</v>
      </c>
      <c r="D24" s="10">
        <v>5.9465200000000003E-6</v>
      </c>
      <c r="E24" s="7" t="s">
        <v>508</v>
      </c>
      <c r="F24" s="7">
        <v>5</v>
      </c>
      <c r="G24" s="7">
        <v>1</v>
      </c>
      <c r="H24" s="7">
        <v>1352</v>
      </c>
      <c r="I24" s="7">
        <v>1</v>
      </c>
      <c r="J24" s="7">
        <v>1643391821</v>
      </c>
    </row>
    <row r="25" spans="1:10" ht="21.95" customHeight="1" x14ac:dyDescent="0.2">
      <c r="A25" s="7">
        <v>242259</v>
      </c>
      <c r="B25" s="7" t="s">
        <v>536</v>
      </c>
      <c r="C25" s="24">
        <v>44589.738726851851</v>
      </c>
      <c r="D25" s="10">
        <v>1.1591899999999999E-7</v>
      </c>
      <c r="E25" s="7" t="s">
        <v>508</v>
      </c>
      <c r="F25" s="7">
        <v>5</v>
      </c>
      <c r="G25" s="7">
        <v>1</v>
      </c>
      <c r="H25" s="7">
        <v>1352</v>
      </c>
      <c r="I25" s="7">
        <v>1</v>
      </c>
      <c r="J25" s="7">
        <v>1643391826</v>
      </c>
    </row>
    <row r="26" spans="1:10" ht="21.95" customHeight="1" x14ac:dyDescent="0.2">
      <c r="A26" s="7">
        <v>242260</v>
      </c>
      <c r="B26" s="7" t="s">
        <v>536</v>
      </c>
      <c r="C26" s="24">
        <v>44589.73878472222</v>
      </c>
      <c r="D26" s="10">
        <v>-2.68024E-6</v>
      </c>
      <c r="E26" s="7" t="s">
        <v>508</v>
      </c>
      <c r="F26" s="7">
        <v>5</v>
      </c>
      <c r="G26" s="7">
        <v>1</v>
      </c>
      <c r="H26" s="7">
        <v>1352</v>
      </c>
      <c r="I26" s="7">
        <v>1</v>
      </c>
      <c r="J26" s="7">
        <v>1643391831</v>
      </c>
    </row>
    <row r="27" spans="1:10" ht="21.95" customHeight="1" x14ac:dyDescent="0.2">
      <c r="A27" s="7">
        <v>242261</v>
      </c>
      <c r="B27" s="7" t="s">
        <v>536</v>
      </c>
      <c r="C27" s="24">
        <v>44589.738842592589</v>
      </c>
      <c r="D27" s="10">
        <v>-5.1494000000000002E-6</v>
      </c>
      <c r="E27" s="7" t="s">
        <v>508</v>
      </c>
      <c r="F27" s="7">
        <v>5</v>
      </c>
      <c r="G27" s="7">
        <v>1</v>
      </c>
      <c r="H27" s="7">
        <v>1352</v>
      </c>
      <c r="I27" s="7">
        <v>1</v>
      </c>
      <c r="J27" s="7">
        <v>1643391836</v>
      </c>
    </row>
    <row r="28" spans="1:10" ht="21.95" customHeight="1" x14ac:dyDescent="0.2">
      <c r="A28" s="7">
        <v>242262</v>
      </c>
      <c r="B28" s="7" t="s">
        <v>536</v>
      </c>
      <c r="C28" s="24">
        <v>44589.738900462973</v>
      </c>
      <c r="D28" s="10">
        <v>-4.4417600000000001E-6</v>
      </c>
      <c r="E28" s="7" t="s">
        <v>508</v>
      </c>
      <c r="F28" s="7">
        <v>5</v>
      </c>
      <c r="G28" s="7">
        <v>1</v>
      </c>
      <c r="H28" s="7">
        <v>1352</v>
      </c>
      <c r="I28" s="7">
        <v>1</v>
      </c>
      <c r="J28" s="7">
        <v>1643391841</v>
      </c>
    </row>
    <row r="29" spans="1:10" ht="21.95" customHeight="1" x14ac:dyDescent="0.2">
      <c r="A29" s="7">
        <v>242263</v>
      </c>
      <c r="B29" s="7" t="s">
        <v>536</v>
      </c>
      <c r="C29" s="24">
        <v>44589.740057870367</v>
      </c>
      <c r="D29" s="10">
        <v>-3.6434399999999998E-5</v>
      </c>
      <c r="E29" s="7" t="s">
        <v>508</v>
      </c>
      <c r="F29" s="7">
        <v>5</v>
      </c>
      <c r="G29" s="7">
        <v>0</v>
      </c>
      <c r="H29" s="7">
        <v>1353</v>
      </c>
      <c r="I29" s="7">
        <v>0</v>
      </c>
      <c r="J29" s="7">
        <v>1643391941</v>
      </c>
    </row>
    <row r="30" spans="1:10" ht="21.95" customHeight="1" x14ac:dyDescent="0.2">
      <c r="A30" s="7">
        <v>242264</v>
      </c>
      <c r="B30" s="7" t="s">
        <v>536</v>
      </c>
      <c r="C30" s="24">
        <v>44589.740115740737</v>
      </c>
      <c r="D30" s="10">
        <v>-3.3757699999999997E-5</v>
      </c>
      <c r="E30" s="7" t="s">
        <v>508</v>
      </c>
      <c r="F30" s="7">
        <v>5</v>
      </c>
      <c r="G30" s="7">
        <v>0</v>
      </c>
      <c r="H30" s="7">
        <v>1353</v>
      </c>
      <c r="I30" s="7">
        <v>0</v>
      </c>
      <c r="J30" s="7">
        <v>1643391946</v>
      </c>
    </row>
    <row r="31" spans="1:10" ht="21.95" customHeight="1" x14ac:dyDescent="0.2">
      <c r="A31" s="7">
        <v>242265</v>
      </c>
      <c r="B31" s="7" t="s">
        <v>536</v>
      </c>
      <c r="C31" s="24">
        <v>44589.740173611113</v>
      </c>
      <c r="D31" s="10">
        <v>-2.86368E-5</v>
      </c>
      <c r="E31" s="7" t="s">
        <v>508</v>
      </c>
      <c r="F31" s="7">
        <v>5</v>
      </c>
      <c r="G31" s="7">
        <v>0</v>
      </c>
      <c r="H31" s="7">
        <v>1353</v>
      </c>
      <c r="I31" s="7">
        <v>0</v>
      </c>
      <c r="J31" s="7">
        <v>1643391951</v>
      </c>
    </row>
    <row r="32" spans="1:10" ht="21.95" customHeight="1" x14ac:dyDescent="0.2">
      <c r="A32" s="7">
        <v>242266</v>
      </c>
      <c r="B32" s="7" t="s">
        <v>536</v>
      </c>
      <c r="C32" s="24">
        <v>44589.740231481483</v>
      </c>
      <c r="D32" s="10">
        <v>-2.09138E-5</v>
      </c>
      <c r="E32" s="7" t="s">
        <v>508</v>
      </c>
      <c r="F32" s="7">
        <v>5</v>
      </c>
      <c r="G32" s="7">
        <v>0</v>
      </c>
      <c r="H32" s="7">
        <v>1353</v>
      </c>
      <c r="I32" s="7">
        <v>0</v>
      </c>
      <c r="J32" s="7">
        <v>1643391956</v>
      </c>
    </row>
    <row r="33" spans="1:10" ht="21.95" customHeight="1" x14ac:dyDescent="0.2">
      <c r="A33" s="7">
        <v>242267</v>
      </c>
      <c r="B33" s="7" t="s">
        <v>536</v>
      </c>
      <c r="C33" s="24">
        <v>44589.740289351852</v>
      </c>
      <c r="D33" s="10">
        <v>-1.17926E-5</v>
      </c>
      <c r="E33" s="7" t="s">
        <v>508</v>
      </c>
      <c r="F33" s="7">
        <v>5</v>
      </c>
      <c r="G33" s="7">
        <v>0</v>
      </c>
      <c r="H33" s="7">
        <v>1353</v>
      </c>
      <c r="I33" s="7">
        <v>0</v>
      </c>
      <c r="J33" s="7">
        <v>1643391961</v>
      </c>
    </row>
    <row r="34" spans="1:10" ht="21.95" customHeight="1" x14ac:dyDescent="0.2">
      <c r="A34" s="7">
        <v>242268</v>
      </c>
      <c r="B34" s="7" t="s">
        <v>536</v>
      </c>
      <c r="C34" s="24">
        <v>44589.740347222221</v>
      </c>
      <c r="D34" s="10">
        <v>-4.65125E-7</v>
      </c>
      <c r="E34" s="7" t="s">
        <v>508</v>
      </c>
      <c r="F34" s="7">
        <v>5</v>
      </c>
      <c r="G34" s="7">
        <v>0</v>
      </c>
      <c r="H34" s="7">
        <v>1353</v>
      </c>
      <c r="I34" s="7">
        <v>0</v>
      </c>
      <c r="J34" s="7">
        <v>1643391966</v>
      </c>
    </row>
    <row r="35" spans="1:10" ht="21.95" customHeight="1" x14ac:dyDescent="0.2">
      <c r="A35" s="7">
        <v>242269</v>
      </c>
      <c r="B35" s="7" t="s">
        <v>536</v>
      </c>
      <c r="C35" s="24">
        <v>44589.740405092591</v>
      </c>
      <c r="D35" s="10">
        <v>9.7219299999999996E-6</v>
      </c>
      <c r="E35" s="7" t="s">
        <v>508</v>
      </c>
      <c r="F35" s="7">
        <v>5</v>
      </c>
      <c r="G35" s="7">
        <v>0</v>
      </c>
      <c r="H35" s="7">
        <v>1353</v>
      </c>
      <c r="I35" s="7">
        <v>0</v>
      </c>
      <c r="J35" s="7">
        <v>1643391971</v>
      </c>
    </row>
    <row r="36" spans="1:10" ht="21.95" customHeight="1" x14ac:dyDescent="0.2">
      <c r="A36" s="7">
        <v>242270</v>
      </c>
      <c r="B36" s="7" t="s">
        <v>536</v>
      </c>
      <c r="C36" s="24">
        <v>44589.74046296296</v>
      </c>
      <c r="D36" s="10">
        <v>1.72395E-5</v>
      </c>
      <c r="E36" s="7" t="s">
        <v>508</v>
      </c>
      <c r="F36" s="7">
        <v>5</v>
      </c>
      <c r="G36" s="7">
        <v>0</v>
      </c>
      <c r="H36" s="7">
        <v>1353</v>
      </c>
      <c r="I36" s="7">
        <v>0</v>
      </c>
      <c r="J36" s="7">
        <v>1643391976</v>
      </c>
    </row>
    <row r="37" spans="1:10" ht="21.95" customHeight="1" x14ac:dyDescent="0.2">
      <c r="A37" s="7">
        <v>242271</v>
      </c>
      <c r="B37" s="7" t="s">
        <v>536</v>
      </c>
      <c r="C37" s="24">
        <v>44589.740520833337</v>
      </c>
      <c r="D37" s="10">
        <v>2.3348200000000001E-5</v>
      </c>
      <c r="E37" s="7" t="s">
        <v>508</v>
      </c>
      <c r="F37" s="7">
        <v>5</v>
      </c>
      <c r="G37" s="7">
        <v>0</v>
      </c>
      <c r="H37" s="7">
        <v>1353</v>
      </c>
      <c r="I37" s="7">
        <v>0</v>
      </c>
      <c r="J37" s="7">
        <v>1643391981</v>
      </c>
    </row>
    <row r="38" spans="1:10" ht="21.95" customHeight="1" x14ac:dyDescent="0.2">
      <c r="A38" s="7">
        <v>242272</v>
      </c>
      <c r="B38" s="7" t="s">
        <v>536</v>
      </c>
      <c r="C38" s="24">
        <v>44589.740578703713</v>
      </c>
      <c r="D38" s="10">
        <v>3.1821900000000001E-5</v>
      </c>
      <c r="E38" s="7" t="s">
        <v>508</v>
      </c>
      <c r="F38" s="7">
        <v>5</v>
      </c>
      <c r="G38" s="7">
        <v>0</v>
      </c>
      <c r="H38" s="7">
        <v>1353</v>
      </c>
      <c r="I38" s="7">
        <v>0</v>
      </c>
      <c r="J38" s="7">
        <v>1643391986</v>
      </c>
    </row>
    <row r="39" spans="1:10" ht="21.95" customHeight="1" x14ac:dyDescent="0.2">
      <c r="A39" s="7">
        <v>242273</v>
      </c>
      <c r="B39" s="7" t="s">
        <v>536</v>
      </c>
      <c r="C39" s="24">
        <v>44589.740636574083</v>
      </c>
      <c r="D39" s="10">
        <v>3.6832400000000003E-5</v>
      </c>
      <c r="E39" s="7" t="s">
        <v>508</v>
      </c>
      <c r="F39" s="7">
        <v>5</v>
      </c>
      <c r="G39" s="7">
        <v>0</v>
      </c>
      <c r="H39" s="7">
        <v>1353</v>
      </c>
      <c r="I39" s="7">
        <v>0</v>
      </c>
      <c r="J39" s="7">
        <v>1643391991</v>
      </c>
    </row>
    <row r="40" spans="1:10" ht="21.95" customHeight="1" x14ac:dyDescent="0.2">
      <c r="A40" s="7">
        <v>242274</v>
      </c>
      <c r="B40" s="7" t="s">
        <v>536</v>
      </c>
      <c r="C40" s="24">
        <v>44589.740694444437</v>
      </c>
      <c r="D40" s="10">
        <v>3.8497900000000003E-5</v>
      </c>
      <c r="E40" s="7" t="s">
        <v>508</v>
      </c>
      <c r="F40" s="7">
        <v>5</v>
      </c>
      <c r="G40" s="7">
        <v>0</v>
      </c>
      <c r="H40" s="7">
        <v>1353</v>
      </c>
      <c r="I40" s="7">
        <v>0</v>
      </c>
      <c r="J40" s="7">
        <v>1643391996</v>
      </c>
    </row>
    <row r="41" spans="1:10" ht="21.95" customHeight="1" x14ac:dyDescent="0.2">
      <c r="A41" s="7">
        <v>242275</v>
      </c>
      <c r="B41" s="7" t="s">
        <v>536</v>
      </c>
      <c r="C41" s="24">
        <v>44589.740752314807</v>
      </c>
      <c r="D41" s="10">
        <v>3.8495000000000003E-5</v>
      </c>
      <c r="E41" s="7" t="s">
        <v>508</v>
      </c>
      <c r="F41" s="7">
        <v>5</v>
      </c>
      <c r="G41" s="7">
        <v>0</v>
      </c>
      <c r="H41" s="7">
        <v>1353</v>
      </c>
      <c r="I41" s="7">
        <v>0</v>
      </c>
      <c r="J41" s="7">
        <v>1643392001</v>
      </c>
    </row>
    <row r="42" spans="1:10" ht="21.95" customHeight="1" x14ac:dyDescent="0.2">
      <c r="A42" s="7">
        <v>242276</v>
      </c>
      <c r="B42" s="7" t="s">
        <v>536</v>
      </c>
      <c r="C42" s="24">
        <v>44589.740810185183</v>
      </c>
      <c r="D42" s="10">
        <v>3.6265099999999999E-5</v>
      </c>
      <c r="E42" s="7" t="s">
        <v>508</v>
      </c>
      <c r="F42" s="7">
        <v>5</v>
      </c>
      <c r="G42" s="7">
        <v>0</v>
      </c>
      <c r="H42" s="7">
        <v>1353</v>
      </c>
      <c r="I42" s="7">
        <v>0</v>
      </c>
      <c r="J42" s="7">
        <v>1643392006</v>
      </c>
    </row>
    <row r="43" spans="1:10" ht="21.95" customHeight="1" x14ac:dyDescent="0.2">
      <c r="A43" s="7">
        <v>242277</v>
      </c>
      <c r="B43" s="7" t="s">
        <v>536</v>
      </c>
      <c r="C43" s="24">
        <v>44589.740868055553</v>
      </c>
      <c r="D43" s="10">
        <v>3.0967799999999999E-5</v>
      </c>
      <c r="E43" s="7" t="s">
        <v>508</v>
      </c>
      <c r="F43" s="7">
        <v>5</v>
      </c>
      <c r="G43" s="7">
        <v>0</v>
      </c>
      <c r="H43" s="7">
        <v>1353</v>
      </c>
      <c r="I43" s="7">
        <v>0</v>
      </c>
      <c r="J43" s="7">
        <v>1643392011</v>
      </c>
    </row>
    <row r="44" spans="1:10" ht="21.95" customHeight="1" x14ac:dyDescent="0.2">
      <c r="A44" s="7">
        <v>242278</v>
      </c>
      <c r="B44" s="7" t="s">
        <v>536</v>
      </c>
      <c r="C44" s="24">
        <v>44589.740925925929</v>
      </c>
      <c r="D44" s="10">
        <v>2.3768899999999999E-5</v>
      </c>
      <c r="E44" s="7" t="s">
        <v>508</v>
      </c>
      <c r="F44" s="7">
        <v>5</v>
      </c>
      <c r="G44" s="7">
        <v>0</v>
      </c>
      <c r="H44" s="7">
        <v>1353</v>
      </c>
      <c r="I44" s="7">
        <v>0</v>
      </c>
      <c r="J44" s="7">
        <v>1643392016</v>
      </c>
    </row>
    <row r="45" spans="1:10" ht="21.95" customHeight="1" x14ac:dyDescent="0.2">
      <c r="A45" s="7">
        <v>242279</v>
      </c>
      <c r="B45" s="7" t="s">
        <v>536</v>
      </c>
      <c r="C45" s="24">
        <v>44589.740983796299</v>
      </c>
      <c r="D45" s="10">
        <v>1.32498E-5</v>
      </c>
      <c r="E45" s="7" t="s">
        <v>508</v>
      </c>
      <c r="F45" s="7">
        <v>5</v>
      </c>
      <c r="G45" s="7">
        <v>0</v>
      </c>
      <c r="H45" s="7">
        <v>1353</v>
      </c>
      <c r="I45" s="7">
        <v>0</v>
      </c>
      <c r="J45" s="7">
        <v>1643392021</v>
      </c>
    </row>
    <row r="46" spans="1:10" ht="21.95" customHeight="1" x14ac:dyDescent="0.2">
      <c r="A46" s="7">
        <v>242280</v>
      </c>
      <c r="B46" s="7" t="s">
        <v>536</v>
      </c>
      <c r="C46" s="24">
        <v>44589.741041666668</v>
      </c>
      <c r="D46" s="10">
        <v>2.3263699999999999E-6</v>
      </c>
      <c r="E46" s="7" t="s">
        <v>508</v>
      </c>
      <c r="F46" s="7">
        <v>5</v>
      </c>
      <c r="G46" s="7">
        <v>0</v>
      </c>
      <c r="H46" s="7">
        <v>1353</v>
      </c>
      <c r="I46" s="7">
        <v>0</v>
      </c>
      <c r="J46" s="7">
        <v>1643392026</v>
      </c>
    </row>
    <row r="47" spans="1:10" ht="21.95" customHeight="1" x14ac:dyDescent="0.2">
      <c r="A47" s="7">
        <v>242281</v>
      </c>
      <c r="B47" s="7" t="s">
        <v>536</v>
      </c>
      <c r="C47" s="24">
        <v>44589.741099537037</v>
      </c>
      <c r="D47" s="10">
        <v>-9.0199800000000003E-6</v>
      </c>
      <c r="E47" s="7" t="s">
        <v>508</v>
      </c>
      <c r="F47" s="7">
        <v>5</v>
      </c>
      <c r="G47" s="7">
        <v>0</v>
      </c>
      <c r="H47" s="7">
        <v>1353</v>
      </c>
      <c r="I47" s="7">
        <v>0</v>
      </c>
      <c r="J47" s="7">
        <v>1643392031</v>
      </c>
    </row>
    <row r="48" spans="1:10" ht="21.95" customHeight="1" x14ac:dyDescent="0.2">
      <c r="A48" s="7">
        <v>242282</v>
      </c>
      <c r="B48" s="7" t="s">
        <v>536</v>
      </c>
      <c r="C48" s="24">
        <v>44589.741168981483</v>
      </c>
      <c r="D48" s="10">
        <v>-2.07689E-5</v>
      </c>
      <c r="E48" s="7" t="s">
        <v>508</v>
      </c>
      <c r="F48" s="7">
        <v>5</v>
      </c>
      <c r="G48" s="7">
        <v>0</v>
      </c>
      <c r="H48" s="7">
        <v>1353</v>
      </c>
      <c r="I48" s="7">
        <v>0</v>
      </c>
      <c r="J48" s="7">
        <v>1643392037</v>
      </c>
    </row>
    <row r="49" spans="1:10" ht="21.95" customHeight="1" x14ac:dyDescent="0.2">
      <c r="A49" s="7">
        <v>242283</v>
      </c>
      <c r="B49" s="7" t="s">
        <v>536</v>
      </c>
      <c r="C49" s="24">
        <v>44589.741226851853</v>
      </c>
      <c r="D49" s="10">
        <v>-2.7601299999999999E-5</v>
      </c>
      <c r="E49" s="7" t="s">
        <v>508</v>
      </c>
      <c r="F49" s="7">
        <v>5</v>
      </c>
      <c r="G49" s="7">
        <v>0</v>
      </c>
      <c r="H49" s="7">
        <v>1353</v>
      </c>
      <c r="I49" s="7">
        <v>0</v>
      </c>
      <c r="J49" s="7">
        <v>1643392042</v>
      </c>
    </row>
    <row r="50" spans="1:10" ht="21.95" customHeight="1" x14ac:dyDescent="0.2">
      <c r="A50" s="7">
        <v>242284</v>
      </c>
      <c r="B50" s="7" t="s">
        <v>536</v>
      </c>
      <c r="C50" s="24">
        <v>44589.741284722222</v>
      </c>
      <c r="D50" s="10">
        <v>-3.2347300000000001E-5</v>
      </c>
      <c r="E50" s="7" t="s">
        <v>508</v>
      </c>
      <c r="F50" s="7">
        <v>5</v>
      </c>
      <c r="G50" s="7">
        <v>0</v>
      </c>
      <c r="H50" s="7">
        <v>1353</v>
      </c>
      <c r="I50" s="7">
        <v>0</v>
      </c>
      <c r="J50" s="7">
        <v>1643392047</v>
      </c>
    </row>
    <row r="51" spans="1:10" ht="21.95" customHeight="1" x14ac:dyDescent="0.2">
      <c r="A51" s="7">
        <v>242285</v>
      </c>
      <c r="B51" s="7" t="s">
        <v>536</v>
      </c>
      <c r="C51" s="24">
        <v>44589.741342592592</v>
      </c>
      <c r="D51" s="10">
        <v>-3.3794999999999997E-5</v>
      </c>
      <c r="E51" s="7" t="s">
        <v>508</v>
      </c>
      <c r="F51" s="7">
        <v>5</v>
      </c>
      <c r="G51" s="7">
        <v>0</v>
      </c>
      <c r="H51" s="7">
        <v>1353</v>
      </c>
      <c r="I51" s="7">
        <v>0</v>
      </c>
      <c r="J51" s="7">
        <v>1643392052</v>
      </c>
    </row>
    <row r="52" spans="1:10" ht="21.95" customHeight="1" x14ac:dyDescent="0.2">
      <c r="A52" s="7">
        <v>242286</v>
      </c>
      <c r="B52" s="7" t="s">
        <v>536</v>
      </c>
      <c r="C52" s="24">
        <v>44589.741400462961</v>
      </c>
      <c r="D52" s="10">
        <v>-3.2191399999999998E-5</v>
      </c>
      <c r="E52" s="7" t="s">
        <v>508</v>
      </c>
      <c r="F52" s="7">
        <v>5</v>
      </c>
      <c r="G52" s="7">
        <v>0</v>
      </c>
      <c r="H52" s="7">
        <v>1354</v>
      </c>
      <c r="I52" s="7">
        <v>1</v>
      </c>
      <c r="J52" s="7">
        <v>1643392057</v>
      </c>
    </row>
    <row r="53" spans="1:10" ht="21.95" customHeight="1" x14ac:dyDescent="0.2">
      <c r="A53" s="7">
        <v>242287</v>
      </c>
      <c r="B53" s="7" t="s">
        <v>536</v>
      </c>
      <c r="C53" s="24">
        <v>44589.74145833333</v>
      </c>
      <c r="D53" s="10">
        <v>-2.7171699999999999E-5</v>
      </c>
      <c r="E53" s="7" t="s">
        <v>508</v>
      </c>
      <c r="F53" s="7">
        <v>5</v>
      </c>
      <c r="G53" s="7">
        <v>0</v>
      </c>
      <c r="H53" s="7">
        <v>1354</v>
      </c>
      <c r="I53" s="7">
        <v>1</v>
      </c>
      <c r="J53" s="7">
        <v>1643392062</v>
      </c>
    </row>
    <row r="54" spans="1:10" ht="21.95" customHeight="1" x14ac:dyDescent="0.2">
      <c r="A54" s="7">
        <v>242288</v>
      </c>
      <c r="B54" s="7" t="s">
        <v>536</v>
      </c>
      <c r="C54" s="24">
        <v>44589.741516203707</v>
      </c>
      <c r="D54" s="10">
        <v>-2.1469400000000001E-5</v>
      </c>
      <c r="E54" s="7" t="s">
        <v>508</v>
      </c>
      <c r="F54" s="7">
        <v>5</v>
      </c>
      <c r="G54" s="7">
        <v>0</v>
      </c>
      <c r="H54" s="7">
        <v>1354</v>
      </c>
      <c r="I54" s="7">
        <v>1</v>
      </c>
      <c r="J54" s="7">
        <v>1643392067</v>
      </c>
    </row>
    <row r="55" spans="1:10" ht="21.95" customHeight="1" x14ac:dyDescent="0.2">
      <c r="A55" s="7">
        <v>242289</v>
      </c>
      <c r="B55" s="7" t="s">
        <v>536</v>
      </c>
      <c r="C55" s="24">
        <v>44589.741574074083</v>
      </c>
      <c r="D55" s="10">
        <v>-1.27337E-5</v>
      </c>
      <c r="E55" s="7" t="s">
        <v>508</v>
      </c>
      <c r="F55" s="7">
        <v>5</v>
      </c>
      <c r="G55" s="7">
        <v>0</v>
      </c>
      <c r="H55" s="7">
        <v>1354</v>
      </c>
      <c r="I55" s="7">
        <v>1</v>
      </c>
      <c r="J55" s="7">
        <v>1643392072</v>
      </c>
    </row>
    <row r="56" spans="1:10" ht="21.95" customHeight="1" x14ac:dyDescent="0.2">
      <c r="A56" s="7">
        <v>242290</v>
      </c>
      <c r="B56" s="7" t="s">
        <v>536</v>
      </c>
      <c r="C56" s="24">
        <v>44589.741631944453</v>
      </c>
      <c r="D56" s="10">
        <v>-4.6766600000000002E-6</v>
      </c>
      <c r="E56" s="7" t="s">
        <v>508</v>
      </c>
      <c r="F56" s="7">
        <v>5</v>
      </c>
      <c r="G56" s="7">
        <v>0</v>
      </c>
      <c r="H56" s="7">
        <v>1354</v>
      </c>
      <c r="I56" s="7">
        <v>1</v>
      </c>
      <c r="J56" s="7">
        <v>1643392077</v>
      </c>
    </row>
    <row r="57" spans="1:10" ht="21.95" customHeight="1" x14ac:dyDescent="0.2">
      <c r="A57" s="7">
        <v>242291</v>
      </c>
      <c r="B57" s="7" t="s">
        <v>536</v>
      </c>
      <c r="C57" s="24">
        <v>44589.741689814808</v>
      </c>
      <c r="D57" s="10">
        <v>2.6948699999999998E-6</v>
      </c>
      <c r="E57" s="7" t="s">
        <v>508</v>
      </c>
      <c r="F57" s="7">
        <v>5</v>
      </c>
      <c r="G57" s="7">
        <v>0</v>
      </c>
      <c r="H57" s="7">
        <v>1354</v>
      </c>
      <c r="I57" s="7">
        <v>1</v>
      </c>
      <c r="J57" s="7">
        <v>1643392082</v>
      </c>
    </row>
    <row r="58" spans="1:10" ht="21.95" customHeight="1" x14ac:dyDescent="0.2">
      <c r="A58" s="7">
        <v>242292</v>
      </c>
      <c r="B58" s="7" t="s">
        <v>536</v>
      </c>
      <c r="C58" s="24">
        <v>44589.741747685177</v>
      </c>
      <c r="D58" s="10">
        <v>9.1659899999999993E-6</v>
      </c>
      <c r="E58" s="7" t="s">
        <v>508</v>
      </c>
      <c r="F58" s="7">
        <v>5</v>
      </c>
      <c r="G58" s="7">
        <v>0</v>
      </c>
      <c r="H58" s="7">
        <v>1354</v>
      </c>
      <c r="I58" s="7">
        <v>1</v>
      </c>
      <c r="J58" s="7">
        <v>1643392087</v>
      </c>
    </row>
    <row r="59" spans="1:10" ht="21.95" customHeight="1" x14ac:dyDescent="0.2">
      <c r="A59" s="7">
        <v>242293</v>
      </c>
      <c r="B59" s="7" t="s">
        <v>536</v>
      </c>
      <c r="C59" s="24">
        <v>44589.741805555554</v>
      </c>
      <c r="D59" s="10">
        <v>1.49564E-5</v>
      </c>
      <c r="E59" s="7" t="s">
        <v>508</v>
      </c>
      <c r="F59" s="7">
        <v>5</v>
      </c>
      <c r="G59" s="7">
        <v>0</v>
      </c>
      <c r="H59" s="7">
        <v>1354</v>
      </c>
      <c r="I59" s="7">
        <v>1</v>
      </c>
      <c r="J59" s="7">
        <v>1643392092</v>
      </c>
    </row>
    <row r="60" spans="1:10" ht="21.95" customHeight="1" x14ac:dyDescent="0.2">
      <c r="A60" s="7">
        <v>242294</v>
      </c>
      <c r="B60" s="7" t="s">
        <v>536</v>
      </c>
      <c r="C60" s="24">
        <v>44589.741863425923</v>
      </c>
      <c r="D60" s="10">
        <v>1.7980599999999999E-5</v>
      </c>
      <c r="E60" s="7" t="s">
        <v>508</v>
      </c>
      <c r="F60" s="7">
        <v>5</v>
      </c>
      <c r="G60" s="7">
        <v>0</v>
      </c>
      <c r="H60" s="7">
        <v>1354</v>
      </c>
      <c r="I60" s="7">
        <v>1</v>
      </c>
      <c r="J60" s="7">
        <v>1643392097</v>
      </c>
    </row>
    <row r="61" spans="1:10" ht="21.95" customHeight="1" x14ac:dyDescent="0.2">
      <c r="A61" s="7">
        <v>242295</v>
      </c>
      <c r="B61" s="7" t="s">
        <v>536</v>
      </c>
      <c r="C61" s="24">
        <v>44589.7419212963</v>
      </c>
      <c r="D61" s="10">
        <v>2.1971300000000001E-5</v>
      </c>
      <c r="E61" s="7" t="s">
        <v>508</v>
      </c>
      <c r="F61" s="7">
        <v>5</v>
      </c>
      <c r="G61" s="7">
        <v>0</v>
      </c>
      <c r="H61" s="7">
        <v>1354</v>
      </c>
      <c r="I61" s="7">
        <v>1</v>
      </c>
      <c r="J61" s="7">
        <v>1643392102</v>
      </c>
    </row>
    <row r="62" spans="1:10" ht="21.95" customHeight="1" x14ac:dyDescent="0.2">
      <c r="A62" s="7">
        <v>242296</v>
      </c>
      <c r="B62" s="7" t="s">
        <v>536</v>
      </c>
      <c r="C62" s="24">
        <v>44589.741979166669</v>
      </c>
      <c r="D62" s="10">
        <v>2.1852300000000001E-5</v>
      </c>
      <c r="E62" s="7" t="s">
        <v>508</v>
      </c>
      <c r="F62" s="7">
        <v>5</v>
      </c>
      <c r="G62" s="7">
        <v>0</v>
      </c>
      <c r="H62" s="7">
        <v>1354</v>
      </c>
      <c r="I62" s="7">
        <v>1</v>
      </c>
      <c r="J62" s="7">
        <v>1643392107</v>
      </c>
    </row>
    <row r="63" spans="1:10" ht="21.95" customHeight="1" x14ac:dyDescent="0.2">
      <c r="A63" s="7">
        <v>242297</v>
      </c>
      <c r="B63" s="7" t="s">
        <v>536</v>
      </c>
      <c r="C63" s="24">
        <v>44589.742037037038</v>
      </c>
      <c r="D63" s="10">
        <v>1.9342299999999999E-5</v>
      </c>
      <c r="E63" s="7" t="s">
        <v>508</v>
      </c>
      <c r="F63" s="7">
        <v>5</v>
      </c>
      <c r="G63" s="7">
        <v>0</v>
      </c>
      <c r="H63" s="7">
        <v>1354</v>
      </c>
      <c r="I63" s="7">
        <v>1</v>
      </c>
      <c r="J63" s="7">
        <v>1643392112</v>
      </c>
    </row>
    <row r="64" spans="1:10" ht="21.95" customHeight="1" x14ac:dyDescent="0.2">
      <c r="A64" s="7">
        <v>242298</v>
      </c>
      <c r="B64" s="7" t="s">
        <v>536</v>
      </c>
      <c r="C64" s="24">
        <v>44589.742094907408</v>
      </c>
      <c r="D64" s="10">
        <v>1.5606600000000001E-5</v>
      </c>
      <c r="E64" s="7" t="s">
        <v>508</v>
      </c>
      <c r="F64" s="7">
        <v>5</v>
      </c>
      <c r="G64" s="7">
        <v>0</v>
      </c>
      <c r="H64" s="7">
        <v>1354</v>
      </c>
      <c r="I64" s="7">
        <v>1</v>
      </c>
      <c r="J64" s="7">
        <v>1643392117</v>
      </c>
    </row>
    <row r="65" spans="1:10" ht="21.95" customHeight="1" x14ac:dyDescent="0.2">
      <c r="A65" s="7">
        <v>242299</v>
      </c>
      <c r="B65" s="7" t="s">
        <v>536</v>
      </c>
      <c r="C65" s="24">
        <v>44589.742164351846</v>
      </c>
      <c r="D65" s="10">
        <v>9.6909599999999998E-6</v>
      </c>
      <c r="E65" s="7" t="s">
        <v>508</v>
      </c>
      <c r="F65" s="7">
        <v>5</v>
      </c>
      <c r="G65" s="7">
        <v>0</v>
      </c>
      <c r="H65" s="7">
        <v>1354</v>
      </c>
      <c r="I65" s="7">
        <v>1</v>
      </c>
      <c r="J65" s="7">
        <v>1643392123</v>
      </c>
    </row>
    <row r="66" spans="1:10" ht="21.95" customHeight="1" x14ac:dyDescent="0.2">
      <c r="A66" s="7">
        <v>242300</v>
      </c>
      <c r="B66" s="7" t="s">
        <v>536</v>
      </c>
      <c r="C66" s="24">
        <v>44589.742222222223</v>
      </c>
      <c r="D66" s="10">
        <v>1.99844E-6</v>
      </c>
      <c r="E66" s="7" t="s">
        <v>508</v>
      </c>
      <c r="F66" s="7">
        <v>5</v>
      </c>
      <c r="G66" s="7">
        <v>0</v>
      </c>
      <c r="H66" s="7">
        <v>1354</v>
      </c>
      <c r="I66" s="7">
        <v>1</v>
      </c>
      <c r="J66" s="7">
        <v>1643392128</v>
      </c>
    </row>
    <row r="67" spans="1:10" ht="21.95" customHeight="1" x14ac:dyDescent="0.2">
      <c r="A67" s="7">
        <v>242301</v>
      </c>
      <c r="B67" s="7" t="s">
        <v>536</v>
      </c>
      <c r="C67" s="24">
        <v>44589.742280092592</v>
      </c>
      <c r="D67" s="10">
        <v>-6.7877399999999997E-6</v>
      </c>
      <c r="E67" s="7" t="s">
        <v>508</v>
      </c>
      <c r="F67" s="7">
        <v>5</v>
      </c>
      <c r="G67" s="7">
        <v>0</v>
      </c>
      <c r="H67" s="7">
        <v>1354</v>
      </c>
      <c r="I67" s="7">
        <v>1</v>
      </c>
      <c r="J67" s="7">
        <v>1643392133</v>
      </c>
    </row>
    <row r="68" spans="1:10" ht="21.95" customHeight="1" x14ac:dyDescent="0.2">
      <c r="A68" s="7">
        <v>242302</v>
      </c>
      <c r="B68" s="7" t="s">
        <v>536</v>
      </c>
      <c r="C68" s="24">
        <v>44589.742337962962</v>
      </c>
      <c r="D68" s="10">
        <v>-1.52756E-5</v>
      </c>
      <c r="E68" s="7" t="s">
        <v>508</v>
      </c>
      <c r="F68" s="7">
        <v>5</v>
      </c>
      <c r="G68" s="7">
        <v>0</v>
      </c>
      <c r="H68" s="7">
        <v>1354</v>
      </c>
      <c r="I68" s="7">
        <v>1</v>
      </c>
      <c r="J68" s="7">
        <v>1643392138</v>
      </c>
    </row>
    <row r="69" spans="1:10" ht="21.95" customHeight="1" x14ac:dyDescent="0.2">
      <c r="A69" s="7">
        <v>242303</v>
      </c>
      <c r="B69" s="7" t="s">
        <v>536</v>
      </c>
      <c r="C69" s="24">
        <v>44589.742395833331</v>
      </c>
      <c r="D69" s="10">
        <v>-2.16958E-5</v>
      </c>
      <c r="E69" s="7" t="s">
        <v>508</v>
      </c>
      <c r="F69" s="7">
        <v>5</v>
      </c>
      <c r="G69" s="7">
        <v>0</v>
      </c>
      <c r="H69" s="7">
        <v>1354</v>
      </c>
      <c r="I69" s="7">
        <v>1</v>
      </c>
      <c r="J69" s="7">
        <v>1643392143</v>
      </c>
    </row>
    <row r="70" spans="1:10" ht="21.95" customHeight="1" x14ac:dyDescent="0.2">
      <c r="A70" s="7">
        <v>242304</v>
      </c>
      <c r="B70" s="7" t="s">
        <v>536</v>
      </c>
      <c r="C70" s="24">
        <v>44589.7424537037</v>
      </c>
      <c r="D70" s="10">
        <v>-2.6191100000000001E-5</v>
      </c>
      <c r="E70" s="7" t="s">
        <v>508</v>
      </c>
      <c r="F70" s="7">
        <v>5</v>
      </c>
      <c r="G70" s="7">
        <v>0</v>
      </c>
      <c r="H70" s="7">
        <v>1354</v>
      </c>
      <c r="I70" s="7">
        <v>1</v>
      </c>
      <c r="J70" s="7">
        <v>1643392148</v>
      </c>
    </row>
    <row r="71" spans="1:10" ht="21.95" customHeight="1" x14ac:dyDescent="0.2">
      <c r="A71" s="7">
        <v>242305</v>
      </c>
      <c r="B71" s="7" t="s">
        <v>536</v>
      </c>
      <c r="C71" s="24">
        <v>44589.742511574077</v>
      </c>
      <c r="D71" s="10">
        <v>-2.7572999999999998E-5</v>
      </c>
      <c r="E71" s="7" t="s">
        <v>508</v>
      </c>
      <c r="F71" s="7">
        <v>5</v>
      </c>
      <c r="G71" s="7">
        <v>0</v>
      </c>
      <c r="H71" s="7">
        <v>1355</v>
      </c>
      <c r="I71" s="7">
        <v>1</v>
      </c>
      <c r="J71" s="7">
        <v>1643392153</v>
      </c>
    </row>
    <row r="72" spans="1:10" ht="21.95" customHeight="1" x14ac:dyDescent="0.2">
      <c r="A72" s="7">
        <v>242306</v>
      </c>
      <c r="B72" s="7" t="s">
        <v>536</v>
      </c>
      <c r="C72" s="24">
        <v>44589.742569444446</v>
      </c>
      <c r="D72" s="10">
        <v>-2.6528799999999999E-5</v>
      </c>
      <c r="E72" s="7" t="s">
        <v>508</v>
      </c>
      <c r="F72" s="7">
        <v>5</v>
      </c>
      <c r="G72" s="7">
        <v>0</v>
      </c>
      <c r="H72" s="7">
        <v>1355</v>
      </c>
      <c r="I72" s="7">
        <v>1</v>
      </c>
      <c r="J72" s="7">
        <v>1643392158</v>
      </c>
    </row>
    <row r="73" spans="1:10" ht="21.95" customHeight="1" x14ac:dyDescent="0.2">
      <c r="A73" s="7">
        <v>242307</v>
      </c>
      <c r="B73" s="7" t="s">
        <v>536</v>
      </c>
      <c r="C73" s="24">
        <v>44589.742627314823</v>
      </c>
      <c r="D73" s="10">
        <v>-2.2311999999999999E-5</v>
      </c>
      <c r="E73" s="7" t="s">
        <v>508</v>
      </c>
      <c r="F73" s="7">
        <v>5</v>
      </c>
      <c r="G73" s="7">
        <v>0</v>
      </c>
      <c r="H73" s="7">
        <v>1355</v>
      </c>
      <c r="I73" s="7">
        <v>1</v>
      </c>
      <c r="J73" s="7">
        <v>1643392163</v>
      </c>
    </row>
    <row r="74" spans="1:10" ht="21.95" customHeight="1" x14ac:dyDescent="0.2">
      <c r="A74" s="7">
        <v>242308</v>
      </c>
      <c r="B74" s="7" t="s">
        <v>536</v>
      </c>
      <c r="C74" s="24">
        <v>44589.742685185192</v>
      </c>
      <c r="D74" s="10">
        <v>-1.60329E-5</v>
      </c>
      <c r="E74" s="7" t="s">
        <v>508</v>
      </c>
      <c r="F74" s="7">
        <v>5</v>
      </c>
      <c r="G74" s="7">
        <v>0</v>
      </c>
      <c r="H74" s="7">
        <v>1355</v>
      </c>
      <c r="I74" s="7">
        <v>1</v>
      </c>
      <c r="J74" s="7">
        <v>1643392168</v>
      </c>
    </row>
    <row r="75" spans="1:10" ht="21.95" customHeight="1" x14ac:dyDescent="0.2">
      <c r="A75" s="7">
        <v>242309</v>
      </c>
      <c r="B75" s="7" t="s">
        <v>536</v>
      </c>
      <c r="C75" s="24">
        <v>44589.742743055547</v>
      </c>
      <c r="D75" s="10">
        <v>-6.9269800000000002E-6</v>
      </c>
      <c r="E75" s="7" t="s">
        <v>508</v>
      </c>
      <c r="F75" s="7">
        <v>5</v>
      </c>
      <c r="G75" s="7">
        <v>0</v>
      </c>
      <c r="H75" s="7">
        <v>1355</v>
      </c>
      <c r="I75" s="7">
        <v>1</v>
      </c>
      <c r="J75" s="7">
        <v>1643392173</v>
      </c>
    </row>
    <row r="76" spans="1:10" ht="21.95" customHeight="1" x14ac:dyDescent="0.2">
      <c r="A76" s="7">
        <v>242310</v>
      </c>
      <c r="B76" s="7" t="s">
        <v>536</v>
      </c>
      <c r="C76" s="24">
        <v>44589.742800925917</v>
      </c>
      <c r="D76" s="10">
        <v>3.5022199999999998E-6</v>
      </c>
      <c r="E76" s="7" t="s">
        <v>508</v>
      </c>
      <c r="F76" s="7">
        <v>5</v>
      </c>
      <c r="G76" s="7">
        <v>0</v>
      </c>
      <c r="H76" s="7">
        <v>1355</v>
      </c>
      <c r="I76" s="7">
        <v>1</v>
      </c>
      <c r="J76" s="7">
        <v>1643392178</v>
      </c>
    </row>
    <row r="77" spans="1:10" ht="21.95" customHeight="1" x14ac:dyDescent="0.2">
      <c r="A77" s="7">
        <v>242311</v>
      </c>
      <c r="B77" s="7" t="s">
        <v>536</v>
      </c>
      <c r="C77" s="24">
        <v>44589.742858796293</v>
      </c>
      <c r="D77" s="10">
        <v>1.31017E-5</v>
      </c>
      <c r="E77" s="7" t="s">
        <v>508</v>
      </c>
      <c r="F77" s="7">
        <v>5</v>
      </c>
      <c r="G77" s="7">
        <v>0</v>
      </c>
      <c r="H77" s="7">
        <v>1355</v>
      </c>
      <c r="I77" s="7">
        <v>1</v>
      </c>
      <c r="J77" s="7">
        <v>1643392183</v>
      </c>
    </row>
    <row r="78" spans="1:10" ht="21.95" customHeight="1" x14ac:dyDescent="0.2">
      <c r="A78" s="7">
        <v>242312</v>
      </c>
      <c r="B78" s="7" t="s">
        <v>536</v>
      </c>
      <c r="C78" s="24">
        <v>44589.74291666667</v>
      </c>
      <c r="D78" s="10">
        <v>2.1547099999999999E-5</v>
      </c>
      <c r="E78" s="7" t="s">
        <v>508</v>
      </c>
      <c r="F78" s="7">
        <v>5</v>
      </c>
      <c r="G78" s="7">
        <v>0</v>
      </c>
      <c r="H78" s="7">
        <v>1355</v>
      </c>
      <c r="I78" s="7">
        <v>1</v>
      </c>
      <c r="J78" s="7">
        <v>1643392188</v>
      </c>
    </row>
    <row r="79" spans="1:10" ht="21.95" customHeight="1" x14ac:dyDescent="0.2">
      <c r="A79" s="7">
        <v>242313</v>
      </c>
      <c r="B79" s="7" t="s">
        <v>536</v>
      </c>
      <c r="C79" s="24">
        <v>44589.742974537039</v>
      </c>
      <c r="D79" s="10">
        <v>2.7480599999999999E-5</v>
      </c>
      <c r="E79" s="7" t="s">
        <v>508</v>
      </c>
      <c r="F79" s="7">
        <v>5</v>
      </c>
      <c r="G79" s="7">
        <v>0</v>
      </c>
      <c r="H79" s="7">
        <v>1355</v>
      </c>
      <c r="I79" s="7">
        <v>1</v>
      </c>
      <c r="J79" s="7">
        <v>1643392193</v>
      </c>
    </row>
    <row r="80" spans="1:10" ht="21.95" customHeight="1" x14ac:dyDescent="0.2">
      <c r="A80" s="7">
        <v>242314</v>
      </c>
      <c r="B80" s="7" t="s">
        <v>536</v>
      </c>
      <c r="C80" s="24">
        <v>44589.743032407408</v>
      </c>
      <c r="D80" s="10">
        <v>3.2975899999999997E-5</v>
      </c>
      <c r="E80" s="7" t="s">
        <v>508</v>
      </c>
      <c r="F80" s="7">
        <v>5</v>
      </c>
      <c r="G80" s="7">
        <v>0</v>
      </c>
      <c r="H80" s="7">
        <v>1355</v>
      </c>
      <c r="I80" s="7">
        <v>1</v>
      </c>
      <c r="J80" s="7">
        <v>1643392198</v>
      </c>
    </row>
    <row r="81" spans="1:10" ht="21.95" customHeight="1" x14ac:dyDescent="0.2">
      <c r="A81" s="7">
        <v>242315</v>
      </c>
      <c r="B81" s="7" t="s">
        <v>536</v>
      </c>
      <c r="C81" s="24">
        <v>44589.743090277778</v>
      </c>
      <c r="D81" s="10">
        <v>3.6116299999999998E-5</v>
      </c>
      <c r="E81" s="7" t="s">
        <v>508</v>
      </c>
      <c r="F81" s="7">
        <v>5</v>
      </c>
      <c r="G81" s="7">
        <v>0</v>
      </c>
      <c r="H81" s="7">
        <v>1355</v>
      </c>
      <c r="I81" s="7">
        <v>1</v>
      </c>
      <c r="J81" s="7">
        <v>1643392203</v>
      </c>
    </row>
    <row r="82" spans="1:10" ht="21.95" customHeight="1" x14ac:dyDescent="0.2">
      <c r="A82" s="7">
        <v>242316</v>
      </c>
      <c r="B82" s="7" t="s">
        <v>536</v>
      </c>
      <c r="C82" s="24">
        <v>44589.743148148147</v>
      </c>
      <c r="D82" s="10">
        <v>3.66146E-5</v>
      </c>
      <c r="E82" s="7" t="s">
        <v>508</v>
      </c>
      <c r="F82" s="7">
        <v>5</v>
      </c>
      <c r="G82" s="7">
        <v>0</v>
      </c>
      <c r="H82" s="7">
        <v>1355</v>
      </c>
      <c r="I82" s="7">
        <v>1</v>
      </c>
      <c r="J82" s="7">
        <v>1643392208</v>
      </c>
    </row>
    <row r="83" spans="1:10" ht="21.95" customHeight="1" x14ac:dyDescent="0.2">
      <c r="A83" s="7">
        <v>242317</v>
      </c>
      <c r="B83" s="7" t="s">
        <v>536</v>
      </c>
      <c r="C83" s="24">
        <v>44589.743206018517</v>
      </c>
      <c r="D83" s="10">
        <v>3.4527999999999999E-5</v>
      </c>
      <c r="E83" s="7" t="s">
        <v>508</v>
      </c>
      <c r="F83" s="7">
        <v>5</v>
      </c>
      <c r="G83" s="7">
        <v>0</v>
      </c>
      <c r="H83" s="7">
        <v>1355</v>
      </c>
      <c r="I83" s="7">
        <v>1</v>
      </c>
      <c r="J83" s="7">
        <v>1643392213</v>
      </c>
    </row>
    <row r="84" spans="1:10" ht="21.95" customHeight="1" x14ac:dyDescent="0.2">
      <c r="A84" s="7">
        <v>242318</v>
      </c>
      <c r="B84" s="7" t="s">
        <v>536</v>
      </c>
      <c r="C84" s="24">
        <v>44589.743263888893</v>
      </c>
      <c r="D84" s="10">
        <v>2.97693E-5</v>
      </c>
      <c r="E84" s="7" t="s">
        <v>508</v>
      </c>
      <c r="F84" s="7">
        <v>5</v>
      </c>
      <c r="G84" s="7">
        <v>0</v>
      </c>
      <c r="H84" s="7">
        <v>1355</v>
      </c>
      <c r="I84" s="7">
        <v>1</v>
      </c>
      <c r="J84" s="7">
        <v>1643392218</v>
      </c>
    </row>
    <row r="85" spans="1:10" ht="21.95" customHeight="1" x14ac:dyDescent="0.2">
      <c r="A85" s="7">
        <v>242319</v>
      </c>
      <c r="B85" s="7" t="s">
        <v>536</v>
      </c>
      <c r="C85" s="24">
        <v>44589.743321759262</v>
      </c>
      <c r="D85" s="10">
        <v>2.4431400000000001E-5</v>
      </c>
      <c r="E85" s="7" t="s">
        <v>508</v>
      </c>
      <c r="F85" s="7">
        <v>5</v>
      </c>
      <c r="G85" s="7">
        <v>0</v>
      </c>
      <c r="H85" s="7">
        <v>1355</v>
      </c>
      <c r="I85" s="7">
        <v>1</v>
      </c>
      <c r="J85" s="7">
        <v>1643392223</v>
      </c>
    </row>
    <row r="86" spans="1:10" ht="21.95" customHeight="1" x14ac:dyDescent="0.2">
      <c r="A86" s="7">
        <v>242320</v>
      </c>
      <c r="B86" s="7" t="s">
        <v>536</v>
      </c>
      <c r="C86" s="24">
        <v>44589.743379629632</v>
      </c>
      <c r="D86" s="10">
        <v>1.6478300000000001E-5</v>
      </c>
      <c r="E86" s="7" t="s">
        <v>508</v>
      </c>
      <c r="F86" s="7">
        <v>5</v>
      </c>
      <c r="G86" s="7">
        <v>0</v>
      </c>
      <c r="H86" s="7">
        <v>1355</v>
      </c>
      <c r="I86" s="7">
        <v>1</v>
      </c>
      <c r="J86" s="7">
        <v>1643392228</v>
      </c>
    </row>
    <row r="87" spans="1:10" ht="21.95" customHeight="1" x14ac:dyDescent="0.2">
      <c r="A87" s="7">
        <v>242321</v>
      </c>
      <c r="B87" s="7" t="s">
        <v>536</v>
      </c>
      <c r="C87" s="24">
        <v>44589.743437500001</v>
      </c>
      <c r="D87" s="10">
        <v>7.1712400000000003E-6</v>
      </c>
      <c r="E87" s="7" t="s">
        <v>508</v>
      </c>
      <c r="F87" s="7">
        <v>5</v>
      </c>
      <c r="G87" s="7">
        <v>0</v>
      </c>
      <c r="H87" s="7">
        <v>1355</v>
      </c>
      <c r="I87" s="7">
        <v>1</v>
      </c>
      <c r="J87" s="7">
        <v>1643392233</v>
      </c>
    </row>
    <row r="88" spans="1:10" ht="21.95" customHeight="1" x14ac:dyDescent="0.2">
      <c r="A88" s="7">
        <v>242322</v>
      </c>
      <c r="B88" s="7" t="s">
        <v>536</v>
      </c>
      <c r="C88" s="24">
        <v>44589.743495370371</v>
      </c>
      <c r="D88" s="10">
        <v>-4.2162899999999999E-6</v>
      </c>
      <c r="E88" s="7" t="s">
        <v>508</v>
      </c>
      <c r="F88" s="7">
        <v>5</v>
      </c>
      <c r="G88" s="7">
        <v>0</v>
      </c>
      <c r="H88" s="7">
        <v>1355</v>
      </c>
      <c r="I88" s="7">
        <v>1</v>
      </c>
      <c r="J88" s="7">
        <v>1643392238</v>
      </c>
    </row>
    <row r="89" spans="1:10" ht="21.95" customHeight="1" x14ac:dyDescent="0.2">
      <c r="A89" s="7">
        <v>242323</v>
      </c>
      <c r="B89" s="7" t="s">
        <v>536</v>
      </c>
      <c r="C89" s="24">
        <v>44589.74355324074</v>
      </c>
      <c r="D89" s="10">
        <v>-1.3944899999999999E-5</v>
      </c>
      <c r="E89" s="7" t="s">
        <v>508</v>
      </c>
      <c r="F89" s="7">
        <v>5</v>
      </c>
      <c r="G89" s="7">
        <v>0</v>
      </c>
      <c r="H89" s="7">
        <v>1355</v>
      </c>
      <c r="I89" s="7">
        <v>1</v>
      </c>
      <c r="J89" s="7">
        <v>1643392243</v>
      </c>
    </row>
    <row r="90" spans="1:10" ht="21.95" customHeight="1" x14ac:dyDescent="0.2">
      <c r="A90" s="7">
        <v>242324</v>
      </c>
      <c r="B90" s="7" t="s">
        <v>536</v>
      </c>
      <c r="C90" s="24">
        <v>44589.743611111109</v>
      </c>
      <c r="D90" s="10">
        <v>-2.2554299999999999E-5</v>
      </c>
      <c r="E90" s="7" t="s">
        <v>508</v>
      </c>
      <c r="F90" s="7">
        <v>5</v>
      </c>
      <c r="G90" s="7">
        <v>0</v>
      </c>
      <c r="H90" s="7">
        <v>1355</v>
      </c>
      <c r="I90" s="7">
        <v>1</v>
      </c>
      <c r="J90" s="7">
        <v>1643392248</v>
      </c>
    </row>
    <row r="91" spans="1:10" ht="21.95" customHeight="1" x14ac:dyDescent="0.2">
      <c r="A91" s="7">
        <v>242325</v>
      </c>
      <c r="B91" s="7" t="s">
        <v>536</v>
      </c>
      <c r="C91" s="24">
        <v>44589.743668981479</v>
      </c>
      <c r="D91" s="10">
        <v>-2.8752099999999999E-5</v>
      </c>
      <c r="E91" s="7" t="s">
        <v>508</v>
      </c>
      <c r="F91" s="7">
        <v>5</v>
      </c>
      <c r="G91" s="7">
        <v>0</v>
      </c>
      <c r="H91" s="7">
        <v>1355</v>
      </c>
      <c r="I91" s="7">
        <v>1</v>
      </c>
      <c r="J91" s="7">
        <v>1643392253</v>
      </c>
    </row>
    <row r="92" spans="1:10" ht="21.95" customHeight="1" x14ac:dyDescent="0.2">
      <c r="A92" s="7">
        <v>242326</v>
      </c>
      <c r="B92" s="7" t="s">
        <v>536</v>
      </c>
      <c r="C92" s="24">
        <v>44589.743726851862</v>
      </c>
      <c r="D92" s="10">
        <v>-3.05452E-5</v>
      </c>
      <c r="E92" s="7" t="s">
        <v>508</v>
      </c>
      <c r="F92" s="7">
        <v>5</v>
      </c>
      <c r="G92" s="7">
        <v>0</v>
      </c>
      <c r="H92" s="7">
        <v>1356</v>
      </c>
      <c r="I92" s="7">
        <v>1</v>
      </c>
      <c r="J92" s="7">
        <v>1643392258</v>
      </c>
    </row>
    <row r="93" spans="1:10" ht="21.95" customHeight="1" x14ac:dyDescent="0.2">
      <c r="A93" s="7">
        <v>242327</v>
      </c>
      <c r="B93" s="7" t="s">
        <v>536</v>
      </c>
      <c r="C93" s="24">
        <v>44589.743784722217</v>
      </c>
      <c r="D93" s="10">
        <v>-2.98944E-5</v>
      </c>
      <c r="E93" s="7" t="s">
        <v>508</v>
      </c>
      <c r="F93" s="7">
        <v>5</v>
      </c>
      <c r="G93" s="7">
        <v>0</v>
      </c>
      <c r="H93" s="7">
        <v>1356</v>
      </c>
      <c r="I93" s="7">
        <v>1</v>
      </c>
      <c r="J93" s="7">
        <v>1643392263</v>
      </c>
    </row>
    <row r="94" spans="1:10" ht="21.95" customHeight="1" x14ac:dyDescent="0.2">
      <c r="A94" s="7">
        <v>242328</v>
      </c>
      <c r="B94" s="7" t="s">
        <v>536</v>
      </c>
      <c r="C94" s="24">
        <v>44589.743842592587</v>
      </c>
      <c r="D94" s="10">
        <v>-2.6431299999999999E-5</v>
      </c>
      <c r="E94" s="7" t="s">
        <v>508</v>
      </c>
      <c r="F94" s="7">
        <v>5</v>
      </c>
      <c r="G94" s="7">
        <v>0</v>
      </c>
      <c r="H94" s="7">
        <v>1356</v>
      </c>
      <c r="I94" s="7">
        <v>1</v>
      </c>
      <c r="J94" s="7">
        <v>1643392268</v>
      </c>
    </row>
    <row r="95" spans="1:10" ht="21.95" customHeight="1" x14ac:dyDescent="0.2">
      <c r="A95" s="7">
        <v>242329</v>
      </c>
      <c r="B95" s="7" t="s">
        <v>536</v>
      </c>
      <c r="C95" s="24">
        <v>44589.743900462963</v>
      </c>
      <c r="D95" s="10">
        <v>-2.0276400000000001E-5</v>
      </c>
      <c r="E95" s="7" t="s">
        <v>508</v>
      </c>
      <c r="F95" s="7">
        <v>5</v>
      </c>
      <c r="G95" s="7">
        <v>0</v>
      </c>
      <c r="H95" s="7">
        <v>1356</v>
      </c>
      <c r="I95" s="7">
        <v>1</v>
      </c>
      <c r="J95" s="7">
        <v>1643392273</v>
      </c>
    </row>
    <row r="96" spans="1:10" ht="21.95" customHeight="1" x14ac:dyDescent="0.2">
      <c r="A96" s="7">
        <v>242330</v>
      </c>
      <c r="B96" s="7" t="s">
        <v>536</v>
      </c>
      <c r="C96" s="24">
        <v>44589.743958333333</v>
      </c>
      <c r="D96" s="10">
        <v>-1.13796E-5</v>
      </c>
      <c r="E96" s="7" t="s">
        <v>508</v>
      </c>
      <c r="F96" s="7">
        <v>5</v>
      </c>
      <c r="G96" s="7">
        <v>0</v>
      </c>
      <c r="H96" s="7">
        <v>1356</v>
      </c>
      <c r="I96" s="7">
        <v>1</v>
      </c>
      <c r="J96" s="7">
        <v>1643392278</v>
      </c>
    </row>
    <row r="97" spans="1:10" ht="21.95" customHeight="1" x14ac:dyDescent="0.2">
      <c r="A97" s="7">
        <v>242331</v>
      </c>
      <c r="B97" s="7" t="s">
        <v>536</v>
      </c>
      <c r="C97" s="24">
        <v>44589.744016203702</v>
      </c>
      <c r="D97" s="10">
        <v>-8.1215599999999998E-7</v>
      </c>
      <c r="E97" s="7" t="s">
        <v>508</v>
      </c>
      <c r="F97" s="7">
        <v>5</v>
      </c>
      <c r="G97" s="7">
        <v>0</v>
      </c>
      <c r="H97" s="7">
        <v>1356</v>
      </c>
      <c r="I97" s="7">
        <v>1</v>
      </c>
      <c r="J97" s="7">
        <v>1643392283</v>
      </c>
    </row>
    <row r="98" spans="1:10" ht="21.95" customHeight="1" x14ac:dyDescent="0.2">
      <c r="A98" s="7">
        <v>242332</v>
      </c>
      <c r="B98" s="7" t="s">
        <v>536</v>
      </c>
      <c r="C98" s="24">
        <v>44589.744074074071</v>
      </c>
      <c r="D98" s="10">
        <v>9.8520199999999996E-6</v>
      </c>
      <c r="E98" s="7" t="s">
        <v>508</v>
      </c>
      <c r="F98" s="7">
        <v>5</v>
      </c>
      <c r="G98" s="7">
        <v>0</v>
      </c>
      <c r="H98" s="7">
        <v>1356</v>
      </c>
      <c r="I98" s="7">
        <v>1</v>
      </c>
      <c r="J98" s="7">
        <v>1643392288</v>
      </c>
    </row>
    <row r="99" spans="1:10" ht="21.95" customHeight="1" x14ac:dyDescent="0.2">
      <c r="A99" s="7">
        <v>242333</v>
      </c>
      <c r="B99" s="7" t="s">
        <v>536</v>
      </c>
      <c r="C99" s="24">
        <v>44589.744131944448</v>
      </c>
      <c r="D99" s="10">
        <v>1.7787100000000001E-5</v>
      </c>
      <c r="E99" s="7" t="s">
        <v>508</v>
      </c>
      <c r="F99" s="7">
        <v>5</v>
      </c>
      <c r="G99" s="7">
        <v>0</v>
      </c>
      <c r="H99" s="7">
        <v>1356</v>
      </c>
      <c r="I99" s="7">
        <v>1</v>
      </c>
      <c r="J99" s="7">
        <v>1643392293</v>
      </c>
    </row>
    <row r="100" spans="1:10" ht="21.95" customHeight="1" x14ac:dyDescent="0.2">
      <c r="A100" s="7">
        <v>242334</v>
      </c>
      <c r="B100" s="7" t="s">
        <v>536</v>
      </c>
      <c r="C100" s="24">
        <v>44589.744189814817</v>
      </c>
      <c r="D100" s="10">
        <v>2.4209599999999999E-5</v>
      </c>
      <c r="E100" s="7" t="s">
        <v>508</v>
      </c>
      <c r="F100" s="7">
        <v>5</v>
      </c>
      <c r="G100" s="7">
        <v>0</v>
      </c>
      <c r="H100" s="7">
        <v>1356</v>
      </c>
      <c r="I100" s="7">
        <v>1</v>
      </c>
      <c r="J100" s="7">
        <v>1643392298</v>
      </c>
    </row>
    <row r="101" spans="1:10" ht="21.95" customHeight="1" x14ac:dyDescent="0.2">
      <c r="A101" s="7">
        <v>242335</v>
      </c>
      <c r="B101" s="7" t="s">
        <v>536</v>
      </c>
      <c r="C101" s="24">
        <v>44589.744247685187</v>
      </c>
      <c r="D101" s="10">
        <v>2.9748699999999999E-5</v>
      </c>
      <c r="E101" s="7" t="s">
        <v>508</v>
      </c>
      <c r="F101" s="7">
        <v>5</v>
      </c>
      <c r="G101" s="7">
        <v>0</v>
      </c>
      <c r="H101" s="7">
        <v>1356</v>
      </c>
      <c r="I101" s="7">
        <v>1</v>
      </c>
      <c r="J101" s="7">
        <v>1643392303</v>
      </c>
    </row>
    <row r="102" spans="1:10" ht="21.95" customHeight="1" x14ac:dyDescent="0.2">
      <c r="A102" s="7">
        <v>242336</v>
      </c>
      <c r="B102" s="7" t="s">
        <v>536</v>
      </c>
      <c r="C102" s="24">
        <v>44589.744305555563</v>
      </c>
      <c r="D102" s="10">
        <v>3.2350300000000001E-5</v>
      </c>
      <c r="E102" s="7" t="s">
        <v>508</v>
      </c>
      <c r="F102" s="7">
        <v>5</v>
      </c>
      <c r="G102" s="7">
        <v>0</v>
      </c>
      <c r="H102" s="7">
        <v>1356</v>
      </c>
      <c r="I102" s="7">
        <v>1</v>
      </c>
      <c r="J102" s="7">
        <v>1643392308</v>
      </c>
    </row>
    <row r="103" spans="1:10" ht="21.95" customHeight="1" x14ac:dyDescent="0.2">
      <c r="A103" s="7">
        <v>242337</v>
      </c>
      <c r="B103" s="7" t="s">
        <v>536</v>
      </c>
      <c r="C103" s="24">
        <v>44589.744363425933</v>
      </c>
      <c r="D103" s="10">
        <v>3.2880699999999998E-5</v>
      </c>
      <c r="E103" s="7" t="s">
        <v>508</v>
      </c>
      <c r="F103" s="7">
        <v>5</v>
      </c>
      <c r="G103" s="7">
        <v>0</v>
      </c>
      <c r="H103" s="7">
        <v>1356</v>
      </c>
      <c r="I103" s="7">
        <v>1</v>
      </c>
      <c r="J103" s="7">
        <v>1643392313</v>
      </c>
    </row>
    <row r="104" spans="1:10" ht="21.95" customHeight="1" x14ac:dyDescent="0.2">
      <c r="A104" s="7">
        <v>242338</v>
      </c>
      <c r="B104" s="7" t="s">
        <v>536</v>
      </c>
      <c r="C104" s="24">
        <v>44589.744421296287</v>
      </c>
      <c r="D104" s="10">
        <v>3.1065899999999997E-5</v>
      </c>
      <c r="E104" s="7" t="s">
        <v>508</v>
      </c>
      <c r="F104" s="7">
        <v>5</v>
      </c>
      <c r="G104" s="7">
        <v>0</v>
      </c>
      <c r="H104" s="7">
        <v>1356</v>
      </c>
      <c r="I104" s="7">
        <v>1</v>
      </c>
      <c r="J104" s="7">
        <v>1643392318</v>
      </c>
    </row>
    <row r="105" spans="1:10" ht="21.95" customHeight="1" x14ac:dyDescent="0.2">
      <c r="A105" s="7">
        <v>242339</v>
      </c>
      <c r="B105" s="7" t="s">
        <v>536</v>
      </c>
      <c r="C105" s="24">
        <v>44589.744479166657</v>
      </c>
      <c r="D105" s="10">
        <v>2.60302E-5</v>
      </c>
      <c r="E105" s="7" t="s">
        <v>508</v>
      </c>
      <c r="F105" s="7">
        <v>5</v>
      </c>
      <c r="G105" s="7">
        <v>0</v>
      </c>
      <c r="H105" s="7">
        <v>1356</v>
      </c>
      <c r="I105" s="7">
        <v>1</v>
      </c>
      <c r="J105" s="7">
        <v>1643392323</v>
      </c>
    </row>
    <row r="106" spans="1:10" ht="21.95" customHeight="1" x14ac:dyDescent="0.2">
      <c r="A106" s="7">
        <v>242340</v>
      </c>
      <c r="B106" s="7" t="s">
        <v>536</v>
      </c>
      <c r="C106" s="24">
        <v>44589.744537037041</v>
      </c>
      <c r="D106" s="10">
        <v>2.1146799999999999E-5</v>
      </c>
      <c r="E106" s="7" t="s">
        <v>508</v>
      </c>
      <c r="F106" s="7">
        <v>5</v>
      </c>
      <c r="G106" s="7">
        <v>0</v>
      </c>
      <c r="H106" s="7">
        <v>1356</v>
      </c>
      <c r="I106" s="7">
        <v>1</v>
      </c>
      <c r="J106" s="7">
        <v>1643392328</v>
      </c>
    </row>
    <row r="107" spans="1:10" ht="21.95" customHeight="1" x14ac:dyDescent="0.2">
      <c r="A107" s="7">
        <v>242341</v>
      </c>
      <c r="B107" s="7" t="s">
        <v>536</v>
      </c>
      <c r="C107" s="24">
        <v>44589.74459490741</v>
      </c>
      <c r="D107" s="10">
        <v>1.3602699999999999E-5</v>
      </c>
      <c r="E107" s="7" t="s">
        <v>508</v>
      </c>
      <c r="F107" s="7">
        <v>5</v>
      </c>
      <c r="G107" s="7">
        <v>0</v>
      </c>
      <c r="H107" s="7">
        <v>1356</v>
      </c>
      <c r="I107" s="7">
        <v>1</v>
      </c>
      <c r="J107" s="7">
        <v>1643392333</v>
      </c>
    </row>
    <row r="108" spans="1:10" ht="21.95" customHeight="1" x14ac:dyDescent="0.2">
      <c r="A108" s="7">
        <v>242342</v>
      </c>
      <c r="B108" s="7" t="s">
        <v>536</v>
      </c>
      <c r="C108" s="24">
        <v>44589.744652777779</v>
      </c>
      <c r="D108" s="10">
        <v>4.5659900000000001E-6</v>
      </c>
      <c r="E108" s="7" t="s">
        <v>508</v>
      </c>
      <c r="F108" s="7">
        <v>5</v>
      </c>
      <c r="G108" s="7">
        <v>0</v>
      </c>
      <c r="H108" s="7">
        <v>1356</v>
      </c>
      <c r="I108" s="7">
        <v>1</v>
      </c>
      <c r="J108" s="7">
        <v>1643392338</v>
      </c>
    </row>
    <row r="109" spans="1:10" ht="21.95" customHeight="1" x14ac:dyDescent="0.2">
      <c r="A109" s="7">
        <v>242343</v>
      </c>
      <c r="B109" s="7" t="s">
        <v>536</v>
      </c>
      <c r="C109" s="24">
        <v>44589.744710648149</v>
      </c>
      <c r="D109" s="10">
        <v>-5.2256999999999998E-6</v>
      </c>
      <c r="E109" s="7" t="s">
        <v>508</v>
      </c>
      <c r="F109" s="7">
        <v>5</v>
      </c>
      <c r="G109" s="7">
        <v>0</v>
      </c>
      <c r="H109" s="7">
        <v>1356</v>
      </c>
      <c r="I109" s="7">
        <v>1</v>
      </c>
      <c r="J109" s="7">
        <v>1643392343</v>
      </c>
    </row>
    <row r="110" spans="1:10" ht="21.95" customHeight="1" x14ac:dyDescent="0.2">
      <c r="A110" s="7">
        <v>242344</v>
      </c>
      <c r="B110" s="7" t="s">
        <v>536</v>
      </c>
      <c r="C110" s="24">
        <v>44589.744768518518</v>
      </c>
      <c r="D110" s="10">
        <v>-1.52075E-5</v>
      </c>
      <c r="E110" s="7" t="s">
        <v>508</v>
      </c>
      <c r="F110" s="7">
        <v>5</v>
      </c>
      <c r="G110" s="7">
        <v>0</v>
      </c>
      <c r="H110" s="7">
        <v>1356</v>
      </c>
      <c r="I110" s="7">
        <v>1</v>
      </c>
      <c r="J110" s="7">
        <v>1643392348</v>
      </c>
    </row>
    <row r="111" spans="1:10" ht="21.95" customHeight="1" x14ac:dyDescent="0.2">
      <c r="A111" s="7">
        <v>242345</v>
      </c>
      <c r="B111" s="7" t="s">
        <v>536</v>
      </c>
      <c r="C111" s="24">
        <v>44589.744826388887</v>
      </c>
      <c r="D111" s="10">
        <v>-2.2823399999999999E-5</v>
      </c>
      <c r="E111" s="7" t="s">
        <v>508</v>
      </c>
      <c r="F111" s="7">
        <v>5</v>
      </c>
      <c r="G111" s="7">
        <v>0</v>
      </c>
      <c r="H111" s="7">
        <v>1356</v>
      </c>
      <c r="I111" s="7">
        <v>1</v>
      </c>
      <c r="J111" s="7">
        <v>1643392353</v>
      </c>
    </row>
    <row r="112" spans="1:10" ht="21.95" customHeight="1" x14ac:dyDescent="0.2">
      <c r="A112" s="7">
        <v>242346</v>
      </c>
      <c r="B112" s="7" t="s">
        <v>536</v>
      </c>
      <c r="C112" s="24">
        <v>44589.744884259257</v>
      </c>
      <c r="D112" s="10">
        <v>-2.72367E-5</v>
      </c>
      <c r="E112" s="7" t="s">
        <v>508</v>
      </c>
      <c r="F112" s="7">
        <v>5</v>
      </c>
      <c r="G112" s="7">
        <v>0</v>
      </c>
      <c r="H112" s="7">
        <v>1356</v>
      </c>
      <c r="I112" s="7">
        <v>1</v>
      </c>
      <c r="J112" s="7">
        <v>1643392358</v>
      </c>
    </row>
    <row r="113" spans="1:10" ht="21.95" customHeight="1" x14ac:dyDescent="0.2">
      <c r="A113" s="7">
        <v>242347</v>
      </c>
      <c r="B113" s="7" t="s">
        <v>536</v>
      </c>
      <c r="C113" s="24">
        <v>44589.744942129633</v>
      </c>
      <c r="D113" s="10">
        <v>-2.99254E-5</v>
      </c>
      <c r="E113" s="7" t="s">
        <v>508</v>
      </c>
      <c r="F113" s="7">
        <v>5</v>
      </c>
      <c r="G113" s="7">
        <v>0</v>
      </c>
      <c r="H113" s="7">
        <v>1356</v>
      </c>
      <c r="I113" s="7">
        <v>1</v>
      </c>
      <c r="J113" s="7">
        <v>1643392363</v>
      </c>
    </row>
    <row r="114" spans="1:10" ht="21.95" customHeight="1" x14ac:dyDescent="0.2">
      <c r="A114" s="7">
        <v>242348</v>
      </c>
      <c r="B114" s="7" t="s">
        <v>536</v>
      </c>
      <c r="C114" s="24">
        <v>44589.745000000003</v>
      </c>
      <c r="D114" s="10">
        <v>-2.9238200000000001E-5</v>
      </c>
      <c r="E114" s="7" t="s">
        <v>508</v>
      </c>
      <c r="F114" s="7">
        <v>5</v>
      </c>
      <c r="G114" s="7">
        <v>1</v>
      </c>
      <c r="H114" s="7">
        <v>1357</v>
      </c>
      <c r="I114" s="7">
        <v>1</v>
      </c>
      <c r="J114" s="7">
        <v>1643392368</v>
      </c>
    </row>
    <row r="115" spans="1:10" ht="21.95" customHeight="1" x14ac:dyDescent="0.2">
      <c r="A115" s="7">
        <v>242349</v>
      </c>
      <c r="B115" s="7" t="s">
        <v>536</v>
      </c>
      <c r="C115" s="24">
        <v>44589.745057870372</v>
      </c>
      <c r="D115" s="10">
        <v>-2.5530399999999999E-5</v>
      </c>
      <c r="E115" s="7" t="s">
        <v>508</v>
      </c>
      <c r="F115" s="7">
        <v>5</v>
      </c>
      <c r="G115" s="7">
        <v>1</v>
      </c>
      <c r="H115" s="7">
        <v>1357</v>
      </c>
      <c r="I115" s="7">
        <v>1</v>
      </c>
      <c r="J115" s="7">
        <v>1643392373</v>
      </c>
    </row>
    <row r="116" spans="1:10" ht="21.95" customHeight="1" x14ac:dyDescent="0.2">
      <c r="A116" s="7">
        <v>242350</v>
      </c>
      <c r="B116" s="7" t="s">
        <v>536</v>
      </c>
      <c r="C116" s="24">
        <v>44589.745115740741</v>
      </c>
      <c r="D116" s="10">
        <v>-1.8904699999999999E-5</v>
      </c>
      <c r="E116" s="7" t="s">
        <v>508</v>
      </c>
      <c r="F116" s="7">
        <v>5</v>
      </c>
      <c r="G116" s="7">
        <v>1</v>
      </c>
      <c r="H116" s="7">
        <v>1357</v>
      </c>
      <c r="I116" s="7">
        <v>1</v>
      </c>
      <c r="J116" s="7">
        <v>1643392378</v>
      </c>
    </row>
    <row r="117" spans="1:10" ht="21.95" customHeight="1" x14ac:dyDescent="0.2">
      <c r="A117" s="7">
        <v>242351</v>
      </c>
      <c r="B117" s="7" t="s">
        <v>536</v>
      </c>
      <c r="C117" s="24">
        <v>44589.745173611111</v>
      </c>
      <c r="D117" s="10">
        <v>-9.9715200000000007E-6</v>
      </c>
      <c r="E117" s="7" t="s">
        <v>508</v>
      </c>
      <c r="F117" s="7">
        <v>5</v>
      </c>
      <c r="G117" s="7">
        <v>1</v>
      </c>
      <c r="H117" s="7">
        <v>1357</v>
      </c>
      <c r="I117" s="7">
        <v>1</v>
      </c>
      <c r="J117" s="7">
        <v>1643392383</v>
      </c>
    </row>
    <row r="118" spans="1:10" ht="21.95" customHeight="1" x14ac:dyDescent="0.2">
      <c r="A118" s="7">
        <v>242352</v>
      </c>
      <c r="B118" s="7" t="s">
        <v>536</v>
      </c>
      <c r="C118" s="24">
        <v>44589.74523148148</v>
      </c>
      <c r="D118" s="10">
        <v>-7.3643800000000005E-7</v>
      </c>
      <c r="E118" s="7" t="s">
        <v>508</v>
      </c>
      <c r="F118" s="7">
        <v>5</v>
      </c>
      <c r="G118" s="7">
        <v>1</v>
      </c>
      <c r="H118" s="7">
        <v>1357</v>
      </c>
      <c r="I118" s="7">
        <v>1</v>
      </c>
      <c r="J118" s="7">
        <v>1643392388</v>
      </c>
    </row>
    <row r="119" spans="1:10" ht="21.95" customHeight="1" x14ac:dyDescent="0.2">
      <c r="A119" s="7">
        <v>242353</v>
      </c>
      <c r="B119" s="7" t="s">
        <v>536</v>
      </c>
      <c r="C119" s="24">
        <v>44589.745289351849</v>
      </c>
      <c r="D119" s="10">
        <v>7.0153700000000002E-6</v>
      </c>
      <c r="E119" s="7" t="s">
        <v>508</v>
      </c>
      <c r="F119" s="7">
        <v>5</v>
      </c>
      <c r="G119" s="7">
        <v>1</v>
      </c>
      <c r="H119" s="7">
        <v>1357</v>
      </c>
      <c r="I119" s="7">
        <v>1</v>
      </c>
      <c r="J119" s="7">
        <v>1643392393</v>
      </c>
    </row>
    <row r="120" spans="1:10" ht="21.95" customHeight="1" x14ac:dyDescent="0.2">
      <c r="A120" s="7">
        <v>242354</v>
      </c>
      <c r="B120" s="7" t="s">
        <v>536</v>
      </c>
      <c r="C120" s="24">
        <v>44589.745347222219</v>
      </c>
      <c r="D120" s="10">
        <v>1.50251E-5</v>
      </c>
      <c r="E120" s="7" t="s">
        <v>508</v>
      </c>
      <c r="F120" s="7">
        <v>5</v>
      </c>
      <c r="G120" s="7">
        <v>1</v>
      </c>
      <c r="H120" s="7">
        <v>1357</v>
      </c>
      <c r="I120" s="7">
        <v>1</v>
      </c>
      <c r="J120" s="7">
        <v>1643392398</v>
      </c>
    </row>
    <row r="121" spans="1:10" ht="21.95" customHeight="1" x14ac:dyDescent="0.2">
      <c r="A121" s="7">
        <v>242355</v>
      </c>
      <c r="B121" s="7" t="s">
        <v>536</v>
      </c>
      <c r="C121" s="24">
        <v>44589.745405092603</v>
      </c>
      <c r="D121" s="10">
        <v>2.08706E-5</v>
      </c>
      <c r="E121" s="7" t="s">
        <v>508</v>
      </c>
      <c r="F121" s="7">
        <v>5</v>
      </c>
      <c r="G121" s="7">
        <v>1</v>
      </c>
      <c r="H121" s="7">
        <v>1357</v>
      </c>
      <c r="I121" s="7">
        <v>1</v>
      </c>
      <c r="J121" s="7">
        <v>1643392403</v>
      </c>
    </row>
    <row r="122" spans="1:10" ht="21.95" customHeight="1" x14ac:dyDescent="0.2">
      <c r="A122" s="7">
        <v>242356</v>
      </c>
      <c r="B122" s="7" t="s">
        <v>536</v>
      </c>
      <c r="C122" s="24">
        <v>44589.745462962957</v>
      </c>
      <c r="D122" s="10">
        <v>2.5888500000000001E-5</v>
      </c>
      <c r="E122" s="7" t="s">
        <v>508</v>
      </c>
      <c r="F122" s="7">
        <v>5</v>
      </c>
      <c r="G122" s="7">
        <v>1</v>
      </c>
      <c r="H122" s="7">
        <v>1357</v>
      </c>
      <c r="I122" s="7">
        <v>1</v>
      </c>
      <c r="J122" s="7">
        <v>1643392408</v>
      </c>
    </row>
    <row r="123" spans="1:10" ht="21.95" customHeight="1" x14ac:dyDescent="0.2">
      <c r="A123" s="7">
        <v>242357</v>
      </c>
      <c r="B123" s="7" t="s">
        <v>536</v>
      </c>
      <c r="C123" s="24">
        <v>44589.745983796303</v>
      </c>
      <c r="D123" s="10">
        <v>-1.3835999999999999E-5</v>
      </c>
      <c r="E123" s="7" t="s">
        <v>508</v>
      </c>
      <c r="F123" s="7">
        <v>5</v>
      </c>
      <c r="G123" s="7">
        <v>1</v>
      </c>
      <c r="H123" s="7">
        <v>1357</v>
      </c>
      <c r="I123" s="7">
        <v>1</v>
      </c>
      <c r="J123" s="7">
        <v>1643392453</v>
      </c>
    </row>
    <row r="124" spans="1:10" ht="21.95" customHeight="1" x14ac:dyDescent="0.2">
      <c r="A124" s="7">
        <v>242358</v>
      </c>
      <c r="B124" s="7" t="s">
        <v>536</v>
      </c>
      <c r="C124" s="24">
        <v>44589.746041666673</v>
      </c>
      <c r="D124" s="10">
        <v>-2.0225600000000002E-5</v>
      </c>
      <c r="E124" s="7" t="s">
        <v>508</v>
      </c>
      <c r="F124" s="7">
        <v>5</v>
      </c>
      <c r="G124" s="7">
        <v>1</v>
      </c>
      <c r="H124" s="7">
        <v>1357</v>
      </c>
      <c r="I124" s="7">
        <v>1</v>
      </c>
      <c r="J124" s="7">
        <v>1643392458</v>
      </c>
    </row>
    <row r="125" spans="1:10" ht="21.95" customHeight="1" x14ac:dyDescent="0.2">
      <c r="A125" s="7">
        <v>242359</v>
      </c>
      <c r="B125" s="7" t="s">
        <v>536</v>
      </c>
      <c r="C125" s="24">
        <v>44589.746099537027</v>
      </c>
      <c r="D125" s="10">
        <v>-2.4590899999999999E-5</v>
      </c>
      <c r="E125" s="7" t="s">
        <v>508</v>
      </c>
      <c r="F125" s="7">
        <v>5</v>
      </c>
      <c r="G125" s="7">
        <v>1</v>
      </c>
      <c r="H125" s="7">
        <v>1357</v>
      </c>
      <c r="I125" s="7">
        <v>1</v>
      </c>
      <c r="J125" s="7">
        <v>1643392463</v>
      </c>
    </row>
  </sheetData>
  <mergeCells count="2">
    <mergeCell ref="A1:J1"/>
    <mergeCell ref="A2:J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249977111117893"/>
  </sheetPr>
  <dimension ref="A1:Q106"/>
  <sheetViews>
    <sheetView workbookViewId="0">
      <selection sqref="A1:M1"/>
    </sheetView>
  </sheetViews>
  <sheetFormatPr defaultRowHeight="15" x14ac:dyDescent="0.2"/>
  <cols>
    <col min="1" max="1" width="16.94921875" customWidth="1"/>
    <col min="2" max="2" width="25.9609375" customWidth="1"/>
    <col min="3" max="4" width="16.94921875" customWidth="1"/>
    <col min="5" max="5" width="36.9921875" customWidth="1"/>
    <col min="6" max="10" width="16.94921875" customWidth="1"/>
    <col min="11" max="13" width="53" customWidth="1"/>
    <col min="14" max="17" width="25.9609375" customWidth="1"/>
  </cols>
  <sheetData>
    <row r="1" spans="1:17" ht="33.950000000000003" customHeight="1" x14ac:dyDescent="0.3">
      <c r="A1" s="101" t="s">
        <v>551</v>
      </c>
      <c r="B1" s="80"/>
      <c r="C1" s="80"/>
      <c r="D1" s="80"/>
      <c r="E1" s="80"/>
      <c r="F1" s="80"/>
      <c r="G1" s="80"/>
      <c r="H1" s="80"/>
      <c r="I1" s="80"/>
      <c r="J1" s="80"/>
      <c r="K1" s="80"/>
      <c r="L1" s="80"/>
      <c r="M1" s="80"/>
    </row>
    <row r="2" spans="1:17" ht="23.1" customHeight="1" x14ac:dyDescent="0.2">
      <c r="A2" s="102" t="s">
        <v>552</v>
      </c>
      <c r="B2" s="80"/>
      <c r="C2" s="80"/>
      <c r="D2" s="80"/>
      <c r="E2" s="80"/>
      <c r="F2" s="80"/>
      <c r="G2" s="80"/>
      <c r="H2" s="80"/>
      <c r="I2" s="80"/>
      <c r="J2" s="80"/>
      <c r="K2" s="80"/>
      <c r="L2" s="80"/>
      <c r="M2" s="80"/>
    </row>
    <row r="3" spans="1:17" ht="23.1" customHeight="1" x14ac:dyDescent="0.2">
      <c r="A3" s="80"/>
      <c r="B3" s="80"/>
      <c r="C3" s="80"/>
      <c r="D3" s="80"/>
      <c r="E3" s="80"/>
      <c r="F3" s="80"/>
      <c r="G3" s="80"/>
      <c r="H3" s="80"/>
      <c r="I3" s="80"/>
      <c r="J3" s="80"/>
      <c r="K3" s="80"/>
      <c r="L3" s="80"/>
      <c r="M3" s="80"/>
    </row>
    <row r="4" spans="1:17" x14ac:dyDescent="0.2">
      <c r="A4" s="1"/>
      <c r="B4" s="1"/>
      <c r="C4" s="1"/>
      <c r="D4" s="1"/>
      <c r="E4" s="1"/>
      <c r="F4" s="1"/>
      <c r="G4" s="1"/>
      <c r="H4" s="1"/>
      <c r="I4" s="1"/>
      <c r="J4" s="1"/>
      <c r="K4" s="1"/>
      <c r="L4" s="1"/>
      <c r="M4" s="1"/>
    </row>
    <row r="5" spans="1:17" ht="60" customHeight="1" x14ac:dyDescent="0.2">
      <c r="A5" s="5" t="s">
        <v>553</v>
      </c>
      <c r="B5" s="5" t="s">
        <v>554</v>
      </c>
      <c r="C5" s="5" t="s">
        <v>550</v>
      </c>
      <c r="D5" s="5" t="s">
        <v>555</v>
      </c>
      <c r="E5" s="5" t="s">
        <v>556</v>
      </c>
      <c r="F5" s="5" t="s">
        <v>557</v>
      </c>
      <c r="G5" s="5" t="s">
        <v>558</v>
      </c>
      <c r="H5" s="5" t="s">
        <v>559</v>
      </c>
      <c r="I5" s="5" t="s">
        <v>560</v>
      </c>
      <c r="J5" s="5" t="s">
        <v>561</v>
      </c>
      <c r="K5" s="5" t="s">
        <v>562</v>
      </c>
      <c r="L5" s="5" t="s">
        <v>563</v>
      </c>
      <c r="M5" s="5" t="s">
        <v>564</v>
      </c>
      <c r="N5" s="33" t="s">
        <v>565</v>
      </c>
      <c r="O5" s="33" t="s">
        <v>566</v>
      </c>
      <c r="P5" s="33" t="s">
        <v>567</v>
      </c>
      <c r="Q5" s="33" t="s">
        <v>568</v>
      </c>
    </row>
    <row r="6" spans="1:17" ht="62.1" customHeight="1" x14ac:dyDescent="0.2">
      <c r="A6" s="7">
        <v>203</v>
      </c>
      <c r="B6" s="24">
        <v>44589.738067129627</v>
      </c>
      <c r="C6" s="7">
        <v>1643391769</v>
      </c>
      <c r="D6" s="7">
        <v>44878</v>
      </c>
      <c r="E6" s="7" t="s">
        <v>569</v>
      </c>
      <c r="F6" s="7"/>
      <c r="G6" s="7"/>
      <c r="H6" s="7" t="s">
        <v>570</v>
      </c>
      <c r="I6" s="7" t="s">
        <v>571</v>
      </c>
      <c r="J6" s="7">
        <v>110</v>
      </c>
      <c r="K6" s="8" t="s">
        <v>572</v>
      </c>
      <c r="L6" s="8" t="s">
        <v>573</v>
      </c>
      <c r="M6" s="8" t="s">
        <v>574</v>
      </c>
      <c r="N6" s="26" t="s">
        <v>575</v>
      </c>
      <c r="O6" s="26" t="s">
        <v>576</v>
      </c>
      <c r="P6" s="26">
        <v>1</v>
      </c>
      <c r="Q6" s="26" t="s">
        <v>577</v>
      </c>
    </row>
    <row r="7" spans="1:17" ht="62.1" customHeight="1" x14ac:dyDescent="0.2">
      <c r="A7" s="7">
        <v>202</v>
      </c>
      <c r="B7" s="24">
        <v>44589.73841435185</v>
      </c>
      <c r="C7" s="7">
        <v>1643391799</v>
      </c>
      <c r="D7" s="7">
        <v>44878</v>
      </c>
      <c r="E7" s="7" t="s">
        <v>569</v>
      </c>
      <c r="F7" s="7"/>
      <c r="G7" s="7"/>
      <c r="H7" s="7" t="s">
        <v>570</v>
      </c>
      <c r="I7" s="7" t="s">
        <v>571</v>
      </c>
      <c r="J7" s="7">
        <v>110</v>
      </c>
      <c r="K7" s="8" t="s">
        <v>578</v>
      </c>
      <c r="L7" s="8" t="s">
        <v>579</v>
      </c>
      <c r="M7" s="8" t="s">
        <v>574</v>
      </c>
      <c r="N7" s="26" t="s">
        <v>575</v>
      </c>
      <c r="O7" s="26" t="s">
        <v>576</v>
      </c>
      <c r="P7" s="26">
        <v>2</v>
      </c>
      <c r="Q7" s="26" t="s">
        <v>577</v>
      </c>
    </row>
    <row r="8" spans="1:17" ht="62.1" customHeight="1" x14ac:dyDescent="0.2">
      <c r="A8" s="7">
        <v>201</v>
      </c>
      <c r="B8" s="24">
        <v>44589.738541666673</v>
      </c>
      <c r="C8" s="7">
        <v>1643391810</v>
      </c>
      <c r="D8" s="7">
        <v>44878</v>
      </c>
      <c r="E8" s="7" t="s">
        <v>569</v>
      </c>
      <c r="F8" s="7"/>
      <c r="G8" s="7"/>
      <c r="H8" s="7" t="s">
        <v>570</v>
      </c>
      <c r="I8" s="7" t="s">
        <v>571</v>
      </c>
      <c r="J8" s="7">
        <v>110</v>
      </c>
      <c r="K8" s="8" t="s">
        <v>580</v>
      </c>
      <c r="L8" s="8" t="s">
        <v>581</v>
      </c>
      <c r="M8" s="8" t="s">
        <v>574</v>
      </c>
      <c r="N8" s="26" t="s">
        <v>575</v>
      </c>
      <c r="O8" s="26" t="s">
        <v>576</v>
      </c>
      <c r="P8" s="26">
        <v>3</v>
      </c>
      <c r="Q8" s="26" t="s">
        <v>577</v>
      </c>
    </row>
    <row r="9" spans="1:17" ht="62.1" customHeight="1" x14ac:dyDescent="0.2">
      <c r="A9" s="7">
        <v>200</v>
      </c>
      <c r="B9" s="24">
        <v>44589.738645833328</v>
      </c>
      <c r="C9" s="7">
        <v>1643391819</v>
      </c>
      <c r="D9" s="7">
        <v>44878</v>
      </c>
      <c r="E9" s="7" t="s">
        <v>569</v>
      </c>
      <c r="F9" s="7"/>
      <c r="G9" s="7"/>
      <c r="H9" s="7" t="s">
        <v>570</v>
      </c>
      <c r="I9" s="7" t="s">
        <v>571</v>
      </c>
      <c r="J9" s="7">
        <v>110</v>
      </c>
      <c r="K9" s="8" t="s">
        <v>582</v>
      </c>
      <c r="L9" s="8" t="s">
        <v>583</v>
      </c>
      <c r="M9" s="8" t="s">
        <v>574</v>
      </c>
      <c r="N9" s="26" t="s">
        <v>575</v>
      </c>
      <c r="O9" s="26" t="s">
        <v>576</v>
      </c>
      <c r="P9" s="26">
        <v>4</v>
      </c>
      <c r="Q9" s="26" t="s">
        <v>577</v>
      </c>
    </row>
    <row r="10" spans="1:17" ht="62.1" customHeight="1" x14ac:dyDescent="0.2">
      <c r="A10" s="7">
        <v>199</v>
      </c>
      <c r="B10" s="24">
        <v>44589.739108796297</v>
      </c>
      <c r="C10" s="7">
        <v>1643391859</v>
      </c>
      <c r="D10" s="7">
        <v>44878</v>
      </c>
      <c r="E10" s="7" t="s">
        <v>584</v>
      </c>
      <c r="F10" s="7">
        <v>839</v>
      </c>
      <c r="G10" s="7">
        <v>5375671</v>
      </c>
      <c r="H10" s="7" t="s">
        <v>585</v>
      </c>
      <c r="I10" s="7" t="s">
        <v>571</v>
      </c>
      <c r="J10" s="7">
        <v>74</v>
      </c>
      <c r="K10" s="8" t="s">
        <v>586</v>
      </c>
      <c r="L10" s="8" t="s">
        <v>587</v>
      </c>
      <c r="M10" s="8" t="s">
        <v>588</v>
      </c>
      <c r="N10" s="26" t="s">
        <v>575</v>
      </c>
      <c r="O10" s="26" t="s">
        <v>589</v>
      </c>
      <c r="P10" s="26">
        <v>5</v>
      </c>
      <c r="Q10" s="26" t="s">
        <v>590</v>
      </c>
    </row>
    <row r="11" spans="1:17" ht="62.1" customHeight="1" x14ac:dyDescent="0.2">
      <c r="A11" s="7">
        <v>197</v>
      </c>
      <c r="B11" s="24">
        <v>44589.739224537043</v>
      </c>
      <c r="C11" s="7">
        <v>1643391869</v>
      </c>
      <c r="D11" s="7">
        <v>44878</v>
      </c>
      <c r="E11" s="7" t="s">
        <v>584</v>
      </c>
      <c r="F11" s="7">
        <v>839</v>
      </c>
      <c r="G11" s="7">
        <v>5375671</v>
      </c>
      <c r="H11" s="7" t="s">
        <v>585</v>
      </c>
      <c r="I11" s="7" t="s">
        <v>571</v>
      </c>
      <c r="J11" s="7">
        <v>74</v>
      </c>
      <c r="K11" s="8" t="s">
        <v>591</v>
      </c>
      <c r="L11" s="8" t="s">
        <v>592</v>
      </c>
      <c r="M11" s="8" t="s">
        <v>593</v>
      </c>
      <c r="N11" s="26" t="s">
        <v>575</v>
      </c>
      <c r="O11" s="26" t="s">
        <v>589</v>
      </c>
      <c r="P11" s="26">
        <v>6</v>
      </c>
      <c r="Q11" s="26" t="s">
        <v>577</v>
      </c>
    </row>
    <row r="12" spans="1:17" ht="62.1" customHeight="1" x14ac:dyDescent="0.2">
      <c r="A12" s="7">
        <v>198</v>
      </c>
      <c r="B12" s="24">
        <v>44589.739224537043</v>
      </c>
      <c r="C12" s="7">
        <v>1643391869</v>
      </c>
      <c r="D12" s="7">
        <v>44878</v>
      </c>
      <c r="E12" s="7" t="s">
        <v>569</v>
      </c>
      <c r="F12" s="7"/>
      <c r="G12" s="7"/>
      <c r="H12" s="7" t="s">
        <v>570</v>
      </c>
      <c r="I12" s="7" t="s">
        <v>571</v>
      </c>
      <c r="J12" s="7">
        <v>110</v>
      </c>
      <c r="K12" s="8" t="s">
        <v>594</v>
      </c>
      <c r="L12" s="8" t="s">
        <v>595</v>
      </c>
      <c r="M12" s="8" t="s">
        <v>574</v>
      </c>
      <c r="N12" s="26" t="s">
        <v>575</v>
      </c>
      <c r="O12" s="26" t="s">
        <v>576</v>
      </c>
      <c r="P12" s="26">
        <v>6</v>
      </c>
      <c r="Q12" s="26" t="s">
        <v>577</v>
      </c>
    </row>
    <row r="13" spans="1:17" ht="62.1" customHeight="1" x14ac:dyDescent="0.2">
      <c r="A13" s="7">
        <v>196</v>
      </c>
      <c r="B13" s="24">
        <v>44589.739340277767</v>
      </c>
      <c r="C13" s="7">
        <v>1643391879</v>
      </c>
      <c r="D13" s="7">
        <v>44878</v>
      </c>
      <c r="E13" s="7" t="s">
        <v>584</v>
      </c>
      <c r="F13" s="7">
        <v>839</v>
      </c>
      <c r="G13" s="7">
        <v>5375671</v>
      </c>
      <c r="H13" s="7" t="s">
        <v>585</v>
      </c>
      <c r="I13" s="7" t="s">
        <v>571</v>
      </c>
      <c r="J13" s="7">
        <v>74</v>
      </c>
      <c r="K13" s="8" t="s">
        <v>596</v>
      </c>
      <c r="L13" s="8" t="s">
        <v>597</v>
      </c>
      <c r="M13" s="8" t="s">
        <v>588</v>
      </c>
      <c r="N13" s="26" t="s">
        <v>575</v>
      </c>
      <c r="O13" s="26" t="s">
        <v>589</v>
      </c>
      <c r="P13" s="26">
        <v>7</v>
      </c>
      <c r="Q13" s="26" t="s">
        <v>590</v>
      </c>
    </row>
    <row r="14" spans="1:17" ht="62.1" customHeight="1" x14ac:dyDescent="0.2">
      <c r="A14" s="7">
        <v>195</v>
      </c>
      <c r="B14" s="24">
        <v>44589.73945601852</v>
      </c>
      <c r="C14" s="7">
        <v>1643391889</v>
      </c>
      <c r="D14" s="7">
        <v>44878</v>
      </c>
      <c r="E14" s="7" t="s">
        <v>569</v>
      </c>
      <c r="F14" s="7"/>
      <c r="G14" s="7"/>
      <c r="H14" s="7" t="s">
        <v>570</v>
      </c>
      <c r="I14" s="7" t="s">
        <v>571</v>
      </c>
      <c r="J14" s="7">
        <v>110</v>
      </c>
      <c r="K14" s="8" t="s">
        <v>598</v>
      </c>
      <c r="L14" s="8" t="s">
        <v>599</v>
      </c>
      <c r="M14" s="8" t="s">
        <v>574</v>
      </c>
      <c r="N14" s="26" t="s">
        <v>575</v>
      </c>
      <c r="O14" s="26" t="s">
        <v>576</v>
      </c>
      <c r="P14" s="26">
        <v>8</v>
      </c>
      <c r="Q14" s="26" t="s">
        <v>577</v>
      </c>
    </row>
    <row r="15" spans="1:17" ht="62.1" customHeight="1" x14ac:dyDescent="0.2">
      <c r="A15" s="7">
        <v>193</v>
      </c>
      <c r="B15" s="24">
        <v>44589.739571759259</v>
      </c>
      <c r="C15" s="7">
        <v>1643391899</v>
      </c>
      <c r="D15" s="7">
        <v>44878</v>
      </c>
      <c r="E15" s="7" t="s">
        <v>584</v>
      </c>
      <c r="F15" s="7">
        <v>839</v>
      </c>
      <c r="G15" s="7">
        <v>5375671</v>
      </c>
      <c r="H15" s="7" t="s">
        <v>585</v>
      </c>
      <c r="I15" s="7" t="s">
        <v>571</v>
      </c>
      <c r="J15" s="7">
        <v>74</v>
      </c>
      <c r="K15" s="8" t="s">
        <v>600</v>
      </c>
      <c r="L15" s="8" t="s">
        <v>601</v>
      </c>
      <c r="M15" s="8" t="s">
        <v>593</v>
      </c>
      <c r="N15" s="26" t="s">
        <v>575</v>
      </c>
      <c r="O15" s="26" t="s">
        <v>589</v>
      </c>
      <c r="P15" s="26">
        <v>9</v>
      </c>
      <c r="Q15" s="26" t="s">
        <v>577</v>
      </c>
    </row>
    <row r="16" spans="1:17" ht="62.1" customHeight="1" x14ac:dyDescent="0.2">
      <c r="A16" s="7">
        <v>194</v>
      </c>
      <c r="B16" s="24">
        <v>44589.739571759259</v>
      </c>
      <c r="C16" s="7">
        <v>1643391899</v>
      </c>
      <c r="D16" s="7">
        <v>44878</v>
      </c>
      <c r="E16" s="7" t="s">
        <v>569</v>
      </c>
      <c r="F16" s="7"/>
      <c r="G16" s="7"/>
      <c r="H16" s="7" t="s">
        <v>570</v>
      </c>
      <c r="I16" s="7" t="s">
        <v>571</v>
      </c>
      <c r="J16" s="7">
        <v>110</v>
      </c>
      <c r="K16" s="8" t="s">
        <v>602</v>
      </c>
      <c r="L16" s="8" t="s">
        <v>603</v>
      </c>
      <c r="M16" s="8" t="s">
        <v>574</v>
      </c>
      <c r="N16" s="26" t="s">
        <v>575</v>
      </c>
      <c r="O16" s="26" t="s">
        <v>576</v>
      </c>
      <c r="P16" s="26">
        <v>9</v>
      </c>
      <c r="Q16" s="26" t="s">
        <v>577</v>
      </c>
    </row>
    <row r="17" spans="1:17" ht="62.1" customHeight="1" x14ac:dyDescent="0.2">
      <c r="A17" s="7">
        <v>191</v>
      </c>
      <c r="B17" s="24">
        <v>44589.739687499998</v>
      </c>
      <c r="C17" s="7">
        <v>1643391909</v>
      </c>
      <c r="D17" s="7">
        <v>44878</v>
      </c>
      <c r="E17" s="7" t="s">
        <v>584</v>
      </c>
      <c r="F17" s="7">
        <v>839</v>
      </c>
      <c r="G17" s="7">
        <v>5375671</v>
      </c>
      <c r="H17" s="7" t="s">
        <v>585</v>
      </c>
      <c r="I17" s="7" t="s">
        <v>571</v>
      </c>
      <c r="J17" s="7">
        <v>74</v>
      </c>
      <c r="K17" s="8" t="s">
        <v>604</v>
      </c>
      <c r="L17" s="8" t="s">
        <v>605</v>
      </c>
      <c r="M17" s="8" t="s">
        <v>593</v>
      </c>
      <c r="N17" s="26" t="s">
        <v>575</v>
      </c>
      <c r="O17" s="26" t="s">
        <v>589</v>
      </c>
      <c r="P17" s="26">
        <v>10</v>
      </c>
      <c r="Q17" s="26" t="s">
        <v>577</v>
      </c>
    </row>
    <row r="18" spans="1:17" ht="62.1" customHeight="1" x14ac:dyDescent="0.2">
      <c r="A18" s="7">
        <v>192</v>
      </c>
      <c r="B18" s="24">
        <v>44589.739687499998</v>
      </c>
      <c r="C18" s="7">
        <v>1643391909</v>
      </c>
      <c r="D18" s="7">
        <v>44878</v>
      </c>
      <c r="E18" s="7" t="s">
        <v>569</v>
      </c>
      <c r="F18" s="7"/>
      <c r="G18" s="7"/>
      <c r="H18" s="7" t="s">
        <v>570</v>
      </c>
      <c r="I18" s="7" t="s">
        <v>571</v>
      </c>
      <c r="J18" s="7">
        <v>110</v>
      </c>
      <c r="K18" s="8" t="s">
        <v>606</v>
      </c>
      <c r="L18" s="8" t="s">
        <v>607</v>
      </c>
      <c r="M18" s="8" t="s">
        <v>574</v>
      </c>
      <c r="N18" s="26" t="s">
        <v>575</v>
      </c>
      <c r="O18" s="26" t="s">
        <v>576</v>
      </c>
      <c r="P18" s="26">
        <v>10</v>
      </c>
      <c r="Q18" s="26" t="s">
        <v>577</v>
      </c>
    </row>
    <row r="19" spans="1:17" ht="62.1" customHeight="1" x14ac:dyDescent="0.2">
      <c r="A19" s="7">
        <v>189</v>
      </c>
      <c r="B19" s="24">
        <v>44589.739803240736</v>
      </c>
      <c r="C19" s="7">
        <v>1643391919</v>
      </c>
      <c r="D19" s="7">
        <v>44878</v>
      </c>
      <c r="E19" s="7" t="s">
        <v>584</v>
      </c>
      <c r="F19" s="7">
        <v>839</v>
      </c>
      <c r="G19" s="7">
        <v>5375671</v>
      </c>
      <c r="H19" s="7" t="s">
        <v>585</v>
      </c>
      <c r="I19" s="7" t="s">
        <v>571</v>
      </c>
      <c r="J19" s="7">
        <v>74</v>
      </c>
      <c r="K19" s="8" t="s">
        <v>608</v>
      </c>
      <c r="L19" s="8" t="s">
        <v>609</v>
      </c>
      <c r="M19" s="8" t="s">
        <v>593</v>
      </c>
      <c r="N19" s="26" t="s">
        <v>575</v>
      </c>
      <c r="O19" s="26" t="s">
        <v>589</v>
      </c>
      <c r="P19" s="26">
        <v>11</v>
      </c>
      <c r="Q19" s="26" t="s">
        <v>577</v>
      </c>
    </row>
    <row r="20" spans="1:17" ht="62.1" customHeight="1" x14ac:dyDescent="0.2">
      <c r="A20" s="7">
        <v>190</v>
      </c>
      <c r="B20" s="24">
        <v>44589.739803240736</v>
      </c>
      <c r="C20" s="7">
        <v>1643391919</v>
      </c>
      <c r="D20" s="7">
        <v>44878</v>
      </c>
      <c r="E20" s="7" t="s">
        <v>569</v>
      </c>
      <c r="F20" s="7"/>
      <c r="G20" s="7"/>
      <c r="H20" s="7" t="s">
        <v>570</v>
      </c>
      <c r="I20" s="7" t="s">
        <v>571</v>
      </c>
      <c r="J20" s="7">
        <v>110</v>
      </c>
      <c r="K20" s="8" t="s">
        <v>610</v>
      </c>
      <c r="L20" s="8" t="s">
        <v>611</v>
      </c>
      <c r="M20" s="8" t="s">
        <v>574</v>
      </c>
      <c r="N20" s="26" t="s">
        <v>575</v>
      </c>
      <c r="O20" s="26" t="s">
        <v>576</v>
      </c>
      <c r="P20" s="26">
        <v>11</v>
      </c>
      <c r="Q20" s="26" t="s">
        <v>577</v>
      </c>
    </row>
    <row r="21" spans="1:17" ht="62.1" customHeight="1" x14ac:dyDescent="0.2">
      <c r="A21" s="7">
        <v>187</v>
      </c>
      <c r="B21" s="24">
        <v>44589.739918981482</v>
      </c>
      <c r="C21" s="7">
        <v>1643391929</v>
      </c>
      <c r="D21" s="7">
        <v>44878</v>
      </c>
      <c r="E21" s="7" t="s">
        <v>584</v>
      </c>
      <c r="F21" s="7">
        <v>839</v>
      </c>
      <c r="G21" s="7">
        <v>5375671</v>
      </c>
      <c r="H21" s="7" t="s">
        <v>585</v>
      </c>
      <c r="I21" s="7" t="s">
        <v>571</v>
      </c>
      <c r="J21" s="7">
        <v>74</v>
      </c>
      <c r="K21" s="8" t="s">
        <v>612</v>
      </c>
      <c r="L21" s="8" t="s">
        <v>613</v>
      </c>
      <c r="M21" s="8" t="s">
        <v>593</v>
      </c>
      <c r="N21" s="26" t="s">
        <v>575</v>
      </c>
      <c r="O21" s="26" t="s">
        <v>589</v>
      </c>
      <c r="P21" s="26">
        <v>12</v>
      </c>
      <c r="Q21" s="26" t="s">
        <v>577</v>
      </c>
    </row>
    <row r="22" spans="1:17" ht="62.1" customHeight="1" x14ac:dyDescent="0.2">
      <c r="A22" s="7">
        <v>188</v>
      </c>
      <c r="B22" s="24">
        <v>44589.739918981482</v>
      </c>
      <c r="C22" s="7">
        <v>1643391929</v>
      </c>
      <c r="D22" s="7">
        <v>44878</v>
      </c>
      <c r="E22" s="7" t="s">
        <v>569</v>
      </c>
      <c r="F22" s="7"/>
      <c r="G22" s="7"/>
      <c r="H22" s="7" t="s">
        <v>570</v>
      </c>
      <c r="I22" s="7" t="s">
        <v>571</v>
      </c>
      <c r="J22" s="7">
        <v>110</v>
      </c>
      <c r="K22" s="8" t="s">
        <v>614</v>
      </c>
      <c r="L22" s="8" t="s">
        <v>615</v>
      </c>
      <c r="M22" s="8" t="s">
        <v>574</v>
      </c>
      <c r="N22" s="26" t="s">
        <v>575</v>
      </c>
      <c r="O22" s="26" t="s">
        <v>576</v>
      </c>
      <c r="P22" s="26">
        <v>12</v>
      </c>
      <c r="Q22" s="26" t="s">
        <v>577</v>
      </c>
    </row>
    <row r="23" spans="1:17" ht="62.1" customHeight="1" x14ac:dyDescent="0.2">
      <c r="A23" s="7">
        <v>186</v>
      </c>
      <c r="B23" s="24">
        <v>44589.740034722221</v>
      </c>
      <c r="C23" s="7">
        <v>1643391939</v>
      </c>
      <c r="D23" s="7">
        <v>44878</v>
      </c>
      <c r="E23" s="7" t="s">
        <v>584</v>
      </c>
      <c r="F23" s="7">
        <v>839</v>
      </c>
      <c r="G23" s="7">
        <v>5375671</v>
      </c>
      <c r="H23" s="7" t="s">
        <v>585</v>
      </c>
      <c r="I23" s="7" t="s">
        <v>571</v>
      </c>
      <c r="J23" s="7">
        <v>74</v>
      </c>
      <c r="K23" s="8" t="s">
        <v>616</v>
      </c>
      <c r="L23" s="8" t="s">
        <v>617</v>
      </c>
      <c r="M23" s="8" t="s">
        <v>588</v>
      </c>
      <c r="N23" s="26" t="s">
        <v>575</v>
      </c>
      <c r="O23" s="26" t="s">
        <v>589</v>
      </c>
      <c r="P23" s="26">
        <v>13</v>
      </c>
      <c r="Q23" s="26" t="s">
        <v>590</v>
      </c>
    </row>
    <row r="24" spans="1:17" ht="62.1" customHeight="1" x14ac:dyDescent="0.2">
      <c r="A24" s="7">
        <v>184</v>
      </c>
      <c r="B24" s="24">
        <v>44589.74015046296</v>
      </c>
      <c r="C24" s="7">
        <v>1643391949</v>
      </c>
      <c r="D24" s="7">
        <v>44878</v>
      </c>
      <c r="E24" s="7" t="s">
        <v>584</v>
      </c>
      <c r="F24" s="7">
        <v>839</v>
      </c>
      <c r="G24" s="7">
        <v>5375671</v>
      </c>
      <c r="H24" s="7" t="s">
        <v>585</v>
      </c>
      <c r="I24" s="7" t="s">
        <v>571</v>
      </c>
      <c r="J24" s="7">
        <v>74</v>
      </c>
      <c r="K24" s="8" t="s">
        <v>618</v>
      </c>
      <c r="L24" s="8" t="s">
        <v>619</v>
      </c>
      <c r="M24" s="8" t="s">
        <v>593</v>
      </c>
      <c r="N24" s="26" t="s">
        <v>575</v>
      </c>
      <c r="O24" s="26" t="s">
        <v>589</v>
      </c>
      <c r="P24" s="26">
        <v>14</v>
      </c>
      <c r="Q24" s="26" t="s">
        <v>577</v>
      </c>
    </row>
    <row r="25" spans="1:17" ht="62.1" customHeight="1" x14ac:dyDescent="0.2">
      <c r="A25" s="7">
        <v>185</v>
      </c>
      <c r="B25" s="24">
        <v>44589.74015046296</v>
      </c>
      <c r="C25" s="7">
        <v>1643391949</v>
      </c>
      <c r="D25" s="7">
        <v>44878</v>
      </c>
      <c r="E25" s="7" t="s">
        <v>569</v>
      </c>
      <c r="F25" s="7"/>
      <c r="G25" s="7"/>
      <c r="H25" s="7" t="s">
        <v>570</v>
      </c>
      <c r="I25" s="7" t="s">
        <v>571</v>
      </c>
      <c r="J25" s="7">
        <v>110</v>
      </c>
      <c r="K25" s="8" t="s">
        <v>620</v>
      </c>
      <c r="L25" s="8" t="s">
        <v>621</v>
      </c>
      <c r="M25" s="8" t="s">
        <v>574</v>
      </c>
      <c r="N25" s="26" t="s">
        <v>575</v>
      </c>
      <c r="O25" s="26" t="s">
        <v>576</v>
      </c>
      <c r="P25" s="26">
        <v>14</v>
      </c>
      <c r="Q25" s="26" t="s">
        <v>577</v>
      </c>
    </row>
    <row r="26" spans="1:17" ht="62.1" customHeight="1" x14ac:dyDescent="0.2">
      <c r="A26" s="7">
        <v>181</v>
      </c>
      <c r="B26" s="24">
        <v>44589.740266203713</v>
      </c>
      <c r="C26" s="7">
        <v>1643391959</v>
      </c>
      <c r="D26" s="7">
        <v>44878</v>
      </c>
      <c r="E26" s="7" t="s">
        <v>622</v>
      </c>
      <c r="F26" s="7">
        <v>2504</v>
      </c>
      <c r="G26" s="7">
        <v>5369438</v>
      </c>
      <c r="H26" s="7" t="s">
        <v>585</v>
      </c>
      <c r="I26" s="7" t="s">
        <v>571</v>
      </c>
      <c r="J26" s="7">
        <v>74</v>
      </c>
      <c r="K26" s="8" t="s">
        <v>623</v>
      </c>
      <c r="L26" s="8" t="s">
        <v>624</v>
      </c>
      <c r="M26" s="8" t="s">
        <v>593</v>
      </c>
      <c r="N26" s="26" t="s">
        <v>575</v>
      </c>
      <c r="O26" s="26" t="s">
        <v>589</v>
      </c>
      <c r="P26" s="26">
        <v>15</v>
      </c>
      <c r="Q26" s="26" t="s">
        <v>577</v>
      </c>
    </row>
    <row r="27" spans="1:17" ht="62.1" customHeight="1" x14ac:dyDescent="0.2">
      <c r="A27" s="7">
        <v>180</v>
      </c>
      <c r="B27" s="24">
        <v>44589.740266203713</v>
      </c>
      <c r="C27" s="7">
        <v>1643391959</v>
      </c>
      <c r="D27" s="7">
        <v>44878</v>
      </c>
      <c r="E27" s="7" t="s">
        <v>584</v>
      </c>
      <c r="F27" s="7">
        <v>839</v>
      </c>
      <c r="G27" s="7">
        <v>5375671</v>
      </c>
      <c r="H27" s="7" t="s">
        <v>585</v>
      </c>
      <c r="I27" s="7" t="s">
        <v>571</v>
      </c>
      <c r="J27" s="7">
        <v>74</v>
      </c>
      <c r="K27" s="8" t="s">
        <v>623</v>
      </c>
      <c r="L27" s="8" t="s">
        <v>624</v>
      </c>
      <c r="M27" s="8" t="s">
        <v>593</v>
      </c>
      <c r="N27" s="26" t="s">
        <v>575</v>
      </c>
      <c r="O27" s="26" t="s">
        <v>589</v>
      </c>
      <c r="P27" s="26">
        <v>15</v>
      </c>
      <c r="Q27" s="26" t="s">
        <v>577</v>
      </c>
    </row>
    <row r="28" spans="1:17" ht="62.1" customHeight="1" x14ac:dyDescent="0.2">
      <c r="A28" s="7">
        <v>182</v>
      </c>
      <c r="B28" s="24">
        <v>44589.740266203713</v>
      </c>
      <c r="C28" s="7">
        <v>1643391959</v>
      </c>
      <c r="D28" s="7">
        <v>44878</v>
      </c>
      <c r="E28" s="7" t="s">
        <v>569</v>
      </c>
      <c r="F28" s="7"/>
      <c r="G28" s="7"/>
      <c r="H28" s="7" t="s">
        <v>570</v>
      </c>
      <c r="I28" s="7" t="s">
        <v>571</v>
      </c>
      <c r="J28" s="7">
        <v>110</v>
      </c>
      <c r="K28" s="8" t="s">
        <v>625</v>
      </c>
      <c r="L28" s="8" t="s">
        <v>626</v>
      </c>
      <c r="M28" s="8" t="s">
        <v>574</v>
      </c>
      <c r="N28" s="26" t="s">
        <v>575</v>
      </c>
      <c r="O28" s="26" t="s">
        <v>576</v>
      </c>
      <c r="P28" s="26">
        <v>15</v>
      </c>
      <c r="Q28" s="26" t="s">
        <v>577</v>
      </c>
    </row>
    <row r="29" spans="1:17" ht="62.1" customHeight="1" x14ac:dyDescent="0.2">
      <c r="A29" s="7">
        <v>183</v>
      </c>
      <c r="B29" s="24">
        <v>44589.740266203713</v>
      </c>
      <c r="C29" s="7">
        <v>1643391959</v>
      </c>
      <c r="D29" s="7">
        <v>44878</v>
      </c>
      <c r="E29" s="7" t="s">
        <v>627</v>
      </c>
      <c r="F29" s="7"/>
      <c r="G29" s="7"/>
      <c r="H29" s="7" t="s">
        <v>570</v>
      </c>
      <c r="I29" s="7" t="s">
        <v>571</v>
      </c>
      <c r="J29" s="7">
        <v>110</v>
      </c>
      <c r="K29" s="8" t="s">
        <v>625</v>
      </c>
      <c r="L29" s="8" t="s">
        <v>626</v>
      </c>
      <c r="M29" s="8" t="s">
        <v>574</v>
      </c>
      <c r="N29" s="26" t="s">
        <v>575</v>
      </c>
      <c r="O29" s="26" t="s">
        <v>576</v>
      </c>
      <c r="P29" s="26">
        <v>15</v>
      </c>
      <c r="Q29" s="26" t="s">
        <v>577</v>
      </c>
    </row>
    <row r="30" spans="1:17" ht="62.1" customHeight="1" x14ac:dyDescent="0.2">
      <c r="A30" s="7">
        <v>177</v>
      </c>
      <c r="B30" s="24">
        <v>44589.740381944437</v>
      </c>
      <c r="C30" s="7">
        <v>1643391969</v>
      </c>
      <c r="D30" s="7">
        <v>44878</v>
      </c>
      <c r="E30" s="7" t="s">
        <v>584</v>
      </c>
      <c r="F30" s="7">
        <v>839</v>
      </c>
      <c r="G30" s="7">
        <v>5375671</v>
      </c>
      <c r="H30" s="7" t="s">
        <v>585</v>
      </c>
      <c r="I30" s="7" t="s">
        <v>571</v>
      </c>
      <c r="J30" s="7">
        <v>74</v>
      </c>
      <c r="K30" s="8" t="s">
        <v>628</v>
      </c>
      <c r="L30" s="8" t="s">
        <v>629</v>
      </c>
      <c r="M30" s="8" t="s">
        <v>593</v>
      </c>
      <c r="N30" s="26" t="s">
        <v>575</v>
      </c>
      <c r="O30" s="26" t="s">
        <v>589</v>
      </c>
      <c r="P30" s="26">
        <v>16</v>
      </c>
      <c r="Q30" s="26" t="s">
        <v>577</v>
      </c>
    </row>
    <row r="31" spans="1:17" ht="62.1" customHeight="1" x14ac:dyDescent="0.2">
      <c r="A31" s="7">
        <v>178</v>
      </c>
      <c r="B31" s="24">
        <v>44589.740381944437</v>
      </c>
      <c r="C31" s="7">
        <v>1643391969</v>
      </c>
      <c r="D31" s="7">
        <v>44878</v>
      </c>
      <c r="E31" s="7" t="s">
        <v>569</v>
      </c>
      <c r="F31" s="7"/>
      <c r="G31" s="7"/>
      <c r="H31" s="7" t="s">
        <v>570</v>
      </c>
      <c r="I31" s="7" t="s">
        <v>571</v>
      </c>
      <c r="J31" s="7">
        <v>110</v>
      </c>
      <c r="K31" s="8" t="s">
        <v>630</v>
      </c>
      <c r="L31" s="8" t="s">
        <v>631</v>
      </c>
      <c r="M31" s="8" t="s">
        <v>574</v>
      </c>
      <c r="N31" s="26" t="s">
        <v>575</v>
      </c>
      <c r="O31" s="26" t="s">
        <v>576</v>
      </c>
      <c r="P31" s="26">
        <v>16</v>
      </c>
      <c r="Q31" s="26" t="s">
        <v>577</v>
      </c>
    </row>
    <row r="32" spans="1:17" ht="62.1" customHeight="1" x14ac:dyDescent="0.2">
      <c r="A32" s="7">
        <v>179</v>
      </c>
      <c r="B32" s="24">
        <v>44589.740381944437</v>
      </c>
      <c r="C32" s="7">
        <v>1643391969</v>
      </c>
      <c r="D32" s="7">
        <v>44878</v>
      </c>
      <c r="E32" s="7" t="s">
        <v>627</v>
      </c>
      <c r="F32" s="7"/>
      <c r="G32" s="7"/>
      <c r="H32" s="7" t="s">
        <v>570</v>
      </c>
      <c r="I32" s="7" t="s">
        <v>571</v>
      </c>
      <c r="J32" s="7">
        <v>110</v>
      </c>
      <c r="K32" s="8" t="s">
        <v>630</v>
      </c>
      <c r="L32" s="8" t="s">
        <v>631</v>
      </c>
      <c r="M32" s="8" t="s">
        <v>574</v>
      </c>
      <c r="N32" s="26" t="s">
        <v>575</v>
      </c>
      <c r="O32" s="26" t="s">
        <v>576</v>
      </c>
      <c r="P32" s="26">
        <v>16</v>
      </c>
      <c r="Q32" s="26" t="s">
        <v>577</v>
      </c>
    </row>
    <row r="33" spans="1:17" ht="62.1" customHeight="1" x14ac:dyDescent="0.2">
      <c r="A33" s="7">
        <v>174</v>
      </c>
      <c r="B33" s="24">
        <v>44589.740497685183</v>
      </c>
      <c r="C33" s="7">
        <v>1643391979</v>
      </c>
      <c r="D33" s="7">
        <v>44878</v>
      </c>
      <c r="E33" s="7" t="s">
        <v>584</v>
      </c>
      <c r="F33" s="7">
        <v>839</v>
      </c>
      <c r="G33" s="7">
        <v>5375671</v>
      </c>
      <c r="H33" s="7" t="s">
        <v>585</v>
      </c>
      <c r="I33" s="7" t="s">
        <v>571</v>
      </c>
      <c r="J33" s="7">
        <v>74</v>
      </c>
      <c r="K33" s="8" t="s">
        <v>632</v>
      </c>
      <c r="L33" s="8" t="s">
        <v>633</v>
      </c>
      <c r="M33" s="8" t="s">
        <v>593</v>
      </c>
      <c r="N33" s="26" t="s">
        <v>575</v>
      </c>
      <c r="O33" s="26" t="s">
        <v>589</v>
      </c>
      <c r="P33" s="26">
        <v>17</v>
      </c>
      <c r="Q33" s="26" t="s">
        <v>577</v>
      </c>
    </row>
    <row r="34" spans="1:17" ht="62.1" customHeight="1" x14ac:dyDescent="0.2">
      <c r="A34" s="7">
        <v>175</v>
      </c>
      <c r="B34" s="24">
        <v>44589.740497685183</v>
      </c>
      <c r="C34" s="7">
        <v>1643391979</v>
      </c>
      <c r="D34" s="7">
        <v>44878</v>
      </c>
      <c r="E34" s="7" t="s">
        <v>569</v>
      </c>
      <c r="F34" s="7"/>
      <c r="G34" s="7"/>
      <c r="H34" s="7" t="s">
        <v>570</v>
      </c>
      <c r="I34" s="7" t="s">
        <v>571</v>
      </c>
      <c r="J34" s="7">
        <v>110</v>
      </c>
      <c r="K34" s="8" t="s">
        <v>634</v>
      </c>
      <c r="L34" s="8" t="s">
        <v>635</v>
      </c>
      <c r="M34" s="8" t="s">
        <v>574</v>
      </c>
      <c r="N34" s="26" t="s">
        <v>575</v>
      </c>
      <c r="O34" s="26" t="s">
        <v>576</v>
      </c>
      <c r="P34" s="26">
        <v>17</v>
      </c>
      <c r="Q34" s="26" t="s">
        <v>577</v>
      </c>
    </row>
    <row r="35" spans="1:17" ht="62.1" customHeight="1" x14ac:dyDescent="0.2">
      <c r="A35" s="7">
        <v>176</v>
      </c>
      <c r="B35" s="24">
        <v>44589.740497685183</v>
      </c>
      <c r="C35" s="7">
        <v>1643391979</v>
      </c>
      <c r="D35" s="7">
        <v>44878</v>
      </c>
      <c r="E35" s="7" t="s">
        <v>627</v>
      </c>
      <c r="F35" s="7"/>
      <c r="G35" s="7"/>
      <c r="H35" s="7" t="s">
        <v>570</v>
      </c>
      <c r="I35" s="7" t="s">
        <v>571</v>
      </c>
      <c r="J35" s="7">
        <v>110</v>
      </c>
      <c r="K35" s="8" t="s">
        <v>634</v>
      </c>
      <c r="L35" s="8" t="s">
        <v>635</v>
      </c>
      <c r="M35" s="8" t="s">
        <v>574</v>
      </c>
      <c r="N35" s="26" t="s">
        <v>575</v>
      </c>
      <c r="O35" s="26" t="s">
        <v>576</v>
      </c>
      <c r="P35" s="26">
        <v>17</v>
      </c>
      <c r="Q35" s="26" t="s">
        <v>577</v>
      </c>
    </row>
    <row r="36" spans="1:17" ht="62.1" customHeight="1" x14ac:dyDescent="0.2">
      <c r="A36" s="7">
        <v>172</v>
      </c>
      <c r="B36" s="24">
        <v>44589.740613425929</v>
      </c>
      <c r="C36" s="7">
        <v>1643391989</v>
      </c>
      <c r="D36" s="7">
        <v>44878</v>
      </c>
      <c r="E36" s="7" t="s">
        <v>584</v>
      </c>
      <c r="F36" s="7">
        <v>839</v>
      </c>
      <c r="G36" s="7">
        <v>5375671</v>
      </c>
      <c r="H36" s="7" t="s">
        <v>585</v>
      </c>
      <c r="I36" s="7" t="s">
        <v>571</v>
      </c>
      <c r="J36" s="7">
        <v>74</v>
      </c>
      <c r="K36" s="8" t="s">
        <v>636</v>
      </c>
      <c r="L36" s="8" t="s">
        <v>637</v>
      </c>
      <c r="M36" s="8" t="s">
        <v>593</v>
      </c>
      <c r="N36" s="26" t="s">
        <v>575</v>
      </c>
      <c r="O36" s="26" t="s">
        <v>589</v>
      </c>
      <c r="P36" s="26">
        <v>18</v>
      </c>
      <c r="Q36" s="26" t="s">
        <v>577</v>
      </c>
    </row>
    <row r="37" spans="1:17" ht="62.1" customHeight="1" x14ac:dyDescent="0.2">
      <c r="A37" s="7">
        <v>173</v>
      </c>
      <c r="B37" s="24">
        <v>44589.740613425929</v>
      </c>
      <c r="C37" s="7">
        <v>1643391989</v>
      </c>
      <c r="D37" s="7">
        <v>44878</v>
      </c>
      <c r="E37" s="7" t="s">
        <v>569</v>
      </c>
      <c r="F37" s="7"/>
      <c r="G37" s="7"/>
      <c r="H37" s="7" t="s">
        <v>570</v>
      </c>
      <c r="I37" s="7" t="s">
        <v>571</v>
      </c>
      <c r="J37" s="7">
        <v>110</v>
      </c>
      <c r="K37" s="8" t="s">
        <v>638</v>
      </c>
      <c r="L37" s="8" t="s">
        <v>639</v>
      </c>
      <c r="M37" s="8" t="s">
        <v>574</v>
      </c>
      <c r="N37" s="26" t="s">
        <v>575</v>
      </c>
      <c r="O37" s="26" t="s">
        <v>576</v>
      </c>
      <c r="P37" s="26">
        <v>18</v>
      </c>
      <c r="Q37" s="26" t="s">
        <v>577</v>
      </c>
    </row>
    <row r="38" spans="1:17" ht="62.1" customHeight="1" x14ac:dyDescent="0.2">
      <c r="A38" s="7">
        <v>171</v>
      </c>
      <c r="B38" s="24">
        <v>44589.740729166668</v>
      </c>
      <c r="C38" s="7">
        <v>1643391999</v>
      </c>
      <c r="D38" s="7">
        <v>44878</v>
      </c>
      <c r="E38" s="7" t="s">
        <v>584</v>
      </c>
      <c r="F38" s="7">
        <v>839</v>
      </c>
      <c r="G38" s="7">
        <v>5375671</v>
      </c>
      <c r="H38" s="7" t="s">
        <v>585</v>
      </c>
      <c r="I38" s="7" t="s">
        <v>571</v>
      </c>
      <c r="J38" s="7">
        <v>74</v>
      </c>
      <c r="K38" s="8" t="s">
        <v>640</v>
      </c>
      <c r="L38" s="8" t="s">
        <v>641</v>
      </c>
      <c r="M38" s="8" t="s">
        <v>588</v>
      </c>
      <c r="N38" s="26" t="s">
        <v>575</v>
      </c>
      <c r="O38" s="26" t="s">
        <v>589</v>
      </c>
      <c r="P38" s="26">
        <v>19</v>
      </c>
      <c r="Q38" s="26" t="s">
        <v>590</v>
      </c>
    </row>
    <row r="39" spans="1:17" ht="62.1" customHeight="1" x14ac:dyDescent="0.2">
      <c r="A39" s="7">
        <v>169</v>
      </c>
      <c r="B39" s="24">
        <v>44589.740844907406</v>
      </c>
      <c r="C39" s="7">
        <v>1643392009</v>
      </c>
      <c r="D39" s="7">
        <v>44878</v>
      </c>
      <c r="E39" s="7" t="s">
        <v>584</v>
      </c>
      <c r="F39" s="7">
        <v>839</v>
      </c>
      <c r="G39" s="7">
        <v>5375671</v>
      </c>
      <c r="H39" s="7" t="s">
        <v>585</v>
      </c>
      <c r="I39" s="7" t="s">
        <v>571</v>
      </c>
      <c r="J39" s="7">
        <v>74</v>
      </c>
      <c r="K39" s="8" t="s">
        <v>642</v>
      </c>
      <c r="L39" s="8" t="s">
        <v>643</v>
      </c>
      <c r="M39" s="8" t="s">
        <v>593</v>
      </c>
      <c r="N39" s="26" t="s">
        <v>575</v>
      </c>
      <c r="O39" s="26" t="s">
        <v>589</v>
      </c>
      <c r="P39" s="26">
        <v>20</v>
      </c>
      <c r="Q39" s="26" t="s">
        <v>577</v>
      </c>
    </row>
    <row r="40" spans="1:17" ht="62.1" customHeight="1" x14ac:dyDescent="0.2">
      <c r="A40" s="7">
        <v>170</v>
      </c>
      <c r="B40" s="24">
        <v>44589.740844907406</v>
      </c>
      <c r="C40" s="7">
        <v>1643392009</v>
      </c>
      <c r="D40" s="7">
        <v>44878</v>
      </c>
      <c r="E40" s="7" t="s">
        <v>627</v>
      </c>
      <c r="F40" s="7"/>
      <c r="G40" s="7"/>
      <c r="H40" s="7" t="s">
        <v>570</v>
      </c>
      <c r="I40" s="7" t="s">
        <v>571</v>
      </c>
      <c r="J40" s="7">
        <v>110</v>
      </c>
      <c r="K40" s="8" t="s">
        <v>644</v>
      </c>
      <c r="L40" s="8" t="s">
        <v>645</v>
      </c>
      <c r="M40" s="8" t="s">
        <v>574</v>
      </c>
      <c r="N40" s="26" t="s">
        <v>575</v>
      </c>
      <c r="O40" s="26" t="s">
        <v>576</v>
      </c>
      <c r="P40" s="26">
        <v>20</v>
      </c>
      <c r="Q40" s="26" t="s">
        <v>577</v>
      </c>
    </row>
    <row r="41" spans="1:17" ht="62.1" customHeight="1" x14ac:dyDescent="0.2">
      <c r="A41" s="7">
        <v>166</v>
      </c>
      <c r="B41" s="24">
        <v>44589.740960648152</v>
      </c>
      <c r="C41" s="7">
        <v>1643392019</v>
      </c>
      <c r="D41" s="7">
        <v>44878</v>
      </c>
      <c r="E41" s="7" t="s">
        <v>622</v>
      </c>
      <c r="F41" s="7">
        <v>2504</v>
      </c>
      <c r="G41" s="7">
        <v>5369438</v>
      </c>
      <c r="H41" s="7" t="s">
        <v>585</v>
      </c>
      <c r="I41" s="7" t="s">
        <v>571</v>
      </c>
      <c r="J41" s="7">
        <v>74</v>
      </c>
      <c r="K41" s="8" t="s">
        <v>646</v>
      </c>
      <c r="L41" s="8" t="s">
        <v>647</v>
      </c>
      <c r="M41" s="8" t="s">
        <v>593</v>
      </c>
      <c r="N41" s="26" t="s">
        <v>575</v>
      </c>
      <c r="O41" s="26" t="s">
        <v>589</v>
      </c>
      <c r="P41" s="26">
        <v>21</v>
      </c>
      <c r="Q41" s="26" t="s">
        <v>577</v>
      </c>
    </row>
    <row r="42" spans="1:17" ht="62.1" customHeight="1" x14ac:dyDescent="0.2">
      <c r="A42" s="7">
        <v>167</v>
      </c>
      <c r="B42" s="24">
        <v>44589.740960648152</v>
      </c>
      <c r="C42" s="7">
        <v>1643392019</v>
      </c>
      <c r="D42" s="7">
        <v>44878</v>
      </c>
      <c r="E42" s="7" t="s">
        <v>569</v>
      </c>
      <c r="F42" s="7"/>
      <c r="G42" s="7"/>
      <c r="H42" s="7" t="s">
        <v>570</v>
      </c>
      <c r="I42" s="7" t="s">
        <v>571</v>
      </c>
      <c r="J42" s="7">
        <v>110</v>
      </c>
      <c r="K42" s="8" t="s">
        <v>648</v>
      </c>
      <c r="L42" s="8" t="s">
        <v>649</v>
      </c>
      <c r="M42" s="8" t="s">
        <v>574</v>
      </c>
      <c r="N42" s="26" t="s">
        <v>575</v>
      </c>
      <c r="O42" s="26" t="s">
        <v>576</v>
      </c>
      <c r="P42" s="26">
        <v>21</v>
      </c>
      <c r="Q42" s="26" t="s">
        <v>577</v>
      </c>
    </row>
    <row r="43" spans="1:17" ht="62.1" customHeight="1" x14ac:dyDescent="0.2">
      <c r="A43" s="7">
        <v>168</v>
      </c>
      <c r="B43" s="24">
        <v>44589.740960648152</v>
      </c>
      <c r="C43" s="7">
        <v>1643392019</v>
      </c>
      <c r="D43" s="7">
        <v>44878</v>
      </c>
      <c r="E43" s="7" t="s">
        <v>627</v>
      </c>
      <c r="F43" s="7"/>
      <c r="G43" s="7"/>
      <c r="H43" s="7" t="s">
        <v>570</v>
      </c>
      <c r="I43" s="7" t="s">
        <v>571</v>
      </c>
      <c r="J43" s="7">
        <v>110</v>
      </c>
      <c r="K43" s="8" t="s">
        <v>648</v>
      </c>
      <c r="L43" s="8" t="s">
        <v>649</v>
      </c>
      <c r="M43" s="8" t="s">
        <v>574</v>
      </c>
      <c r="N43" s="26" t="s">
        <v>575</v>
      </c>
      <c r="O43" s="26" t="s">
        <v>576</v>
      </c>
      <c r="P43" s="26">
        <v>21</v>
      </c>
      <c r="Q43" s="26" t="s">
        <v>577</v>
      </c>
    </row>
    <row r="44" spans="1:17" ht="62.1" customHeight="1" x14ac:dyDescent="0.2">
      <c r="A44" s="7">
        <v>163</v>
      </c>
      <c r="B44" s="24">
        <v>44589.741076388891</v>
      </c>
      <c r="C44" s="7">
        <v>1643392029</v>
      </c>
      <c r="D44" s="7">
        <v>44878</v>
      </c>
      <c r="E44" s="7" t="s">
        <v>622</v>
      </c>
      <c r="F44" s="7">
        <v>2504</v>
      </c>
      <c r="G44" s="7">
        <v>5369438</v>
      </c>
      <c r="H44" s="7" t="s">
        <v>585</v>
      </c>
      <c r="I44" s="7" t="s">
        <v>571</v>
      </c>
      <c r="J44" s="7">
        <v>74</v>
      </c>
      <c r="K44" s="8" t="s">
        <v>650</v>
      </c>
      <c r="L44" s="8" t="s">
        <v>651</v>
      </c>
      <c r="M44" s="8" t="s">
        <v>593</v>
      </c>
      <c r="N44" s="26" t="s">
        <v>575</v>
      </c>
      <c r="O44" s="26" t="s">
        <v>589</v>
      </c>
      <c r="P44" s="26">
        <v>22</v>
      </c>
      <c r="Q44" s="26" t="s">
        <v>577</v>
      </c>
    </row>
    <row r="45" spans="1:17" ht="62.1" customHeight="1" x14ac:dyDescent="0.2">
      <c r="A45" s="7">
        <v>164</v>
      </c>
      <c r="B45" s="24">
        <v>44589.741076388891</v>
      </c>
      <c r="C45" s="7">
        <v>1643392029</v>
      </c>
      <c r="D45" s="7">
        <v>44878</v>
      </c>
      <c r="E45" s="7" t="s">
        <v>569</v>
      </c>
      <c r="F45" s="7"/>
      <c r="G45" s="7"/>
      <c r="H45" s="7" t="s">
        <v>570</v>
      </c>
      <c r="I45" s="7" t="s">
        <v>571</v>
      </c>
      <c r="J45" s="7">
        <v>110</v>
      </c>
      <c r="K45" s="8" t="s">
        <v>652</v>
      </c>
      <c r="L45" s="8" t="s">
        <v>653</v>
      </c>
      <c r="M45" s="8" t="s">
        <v>574</v>
      </c>
      <c r="N45" s="26" t="s">
        <v>575</v>
      </c>
      <c r="O45" s="26" t="s">
        <v>576</v>
      </c>
      <c r="P45" s="26">
        <v>22</v>
      </c>
      <c r="Q45" s="26" t="s">
        <v>577</v>
      </c>
    </row>
    <row r="46" spans="1:17" ht="62.1" customHeight="1" x14ac:dyDescent="0.2">
      <c r="A46" s="7">
        <v>165</v>
      </c>
      <c r="B46" s="24">
        <v>44589.741076388891</v>
      </c>
      <c r="C46" s="7">
        <v>1643392029</v>
      </c>
      <c r="D46" s="7">
        <v>44878</v>
      </c>
      <c r="E46" s="7" t="s">
        <v>627</v>
      </c>
      <c r="F46" s="7"/>
      <c r="G46" s="7"/>
      <c r="H46" s="7" t="s">
        <v>570</v>
      </c>
      <c r="I46" s="7" t="s">
        <v>571</v>
      </c>
      <c r="J46" s="7">
        <v>110</v>
      </c>
      <c r="K46" s="8" t="s">
        <v>652</v>
      </c>
      <c r="L46" s="8" t="s">
        <v>653</v>
      </c>
      <c r="M46" s="8" t="s">
        <v>574</v>
      </c>
      <c r="N46" s="26" t="s">
        <v>575</v>
      </c>
      <c r="O46" s="26" t="s">
        <v>576</v>
      </c>
      <c r="P46" s="26">
        <v>22</v>
      </c>
      <c r="Q46" s="26" t="s">
        <v>577</v>
      </c>
    </row>
    <row r="47" spans="1:17" ht="62.1" customHeight="1" x14ac:dyDescent="0.2">
      <c r="A47" s="7">
        <v>161</v>
      </c>
      <c r="B47" s="24">
        <v>44589.74119212963</v>
      </c>
      <c r="C47" s="7">
        <v>1643392039</v>
      </c>
      <c r="D47" s="7">
        <v>44878</v>
      </c>
      <c r="E47" s="7" t="s">
        <v>622</v>
      </c>
      <c r="F47" s="7">
        <v>2504</v>
      </c>
      <c r="G47" s="7">
        <v>5369438</v>
      </c>
      <c r="H47" s="7" t="s">
        <v>585</v>
      </c>
      <c r="I47" s="7" t="s">
        <v>571</v>
      </c>
      <c r="J47" s="7">
        <v>74</v>
      </c>
      <c r="K47" s="8" t="s">
        <v>654</v>
      </c>
      <c r="L47" s="8" t="s">
        <v>655</v>
      </c>
      <c r="M47" s="8" t="s">
        <v>593</v>
      </c>
      <c r="N47" s="26" t="s">
        <v>575</v>
      </c>
      <c r="O47" s="26" t="s">
        <v>589</v>
      </c>
      <c r="P47" s="26">
        <v>23</v>
      </c>
      <c r="Q47" s="26" t="s">
        <v>577</v>
      </c>
    </row>
    <row r="48" spans="1:17" ht="62.1" customHeight="1" x14ac:dyDescent="0.2">
      <c r="A48" s="7">
        <v>162</v>
      </c>
      <c r="B48" s="24">
        <v>44589.74119212963</v>
      </c>
      <c r="C48" s="7">
        <v>1643392039</v>
      </c>
      <c r="D48" s="7">
        <v>44878</v>
      </c>
      <c r="E48" s="7" t="s">
        <v>569</v>
      </c>
      <c r="F48" s="7"/>
      <c r="G48" s="7"/>
      <c r="H48" s="7" t="s">
        <v>570</v>
      </c>
      <c r="I48" s="7" t="s">
        <v>571</v>
      </c>
      <c r="J48" s="7">
        <v>110</v>
      </c>
      <c r="K48" s="8" t="s">
        <v>656</v>
      </c>
      <c r="L48" s="8" t="s">
        <v>657</v>
      </c>
      <c r="M48" s="8" t="s">
        <v>574</v>
      </c>
      <c r="N48" s="26" t="s">
        <v>575</v>
      </c>
      <c r="O48" s="26" t="s">
        <v>576</v>
      </c>
      <c r="P48" s="26">
        <v>23</v>
      </c>
      <c r="Q48" s="26" t="s">
        <v>577</v>
      </c>
    </row>
    <row r="49" spans="1:17" ht="62.1" customHeight="1" x14ac:dyDescent="0.2">
      <c r="A49" s="7">
        <v>159</v>
      </c>
      <c r="B49" s="24">
        <v>44589.741307870368</v>
      </c>
      <c r="C49" s="7">
        <v>1643392049</v>
      </c>
      <c r="D49" s="7">
        <v>44878</v>
      </c>
      <c r="E49" s="7" t="s">
        <v>622</v>
      </c>
      <c r="F49" s="7">
        <v>2504</v>
      </c>
      <c r="G49" s="7">
        <v>5369438</v>
      </c>
      <c r="H49" s="7" t="s">
        <v>585</v>
      </c>
      <c r="I49" s="7" t="s">
        <v>571</v>
      </c>
      <c r="J49" s="7">
        <v>74</v>
      </c>
      <c r="K49" s="8" t="s">
        <v>658</v>
      </c>
      <c r="L49" s="8" t="s">
        <v>659</v>
      </c>
      <c r="M49" s="8" t="s">
        <v>588</v>
      </c>
      <c r="N49" s="26" t="s">
        <v>575</v>
      </c>
      <c r="O49" s="26" t="s">
        <v>589</v>
      </c>
      <c r="P49" s="26">
        <v>24</v>
      </c>
      <c r="Q49" s="26" t="s">
        <v>590</v>
      </c>
    </row>
    <row r="50" spans="1:17" ht="62.1" customHeight="1" x14ac:dyDescent="0.2">
      <c r="A50" s="7">
        <v>160</v>
      </c>
      <c r="B50" s="24">
        <v>44589.741307870368</v>
      </c>
      <c r="C50" s="7">
        <v>1643392049</v>
      </c>
      <c r="D50" s="7">
        <v>44878</v>
      </c>
      <c r="E50" s="7" t="s">
        <v>584</v>
      </c>
      <c r="F50" s="7">
        <v>839</v>
      </c>
      <c r="G50" s="7">
        <v>5375671</v>
      </c>
      <c r="H50" s="7" t="s">
        <v>585</v>
      </c>
      <c r="I50" s="7" t="s">
        <v>571</v>
      </c>
      <c r="J50" s="7">
        <v>74</v>
      </c>
      <c r="K50" s="8" t="s">
        <v>660</v>
      </c>
      <c r="L50" s="8" t="s">
        <v>661</v>
      </c>
      <c r="M50" s="8" t="s">
        <v>662</v>
      </c>
      <c r="N50" s="26" t="s">
        <v>663</v>
      </c>
      <c r="O50" s="26" t="s">
        <v>589</v>
      </c>
      <c r="P50" s="26"/>
      <c r="Q50" s="26" t="s">
        <v>664</v>
      </c>
    </row>
    <row r="51" spans="1:17" ht="62.1" customHeight="1" x14ac:dyDescent="0.2">
      <c r="A51" s="7">
        <v>155</v>
      </c>
      <c r="B51" s="24">
        <v>44589.741423611107</v>
      </c>
      <c r="C51" s="7">
        <v>1643392059</v>
      </c>
      <c r="D51" s="7">
        <v>44878</v>
      </c>
      <c r="E51" s="7" t="s">
        <v>622</v>
      </c>
      <c r="F51" s="7">
        <v>2504</v>
      </c>
      <c r="G51" s="7">
        <v>5369438</v>
      </c>
      <c r="H51" s="7" t="s">
        <v>585</v>
      </c>
      <c r="I51" s="7" t="s">
        <v>571</v>
      </c>
      <c r="J51" s="7">
        <v>74</v>
      </c>
      <c r="K51" s="8" t="s">
        <v>665</v>
      </c>
      <c r="L51" s="8" t="s">
        <v>666</v>
      </c>
      <c r="M51" s="8" t="s">
        <v>593</v>
      </c>
      <c r="N51" s="26" t="s">
        <v>575</v>
      </c>
      <c r="O51" s="26" t="s">
        <v>589</v>
      </c>
      <c r="P51" s="26">
        <v>25</v>
      </c>
      <c r="Q51" s="26" t="s">
        <v>577</v>
      </c>
    </row>
    <row r="52" spans="1:17" ht="62.1" customHeight="1" x14ac:dyDescent="0.2">
      <c r="A52" s="7">
        <v>156</v>
      </c>
      <c r="B52" s="24">
        <v>44589.741423611107</v>
      </c>
      <c r="C52" s="7">
        <v>1643392059</v>
      </c>
      <c r="D52" s="7">
        <v>44878</v>
      </c>
      <c r="E52" s="7" t="s">
        <v>584</v>
      </c>
      <c r="F52" s="7">
        <v>839</v>
      </c>
      <c r="G52" s="7">
        <v>5375671</v>
      </c>
      <c r="H52" s="7" t="s">
        <v>585</v>
      </c>
      <c r="I52" s="7" t="s">
        <v>571</v>
      </c>
      <c r="J52" s="7">
        <v>74</v>
      </c>
      <c r="K52" s="8" t="s">
        <v>665</v>
      </c>
      <c r="L52" s="8" t="s">
        <v>666</v>
      </c>
      <c r="M52" s="8" t="s">
        <v>593</v>
      </c>
      <c r="N52" s="26" t="s">
        <v>575</v>
      </c>
      <c r="O52" s="26" t="s">
        <v>589</v>
      </c>
      <c r="P52" s="26">
        <v>25</v>
      </c>
      <c r="Q52" s="26" t="s">
        <v>577</v>
      </c>
    </row>
    <row r="53" spans="1:17" ht="62.1" customHeight="1" x14ac:dyDescent="0.2">
      <c r="A53" s="7">
        <v>157</v>
      </c>
      <c r="B53" s="24">
        <v>44589.741423611107</v>
      </c>
      <c r="C53" s="7">
        <v>1643392059</v>
      </c>
      <c r="D53" s="7">
        <v>44878</v>
      </c>
      <c r="E53" s="7" t="s">
        <v>569</v>
      </c>
      <c r="F53" s="7"/>
      <c r="G53" s="7"/>
      <c r="H53" s="7" t="s">
        <v>570</v>
      </c>
      <c r="I53" s="7" t="s">
        <v>571</v>
      </c>
      <c r="J53" s="7">
        <v>110</v>
      </c>
      <c r="K53" s="8" t="s">
        <v>667</v>
      </c>
      <c r="L53" s="8" t="s">
        <v>668</v>
      </c>
      <c r="M53" s="8" t="s">
        <v>574</v>
      </c>
      <c r="N53" s="26" t="s">
        <v>575</v>
      </c>
      <c r="O53" s="26" t="s">
        <v>576</v>
      </c>
      <c r="P53" s="26">
        <v>25</v>
      </c>
      <c r="Q53" s="26" t="s">
        <v>577</v>
      </c>
    </row>
    <row r="54" spans="1:17" ht="62.1" customHeight="1" x14ac:dyDescent="0.2">
      <c r="A54" s="7">
        <v>158</v>
      </c>
      <c r="B54" s="24">
        <v>44589.741423611107</v>
      </c>
      <c r="C54" s="7">
        <v>1643392059</v>
      </c>
      <c r="D54" s="7">
        <v>44878</v>
      </c>
      <c r="E54" s="7" t="s">
        <v>627</v>
      </c>
      <c r="F54" s="7"/>
      <c r="G54" s="7"/>
      <c r="H54" s="7" t="s">
        <v>570</v>
      </c>
      <c r="I54" s="7" t="s">
        <v>571</v>
      </c>
      <c r="J54" s="7">
        <v>110</v>
      </c>
      <c r="K54" s="8" t="s">
        <v>667</v>
      </c>
      <c r="L54" s="8" t="s">
        <v>668</v>
      </c>
      <c r="M54" s="8" t="s">
        <v>574</v>
      </c>
      <c r="N54" s="26" t="s">
        <v>575</v>
      </c>
      <c r="O54" s="26" t="s">
        <v>576</v>
      </c>
      <c r="P54" s="26">
        <v>25</v>
      </c>
      <c r="Q54" s="26" t="s">
        <v>577</v>
      </c>
    </row>
    <row r="55" spans="1:17" ht="62.1" customHeight="1" x14ac:dyDescent="0.2">
      <c r="A55" s="7">
        <v>152</v>
      </c>
      <c r="B55" s="24">
        <v>44589.741539351853</v>
      </c>
      <c r="C55" s="7">
        <v>1643392069</v>
      </c>
      <c r="D55" s="7">
        <v>44878</v>
      </c>
      <c r="E55" s="7" t="s">
        <v>622</v>
      </c>
      <c r="F55" s="7">
        <v>2504</v>
      </c>
      <c r="G55" s="7">
        <v>5369438</v>
      </c>
      <c r="H55" s="7" t="s">
        <v>585</v>
      </c>
      <c r="I55" s="7" t="s">
        <v>571</v>
      </c>
      <c r="J55" s="7">
        <v>74</v>
      </c>
      <c r="K55" s="8" t="s">
        <v>669</v>
      </c>
      <c r="L55" s="8" t="s">
        <v>670</v>
      </c>
      <c r="M55" s="8" t="s">
        <v>593</v>
      </c>
      <c r="N55" s="26" t="s">
        <v>575</v>
      </c>
      <c r="O55" s="26" t="s">
        <v>589</v>
      </c>
      <c r="P55" s="26">
        <v>26</v>
      </c>
      <c r="Q55" s="26" t="s">
        <v>577</v>
      </c>
    </row>
    <row r="56" spans="1:17" ht="62.1" customHeight="1" x14ac:dyDescent="0.2">
      <c r="A56" s="7">
        <v>153</v>
      </c>
      <c r="B56" s="24">
        <v>44589.741539351853</v>
      </c>
      <c r="C56" s="7">
        <v>1643392069</v>
      </c>
      <c r="D56" s="7">
        <v>44878</v>
      </c>
      <c r="E56" s="7" t="s">
        <v>584</v>
      </c>
      <c r="F56" s="7">
        <v>839</v>
      </c>
      <c r="G56" s="7">
        <v>5375671</v>
      </c>
      <c r="H56" s="7" t="s">
        <v>585</v>
      </c>
      <c r="I56" s="7" t="s">
        <v>571</v>
      </c>
      <c r="J56" s="7">
        <v>74</v>
      </c>
      <c r="K56" s="8" t="s">
        <v>669</v>
      </c>
      <c r="L56" s="8" t="s">
        <v>670</v>
      </c>
      <c r="M56" s="8" t="s">
        <v>593</v>
      </c>
      <c r="N56" s="26" t="s">
        <v>575</v>
      </c>
      <c r="O56" s="26" t="s">
        <v>589</v>
      </c>
      <c r="P56" s="26">
        <v>26</v>
      </c>
      <c r="Q56" s="26" t="s">
        <v>577</v>
      </c>
    </row>
    <row r="57" spans="1:17" ht="62.1" customHeight="1" x14ac:dyDescent="0.2">
      <c r="A57" s="7">
        <v>154</v>
      </c>
      <c r="B57" s="24">
        <v>44589.741539351853</v>
      </c>
      <c r="C57" s="7">
        <v>1643392069</v>
      </c>
      <c r="D57" s="7">
        <v>44878</v>
      </c>
      <c r="E57" s="7" t="s">
        <v>627</v>
      </c>
      <c r="F57" s="7"/>
      <c r="G57" s="7"/>
      <c r="H57" s="7" t="s">
        <v>570</v>
      </c>
      <c r="I57" s="7" t="s">
        <v>571</v>
      </c>
      <c r="J57" s="7">
        <v>110</v>
      </c>
      <c r="K57" s="8" t="s">
        <v>671</v>
      </c>
      <c r="L57" s="8" t="s">
        <v>672</v>
      </c>
      <c r="M57" s="8" t="s">
        <v>574</v>
      </c>
      <c r="N57" s="26" t="s">
        <v>575</v>
      </c>
      <c r="O57" s="26" t="s">
        <v>576</v>
      </c>
      <c r="P57" s="26">
        <v>26</v>
      </c>
      <c r="Q57" s="26" t="s">
        <v>577</v>
      </c>
    </row>
    <row r="58" spans="1:17" ht="62.1" customHeight="1" x14ac:dyDescent="0.2">
      <c r="A58" s="7">
        <v>149</v>
      </c>
      <c r="B58" s="24">
        <v>44589.741655092592</v>
      </c>
      <c r="C58" s="7">
        <v>1643392079</v>
      </c>
      <c r="D58" s="7">
        <v>44878</v>
      </c>
      <c r="E58" s="7" t="s">
        <v>622</v>
      </c>
      <c r="F58" s="7">
        <v>2504</v>
      </c>
      <c r="G58" s="7">
        <v>5369438</v>
      </c>
      <c r="H58" s="7" t="s">
        <v>585</v>
      </c>
      <c r="I58" s="7" t="s">
        <v>571</v>
      </c>
      <c r="J58" s="7">
        <v>74</v>
      </c>
      <c r="K58" s="8" t="s">
        <v>673</v>
      </c>
      <c r="L58" s="8" t="s">
        <v>674</v>
      </c>
      <c r="M58" s="8" t="s">
        <v>593</v>
      </c>
      <c r="N58" s="26" t="s">
        <v>575</v>
      </c>
      <c r="O58" s="26" t="s">
        <v>589</v>
      </c>
      <c r="P58" s="26">
        <v>27</v>
      </c>
      <c r="Q58" s="26" t="s">
        <v>577</v>
      </c>
    </row>
    <row r="59" spans="1:17" ht="62.1" customHeight="1" x14ac:dyDescent="0.2">
      <c r="A59" s="7">
        <v>150</v>
      </c>
      <c r="B59" s="24">
        <v>44589.741655092592</v>
      </c>
      <c r="C59" s="7">
        <v>1643392079</v>
      </c>
      <c r="D59" s="7">
        <v>44878</v>
      </c>
      <c r="E59" s="7" t="s">
        <v>569</v>
      </c>
      <c r="F59" s="7"/>
      <c r="G59" s="7"/>
      <c r="H59" s="7" t="s">
        <v>570</v>
      </c>
      <c r="I59" s="7" t="s">
        <v>571</v>
      </c>
      <c r="J59" s="7">
        <v>110</v>
      </c>
      <c r="K59" s="8" t="s">
        <v>675</v>
      </c>
      <c r="L59" s="8" t="s">
        <v>676</v>
      </c>
      <c r="M59" s="8" t="s">
        <v>574</v>
      </c>
      <c r="N59" s="26" t="s">
        <v>575</v>
      </c>
      <c r="O59" s="26" t="s">
        <v>576</v>
      </c>
      <c r="P59" s="26">
        <v>27</v>
      </c>
      <c r="Q59" s="26" t="s">
        <v>577</v>
      </c>
    </row>
    <row r="60" spans="1:17" ht="62.1" customHeight="1" x14ac:dyDescent="0.2">
      <c r="A60" s="7">
        <v>151</v>
      </c>
      <c r="B60" s="24">
        <v>44589.741655092592</v>
      </c>
      <c r="C60" s="7">
        <v>1643392079</v>
      </c>
      <c r="D60" s="7">
        <v>44878</v>
      </c>
      <c r="E60" s="7" t="s">
        <v>627</v>
      </c>
      <c r="F60" s="7"/>
      <c r="G60" s="7"/>
      <c r="H60" s="7" t="s">
        <v>570</v>
      </c>
      <c r="I60" s="7" t="s">
        <v>571</v>
      </c>
      <c r="J60" s="7">
        <v>110</v>
      </c>
      <c r="K60" s="8" t="s">
        <v>675</v>
      </c>
      <c r="L60" s="8" t="s">
        <v>676</v>
      </c>
      <c r="M60" s="8" t="s">
        <v>574</v>
      </c>
      <c r="N60" s="26" t="s">
        <v>575</v>
      </c>
      <c r="O60" s="26" t="s">
        <v>576</v>
      </c>
      <c r="P60" s="26">
        <v>27</v>
      </c>
      <c r="Q60" s="26" t="s">
        <v>577</v>
      </c>
    </row>
    <row r="61" spans="1:17" ht="62.1" customHeight="1" x14ac:dyDescent="0.2">
      <c r="A61" s="7">
        <v>147</v>
      </c>
      <c r="B61" s="24">
        <v>44589.741770833331</v>
      </c>
      <c r="C61" s="7">
        <v>1643392089</v>
      </c>
      <c r="D61" s="7">
        <v>44878</v>
      </c>
      <c r="E61" s="7" t="s">
        <v>622</v>
      </c>
      <c r="F61" s="7">
        <v>2504</v>
      </c>
      <c r="G61" s="7">
        <v>5369438</v>
      </c>
      <c r="H61" s="7" t="s">
        <v>585</v>
      </c>
      <c r="I61" s="7" t="s">
        <v>571</v>
      </c>
      <c r="J61" s="7">
        <v>74</v>
      </c>
      <c r="K61" s="8" t="s">
        <v>677</v>
      </c>
      <c r="L61" s="8" t="s">
        <v>678</v>
      </c>
      <c r="M61" s="8" t="s">
        <v>593</v>
      </c>
      <c r="N61" s="26" t="s">
        <v>575</v>
      </c>
      <c r="O61" s="26" t="s">
        <v>589</v>
      </c>
      <c r="P61" s="26">
        <v>28</v>
      </c>
      <c r="Q61" s="26" t="s">
        <v>577</v>
      </c>
    </row>
    <row r="62" spans="1:17" ht="62.1" customHeight="1" x14ac:dyDescent="0.2">
      <c r="A62" s="7">
        <v>148</v>
      </c>
      <c r="B62" s="24">
        <v>44589.741770833331</v>
      </c>
      <c r="C62" s="7">
        <v>1643392089</v>
      </c>
      <c r="D62" s="7">
        <v>44878</v>
      </c>
      <c r="E62" s="7" t="s">
        <v>569</v>
      </c>
      <c r="F62" s="7"/>
      <c r="G62" s="7"/>
      <c r="H62" s="7" t="s">
        <v>570</v>
      </c>
      <c r="I62" s="7" t="s">
        <v>571</v>
      </c>
      <c r="J62" s="7">
        <v>110</v>
      </c>
      <c r="K62" s="8" t="s">
        <v>679</v>
      </c>
      <c r="L62" s="8" t="s">
        <v>680</v>
      </c>
      <c r="M62" s="8" t="s">
        <v>574</v>
      </c>
      <c r="N62" s="26" t="s">
        <v>575</v>
      </c>
      <c r="O62" s="26" t="s">
        <v>576</v>
      </c>
      <c r="P62" s="26">
        <v>28</v>
      </c>
      <c r="Q62" s="26" t="s">
        <v>577</v>
      </c>
    </row>
    <row r="63" spans="1:17" ht="62.1" customHeight="1" x14ac:dyDescent="0.2">
      <c r="A63" s="7">
        <v>146</v>
      </c>
      <c r="B63" s="24">
        <v>44589.741886574076</v>
      </c>
      <c r="C63" s="7">
        <v>1643392099</v>
      </c>
      <c r="D63" s="7">
        <v>44878</v>
      </c>
      <c r="E63" s="7" t="s">
        <v>622</v>
      </c>
      <c r="F63" s="7">
        <v>2504</v>
      </c>
      <c r="G63" s="7">
        <v>5369438</v>
      </c>
      <c r="H63" s="7" t="s">
        <v>585</v>
      </c>
      <c r="I63" s="7" t="s">
        <v>571</v>
      </c>
      <c r="J63" s="7">
        <v>74</v>
      </c>
      <c r="K63" s="8" t="s">
        <v>681</v>
      </c>
      <c r="L63" s="8" t="s">
        <v>682</v>
      </c>
      <c r="M63" s="8" t="s">
        <v>588</v>
      </c>
      <c r="N63" s="26" t="s">
        <v>575</v>
      </c>
      <c r="O63" s="26" t="s">
        <v>589</v>
      </c>
      <c r="P63" s="26">
        <v>29</v>
      </c>
      <c r="Q63" s="26" t="s">
        <v>590</v>
      </c>
    </row>
    <row r="64" spans="1:17" ht="62.1" customHeight="1" x14ac:dyDescent="0.2">
      <c r="A64" s="7">
        <v>143</v>
      </c>
      <c r="B64" s="24">
        <v>44589.742002314822</v>
      </c>
      <c r="C64" s="7">
        <v>1643392109</v>
      </c>
      <c r="D64" s="7">
        <v>44878</v>
      </c>
      <c r="E64" s="7" t="s">
        <v>622</v>
      </c>
      <c r="F64" s="7">
        <v>2504</v>
      </c>
      <c r="G64" s="7">
        <v>5369438</v>
      </c>
      <c r="H64" s="7" t="s">
        <v>585</v>
      </c>
      <c r="I64" s="7" t="s">
        <v>571</v>
      </c>
      <c r="J64" s="7">
        <v>74</v>
      </c>
      <c r="K64" s="8" t="s">
        <v>683</v>
      </c>
      <c r="L64" s="8" t="s">
        <v>684</v>
      </c>
      <c r="M64" s="8" t="s">
        <v>593</v>
      </c>
      <c r="N64" s="26" t="s">
        <v>575</v>
      </c>
      <c r="O64" s="26" t="s">
        <v>589</v>
      </c>
      <c r="P64" s="26">
        <v>30</v>
      </c>
      <c r="Q64" s="26" t="s">
        <v>577</v>
      </c>
    </row>
    <row r="65" spans="1:17" ht="62.1" customHeight="1" x14ac:dyDescent="0.2">
      <c r="A65" s="7">
        <v>144</v>
      </c>
      <c r="B65" s="24">
        <v>44589.742002314822</v>
      </c>
      <c r="C65" s="7">
        <v>1643392109</v>
      </c>
      <c r="D65" s="7">
        <v>44878</v>
      </c>
      <c r="E65" s="7" t="s">
        <v>569</v>
      </c>
      <c r="F65" s="7"/>
      <c r="G65" s="7"/>
      <c r="H65" s="7" t="s">
        <v>570</v>
      </c>
      <c r="I65" s="7" t="s">
        <v>571</v>
      </c>
      <c r="J65" s="7">
        <v>110</v>
      </c>
      <c r="K65" s="8" t="s">
        <v>685</v>
      </c>
      <c r="L65" s="8" t="s">
        <v>686</v>
      </c>
      <c r="M65" s="8" t="s">
        <v>574</v>
      </c>
      <c r="N65" s="26" t="s">
        <v>575</v>
      </c>
      <c r="O65" s="26" t="s">
        <v>576</v>
      </c>
      <c r="P65" s="26">
        <v>30</v>
      </c>
      <c r="Q65" s="26" t="s">
        <v>577</v>
      </c>
    </row>
    <row r="66" spans="1:17" ht="62.1" customHeight="1" x14ac:dyDescent="0.2">
      <c r="A66" s="7">
        <v>145</v>
      </c>
      <c r="B66" s="24">
        <v>44589.742002314822</v>
      </c>
      <c r="C66" s="7">
        <v>1643392109</v>
      </c>
      <c r="D66" s="7">
        <v>44878</v>
      </c>
      <c r="E66" s="7" t="s">
        <v>627</v>
      </c>
      <c r="F66" s="7"/>
      <c r="G66" s="7"/>
      <c r="H66" s="7" t="s">
        <v>570</v>
      </c>
      <c r="I66" s="7" t="s">
        <v>571</v>
      </c>
      <c r="J66" s="7">
        <v>110</v>
      </c>
      <c r="K66" s="8" t="s">
        <v>685</v>
      </c>
      <c r="L66" s="8" t="s">
        <v>686</v>
      </c>
      <c r="M66" s="8" t="s">
        <v>574</v>
      </c>
      <c r="N66" s="26" t="s">
        <v>575</v>
      </c>
      <c r="O66" s="26" t="s">
        <v>576</v>
      </c>
      <c r="P66" s="26">
        <v>30</v>
      </c>
      <c r="Q66" s="26" t="s">
        <v>577</v>
      </c>
    </row>
    <row r="67" spans="1:17" ht="62.1" customHeight="1" x14ac:dyDescent="0.2">
      <c r="A67" s="7">
        <v>141</v>
      </c>
      <c r="B67" s="24">
        <v>44589.742118055547</v>
      </c>
      <c r="C67" s="7">
        <v>1643392119</v>
      </c>
      <c r="D67" s="7">
        <v>44878</v>
      </c>
      <c r="E67" s="7" t="s">
        <v>622</v>
      </c>
      <c r="F67" s="7">
        <v>2504</v>
      </c>
      <c r="G67" s="7">
        <v>5369438</v>
      </c>
      <c r="H67" s="7" t="s">
        <v>585</v>
      </c>
      <c r="I67" s="7" t="s">
        <v>571</v>
      </c>
      <c r="J67" s="7">
        <v>74</v>
      </c>
      <c r="K67" s="8" t="s">
        <v>687</v>
      </c>
      <c r="L67" s="8" t="s">
        <v>688</v>
      </c>
      <c r="M67" s="8" t="s">
        <v>593</v>
      </c>
      <c r="N67" s="26" t="s">
        <v>575</v>
      </c>
      <c r="O67" s="26" t="s">
        <v>589</v>
      </c>
      <c r="P67" s="26">
        <v>31</v>
      </c>
      <c r="Q67" s="26" t="s">
        <v>577</v>
      </c>
    </row>
    <row r="68" spans="1:17" ht="62.1" customHeight="1" x14ac:dyDescent="0.2">
      <c r="A68" s="7">
        <v>142</v>
      </c>
      <c r="B68" s="24">
        <v>44589.742118055547</v>
      </c>
      <c r="C68" s="7">
        <v>1643392119</v>
      </c>
      <c r="D68" s="7">
        <v>44878</v>
      </c>
      <c r="E68" s="7" t="s">
        <v>627</v>
      </c>
      <c r="F68" s="7"/>
      <c r="G68" s="7"/>
      <c r="H68" s="7" t="s">
        <v>570</v>
      </c>
      <c r="I68" s="7" t="s">
        <v>571</v>
      </c>
      <c r="J68" s="7">
        <v>110</v>
      </c>
      <c r="K68" s="8" t="s">
        <v>689</v>
      </c>
      <c r="L68" s="8" t="s">
        <v>690</v>
      </c>
      <c r="M68" s="8" t="s">
        <v>574</v>
      </c>
      <c r="N68" s="26" t="s">
        <v>575</v>
      </c>
      <c r="O68" s="26" t="s">
        <v>576</v>
      </c>
      <c r="P68" s="26">
        <v>31</v>
      </c>
      <c r="Q68" s="26" t="s">
        <v>577</v>
      </c>
    </row>
    <row r="69" spans="1:17" ht="62.1" customHeight="1" x14ac:dyDescent="0.2">
      <c r="A69" s="7">
        <v>138</v>
      </c>
      <c r="B69" s="24">
        <v>44589.7422337963</v>
      </c>
      <c r="C69" s="7">
        <v>1643392129</v>
      </c>
      <c r="D69" s="7">
        <v>44878</v>
      </c>
      <c r="E69" s="7" t="s">
        <v>622</v>
      </c>
      <c r="F69" s="7">
        <v>2504</v>
      </c>
      <c r="G69" s="7">
        <v>5369438</v>
      </c>
      <c r="H69" s="7" t="s">
        <v>585</v>
      </c>
      <c r="I69" s="7" t="s">
        <v>571</v>
      </c>
      <c r="J69" s="7">
        <v>74</v>
      </c>
      <c r="K69" s="8" t="s">
        <v>691</v>
      </c>
      <c r="L69" s="8" t="s">
        <v>692</v>
      </c>
      <c r="M69" s="8" t="s">
        <v>593</v>
      </c>
      <c r="N69" s="26" t="s">
        <v>575</v>
      </c>
      <c r="O69" s="26" t="s">
        <v>589</v>
      </c>
      <c r="P69" s="26">
        <v>32</v>
      </c>
      <c r="Q69" s="26" t="s">
        <v>577</v>
      </c>
    </row>
    <row r="70" spans="1:17" ht="62.1" customHeight="1" x14ac:dyDescent="0.2">
      <c r="A70" s="7">
        <v>139</v>
      </c>
      <c r="B70" s="24">
        <v>44589.7422337963</v>
      </c>
      <c r="C70" s="7">
        <v>1643392129</v>
      </c>
      <c r="D70" s="7">
        <v>44878</v>
      </c>
      <c r="E70" s="7" t="s">
        <v>569</v>
      </c>
      <c r="F70" s="7"/>
      <c r="G70" s="7"/>
      <c r="H70" s="7" t="s">
        <v>570</v>
      </c>
      <c r="I70" s="7" t="s">
        <v>571</v>
      </c>
      <c r="J70" s="7">
        <v>110</v>
      </c>
      <c r="K70" s="8" t="s">
        <v>693</v>
      </c>
      <c r="L70" s="8" t="s">
        <v>694</v>
      </c>
      <c r="M70" s="8" t="s">
        <v>574</v>
      </c>
      <c r="N70" s="26" t="s">
        <v>575</v>
      </c>
      <c r="O70" s="26" t="s">
        <v>576</v>
      </c>
      <c r="P70" s="26">
        <v>32</v>
      </c>
      <c r="Q70" s="26" t="s">
        <v>577</v>
      </c>
    </row>
    <row r="71" spans="1:17" ht="62.1" customHeight="1" x14ac:dyDescent="0.2">
      <c r="A71" s="7">
        <v>140</v>
      </c>
      <c r="B71" s="24">
        <v>44589.7422337963</v>
      </c>
      <c r="C71" s="7">
        <v>1643392129</v>
      </c>
      <c r="D71" s="7">
        <v>44878</v>
      </c>
      <c r="E71" s="7" t="s">
        <v>627</v>
      </c>
      <c r="F71" s="7"/>
      <c r="G71" s="7"/>
      <c r="H71" s="7" t="s">
        <v>570</v>
      </c>
      <c r="I71" s="7" t="s">
        <v>571</v>
      </c>
      <c r="J71" s="7">
        <v>110</v>
      </c>
      <c r="K71" s="8" t="s">
        <v>693</v>
      </c>
      <c r="L71" s="8" t="s">
        <v>694</v>
      </c>
      <c r="M71" s="8" t="s">
        <v>574</v>
      </c>
      <c r="N71" s="26" t="s">
        <v>575</v>
      </c>
      <c r="O71" s="26" t="s">
        <v>576</v>
      </c>
      <c r="P71" s="26">
        <v>32</v>
      </c>
      <c r="Q71" s="26" t="s">
        <v>577</v>
      </c>
    </row>
    <row r="72" spans="1:17" ht="62.1" customHeight="1" x14ac:dyDescent="0.2">
      <c r="A72" s="7">
        <v>136</v>
      </c>
      <c r="B72" s="24">
        <v>44589.742349537039</v>
      </c>
      <c r="C72" s="7">
        <v>1643392139</v>
      </c>
      <c r="D72" s="7">
        <v>44878</v>
      </c>
      <c r="E72" s="7" t="s">
        <v>622</v>
      </c>
      <c r="F72" s="7">
        <v>2504</v>
      </c>
      <c r="G72" s="7">
        <v>5369438</v>
      </c>
      <c r="H72" s="7" t="s">
        <v>585</v>
      </c>
      <c r="I72" s="7" t="s">
        <v>571</v>
      </c>
      <c r="J72" s="7">
        <v>74</v>
      </c>
      <c r="K72" s="8" t="s">
        <v>695</v>
      </c>
      <c r="L72" s="8" t="s">
        <v>696</v>
      </c>
      <c r="M72" s="8" t="s">
        <v>593</v>
      </c>
      <c r="N72" s="26" t="s">
        <v>575</v>
      </c>
      <c r="O72" s="26" t="s">
        <v>589</v>
      </c>
      <c r="P72" s="26">
        <v>33</v>
      </c>
      <c r="Q72" s="26" t="s">
        <v>577</v>
      </c>
    </row>
    <row r="73" spans="1:17" ht="62.1" customHeight="1" x14ac:dyDescent="0.2">
      <c r="A73" s="7">
        <v>137</v>
      </c>
      <c r="B73" s="24">
        <v>44589.742349537039</v>
      </c>
      <c r="C73" s="7">
        <v>1643392139</v>
      </c>
      <c r="D73" s="7">
        <v>44878</v>
      </c>
      <c r="E73" s="7" t="s">
        <v>569</v>
      </c>
      <c r="F73" s="7"/>
      <c r="G73" s="7"/>
      <c r="H73" s="7" t="s">
        <v>570</v>
      </c>
      <c r="I73" s="7" t="s">
        <v>571</v>
      </c>
      <c r="J73" s="7">
        <v>110</v>
      </c>
      <c r="K73" s="8" t="s">
        <v>697</v>
      </c>
      <c r="L73" s="8" t="s">
        <v>698</v>
      </c>
      <c r="M73" s="8" t="s">
        <v>574</v>
      </c>
      <c r="N73" s="26" t="s">
        <v>575</v>
      </c>
      <c r="O73" s="26" t="s">
        <v>576</v>
      </c>
      <c r="P73" s="26">
        <v>33</v>
      </c>
      <c r="Q73" s="26" t="s">
        <v>577</v>
      </c>
    </row>
    <row r="74" spans="1:17" ht="62.1" customHeight="1" x14ac:dyDescent="0.2">
      <c r="A74" s="7">
        <v>135</v>
      </c>
      <c r="B74" s="24">
        <v>44589.742465277777</v>
      </c>
      <c r="C74" s="7">
        <v>1643392149</v>
      </c>
      <c r="D74" s="7">
        <v>44878</v>
      </c>
      <c r="E74" s="7" t="s">
        <v>569</v>
      </c>
      <c r="F74" s="7"/>
      <c r="G74" s="7"/>
      <c r="H74" s="7" t="s">
        <v>570</v>
      </c>
      <c r="I74" s="7" t="s">
        <v>571</v>
      </c>
      <c r="J74" s="7">
        <v>110</v>
      </c>
      <c r="K74" s="8" t="s">
        <v>699</v>
      </c>
      <c r="L74" s="8" t="s">
        <v>700</v>
      </c>
      <c r="M74" s="8" t="s">
        <v>574</v>
      </c>
      <c r="N74" s="26" t="s">
        <v>575</v>
      </c>
      <c r="O74" s="26" t="s">
        <v>576</v>
      </c>
      <c r="P74" s="26">
        <v>34</v>
      </c>
      <c r="Q74" s="26" t="s">
        <v>577</v>
      </c>
    </row>
    <row r="75" spans="1:17" ht="62.1" customHeight="1" x14ac:dyDescent="0.2">
      <c r="A75" s="7">
        <v>134</v>
      </c>
      <c r="B75" s="24">
        <v>44589.742581018523</v>
      </c>
      <c r="C75" s="7">
        <v>1643392159</v>
      </c>
      <c r="D75" s="7">
        <v>44878</v>
      </c>
      <c r="E75" s="7" t="s">
        <v>569</v>
      </c>
      <c r="F75" s="7"/>
      <c r="G75" s="7"/>
      <c r="H75" s="7" t="s">
        <v>570</v>
      </c>
      <c r="I75" s="7" t="s">
        <v>571</v>
      </c>
      <c r="J75" s="7">
        <v>110</v>
      </c>
      <c r="K75" s="8" t="s">
        <v>701</v>
      </c>
      <c r="L75" s="8" t="s">
        <v>702</v>
      </c>
      <c r="M75" s="8" t="s">
        <v>574</v>
      </c>
      <c r="N75" s="26" t="s">
        <v>575</v>
      </c>
      <c r="O75" s="26" t="s">
        <v>576</v>
      </c>
      <c r="P75" s="26">
        <v>35</v>
      </c>
      <c r="Q75" s="26" t="s">
        <v>577</v>
      </c>
    </row>
    <row r="76" spans="1:17" ht="62.1" customHeight="1" x14ac:dyDescent="0.2">
      <c r="A76" s="7">
        <v>131</v>
      </c>
      <c r="B76" s="24">
        <v>44589.742696759262</v>
      </c>
      <c r="C76" s="7">
        <v>1643392169</v>
      </c>
      <c r="D76" s="7">
        <v>44878</v>
      </c>
      <c r="E76" s="7" t="s">
        <v>622</v>
      </c>
      <c r="F76" s="7">
        <v>2504</v>
      </c>
      <c r="G76" s="7">
        <v>5369438</v>
      </c>
      <c r="H76" s="7" t="s">
        <v>585</v>
      </c>
      <c r="I76" s="7" t="s">
        <v>571</v>
      </c>
      <c r="J76" s="7">
        <v>74</v>
      </c>
      <c r="K76" s="8" t="s">
        <v>703</v>
      </c>
      <c r="L76" s="8" t="s">
        <v>704</v>
      </c>
      <c r="M76" s="8" t="s">
        <v>593</v>
      </c>
      <c r="N76" s="26" t="s">
        <v>575</v>
      </c>
      <c r="O76" s="26" t="s">
        <v>589</v>
      </c>
      <c r="P76" s="26">
        <v>36</v>
      </c>
      <c r="Q76" s="26" t="s">
        <v>577</v>
      </c>
    </row>
    <row r="77" spans="1:17" ht="62.1" customHeight="1" x14ac:dyDescent="0.2">
      <c r="A77" s="7">
        <v>132</v>
      </c>
      <c r="B77" s="24">
        <v>44589.742696759262</v>
      </c>
      <c r="C77" s="7">
        <v>1643392169</v>
      </c>
      <c r="D77" s="7">
        <v>44878</v>
      </c>
      <c r="E77" s="7" t="s">
        <v>569</v>
      </c>
      <c r="F77" s="7"/>
      <c r="G77" s="7"/>
      <c r="H77" s="7" t="s">
        <v>570</v>
      </c>
      <c r="I77" s="7" t="s">
        <v>571</v>
      </c>
      <c r="J77" s="7">
        <v>110</v>
      </c>
      <c r="K77" s="8" t="s">
        <v>705</v>
      </c>
      <c r="L77" s="8" t="s">
        <v>706</v>
      </c>
      <c r="M77" s="8" t="s">
        <v>574</v>
      </c>
      <c r="N77" s="26" t="s">
        <v>575</v>
      </c>
      <c r="O77" s="26" t="s">
        <v>576</v>
      </c>
      <c r="P77" s="26">
        <v>36</v>
      </c>
      <c r="Q77" s="26" t="s">
        <v>577</v>
      </c>
    </row>
    <row r="78" spans="1:17" ht="62.1" customHeight="1" x14ac:dyDescent="0.2">
      <c r="A78" s="7">
        <v>133</v>
      </c>
      <c r="B78" s="24">
        <v>44589.742696759262</v>
      </c>
      <c r="C78" s="7">
        <v>1643392169</v>
      </c>
      <c r="D78" s="7">
        <v>44878</v>
      </c>
      <c r="E78" s="7" t="s">
        <v>627</v>
      </c>
      <c r="F78" s="7"/>
      <c r="G78" s="7"/>
      <c r="H78" s="7" t="s">
        <v>570</v>
      </c>
      <c r="I78" s="7" t="s">
        <v>571</v>
      </c>
      <c r="J78" s="7">
        <v>110</v>
      </c>
      <c r="K78" s="8" t="s">
        <v>705</v>
      </c>
      <c r="L78" s="8" t="s">
        <v>706</v>
      </c>
      <c r="M78" s="8" t="s">
        <v>574</v>
      </c>
      <c r="N78" s="26" t="s">
        <v>575</v>
      </c>
      <c r="O78" s="26" t="s">
        <v>576</v>
      </c>
      <c r="P78" s="26">
        <v>36</v>
      </c>
      <c r="Q78" s="26" t="s">
        <v>577</v>
      </c>
    </row>
    <row r="79" spans="1:17" ht="62.1" customHeight="1" x14ac:dyDescent="0.2">
      <c r="A79" s="7">
        <v>128</v>
      </c>
      <c r="B79" s="24">
        <v>44589.742812500001</v>
      </c>
      <c r="C79" s="7">
        <v>1643392179</v>
      </c>
      <c r="D79" s="7">
        <v>44878</v>
      </c>
      <c r="E79" s="7" t="s">
        <v>622</v>
      </c>
      <c r="F79" s="7">
        <v>2504</v>
      </c>
      <c r="G79" s="7">
        <v>5369438</v>
      </c>
      <c r="H79" s="7" t="s">
        <v>585</v>
      </c>
      <c r="I79" s="7" t="s">
        <v>571</v>
      </c>
      <c r="J79" s="7">
        <v>74</v>
      </c>
      <c r="K79" s="8" t="s">
        <v>707</v>
      </c>
      <c r="L79" s="8" t="s">
        <v>708</v>
      </c>
      <c r="M79" s="8" t="s">
        <v>593</v>
      </c>
      <c r="N79" s="26" t="s">
        <v>575</v>
      </c>
      <c r="O79" s="26" t="s">
        <v>589</v>
      </c>
      <c r="P79" s="26">
        <v>37</v>
      </c>
      <c r="Q79" s="26" t="s">
        <v>577</v>
      </c>
    </row>
    <row r="80" spans="1:17" ht="62.1" customHeight="1" x14ac:dyDescent="0.2">
      <c r="A80" s="7">
        <v>129</v>
      </c>
      <c r="B80" s="24">
        <v>44589.742812500001</v>
      </c>
      <c r="C80" s="7">
        <v>1643392179</v>
      </c>
      <c r="D80" s="7">
        <v>44878</v>
      </c>
      <c r="E80" s="7" t="s">
        <v>569</v>
      </c>
      <c r="F80" s="7"/>
      <c r="G80" s="7"/>
      <c r="H80" s="7" t="s">
        <v>570</v>
      </c>
      <c r="I80" s="7" t="s">
        <v>571</v>
      </c>
      <c r="J80" s="7">
        <v>110</v>
      </c>
      <c r="K80" s="8" t="s">
        <v>709</v>
      </c>
      <c r="L80" s="8" t="s">
        <v>710</v>
      </c>
      <c r="M80" s="8" t="s">
        <v>574</v>
      </c>
      <c r="N80" s="26" t="s">
        <v>575</v>
      </c>
      <c r="O80" s="26" t="s">
        <v>576</v>
      </c>
      <c r="P80" s="26">
        <v>37</v>
      </c>
      <c r="Q80" s="26" t="s">
        <v>577</v>
      </c>
    </row>
    <row r="81" spans="1:17" ht="62.1" customHeight="1" x14ac:dyDescent="0.2">
      <c r="A81" s="7">
        <v>130</v>
      </c>
      <c r="B81" s="24">
        <v>44589.742812500001</v>
      </c>
      <c r="C81" s="7">
        <v>1643392179</v>
      </c>
      <c r="D81" s="7">
        <v>44878</v>
      </c>
      <c r="E81" s="7" t="s">
        <v>627</v>
      </c>
      <c r="F81" s="7"/>
      <c r="G81" s="7"/>
      <c r="H81" s="7" t="s">
        <v>570</v>
      </c>
      <c r="I81" s="7" t="s">
        <v>571</v>
      </c>
      <c r="J81" s="7">
        <v>110</v>
      </c>
      <c r="K81" s="8" t="s">
        <v>709</v>
      </c>
      <c r="L81" s="8" t="s">
        <v>710</v>
      </c>
      <c r="M81" s="8" t="s">
        <v>574</v>
      </c>
      <c r="N81" s="26" t="s">
        <v>575</v>
      </c>
      <c r="O81" s="26" t="s">
        <v>576</v>
      </c>
      <c r="P81" s="26">
        <v>37</v>
      </c>
      <c r="Q81" s="26" t="s">
        <v>577</v>
      </c>
    </row>
    <row r="82" spans="1:17" ht="62.1" customHeight="1" x14ac:dyDescent="0.2">
      <c r="A82" s="7">
        <v>126</v>
      </c>
      <c r="B82" s="24">
        <v>44589.742928240739</v>
      </c>
      <c r="C82" s="7">
        <v>1643392189</v>
      </c>
      <c r="D82" s="7">
        <v>44878</v>
      </c>
      <c r="E82" s="7" t="s">
        <v>622</v>
      </c>
      <c r="F82" s="7">
        <v>2504</v>
      </c>
      <c r="G82" s="7">
        <v>5369438</v>
      </c>
      <c r="H82" s="7" t="s">
        <v>585</v>
      </c>
      <c r="I82" s="7" t="s">
        <v>571</v>
      </c>
      <c r="J82" s="7">
        <v>74</v>
      </c>
      <c r="K82" s="8" t="s">
        <v>711</v>
      </c>
      <c r="L82" s="8" t="s">
        <v>712</v>
      </c>
      <c r="M82" s="8" t="s">
        <v>593</v>
      </c>
      <c r="N82" s="26" t="s">
        <v>575</v>
      </c>
      <c r="O82" s="26" t="s">
        <v>589</v>
      </c>
      <c r="P82" s="26">
        <v>38</v>
      </c>
      <c r="Q82" s="26" t="s">
        <v>577</v>
      </c>
    </row>
    <row r="83" spans="1:17" ht="62.1" customHeight="1" x14ac:dyDescent="0.2">
      <c r="A83" s="7">
        <v>127</v>
      </c>
      <c r="B83" s="24">
        <v>44589.742928240739</v>
      </c>
      <c r="C83" s="7">
        <v>1643392189</v>
      </c>
      <c r="D83" s="7">
        <v>44878</v>
      </c>
      <c r="E83" s="7" t="s">
        <v>627</v>
      </c>
      <c r="F83" s="7"/>
      <c r="G83" s="7"/>
      <c r="H83" s="7" t="s">
        <v>570</v>
      </c>
      <c r="I83" s="7" t="s">
        <v>571</v>
      </c>
      <c r="J83" s="7">
        <v>110</v>
      </c>
      <c r="K83" s="8" t="s">
        <v>713</v>
      </c>
      <c r="L83" s="8" t="s">
        <v>714</v>
      </c>
      <c r="M83" s="8" t="s">
        <v>574</v>
      </c>
      <c r="N83" s="26" t="s">
        <v>575</v>
      </c>
      <c r="O83" s="26" t="s">
        <v>576</v>
      </c>
      <c r="P83" s="26">
        <v>38</v>
      </c>
      <c r="Q83" s="26" t="s">
        <v>577</v>
      </c>
    </row>
    <row r="84" spans="1:17" ht="62.1" customHeight="1" x14ac:dyDescent="0.2">
      <c r="A84" s="7">
        <v>125</v>
      </c>
      <c r="B84" s="24">
        <v>44589.743043981478</v>
      </c>
      <c r="C84" s="7">
        <v>1643392199</v>
      </c>
      <c r="D84" s="7">
        <v>44878</v>
      </c>
      <c r="E84" s="7" t="s">
        <v>622</v>
      </c>
      <c r="F84" s="7">
        <v>2504</v>
      </c>
      <c r="G84" s="7">
        <v>5369438</v>
      </c>
      <c r="H84" s="7" t="s">
        <v>585</v>
      </c>
      <c r="I84" s="7" t="s">
        <v>571</v>
      </c>
      <c r="J84" s="7">
        <v>74</v>
      </c>
      <c r="K84" s="8" t="s">
        <v>715</v>
      </c>
      <c r="L84" s="8" t="s">
        <v>716</v>
      </c>
      <c r="M84" s="8" t="s">
        <v>588</v>
      </c>
      <c r="N84" s="26" t="s">
        <v>575</v>
      </c>
      <c r="O84" s="26" t="s">
        <v>589</v>
      </c>
      <c r="P84" s="26">
        <v>39</v>
      </c>
      <c r="Q84" s="26" t="s">
        <v>590</v>
      </c>
    </row>
    <row r="85" spans="1:17" ht="62.1" customHeight="1" x14ac:dyDescent="0.2">
      <c r="A85" s="7">
        <v>124</v>
      </c>
      <c r="B85" s="24">
        <v>44589.743159722217</v>
      </c>
      <c r="C85" s="7">
        <v>1643392209</v>
      </c>
      <c r="D85" s="7">
        <v>44878</v>
      </c>
      <c r="E85" s="7" t="s">
        <v>627</v>
      </c>
      <c r="F85" s="7"/>
      <c r="G85" s="7"/>
      <c r="H85" s="7" t="s">
        <v>570</v>
      </c>
      <c r="I85" s="7" t="s">
        <v>571</v>
      </c>
      <c r="J85" s="7">
        <v>110</v>
      </c>
      <c r="K85" s="8" t="s">
        <v>717</v>
      </c>
      <c r="L85" s="8" t="s">
        <v>718</v>
      </c>
      <c r="M85" s="8" t="s">
        <v>574</v>
      </c>
      <c r="N85" s="26" t="s">
        <v>575</v>
      </c>
      <c r="O85" s="26" t="s">
        <v>576</v>
      </c>
      <c r="P85" s="26">
        <v>40</v>
      </c>
      <c r="Q85" s="26" t="s">
        <v>577</v>
      </c>
    </row>
    <row r="86" spans="1:17" ht="62.1" customHeight="1" x14ac:dyDescent="0.2">
      <c r="A86" s="7">
        <v>123</v>
      </c>
      <c r="B86" s="24">
        <v>44589.743275462963</v>
      </c>
      <c r="C86" s="7">
        <v>1643392219</v>
      </c>
      <c r="D86" s="7">
        <v>44878</v>
      </c>
      <c r="E86" s="7" t="s">
        <v>627</v>
      </c>
      <c r="F86" s="7"/>
      <c r="G86" s="7"/>
      <c r="H86" s="7" t="s">
        <v>570</v>
      </c>
      <c r="I86" s="7" t="s">
        <v>571</v>
      </c>
      <c r="J86" s="7">
        <v>110</v>
      </c>
      <c r="K86" s="8" t="s">
        <v>719</v>
      </c>
      <c r="L86" s="8" t="s">
        <v>720</v>
      </c>
      <c r="M86" s="8" t="s">
        <v>574</v>
      </c>
      <c r="N86" s="26" t="s">
        <v>575</v>
      </c>
      <c r="O86" s="26" t="s">
        <v>576</v>
      </c>
      <c r="P86" s="26">
        <v>41</v>
      </c>
      <c r="Q86" s="26" t="s">
        <v>577</v>
      </c>
    </row>
    <row r="87" spans="1:17" ht="62.1" customHeight="1" x14ac:dyDescent="0.2">
      <c r="A87" s="7">
        <v>122</v>
      </c>
      <c r="B87" s="24">
        <v>44589.743506944447</v>
      </c>
      <c r="C87" s="7">
        <v>1643392239</v>
      </c>
      <c r="D87" s="7">
        <v>44878</v>
      </c>
      <c r="E87" s="7" t="s">
        <v>627</v>
      </c>
      <c r="F87" s="7"/>
      <c r="G87" s="7"/>
      <c r="H87" s="7" t="s">
        <v>570</v>
      </c>
      <c r="I87" s="7" t="s">
        <v>571</v>
      </c>
      <c r="J87" s="7">
        <v>110</v>
      </c>
      <c r="K87" s="8" t="s">
        <v>721</v>
      </c>
      <c r="L87" s="8" t="s">
        <v>722</v>
      </c>
      <c r="M87" s="8" t="s">
        <v>574</v>
      </c>
      <c r="N87" s="26" t="s">
        <v>575</v>
      </c>
      <c r="O87" s="26" t="s">
        <v>576</v>
      </c>
      <c r="P87" s="26">
        <v>42</v>
      </c>
      <c r="Q87" s="26" t="s">
        <v>577</v>
      </c>
    </row>
    <row r="88" spans="1:17" ht="62.1" customHeight="1" x14ac:dyDescent="0.2">
      <c r="A88" s="7">
        <v>121</v>
      </c>
      <c r="B88" s="24">
        <v>44589.743738425917</v>
      </c>
      <c r="C88" s="7">
        <v>1643392259</v>
      </c>
      <c r="D88" s="7">
        <v>44878</v>
      </c>
      <c r="E88" s="7" t="s">
        <v>627</v>
      </c>
      <c r="F88" s="7"/>
      <c r="G88" s="7"/>
      <c r="H88" s="7" t="s">
        <v>570</v>
      </c>
      <c r="I88" s="7" t="s">
        <v>571</v>
      </c>
      <c r="J88" s="7">
        <v>110</v>
      </c>
      <c r="K88" s="8" t="s">
        <v>723</v>
      </c>
      <c r="L88" s="8" t="s">
        <v>724</v>
      </c>
      <c r="M88" s="8" t="s">
        <v>574</v>
      </c>
      <c r="N88" s="26" t="s">
        <v>575</v>
      </c>
      <c r="O88" s="26" t="s">
        <v>576</v>
      </c>
      <c r="P88" s="26">
        <v>43</v>
      </c>
      <c r="Q88" s="26" t="s">
        <v>577</v>
      </c>
    </row>
    <row r="89" spans="1:17" ht="62.1" customHeight="1" x14ac:dyDescent="0.2">
      <c r="A89" s="7">
        <v>120</v>
      </c>
      <c r="B89" s="24">
        <v>44589.743854166663</v>
      </c>
      <c r="C89" s="7">
        <v>1643392269</v>
      </c>
      <c r="D89" s="7">
        <v>44878</v>
      </c>
      <c r="E89" s="7" t="s">
        <v>627</v>
      </c>
      <c r="F89" s="7"/>
      <c r="G89" s="7"/>
      <c r="H89" s="7" t="s">
        <v>570</v>
      </c>
      <c r="I89" s="7" t="s">
        <v>571</v>
      </c>
      <c r="J89" s="7">
        <v>110</v>
      </c>
      <c r="K89" s="8" t="s">
        <v>725</v>
      </c>
      <c r="L89" s="8" t="s">
        <v>726</v>
      </c>
      <c r="M89" s="8" t="s">
        <v>574</v>
      </c>
      <c r="N89" s="26" t="s">
        <v>575</v>
      </c>
      <c r="O89" s="26" t="s">
        <v>576</v>
      </c>
      <c r="P89" s="26">
        <v>44</v>
      </c>
      <c r="Q89" s="26" t="s">
        <v>577</v>
      </c>
    </row>
    <row r="90" spans="1:17" ht="62.1" customHeight="1" x14ac:dyDescent="0.2">
      <c r="A90" s="7">
        <v>119</v>
      </c>
      <c r="B90" s="24">
        <v>44589.743969907409</v>
      </c>
      <c r="C90" s="7">
        <v>1643392279</v>
      </c>
      <c r="D90" s="7">
        <v>44878</v>
      </c>
      <c r="E90" s="7" t="s">
        <v>627</v>
      </c>
      <c r="F90" s="7"/>
      <c r="G90" s="7"/>
      <c r="H90" s="7" t="s">
        <v>570</v>
      </c>
      <c r="I90" s="7" t="s">
        <v>571</v>
      </c>
      <c r="J90" s="7">
        <v>110</v>
      </c>
      <c r="K90" s="8" t="s">
        <v>727</v>
      </c>
      <c r="L90" s="8" t="s">
        <v>728</v>
      </c>
      <c r="M90" s="8" t="s">
        <v>574</v>
      </c>
      <c r="N90" s="26" t="s">
        <v>575</v>
      </c>
      <c r="O90" s="26" t="s">
        <v>576</v>
      </c>
      <c r="P90" s="26">
        <v>45</v>
      </c>
      <c r="Q90" s="26" t="s">
        <v>577</v>
      </c>
    </row>
    <row r="91" spans="1:17" ht="62.1" customHeight="1" x14ac:dyDescent="0.2">
      <c r="A91" s="7">
        <v>118</v>
      </c>
      <c r="B91" s="24">
        <v>44589.744085648148</v>
      </c>
      <c r="C91" s="7">
        <v>1643392289</v>
      </c>
      <c r="D91" s="7">
        <v>44878</v>
      </c>
      <c r="E91" s="7" t="s">
        <v>627</v>
      </c>
      <c r="F91" s="7"/>
      <c r="G91" s="7"/>
      <c r="H91" s="7" t="s">
        <v>570</v>
      </c>
      <c r="I91" s="7" t="s">
        <v>571</v>
      </c>
      <c r="J91" s="7">
        <v>110</v>
      </c>
      <c r="K91" s="8" t="s">
        <v>729</v>
      </c>
      <c r="L91" s="8" t="s">
        <v>730</v>
      </c>
      <c r="M91" s="8" t="s">
        <v>574</v>
      </c>
      <c r="N91" s="26" t="s">
        <v>575</v>
      </c>
      <c r="O91" s="26" t="s">
        <v>576</v>
      </c>
      <c r="P91" s="26">
        <v>46</v>
      </c>
      <c r="Q91" s="26" t="s">
        <v>577</v>
      </c>
    </row>
    <row r="92" spans="1:17" ht="62.1" customHeight="1" x14ac:dyDescent="0.2">
      <c r="A92" s="7">
        <v>117</v>
      </c>
      <c r="B92" s="24">
        <v>44589.744201388887</v>
      </c>
      <c r="C92" s="7">
        <v>1643392299</v>
      </c>
      <c r="D92" s="7">
        <v>44878</v>
      </c>
      <c r="E92" s="7" t="s">
        <v>627</v>
      </c>
      <c r="F92" s="7"/>
      <c r="G92" s="7"/>
      <c r="H92" s="7" t="s">
        <v>570</v>
      </c>
      <c r="I92" s="7" t="s">
        <v>571</v>
      </c>
      <c r="J92" s="7">
        <v>110</v>
      </c>
      <c r="K92" s="8" t="s">
        <v>731</v>
      </c>
      <c r="L92" s="8" t="s">
        <v>732</v>
      </c>
      <c r="M92" s="8" t="s">
        <v>574</v>
      </c>
      <c r="N92" s="26" t="s">
        <v>575</v>
      </c>
      <c r="O92" s="26" t="s">
        <v>576</v>
      </c>
      <c r="P92" s="26">
        <v>47</v>
      </c>
      <c r="Q92" s="26" t="s">
        <v>577</v>
      </c>
    </row>
    <row r="93" spans="1:17" ht="62.1" customHeight="1" x14ac:dyDescent="0.2">
      <c r="A93" s="7">
        <v>116</v>
      </c>
      <c r="B93" s="24">
        <v>44589.744317129633</v>
      </c>
      <c r="C93" s="7">
        <v>1643392309</v>
      </c>
      <c r="D93" s="7">
        <v>44878</v>
      </c>
      <c r="E93" s="7" t="s">
        <v>627</v>
      </c>
      <c r="F93" s="7"/>
      <c r="G93" s="7"/>
      <c r="H93" s="7" t="s">
        <v>570</v>
      </c>
      <c r="I93" s="7" t="s">
        <v>571</v>
      </c>
      <c r="J93" s="7">
        <v>110</v>
      </c>
      <c r="K93" s="8" t="s">
        <v>733</v>
      </c>
      <c r="L93" s="8" t="s">
        <v>734</v>
      </c>
      <c r="M93" s="8" t="s">
        <v>574</v>
      </c>
      <c r="N93" s="26" t="s">
        <v>575</v>
      </c>
      <c r="O93" s="26" t="s">
        <v>576</v>
      </c>
      <c r="P93" s="26">
        <v>48</v>
      </c>
      <c r="Q93" s="26" t="s">
        <v>577</v>
      </c>
    </row>
    <row r="94" spans="1:17" ht="62.1" customHeight="1" x14ac:dyDescent="0.2">
      <c r="A94" s="7">
        <v>115</v>
      </c>
      <c r="B94" s="24">
        <v>44589.744432870371</v>
      </c>
      <c r="C94" s="7">
        <v>1643392319</v>
      </c>
      <c r="D94" s="7">
        <v>44878</v>
      </c>
      <c r="E94" s="7" t="s">
        <v>627</v>
      </c>
      <c r="F94" s="7"/>
      <c r="G94" s="7"/>
      <c r="H94" s="7" t="s">
        <v>570</v>
      </c>
      <c r="I94" s="7" t="s">
        <v>571</v>
      </c>
      <c r="J94" s="7">
        <v>110</v>
      </c>
      <c r="K94" s="8" t="s">
        <v>735</v>
      </c>
      <c r="L94" s="8" t="s">
        <v>736</v>
      </c>
      <c r="M94" s="8" t="s">
        <v>574</v>
      </c>
      <c r="N94" s="26" t="s">
        <v>575</v>
      </c>
      <c r="O94" s="26" t="s">
        <v>576</v>
      </c>
      <c r="P94" s="26">
        <v>49</v>
      </c>
      <c r="Q94" s="26" t="s">
        <v>577</v>
      </c>
    </row>
    <row r="95" spans="1:17" ht="62.1" customHeight="1" x14ac:dyDescent="0.2">
      <c r="A95" s="7">
        <v>114</v>
      </c>
      <c r="B95" s="24">
        <v>44589.74454861111</v>
      </c>
      <c r="C95" s="7">
        <v>1643392329</v>
      </c>
      <c r="D95" s="7">
        <v>44878</v>
      </c>
      <c r="E95" s="7" t="s">
        <v>627</v>
      </c>
      <c r="F95" s="7"/>
      <c r="G95" s="7"/>
      <c r="H95" s="7" t="s">
        <v>570</v>
      </c>
      <c r="I95" s="7" t="s">
        <v>571</v>
      </c>
      <c r="J95" s="7">
        <v>110</v>
      </c>
      <c r="K95" s="8" t="s">
        <v>737</v>
      </c>
      <c r="L95" s="8" t="s">
        <v>738</v>
      </c>
      <c r="M95" s="8" t="s">
        <v>574</v>
      </c>
      <c r="N95" s="26" t="s">
        <v>575</v>
      </c>
      <c r="O95" s="26" t="s">
        <v>576</v>
      </c>
      <c r="P95" s="26">
        <v>50</v>
      </c>
      <c r="Q95" s="26" t="s">
        <v>577</v>
      </c>
    </row>
    <row r="96" spans="1:17" ht="62.1" customHeight="1" x14ac:dyDescent="0.2">
      <c r="A96" s="7">
        <v>113</v>
      </c>
      <c r="B96" s="24">
        <v>44589.744664351849</v>
      </c>
      <c r="C96" s="7">
        <v>1643392339</v>
      </c>
      <c r="D96" s="7">
        <v>44878</v>
      </c>
      <c r="E96" s="7" t="s">
        <v>627</v>
      </c>
      <c r="F96" s="7"/>
      <c r="G96" s="7"/>
      <c r="H96" s="7" t="s">
        <v>570</v>
      </c>
      <c r="I96" s="7" t="s">
        <v>571</v>
      </c>
      <c r="J96" s="7">
        <v>110</v>
      </c>
      <c r="K96" s="8" t="s">
        <v>739</v>
      </c>
      <c r="L96" s="8" t="s">
        <v>740</v>
      </c>
      <c r="M96" s="8" t="s">
        <v>574</v>
      </c>
      <c r="N96" s="26" t="s">
        <v>575</v>
      </c>
      <c r="O96" s="26" t="s">
        <v>576</v>
      </c>
      <c r="P96" s="26">
        <v>51</v>
      </c>
      <c r="Q96" s="26" t="s">
        <v>577</v>
      </c>
    </row>
    <row r="97" spans="1:17" ht="62.1" customHeight="1" x14ac:dyDescent="0.2">
      <c r="A97" s="7">
        <v>112</v>
      </c>
      <c r="B97" s="24">
        <v>44589.744780092587</v>
      </c>
      <c r="C97" s="7">
        <v>1643392349</v>
      </c>
      <c r="D97" s="7">
        <v>44878</v>
      </c>
      <c r="E97" s="7" t="s">
        <v>627</v>
      </c>
      <c r="F97" s="7"/>
      <c r="G97" s="7"/>
      <c r="H97" s="7" t="s">
        <v>570</v>
      </c>
      <c r="I97" s="7" t="s">
        <v>571</v>
      </c>
      <c r="J97" s="7">
        <v>110</v>
      </c>
      <c r="K97" s="8" t="s">
        <v>741</v>
      </c>
      <c r="L97" s="8" t="s">
        <v>742</v>
      </c>
      <c r="M97" s="8" t="s">
        <v>574</v>
      </c>
      <c r="N97" s="26" t="s">
        <v>575</v>
      </c>
      <c r="O97" s="26" t="s">
        <v>576</v>
      </c>
      <c r="P97" s="26">
        <v>52</v>
      </c>
      <c r="Q97" s="26" t="s">
        <v>577</v>
      </c>
    </row>
    <row r="98" spans="1:17" ht="62.1" customHeight="1" x14ac:dyDescent="0.2">
      <c r="A98" s="7">
        <v>111</v>
      </c>
      <c r="B98" s="24">
        <v>44589.744895833333</v>
      </c>
      <c r="C98" s="7">
        <v>1643392359</v>
      </c>
      <c r="D98" s="7">
        <v>44878</v>
      </c>
      <c r="E98" s="7" t="s">
        <v>627</v>
      </c>
      <c r="F98" s="7"/>
      <c r="G98" s="7"/>
      <c r="H98" s="7" t="s">
        <v>570</v>
      </c>
      <c r="I98" s="7" t="s">
        <v>571</v>
      </c>
      <c r="J98" s="7">
        <v>110</v>
      </c>
      <c r="K98" s="8" t="s">
        <v>743</v>
      </c>
      <c r="L98" s="8" t="s">
        <v>744</v>
      </c>
      <c r="M98" s="8" t="s">
        <v>574</v>
      </c>
      <c r="N98" s="26" t="s">
        <v>575</v>
      </c>
      <c r="O98" s="26" t="s">
        <v>576</v>
      </c>
      <c r="P98" s="26">
        <v>53</v>
      </c>
      <c r="Q98" s="26" t="s">
        <v>577</v>
      </c>
    </row>
    <row r="99" spans="1:17" ht="62.1" customHeight="1" x14ac:dyDescent="0.2">
      <c r="A99" s="7">
        <v>110</v>
      </c>
      <c r="B99" s="24">
        <v>44589.745011574072</v>
      </c>
      <c r="C99" s="7">
        <v>1643392369</v>
      </c>
      <c r="D99" s="7">
        <v>44878</v>
      </c>
      <c r="E99" s="7" t="s">
        <v>627</v>
      </c>
      <c r="F99" s="7"/>
      <c r="G99" s="7"/>
      <c r="H99" s="7" t="s">
        <v>570</v>
      </c>
      <c r="I99" s="7" t="s">
        <v>571</v>
      </c>
      <c r="J99" s="7">
        <v>110</v>
      </c>
      <c r="K99" s="8" t="s">
        <v>745</v>
      </c>
      <c r="L99" s="8" t="s">
        <v>746</v>
      </c>
      <c r="M99" s="8" t="s">
        <v>574</v>
      </c>
      <c r="N99" s="26" t="s">
        <v>575</v>
      </c>
      <c r="O99" s="26" t="s">
        <v>576</v>
      </c>
      <c r="P99" s="26">
        <v>54</v>
      </c>
      <c r="Q99" s="26" t="s">
        <v>577</v>
      </c>
    </row>
    <row r="100" spans="1:17" ht="62.1" customHeight="1" x14ac:dyDescent="0.2">
      <c r="A100" s="7">
        <v>109</v>
      </c>
      <c r="B100" s="24">
        <v>44589.745127314818</v>
      </c>
      <c r="C100" s="7">
        <v>1643392379</v>
      </c>
      <c r="D100" s="7">
        <v>44878</v>
      </c>
      <c r="E100" s="7" t="s">
        <v>627</v>
      </c>
      <c r="F100" s="7"/>
      <c r="G100" s="7"/>
      <c r="H100" s="7" t="s">
        <v>570</v>
      </c>
      <c r="I100" s="7" t="s">
        <v>571</v>
      </c>
      <c r="J100" s="7">
        <v>110</v>
      </c>
      <c r="K100" s="8" t="s">
        <v>747</v>
      </c>
      <c r="L100" s="8" t="s">
        <v>748</v>
      </c>
      <c r="M100" s="8" t="s">
        <v>574</v>
      </c>
      <c r="N100" s="26" t="s">
        <v>575</v>
      </c>
      <c r="O100" s="26" t="s">
        <v>576</v>
      </c>
      <c r="P100" s="26">
        <v>55</v>
      </c>
      <c r="Q100" s="26" t="s">
        <v>577</v>
      </c>
    </row>
    <row r="101" spans="1:17" ht="62.1" customHeight="1" x14ac:dyDescent="0.2">
      <c r="A101" s="7">
        <v>108</v>
      </c>
      <c r="B101" s="24">
        <v>44589.745254629634</v>
      </c>
      <c r="C101" s="7">
        <v>1643392390</v>
      </c>
      <c r="D101" s="7">
        <v>44878</v>
      </c>
      <c r="E101" s="7" t="s">
        <v>627</v>
      </c>
      <c r="F101" s="7"/>
      <c r="G101" s="7"/>
      <c r="H101" s="7" t="s">
        <v>570</v>
      </c>
      <c r="I101" s="7" t="s">
        <v>571</v>
      </c>
      <c r="J101" s="7">
        <v>110</v>
      </c>
      <c r="K101" s="8" t="s">
        <v>749</v>
      </c>
      <c r="L101" s="8" t="s">
        <v>750</v>
      </c>
      <c r="M101" s="8" t="s">
        <v>574</v>
      </c>
      <c r="N101" s="26" t="s">
        <v>575</v>
      </c>
      <c r="O101" s="26" t="s">
        <v>576</v>
      </c>
      <c r="P101" s="26">
        <v>56</v>
      </c>
      <c r="Q101" s="26" t="s">
        <v>577</v>
      </c>
    </row>
    <row r="102" spans="1:17" ht="62.1" customHeight="1" x14ac:dyDescent="0.2">
      <c r="A102" s="7">
        <v>107</v>
      </c>
      <c r="B102" s="24">
        <v>44589.745358796303</v>
      </c>
      <c r="C102" s="7">
        <v>1643392399</v>
      </c>
      <c r="D102" s="7">
        <v>44878</v>
      </c>
      <c r="E102" s="7" t="s">
        <v>627</v>
      </c>
      <c r="F102" s="7"/>
      <c r="G102" s="7"/>
      <c r="H102" s="7" t="s">
        <v>570</v>
      </c>
      <c r="I102" s="7" t="s">
        <v>571</v>
      </c>
      <c r="J102" s="7">
        <v>110</v>
      </c>
      <c r="K102" s="8" t="s">
        <v>751</v>
      </c>
      <c r="L102" s="8" t="s">
        <v>752</v>
      </c>
      <c r="M102" s="8" t="s">
        <v>574</v>
      </c>
      <c r="N102" s="26" t="s">
        <v>575</v>
      </c>
      <c r="O102" s="26" t="s">
        <v>576</v>
      </c>
      <c r="P102" s="26">
        <v>57</v>
      </c>
      <c r="Q102" s="26" t="s">
        <v>577</v>
      </c>
    </row>
    <row r="103" spans="1:17" ht="62.1" customHeight="1" x14ac:dyDescent="0.2">
      <c r="A103" s="7">
        <v>106</v>
      </c>
      <c r="B103" s="24">
        <v>44589.745474537027</v>
      </c>
      <c r="C103" s="7">
        <v>1643392409</v>
      </c>
      <c r="D103" s="7">
        <v>44878</v>
      </c>
      <c r="E103" s="7" t="s">
        <v>627</v>
      </c>
      <c r="F103" s="7"/>
      <c r="G103" s="7"/>
      <c r="H103" s="7" t="s">
        <v>570</v>
      </c>
      <c r="I103" s="7" t="s">
        <v>571</v>
      </c>
      <c r="J103" s="7">
        <v>110</v>
      </c>
      <c r="K103" s="8" t="s">
        <v>753</v>
      </c>
      <c r="L103" s="8" t="s">
        <v>754</v>
      </c>
      <c r="M103" s="8" t="s">
        <v>574</v>
      </c>
      <c r="N103" s="26" t="s">
        <v>575</v>
      </c>
      <c r="O103" s="26" t="s">
        <v>576</v>
      </c>
      <c r="P103" s="26">
        <v>58</v>
      </c>
      <c r="Q103" s="26" t="s">
        <v>577</v>
      </c>
    </row>
    <row r="104" spans="1:17" ht="62.1" customHeight="1" x14ac:dyDescent="0.2">
      <c r="A104" s="7">
        <v>105</v>
      </c>
      <c r="B104" s="24">
        <v>44589.745821759258</v>
      </c>
      <c r="C104" s="7">
        <v>1643392439</v>
      </c>
      <c r="D104" s="7">
        <v>44878</v>
      </c>
      <c r="E104" s="7" t="s">
        <v>627</v>
      </c>
      <c r="F104" s="7"/>
      <c r="G104" s="7"/>
      <c r="H104" s="7" t="s">
        <v>570</v>
      </c>
      <c r="I104" s="7" t="s">
        <v>571</v>
      </c>
      <c r="J104" s="7">
        <v>110</v>
      </c>
      <c r="K104" s="8" t="s">
        <v>755</v>
      </c>
      <c r="L104" s="8" t="s">
        <v>756</v>
      </c>
      <c r="M104" s="8" t="s">
        <v>574</v>
      </c>
      <c r="N104" s="26" t="s">
        <v>575</v>
      </c>
      <c r="O104" s="26" t="s">
        <v>576</v>
      </c>
      <c r="P104" s="26">
        <v>59</v>
      </c>
      <c r="Q104" s="26" t="s">
        <v>577</v>
      </c>
    </row>
    <row r="105" spans="1:17" ht="62.1" customHeight="1" x14ac:dyDescent="0.2">
      <c r="A105" s="7">
        <v>104</v>
      </c>
      <c r="B105" s="24">
        <v>44589.745937500003</v>
      </c>
      <c r="C105" s="7">
        <v>1643392449</v>
      </c>
      <c r="D105" s="7">
        <v>44878</v>
      </c>
      <c r="E105" s="7" t="s">
        <v>627</v>
      </c>
      <c r="F105" s="7"/>
      <c r="G105" s="7"/>
      <c r="H105" s="7" t="s">
        <v>570</v>
      </c>
      <c r="I105" s="7" t="s">
        <v>571</v>
      </c>
      <c r="J105" s="7">
        <v>110</v>
      </c>
      <c r="K105" s="8" t="s">
        <v>757</v>
      </c>
      <c r="L105" s="8" t="s">
        <v>758</v>
      </c>
      <c r="M105" s="8" t="s">
        <v>574</v>
      </c>
      <c r="N105" s="26" t="s">
        <v>575</v>
      </c>
      <c r="O105" s="26" t="s">
        <v>576</v>
      </c>
      <c r="P105" s="26">
        <v>60</v>
      </c>
      <c r="Q105" s="26" t="s">
        <v>577</v>
      </c>
    </row>
    <row r="106" spans="1:17" ht="62.1" customHeight="1" x14ac:dyDescent="0.2">
      <c r="A106" s="7">
        <v>103</v>
      </c>
      <c r="B106" s="24">
        <v>44589.746053240742</v>
      </c>
      <c r="C106" s="7">
        <v>1643392459</v>
      </c>
      <c r="D106" s="7">
        <v>44878</v>
      </c>
      <c r="E106" s="7" t="s">
        <v>627</v>
      </c>
      <c r="F106" s="7"/>
      <c r="G106" s="7"/>
      <c r="H106" s="7" t="s">
        <v>570</v>
      </c>
      <c r="I106" s="7" t="s">
        <v>571</v>
      </c>
      <c r="J106" s="7">
        <v>110</v>
      </c>
      <c r="K106" s="8" t="s">
        <v>759</v>
      </c>
      <c r="L106" s="8" t="s">
        <v>760</v>
      </c>
      <c r="M106" s="8" t="s">
        <v>574</v>
      </c>
      <c r="N106" s="26" t="s">
        <v>575</v>
      </c>
      <c r="O106" s="26" t="s">
        <v>576</v>
      </c>
      <c r="P106" s="26">
        <v>61</v>
      </c>
      <c r="Q106" s="26" t="s">
        <v>577</v>
      </c>
    </row>
  </sheetData>
  <mergeCells count="2">
    <mergeCell ref="A1:M1"/>
    <mergeCell ref="A2:M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sheetPr>
  <dimension ref="A1:S125"/>
  <sheetViews>
    <sheetView workbookViewId="0">
      <selection sqref="A1:S1"/>
    </sheetView>
  </sheetViews>
  <sheetFormatPr defaultRowHeight="15" x14ac:dyDescent="0.2"/>
  <cols>
    <col min="1" max="1" width="16.94921875" customWidth="1"/>
    <col min="2" max="2" width="27.98046875" customWidth="1"/>
    <col min="3" max="19" width="16.94921875" customWidth="1"/>
  </cols>
  <sheetData>
    <row r="1" spans="1:19" ht="33.950000000000003" customHeight="1" x14ac:dyDescent="0.3">
      <c r="A1" s="101" t="s">
        <v>761</v>
      </c>
      <c r="B1" s="80"/>
      <c r="C1" s="80"/>
      <c r="D1" s="80"/>
      <c r="E1" s="80"/>
      <c r="F1" s="80"/>
      <c r="G1" s="80"/>
      <c r="H1" s="80"/>
      <c r="I1" s="80"/>
      <c r="J1" s="80"/>
      <c r="K1" s="80"/>
      <c r="L1" s="80"/>
      <c r="M1" s="80"/>
      <c r="N1" s="80"/>
      <c r="O1" s="80"/>
      <c r="P1" s="80"/>
      <c r="Q1" s="80"/>
      <c r="R1" s="80"/>
      <c r="S1" s="80"/>
    </row>
    <row r="2" spans="1:19" ht="23.1" customHeight="1" x14ac:dyDescent="0.2">
      <c r="A2" s="102" t="s">
        <v>762</v>
      </c>
      <c r="B2" s="80"/>
      <c r="C2" s="80"/>
      <c r="D2" s="80"/>
      <c r="E2" s="80"/>
      <c r="F2" s="80"/>
      <c r="G2" s="80"/>
      <c r="H2" s="80"/>
      <c r="I2" s="80"/>
      <c r="J2" s="80"/>
      <c r="K2" s="80"/>
      <c r="L2" s="80"/>
      <c r="M2" s="80"/>
      <c r="N2" s="80"/>
      <c r="O2" s="80"/>
      <c r="P2" s="80"/>
      <c r="Q2" s="80"/>
      <c r="R2" s="80"/>
      <c r="S2" s="80"/>
    </row>
    <row r="3" spans="1:19" ht="23.1" customHeight="1" x14ac:dyDescent="0.2">
      <c r="A3" s="80"/>
      <c r="B3" s="80"/>
      <c r="C3" s="80"/>
      <c r="D3" s="80"/>
      <c r="E3" s="80"/>
      <c r="F3" s="80"/>
      <c r="G3" s="80"/>
      <c r="H3" s="80"/>
      <c r="I3" s="80"/>
      <c r="J3" s="80"/>
      <c r="K3" s="80"/>
      <c r="L3" s="80"/>
      <c r="M3" s="80"/>
      <c r="N3" s="80"/>
      <c r="O3" s="80"/>
      <c r="P3" s="80"/>
      <c r="Q3" s="80"/>
      <c r="R3" s="80"/>
      <c r="S3" s="80"/>
    </row>
    <row r="4" spans="1:19" x14ac:dyDescent="0.2">
      <c r="A4" s="1"/>
      <c r="B4" s="1"/>
      <c r="C4" s="1"/>
      <c r="D4" s="1"/>
      <c r="E4" s="1"/>
      <c r="F4" s="1"/>
      <c r="G4" s="1"/>
      <c r="H4" s="1"/>
      <c r="I4" s="1"/>
      <c r="J4" s="1"/>
      <c r="K4" s="1"/>
      <c r="L4" s="1"/>
      <c r="M4" s="1"/>
      <c r="N4" s="1"/>
      <c r="O4" s="1"/>
      <c r="P4" s="1"/>
      <c r="Q4" s="1"/>
      <c r="R4" s="1"/>
      <c r="S4" s="1"/>
    </row>
    <row r="5" spans="1:19" ht="42" customHeight="1" x14ac:dyDescent="0.2">
      <c r="A5" s="5" t="s">
        <v>763</v>
      </c>
      <c r="B5" s="5" t="s">
        <v>764</v>
      </c>
      <c r="C5" s="5" t="s">
        <v>550</v>
      </c>
      <c r="D5" s="5" t="s">
        <v>765</v>
      </c>
      <c r="E5" s="5" t="s">
        <v>766</v>
      </c>
      <c r="F5" s="5" t="s">
        <v>767</v>
      </c>
      <c r="G5" s="5" t="s">
        <v>768</v>
      </c>
      <c r="H5" s="5" t="s">
        <v>769</v>
      </c>
      <c r="I5" s="5" t="s">
        <v>770</v>
      </c>
      <c r="J5" s="5" t="s">
        <v>771</v>
      </c>
      <c r="K5" s="5" t="s">
        <v>772</v>
      </c>
      <c r="L5" s="5" t="s">
        <v>773</v>
      </c>
      <c r="M5" s="5" t="s">
        <v>774</v>
      </c>
      <c r="N5" s="5" t="s">
        <v>775</v>
      </c>
      <c r="O5" s="5" t="s">
        <v>776</v>
      </c>
      <c r="P5" s="5" t="s">
        <v>777</v>
      </c>
      <c r="Q5" s="5" t="s">
        <v>778</v>
      </c>
      <c r="R5" s="5" t="s">
        <v>779</v>
      </c>
      <c r="S5" s="5" t="s">
        <v>780</v>
      </c>
    </row>
    <row r="6" spans="1:19" ht="21.95" customHeight="1" x14ac:dyDescent="0.2">
      <c r="A6" s="7">
        <v>1</v>
      </c>
      <c r="B6" s="24">
        <v>44589.708333333343</v>
      </c>
      <c r="C6" s="7">
        <v>1643389200</v>
      </c>
      <c r="D6" s="7">
        <v>2022</v>
      </c>
      <c r="E6" s="7">
        <v>28</v>
      </c>
      <c r="F6" s="7">
        <v>17</v>
      </c>
      <c r="G6" s="7">
        <v>0</v>
      </c>
      <c r="H6" s="7">
        <v>51</v>
      </c>
      <c r="I6" s="7">
        <v>51</v>
      </c>
      <c r="J6" s="7">
        <v>60</v>
      </c>
      <c r="K6" s="7">
        <v>41</v>
      </c>
      <c r="L6" s="7">
        <v>6.4</v>
      </c>
      <c r="M6" s="7">
        <v>-0.5</v>
      </c>
      <c r="N6" s="7">
        <v>416.4</v>
      </c>
      <c r="O6" s="7">
        <v>5.0599999999999996</v>
      </c>
      <c r="P6" s="7">
        <v>42518</v>
      </c>
      <c r="Q6" s="7">
        <v>1.75</v>
      </c>
      <c r="R6" s="7">
        <v>50</v>
      </c>
      <c r="S6" s="7">
        <v>0</v>
      </c>
    </row>
    <row r="7" spans="1:19" ht="21.95" customHeight="1" x14ac:dyDescent="0.2">
      <c r="A7" s="7">
        <v>2</v>
      </c>
      <c r="B7" s="24">
        <v>44589.709027777782</v>
      </c>
      <c r="C7" s="7">
        <v>1643389260</v>
      </c>
      <c r="D7" s="7">
        <v>2022</v>
      </c>
      <c r="E7" s="7">
        <v>28</v>
      </c>
      <c r="F7" s="7">
        <v>17</v>
      </c>
      <c r="G7" s="7">
        <v>1</v>
      </c>
      <c r="H7" s="7">
        <v>51</v>
      </c>
      <c r="I7" s="7">
        <v>51</v>
      </c>
      <c r="J7" s="7">
        <v>100</v>
      </c>
      <c r="K7" s="7">
        <v>78</v>
      </c>
      <c r="L7" s="7">
        <v>6.3</v>
      </c>
      <c r="M7" s="7">
        <v>-0.43</v>
      </c>
      <c r="N7" s="7">
        <v>416.6</v>
      </c>
      <c r="O7" s="7">
        <v>5.2</v>
      </c>
      <c r="P7" s="7">
        <v>43772</v>
      </c>
      <c r="Q7" s="7">
        <v>1.8</v>
      </c>
      <c r="R7" s="7">
        <v>48</v>
      </c>
      <c r="S7" s="7">
        <v>-1</v>
      </c>
    </row>
    <row r="8" spans="1:19" ht="21.95" customHeight="1" x14ac:dyDescent="0.2">
      <c r="A8" s="7">
        <v>3</v>
      </c>
      <c r="B8" s="24">
        <v>44589.709722222222</v>
      </c>
      <c r="C8" s="7">
        <v>1643389320</v>
      </c>
      <c r="D8" s="7">
        <v>2022</v>
      </c>
      <c r="E8" s="7">
        <v>28</v>
      </c>
      <c r="F8" s="7">
        <v>17</v>
      </c>
      <c r="G8" s="7">
        <v>2</v>
      </c>
      <c r="H8" s="7">
        <v>51</v>
      </c>
      <c r="I8" s="7">
        <v>51</v>
      </c>
      <c r="J8" s="7">
        <v>13</v>
      </c>
      <c r="K8" s="7">
        <v>88</v>
      </c>
      <c r="L8" s="7">
        <v>6.29</v>
      </c>
      <c r="M8" s="7">
        <v>-0.01</v>
      </c>
      <c r="N8" s="7">
        <v>417.3</v>
      </c>
      <c r="O8" s="7">
        <v>5.56</v>
      </c>
      <c r="P8" s="7">
        <v>47009</v>
      </c>
      <c r="Q8" s="7">
        <v>1.94</v>
      </c>
      <c r="R8" s="7">
        <v>45</v>
      </c>
      <c r="S8" s="7">
        <v>0</v>
      </c>
    </row>
    <row r="9" spans="1:19" ht="21.95" customHeight="1" x14ac:dyDescent="0.2">
      <c r="A9" s="7">
        <v>4</v>
      </c>
      <c r="B9" s="24">
        <v>44589.710416666669</v>
      </c>
      <c r="C9" s="7">
        <v>1643389380</v>
      </c>
      <c r="D9" s="7">
        <v>2022</v>
      </c>
      <c r="E9" s="7">
        <v>28</v>
      </c>
      <c r="F9" s="7">
        <v>17</v>
      </c>
      <c r="G9" s="7">
        <v>3</v>
      </c>
      <c r="H9" s="7">
        <v>51</v>
      </c>
      <c r="I9" s="7">
        <v>51</v>
      </c>
      <c r="J9" s="7">
        <v>0</v>
      </c>
      <c r="K9" s="7">
        <v>97</v>
      </c>
      <c r="L9" s="7">
        <v>6.16</v>
      </c>
      <c r="M9" s="7">
        <v>0.81</v>
      </c>
      <c r="N9" s="7">
        <v>417.3</v>
      </c>
      <c r="O9" s="7">
        <v>5.17</v>
      </c>
      <c r="P9" s="7">
        <v>44270</v>
      </c>
      <c r="Q9" s="7">
        <v>1.8</v>
      </c>
      <c r="R9" s="7">
        <v>45</v>
      </c>
      <c r="S9" s="7">
        <v>0</v>
      </c>
    </row>
    <row r="10" spans="1:19" ht="21.95" customHeight="1" x14ac:dyDescent="0.2">
      <c r="A10" s="7">
        <v>5</v>
      </c>
      <c r="B10" s="24">
        <v>44589.711111111108</v>
      </c>
      <c r="C10" s="7">
        <v>1643389440</v>
      </c>
      <c r="D10" s="7">
        <v>2022</v>
      </c>
      <c r="E10" s="7">
        <v>28</v>
      </c>
      <c r="F10" s="7">
        <v>17</v>
      </c>
      <c r="G10" s="7">
        <v>4</v>
      </c>
      <c r="H10" s="7">
        <v>51</v>
      </c>
      <c r="I10" s="7">
        <v>51</v>
      </c>
      <c r="J10" s="7">
        <v>0</v>
      </c>
      <c r="K10" s="7">
        <v>-15</v>
      </c>
      <c r="L10" s="7">
        <v>6.18</v>
      </c>
      <c r="M10" s="7">
        <v>0.75</v>
      </c>
      <c r="N10" s="7">
        <v>417.3</v>
      </c>
      <c r="O10" s="7">
        <v>5.17</v>
      </c>
      <c r="P10" s="7">
        <v>44268</v>
      </c>
      <c r="Q10" s="7">
        <v>1.8</v>
      </c>
      <c r="R10" s="7">
        <v>47</v>
      </c>
      <c r="S10" s="7">
        <v>0</v>
      </c>
    </row>
    <row r="11" spans="1:19" ht="21.95" customHeight="1" x14ac:dyDescent="0.2">
      <c r="A11" s="7">
        <v>6</v>
      </c>
      <c r="B11" s="24">
        <v>44589.711805555547</v>
      </c>
      <c r="C11" s="7">
        <v>1643389500</v>
      </c>
      <c r="D11" s="7">
        <v>2022</v>
      </c>
      <c r="E11" s="7">
        <v>28</v>
      </c>
      <c r="F11" s="7">
        <v>17</v>
      </c>
      <c r="G11" s="7">
        <v>5</v>
      </c>
      <c r="H11" s="7">
        <v>51</v>
      </c>
      <c r="I11" s="7">
        <v>51</v>
      </c>
      <c r="J11" s="7">
        <v>0</v>
      </c>
      <c r="K11" s="7">
        <v>63</v>
      </c>
      <c r="L11" s="7">
        <v>6.03</v>
      </c>
      <c r="M11" s="7">
        <v>1.65</v>
      </c>
      <c r="N11" s="7">
        <v>417.9</v>
      </c>
      <c r="O11" s="7">
        <v>5.17</v>
      </c>
      <c r="P11" s="7">
        <v>68709</v>
      </c>
      <c r="Q11" s="7">
        <v>1.81</v>
      </c>
      <c r="R11" s="7">
        <v>47</v>
      </c>
      <c r="S11" s="7">
        <v>0</v>
      </c>
    </row>
    <row r="12" spans="1:19" ht="21.95" customHeight="1" x14ac:dyDescent="0.2">
      <c r="A12" s="7">
        <v>7</v>
      </c>
      <c r="B12" s="24">
        <v>44589.712500000001</v>
      </c>
      <c r="C12" s="7">
        <v>1643389560</v>
      </c>
      <c r="D12" s="7">
        <v>2022</v>
      </c>
      <c r="E12" s="7">
        <v>28</v>
      </c>
      <c r="F12" s="7">
        <v>17</v>
      </c>
      <c r="G12" s="7">
        <v>6</v>
      </c>
      <c r="H12" s="7">
        <v>51</v>
      </c>
      <c r="I12" s="7">
        <v>51</v>
      </c>
      <c r="J12" s="7">
        <v>0</v>
      </c>
      <c r="K12" s="7">
        <v>65</v>
      </c>
      <c r="L12" s="7">
        <v>6.1</v>
      </c>
      <c r="M12" s="7">
        <v>2.93</v>
      </c>
      <c r="N12" s="7">
        <v>418.2</v>
      </c>
      <c r="O12" s="7">
        <v>5.24</v>
      </c>
      <c r="P12" s="7">
        <v>67050</v>
      </c>
      <c r="Q12" s="7">
        <v>1.83</v>
      </c>
      <c r="R12" s="7">
        <v>46</v>
      </c>
      <c r="S12" s="7">
        <v>0</v>
      </c>
    </row>
    <row r="13" spans="1:19" ht="21.95" customHeight="1" x14ac:dyDescent="0.2">
      <c r="A13" s="7">
        <v>8</v>
      </c>
      <c r="B13" s="24">
        <v>44589.713194444441</v>
      </c>
      <c r="C13" s="7">
        <v>1643389620</v>
      </c>
      <c r="D13" s="7">
        <v>2022</v>
      </c>
      <c r="E13" s="7">
        <v>28</v>
      </c>
      <c r="F13" s="7">
        <v>17</v>
      </c>
      <c r="G13" s="7">
        <v>7</v>
      </c>
      <c r="H13" s="7">
        <v>51</v>
      </c>
      <c r="I13" s="7">
        <v>51</v>
      </c>
      <c r="J13" s="7">
        <v>0</v>
      </c>
      <c r="K13" s="7">
        <v>73</v>
      </c>
      <c r="L13" s="7">
        <v>6.12</v>
      </c>
      <c r="M13" s="7">
        <v>2.08</v>
      </c>
      <c r="N13" s="7">
        <v>419.7</v>
      </c>
      <c r="O13" s="7">
        <v>5.51</v>
      </c>
      <c r="P13" s="7">
        <v>59606</v>
      </c>
      <c r="Q13" s="7">
        <v>1.94</v>
      </c>
      <c r="R13" s="7">
        <v>46</v>
      </c>
      <c r="S13" s="7">
        <v>0</v>
      </c>
    </row>
    <row r="14" spans="1:19" ht="21.95" customHeight="1" x14ac:dyDescent="0.2">
      <c r="A14" s="7">
        <v>9</v>
      </c>
      <c r="B14" s="24">
        <v>44589.713888888888</v>
      </c>
      <c r="C14" s="7">
        <v>1643389680</v>
      </c>
      <c r="D14" s="7">
        <v>2022</v>
      </c>
      <c r="E14" s="7">
        <v>28</v>
      </c>
      <c r="F14" s="7">
        <v>17</v>
      </c>
      <c r="G14" s="7">
        <v>8</v>
      </c>
      <c r="H14" s="7">
        <v>51</v>
      </c>
      <c r="I14" s="7">
        <v>51</v>
      </c>
      <c r="J14" s="7">
        <v>0</v>
      </c>
      <c r="K14" s="7">
        <v>86</v>
      </c>
      <c r="L14" s="7">
        <v>6.09</v>
      </c>
      <c r="M14" s="7">
        <v>0.26</v>
      </c>
      <c r="N14" s="7">
        <v>420.7</v>
      </c>
      <c r="O14" s="7">
        <v>5.23</v>
      </c>
      <c r="P14" s="7">
        <v>56381</v>
      </c>
      <c r="Q14" s="7">
        <v>1.85</v>
      </c>
      <c r="R14" s="7">
        <v>43</v>
      </c>
      <c r="S14" s="7">
        <v>0</v>
      </c>
    </row>
    <row r="15" spans="1:19" ht="21.95" customHeight="1" x14ac:dyDescent="0.2">
      <c r="A15" s="7">
        <v>10</v>
      </c>
      <c r="B15" s="24">
        <v>44589.714583333327</v>
      </c>
      <c r="C15" s="7">
        <v>1643389740</v>
      </c>
      <c r="D15" s="7">
        <v>2022</v>
      </c>
      <c r="E15" s="7">
        <v>28</v>
      </c>
      <c r="F15" s="7">
        <v>17</v>
      </c>
      <c r="G15" s="7">
        <v>9</v>
      </c>
      <c r="H15" s="7">
        <v>51</v>
      </c>
      <c r="I15" s="7">
        <v>51</v>
      </c>
      <c r="J15" s="7">
        <v>0</v>
      </c>
      <c r="K15" s="7">
        <v>71</v>
      </c>
      <c r="L15" s="7">
        <v>6.09</v>
      </c>
      <c r="M15" s="7">
        <v>0.87</v>
      </c>
      <c r="N15" s="7">
        <v>423.8</v>
      </c>
      <c r="O15" s="7">
        <v>5.38</v>
      </c>
      <c r="P15" s="7">
        <v>59583</v>
      </c>
      <c r="Q15" s="7">
        <v>1.93</v>
      </c>
      <c r="R15" s="7">
        <v>44</v>
      </c>
      <c r="S15" s="7">
        <v>0</v>
      </c>
    </row>
    <row r="16" spans="1:19" ht="21.95" customHeight="1" x14ac:dyDescent="0.2">
      <c r="A16" s="7">
        <v>11</v>
      </c>
      <c r="B16" s="24">
        <v>44589.715277777781</v>
      </c>
      <c r="C16" s="7">
        <v>1643389800</v>
      </c>
      <c r="D16" s="7">
        <v>2022</v>
      </c>
      <c r="E16" s="7">
        <v>28</v>
      </c>
      <c r="F16" s="7">
        <v>17</v>
      </c>
      <c r="G16" s="7">
        <v>10</v>
      </c>
      <c r="H16" s="7">
        <v>51</v>
      </c>
      <c r="I16" s="7">
        <v>51</v>
      </c>
      <c r="J16" s="7">
        <v>0</v>
      </c>
      <c r="K16" s="7">
        <v>39</v>
      </c>
      <c r="L16" s="7">
        <v>6.05</v>
      </c>
      <c r="M16" s="7">
        <v>1.19</v>
      </c>
      <c r="N16" s="7">
        <v>424.2</v>
      </c>
      <c r="O16" s="7">
        <v>5.4</v>
      </c>
      <c r="P16" s="7">
        <v>59993</v>
      </c>
      <c r="Q16" s="7">
        <v>1.94</v>
      </c>
      <c r="R16" s="7">
        <v>44</v>
      </c>
      <c r="S16" s="7">
        <v>0</v>
      </c>
    </row>
    <row r="17" spans="1:19" ht="21.95" customHeight="1" x14ac:dyDescent="0.2">
      <c r="A17" s="7">
        <v>12</v>
      </c>
      <c r="B17" s="24">
        <v>44589.71597222222</v>
      </c>
      <c r="C17" s="7">
        <v>1643389860</v>
      </c>
      <c r="D17" s="7">
        <v>2022</v>
      </c>
      <c r="E17" s="7">
        <v>28</v>
      </c>
      <c r="F17" s="7">
        <v>17</v>
      </c>
      <c r="G17" s="7">
        <v>11</v>
      </c>
      <c r="H17" s="7">
        <v>51</v>
      </c>
      <c r="I17" s="7">
        <v>51</v>
      </c>
      <c r="J17" s="7">
        <v>0</v>
      </c>
      <c r="K17" s="7">
        <v>46</v>
      </c>
      <c r="L17" s="7">
        <v>6.06</v>
      </c>
      <c r="M17" s="7">
        <v>1.47</v>
      </c>
      <c r="N17" s="7">
        <v>419.8</v>
      </c>
      <c r="O17" s="7">
        <v>5.88</v>
      </c>
      <c r="P17" s="7">
        <v>56909</v>
      </c>
      <c r="Q17" s="7">
        <v>2.0699999999999998</v>
      </c>
      <c r="R17" s="7">
        <v>42</v>
      </c>
      <c r="S17" s="7">
        <v>0</v>
      </c>
    </row>
    <row r="18" spans="1:19" ht="21.95" customHeight="1" x14ac:dyDescent="0.2">
      <c r="A18" s="7">
        <v>13</v>
      </c>
      <c r="B18" s="24">
        <v>44589.716666666667</v>
      </c>
      <c r="C18" s="7">
        <v>1643389920</v>
      </c>
      <c r="D18" s="7">
        <v>2022</v>
      </c>
      <c r="E18" s="7">
        <v>28</v>
      </c>
      <c r="F18" s="7">
        <v>17</v>
      </c>
      <c r="G18" s="7">
        <v>12</v>
      </c>
      <c r="H18" s="7">
        <v>51</v>
      </c>
      <c r="I18" s="7">
        <v>51</v>
      </c>
      <c r="J18" s="7">
        <v>0</v>
      </c>
      <c r="K18" s="7">
        <v>63</v>
      </c>
      <c r="L18" s="7">
        <v>6.02</v>
      </c>
      <c r="M18" s="7">
        <v>1.22</v>
      </c>
      <c r="N18" s="7">
        <v>419.8</v>
      </c>
      <c r="O18" s="7">
        <v>5.87</v>
      </c>
      <c r="P18" s="7">
        <v>56966</v>
      </c>
      <c r="Q18" s="7">
        <v>2.0699999999999998</v>
      </c>
      <c r="R18" s="7">
        <v>44</v>
      </c>
      <c r="S18" s="7">
        <v>0</v>
      </c>
    </row>
    <row r="19" spans="1:19" ht="21.95" customHeight="1" x14ac:dyDescent="0.2">
      <c r="A19" s="7">
        <v>14</v>
      </c>
      <c r="B19" s="24">
        <v>44589.717361111107</v>
      </c>
      <c r="C19" s="7">
        <v>1643389980</v>
      </c>
      <c r="D19" s="7">
        <v>2022</v>
      </c>
      <c r="E19" s="7">
        <v>28</v>
      </c>
      <c r="F19" s="7">
        <v>17</v>
      </c>
      <c r="G19" s="7">
        <v>13</v>
      </c>
      <c r="H19" s="7">
        <v>51</v>
      </c>
      <c r="I19" s="7">
        <v>51</v>
      </c>
      <c r="J19" s="7">
        <v>0</v>
      </c>
      <c r="K19" s="7">
        <v>56</v>
      </c>
      <c r="L19" s="7">
        <v>6.04</v>
      </c>
      <c r="M19" s="7">
        <v>1.22</v>
      </c>
      <c r="N19" s="7">
        <v>420.7</v>
      </c>
      <c r="O19" s="7">
        <v>5.51</v>
      </c>
      <c r="P19" s="7">
        <v>59993</v>
      </c>
      <c r="Q19" s="7">
        <v>1.95</v>
      </c>
      <c r="R19" s="7">
        <v>46</v>
      </c>
      <c r="S19" s="7">
        <v>1</v>
      </c>
    </row>
    <row r="20" spans="1:19" ht="21.95" customHeight="1" x14ac:dyDescent="0.2">
      <c r="A20" s="7">
        <v>15</v>
      </c>
      <c r="B20" s="24">
        <v>44589.718055555553</v>
      </c>
      <c r="C20" s="7">
        <v>1643390040</v>
      </c>
      <c r="D20" s="7">
        <v>2022</v>
      </c>
      <c r="E20" s="7">
        <v>28</v>
      </c>
      <c r="F20" s="7">
        <v>17</v>
      </c>
      <c r="G20" s="7">
        <v>14</v>
      </c>
      <c r="H20" s="7">
        <v>51</v>
      </c>
      <c r="I20" s="7">
        <v>51</v>
      </c>
      <c r="J20" s="7">
        <v>0</v>
      </c>
      <c r="K20" s="7">
        <v>67</v>
      </c>
      <c r="L20" s="7">
        <v>6.15</v>
      </c>
      <c r="M20" s="7">
        <v>1.1100000000000001</v>
      </c>
      <c r="N20" s="7">
        <v>418.9</v>
      </c>
      <c r="O20" s="7">
        <v>5.66</v>
      </c>
      <c r="P20" s="7">
        <v>59331</v>
      </c>
      <c r="Q20" s="7">
        <v>1.99</v>
      </c>
      <c r="R20" s="7">
        <v>43</v>
      </c>
      <c r="S20" s="7">
        <v>1</v>
      </c>
    </row>
    <row r="21" spans="1:19" ht="21.95" customHeight="1" x14ac:dyDescent="0.2">
      <c r="A21" s="7">
        <v>16</v>
      </c>
      <c r="B21" s="24">
        <v>44589.71875</v>
      </c>
      <c r="C21" s="7">
        <v>1643390100</v>
      </c>
      <c r="D21" s="7">
        <v>2022</v>
      </c>
      <c r="E21" s="7">
        <v>28</v>
      </c>
      <c r="F21" s="7">
        <v>17</v>
      </c>
      <c r="G21" s="7">
        <v>15</v>
      </c>
      <c r="H21" s="7">
        <v>51</v>
      </c>
      <c r="I21" s="7">
        <v>51</v>
      </c>
      <c r="J21" s="7">
        <v>0</v>
      </c>
      <c r="K21" s="7">
        <v>59</v>
      </c>
      <c r="L21" s="7">
        <v>6.25</v>
      </c>
      <c r="M21" s="7">
        <v>0.39</v>
      </c>
      <c r="N21" s="7">
        <v>418.4</v>
      </c>
      <c r="O21" s="7">
        <v>5.7</v>
      </c>
      <c r="P21" s="7">
        <v>59158</v>
      </c>
      <c r="Q21" s="7">
        <v>2</v>
      </c>
      <c r="R21" s="7">
        <v>41</v>
      </c>
      <c r="S21" s="7">
        <v>1</v>
      </c>
    </row>
    <row r="22" spans="1:19" ht="21.95" customHeight="1" x14ac:dyDescent="0.2">
      <c r="A22" s="7">
        <v>17</v>
      </c>
      <c r="B22" s="24">
        <v>44589.719444444447</v>
      </c>
      <c r="C22" s="7">
        <v>1643390160</v>
      </c>
      <c r="D22" s="7">
        <v>2022</v>
      </c>
      <c r="E22" s="7">
        <v>28</v>
      </c>
      <c r="F22" s="7">
        <v>17</v>
      </c>
      <c r="G22" s="7">
        <v>16</v>
      </c>
      <c r="H22" s="7">
        <v>51</v>
      </c>
      <c r="I22" s="7">
        <v>51</v>
      </c>
      <c r="J22" s="7">
        <v>20</v>
      </c>
      <c r="K22" s="7">
        <v>51</v>
      </c>
      <c r="L22" s="7">
        <v>6.33</v>
      </c>
      <c r="M22" s="7">
        <v>0.16</v>
      </c>
      <c r="N22" s="7">
        <v>415.3</v>
      </c>
      <c r="O22" s="7">
        <v>5.04</v>
      </c>
      <c r="P22" s="7">
        <v>57021</v>
      </c>
      <c r="Q22" s="7">
        <v>1.74</v>
      </c>
      <c r="R22" s="7">
        <v>38</v>
      </c>
      <c r="S22" s="7">
        <v>1</v>
      </c>
    </row>
    <row r="23" spans="1:19" ht="21.95" customHeight="1" x14ac:dyDescent="0.2">
      <c r="A23" s="7">
        <v>18</v>
      </c>
      <c r="B23" s="24">
        <v>44589.720138888893</v>
      </c>
      <c r="C23" s="7">
        <v>1643390220</v>
      </c>
      <c r="D23" s="7">
        <v>2022</v>
      </c>
      <c r="E23" s="7">
        <v>28</v>
      </c>
      <c r="F23" s="7">
        <v>17</v>
      </c>
      <c r="G23" s="7">
        <v>17</v>
      </c>
      <c r="H23" s="7">
        <v>51</v>
      </c>
      <c r="I23" s="7">
        <v>51</v>
      </c>
      <c r="J23" s="7">
        <v>25</v>
      </c>
      <c r="K23" s="7">
        <v>46</v>
      </c>
      <c r="L23" s="7">
        <v>6.38</v>
      </c>
      <c r="M23" s="7">
        <v>-0.4</v>
      </c>
      <c r="N23" s="7">
        <v>415.3</v>
      </c>
      <c r="O23" s="7">
        <v>5.04</v>
      </c>
      <c r="P23" s="7">
        <v>57021</v>
      </c>
      <c r="Q23" s="7">
        <v>1.74</v>
      </c>
      <c r="R23" s="7">
        <v>37</v>
      </c>
      <c r="S23" s="7">
        <v>1</v>
      </c>
    </row>
    <row r="24" spans="1:19" ht="21.95" customHeight="1" x14ac:dyDescent="0.2">
      <c r="A24" s="7">
        <v>19</v>
      </c>
      <c r="B24" s="24">
        <v>44589.720833333333</v>
      </c>
      <c r="C24" s="7">
        <v>1643390280</v>
      </c>
      <c r="D24" s="7">
        <v>2022</v>
      </c>
      <c r="E24" s="7">
        <v>28</v>
      </c>
      <c r="F24" s="7">
        <v>17</v>
      </c>
      <c r="G24" s="7">
        <v>18</v>
      </c>
      <c r="H24" s="7">
        <v>51</v>
      </c>
      <c r="I24" s="7">
        <v>51</v>
      </c>
      <c r="J24" s="7">
        <v>100</v>
      </c>
      <c r="K24" s="7">
        <v>52</v>
      </c>
      <c r="L24" s="7">
        <v>6.35</v>
      </c>
      <c r="M24" s="7">
        <v>-0.49</v>
      </c>
      <c r="N24" s="7">
        <v>416.3</v>
      </c>
      <c r="O24" s="7">
        <v>5.09</v>
      </c>
      <c r="P24" s="7">
        <v>57542</v>
      </c>
      <c r="Q24" s="7">
        <v>1.76</v>
      </c>
      <c r="R24" s="7">
        <v>39</v>
      </c>
      <c r="S24" s="7">
        <v>1</v>
      </c>
    </row>
    <row r="25" spans="1:19" ht="21.95" customHeight="1" x14ac:dyDescent="0.2">
      <c r="A25" s="7">
        <v>20</v>
      </c>
      <c r="B25" s="24">
        <v>44589.72152777778</v>
      </c>
      <c r="C25" s="7">
        <v>1643390340</v>
      </c>
      <c r="D25" s="7">
        <v>2022</v>
      </c>
      <c r="E25" s="7">
        <v>28</v>
      </c>
      <c r="F25" s="7">
        <v>17</v>
      </c>
      <c r="G25" s="7">
        <v>19</v>
      </c>
      <c r="H25" s="7">
        <v>51</v>
      </c>
      <c r="I25" s="7">
        <v>51</v>
      </c>
      <c r="J25" s="7">
        <v>100</v>
      </c>
      <c r="K25" s="7">
        <v>58</v>
      </c>
      <c r="L25" s="7">
        <v>6.33</v>
      </c>
      <c r="M25" s="7">
        <v>-0.17</v>
      </c>
      <c r="N25" s="7">
        <v>416.3</v>
      </c>
      <c r="O25" s="7">
        <v>5.09</v>
      </c>
      <c r="P25" s="7">
        <v>57542</v>
      </c>
      <c r="Q25" s="7">
        <v>1.76</v>
      </c>
      <c r="R25" s="7">
        <v>45</v>
      </c>
      <c r="S25" s="7">
        <v>1</v>
      </c>
    </row>
    <row r="26" spans="1:19" ht="21.95" customHeight="1" x14ac:dyDescent="0.2">
      <c r="A26" s="7">
        <v>21</v>
      </c>
      <c r="B26" s="24">
        <v>44589.722222222219</v>
      </c>
      <c r="C26" s="7">
        <v>1643390400</v>
      </c>
      <c r="D26" s="7">
        <v>2022</v>
      </c>
      <c r="E26" s="7">
        <v>28</v>
      </c>
      <c r="F26" s="7">
        <v>17</v>
      </c>
      <c r="G26" s="7">
        <v>20</v>
      </c>
      <c r="H26" s="7">
        <v>51</v>
      </c>
      <c r="I26" s="7">
        <v>51</v>
      </c>
      <c r="J26" s="7">
        <v>100</v>
      </c>
      <c r="K26" s="7">
        <v>56</v>
      </c>
      <c r="L26" s="7">
        <v>6.31</v>
      </c>
      <c r="M26" s="7">
        <v>-0.64</v>
      </c>
      <c r="N26" s="7">
        <v>417.6</v>
      </c>
      <c r="O26" s="7">
        <v>5.13</v>
      </c>
      <c r="P26" s="7">
        <v>65366</v>
      </c>
      <c r="Q26" s="7">
        <v>1.79</v>
      </c>
      <c r="R26" s="7">
        <v>48</v>
      </c>
      <c r="S26" s="7">
        <v>1</v>
      </c>
    </row>
    <row r="27" spans="1:19" ht="21.95" customHeight="1" x14ac:dyDescent="0.2">
      <c r="A27" s="7">
        <v>22</v>
      </c>
      <c r="B27" s="24">
        <v>44589.722916666673</v>
      </c>
      <c r="C27" s="7">
        <v>1643390460</v>
      </c>
      <c r="D27" s="7">
        <v>2022</v>
      </c>
      <c r="E27" s="7">
        <v>28</v>
      </c>
      <c r="F27" s="7">
        <v>17</v>
      </c>
      <c r="G27" s="7">
        <v>21</v>
      </c>
      <c r="H27" s="7">
        <v>51</v>
      </c>
      <c r="I27" s="7">
        <v>51</v>
      </c>
      <c r="J27" s="7">
        <v>100</v>
      </c>
      <c r="K27" s="7">
        <v>46</v>
      </c>
      <c r="L27" s="7">
        <v>6.22</v>
      </c>
      <c r="M27" s="7">
        <v>-0.69</v>
      </c>
      <c r="N27" s="7">
        <v>417.6</v>
      </c>
      <c r="O27" s="7">
        <v>5.13</v>
      </c>
      <c r="P27" s="7">
        <v>65366</v>
      </c>
      <c r="Q27" s="7">
        <v>1.79</v>
      </c>
      <c r="R27" s="7">
        <v>49</v>
      </c>
      <c r="S27" s="7">
        <v>1</v>
      </c>
    </row>
    <row r="28" spans="1:19" ht="21.95" customHeight="1" x14ac:dyDescent="0.2">
      <c r="A28" s="7">
        <v>23</v>
      </c>
      <c r="B28" s="24">
        <v>44589.723611111112</v>
      </c>
      <c r="C28" s="7">
        <v>1643390520</v>
      </c>
      <c r="D28" s="7">
        <v>2022</v>
      </c>
      <c r="E28" s="7">
        <v>28</v>
      </c>
      <c r="F28" s="7">
        <v>17</v>
      </c>
      <c r="G28" s="7">
        <v>22</v>
      </c>
      <c r="H28" s="7">
        <v>51</v>
      </c>
      <c r="I28" s="7">
        <v>51</v>
      </c>
      <c r="J28" s="7">
        <v>100</v>
      </c>
      <c r="K28" s="7">
        <v>48</v>
      </c>
      <c r="L28" s="7">
        <v>6.12</v>
      </c>
      <c r="M28" s="7">
        <v>-0.72</v>
      </c>
      <c r="N28" s="7">
        <v>416.6</v>
      </c>
      <c r="O28" s="7">
        <v>5.14</v>
      </c>
      <c r="P28" s="7">
        <v>61565</v>
      </c>
      <c r="Q28" s="7">
        <v>1.78</v>
      </c>
      <c r="R28" s="7">
        <v>52</v>
      </c>
      <c r="S28" s="7">
        <v>0</v>
      </c>
    </row>
    <row r="29" spans="1:19" ht="21.95" customHeight="1" x14ac:dyDescent="0.2">
      <c r="A29" s="7">
        <v>24</v>
      </c>
      <c r="B29" s="24">
        <v>44589.724305555559</v>
      </c>
      <c r="C29" s="7">
        <v>1643390580</v>
      </c>
      <c r="D29" s="7">
        <v>2022</v>
      </c>
      <c r="E29" s="7">
        <v>28</v>
      </c>
      <c r="F29" s="7">
        <v>17</v>
      </c>
      <c r="G29" s="7">
        <v>23</v>
      </c>
      <c r="H29" s="7">
        <v>51</v>
      </c>
      <c r="I29" s="7">
        <v>51</v>
      </c>
      <c r="J29" s="7">
        <v>100</v>
      </c>
      <c r="K29" s="7">
        <v>59</v>
      </c>
      <c r="L29" s="7">
        <v>6.09</v>
      </c>
      <c r="M29" s="7">
        <v>0.21</v>
      </c>
      <c r="N29" s="7">
        <v>416.6</v>
      </c>
      <c r="O29" s="7">
        <v>5.14</v>
      </c>
      <c r="P29" s="7">
        <v>61582</v>
      </c>
      <c r="Q29" s="7">
        <v>1.78</v>
      </c>
      <c r="R29" s="7">
        <v>54</v>
      </c>
      <c r="S29" s="7">
        <v>0</v>
      </c>
    </row>
    <row r="30" spans="1:19" ht="21.95" customHeight="1" x14ac:dyDescent="0.2">
      <c r="A30" s="7">
        <v>25</v>
      </c>
      <c r="B30" s="24">
        <v>44589.724999999999</v>
      </c>
      <c r="C30" s="7">
        <v>1643390640</v>
      </c>
      <c r="D30" s="7">
        <v>2022</v>
      </c>
      <c r="E30" s="7">
        <v>28</v>
      </c>
      <c r="F30" s="7">
        <v>17</v>
      </c>
      <c r="G30" s="7">
        <v>24</v>
      </c>
      <c r="H30" s="7">
        <v>51</v>
      </c>
      <c r="I30" s="7">
        <v>51</v>
      </c>
      <c r="J30" s="7">
        <v>100</v>
      </c>
      <c r="K30" s="7">
        <v>63</v>
      </c>
      <c r="L30" s="7">
        <v>6.12</v>
      </c>
      <c r="M30" s="7">
        <v>0.39</v>
      </c>
      <c r="N30" s="7">
        <v>418.3</v>
      </c>
      <c r="O30" s="7">
        <v>5.13</v>
      </c>
      <c r="P30" s="7">
        <v>65287</v>
      </c>
      <c r="Q30" s="7">
        <v>1.8</v>
      </c>
      <c r="R30" s="7">
        <v>53</v>
      </c>
      <c r="S30" s="7">
        <v>0</v>
      </c>
    </row>
    <row r="31" spans="1:19" ht="21.95" customHeight="1" x14ac:dyDescent="0.2">
      <c r="A31" s="7">
        <v>26</v>
      </c>
      <c r="B31" s="24">
        <v>44589.725694444453</v>
      </c>
      <c r="C31" s="7">
        <v>1643390700</v>
      </c>
      <c r="D31" s="7">
        <v>2022</v>
      </c>
      <c r="E31" s="7">
        <v>28</v>
      </c>
      <c r="F31" s="7">
        <v>17</v>
      </c>
      <c r="G31" s="7">
        <v>25</v>
      </c>
      <c r="H31" s="7">
        <v>51</v>
      </c>
      <c r="I31" s="7">
        <v>51</v>
      </c>
      <c r="J31" s="7">
        <v>100</v>
      </c>
      <c r="K31" s="7">
        <v>64</v>
      </c>
      <c r="L31" s="7">
        <v>6.16</v>
      </c>
      <c r="M31" s="7">
        <v>0.13</v>
      </c>
      <c r="N31" s="7">
        <v>420</v>
      </c>
      <c r="O31" s="7">
        <v>5.37</v>
      </c>
      <c r="P31" s="7">
        <v>68203</v>
      </c>
      <c r="Q31" s="7">
        <v>1.89</v>
      </c>
      <c r="R31" s="7">
        <v>49</v>
      </c>
      <c r="S31" s="7">
        <v>0</v>
      </c>
    </row>
    <row r="32" spans="1:19" ht="21.95" customHeight="1" x14ac:dyDescent="0.2">
      <c r="A32" s="7">
        <v>27</v>
      </c>
      <c r="B32" s="24">
        <v>44589.726388888892</v>
      </c>
      <c r="C32" s="7">
        <v>1643390760</v>
      </c>
      <c r="D32" s="7">
        <v>2022</v>
      </c>
      <c r="E32" s="7">
        <v>28</v>
      </c>
      <c r="F32" s="7">
        <v>17</v>
      </c>
      <c r="G32" s="7">
        <v>26</v>
      </c>
      <c r="H32" s="7">
        <v>51</v>
      </c>
      <c r="I32" s="7">
        <v>51</v>
      </c>
      <c r="J32" s="7">
        <v>100</v>
      </c>
      <c r="K32" s="7">
        <v>50</v>
      </c>
      <c r="L32" s="7">
        <v>6.17</v>
      </c>
      <c r="M32" s="7">
        <v>0.28000000000000003</v>
      </c>
      <c r="N32" s="7">
        <v>421.5</v>
      </c>
      <c r="O32" s="7">
        <v>5.56</v>
      </c>
      <c r="P32" s="7">
        <v>70722</v>
      </c>
      <c r="Q32" s="7">
        <v>1.98</v>
      </c>
      <c r="R32" s="7">
        <v>46</v>
      </c>
      <c r="S32" s="7">
        <v>1</v>
      </c>
    </row>
    <row r="33" spans="1:19" ht="21.95" customHeight="1" x14ac:dyDescent="0.2">
      <c r="A33" s="7">
        <v>28</v>
      </c>
      <c r="B33" s="24">
        <v>44589.727083333331</v>
      </c>
      <c r="C33" s="7">
        <v>1643390820</v>
      </c>
      <c r="D33" s="7">
        <v>2022</v>
      </c>
      <c r="E33" s="7">
        <v>28</v>
      </c>
      <c r="F33" s="7">
        <v>17</v>
      </c>
      <c r="G33" s="7">
        <v>27</v>
      </c>
      <c r="H33" s="7">
        <v>51</v>
      </c>
      <c r="I33" s="7">
        <v>51</v>
      </c>
      <c r="J33" s="7">
        <v>100</v>
      </c>
      <c r="K33" s="7">
        <v>48</v>
      </c>
      <c r="L33" s="7">
        <v>6.12</v>
      </c>
      <c r="M33" s="7">
        <v>0.15</v>
      </c>
      <c r="N33" s="7">
        <v>421.2</v>
      </c>
      <c r="O33" s="7">
        <v>5.45</v>
      </c>
      <c r="P33" s="7">
        <v>60862</v>
      </c>
      <c r="Q33" s="7">
        <v>1.93</v>
      </c>
      <c r="R33" s="7">
        <v>44</v>
      </c>
      <c r="S33" s="7">
        <v>1</v>
      </c>
    </row>
    <row r="34" spans="1:19" ht="21.95" customHeight="1" x14ac:dyDescent="0.2">
      <c r="A34" s="7">
        <v>29</v>
      </c>
      <c r="B34" s="24">
        <v>44589.727777777778</v>
      </c>
      <c r="C34" s="7">
        <v>1643390880</v>
      </c>
      <c r="D34" s="7">
        <v>2022</v>
      </c>
      <c r="E34" s="7">
        <v>28</v>
      </c>
      <c r="F34" s="7">
        <v>17</v>
      </c>
      <c r="G34" s="7">
        <v>28</v>
      </c>
      <c r="H34" s="7">
        <v>51</v>
      </c>
      <c r="I34" s="7">
        <v>51</v>
      </c>
      <c r="J34" s="7">
        <v>100</v>
      </c>
      <c r="K34" s="7">
        <v>30</v>
      </c>
      <c r="L34" s="7">
        <v>6.09</v>
      </c>
      <c r="M34" s="7">
        <v>0.23</v>
      </c>
      <c r="N34" s="7">
        <v>421.2</v>
      </c>
      <c r="O34" s="7">
        <v>5.45</v>
      </c>
      <c r="P34" s="7">
        <v>60834</v>
      </c>
      <c r="Q34" s="7">
        <v>1.93</v>
      </c>
      <c r="R34" s="7">
        <v>42</v>
      </c>
      <c r="S34" s="7">
        <v>1</v>
      </c>
    </row>
    <row r="35" spans="1:19" ht="21.95" customHeight="1" x14ac:dyDescent="0.2">
      <c r="A35" s="7">
        <v>30</v>
      </c>
      <c r="B35" s="24">
        <v>44589.728472222218</v>
      </c>
      <c r="C35" s="7">
        <v>1643390940</v>
      </c>
      <c r="D35" s="7">
        <v>2022</v>
      </c>
      <c r="E35" s="7">
        <v>28</v>
      </c>
      <c r="F35" s="7">
        <v>17</v>
      </c>
      <c r="G35" s="7">
        <v>29</v>
      </c>
      <c r="H35" s="7">
        <v>51</v>
      </c>
      <c r="I35" s="7">
        <v>51</v>
      </c>
      <c r="J35" s="7">
        <v>100</v>
      </c>
      <c r="K35" s="7">
        <v>24</v>
      </c>
      <c r="L35" s="7">
        <v>6.14</v>
      </c>
      <c r="M35" s="7">
        <v>0.31</v>
      </c>
      <c r="N35" s="7">
        <v>421.2</v>
      </c>
      <c r="O35" s="7">
        <v>5.45</v>
      </c>
      <c r="P35" s="7">
        <v>60834</v>
      </c>
      <c r="Q35" s="7">
        <v>1.93</v>
      </c>
      <c r="R35" s="7">
        <v>40</v>
      </c>
      <c r="S35" s="7">
        <v>1</v>
      </c>
    </row>
    <row r="36" spans="1:19" ht="21.95" customHeight="1" x14ac:dyDescent="0.2">
      <c r="A36" s="7">
        <v>31</v>
      </c>
      <c r="B36" s="24">
        <v>44589.729166666657</v>
      </c>
      <c r="C36" s="7">
        <v>1643391000</v>
      </c>
      <c r="D36" s="7">
        <v>2022</v>
      </c>
      <c r="E36" s="7">
        <v>28</v>
      </c>
      <c r="F36" s="7">
        <v>17</v>
      </c>
      <c r="G36" s="7">
        <v>30</v>
      </c>
      <c r="H36" s="7">
        <v>51</v>
      </c>
      <c r="I36" s="7">
        <v>99</v>
      </c>
      <c r="J36" s="7">
        <v>100</v>
      </c>
      <c r="K36" s="7">
        <v>22</v>
      </c>
      <c r="L36" s="7">
        <v>6.13</v>
      </c>
      <c r="M36" s="7">
        <v>0.72</v>
      </c>
      <c r="N36" s="7">
        <v>99999.9</v>
      </c>
      <c r="O36" s="7">
        <v>999.99</v>
      </c>
      <c r="P36" s="7">
        <v>9999999</v>
      </c>
      <c r="Q36" s="7">
        <v>99.99</v>
      </c>
      <c r="R36" s="7">
        <v>42</v>
      </c>
      <c r="S36" s="7">
        <v>1</v>
      </c>
    </row>
    <row r="37" spans="1:19" ht="21.95" customHeight="1" x14ac:dyDescent="0.2">
      <c r="A37" s="7">
        <v>32</v>
      </c>
      <c r="B37" s="24">
        <v>44589.729861111111</v>
      </c>
      <c r="C37" s="7">
        <v>1643391060</v>
      </c>
      <c r="D37" s="7">
        <v>2022</v>
      </c>
      <c r="E37" s="7">
        <v>28</v>
      </c>
      <c r="F37" s="7">
        <v>17</v>
      </c>
      <c r="G37" s="7">
        <v>31</v>
      </c>
      <c r="H37" s="7">
        <v>51</v>
      </c>
      <c r="I37" s="7">
        <v>51</v>
      </c>
      <c r="J37" s="7">
        <v>100</v>
      </c>
      <c r="K37" s="7">
        <v>52</v>
      </c>
      <c r="L37" s="7">
        <v>6.17</v>
      </c>
      <c r="M37" s="7">
        <v>0.71</v>
      </c>
      <c r="N37" s="7">
        <v>409.4</v>
      </c>
      <c r="O37" s="7">
        <v>5.1100000000000003</v>
      </c>
      <c r="P37" s="7">
        <v>54486</v>
      </c>
      <c r="Q37" s="7">
        <v>1.71</v>
      </c>
      <c r="R37" s="7">
        <v>46</v>
      </c>
      <c r="S37" s="7">
        <v>1</v>
      </c>
    </row>
    <row r="38" spans="1:19" ht="21.95" customHeight="1" x14ac:dyDescent="0.2">
      <c r="A38" s="7">
        <v>33</v>
      </c>
      <c r="B38" s="24">
        <v>44589.730555555558</v>
      </c>
      <c r="C38" s="7">
        <v>1643391120</v>
      </c>
      <c r="D38" s="7">
        <v>2022</v>
      </c>
      <c r="E38" s="7">
        <v>28</v>
      </c>
      <c r="F38" s="7">
        <v>17</v>
      </c>
      <c r="G38" s="7">
        <v>32</v>
      </c>
      <c r="H38" s="7">
        <v>51</v>
      </c>
      <c r="I38" s="7">
        <v>51</v>
      </c>
      <c r="J38" s="7">
        <v>100</v>
      </c>
      <c r="K38" s="7">
        <v>84</v>
      </c>
      <c r="L38" s="7">
        <v>6.2</v>
      </c>
      <c r="M38" s="7">
        <v>0.35</v>
      </c>
      <c r="N38" s="7">
        <v>411.9</v>
      </c>
      <c r="O38" s="7">
        <v>4.8600000000000003</v>
      </c>
      <c r="P38" s="7">
        <v>52244</v>
      </c>
      <c r="Q38" s="7">
        <v>1.65</v>
      </c>
      <c r="R38" s="7">
        <v>50</v>
      </c>
      <c r="S38" s="7">
        <v>1</v>
      </c>
    </row>
    <row r="39" spans="1:19" ht="21.95" customHeight="1" x14ac:dyDescent="0.2">
      <c r="A39" s="7">
        <v>34</v>
      </c>
      <c r="B39" s="24">
        <v>44589.731249999997</v>
      </c>
      <c r="C39" s="7">
        <v>1643391180</v>
      </c>
      <c r="D39" s="7">
        <v>2022</v>
      </c>
      <c r="E39" s="7">
        <v>28</v>
      </c>
      <c r="F39" s="7">
        <v>17</v>
      </c>
      <c r="G39" s="7">
        <v>33</v>
      </c>
      <c r="H39" s="7">
        <v>51</v>
      </c>
      <c r="I39" s="7">
        <v>51</v>
      </c>
      <c r="J39" s="7">
        <v>100</v>
      </c>
      <c r="K39" s="7">
        <v>41</v>
      </c>
      <c r="L39" s="7">
        <v>6.19</v>
      </c>
      <c r="M39" s="7">
        <v>0.15</v>
      </c>
      <c r="N39" s="7">
        <v>413.4</v>
      </c>
      <c r="O39" s="7">
        <v>4.71</v>
      </c>
      <c r="P39" s="7">
        <v>50916</v>
      </c>
      <c r="Q39" s="7">
        <v>1.61</v>
      </c>
      <c r="R39" s="7">
        <v>52</v>
      </c>
      <c r="S39" s="7">
        <v>1</v>
      </c>
    </row>
    <row r="40" spans="1:19" ht="21.95" customHeight="1" x14ac:dyDescent="0.2">
      <c r="A40" s="7">
        <v>35</v>
      </c>
      <c r="B40" s="24">
        <v>44589.731944444437</v>
      </c>
      <c r="C40" s="7">
        <v>1643391240</v>
      </c>
      <c r="D40" s="7">
        <v>2022</v>
      </c>
      <c r="E40" s="7">
        <v>28</v>
      </c>
      <c r="F40" s="7">
        <v>17</v>
      </c>
      <c r="G40" s="7">
        <v>34</v>
      </c>
      <c r="H40" s="7">
        <v>51</v>
      </c>
      <c r="I40" s="7">
        <v>51</v>
      </c>
      <c r="J40" s="7">
        <v>100</v>
      </c>
      <c r="K40" s="7">
        <v>37</v>
      </c>
      <c r="L40" s="7">
        <v>6.2</v>
      </c>
      <c r="M40" s="7">
        <v>-0.09</v>
      </c>
      <c r="N40" s="7">
        <v>414</v>
      </c>
      <c r="O40" s="7">
        <v>5.24</v>
      </c>
      <c r="P40" s="7">
        <v>64652</v>
      </c>
      <c r="Q40" s="7">
        <v>1.8</v>
      </c>
      <c r="R40" s="7">
        <v>48</v>
      </c>
      <c r="S40" s="7">
        <v>1</v>
      </c>
    </row>
    <row r="41" spans="1:19" ht="21.95" customHeight="1" x14ac:dyDescent="0.2">
      <c r="A41" s="7">
        <v>36</v>
      </c>
      <c r="B41" s="24">
        <v>44589.732638888891</v>
      </c>
      <c r="C41" s="7">
        <v>1643391300</v>
      </c>
      <c r="D41" s="7">
        <v>2022</v>
      </c>
      <c r="E41" s="7">
        <v>28</v>
      </c>
      <c r="F41" s="7">
        <v>17</v>
      </c>
      <c r="G41" s="7">
        <v>35</v>
      </c>
      <c r="H41" s="7">
        <v>51</v>
      </c>
      <c r="I41" s="7">
        <v>51</v>
      </c>
      <c r="J41" s="7">
        <v>100</v>
      </c>
      <c r="K41" s="7">
        <v>48</v>
      </c>
      <c r="L41" s="7">
        <v>6.15</v>
      </c>
      <c r="M41" s="7">
        <v>-0.09</v>
      </c>
      <c r="N41" s="7">
        <v>414</v>
      </c>
      <c r="O41" s="7">
        <v>5.24</v>
      </c>
      <c r="P41" s="7">
        <v>64652</v>
      </c>
      <c r="Q41" s="7">
        <v>1.8</v>
      </c>
      <c r="R41" s="7">
        <v>47</v>
      </c>
      <c r="S41" s="7">
        <v>1</v>
      </c>
    </row>
    <row r="42" spans="1:19" ht="21.95" customHeight="1" x14ac:dyDescent="0.2">
      <c r="A42" s="7">
        <v>37</v>
      </c>
      <c r="B42" s="24">
        <v>44589.73333333333</v>
      </c>
      <c r="C42" s="7">
        <v>1643391360</v>
      </c>
      <c r="D42" s="7">
        <v>2022</v>
      </c>
      <c r="E42" s="7">
        <v>28</v>
      </c>
      <c r="F42" s="7">
        <v>17</v>
      </c>
      <c r="G42" s="7">
        <v>36</v>
      </c>
      <c r="H42" s="7">
        <v>51</v>
      </c>
      <c r="I42" s="7">
        <v>51</v>
      </c>
      <c r="J42" s="7">
        <v>14</v>
      </c>
      <c r="K42" s="7">
        <v>76</v>
      </c>
      <c r="L42" s="7">
        <v>6.14</v>
      </c>
      <c r="M42" s="7">
        <v>-0.24</v>
      </c>
      <c r="N42" s="7">
        <v>415.3</v>
      </c>
      <c r="O42" s="7">
        <v>5.36</v>
      </c>
      <c r="P42" s="7">
        <v>65028</v>
      </c>
      <c r="Q42" s="7">
        <v>1.85</v>
      </c>
      <c r="R42" s="7">
        <v>52</v>
      </c>
      <c r="S42" s="7">
        <v>1</v>
      </c>
    </row>
    <row r="43" spans="1:19" ht="21.95" customHeight="1" x14ac:dyDescent="0.2">
      <c r="A43" s="7">
        <v>38</v>
      </c>
      <c r="B43" s="24">
        <v>44589.734027777777</v>
      </c>
      <c r="C43" s="7">
        <v>1643391420</v>
      </c>
      <c r="D43" s="7">
        <v>2022</v>
      </c>
      <c r="E43" s="7">
        <v>28</v>
      </c>
      <c r="F43" s="7">
        <v>17</v>
      </c>
      <c r="G43" s="7">
        <v>37</v>
      </c>
      <c r="H43" s="7">
        <v>51</v>
      </c>
      <c r="I43" s="7">
        <v>51</v>
      </c>
      <c r="J43" s="7">
        <v>0</v>
      </c>
      <c r="K43" s="7">
        <v>91</v>
      </c>
      <c r="L43" s="7">
        <v>6.15</v>
      </c>
      <c r="M43" s="7">
        <v>-0.43</v>
      </c>
      <c r="N43" s="7">
        <v>416.1</v>
      </c>
      <c r="O43" s="7">
        <v>5.37</v>
      </c>
      <c r="P43" s="7">
        <v>67751</v>
      </c>
      <c r="Q43" s="7">
        <v>1.86</v>
      </c>
      <c r="R43" s="7">
        <v>59</v>
      </c>
      <c r="S43" s="7">
        <v>1</v>
      </c>
    </row>
    <row r="44" spans="1:19" ht="21.95" customHeight="1" x14ac:dyDescent="0.2">
      <c r="A44" s="7">
        <v>39</v>
      </c>
      <c r="B44" s="24">
        <v>44589.734722222223</v>
      </c>
      <c r="C44" s="7">
        <v>1643391480</v>
      </c>
      <c r="D44" s="7">
        <v>2022</v>
      </c>
      <c r="E44" s="7">
        <v>28</v>
      </c>
      <c r="F44" s="7">
        <v>17</v>
      </c>
      <c r="G44" s="7">
        <v>38</v>
      </c>
      <c r="H44" s="7">
        <v>51</v>
      </c>
      <c r="I44" s="7">
        <v>51</v>
      </c>
      <c r="J44" s="7">
        <v>0</v>
      </c>
      <c r="K44" s="7">
        <v>94</v>
      </c>
      <c r="L44" s="7">
        <v>6.2</v>
      </c>
      <c r="M44" s="7">
        <v>-0.45</v>
      </c>
      <c r="N44" s="7">
        <v>417.3</v>
      </c>
      <c r="O44" s="7">
        <v>5.42</v>
      </c>
      <c r="P44" s="7">
        <v>69839</v>
      </c>
      <c r="Q44" s="7">
        <v>1.89</v>
      </c>
      <c r="R44" s="7">
        <v>57</v>
      </c>
      <c r="S44" s="7">
        <v>1</v>
      </c>
    </row>
    <row r="45" spans="1:19" ht="21.95" customHeight="1" x14ac:dyDescent="0.2">
      <c r="A45" s="7">
        <v>40</v>
      </c>
      <c r="B45" s="24">
        <v>44589.73541666667</v>
      </c>
      <c r="C45" s="7">
        <v>1643391540</v>
      </c>
      <c r="D45" s="7">
        <v>2022</v>
      </c>
      <c r="E45" s="7">
        <v>28</v>
      </c>
      <c r="F45" s="7">
        <v>17</v>
      </c>
      <c r="G45" s="7">
        <v>39</v>
      </c>
      <c r="H45" s="7">
        <v>51</v>
      </c>
      <c r="I45" s="7">
        <v>51</v>
      </c>
      <c r="J45" s="7">
        <v>0</v>
      </c>
      <c r="K45" s="7">
        <v>61</v>
      </c>
      <c r="L45" s="7">
        <v>6.37</v>
      </c>
      <c r="M45" s="7">
        <v>-0.56000000000000005</v>
      </c>
      <c r="N45" s="7">
        <v>417.9</v>
      </c>
      <c r="O45" s="7">
        <v>5.46</v>
      </c>
      <c r="P45" s="7">
        <v>69609</v>
      </c>
      <c r="Q45" s="7">
        <v>1.91</v>
      </c>
      <c r="R45" s="7">
        <v>64</v>
      </c>
      <c r="S45" s="7">
        <v>1</v>
      </c>
    </row>
    <row r="46" spans="1:19" ht="21.95" customHeight="1" x14ac:dyDescent="0.2">
      <c r="A46" s="7">
        <v>41</v>
      </c>
      <c r="B46" s="24">
        <v>44589.736111111109</v>
      </c>
      <c r="C46" s="7">
        <v>1643391600</v>
      </c>
      <c r="D46" s="7">
        <v>2022</v>
      </c>
      <c r="E46" s="7">
        <v>28</v>
      </c>
      <c r="F46" s="7">
        <v>17</v>
      </c>
      <c r="G46" s="7">
        <v>40</v>
      </c>
      <c r="H46" s="7">
        <v>51</v>
      </c>
      <c r="I46" s="7">
        <v>51</v>
      </c>
      <c r="J46" s="7">
        <v>0</v>
      </c>
      <c r="K46" s="7">
        <v>78</v>
      </c>
      <c r="L46" s="7">
        <v>6.31</v>
      </c>
      <c r="M46" s="7">
        <v>-1.28</v>
      </c>
      <c r="N46" s="7">
        <v>421.3</v>
      </c>
      <c r="O46" s="7">
        <v>5.16</v>
      </c>
      <c r="P46" s="7">
        <v>57991</v>
      </c>
      <c r="Q46" s="7">
        <v>1.83</v>
      </c>
      <c r="R46" s="7">
        <v>70</v>
      </c>
      <c r="S46" s="7">
        <v>1</v>
      </c>
    </row>
    <row r="47" spans="1:19" ht="21.95" customHeight="1" x14ac:dyDescent="0.2">
      <c r="A47" s="7">
        <v>42</v>
      </c>
      <c r="B47" s="24">
        <v>44589.736805555563</v>
      </c>
      <c r="C47" s="7">
        <v>1643391660</v>
      </c>
      <c r="D47" s="7">
        <v>2022</v>
      </c>
      <c r="E47" s="7">
        <v>28</v>
      </c>
      <c r="F47" s="7">
        <v>17</v>
      </c>
      <c r="G47" s="7">
        <v>41</v>
      </c>
      <c r="H47" s="7">
        <v>51</v>
      </c>
      <c r="I47" s="7">
        <v>51</v>
      </c>
      <c r="J47" s="7">
        <v>0</v>
      </c>
      <c r="K47" s="7">
        <v>60</v>
      </c>
      <c r="L47" s="7">
        <v>6.43</v>
      </c>
      <c r="M47" s="7">
        <v>-0.73</v>
      </c>
      <c r="N47" s="7">
        <v>421.1</v>
      </c>
      <c r="O47" s="7">
        <v>5.19</v>
      </c>
      <c r="P47" s="7">
        <v>56228</v>
      </c>
      <c r="Q47" s="7">
        <v>1.84</v>
      </c>
      <c r="R47" s="7">
        <v>76</v>
      </c>
      <c r="S47" s="7">
        <v>1</v>
      </c>
    </row>
    <row r="48" spans="1:19" ht="21.95" customHeight="1" x14ac:dyDescent="0.2">
      <c r="A48" s="7">
        <v>43</v>
      </c>
      <c r="B48" s="24">
        <v>44589.737500000003</v>
      </c>
      <c r="C48" s="7">
        <v>1643391720</v>
      </c>
      <c r="D48" s="7">
        <v>2022</v>
      </c>
      <c r="E48" s="7">
        <v>28</v>
      </c>
      <c r="F48" s="7">
        <v>17</v>
      </c>
      <c r="G48" s="7">
        <v>42</v>
      </c>
      <c r="H48" s="7">
        <v>51</v>
      </c>
      <c r="I48" s="7">
        <v>51</v>
      </c>
      <c r="J48" s="7">
        <v>0</v>
      </c>
      <c r="K48" s="7">
        <v>46</v>
      </c>
      <c r="L48" s="7">
        <v>6.41</v>
      </c>
      <c r="M48" s="7">
        <v>-1.1499999999999999</v>
      </c>
      <c r="N48" s="7">
        <v>419.9</v>
      </c>
      <c r="O48" s="7">
        <v>5.35</v>
      </c>
      <c r="P48" s="7">
        <v>45421</v>
      </c>
      <c r="Q48" s="7">
        <v>1.89</v>
      </c>
      <c r="R48" s="7">
        <v>96</v>
      </c>
      <c r="S48" s="7">
        <v>1</v>
      </c>
    </row>
    <row r="49" spans="1:19" ht="21.95" customHeight="1" x14ac:dyDescent="0.2">
      <c r="A49" s="7">
        <v>44</v>
      </c>
      <c r="B49" s="24">
        <v>44589.738194444442</v>
      </c>
      <c r="C49" s="7">
        <v>1643391780</v>
      </c>
      <c r="D49" s="7">
        <v>2022</v>
      </c>
      <c r="E49" s="7">
        <v>28</v>
      </c>
      <c r="F49" s="7">
        <v>17</v>
      </c>
      <c r="G49" s="7">
        <v>43</v>
      </c>
      <c r="H49" s="7">
        <v>51</v>
      </c>
      <c r="I49" s="7">
        <v>51</v>
      </c>
      <c r="J49" s="7">
        <v>20</v>
      </c>
      <c r="K49" s="7">
        <v>60</v>
      </c>
      <c r="L49" s="7">
        <v>6.27</v>
      </c>
      <c r="M49" s="7">
        <v>-1.74</v>
      </c>
      <c r="N49" s="7">
        <v>420.2</v>
      </c>
      <c r="O49" s="7">
        <v>5.31</v>
      </c>
      <c r="P49" s="7">
        <v>49399</v>
      </c>
      <c r="Q49" s="7">
        <v>1.88</v>
      </c>
      <c r="R49" s="7">
        <v>103</v>
      </c>
      <c r="S49" s="7">
        <v>1</v>
      </c>
    </row>
    <row r="50" spans="1:19" ht="21.95" customHeight="1" x14ac:dyDescent="0.2">
      <c r="A50" s="7">
        <v>45</v>
      </c>
      <c r="B50" s="24">
        <v>44589.738888888889</v>
      </c>
      <c r="C50" s="7">
        <v>1643391840</v>
      </c>
      <c r="D50" s="7">
        <v>2022</v>
      </c>
      <c r="E50" s="7">
        <v>28</v>
      </c>
      <c r="F50" s="7">
        <v>17</v>
      </c>
      <c r="G50" s="7">
        <v>44</v>
      </c>
      <c r="H50" s="7">
        <v>51</v>
      </c>
      <c r="I50" s="7">
        <v>51</v>
      </c>
      <c r="J50" s="7">
        <v>100</v>
      </c>
      <c r="K50" s="7">
        <v>58</v>
      </c>
      <c r="L50" s="7">
        <v>6.25</v>
      </c>
      <c r="M50" s="7">
        <v>-1.72</v>
      </c>
      <c r="N50" s="7">
        <v>420.3</v>
      </c>
      <c r="O50" s="7">
        <v>5.3</v>
      </c>
      <c r="P50" s="7">
        <v>50042</v>
      </c>
      <c r="Q50" s="7">
        <v>1.87</v>
      </c>
      <c r="R50" s="7">
        <v>108</v>
      </c>
      <c r="S50" s="7">
        <v>1</v>
      </c>
    </row>
    <row r="51" spans="1:19" ht="21.95" customHeight="1" x14ac:dyDescent="0.2">
      <c r="A51" s="7">
        <v>46</v>
      </c>
      <c r="B51" s="24">
        <v>44589.739583333343</v>
      </c>
      <c r="C51" s="7">
        <v>1643391900</v>
      </c>
      <c r="D51" s="7">
        <v>2022</v>
      </c>
      <c r="E51" s="7">
        <v>28</v>
      </c>
      <c r="F51" s="7">
        <v>17</v>
      </c>
      <c r="G51" s="7">
        <v>45</v>
      </c>
      <c r="H51" s="7">
        <v>51</v>
      </c>
      <c r="I51" s="7">
        <v>51</v>
      </c>
      <c r="J51" s="7">
        <v>100</v>
      </c>
      <c r="K51" s="7">
        <v>52</v>
      </c>
      <c r="L51" s="7">
        <v>6.25</v>
      </c>
      <c r="M51" s="7">
        <v>-2.11</v>
      </c>
      <c r="N51" s="7">
        <v>419.5</v>
      </c>
      <c r="O51" s="7">
        <v>5.6</v>
      </c>
      <c r="P51" s="7">
        <v>44104</v>
      </c>
      <c r="Q51" s="7">
        <v>1.97</v>
      </c>
      <c r="R51" s="7">
        <v>100</v>
      </c>
      <c r="S51" s="7">
        <v>1</v>
      </c>
    </row>
    <row r="52" spans="1:19" ht="21.95" customHeight="1" x14ac:dyDescent="0.2">
      <c r="A52" s="7">
        <v>47</v>
      </c>
      <c r="B52" s="24">
        <v>44589.740277777782</v>
      </c>
      <c r="C52" s="7">
        <v>1643391960</v>
      </c>
      <c r="D52" s="7">
        <v>2022</v>
      </c>
      <c r="E52" s="7">
        <v>28</v>
      </c>
      <c r="F52" s="7">
        <v>17</v>
      </c>
      <c r="G52" s="7">
        <v>46</v>
      </c>
      <c r="H52" s="7">
        <v>51</v>
      </c>
      <c r="I52" s="7">
        <v>51</v>
      </c>
      <c r="J52" s="7">
        <v>100</v>
      </c>
      <c r="K52" s="7">
        <v>39</v>
      </c>
      <c r="L52" s="7">
        <v>6.19</v>
      </c>
      <c r="M52" s="7">
        <v>-2.12</v>
      </c>
      <c r="N52" s="7">
        <v>419.5</v>
      </c>
      <c r="O52" s="7">
        <v>5.6</v>
      </c>
      <c r="P52" s="7">
        <v>44104</v>
      </c>
      <c r="Q52" s="7">
        <v>1.97</v>
      </c>
      <c r="R52" s="7">
        <v>89</v>
      </c>
      <c r="S52" s="7">
        <v>1</v>
      </c>
    </row>
    <row r="53" spans="1:19" ht="21.95" customHeight="1" x14ac:dyDescent="0.2">
      <c r="A53" s="7">
        <v>48</v>
      </c>
      <c r="B53" s="24">
        <v>44589.740972222222</v>
      </c>
      <c r="C53" s="7">
        <v>1643392020</v>
      </c>
      <c r="D53" s="7">
        <v>2022</v>
      </c>
      <c r="E53" s="7">
        <v>28</v>
      </c>
      <c r="F53" s="7">
        <v>17</v>
      </c>
      <c r="G53" s="7">
        <v>47</v>
      </c>
      <c r="H53" s="7">
        <v>51</v>
      </c>
      <c r="I53" s="7">
        <v>51</v>
      </c>
      <c r="J53" s="7">
        <v>100</v>
      </c>
      <c r="K53" s="7">
        <v>45</v>
      </c>
      <c r="L53" s="7">
        <v>6.4</v>
      </c>
      <c r="M53" s="7">
        <v>-1.67</v>
      </c>
      <c r="N53" s="7">
        <v>417.8</v>
      </c>
      <c r="O53" s="7">
        <v>5.63</v>
      </c>
      <c r="P53" s="7">
        <v>42936</v>
      </c>
      <c r="Q53" s="7">
        <v>1.97</v>
      </c>
      <c r="R53" s="7">
        <v>72</v>
      </c>
      <c r="S53" s="7">
        <v>1</v>
      </c>
    </row>
    <row r="54" spans="1:19" ht="21.95" customHeight="1" x14ac:dyDescent="0.2">
      <c r="A54" s="7">
        <v>49</v>
      </c>
      <c r="B54" s="24">
        <v>44589.741666666669</v>
      </c>
      <c r="C54" s="7">
        <v>1643392080</v>
      </c>
      <c r="D54" s="7">
        <v>2022</v>
      </c>
      <c r="E54" s="7">
        <v>28</v>
      </c>
      <c r="F54" s="7">
        <v>17</v>
      </c>
      <c r="G54" s="7">
        <v>48</v>
      </c>
      <c r="H54" s="7">
        <v>51</v>
      </c>
      <c r="I54" s="7">
        <v>51</v>
      </c>
      <c r="J54" s="7">
        <v>100</v>
      </c>
      <c r="K54" s="7">
        <v>110</v>
      </c>
      <c r="L54" s="7">
        <v>6.43</v>
      </c>
      <c r="M54" s="7">
        <v>-1.3</v>
      </c>
      <c r="N54" s="7">
        <v>418.9</v>
      </c>
      <c r="O54" s="7">
        <v>5.5</v>
      </c>
      <c r="P54" s="7">
        <v>41910</v>
      </c>
      <c r="Q54" s="7">
        <v>1.93</v>
      </c>
      <c r="R54" s="7">
        <v>70</v>
      </c>
      <c r="S54" s="7">
        <v>1</v>
      </c>
    </row>
    <row r="55" spans="1:19" ht="21.95" customHeight="1" x14ac:dyDescent="0.2">
      <c r="A55" s="7">
        <v>50</v>
      </c>
      <c r="B55" s="24">
        <v>44589.742361111108</v>
      </c>
      <c r="C55" s="7">
        <v>1643392140</v>
      </c>
      <c r="D55" s="7">
        <v>2022</v>
      </c>
      <c r="E55" s="7">
        <v>28</v>
      </c>
      <c r="F55" s="7">
        <v>17</v>
      </c>
      <c r="G55" s="7">
        <v>49</v>
      </c>
      <c r="H55" s="7">
        <v>51</v>
      </c>
      <c r="I55" s="7">
        <v>51</v>
      </c>
      <c r="J55" s="7">
        <v>100</v>
      </c>
      <c r="K55" s="7">
        <v>75</v>
      </c>
      <c r="L55" s="7">
        <v>6.4</v>
      </c>
      <c r="M55" s="7">
        <v>-1.21</v>
      </c>
      <c r="N55" s="7">
        <v>420.5</v>
      </c>
      <c r="O55" s="7">
        <v>5.38</v>
      </c>
      <c r="P55" s="7">
        <v>41974</v>
      </c>
      <c r="Q55" s="7">
        <v>1.9</v>
      </c>
      <c r="R55" s="7">
        <v>82</v>
      </c>
      <c r="S55" s="7">
        <v>2</v>
      </c>
    </row>
    <row r="56" spans="1:19" ht="21.95" customHeight="1" x14ac:dyDescent="0.2">
      <c r="A56" s="7">
        <v>51</v>
      </c>
      <c r="B56" s="24">
        <v>44589.743055555547</v>
      </c>
      <c r="C56" s="7">
        <v>1643392200</v>
      </c>
      <c r="D56" s="7">
        <v>2022</v>
      </c>
      <c r="E56" s="7">
        <v>28</v>
      </c>
      <c r="F56" s="7">
        <v>17</v>
      </c>
      <c r="G56" s="7">
        <v>50</v>
      </c>
      <c r="H56" s="7">
        <v>51</v>
      </c>
      <c r="I56" s="7">
        <v>51</v>
      </c>
      <c r="J56" s="7">
        <v>100</v>
      </c>
      <c r="K56" s="7">
        <v>58</v>
      </c>
      <c r="L56" s="7">
        <v>6.36</v>
      </c>
      <c r="M56" s="7">
        <v>-1.17</v>
      </c>
      <c r="N56" s="7">
        <v>420.9</v>
      </c>
      <c r="O56" s="7">
        <v>5.52</v>
      </c>
      <c r="P56" s="7">
        <v>50007</v>
      </c>
      <c r="Q56" s="7">
        <v>1.96</v>
      </c>
      <c r="R56" s="7">
        <v>81</v>
      </c>
      <c r="S56" s="7">
        <v>2</v>
      </c>
    </row>
    <row r="57" spans="1:19" ht="21.95" customHeight="1" x14ac:dyDescent="0.2">
      <c r="A57" s="7">
        <v>52</v>
      </c>
      <c r="B57" s="24">
        <v>44589.743750000001</v>
      </c>
      <c r="C57" s="7">
        <v>1643392260</v>
      </c>
      <c r="D57" s="7">
        <v>2022</v>
      </c>
      <c r="E57" s="7">
        <v>28</v>
      </c>
      <c r="F57" s="7">
        <v>17</v>
      </c>
      <c r="G57" s="7">
        <v>51</v>
      </c>
      <c r="H57" s="7">
        <v>51</v>
      </c>
      <c r="I57" s="7">
        <v>51</v>
      </c>
      <c r="J57" s="7">
        <v>100</v>
      </c>
      <c r="K57" s="7">
        <v>54</v>
      </c>
      <c r="L57" s="7">
        <v>6.4</v>
      </c>
      <c r="M57" s="7">
        <v>-1.77</v>
      </c>
      <c r="N57" s="7">
        <v>420.7</v>
      </c>
      <c r="O57" s="7">
        <v>5.28</v>
      </c>
      <c r="P57" s="7">
        <v>44695</v>
      </c>
      <c r="Q57" s="7">
        <v>1.87</v>
      </c>
      <c r="R57" s="7">
        <v>63</v>
      </c>
      <c r="S57" s="7">
        <v>2</v>
      </c>
    </row>
    <row r="58" spans="1:19" ht="21.95" customHeight="1" x14ac:dyDescent="0.2">
      <c r="A58" s="7">
        <v>53</v>
      </c>
      <c r="B58" s="24">
        <v>44589.744444444441</v>
      </c>
      <c r="C58" s="7">
        <v>1643392320</v>
      </c>
      <c r="D58" s="7">
        <v>2022</v>
      </c>
      <c r="E58" s="7">
        <v>28</v>
      </c>
      <c r="F58" s="7">
        <v>17</v>
      </c>
      <c r="G58" s="7">
        <v>52</v>
      </c>
      <c r="H58" s="7">
        <v>51</v>
      </c>
      <c r="I58" s="7">
        <v>51</v>
      </c>
      <c r="J58" s="7">
        <v>100</v>
      </c>
      <c r="K58" s="7">
        <v>48</v>
      </c>
      <c r="L58" s="7">
        <v>6.39</v>
      </c>
      <c r="M58" s="7">
        <v>-1.43</v>
      </c>
      <c r="N58" s="7">
        <v>420.7</v>
      </c>
      <c r="O58" s="7">
        <v>5.23</v>
      </c>
      <c r="P58" s="7">
        <v>43616</v>
      </c>
      <c r="Q58" s="7">
        <v>1.85</v>
      </c>
      <c r="R58" s="7">
        <v>65</v>
      </c>
      <c r="S58" s="7">
        <v>2</v>
      </c>
    </row>
    <row r="59" spans="1:19" ht="21.95" customHeight="1" x14ac:dyDescent="0.2">
      <c r="A59" s="7">
        <v>54</v>
      </c>
      <c r="B59" s="24">
        <v>44589.745138888888</v>
      </c>
      <c r="C59" s="7">
        <v>1643392380</v>
      </c>
      <c r="D59" s="7">
        <v>2022</v>
      </c>
      <c r="E59" s="7">
        <v>28</v>
      </c>
      <c r="F59" s="7">
        <v>17</v>
      </c>
      <c r="G59" s="7">
        <v>53</v>
      </c>
      <c r="H59" s="7">
        <v>51</v>
      </c>
      <c r="I59" s="7">
        <v>51</v>
      </c>
      <c r="J59" s="7">
        <v>100</v>
      </c>
      <c r="K59" s="7">
        <v>94</v>
      </c>
      <c r="L59" s="7">
        <v>6.31</v>
      </c>
      <c r="M59" s="7">
        <v>-1.26</v>
      </c>
      <c r="N59" s="7">
        <v>419.5</v>
      </c>
      <c r="O59" s="7">
        <v>5.19</v>
      </c>
      <c r="P59" s="7">
        <v>47782</v>
      </c>
      <c r="Q59" s="7">
        <v>1.83</v>
      </c>
      <c r="R59" s="7">
        <v>63</v>
      </c>
      <c r="S59" s="7">
        <v>2</v>
      </c>
    </row>
    <row r="60" spans="1:19" ht="21.95" customHeight="1" x14ac:dyDescent="0.2">
      <c r="A60" s="7">
        <v>55</v>
      </c>
      <c r="B60" s="24">
        <v>44589.745833333327</v>
      </c>
      <c r="C60" s="7">
        <v>1643392440</v>
      </c>
      <c r="D60" s="7">
        <v>2022</v>
      </c>
      <c r="E60" s="7">
        <v>28</v>
      </c>
      <c r="F60" s="7">
        <v>17</v>
      </c>
      <c r="G60" s="7">
        <v>54</v>
      </c>
      <c r="H60" s="7">
        <v>51</v>
      </c>
      <c r="I60" s="7">
        <v>51</v>
      </c>
      <c r="J60" s="7">
        <v>100</v>
      </c>
      <c r="K60" s="7">
        <v>102</v>
      </c>
      <c r="L60" s="7">
        <v>6.28</v>
      </c>
      <c r="M60" s="7">
        <v>-1.88</v>
      </c>
      <c r="N60" s="7">
        <v>419.4</v>
      </c>
      <c r="O60" s="7">
        <v>5.2</v>
      </c>
      <c r="P60" s="7">
        <v>47772</v>
      </c>
      <c r="Q60" s="7">
        <v>1.83</v>
      </c>
      <c r="R60" s="7">
        <v>64</v>
      </c>
      <c r="S60" s="7">
        <v>2</v>
      </c>
    </row>
    <row r="61" spans="1:19" ht="21.95" customHeight="1" x14ac:dyDescent="0.2">
      <c r="A61" s="7">
        <v>56</v>
      </c>
      <c r="B61" s="24">
        <v>44589.746527777781</v>
      </c>
      <c r="C61" s="7">
        <v>1643392500</v>
      </c>
      <c r="D61" s="7">
        <v>2022</v>
      </c>
      <c r="E61" s="7">
        <v>28</v>
      </c>
      <c r="F61" s="7">
        <v>17</v>
      </c>
      <c r="G61" s="7">
        <v>55</v>
      </c>
      <c r="H61" s="7">
        <v>51</v>
      </c>
      <c r="I61" s="7">
        <v>51</v>
      </c>
      <c r="J61" s="7">
        <v>100</v>
      </c>
      <c r="K61" s="7">
        <v>32</v>
      </c>
      <c r="L61" s="7">
        <v>6.26</v>
      </c>
      <c r="M61" s="7">
        <v>-1.78</v>
      </c>
      <c r="N61" s="7">
        <v>418.3</v>
      </c>
      <c r="O61" s="7">
        <v>5.23</v>
      </c>
      <c r="P61" s="7">
        <v>47708</v>
      </c>
      <c r="Q61" s="7">
        <v>1.83</v>
      </c>
      <c r="R61" s="7">
        <v>66</v>
      </c>
      <c r="S61" s="7">
        <v>2</v>
      </c>
    </row>
    <row r="62" spans="1:19" ht="21.95" customHeight="1" x14ac:dyDescent="0.2">
      <c r="A62" s="7">
        <v>57</v>
      </c>
      <c r="B62" s="24">
        <v>44589.74722222222</v>
      </c>
      <c r="C62" s="7">
        <v>1643392560</v>
      </c>
      <c r="D62" s="7">
        <v>2022</v>
      </c>
      <c r="E62" s="7">
        <v>28</v>
      </c>
      <c r="F62" s="7">
        <v>17</v>
      </c>
      <c r="G62" s="7">
        <v>56</v>
      </c>
      <c r="H62" s="7">
        <v>51</v>
      </c>
      <c r="I62" s="7">
        <v>51</v>
      </c>
      <c r="J62" s="7">
        <v>100</v>
      </c>
      <c r="K62" s="7">
        <v>39</v>
      </c>
      <c r="L62" s="7">
        <v>6.2</v>
      </c>
      <c r="M62" s="7">
        <v>-1.19</v>
      </c>
      <c r="N62" s="7">
        <v>420.8</v>
      </c>
      <c r="O62" s="7">
        <v>5.6</v>
      </c>
      <c r="P62" s="7">
        <v>49937</v>
      </c>
      <c r="Q62" s="7">
        <v>1.98</v>
      </c>
      <c r="R62" s="7">
        <v>70</v>
      </c>
      <c r="S62" s="7">
        <v>2</v>
      </c>
    </row>
    <row r="63" spans="1:19" ht="21.95" customHeight="1" x14ac:dyDescent="0.2">
      <c r="A63" s="7">
        <v>58</v>
      </c>
      <c r="B63" s="24">
        <v>44589.747916666667</v>
      </c>
      <c r="C63" s="7">
        <v>1643392620</v>
      </c>
      <c r="D63" s="7">
        <v>2022</v>
      </c>
      <c r="E63" s="7">
        <v>28</v>
      </c>
      <c r="F63" s="7">
        <v>17</v>
      </c>
      <c r="G63" s="7">
        <v>57</v>
      </c>
      <c r="H63" s="7">
        <v>51</v>
      </c>
      <c r="I63" s="7">
        <v>51</v>
      </c>
      <c r="J63" s="7">
        <v>100</v>
      </c>
      <c r="K63" s="7">
        <v>42</v>
      </c>
      <c r="L63" s="7">
        <v>6.23</v>
      </c>
      <c r="M63" s="7">
        <v>-1.3</v>
      </c>
      <c r="N63" s="7">
        <v>420.8</v>
      </c>
      <c r="O63" s="7">
        <v>5.6</v>
      </c>
      <c r="P63" s="7">
        <v>49937</v>
      </c>
      <c r="Q63" s="7">
        <v>1.98</v>
      </c>
      <c r="R63" s="7">
        <v>70</v>
      </c>
      <c r="S63" s="7">
        <v>2</v>
      </c>
    </row>
    <row r="64" spans="1:19" ht="21.95" customHeight="1" x14ac:dyDescent="0.2">
      <c r="A64" s="7">
        <v>59</v>
      </c>
      <c r="B64" s="24">
        <v>44589.748611111107</v>
      </c>
      <c r="C64" s="7">
        <v>1643392680</v>
      </c>
      <c r="D64" s="7">
        <v>2022</v>
      </c>
      <c r="E64" s="7">
        <v>28</v>
      </c>
      <c r="F64" s="7">
        <v>17</v>
      </c>
      <c r="G64" s="7">
        <v>58</v>
      </c>
      <c r="H64" s="7">
        <v>51</v>
      </c>
      <c r="I64" s="7">
        <v>51</v>
      </c>
      <c r="J64" s="7">
        <v>100</v>
      </c>
      <c r="K64" s="7">
        <v>42</v>
      </c>
      <c r="L64" s="7">
        <v>6.25</v>
      </c>
      <c r="M64" s="7">
        <v>-1.58</v>
      </c>
      <c r="N64" s="7">
        <v>415.4</v>
      </c>
      <c r="O64" s="7">
        <v>5.37</v>
      </c>
      <c r="P64" s="7">
        <v>46187</v>
      </c>
      <c r="Q64" s="7">
        <v>1.85</v>
      </c>
      <c r="R64" s="7">
        <v>70</v>
      </c>
      <c r="S64" s="7">
        <v>2</v>
      </c>
    </row>
    <row r="65" spans="1:19" ht="21.95" customHeight="1" x14ac:dyDescent="0.2">
      <c r="A65" s="7">
        <v>60</v>
      </c>
      <c r="B65" s="24">
        <v>44589.749305555553</v>
      </c>
      <c r="C65" s="7">
        <v>1643392740</v>
      </c>
      <c r="D65" s="7">
        <v>2022</v>
      </c>
      <c r="E65" s="7">
        <v>28</v>
      </c>
      <c r="F65" s="7">
        <v>17</v>
      </c>
      <c r="G65" s="7">
        <v>59</v>
      </c>
      <c r="H65" s="7">
        <v>51</v>
      </c>
      <c r="I65" s="7">
        <v>51</v>
      </c>
      <c r="J65" s="7">
        <v>100</v>
      </c>
      <c r="K65" s="7">
        <v>95</v>
      </c>
      <c r="L65" s="7">
        <v>6.35</v>
      </c>
      <c r="M65" s="7">
        <v>-1.93</v>
      </c>
      <c r="N65" s="7">
        <v>416.2</v>
      </c>
      <c r="O65" s="7">
        <v>5.22</v>
      </c>
      <c r="P65" s="7">
        <v>43191</v>
      </c>
      <c r="Q65" s="7">
        <v>1.81</v>
      </c>
      <c r="R65" s="7">
        <v>71</v>
      </c>
      <c r="S65" s="7">
        <v>2</v>
      </c>
    </row>
    <row r="66" spans="1:19" ht="21.95" customHeight="1" x14ac:dyDescent="0.2">
      <c r="A66" s="7">
        <v>61</v>
      </c>
      <c r="B66" s="24">
        <v>44589.75</v>
      </c>
      <c r="C66" s="7">
        <v>1643392800</v>
      </c>
      <c r="D66" s="7">
        <v>2022</v>
      </c>
      <c r="E66" s="7">
        <v>28</v>
      </c>
      <c r="F66" s="7">
        <v>18</v>
      </c>
      <c r="G66" s="7">
        <v>0</v>
      </c>
      <c r="H66" s="7">
        <v>51</v>
      </c>
      <c r="I66" s="7">
        <v>51</v>
      </c>
      <c r="J66" s="7">
        <v>100</v>
      </c>
      <c r="K66" s="7">
        <v>119</v>
      </c>
      <c r="L66" s="7">
        <v>6.35</v>
      </c>
      <c r="M66" s="7">
        <v>-2.09</v>
      </c>
      <c r="N66" s="7">
        <v>423</v>
      </c>
      <c r="O66" s="7">
        <v>5.0599999999999996</v>
      </c>
      <c r="P66" s="7">
        <v>38131</v>
      </c>
      <c r="Q66" s="7">
        <v>1.81</v>
      </c>
      <c r="R66" s="7">
        <v>73</v>
      </c>
      <c r="S66" s="7">
        <v>2</v>
      </c>
    </row>
    <row r="67" spans="1:19" ht="21.95" customHeight="1" x14ac:dyDescent="0.2">
      <c r="A67" s="7">
        <v>62</v>
      </c>
      <c r="B67" s="24">
        <v>44589.750694444447</v>
      </c>
      <c r="C67" s="7">
        <v>1643392860</v>
      </c>
      <c r="D67" s="7">
        <v>2022</v>
      </c>
      <c r="E67" s="7">
        <v>28</v>
      </c>
      <c r="F67" s="7">
        <v>18</v>
      </c>
      <c r="G67" s="7">
        <v>1</v>
      </c>
      <c r="H67" s="7">
        <v>51</v>
      </c>
      <c r="I67" s="7">
        <v>51</v>
      </c>
      <c r="J67" s="7">
        <v>100</v>
      </c>
      <c r="K67" s="7">
        <v>34</v>
      </c>
      <c r="L67" s="7">
        <v>6.43</v>
      </c>
      <c r="M67" s="7">
        <v>-1.99</v>
      </c>
      <c r="N67" s="7">
        <v>427.2</v>
      </c>
      <c r="O67" s="7">
        <v>5.28</v>
      </c>
      <c r="P67" s="7">
        <v>40898</v>
      </c>
      <c r="Q67" s="7">
        <v>1.93</v>
      </c>
      <c r="R67" s="7">
        <v>74</v>
      </c>
      <c r="S67" s="7">
        <v>2</v>
      </c>
    </row>
    <row r="68" spans="1:19" ht="21.95" customHeight="1" x14ac:dyDescent="0.2">
      <c r="A68" s="7">
        <v>63</v>
      </c>
      <c r="B68" s="24">
        <v>44589.751388888893</v>
      </c>
      <c r="C68" s="7">
        <v>1643392920</v>
      </c>
      <c r="D68" s="7">
        <v>2022</v>
      </c>
      <c r="E68" s="7">
        <v>28</v>
      </c>
      <c r="F68" s="7">
        <v>18</v>
      </c>
      <c r="G68" s="7">
        <v>2</v>
      </c>
      <c r="H68" s="7">
        <v>51</v>
      </c>
      <c r="I68" s="7">
        <v>51</v>
      </c>
      <c r="J68" s="7">
        <v>100</v>
      </c>
      <c r="K68" s="7">
        <v>30</v>
      </c>
      <c r="L68" s="7">
        <v>6.4</v>
      </c>
      <c r="M68" s="7">
        <v>-2.17</v>
      </c>
      <c r="N68" s="7">
        <v>418.4</v>
      </c>
      <c r="O68" s="7">
        <v>5.35</v>
      </c>
      <c r="P68" s="7">
        <v>38573</v>
      </c>
      <c r="Q68" s="7">
        <v>1.87</v>
      </c>
      <c r="R68" s="7">
        <v>71</v>
      </c>
      <c r="S68" s="7">
        <v>1</v>
      </c>
    </row>
    <row r="69" spans="1:19" ht="21.95" customHeight="1" x14ac:dyDescent="0.2">
      <c r="A69" s="7">
        <v>64</v>
      </c>
      <c r="B69" s="24">
        <v>44589.752083333333</v>
      </c>
      <c r="C69" s="7">
        <v>1643392980</v>
      </c>
      <c r="D69" s="7">
        <v>2022</v>
      </c>
      <c r="E69" s="7">
        <v>28</v>
      </c>
      <c r="F69" s="7">
        <v>18</v>
      </c>
      <c r="G69" s="7">
        <v>3</v>
      </c>
      <c r="H69" s="7">
        <v>51</v>
      </c>
      <c r="I69" s="7">
        <v>51</v>
      </c>
      <c r="J69" s="7">
        <v>100</v>
      </c>
      <c r="K69" s="7">
        <v>45</v>
      </c>
      <c r="L69" s="7">
        <v>6.34</v>
      </c>
      <c r="M69" s="7">
        <v>-2.19</v>
      </c>
      <c r="N69" s="7">
        <v>418.4</v>
      </c>
      <c r="O69" s="7">
        <v>5.35</v>
      </c>
      <c r="P69" s="7">
        <v>38573</v>
      </c>
      <c r="Q69" s="7">
        <v>1.87</v>
      </c>
      <c r="R69" s="7">
        <v>74</v>
      </c>
      <c r="S69" s="7">
        <v>1</v>
      </c>
    </row>
    <row r="70" spans="1:19" ht="21.95" customHeight="1" x14ac:dyDescent="0.2">
      <c r="A70" s="7">
        <v>65</v>
      </c>
      <c r="B70" s="24">
        <v>44589.75277777778</v>
      </c>
      <c r="C70" s="7">
        <v>1643393040</v>
      </c>
      <c r="D70" s="7">
        <v>2022</v>
      </c>
      <c r="E70" s="7">
        <v>28</v>
      </c>
      <c r="F70" s="7">
        <v>18</v>
      </c>
      <c r="G70" s="7">
        <v>4</v>
      </c>
      <c r="H70" s="7">
        <v>51</v>
      </c>
      <c r="I70" s="7">
        <v>51</v>
      </c>
      <c r="J70" s="7">
        <v>100</v>
      </c>
      <c r="K70" s="7">
        <v>61</v>
      </c>
      <c r="L70" s="7">
        <v>6.16</v>
      </c>
      <c r="M70" s="7">
        <v>-2.06</v>
      </c>
      <c r="N70" s="7">
        <v>417.8</v>
      </c>
      <c r="O70" s="7">
        <v>5.35</v>
      </c>
      <c r="P70" s="7">
        <v>44402</v>
      </c>
      <c r="Q70" s="7">
        <v>1.87</v>
      </c>
      <c r="R70" s="7">
        <v>74</v>
      </c>
      <c r="S70" s="7">
        <v>1</v>
      </c>
    </row>
    <row r="71" spans="1:19" ht="21.95" customHeight="1" x14ac:dyDescent="0.2">
      <c r="A71" s="7">
        <v>66</v>
      </c>
      <c r="B71" s="24">
        <v>44589.753472222219</v>
      </c>
      <c r="C71" s="7">
        <v>1643393100</v>
      </c>
      <c r="D71" s="7">
        <v>2022</v>
      </c>
      <c r="E71" s="7">
        <v>28</v>
      </c>
      <c r="F71" s="7">
        <v>18</v>
      </c>
      <c r="G71" s="7">
        <v>5</v>
      </c>
      <c r="H71" s="7">
        <v>51</v>
      </c>
      <c r="I71" s="7">
        <v>51</v>
      </c>
      <c r="J71" s="7">
        <v>100</v>
      </c>
      <c r="K71" s="7">
        <v>50</v>
      </c>
      <c r="L71" s="7">
        <v>6.14</v>
      </c>
      <c r="M71" s="7">
        <v>-1.79</v>
      </c>
      <c r="N71" s="7">
        <v>416.9</v>
      </c>
      <c r="O71" s="7">
        <v>5.36</v>
      </c>
      <c r="P71" s="7">
        <v>54269</v>
      </c>
      <c r="Q71" s="7">
        <v>1.86</v>
      </c>
      <c r="R71" s="7">
        <v>77</v>
      </c>
      <c r="S71" s="7">
        <v>1</v>
      </c>
    </row>
    <row r="72" spans="1:19" ht="21.95" customHeight="1" x14ac:dyDescent="0.2">
      <c r="A72" s="7">
        <v>67</v>
      </c>
      <c r="B72" s="24">
        <v>44589.754166666673</v>
      </c>
      <c r="C72" s="7">
        <v>1643393160</v>
      </c>
      <c r="D72" s="7">
        <v>2022</v>
      </c>
      <c r="E72" s="7">
        <v>28</v>
      </c>
      <c r="F72" s="7">
        <v>18</v>
      </c>
      <c r="G72" s="7">
        <v>6</v>
      </c>
      <c r="H72" s="7">
        <v>51</v>
      </c>
      <c r="I72" s="7">
        <v>51</v>
      </c>
      <c r="J72" s="7">
        <v>100</v>
      </c>
      <c r="K72" s="7">
        <v>46</v>
      </c>
      <c r="L72" s="7">
        <v>6.25</v>
      </c>
      <c r="M72" s="7">
        <v>-2.3199999999999998</v>
      </c>
      <c r="N72" s="7">
        <v>415.5</v>
      </c>
      <c r="O72" s="7">
        <v>5.26</v>
      </c>
      <c r="P72" s="7">
        <v>48869</v>
      </c>
      <c r="Q72" s="7">
        <v>1.82</v>
      </c>
      <c r="R72" s="7">
        <v>78</v>
      </c>
      <c r="S72" s="7">
        <v>1</v>
      </c>
    </row>
    <row r="73" spans="1:19" ht="21.95" customHeight="1" x14ac:dyDescent="0.2">
      <c r="A73" s="7">
        <v>68</v>
      </c>
      <c r="B73" s="24">
        <v>44589.754861111112</v>
      </c>
      <c r="C73" s="7">
        <v>1643393220</v>
      </c>
      <c r="D73" s="7">
        <v>2022</v>
      </c>
      <c r="E73" s="7">
        <v>28</v>
      </c>
      <c r="F73" s="7">
        <v>18</v>
      </c>
      <c r="G73" s="7">
        <v>7</v>
      </c>
      <c r="H73" s="7">
        <v>51</v>
      </c>
      <c r="I73" s="7">
        <v>51</v>
      </c>
      <c r="J73" s="7">
        <v>100</v>
      </c>
      <c r="K73" s="7">
        <v>57</v>
      </c>
      <c r="L73" s="7">
        <v>6.22</v>
      </c>
      <c r="M73" s="7">
        <v>-2.6</v>
      </c>
      <c r="N73" s="7">
        <v>414.2</v>
      </c>
      <c r="O73" s="7">
        <v>5.16</v>
      </c>
      <c r="P73" s="7">
        <v>43778</v>
      </c>
      <c r="Q73" s="7">
        <v>1.77</v>
      </c>
      <c r="R73" s="7">
        <v>90</v>
      </c>
      <c r="S73" s="7">
        <v>0</v>
      </c>
    </row>
    <row r="74" spans="1:19" ht="21.95" customHeight="1" x14ac:dyDescent="0.2">
      <c r="A74" s="7">
        <v>69</v>
      </c>
      <c r="B74" s="24">
        <v>44589.755555555559</v>
      </c>
      <c r="C74" s="7">
        <v>1643393280</v>
      </c>
      <c r="D74" s="7">
        <v>2022</v>
      </c>
      <c r="E74" s="7">
        <v>28</v>
      </c>
      <c r="F74" s="7">
        <v>18</v>
      </c>
      <c r="G74" s="7">
        <v>8</v>
      </c>
      <c r="H74" s="7">
        <v>51</v>
      </c>
      <c r="I74" s="7">
        <v>51</v>
      </c>
      <c r="J74" s="7">
        <v>100</v>
      </c>
      <c r="K74" s="7">
        <v>63</v>
      </c>
      <c r="L74" s="7">
        <v>6.17</v>
      </c>
      <c r="M74" s="7">
        <v>-2.66</v>
      </c>
      <c r="N74" s="7">
        <v>419</v>
      </c>
      <c r="O74" s="7">
        <v>5.42</v>
      </c>
      <c r="P74" s="7">
        <v>43613</v>
      </c>
      <c r="Q74" s="7">
        <v>1.9</v>
      </c>
      <c r="R74" s="7">
        <v>80</v>
      </c>
      <c r="S74" s="7">
        <v>0</v>
      </c>
    </row>
    <row r="75" spans="1:19" ht="21.95" customHeight="1" x14ac:dyDescent="0.2">
      <c r="A75" s="7">
        <v>70</v>
      </c>
      <c r="B75" s="24">
        <v>44589.756249999999</v>
      </c>
      <c r="C75" s="7">
        <v>1643393340</v>
      </c>
      <c r="D75" s="7">
        <v>2022</v>
      </c>
      <c r="E75" s="7">
        <v>28</v>
      </c>
      <c r="F75" s="7">
        <v>18</v>
      </c>
      <c r="G75" s="7">
        <v>9</v>
      </c>
      <c r="H75" s="7">
        <v>51</v>
      </c>
      <c r="I75" s="7">
        <v>51</v>
      </c>
      <c r="J75" s="7">
        <v>100</v>
      </c>
      <c r="K75" s="7">
        <v>67</v>
      </c>
      <c r="L75" s="7">
        <v>6.12</v>
      </c>
      <c r="M75" s="7">
        <v>-2.74</v>
      </c>
      <c r="N75" s="7">
        <v>419.8</v>
      </c>
      <c r="O75" s="7">
        <v>5.46</v>
      </c>
      <c r="P75" s="7">
        <v>43597</v>
      </c>
      <c r="Q75" s="7">
        <v>1.92</v>
      </c>
      <c r="R75" s="7">
        <v>83</v>
      </c>
      <c r="S75" s="7">
        <v>0</v>
      </c>
    </row>
    <row r="76" spans="1:19" ht="21.95" customHeight="1" x14ac:dyDescent="0.2">
      <c r="A76" s="7">
        <v>71</v>
      </c>
      <c r="B76" s="24">
        <v>44589.756944444453</v>
      </c>
      <c r="C76" s="7">
        <v>1643393400</v>
      </c>
      <c r="D76" s="7">
        <v>2022</v>
      </c>
      <c r="E76" s="7">
        <v>28</v>
      </c>
      <c r="F76" s="7">
        <v>18</v>
      </c>
      <c r="G76" s="7">
        <v>10</v>
      </c>
      <c r="H76" s="7">
        <v>51</v>
      </c>
      <c r="I76" s="7">
        <v>51</v>
      </c>
      <c r="J76" s="7">
        <v>100</v>
      </c>
      <c r="K76" s="7">
        <v>63</v>
      </c>
      <c r="L76" s="7">
        <v>6.14</v>
      </c>
      <c r="M76" s="7">
        <v>-2.48</v>
      </c>
      <c r="N76" s="7">
        <v>417.1</v>
      </c>
      <c r="O76" s="7">
        <v>5.3</v>
      </c>
      <c r="P76" s="7">
        <v>44072</v>
      </c>
      <c r="Q76" s="7">
        <v>1.84</v>
      </c>
      <c r="R76" s="7">
        <v>82</v>
      </c>
      <c r="S76" s="7">
        <v>0</v>
      </c>
    </row>
    <row r="77" spans="1:19" ht="21.95" customHeight="1" x14ac:dyDescent="0.2">
      <c r="A77" s="7">
        <v>72</v>
      </c>
      <c r="B77" s="24">
        <v>44589.757638888892</v>
      </c>
      <c r="C77" s="7">
        <v>1643393460</v>
      </c>
      <c r="D77" s="7">
        <v>2022</v>
      </c>
      <c r="E77" s="7">
        <v>28</v>
      </c>
      <c r="F77" s="7">
        <v>18</v>
      </c>
      <c r="G77" s="7">
        <v>11</v>
      </c>
      <c r="H77" s="7">
        <v>51</v>
      </c>
      <c r="I77" s="7">
        <v>51</v>
      </c>
      <c r="J77" s="7">
        <v>100</v>
      </c>
      <c r="K77" s="7">
        <v>60</v>
      </c>
      <c r="L77" s="7">
        <v>6.12</v>
      </c>
      <c r="M77" s="7">
        <v>-2.52</v>
      </c>
      <c r="N77" s="7">
        <v>417.5</v>
      </c>
      <c r="O77" s="7">
        <v>5.26</v>
      </c>
      <c r="P77" s="7">
        <v>45882</v>
      </c>
      <c r="Q77" s="7">
        <v>1.83</v>
      </c>
      <c r="R77" s="7">
        <v>86</v>
      </c>
      <c r="S77" s="7">
        <v>0</v>
      </c>
    </row>
    <row r="78" spans="1:19" ht="21.95" customHeight="1" x14ac:dyDescent="0.2">
      <c r="A78" s="7">
        <v>73</v>
      </c>
      <c r="B78" s="24">
        <v>44589.758333333331</v>
      </c>
      <c r="C78" s="7">
        <v>1643393520</v>
      </c>
      <c r="D78" s="7">
        <v>2022</v>
      </c>
      <c r="E78" s="7">
        <v>28</v>
      </c>
      <c r="F78" s="7">
        <v>18</v>
      </c>
      <c r="G78" s="7">
        <v>12</v>
      </c>
      <c r="H78" s="7">
        <v>51</v>
      </c>
      <c r="I78" s="7">
        <v>51</v>
      </c>
      <c r="J78" s="7">
        <v>100</v>
      </c>
      <c r="K78" s="7">
        <v>67</v>
      </c>
      <c r="L78" s="7">
        <v>6.1</v>
      </c>
      <c r="M78" s="7">
        <v>-2.4700000000000002</v>
      </c>
      <c r="N78" s="7">
        <v>417.7</v>
      </c>
      <c r="O78" s="7">
        <v>5.24</v>
      </c>
      <c r="P78" s="7">
        <v>46945</v>
      </c>
      <c r="Q78" s="7">
        <v>1.83</v>
      </c>
      <c r="R78" s="7">
        <v>86</v>
      </c>
      <c r="S78" s="7">
        <v>0</v>
      </c>
    </row>
    <row r="79" spans="1:19" ht="21.95" customHeight="1" x14ac:dyDescent="0.2">
      <c r="A79" s="7">
        <v>74</v>
      </c>
      <c r="B79" s="24">
        <v>44589.759027777778</v>
      </c>
      <c r="C79" s="7">
        <v>1643393580</v>
      </c>
      <c r="D79" s="7">
        <v>2022</v>
      </c>
      <c r="E79" s="7">
        <v>28</v>
      </c>
      <c r="F79" s="7">
        <v>18</v>
      </c>
      <c r="G79" s="7">
        <v>13</v>
      </c>
      <c r="H79" s="7">
        <v>51</v>
      </c>
      <c r="I79" s="7">
        <v>51</v>
      </c>
      <c r="J79" s="7">
        <v>100</v>
      </c>
      <c r="K79" s="7">
        <v>67</v>
      </c>
      <c r="L79" s="7">
        <v>6.12</v>
      </c>
      <c r="M79" s="7">
        <v>-2.5</v>
      </c>
      <c r="N79" s="7">
        <v>415.9</v>
      </c>
      <c r="O79" s="7">
        <v>5.09</v>
      </c>
      <c r="P79" s="7">
        <v>45954</v>
      </c>
      <c r="Q79" s="7">
        <v>1.76</v>
      </c>
      <c r="R79" s="7">
        <v>89</v>
      </c>
      <c r="S79" s="7">
        <v>0</v>
      </c>
    </row>
    <row r="80" spans="1:19" ht="21.95" customHeight="1" x14ac:dyDescent="0.2">
      <c r="A80" s="7">
        <v>75</v>
      </c>
      <c r="B80" s="24">
        <v>44589.759722222218</v>
      </c>
      <c r="C80" s="7">
        <v>1643393640</v>
      </c>
      <c r="D80" s="7">
        <v>2022</v>
      </c>
      <c r="E80" s="7">
        <v>28</v>
      </c>
      <c r="F80" s="7">
        <v>18</v>
      </c>
      <c r="G80" s="7">
        <v>14</v>
      </c>
      <c r="H80" s="7">
        <v>51</v>
      </c>
      <c r="I80" s="7">
        <v>51</v>
      </c>
      <c r="J80" s="7">
        <v>9</v>
      </c>
      <c r="K80" s="7">
        <v>123</v>
      </c>
      <c r="L80" s="7">
        <v>6.05</v>
      </c>
      <c r="M80" s="7">
        <v>-1.89</v>
      </c>
      <c r="N80" s="7">
        <v>415.5</v>
      </c>
      <c r="O80" s="7">
        <v>5.25</v>
      </c>
      <c r="P80" s="7">
        <v>40949</v>
      </c>
      <c r="Q80" s="7">
        <v>1.81</v>
      </c>
      <c r="R80" s="7">
        <v>93</v>
      </c>
      <c r="S80" s="7">
        <v>0</v>
      </c>
    </row>
    <row r="81" spans="1:19" ht="21.95" customHeight="1" x14ac:dyDescent="0.2">
      <c r="A81" s="7">
        <v>76</v>
      </c>
      <c r="B81" s="24">
        <v>44589.760416666657</v>
      </c>
      <c r="C81" s="7">
        <v>1643393700</v>
      </c>
      <c r="D81" s="7">
        <v>2022</v>
      </c>
      <c r="E81" s="7">
        <v>28</v>
      </c>
      <c r="F81" s="7">
        <v>18</v>
      </c>
      <c r="G81" s="7">
        <v>15</v>
      </c>
      <c r="H81" s="7">
        <v>51</v>
      </c>
      <c r="I81" s="7">
        <v>51</v>
      </c>
      <c r="J81" s="7">
        <v>0</v>
      </c>
      <c r="K81" s="7">
        <v>82</v>
      </c>
      <c r="L81" s="7">
        <v>6.03</v>
      </c>
      <c r="M81" s="7">
        <v>-2.17</v>
      </c>
      <c r="N81" s="7">
        <v>415.9</v>
      </c>
      <c r="O81" s="7">
        <v>5.27</v>
      </c>
      <c r="P81" s="7">
        <v>43905</v>
      </c>
      <c r="Q81" s="7">
        <v>1.82</v>
      </c>
      <c r="R81" s="7">
        <v>92</v>
      </c>
      <c r="S81" s="7">
        <v>0</v>
      </c>
    </row>
    <row r="82" spans="1:19" ht="21.95" customHeight="1" x14ac:dyDescent="0.2">
      <c r="A82" s="7">
        <v>77</v>
      </c>
      <c r="B82" s="24">
        <v>44589.761111111111</v>
      </c>
      <c r="C82" s="7">
        <v>1643393760</v>
      </c>
      <c r="D82" s="7">
        <v>2022</v>
      </c>
      <c r="E82" s="7">
        <v>28</v>
      </c>
      <c r="F82" s="7">
        <v>18</v>
      </c>
      <c r="G82" s="7">
        <v>16</v>
      </c>
      <c r="H82" s="7">
        <v>51</v>
      </c>
      <c r="I82" s="7">
        <v>99</v>
      </c>
      <c r="J82" s="7">
        <v>0</v>
      </c>
      <c r="K82" s="7">
        <v>28</v>
      </c>
      <c r="L82" s="7">
        <v>6.06</v>
      </c>
      <c r="M82" s="7">
        <v>-2.4</v>
      </c>
      <c r="N82" s="7">
        <v>99999.9</v>
      </c>
      <c r="O82" s="7">
        <v>999.99</v>
      </c>
      <c r="P82" s="7">
        <v>9999999</v>
      </c>
      <c r="Q82" s="7">
        <v>99.99</v>
      </c>
      <c r="R82" s="7">
        <v>108</v>
      </c>
      <c r="S82" s="7">
        <v>0</v>
      </c>
    </row>
    <row r="83" spans="1:19" ht="21.95" customHeight="1" x14ac:dyDescent="0.2">
      <c r="A83" s="7">
        <v>78</v>
      </c>
      <c r="B83" s="24">
        <v>44589.761805555558</v>
      </c>
      <c r="C83" s="7">
        <v>1643393820</v>
      </c>
      <c r="D83" s="7">
        <v>2022</v>
      </c>
      <c r="E83" s="7">
        <v>28</v>
      </c>
      <c r="F83" s="7">
        <v>18</v>
      </c>
      <c r="G83" s="7">
        <v>17</v>
      </c>
      <c r="H83" s="7">
        <v>51</v>
      </c>
      <c r="I83" s="7">
        <v>51</v>
      </c>
      <c r="J83" s="7">
        <v>0</v>
      </c>
      <c r="K83" s="7">
        <v>28</v>
      </c>
      <c r="L83" s="7">
        <v>6.03</v>
      </c>
      <c r="M83" s="7">
        <v>-2.46</v>
      </c>
      <c r="N83" s="7">
        <v>414.9</v>
      </c>
      <c r="O83" s="7">
        <v>4.75</v>
      </c>
      <c r="P83" s="7">
        <v>54269</v>
      </c>
      <c r="Q83" s="7">
        <v>1.64</v>
      </c>
      <c r="R83" s="7">
        <v>101</v>
      </c>
      <c r="S83" s="7">
        <v>-1</v>
      </c>
    </row>
    <row r="84" spans="1:19" ht="21.95" customHeight="1" x14ac:dyDescent="0.2">
      <c r="A84" s="7">
        <v>79</v>
      </c>
      <c r="B84" s="24">
        <v>44589.762499999997</v>
      </c>
      <c r="C84" s="7">
        <v>1643393880</v>
      </c>
      <c r="D84" s="7">
        <v>2022</v>
      </c>
      <c r="E84" s="7">
        <v>28</v>
      </c>
      <c r="F84" s="7">
        <v>18</v>
      </c>
      <c r="G84" s="7">
        <v>18</v>
      </c>
      <c r="H84" s="7">
        <v>51</v>
      </c>
      <c r="I84" s="7">
        <v>51</v>
      </c>
      <c r="J84" s="7">
        <v>0</v>
      </c>
      <c r="K84" s="7">
        <v>46</v>
      </c>
      <c r="L84" s="7">
        <v>6</v>
      </c>
      <c r="M84" s="7">
        <v>-2.64</v>
      </c>
      <c r="N84" s="7">
        <v>414.9</v>
      </c>
      <c r="O84" s="7">
        <v>4.75</v>
      </c>
      <c r="P84" s="7">
        <v>54269</v>
      </c>
      <c r="Q84" s="7">
        <v>1.64</v>
      </c>
      <c r="R84" s="7">
        <v>107</v>
      </c>
      <c r="S84" s="7">
        <v>-1</v>
      </c>
    </row>
    <row r="85" spans="1:19" ht="21.95" customHeight="1" x14ac:dyDescent="0.2">
      <c r="A85" s="7">
        <v>80</v>
      </c>
      <c r="B85" s="24">
        <v>44589.763194444437</v>
      </c>
      <c r="C85" s="7">
        <v>1643393940</v>
      </c>
      <c r="D85" s="7">
        <v>2022</v>
      </c>
      <c r="E85" s="7">
        <v>28</v>
      </c>
      <c r="F85" s="7">
        <v>18</v>
      </c>
      <c r="G85" s="7">
        <v>19</v>
      </c>
      <c r="H85" s="7">
        <v>51</v>
      </c>
      <c r="I85" s="7">
        <v>51</v>
      </c>
      <c r="J85" s="7">
        <v>0</v>
      </c>
      <c r="K85" s="7">
        <v>54</v>
      </c>
      <c r="L85" s="7">
        <v>6.01</v>
      </c>
      <c r="M85" s="7">
        <v>-2.64</v>
      </c>
      <c r="N85" s="7">
        <v>415.1</v>
      </c>
      <c r="O85" s="7">
        <v>4.9000000000000004</v>
      </c>
      <c r="P85" s="7">
        <v>54199</v>
      </c>
      <c r="Q85" s="7">
        <v>1.69</v>
      </c>
      <c r="R85" s="7">
        <v>111</v>
      </c>
      <c r="S85" s="7">
        <v>-1</v>
      </c>
    </row>
    <row r="86" spans="1:19" ht="21.95" customHeight="1" x14ac:dyDescent="0.2">
      <c r="A86" s="7">
        <v>81</v>
      </c>
      <c r="B86" s="24">
        <v>44589.763888888891</v>
      </c>
      <c r="C86" s="7">
        <v>1643394000</v>
      </c>
      <c r="D86" s="7">
        <v>2022</v>
      </c>
      <c r="E86" s="7">
        <v>28</v>
      </c>
      <c r="F86" s="7">
        <v>18</v>
      </c>
      <c r="G86" s="7">
        <v>20</v>
      </c>
      <c r="H86" s="7">
        <v>51</v>
      </c>
      <c r="I86" s="7">
        <v>51</v>
      </c>
      <c r="J86" s="7">
        <v>0</v>
      </c>
      <c r="K86" s="7">
        <v>67</v>
      </c>
      <c r="L86" s="7">
        <v>5.76</v>
      </c>
      <c r="M86" s="7">
        <v>-1.62</v>
      </c>
      <c r="N86" s="7">
        <v>415.1</v>
      </c>
      <c r="O86" s="7">
        <v>4.91</v>
      </c>
      <c r="P86" s="7">
        <v>54196</v>
      </c>
      <c r="Q86" s="7">
        <v>1.69</v>
      </c>
      <c r="R86" s="7">
        <v>121</v>
      </c>
      <c r="S86" s="7">
        <v>-1</v>
      </c>
    </row>
    <row r="87" spans="1:19" ht="21.95" customHeight="1" x14ac:dyDescent="0.2">
      <c r="A87" s="7">
        <v>82</v>
      </c>
      <c r="B87" s="24">
        <v>44589.76458333333</v>
      </c>
      <c r="C87" s="7">
        <v>1643394060</v>
      </c>
      <c r="D87" s="7">
        <v>2022</v>
      </c>
      <c r="E87" s="7">
        <v>28</v>
      </c>
      <c r="F87" s="7">
        <v>18</v>
      </c>
      <c r="G87" s="7">
        <v>21</v>
      </c>
      <c r="H87" s="7">
        <v>51</v>
      </c>
      <c r="I87" s="7">
        <v>51</v>
      </c>
      <c r="J87" s="7">
        <v>0</v>
      </c>
      <c r="K87" s="7">
        <v>46</v>
      </c>
      <c r="L87" s="7">
        <v>5.82</v>
      </c>
      <c r="M87" s="7">
        <v>-2.37</v>
      </c>
      <c r="N87" s="7">
        <v>411.9</v>
      </c>
      <c r="O87" s="7">
        <v>5.36</v>
      </c>
      <c r="P87" s="7">
        <v>57207</v>
      </c>
      <c r="Q87" s="7">
        <v>1.82</v>
      </c>
      <c r="R87" s="7">
        <v>110</v>
      </c>
      <c r="S87" s="7">
        <v>-1</v>
      </c>
    </row>
    <row r="88" spans="1:19" ht="21.95" customHeight="1" x14ac:dyDescent="0.2">
      <c r="A88" s="7">
        <v>83</v>
      </c>
      <c r="B88" s="24">
        <v>44589.765277777777</v>
      </c>
      <c r="C88" s="7">
        <v>1643394120</v>
      </c>
      <c r="D88" s="7">
        <v>2022</v>
      </c>
      <c r="E88" s="7">
        <v>28</v>
      </c>
      <c r="F88" s="7">
        <v>18</v>
      </c>
      <c r="G88" s="7">
        <v>22</v>
      </c>
      <c r="H88" s="7">
        <v>51</v>
      </c>
      <c r="I88" s="7">
        <v>51</v>
      </c>
      <c r="J88" s="7">
        <v>0</v>
      </c>
      <c r="K88" s="7">
        <v>58</v>
      </c>
      <c r="L88" s="7">
        <v>5.91</v>
      </c>
      <c r="M88" s="7">
        <v>-2.02</v>
      </c>
      <c r="N88" s="7">
        <v>411.9</v>
      </c>
      <c r="O88" s="7">
        <v>5.36</v>
      </c>
      <c r="P88" s="7">
        <v>57207</v>
      </c>
      <c r="Q88" s="7">
        <v>1.82</v>
      </c>
      <c r="R88" s="7">
        <v>118</v>
      </c>
      <c r="S88" s="7">
        <v>-2</v>
      </c>
    </row>
    <row r="89" spans="1:19" ht="21.95" customHeight="1" x14ac:dyDescent="0.2">
      <c r="A89" s="7">
        <v>84</v>
      </c>
      <c r="B89" s="24">
        <v>44589.765972222223</v>
      </c>
      <c r="C89" s="7">
        <v>1643394180</v>
      </c>
      <c r="D89" s="7">
        <v>2022</v>
      </c>
      <c r="E89" s="7">
        <v>28</v>
      </c>
      <c r="F89" s="7">
        <v>18</v>
      </c>
      <c r="G89" s="7">
        <v>23</v>
      </c>
      <c r="H89" s="7">
        <v>51</v>
      </c>
      <c r="I89" s="7">
        <v>51</v>
      </c>
      <c r="J89" s="7">
        <v>0</v>
      </c>
      <c r="K89" s="7">
        <v>70</v>
      </c>
      <c r="L89" s="7">
        <v>5.76</v>
      </c>
      <c r="M89" s="7">
        <v>-1.27</v>
      </c>
      <c r="N89" s="7">
        <v>408.7</v>
      </c>
      <c r="O89" s="7">
        <v>4.79</v>
      </c>
      <c r="P89" s="7">
        <v>52972</v>
      </c>
      <c r="Q89" s="7">
        <v>1.6</v>
      </c>
      <c r="R89" s="7">
        <v>145</v>
      </c>
      <c r="S89" s="7">
        <v>-2</v>
      </c>
    </row>
    <row r="90" spans="1:19" ht="21.95" customHeight="1" x14ac:dyDescent="0.2">
      <c r="A90" s="7">
        <v>85</v>
      </c>
      <c r="B90" s="24">
        <v>44589.76666666667</v>
      </c>
      <c r="C90" s="7">
        <v>1643394240</v>
      </c>
      <c r="D90" s="7">
        <v>2022</v>
      </c>
      <c r="E90" s="7">
        <v>28</v>
      </c>
      <c r="F90" s="7">
        <v>18</v>
      </c>
      <c r="G90" s="7">
        <v>24</v>
      </c>
      <c r="H90" s="7">
        <v>51</v>
      </c>
      <c r="I90" s="7">
        <v>51</v>
      </c>
      <c r="J90" s="7">
        <v>0</v>
      </c>
      <c r="K90" s="7">
        <v>82</v>
      </c>
      <c r="L90" s="7">
        <v>5.72</v>
      </c>
      <c r="M90" s="7">
        <v>-1.52</v>
      </c>
      <c r="N90" s="7">
        <v>409.6</v>
      </c>
      <c r="O90" s="7">
        <v>5.14</v>
      </c>
      <c r="P90" s="7">
        <v>63302</v>
      </c>
      <c r="Q90" s="7">
        <v>1.72</v>
      </c>
      <c r="R90" s="7">
        <v>117</v>
      </c>
      <c r="S90" s="7">
        <v>-2</v>
      </c>
    </row>
    <row r="91" spans="1:19" ht="21.95" customHeight="1" x14ac:dyDescent="0.2">
      <c r="A91" s="7">
        <v>86</v>
      </c>
      <c r="B91" s="24">
        <v>44589.767361111109</v>
      </c>
      <c r="C91" s="7">
        <v>1643394300</v>
      </c>
      <c r="D91" s="7">
        <v>2022</v>
      </c>
      <c r="E91" s="7">
        <v>28</v>
      </c>
      <c r="F91" s="7">
        <v>18</v>
      </c>
      <c r="G91" s="7">
        <v>25</v>
      </c>
      <c r="H91" s="7">
        <v>51</v>
      </c>
      <c r="I91" s="7">
        <v>51</v>
      </c>
      <c r="J91" s="7">
        <v>0</v>
      </c>
      <c r="K91" s="7">
        <v>39</v>
      </c>
      <c r="L91" s="7">
        <v>5.59</v>
      </c>
      <c r="M91" s="7">
        <v>-1.18</v>
      </c>
      <c r="N91" s="7">
        <v>410</v>
      </c>
      <c r="O91" s="7">
        <v>5.3</v>
      </c>
      <c r="P91" s="7">
        <v>68099</v>
      </c>
      <c r="Q91" s="7">
        <v>1.78</v>
      </c>
      <c r="R91" s="7">
        <v>249</v>
      </c>
      <c r="S91" s="7">
        <v>-1</v>
      </c>
    </row>
    <row r="92" spans="1:19" ht="21.95" customHeight="1" x14ac:dyDescent="0.2">
      <c r="A92" s="7">
        <v>87</v>
      </c>
      <c r="B92" s="24">
        <v>44589.768055555563</v>
      </c>
      <c r="C92" s="7">
        <v>1643394360</v>
      </c>
      <c r="D92" s="7">
        <v>2022</v>
      </c>
      <c r="E92" s="7">
        <v>28</v>
      </c>
      <c r="F92" s="7">
        <v>18</v>
      </c>
      <c r="G92" s="7">
        <v>26</v>
      </c>
      <c r="H92" s="7">
        <v>51</v>
      </c>
      <c r="I92" s="7">
        <v>51</v>
      </c>
      <c r="J92" s="7">
        <v>0</v>
      </c>
      <c r="K92" s="7">
        <v>39</v>
      </c>
      <c r="L92" s="7">
        <v>5.51</v>
      </c>
      <c r="M92" s="7">
        <v>1.05</v>
      </c>
      <c r="N92" s="7">
        <v>405.2</v>
      </c>
      <c r="O92" s="7">
        <v>5.86</v>
      </c>
      <c r="P92" s="7">
        <v>87684</v>
      </c>
      <c r="Q92" s="7">
        <v>1.92</v>
      </c>
      <c r="R92" s="7">
        <v>313</v>
      </c>
      <c r="S92" s="7">
        <v>-2</v>
      </c>
    </row>
    <row r="93" spans="1:19" ht="21.95" customHeight="1" x14ac:dyDescent="0.2">
      <c r="A93" s="7">
        <v>88</v>
      </c>
      <c r="B93" s="24">
        <v>44589.768750000003</v>
      </c>
      <c r="C93" s="7">
        <v>1643394420</v>
      </c>
      <c r="D93" s="7">
        <v>2022</v>
      </c>
      <c r="E93" s="7">
        <v>28</v>
      </c>
      <c r="F93" s="7">
        <v>18</v>
      </c>
      <c r="G93" s="7">
        <v>27</v>
      </c>
      <c r="H93" s="7">
        <v>51</v>
      </c>
      <c r="I93" s="7">
        <v>51</v>
      </c>
      <c r="J93" s="7">
        <v>0</v>
      </c>
      <c r="K93" s="7">
        <v>47</v>
      </c>
      <c r="L93" s="7">
        <v>5.54</v>
      </c>
      <c r="M93" s="7">
        <v>0.6</v>
      </c>
      <c r="N93" s="7">
        <v>405.2</v>
      </c>
      <c r="O93" s="7">
        <v>5.86</v>
      </c>
      <c r="P93" s="7">
        <v>87684</v>
      </c>
      <c r="Q93" s="7">
        <v>1.92</v>
      </c>
      <c r="R93" s="7">
        <v>335</v>
      </c>
      <c r="S93" s="7">
        <v>-2</v>
      </c>
    </row>
    <row r="94" spans="1:19" ht="21.95" customHeight="1" x14ac:dyDescent="0.2">
      <c r="A94" s="7">
        <v>89</v>
      </c>
      <c r="B94" s="24">
        <v>44589.769444444442</v>
      </c>
      <c r="C94" s="7">
        <v>1643394480</v>
      </c>
      <c r="D94" s="7">
        <v>2022</v>
      </c>
      <c r="E94" s="7">
        <v>28</v>
      </c>
      <c r="F94" s="7">
        <v>18</v>
      </c>
      <c r="G94" s="7">
        <v>28</v>
      </c>
      <c r="H94" s="7">
        <v>51</v>
      </c>
      <c r="I94" s="7">
        <v>51</v>
      </c>
      <c r="J94" s="7">
        <v>0</v>
      </c>
      <c r="K94" s="7">
        <v>104</v>
      </c>
      <c r="L94" s="7">
        <v>5.45</v>
      </c>
      <c r="M94" s="7">
        <v>2.4</v>
      </c>
      <c r="N94" s="7">
        <v>412.4</v>
      </c>
      <c r="O94" s="7">
        <v>5.83</v>
      </c>
      <c r="P94" s="7">
        <v>58154</v>
      </c>
      <c r="Q94" s="7">
        <v>1.98</v>
      </c>
      <c r="R94" s="7">
        <v>342</v>
      </c>
      <c r="S94" s="7">
        <v>-2</v>
      </c>
    </row>
    <row r="95" spans="1:19" ht="21.95" customHeight="1" x14ac:dyDescent="0.2">
      <c r="A95" s="7">
        <v>90</v>
      </c>
      <c r="B95" s="24">
        <v>44589.770138888889</v>
      </c>
      <c r="C95" s="7">
        <v>1643394540</v>
      </c>
      <c r="D95" s="7">
        <v>2022</v>
      </c>
      <c r="E95" s="7">
        <v>28</v>
      </c>
      <c r="F95" s="7">
        <v>18</v>
      </c>
      <c r="G95" s="7">
        <v>29</v>
      </c>
      <c r="H95" s="7">
        <v>51</v>
      </c>
      <c r="I95" s="7">
        <v>51</v>
      </c>
      <c r="J95" s="7">
        <v>0</v>
      </c>
      <c r="K95" s="7">
        <v>107</v>
      </c>
      <c r="L95" s="7">
        <v>5.63</v>
      </c>
      <c r="M95" s="7">
        <v>5.26</v>
      </c>
      <c r="N95" s="7">
        <v>414.4</v>
      </c>
      <c r="O95" s="7">
        <v>5.88</v>
      </c>
      <c r="P95" s="7">
        <v>56691</v>
      </c>
      <c r="Q95" s="7">
        <v>2.02</v>
      </c>
      <c r="R95" s="7">
        <v>325</v>
      </c>
      <c r="S95" s="7">
        <v>-2</v>
      </c>
    </row>
    <row r="96" spans="1:19" ht="21.95" customHeight="1" x14ac:dyDescent="0.2">
      <c r="A96" s="7">
        <v>91</v>
      </c>
      <c r="B96" s="24">
        <v>44589.770833333343</v>
      </c>
      <c r="C96" s="7">
        <v>1643394600</v>
      </c>
      <c r="D96" s="7">
        <v>2022</v>
      </c>
      <c r="E96" s="7">
        <v>28</v>
      </c>
      <c r="F96" s="7">
        <v>18</v>
      </c>
      <c r="G96" s="7">
        <v>30</v>
      </c>
      <c r="H96" s="7">
        <v>51</v>
      </c>
      <c r="I96" s="7">
        <v>51</v>
      </c>
      <c r="J96" s="7">
        <v>0</v>
      </c>
      <c r="K96" s="7">
        <v>50</v>
      </c>
      <c r="L96" s="7">
        <v>5.61</v>
      </c>
      <c r="M96" s="7">
        <v>5.24</v>
      </c>
      <c r="N96" s="7">
        <v>414.9</v>
      </c>
      <c r="O96" s="7">
        <v>5.84</v>
      </c>
      <c r="P96" s="7">
        <v>44727</v>
      </c>
      <c r="Q96" s="7">
        <v>2.0099999999999998</v>
      </c>
      <c r="R96" s="7">
        <v>264</v>
      </c>
      <c r="S96" s="7">
        <v>-2</v>
      </c>
    </row>
    <row r="97" spans="1:19" ht="21.95" customHeight="1" x14ac:dyDescent="0.2">
      <c r="A97" s="7">
        <v>92</v>
      </c>
      <c r="B97" s="24">
        <v>44589.771527777782</v>
      </c>
      <c r="C97" s="7">
        <v>1643394660</v>
      </c>
      <c r="D97" s="7">
        <v>2022</v>
      </c>
      <c r="E97" s="7">
        <v>28</v>
      </c>
      <c r="F97" s="7">
        <v>18</v>
      </c>
      <c r="G97" s="7">
        <v>31</v>
      </c>
      <c r="H97" s="7">
        <v>51</v>
      </c>
      <c r="I97" s="7">
        <v>51</v>
      </c>
      <c r="J97" s="7">
        <v>0</v>
      </c>
      <c r="K97" s="7">
        <v>45</v>
      </c>
      <c r="L97" s="7">
        <v>5.69</v>
      </c>
      <c r="M97" s="7">
        <v>5.08</v>
      </c>
      <c r="N97" s="7">
        <v>414.9</v>
      </c>
      <c r="O97" s="7">
        <v>5.84</v>
      </c>
      <c r="P97" s="7">
        <v>44727</v>
      </c>
      <c r="Q97" s="7">
        <v>2.0099999999999998</v>
      </c>
      <c r="R97" s="7">
        <v>217</v>
      </c>
      <c r="S97" s="7">
        <v>-2</v>
      </c>
    </row>
    <row r="98" spans="1:19" ht="21.95" customHeight="1" x14ac:dyDescent="0.2">
      <c r="A98" s="7">
        <v>93</v>
      </c>
      <c r="B98" s="24">
        <v>44589.772222222222</v>
      </c>
      <c r="C98" s="7">
        <v>1643394720</v>
      </c>
      <c r="D98" s="7">
        <v>2022</v>
      </c>
      <c r="E98" s="7">
        <v>28</v>
      </c>
      <c r="F98" s="7">
        <v>18</v>
      </c>
      <c r="G98" s="7">
        <v>32</v>
      </c>
      <c r="H98" s="7">
        <v>51</v>
      </c>
      <c r="I98" s="7">
        <v>51</v>
      </c>
      <c r="J98" s="7">
        <v>0</v>
      </c>
      <c r="K98" s="7">
        <v>50</v>
      </c>
      <c r="L98" s="7">
        <v>5.72</v>
      </c>
      <c r="M98" s="7">
        <v>5.14</v>
      </c>
      <c r="N98" s="7">
        <v>416.1</v>
      </c>
      <c r="O98" s="7">
        <v>5.64</v>
      </c>
      <c r="P98" s="7">
        <v>44662</v>
      </c>
      <c r="Q98" s="7">
        <v>1.95</v>
      </c>
      <c r="R98" s="7">
        <v>203</v>
      </c>
      <c r="S98" s="7">
        <v>-1</v>
      </c>
    </row>
    <row r="99" spans="1:19" ht="21.95" customHeight="1" x14ac:dyDescent="0.2">
      <c r="A99" s="7">
        <v>94</v>
      </c>
      <c r="B99" s="24">
        <v>44589.772916666669</v>
      </c>
      <c r="C99" s="7">
        <v>1643394780</v>
      </c>
      <c r="D99" s="7">
        <v>2022</v>
      </c>
      <c r="E99" s="7">
        <v>28</v>
      </c>
      <c r="F99" s="7">
        <v>18</v>
      </c>
      <c r="G99" s="7">
        <v>33</v>
      </c>
      <c r="H99" s="7">
        <v>51</v>
      </c>
      <c r="I99" s="7">
        <v>51</v>
      </c>
      <c r="J99" s="7">
        <v>0</v>
      </c>
      <c r="K99" s="7">
        <v>71</v>
      </c>
      <c r="L99" s="7">
        <v>5.51</v>
      </c>
      <c r="M99" s="7">
        <v>3.83</v>
      </c>
      <c r="N99" s="7">
        <v>416.1</v>
      </c>
      <c r="O99" s="7">
        <v>5.64</v>
      </c>
      <c r="P99" s="7">
        <v>44662</v>
      </c>
      <c r="Q99" s="7">
        <v>1.95</v>
      </c>
      <c r="R99" s="7">
        <v>211</v>
      </c>
      <c r="S99" s="7">
        <v>-1</v>
      </c>
    </row>
    <row r="100" spans="1:19" ht="21.95" customHeight="1" x14ac:dyDescent="0.2">
      <c r="A100" s="7">
        <v>95</v>
      </c>
      <c r="B100" s="24">
        <v>44589.773611111108</v>
      </c>
      <c r="C100" s="7">
        <v>1643394840</v>
      </c>
      <c r="D100" s="7">
        <v>2022</v>
      </c>
      <c r="E100" s="7">
        <v>28</v>
      </c>
      <c r="F100" s="7">
        <v>18</v>
      </c>
      <c r="G100" s="7">
        <v>34</v>
      </c>
      <c r="H100" s="7">
        <v>51</v>
      </c>
      <c r="I100" s="7">
        <v>99</v>
      </c>
      <c r="J100" s="7">
        <v>0</v>
      </c>
      <c r="K100" s="7">
        <v>63</v>
      </c>
      <c r="L100" s="7">
        <v>5.41</v>
      </c>
      <c r="M100" s="7">
        <v>2.21</v>
      </c>
      <c r="N100" s="7">
        <v>99999.9</v>
      </c>
      <c r="O100" s="7">
        <v>999.99</v>
      </c>
      <c r="P100" s="7">
        <v>9999999</v>
      </c>
      <c r="Q100" s="7">
        <v>99.99</v>
      </c>
      <c r="R100" s="7">
        <v>234</v>
      </c>
      <c r="S100" s="7">
        <v>-1</v>
      </c>
    </row>
    <row r="101" spans="1:19" ht="21.95" customHeight="1" x14ac:dyDescent="0.2">
      <c r="A101" s="7">
        <v>96</v>
      </c>
      <c r="B101" s="24">
        <v>44589.774305555547</v>
      </c>
      <c r="C101" s="7">
        <v>1643394900</v>
      </c>
      <c r="D101" s="7">
        <v>2022</v>
      </c>
      <c r="E101" s="7">
        <v>28</v>
      </c>
      <c r="F101" s="7">
        <v>18</v>
      </c>
      <c r="G101" s="7">
        <v>35</v>
      </c>
      <c r="H101" s="7">
        <v>51</v>
      </c>
      <c r="I101" s="7">
        <v>51</v>
      </c>
      <c r="J101" s="7">
        <v>0</v>
      </c>
      <c r="K101" s="7">
        <v>48</v>
      </c>
      <c r="L101" s="7">
        <v>5.43</v>
      </c>
      <c r="M101" s="7">
        <v>1.83</v>
      </c>
      <c r="N101" s="7">
        <v>415.1</v>
      </c>
      <c r="O101" s="7">
        <v>5.65</v>
      </c>
      <c r="P101" s="7">
        <v>62885</v>
      </c>
      <c r="Q101" s="7">
        <v>1.95</v>
      </c>
      <c r="R101" s="7">
        <v>256</v>
      </c>
      <c r="S101" s="7">
        <v>-1</v>
      </c>
    </row>
    <row r="102" spans="1:19" ht="21.95" customHeight="1" x14ac:dyDescent="0.2">
      <c r="A102" s="7">
        <v>97</v>
      </c>
      <c r="B102" s="24">
        <v>44589.775000000001</v>
      </c>
      <c r="C102" s="7">
        <v>1643394960</v>
      </c>
      <c r="D102" s="7">
        <v>2022</v>
      </c>
      <c r="E102" s="7">
        <v>28</v>
      </c>
      <c r="F102" s="7">
        <v>18</v>
      </c>
      <c r="G102" s="7">
        <v>36</v>
      </c>
      <c r="H102" s="7">
        <v>51</v>
      </c>
      <c r="I102" s="7">
        <v>51</v>
      </c>
      <c r="J102" s="7">
        <v>0</v>
      </c>
      <c r="K102" s="7">
        <v>43</v>
      </c>
      <c r="L102" s="7">
        <v>5.46</v>
      </c>
      <c r="M102" s="7">
        <v>2.39</v>
      </c>
      <c r="N102" s="7">
        <v>415.1</v>
      </c>
      <c r="O102" s="7">
        <v>5.65</v>
      </c>
      <c r="P102" s="7">
        <v>62885</v>
      </c>
      <c r="Q102" s="7">
        <v>1.95</v>
      </c>
      <c r="R102" s="7">
        <v>261</v>
      </c>
      <c r="S102" s="7">
        <v>-1</v>
      </c>
    </row>
    <row r="103" spans="1:19" ht="21.95" customHeight="1" x14ac:dyDescent="0.2">
      <c r="A103" s="7">
        <v>98</v>
      </c>
      <c r="B103" s="24">
        <v>44589.775694444441</v>
      </c>
      <c r="C103" s="7">
        <v>1643395020</v>
      </c>
      <c r="D103" s="7">
        <v>2022</v>
      </c>
      <c r="E103" s="7">
        <v>28</v>
      </c>
      <c r="F103" s="7">
        <v>18</v>
      </c>
      <c r="G103" s="7">
        <v>37</v>
      </c>
      <c r="H103" s="7">
        <v>51</v>
      </c>
      <c r="I103" s="7">
        <v>51</v>
      </c>
      <c r="J103" s="7">
        <v>0</v>
      </c>
      <c r="K103" s="7">
        <v>78</v>
      </c>
      <c r="L103" s="7">
        <v>5.46</v>
      </c>
      <c r="M103" s="7">
        <v>1.51</v>
      </c>
      <c r="N103" s="7">
        <v>422.3</v>
      </c>
      <c r="O103" s="7">
        <v>5.6</v>
      </c>
      <c r="P103" s="7">
        <v>55500</v>
      </c>
      <c r="Q103" s="7">
        <v>2</v>
      </c>
      <c r="R103" s="7">
        <v>271</v>
      </c>
      <c r="S103" s="7">
        <v>-1</v>
      </c>
    </row>
    <row r="104" spans="1:19" ht="21.95" customHeight="1" x14ac:dyDescent="0.2">
      <c r="A104" s="7">
        <v>99</v>
      </c>
      <c r="B104" s="24">
        <v>44589.776388888888</v>
      </c>
      <c r="C104" s="7">
        <v>1643395080</v>
      </c>
      <c r="D104" s="7">
        <v>2022</v>
      </c>
      <c r="E104" s="7">
        <v>28</v>
      </c>
      <c r="F104" s="7">
        <v>18</v>
      </c>
      <c r="G104" s="7">
        <v>38</v>
      </c>
      <c r="H104" s="7">
        <v>51</v>
      </c>
      <c r="I104" s="7">
        <v>51</v>
      </c>
      <c r="J104" s="7">
        <v>0</v>
      </c>
      <c r="K104" s="7">
        <v>86</v>
      </c>
      <c r="L104" s="7">
        <v>5.55</v>
      </c>
      <c r="M104" s="7">
        <v>1.56</v>
      </c>
      <c r="N104" s="7">
        <v>423.9</v>
      </c>
      <c r="O104" s="7">
        <v>5.59</v>
      </c>
      <c r="P104" s="7">
        <v>53835</v>
      </c>
      <c r="Q104" s="7">
        <v>2.0099999999999998</v>
      </c>
      <c r="R104" s="7">
        <v>353</v>
      </c>
      <c r="S104" s="7">
        <v>-2</v>
      </c>
    </row>
    <row r="105" spans="1:19" ht="21.95" customHeight="1" x14ac:dyDescent="0.2">
      <c r="A105" s="7">
        <v>100</v>
      </c>
      <c r="B105" s="24">
        <v>44589.777083333327</v>
      </c>
      <c r="C105" s="7">
        <v>1643395140</v>
      </c>
      <c r="D105" s="7">
        <v>2022</v>
      </c>
      <c r="E105" s="7">
        <v>28</v>
      </c>
      <c r="F105" s="7">
        <v>18</v>
      </c>
      <c r="G105" s="7">
        <v>39</v>
      </c>
      <c r="H105" s="7">
        <v>51</v>
      </c>
      <c r="I105" s="7">
        <v>51</v>
      </c>
      <c r="J105" s="7">
        <v>0</v>
      </c>
      <c r="K105" s="7">
        <v>50</v>
      </c>
      <c r="L105" s="7">
        <v>5.64</v>
      </c>
      <c r="M105" s="7">
        <v>2.2200000000000002</v>
      </c>
      <c r="N105" s="7">
        <v>423.3</v>
      </c>
      <c r="O105" s="7">
        <v>5.15</v>
      </c>
      <c r="P105" s="7">
        <v>45454</v>
      </c>
      <c r="Q105" s="7">
        <v>1.85</v>
      </c>
      <c r="R105" s="7">
        <v>316</v>
      </c>
      <c r="S105" s="7">
        <v>-2</v>
      </c>
    </row>
    <row r="106" spans="1:19" ht="21.95" customHeight="1" x14ac:dyDescent="0.2">
      <c r="A106" s="7">
        <v>101</v>
      </c>
      <c r="B106" s="24">
        <v>44589.777777777781</v>
      </c>
      <c r="C106" s="7">
        <v>1643395200</v>
      </c>
      <c r="D106" s="7">
        <v>2022</v>
      </c>
      <c r="E106" s="7">
        <v>28</v>
      </c>
      <c r="F106" s="7">
        <v>18</v>
      </c>
      <c r="G106" s="7">
        <v>40</v>
      </c>
      <c r="H106" s="7">
        <v>51</v>
      </c>
      <c r="I106" s="7">
        <v>51</v>
      </c>
      <c r="J106" s="7">
        <v>0</v>
      </c>
      <c r="K106" s="7">
        <v>-13</v>
      </c>
      <c r="L106" s="7">
        <v>5.58</v>
      </c>
      <c r="M106" s="7">
        <v>2.15</v>
      </c>
      <c r="N106" s="7">
        <v>423.3</v>
      </c>
      <c r="O106" s="7">
        <v>5.15</v>
      </c>
      <c r="P106" s="7">
        <v>45454</v>
      </c>
      <c r="Q106" s="7">
        <v>1.85</v>
      </c>
      <c r="R106" s="7">
        <v>254</v>
      </c>
      <c r="S106" s="7">
        <v>-3</v>
      </c>
    </row>
    <row r="107" spans="1:19" ht="21.95" customHeight="1" x14ac:dyDescent="0.2">
      <c r="A107" s="7">
        <v>102</v>
      </c>
      <c r="B107" s="24">
        <v>44589.77847222222</v>
      </c>
      <c r="C107" s="7">
        <v>1643395260</v>
      </c>
      <c r="D107" s="7">
        <v>2022</v>
      </c>
      <c r="E107" s="7">
        <v>28</v>
      </c>
      <c r="F107" s="7">
        <v>18</v>
      </c>
      <c r="G107" s="7">
        <v>41</v>
      </c>
      <c r="H107" s="7">
        <v>51</v>
      </c>
      <c r="I107" s="7">
        <v>51</v>
      </c>
      <c r="J107" s="7">
        <v>0</v>
      </c>
      <c r="K107" s="7">
        <v>88</v>
      </c>
      <c r="L107" s="7">
        <v>5.74</v>
      </c>
      <c r="M107" s="7">
        <v>2.76</v>
      </c>
      <c r="N107" s="7">
        <v>423.3</v>
      </c>
      <c r="O107" s="7">
        <v>5.15</v>
      </c>
      <c r="P107" s="7">
        <v>45454</v>
      </c>
      <c r="Q107" s="7">
        <v>1.85</v>
      </c>
      <c r="R107" s="7">
        <v>241</v>
      </c>
      <c r="S107" s="7">
        <v>-3</v>
      </c>
    </row>
    <row r="108" spans="1:19" ht="21.95" customHeight="1" x14ac:dyDescent="0.2">
      <c r="A108" s="7">
        <v>103</v>
      </c>
      <c r="B108" s="24">
        <v>44589.779166666667</v>
      </c>
      <c r="C108" s="7">
        <v>1643395320</v>
      </c>
      <c r="D108" s="7">
        <v>2022</v>
      </c>
      <c r="E108" s="7">
        <v>28</v>
      </c>
      <c r="F108" s="7">
        <v>18</v>
      </c>
      <c r="G108" s="7">
        <v>42</v>
      </c>
      <c r="H108" s="7">
        <v>51</v>
      </c>
      <c r="I108" s="7">
        <v>51</v>
      </c>
      <c r="J108" s="7">
        <v>0</v>
      </c>
      <c r="K108" s="7">
        <v>49</v>
      </c>
      <c r="L108" s="7">
        <v>5.78</v>
      </c>
      <c r="M108" s="7">
        <v>3.56</v>
      </c>
      <c r="N108" s="7">
        <v>401.7</v>
      </c>
      <c r="O108" s="7">
        <v>5.63</v>
      </c>
      <c r="P108" s="7">
        <v>63746</v>
      </c>
      <c r="Q108" s="7">
        <v>1.82</v>
      </c>
      <c r="R108" s="7">
        <v>244</v>
      </c>
      <c r="S108" s="7">
        <v>-3</v>
      </c>
    </row>
    <row r="109" spans="1:19" ht="21.95" customHeight="1" x14ac:dyDescent="0.2">
      <c r="A109" s="7">
        <v>104</v>
      </c>
      <c r="B109" s="24">
        <v>44589.779861111107</v>
      </c>
      <c r="C109" s="7">
        <v>1643395380</v>
      </c>
      <c r="D109" s="7">
        <v>2022</v>
      </c>
      <c r="E109" s="7">
        <v>28</v>
      </c>
      <c r="F109" s="7">
        <v>18</v>
      </c>
      <c r="G109" s="7">
        <v>43</v>
      </c>
      <c r="H109" s="7">
        <v>51</v>
      </c>
      <c r="I109" s="7">
        <v>51</v>
      </c>
      <c r="J109" s="7">
        <v>0</v>
      </c>
      <c r="K109" s="7">
        <v>65</v>
      </c>
      <c r="L109" s="7">
        <v>5.85</v>
      </c>
      <c r="M109" s="7">
        <v>3.83</v>
      </c>
      <c r="N109" s="7">
        <v>401.7</v>
      </c>
      <c r="O109" s="7">
        <v>5.63</v>
      </c>
      <c r="P109" s="7">
        <v>63746</v>
      </c>
      <c r="Q109" s="7">
        <v>1.82</v>
      </c>
      <c r="R109" s="7">
        <v>243</v>
      </c>
      <c r="S109" s="7">
        <v>-2</v>
      </c>
    </row>
    <row r="110" spans="1:19" ht="21.95" customHeight="1" x14ac:dyDescent="0.2">
      <c r="A110" s="7">
        <v>105</v>
      </c>
      <c r="B110" s="24">
        <v>44589.780555555553</v>
      </c>
      <c r="C110" s="7">
        <v>1643395440</v>
      </c>
      <c r="D110" s="7">
        <v>2022</v>
      </c>
      <c r="E110" s="7">
        <v>28</v>
      </c>
      <c r="F110" s="7">
        <v>18</v>
      </c>
      <c r="G110" s="7">
        <v>44</v>
      </c>
      <c r="H110" s="7">
        <v>51</v>
      </c>
      <c r="I110" s="7">
        <v>51</v>
      </c>
      <c r="J110" s="7">
        <v>0</v>
      </c>
      <c r="K110" s="7">
        <v>99</v>
      </c>
      <c r="L110" s="7">
        <v>5.81</v>
      </c>
      <c r="M110" s="7">
        <v>4.1900000000000004</v>
      </c>
      <c r="N110" s="7">
        <v>403.7</v>
      </c>
      <c r="O110" s="7">
        <v>6.14</v>
      </c>
      <c r="P110" s="7">
        <v>73333</v>
      </c>
      <c r="Q110" s="7">
        <v>2</v>
      </c>
      <c r="R110" s="7">
        <v>208</v>
      </c>
      <c r="S110" s="7">
        <v>-3</v>
      </c>
    </row>
    <row r="111" spans="1:19" ht="21.95" customHeight="1" x14ac:dyDescent="0.2">
      <c r="A111" s="7">
        <v>106</v>
      </c>
      <c r="B111" s="24">
        <v>44589.78125</v>
      </c>
      <c r="C111" s="7">
        <v>1643395500</v>
      </c>
      <c r="D111" s="7">
        <v>2022</v>
      </c>
      <c r="E111" s="7">
        <v>28</v>
      </c>
      <c r="F111" s="7">
        <v>18</v>
      </c>
      <c r="G111" s="7">
        <v>45</v>
      </c>
      <c r="H111" s="7">
        <v>51</v>
      </c>
      <c r="I111" s="7">
        <v>51</v>
      </c>
      <c r="J111" s="7">
        <v>0</v>
      </c>
      <c r="K111" s="7">
        <v>39</v>
      </c>
      <c r="L111" s="7">
        <v>5.82</v>
      </c>
      <c r="M111" s="7">
        <v>4.33</v>
      </c>
      <c r="N111" s="7">
        <v>402.1</v>
      </c>
      <c r="O111" s="7">
        <v>6.15</v>
      </c>
      <c r="P111" s="7">
        <v>67972</v>
      </c>
      <c r="Q111" s="7">
        <v>1.99</v>
      </c>
      <c r="R111" s="7">
        <v>225</v>
      </c>
      <c r="S111" s="7">
        <v>-3</v>
      </c>
    </row>
    <row r="112" spans="1:19" ht="21.95" customHeight="1" x14ac:dyDescent="0.2">
      <c r="A112" s="7">
        <v>107</v>
      </c>
      <c r="B112" s="24">
        <v>44589.781944444447</v>
      </c>
      <c r="C112" s="7">
        <v>1643395560</v>
      </c>
      <c r="D112" s="7">
        <v>2022</v>
      </c>
      <c r="E112" s="7">
        <v>28</v>
      </c>
      <c r="F112" s="7">
        <v>18</v>
      </c>
      <c r="G112" s="7">
        <v>46</v>
      </c>
      <c r="H112" s="7">
        <v>51</v>
      </c>
      <c r="I112" s="7">
        <v>51</v>
      </c>
      <c r="J112" s="7">
        <v>0</v>
      </c>
      <c r="K112" s="7">
        <v>123</v>
      </c>
      <c r="L112" s="7">
        <v>5.83</v>
      </c>
      <c r="M112" s="7">
        <v>3.63</v>
      </c>
      <c r="N112" s="7">
        <v>403.1</v>
      </c>
      <c r="O112" s="7">
        <v>6.21</v>
      </c>
      <c r="P112" s="7">
        <v>82699</v>
      </c>
      <c r="Q112" s="7">
        <v>2.02</v>
      </c>
      <c r="R112" s="7">
        <v>272</v>
      </c>
      <c r="S112" s="7">
        <v>-3</v>
      </c>
    </row>
    <row r="113" spans="1:19" ht="21.95" customHeight="1" x14ac:dyDescent="0.2">
      <c r="A113" s="7">
        <v>108</v>
      </c>
      <c r="B113" s="24">
        <v>44589.782638888893</v>
      </c>
      <c r="C113" s="7">
        <v>1643395620</v>
      </c>
      <c r="D113" s="7">
        <v>2022</v>
      </c>
      <c r="E113" s="7">
        <v>28</v>
      </c>
      <c r="F113" s="7">
        <v>18</v>
      </c>
      <c r="G113" s="7">
        <v>47</v>
      </c>
      <c r="H113" s="7">
        <v>51</v>
      </c>
      <c r="I113" s="7">
        <v>51</v>
      </c>
      <c r="J113" s="7">
        <v>0</v>
      </c>
      <c r="K113" s="7">
        <v>56</v>
      </c>
      <c r="L113" s="7">
        <v>5.88</v>
      </c>
      <c r="M113" s="7">
        <v>1.33</v>
      </c>
      <c r="N113" s="7">
        <v>404.2</v>
      </c>
      <c r="O113" s="7">
        <v>6.23</v>
      </c>
      <c r="P113" s="7">
        <v>86276</v>
      </c>
      <c r="Q113" s="7">
        <v>2.04</v>
      </c>
      <c r="R113" s="7">
        <v>280</v>
      </c>
      <c r="S113" s="7">
        <v>-2</v>
      </c>
    </row>
    <row r="114" spans="1:19" ht="21.95" customHeight="1" x14ac:dyDescent="0.2">
      <c r="A114" s="7">
        <v>109</v>
      </c>
      <c r="B114" s="24">
        <v>44589.783333333333</v>
      </c>
      <c r="C114" s="7">
        <v>1643395680</v>
      </c>
      <c r="D114" s="7">
        <v>2022</v>
      </c>
      <c r="E114" s="7">
        <v>28</v>
      </c>
      <c r="F114" s="7">
        <v>18</v>
      </c>
      <c r="G114" s="7">
        <v>48</v>
      </c>
      <c r="H114" s="7">
        <v>51</v>
      </c>
      <c r="I114" s="7">
        <v>51</v>
      </c>
      <c r="J114" s="7">
        <v>0</v>
      </c>
      <c r="K114" s="7">
        <v>80</v>
      </c>
      <c r="L114" s="7">
        <v>5.91</v>
      </c>
      <c r="M114" s="7">
        <v>1.7</v>
      </c>
      <c r="N114" s="7">
        <v>415.5</v>
      </c>
      <c r="O114" s="7">
        <v>6.33</v>
      </c>
      <c r="P114" s="7">
        <v>80116</v>
      </c>
      <c r="Q114" s="7">
        <v>2.19</v>
      </c>
      <c r="R114" s="7">
        <v>267</v>
      </c>
      <c r="S114" s="7">
        <v>-3</v>
      </c>
    </row>
    <row r="115" spans="1:19" ht="21.95" customHeight="1" x14ac:dyDescent="0.2">
      <c r="A115" s="7">
        <v>110</v>
      </c>
      <c r="B115" s="24">
        <v>44589.78402777778</v>
      </c>
      <c r="C115" s="7">
        <v>1643395740</v>
      </c>
      <c r="D115" s="7">
        <v>2022</v>
      </c>
      <c r="E115" s="7">
        <v>28</v>
      </c>
      <c r="F115" s="7">
        <v>18</v>
      </c>
      <c r="G115" s="7">
        <v>49</v>
      </c>
      <c r="H115" s="7">
        <v>51</v>
      </c>
      <c r="I115" s="7">
        <v>51</v>
      </c>
      <c r="J115" s="7">
        <v>0</v>
      </c>
      <c r="K115" s="7">
        <v>48</v>
      </c>
      <c r="L115" s="7">
        <v>5.99</v>
      </c>
      <c r="M115" s="7">
        <v>-1.54</v>
      </c>
      <c r="N115" s="7">
        <v>415.5</v>
      </c>
      <c r="O115" s="7">
        <v>6.33</v>
      </c>
      <c r="P115" s="7">
        <v>80116</v>
      </c>
      <c r="Q115" s="7">
        <v>2.19</v>
      </c>
      <c r="R115" s="7">
        <v>209</v>
      </c>
      <c r="S115" s="7">
        <v>-3</v>
      </c>
    </row>
    <row r="116" spans="1:19" ht="21.95" customHeight="1" x14ac:dyDescent="0.2">
      <c r="A116" s="7">
        <v>111</v>
      </c>
      <c r="B116" s="24">
        <v>44589.784722222219</v>
      </c>
      <c r="C116" s="7">
        <v>1643395800</v>
      </c>
      <c r="D116" s="7">
        <v>2022</v>
      </c>
      <c r="E116" s="7">
        <v>28</v>
      </c>
      <c r="F116" s="7">
        <v>18</v>
      </c>
      <c r="G116" s="7">
        <v>50</v>
      </c>
      <c r="H116" s="7">
        <v>51</v>
      </c>
      <c r="I116" s="7">
        <v>99</v>
      </c>
      <c r="J116" s="7">
        <v>0</v>
      </c>
      <c r="K116" s="7">
        <v>52</v>
      </c>
      <c r="L116" s="7">
        <v>6.05</v>
      </c>
      <c r="M116" s="7">
        <v>0.12</v>
      </c>
      <c r="N116" s="7">
        <v>99999.9</v>
      </c>
      <c r="O116" s="7">
        <v>999.99</v>
      </c>
      <c r="P116" s="7">
        <v>9999999</v>
      </c>
      <c r="Q116" s="7">
        <v>99.99</v>
      </c>
      <c r="R116" s="7">
        <v>217</v>
      </c>
      <c r="S116" s="7">
        <v>-3</v>
      </c>
    </row>
    <row r="117" spans="1:19" ht="21.95" customHeight="1" x14ac:dyDescent="0.2">
      <c r="A117" s="7">
        <v>112</v>
      </c>
      <c r="B117" s="24">
        <v>44589.785416666673</v>
      </c>
      <c r="C117" s="7">
        <v>1643395860</v>
      </c>
      <c r="D117" s="7">
        <v>2022</v>
      </c>
      <c r="E117" s="7">
        <v>28</v>
      </c>
      <c r="F117" s="7">
        <v>18</v>
      </c>
      <c r="G117" s="7">
        <v>51</v>
      </c>
      <c r="H117" s="7">
        <v>51</v>
      </c>
      <c r="I117" s="7">
        <v>51</v>
      </c>
      <c r="J117" s="7">
        <v>0</v>
      </c>
      <c r="K117" s="7">
        <v>46</v>
      </c>
      <c r="L117" s="7">
        <v>6.08</v>
      </c>
      <c r="M117" s="7">
        <v>1.8</v>
      </c>
      <c r="N117" s="7">
        <v>403.3</v>
      </c>
      <c r="O117" s="7">
        <v>5.56</v>
      </c>
      <c r="P117" s="7">
        <v>66124</v>
      </c>
      <c r="Q117" s="7">
        <v>1.81</v>
      </c>
      <c r="R117" s="7">
        <v>214</v>
      </c>
      <c r="S117" s="7">
        <v>-3</v>
      </c>
    </row>
    <row r="118" spans="1:19" ht="21.95" customHeight="1" x14ac:dyDescent="0.2">
      <c r="A118" s="7">
        <v>113</v>
      </c>
      <c r="B118" s="24">
        <v>44589.786111111112</v>
      </c>
      <c r="C118" s="7">
        <v>1643395920</v>
      </c>
      <c r="D118" s="7">
        <v>2022</v>
      </c>
      <c r="E118" s="7">
        <v>28</v>
      </c>
      <c r="F118" s="7">
        <v>18</v>
      </c>
      <c r="G118" s="7">
        <v>52</v>
      </c>
      <c r="H118" s="7">
        <v>51</v>
      </c>
      <c r="I118" s="7">
        <v>51</v>
      </c>
      <c r="J118" s="7">
        <v>0</v>
      </c>
      <c r="K118" s="7">
        <v>50</v>
      </c>
      <c r="L118" s="7">
        <v>6.15</v>
      </c>
      <c r="M118" s="7">
        <v>1.24</v>
      </c>
      <c r="N118" s="7">
        <v>403.3</v>
      </c>
      <c r="O118" s="7">
        <v>5.56</v>
      </c>
      <c r="P118" s="7">
        <v>66124</v>
      </c>
      <c r="Q118" s="7">
        <v>1.81</v>
      </c>
      <c r="R118" s="7">
        <v>240</v>
      </c>
      <c r="S118" s="7">
        <v>-3</v>
      </c>
    </row>
    <row r="119" spans="1:19" ht="21.95" customHeight="1" x14ac:dyDescent="0.2">
      <c r="A119" s="7">
        <v>114</v>
      </c>
      <c r="B119" s="24">
        <v>44589.786805555559</v>
      </c>
      <c r="C119" s="7">
        <v>1643395980</v>
      </c>
      <c r="D119" s="7">
        <v>2022</v>
      </c>
      <c r="E119" s="7">
        <v>28</v>
      </c>
      <c r="F119" s="7">
        <v>18</v>
      </c>
      <c r="G119" s="7">
        <v>53</v>
      </c>
      <c r="H119" s="7">
        <v>51</v>
      </c>
      <c r="I119" s="7">
        <v>51</v>
      </c>
      <c r="J119" s="7">
        <v>0</v>
      </c>
      <c r="K119" s="7">
        <v>52</v>
      </c>
      <c r="L119" s="7">
        <v>6.24</v>
      </c>
      <c r="M119" s="7">
        <v>1.25</v>
      </c>
      <c r="N119" s="7">
        <v>402.4</v>
      </c>
      <c r="O119" s="7">
        <v>5.49</v>
      </c>
      <c r="P119" s="7">
        <v>67185</v>
      </c>
      <c r="Q119" s="7">
        <v>1.78</v>
      </c>
      <c r="R119" s="7">
        <v>205</v>
      </c>
      <c r="S119" s="7">
        <v>-3</v>
      </c>
    </row>
    <row r="120" spans="1:19" ht="21.95" customHeight="1" x14ac:dyDescent="0.2">
      <c r="A120" s="7">
        <v>115</v>
      </c>
      <c r="B120" s="24">
        <v>44589.787499999999</v>
      </c>
      <c r="C120" s="7">
        <v>1643396040</v>
      </c>
      <c r="D120" s="7">
        <v>2022</v>
      </c>
      <c r="E120" s="7">
        <v>28</v>
      </c>
      <c r="F120" s="7">
        <v>18</v>
      </c>
      <c r="G120" s="7">
        <v>54</v>
      </c>
      <c r="H120" s="7">
        <v>51</v>
      </c>
      <c r="I120" s="7">
        <v>51</v>
      </c>
      <c r="J120" s="7">
        <v>0</v>
      </c>
      <c r="K120" s="7">
        <v>91</v>
      </c>
      <c r="L120" s="7">
        <v>6.25</v>
      </c>
      <c r="M120" s="7">
        <v>4.6100000000000003</v>
      </c>
      <c r="N120" s="7">
        <v>402.2</v>
      </c>
      <c r="O120" s="7">
        <v>5.43</v>
      </c>
      <c r="P120" s="7">
        <v>69194</v>
      </c>
      <c r="Q120" s="7">
        <v>1.76</v>
      </c>
      <c r="R120" s="7">
        <v>197</v>
      </c>
      <c r="S120" s="7">
        <v>-3</v>
      </c>
    </row>
    <row r="121" spans="1:19" ht="21.95" customHeight="1" x14ac:dyDescent="0.2">
      <c r="A121" s="7">
        <v>116</v>
      </c>
      <c r="B121" s="24">
        <v>44589.788194444453</v>
      </c>
      <c r="C121" s="7">
        <v>1643396100</v>
      </c>
      <c r="D121" s="7">
        <v>2022</v>
      </c>
      <c r="E121" s="7">
        <v>28</v>
      </c>
      <c r="F121" s="7">
        <v>18</v>
      </c>
      <c r="G121" s="7">
        <v>55</v>
      </c>
      <c r="H121" s="7">
        <v>51</v>
      </c>
      <c r="I121" s="7">
        <v>51</v>
      </c>
      <c r="J121" s="7">
        <v>0</v>
      </c>
      <c r="K121" s="7">
        <v>67</v>
      </c>
      <c r="L121" s="7">
        <v>6.19</v>
      </c>
      <c r="M121" s="7">
        <v>5.14</v>
      </c>
      <c r="N121" s="7">
        <v>409.8</v>
      </c>
      <c r="O121" s="7">
        <v>5.78</v>
      </c>
      <c r="P121" s="7">
        <v>66961</v>
      </c>
      <c r="Q121" s="7">
        <v>1.94</v>
      </c>
      <c r="R121" s="7">
        <v>210</v>
      </c>
      <c r="S121" s="7">
        <v>-3</v>
      </c>
    </row>
    <row r="122" spans="1:19" ht="21.95" customHeight="1" x14ac:dyDescent="0.2">
      <c r="A122" s="7">
        <v>117</v>
      </c>
      <c r="B122" s="24">
        <v>44589.788888888892</v>
      </c>
      <c r="C122" s="7">
        <v>1643396160</v>
      </c>
      <c r="D122" s="7">
        <v>2022</v>
      </c>
      <c r="E122" s="7">
        <v>28</v>
      </c>
      <c r="F122" s="7">
        <v>18</v>
      </c>
      <c r="G122" s="7">
        <v>56</v>
      </c>
      <c r="H122" s="7">
        <v>51</v>
      </c>
      <c r="I122" s="7">
        <v>51</v>
      </c>
      <c r="J122" s="7">
        <v>0</v>
      </c>
      <c r="K122" s="7">
        <v>35</v>
      </c>
      <c r="L122" s="7">
        <v>6.19</v>
      </c>
      <c r="M122" s="7">
        <v>4.5599999999999996</v>
      </c>
      <c r="N122" s="7">
        <v>411</v>
      </c>
      <c r="O122" s="7">
        <v>5.83</v>
      </c>
      <c r="P122" s="7">
        <v>66605</v>
      </c>
      <c r="Q122" s="7">
        <v>1.97</v>
      </c>
      <c r="R122" s="7">
        <v>245</v>
      </c>
      <c r="S122" s="7">
        <v>-3</v>
      </c>
    </row>
    <row r="123" spans="1:19" ht="21.95" customHeight="1" x14ac:dyDescent="0.2">
      <c r="A123" s="7">
        <v>118</v>
      </c>
      <c r="B123" s="24">
        <v>44589.789583333331</v>
      </c>
      <c r="C123" s="7">
        <v>1643396220</v>
      </c>
      <c r="D123" s="7">
        <v>2022</v>
      </c>
      <c r="E123" s="7">
        <v>28</v>
      </c>
      <c r="F123" s="7">
        <v>18</v>
      </c>
      <c r="G123" s="7">
        <v>57</v>
      </c>
      <c r="H123" s="7">
        <v>51</v>
      </c>
      <c r="I123" s="7">
        <v>51</v>
      </c>
      <c r="J123" s="7">
        <v>0</v>
      </c>
      <c r="K123" s="7">
        <v>37</v>
      </c>
      <c r="L123" s="7">
        <v>6.12</v>
      </c>
      <c r="M123" s="7">
        <v>3.92</v>
      </c>
      <c r="N123" s="7">
        <v>405.5</v>
      </c>
      <c r="O123" s="7">
        <v>5.5</v>
      </c>
      <c r="P123" s="7">
        <v>62146</v>
      </c>
      <c r="Q123" s="7">
        <v>1.81</v>
      </c>
      <c r="R123" s="7">
        <v>260</v>
      </c>
      <c r="S123" s="7">
        <v>-2</v>
      </c>
    </row>
    <row r="124" spans="1:19" ht="21.95" customHeight="1" x14ac:dyDescent="0.2">
      <c r="A124" s="7">
        <v>119</v>
      </c>
      <c r="B124" s="24">
        <v>44589.790277777778</v>
      </c>
      <c r="C124" s="7">
        <v>1643396280</v>
      </c>
      <c r="D124" s="7">
        <v>2022</v>
      </c>
      <c r="E124" s="7">
        <v>28</v>
      </c>
      <c r="F124" s="7">
        <v>18</v>
      </c>
      <c r="G124" s="7">
        <v>58</v>
      </c>
      <c r="H124" s="7">
        <v>51</v>
      </c>
      <c r="I124" s="7">
        <v>51</v>
      </c>
      <c r="J124" s="7">
        <v>0</v>
      </c>
      <c r="K124" s="7">
        <v>95</v>
      </c>
      <c r="L124" s="7">
        <v>6.19</v>
      </c>
      <c r="M124" s="7">
        <v>2.79</v>
      </c>
      <c r="N124" s="7">
        <v>405.4</v>
      </c>
      <c r="O124" s="7">
        <v>5.5</v>
      </c>
      <c r="P124" s="7">
        <v>62097</v>
      </c>
      <c r="Q124" s="7">
        <v>1.81</v>
      </c>
      <c r="R124" s="7">
        <v>253</v>
      </c>
      <c r="S124" s="7">
        <v>-3</v>
      </c>
    </row>
    <row r="125" spans="1:19" ht="21.95" customHeight="1" x14ac:dyDescent="0.2">
      <c r="A125" s="7">
        <v>120</v>
      </c>
      <c r="B125" s="24">
        <v>44589.790972222218</v>
      </c>
      <c r="C125" s="7">
        <v>1643396340</v>
      </c>
      <c r="D125" s="7">
        <v>2022</v>
      </c>
      <c r="E125" s="7">
        <v>28</v>
      </c>
      <c r="F125" s="7">
        <v>18</v>
      </c>
      <c r="G125" s="7">
        <v>59</v>
      </c>
      <c r="H125" s="7">
        <v>51</v>
      </c>
      <c r="I125" s="7">
        <v>51</v>
      </c>
      <c r="J125" s="7">
        <v>0</v>
      </c>
      <c r="K125" s="7">
        <v>46</v>
      </c>
      <c r="L125" s="7">
        <v>6.21</v>
      </c>
      <c r="M125" s="7">
        <v>2.5</v>
      </c>
      <c r="N125" s="7">
        <v>399</v>
      </c>
      <c r="O125" s="7">
        <v>5.38</v>
      </c>
      <c r="P125" s="7">
        <v>57729</v>
      </c>
      <c r="Q125" s="7">
        <v>1.71</v>
      </c>
      <c r="R125" s="7">
        <v>255</v>
      </c>
      <c r="S125" s="7">
        <v>-2</v>
      </c>
    </row>
  </sheetData>
  <mergeCells count="2">
    <mergeCell ref="A1:S1"/>
    <mergeCell ref="A2:S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R18"/>
  <sheetViews>
    <sheetView workbookViewId="0">
      <selection sqref="A1:R1"/>
    </sheetView>
  </sheetViews>
  <sheetFormatPr defaultRowHeight="15" x14ac:dyDescent="0.2"/>
  <cols>
    <col min="1" max="2" width="16.94921875" customWidth="1"/>
    <col min="3" max="3" width="27.98046875" customWidth="1"/>
    <col min="4" max="18" width="16.94921875" customWidth="1"/>
  </cols>
  <sheetData>
    <row r="1" spans="1:18" ht="33.950000000000003" customHeight="1" x14ac:dyDescent="0.3">
      <c r="A1" s="101" t="s">
        <v>781</v>
      </c>
      <c r="B1" s="80"/>
      <c r="C1" s="80"/>
      <c r="D1" s="80"/>
      <c r="E1" s="80"/>
      <c r="F1" s="80"/>
      <c r="G1" s="80"/>
      <c r="H1" s="80"/>
      <c r="I1" s="80"/>
      <c r="J1" s="80"/>
      <c r="K1" s="80"/>
      <c r="L1" s="80"/>
      <c r="M1" s="80"/>
      <c r="N1" s="80"/>
      <c r="O1" s="80"/>
      <c r="P1" s="80"/>
      <c r="Q1" s="80"/>
      <c r="R1" s="80"/>
    </row>
    <row r="2" spans="1:18" ht="23.1" customHeight="1" x14ac:dyDescent="0.2">
      <c r="A2" s="102" t="s">
        <v>782</v>
      </c>
      <c r="B2" s="80"/>
      <c r="C2" s="80"/>
      <c r="D2" s="80"/>
      <c r="E2" s="80"/>
      <c r="F2" s="80"/>
      <c r="G2" s="80"/>
      <c r="H2" s="80"/>
      <c r="I2" s="80"/>
      <c r="J2" s="80"/>
      <c r="K2" s="80"/>
      <c r="L2" s="80"/>
      <c r="M2" s="80"/>
      <c r="N2" s="80"/>
      <c r="O2" s="80"/>
      <c r="P2" s="80"/>
      <c r="Q2" s="80"/>
      <c r="R2" s="80"/>
    </row>
    <row r="3" spans="1:18" ht="23.1" customHeight="1" x14ac:dyDescent="0.2">
      <c r="A3" s="80"/>
      <c r="B3" s="80"/>
      <c r="C3" s="80"/>
      <c r="D3" s="80"/>
      <c r="E3" s="80"/>
      <c r="F3" s="80"/>
      <c r="G3" s="80"/>
      <c r="H3" s="80"/>
      <c r="I3" s="80"/>
      <c r="J3" s="80"/>
      <c r="K3" s="80"/>
      <c r="L3" s="80"/>
      <c r="M3" s="80"/>
      <c r="N3" s="80"/>
      <c r="O3" s="80"/>
      <c r="P3" s="80"/>
      <c r="Q3" s="80"/>
      <c r="R3" s="80"/>
    </row>
    <row r="4" spans="1:18" x14ac:dyDescent="0.2">
      <c r="A4" s="1"/>
      <c r="B4" s="1"/>
      <c r="C4" s="1"/>
      <c r="D4" s="1"/>
      <c r="E4" s="1"/>
      <c r="F4" s="1"/>
      <c r="G4" s="1"/>
      <c r="H4" s="1"/>
      <c r="I4" s="1"/>
      <c r="J4" s="1"/>
      <c r="K4" s="1"/>
      <c r="L4" s="1"/>
      <c r="M4" s="1"/>
      <c r="N4" s="1"/>
      <c r="O4" s="1"/>
      <c r="P4" s="1"/>
      <c r="Q4" s="1"/>
      <c r="R4" s="1"/>
    </row>
    <row r="5" spans="1:18" ht="42" customHeight="1" x14ac:dyDescent="0.2">
      <c r="A5" s="5" t="s">
        <v>783</v>
      </c>
      <c r="B5" s="5" t="s">
        <v>763</v>
      </c>
      <c r="C5" s="5" t="s">
        <v>764</v>
      </c>
      <c r="D5" s="5" t="s">
        <v>550</v>
      </c>
      <c r="E5" s="5" t="s">
        <v>784</v>
      </c>
      <c r="F5" s="5" t="s">
        <v>769</v>
      </c>
      <c r="G5" s="5" t="s">
        <v>770</v>
      </c>
      <c r="H5" s="5" t="s">
        <v>785</v>
      </c>
      <c r="I5" s="5" t="s">
        <v>772</v>
      </c>
      <c r="J5" s="5" t="s">
        <v>773</v>
      </c>
      <c r="K5" s="5" t="s">
        <v>774</v>
      </c>
      <c r="L5" s="5" t="s">
        <v>775</v>
      </c>
      <c r="M5" s="5" t="s">
        <v>776</v>
      </c>
      <c r="N5" s="5" t="s">
        <v>777</v>
      </c>
      <c r="O5" s="5" t="s">
        <v>778</v>
      </c>
      <c r="P5" s="5" t="s">
        <v>779</v>
      </c>
      <c r="Q5" s="5" t="s">
        <v>780</v>
      </c>
      <c r="R5" s="5" t="s">
        <v>786</v>
      </c>
    </row>
    <row r="6" spans="1:18" ht="21.95" customHeight="1" x14ac:dyDescent="0.2">
      <c r="A6" s="7">
        <v>1</v>
      </c>
      <c r="B6" s="7">
        <v>43</v>
      </c>
      <c r="C6" s="24">
        <v>44589.737500000003</v>
      </c>
      <c r="D6" s="7">
        <v>1643391720</v>
      </c>
      <c r="E6" s="12">
        <f>D6-Protocol!$B$7</f>
        <v>-49</v>
      </c>
      <c r="F6" s="12">
        <f>OMNI_Raw!H48</f>
        <v>51</v>
      </c>
      <c r="G6" s="12">
        <f>OMNI_Raw!I48</f>
        <v>51</v>
      </c>
      <c r="H6" s="12">
        <f>OMNI_Raw!J48</f>
        <v>0</v>
      </c>
      <c r="I6" s="12">
        <f>OMNI_Raw!K48</f>
        <v>46</v>
      </c>
      <c r="J6" s="13">
        <f>IF(OMNI_Raw!L48=9999.99,"",OMNI_Raw!L48)</f>
        <v>6.41</v>
      </c>
      <c r="K6" s="13">
        <f>IF(OMNI_Raw!M48=9999.99,"",OMNI_Raw!M48)</f>
        <v>-1.1499999999999999</v>
      </c>
      <c r="L6" s="13">
        <f>IF(OMNI_Raw!N48=99999.9,"",OMNI_Raw!N48)</f>
        <v>419.9</v>
      </c>
      <c r="M6" s="13">
        <f>IF(OMNI_Raw!O48=999.99,"",OMNI_Raw!O48)</f>
        <v>5.35</v>
      </c>
      <c r="N6" s="13">
        <f>IF(OMNI_Raw!P48=9999999,"",OMNI_Raw!P48)</f>
        <v>45421</v>
      </c>
      <c r="O6" s="13">
        <f>IF(OMNI_Raw!Q48=99.99,"",OMNI_Raw!Q48)</f>
        <v>1.89</v>
      </c>
      <c r="P6" s="13">
        <f>IF(OMNI_Raw!R48=99999,"",OMNI_Raw!R48)</f>
        <v>96</v>
      </c>
      <c r="Q6" s="13">
        <f>IF(OMNI_Raw!S48=99999,"",OMNI_Raw!S48)</f>
        <v>1</v>
      </c>
      <c r="R6" s="12" t="str">
        <f t="shared" ref="R6:R18" si="0">IF(COUNT(J6:Q6)=8,"VALID / CONTEXT","MISSING FIELD")</f>
        <v>VALID / CONTEXT</v>
      </c>
    </row>
    <row r="7" spans="1:18" ht="21.95" customHeight="1" x14ac:dyDescent="0.2">
      <c r="A7" s="7">
        <v>2</v>
      </c>
      <c r="B7" s="7">
        <v>44</v>
      </c>
      <c r="C7" s="24">
        <v>44589.738194444442</v>
      </c>
      <c r="D7" s="7">
        <v>1643391780</v>
      </c>
      <c r="E7" s="12">
        <f>D7-Protocol!$B$7</f>
        <v>11</v>
      </c>
      <c r="F7" s="12">
        <f>OMNI_Raw!H49</f>
        <v>51</v>
      </c>
      <c r="G7" s="12">
        <f>OMNI_Raw!I49</f>
        <v>51</v>
      </c>
      <c r="H7" s="12">
        <f>OMNI_Raw!J49</f>
        <v>20</v>
      </c>
      <c r="I7" s="12">
        <f>OMNI_Raw!K49</f>
        <v>60</v>
      </c>
      <c r="J7" s="13">
        <f>IF(OMNI_Raw!L49=9999.99,"",OMNI_Raw!L49)</f>
        <v>6.27</v>
      </c>
      <c r="K7" s="13">
        <f>IF(OMNI_Raw!M49=9999.99,"",OMNI_Raw!M49)</f>
        <v>-1.74</v>
      </c>
      <c r="L7" s="13">
        <f>IF(OMNI_Raw!N49=99999.9,"",OMNI_Raw!N49)</f>
        <v>420.2</v>
      </c>
      <c r="M7" s="13">
        <f>IF(OMNI_Raw!O49=999.99,"",OMNI_Raw!O49)</f>
        <v>5.31</v>
      </c>
      <c r="N7" s="13">
        <f>IF(OMNI_Raw!P49=9999999,"",OMNI_Raw!P49)</f>
        <v>49399</v>
      </c>
      <c r="O7" s="13">
        <f>IF(OMNI_Raw!Q49=99.99,"",OMNI_Raw!Q49)</f>
        <v>1.88</v>
      </c>
      <c r="P7" s="13">
        <f>IF(OMNI_Raw!R49=99999,"",OMNI_Raw!R49)</f>
        <v>103</v>
      </c>
      <c r="Q7" s="13">
        <f>IF(OMNI_Raw!S49=99999,"",OMNI_Raw!S49)</f>
        <v>1</v>
      </c>
      <c r="R7" s="12" t="str">
        <f t="shared" si="0"/>
        <v>VALID / CONTEXT</v>
      </c>
    </row>
    <row r="8" spans="1:18" ht="21.95" customHeight="1" x14ac:dyDescent="0.2">
      <c r="A8" s="7">
        <v>3</v>
      </c>
      <c r="B8" s="7">
        <v>45</v>
      </c>
      <c r="C8" s="24">
        <v>44589.738888888889</v>
      </c>
      <c r="D8" s="7">
        <v>1643391840</v>
      </c>
      <c r="E8" s="12">
        <f>D8-Protocol!$B$7</f>
        <v>71</v>
      </c>
      <c r="F8" s="12">
        <f>OMNI_Raw!H50</f>
        <v>51</v>
      </c>
      <c r="G8" s="12">
        <f>OMNI_Raw!I50</f>
        <v>51</v>
      </c>
      <c r="H8" s="12">
        <f>OMNI_Raw!J50</f>
        <v>100</v>
      </c>
      <c r="I8" s="12">
        <f>OMNI_Raw!K50</f>
        <v>58</v>
      </c>
      <c r="J8" s="13">
        <f>IF(OMNI_Raw!L50=9999.99,"",OMNI_Raw!L50)</f>
        <v>6.25</v>
      </c>
      <c r="K8" s="13">
        <f>IF(OMNI_Raw!M50=9999.99,"",OMNI_Raw!M50)</f>
        <v>-1.72</v>
      </c>
      <c r="L8" s="13">
        <f>IF(OMNI_Raw!N50=99999.9,"",OMNI_Raw!N50)</f>
        <v>420.3</v>
      </c>
      <c r="M8" s="13">
        <f>IF(OMNI_Raw!O50=999.99,"",OMNI_Raw!O50)</f>
        <v>5.3</v>
      </c>
      <c r="N8" s="13">
        <f>IF(OMNI_Raw!P50=9999999,"",OMNI_Raw!P50)</f>
        <v>50042</v>
      </c>
      <c r="O8" s="13">
        <f>IF(OMNI_Raw!Q50=99.99,"",OMNI_Raw!Q50)</f>
        <v>1.87</v>
      </c>
      <c r="P8" s="13">
        <f>IF(OMNI_Raw!R50=99999,"",OMNI_Raw!R50)</f>
        <v>108</v>
      </c>
      <c r="Q8" s="13">
        <f>IF(OMNI_Raw!S50=99999,"",OMNI_Raw!S50)</f>
        <v>1</v>
      </c>
      <c r="R8" s="12" t="str">
        <f t="shared" si="0"/>
        <v>VALID / CONTEXT</v>
      </c>
    </row>
    <row r="9" spans="1:18" ht="21.95" customHeight="1" x14ac:dyDescent="0.2">
      <c r="A9" s="7">
        <v>4</v>
      </c>
      <c r="B9" s="7">
        <v>46</v>
      </c>
      <c r="C9" s="24">
        <v>44589.739583333343</v>
      </c>
      <c r="D9" s="7">
        <v>1643391900</v>
      </c>
      <c r="E9" s="12">
        <f>D9-Protocol!$B$7</f>
        <v>131</v>
      </c>
      <c r="F9" s="12">
        <f>OMNI_Raw!H51</f>
        <v>51</v>
      </c>
      <c r="G9" s="12">
        <f>OMNI_Raw!I51</f>
        <v>51</v>
      </c>
      <c r="H9" s="12">
        <f>OMNI_Raw!J51</f>
        <v>100</v>
      </c>
      <c r="I9" s="12">
        <f>OMNI_Raw!K51</f>
        <v>52</v>
      </c>
      <c r="J9" s="13">
        <f>IF(OMNI_Raw!L51=9999.99,"",OMNI_Raw!L51)</f>
        <v>6.25</v>
      </c>
      <c r="K9" s="13">
        <f>IF(OMNI_Raw!M51=9999.99,"",OMNI_Raw!M51)</f>
        <v>-2.11</v>
      </c>
      <c r="L9" s="13">
        <f>IF(OMNI_Raw!N51=99999.9,"",OMNI_Raw!N51)</f>
        <v>419.5</v>
      </c>
      <c r="M9" s="13">
        <f>IF(OMNI_Raw!O51=999.99,"",OMNI_Raw!O51)</f>
        <v>5.6</v>
      </c>
      <c r="N9" s="13">
        <f>IF(OMNI_Raw!P51=9999999,"",OMNI_Raw!P51)</f>
        <v>44104</v>
      </c>
      <c r="O9" s="13">
        <f>IF(OMNI_Raw!Q51=99.99,"",OMNI_Raw!Q51)</f>
        <v>1.97</v>
      </c>
      <c r="P9" s="13">
        <f>IF(OMNI_Raw!R51=99999,"",OMNI_Raw!R51)</f>
        <v>100</v>
      </c>
      <c r="Q9" s="13">
        <f>IF(OMNI_Raw!S51=99999,"",OMNI_Raw!S51)</f>
        <v>1</v>
      </c>
      <c r="R9" s="12" t="str">
        <f t="shared" si="0"/>
        <v>VALID / CONTEXT</v>
      </c>
    </row>
    <row r="10" spans="1:18" ht="21.95" customHeight="1" x14ac:dyDescent="0.2">
      <c r="A10" s="7">
        <v>5</v>
      </c>
      <c r="B10" s="7">
        <v>47</v>
      </c>
      <c r="C10" s="24">
        <v>44589.740277777782</v>
      </c>
      <c r="D10" s="7">
        <v>1643391960</v>
      </c>
      <c r="E10" s="12">
        <f>D10-Protocol!$B$7</f>
        <v>191</v>
      </c>
      <c r="F10" s="12">
        <f>OMNI_Raw!H52</f>
        <v>51</v>
      </c>
      <c r="G10" s="12">
        <f>OMNI_Raw!I52</f>
        <v>51</v>
      </c>
      <c r="H10" s="12">
        <f>OMNI_Raw!J52</f>
        <v>100</v>
      </c>
      <c r="I10" s="12">
        <f>OMNI_Raw!K52</f>
        <v>39</v>
      </c>
      <c r="J10" s="13">
        <f>IF(OMNI_Raw!L52=9999.99,"",OMNI_Raw!L52)</f>
        <v>6.19</v>
      </c>
      <c r="K10" s="13">
        <f>IF(OMNI_Raw!M52=9999.99,"",OMNI_Raw!M52)</f>
        <v>-2.12</v>
      </c>
      <c r="L10" s="13">
        <f>IF(OMNI_Raw!N52=99999.9,"",OMNI_Raw!N52)</f>
        <v>419.5</v>
      </c>
      <c r="M10" s="13">
        <f>IF(OMNI_Raw!O52=999.99,"",OMNI_Raw!O52)</f>
        <v>5.6</v>
      </c>
      <c r="N10" s="13">
        <f>IF(OMNI_Raw!P52=9999999,"",OMNI_Raw!P52)</f>
        <v>44104</v>
      </c>
      <c r="O10" s="13">
        <f>IF(OMNI_Raw!Q52=99.99,"",OMNI_Raw!Q52)</f>
        <v>1.97</v>
      </c>
      <c r="P10" s="13">
        <f>IF(OMNI_Raw!R52=99999,"",OMNI_Raw!R52)</f>
        <v>89</v>
      </c>
      <c r="Q10" s="13">
        <f>IF(OMNI_Raw!S52=99999,"",OMNI_Raw!S52)</f>
        <v>1</v>
      </c>
      <c r="R10" s="12" t="str">
        <f t="shared" si="0"/>
        <v>VALID / CONTEXT</v>
      </c>
    </row>
    <row r="11" spans="1:18" ht="21.95" customHeight="1" x14ac:dyDescent="0.2">
      <c r="A11" s="7">
        <v>6</v>
      </c>
      <c r="B11" s="7">
        <v>48</v>
      </c>
      <c r="C11" s="24">
        <v>44589.740972222222</v>
      </c>
      <c r="D11" s="7">
        <v>1643392020</v>
      </c>
      <c r="E11" s="12">
        <f>D11-Protocol!$B$7</f>
        <v>251</v>
      </c>
      <c r="F11" s="12">
        <f>OMNI_Raw!H53</f>
        <v>51</v>
      </c>
      <c r="G11" s="12">
        <f>OMNI_Raw!I53</f>
        <v>51</v>
      </c>
      <c r="H11" s="12">
        <f>OMNI_Raw!J53</f>
        <v>100</v>
      </c>
      <c r="I11" s="12">
        <f>OMNI_Raw!K53</f>
        <v>45</v>
      </c>
      <c r="J11" s="13">
        <f>IF(OMNI_Raw!L53=9999.99,"",OMNI_Raw!L53)</f>
        <v>6.4</v>
      </c>
      <c r="K11" s="13">
        <f>IF(OMNI_Raw!M53=9999.99,"",OMNI_Raw!M53)</f>
        <v>-1.67</v>
      </c>
      <c r="L11" s="13">
        <f>IF(OMNI_Raw!N53=99999.9,"",OMNI_Raw!N53)</f>
        <v>417.8</v>
      </c>
      <c r="M11" s="13">
        <f>IF(OMNI_Raw!O53=999.99,"",OMNI_Raw!O53)</f>
        <v>5.63</v>
      </c>
      <c r="N11" s="13">
        <f>IF(OMNI_Raw!P53=9999999,"",OMNI_Raw!P53)</f>
        <v>42936</v>
      </c>
      <c r="O11" s="13">
        <f>IF(OMNI_Raw!Q53=99.99,"",OMNI_Raw!Q53)</f>
        <v>1.97</v>
      </c>
      <c r="P11" s="13">
        <f>IF(OMNI_Raw!R53=99999,"",OMNI_Raw!R53)</f>
        <v>72</v>
      </c>
      <c r="Q11" s="13">
        <f>IF(OMNI_Raw!S53=99999,"",OMNI_Raw!S53)</f>
        <v>1</v>
      </c>
      <c r="R11" s="12" t="str">
        <f t="shared" si="0"/>
        <v>VALID / CONTEXT</v>
      </c>
    </row>
    <row r="12" spans="1:18" ht="21.95" customHeight="1" x14ac:dyDescent="0.2">
      <c r="A12" s="7">
        <v>7</v>
      </c>
      <c r="B12" s="7">
        <v>49</v>
      </c>
      <c r="C12" s="24">
        <v>44589.741666666669</v>
      </c>
      <c r="D12" s="7">
        <v>1643392080</v>
      </c>
      <c r="E12" s="12">
        <f>D12-Protocol!$B$7</f>
        <v>311</v>
      </c>
      <c r="F12" s="12">
        <f>OMNI_Raw!H54</f>
        <v>51</v>
      </c>
      <c r="G12" s="12">
        <f>OMNI_Raw!I54</f>
        <v>51</v>
      </c>
      <c r="H12" s="12">
        <f>OMNI_Raw!J54</f>
        <v>100</v>
      </c>
      <c r="I12" s="12">
        <f>OMNI_Raw!K54</f>
        <v>110</v>
      </c>
      <c r="J12" s="13">
        <f>IF(OMNI_Raw!L54=9999.99,"",OMNI_Raw!L54)</f>
        <v>6.43</v>
      </c>
      <c r="K12" s="13">
        <f>IF(OMNI_Raw!M54=9999.99,"",OMNI_Raw!M54)</f>
        <v>-1.3</v>
      </c>
      <c r="L12" s="13">
        <f>IF(OMNI_Raw!N54=99999.9,"",OMNI_Raw!N54)</f>
        <v>418.9</v>
      </c>
      <c r="M12" s="13">
        <f>IF(OMNI_Raw!O54=999.99,"",OMNI_Raw!O54)</f>
        <v>5.5</v>
      </c>
      <c r="N12" s="13">
        <f>IF(OMNI_Raw!P54=9999999,"",OMNI_Raw!P54)</f>
        <v>41910</v>
      </c>
      <c r="O12" s="13">
        <f>IF(OMNI_Raw!Q54=99.99,"",OMNI_Raw!Q54)</f>
        <v>1.93</v>
      </c>
      <c r="P12" s="13">
        <f>IF(OMNI_Raw!R54=99999,"",OMNI_Raw!R54)</f>
        <v>70</v>
      </c>
      <c r="Q12" s="13">
        <f>IF(OMNI_Raw!S54=99999,"",OMNI_Raw!S54)</f>
        <v>1</v>
      </c>
      <c r="R12" s="12" t="str">
        <f t="shared" si="0"/>
        <v>VALID / CONTEXT</v>
      </c>
    </row>
    <row r="13" spans="1:18" ht="21.95" customHeight="1" x14ac:dyDescent="0.2">
      <c r="A13" s="7">
        <v>8</v>
      </c>
      <c r="B13" s="7">
        <v>50</v>
      </c>
      <c r="C13" s="24">
        <v>44589.742361111108</v>
      </c>
      <c r="D13" s="7">
        <v>1643392140</v>
      </c>
      <c r="E13" s="12">
        <f>D13-Protocol!$B$7</f>
        <v>371</v>
      </c>
      <c r="F13" s="12">
        <f>OMNI_Raw!H55</f>
        <v>51</v>
      </c>
      <c r="G13" s="12">
        <f>OMNI_Raw!I55</f>
        <v>51</v>
      </c>
      <c r="H13" s="12">
        <f>OMNI_Raw!J55</f>
        <v>100</v>
      </c>
      <c r="I13" s="12">
        <f>OMNI_Raw!K55</f>
        <v>75</v>
      </c>
      <c r="J13" s="13">
        <f>IF(OMNI_Raw!L55=9999.99,"",OMNI_Raw!L55)</f>
        <v>6.4</v>
      </c>
      <c r="K13" s="13">
        <f>IF(OMNI_Raw!M55=9999.99,"",OMNI_Raw!M55)</f>
        <v>-1.21</v>
      </c>
      <c r="L13" s="13">
        <f>IF(OMNI_Raw!N55=99999.9,"",OMNI_Raw!N55)</f>
        <v>420.5</v>
      </c>
      <c r="M13" s="13">
        <f>IF(OMNI_Raw!O55=999.99,"",OMNI_Raw!O55)</f>
        <v>5.38</v>
      </c>
      <c r="N13" s="13">
        <f>IF(OMNI_Raw!P55=9999999,"",OMNI_Raw!P55)</f>
        <v>41974</v>
      </c>
      <c r="O13" s="13">
        <f>IF(OMNI_Raw!Q55=99.99,"",OMNI_Raw!Q55)</f>
        <v>1.9</v>
      </c>
      <c r="P13" s="13">
        <f>IF(OMNI_Raw!R55=99999,"",OMNI_Raw!R55)</f>
        <v>82</v>
      </c>
      <c r="Q13" s="13">
        <f>IF(OMNI_Raw!S55=99999,"",OMNI_Raw!S55)</f>
        <v>2</v>
      </c>
      <c r="R13" s="12" t="str">
        <f t="shared" si="0"/>
        <v>VALID / CONTEXT</v>
      </c>
    </row>
    <row r="14" spans="1:18" ht="21.95" customHeight="1" x14ac:dyDescent="0.2">
      <c r="A14" s="7">
        <v>9</v>
      </c>
      <c r="B14" s="7">
        <v>51</v>
      </c>
      <c r="C14" s="24">
        <v>44589.743055555547</v>
      </c>
      <c r="D14" s="7">
        <v>1643392200</v>
      </c>
      <c r="E14" s="12">
        <f>D14-Protocol!$B$7</f>
        <v>431</v>
      </c>
      <c r="F14" s="12">
        <f>OMNI_Raw!H56</f>
        <v>51</v>
      </c>
      <c r="G14" s="12">
        <f>OMNI_Raw!I56</f>
        <v>51</v>
      </c>
      <c r="H14" s="12">
        <f>OMNI_Raw!J56</f>
        <v>100</v>
      </c>
      <c r="I14" s="12">
        <f>OMNI_Raw!K56</f>
        <v>58</v>
      </c>
      <c r="J14" s="13">
        <f>IF(OMNI_Raw!L56=9999.99,"",OMNI_Raw!L56)</f>
        <v>6.36</v>
      </c>
      <c r="K14" s="13">
        <f>IF(OMNI_Raw!M56=9999.99,"",OMNI_Raw!M56)</f>
        <v>-1.17</v>
      </c>
      <c r="L14" s="13">
        <f>IF(OMNI_Raw!N56=99999.9,"",OMNI_Raw!N56)</f>
        <v>420.9</v>
      </c>
      <c r="M14" s="13">
        <f>IF(OMNI_Raw!O56=999.99,"",OMNI_Raw!O56)</f>
        <v>5.52</v>
      </c>
      <c r="N14" s="13">
        <f>IF(OMNI_Raw!P56=9999999,"",OMNI_Raw!P56)</f>
        <v>50007</v>
      </c>
      <c r="O14" s="13">
        <f>IF(OMNI_Raw!Q56=99.99,"",OMNI_Raw!Q56)</f>
        <v>1.96</v>
      </c>
      <c r="P14" s="13">
        <f>IF(OMNI_Raw!R56=99999,"",OMNI_Raw!R56)</f>
        <v>81</v>
      </c>
      <c r="Q14" s="13">
        <f>IF(OMNI_Raw!S56=99999,"",OMNI_Raw!S56)</f>
        <v>2</v>
      </c>
      <c r="R14" s="12" t="str">
        <f t="shared" si="0"/>
        <v>VALID / CONTEXT</v>
      </c>
    </row>
    <row r="15" spans="1:18" ht="21.95" customHeight="1" x14ac:dyDescent="0.2">
      <c r="A15" s="7">
        <v>10</v>
      </c>
      <c r="B15" s="7">
        <v>52</v>
      </c>
      <c r="C15" s="24">
        <v>44589.743750000001</v>
      </c>
      <c r="D15" s="7">
        <v>1643392260</v>
      </c>
      <c r="E15" s="12">
        <f>D15-Protocol!$B$7</f>
        <v>491</v>
      </c>
      <c r="F15" s="12">
        <f>OMNI_Raw!H57</f>
        <v>51</v>
      </c>
      <c r="G15" s="12">
        <f>OMNI_Raw!I57</f>
        <v>51</v>
      </c>
      <c r="H15" s="12">
        <f>OMNI_Raw!J57</f>
        <v>100</v>
      </c>
      <c r="I15" s="12">
        <f>OMNI_Raw!K57</f>
        <v>54</v>
      </c>
      <c r="J15" s="13">
        <f>IF(OMNI_Raw!L57=9999.99,"",OMNI_Raw!L57)</f>
        <v>6.4</v>
      </c>
      <c r="K15" s="13">
        <f>IF(OMNI_Raw!M57=9999.99,"",OMNI_Raw!M57)</f>
        <v>-1.77</v>
      </c>
      <c r="L15" s="13">
        <f>IF(OMNI_Raw!N57=99999.9,"",OMNI_Raw!N57)</f>
        <v>420.7</v>
      </c>
      <c r="M15" s="13">
        <f>IF(OMNI_Raw!O57=999.99,"",OMNI_Raw!O57)</f>
        <v>5.28</v>
      </c>
      <c r="N15" s="13">
        <f>IF(OMNI_Raw!P57=9999999,"",OMNI_Raw!P57)</f>
        <v>44695</v>
      </c>
      <c r="O15" s="13">
        <f>IF(OMNI_Raw!Q57=99.99,"",OMNI_Raw!Q57)</f>
        <v>1.87</v>
      </c>
      <c r="P15" s="13">
        <f>IF(OMNI_Raw!R57=99999,"",OMNI_Raw!R57)</f>
        <v>63</v>
      </c>
      <c r="Q15" s="13">
        <f>IF(OMNI_Raw!S57=99999,"",OMNI_Raw!S57)</f>
        <v>2</v>
      </c>
      <c r="R15" s="12" t="str">
        <f t="shared" si="0"/>
        <v>VALID / CONTEXT</v>
      </c>
    </row>
    <row r="16" spans="1:18" ht="21.95" customHeight="1" x14ac:dyDescent="0.2">
      <c r="A16" s="7">
        <v>11</v>
      </c>
      <c r="B16" s="7">
        <v>53</v>
      </c>
      <c r="C16" s="24">
        <v>44589.744444444441</v>
      </c>
      <c r="D16" s="7">
        <v>1643392320</v>
      </c>
      <c r="E16" s="12">
        <f>D16-Protocol!$B$7</f>
        <v>551</v>
      </c>
      <c r="F16" s="12">
        <f>OMNI_Raw!H58</f>
        <v>51</v>
      </c>
      <c r="G16" s="12">
        <f>OMNI_Raw!I58</f>
        <v>51</v>
      </c>
      <c r="H16" s="12">
        <f>OMNI_Raw!J58</f>
        <v>100</v>
      </c>
      <c r="I16" s="12">
        <f>OMNI_Raw!K58</f>
        <v>48</v>
      </c>
      <c r="J16" s="13">
        <f>IF(OMNI_Raw!L58=9999.99,"",OMNI_Raw!L58)</f>
        <v>6.39</v>
      </c>
      <c r="K16" s="13">
        <f>IF(OMNI_Raw!M58=9999.99,"",OMNI_Raw!M58)</f>
        <v>-1.43</v>
      </c>
      <c r="L16" s="13">
        <f>IF(OMNI_Raw!N58=99999.9,"",OMNI_Raw!N58)</f>
        <v>420.7</v>
      </c>
      <c r="M16" s="13">
        <f>IF(OMNI_Raw!O58=999.99,"",OMNI_Raw!O58)</f>
        <v>5.23</v>
      </c>
      <c r="N16" s="13">
        <f>IF(OMNI_Raw!P58=9999999,"",OMNI_Raw!P58)</f>
        <v>43616</v>
      </c>
      <c r="O16" s="13">
        <f>IF(OMNI_Raw!Q58=99.99,"",OMNI_Raw!Q58)</f>
        <v>1.85</v>
      </c>
      <c r="P16" s="13">
        <f>IF(OMNI_Raw!R58=99999,"",OMNI_Raw!R58)</f>
        <v>65</v>
      </c>
      <c r="Q16" s="13">
        <f>IF(OMNI_Raw!S58=99999,"",OMNI_Raw!S58)</f>
        <v>2</v>
      </c>
      <c r="R16" s="12" t="str">
        <f t="shared" si="0"/>
        <v>VALID / CONTEXT</v>
      </c>
    </row>
    <row r="17" spans="1:18" ht="21.95" customHeight="1" x14ac:dyDescent="0.2">
      <c r="A17" s="7">
        <v>12</v>
      </c>
      <c r="B17" s="7">
        <v>54</v>
      </c>
      <c r="C17" s="24">
        <v>44589.745138888888</v>
      </c>
      <c r="D17" s="7">
        <v>1643392380</v>
      </c>
      <c r="E17" s="12">
        <f>D17-Protocol!$B$7</f>
        <v>611</v>
      </c>
      <c r="F17" s="12">
        <f>OMNI_Raw!H59</f>
        <v>51</v>
      </c>
      <c r="G17" s="12">
        <f>OMNI_Raw!I59</f>
        <v>51</v>
      </c>
      <c r="H17" s="12">
        <f>OMNI_Raw!J59</f>
        <v>100</v>
      </c>
      <c r="I17" s="12">
        <f>OMNI_Raw!K59</f>
        <v>94</v>
      </c>
      <c r="J17" s="13">
        <f>IF(OMNI_Raw!L59=9999.99,"",OMNI_Raw!L59)</f>
        <v>6.31</v>
      </c>
      <c r="K17" s="13">
        <f>IF(OMNI_Raw!M59=9999.99,"",OMNI_Raw!M59)</f>
        <v>-1.26</v>
      </c>
      <c r="L17" s="13">
        <f>IF(OMNI_Raw!N59=99999.9,"",OMNI_Raw!N59)</f>
        <v>419.5</v>
      </c>
      <c r="M17" s="13">
        <f>IF(OMNI_Raw!O59=999.99,"",OMNI_Raw!O59)</f>
        <v>5.19</v>
      </c>
      <c r="N17" s="13">
        <f>IF(OMNI_Raw!P59=9999999,"",OMNI_Raw!P59)</f>
        <v>47782</v>
      </c>
      <c r="O17" s="13">
        <f>IF(OMNI_Raw!Q59=99.99,"",OMNI_Raw!Q59)</f>
        <v>1.83</v>
      </c>
      <c r="P17" s="13">
        <f>IF(OMNI_Raw!R59=99999,"",OMNI_Raw!R59)</f>
        <v>63</v>
      </c>
      <c r="Q17" s="13">
        <f>IF(OMNI_Raw!S59=99999,"",OMNI_Raw!S59)</f>
        <v>2</v>
      </c>
      <c r="R17" s="12" t="str">
        <f t="shared" si="0"/>
        <v>VALID / CONTEXT</v>
      </c>
    </row>
    <row r="18" spans="1:18" ht="21.95" customHeight="1" x14ac:dyDescent="0.2">
      <c r="A18" s="7">
        <v>13</v>
      </c>
      <c r="B18" s="7">
        <v>55</v>
      </c>
      <c r="C18" s="24">
        <v>44589.745833333327</v>
      </c>
      <c r="D18" s="7">
        <v>1643392440</v>
      </c>
      <c r="E18" s="12">
        <f>D18-Protocol!$B$7</f>
        <v>671</v>
      </c>
      <c r="F18" s="12">
        <f>OMNI_Raw!H60</f>
        <v>51</v>
      </c>
      <c r="G18" s="12">
        <f>OMNI_Raw!I60</f>
        <v>51</v>
      </c>
      <c r="H18" s="12">
        <f>OMNI_Raw!J60</f>
        <v>100</v>
      </c>
      <c r="I18" s="12">
        <f>OMNI_Raw!K60</f>
        <v>102</v>
      </c>
      <c r="J18" s="13">
        <f>IF(OMNI_Raw!L60=9999.99,"",OMNI_Raw!L60)</f>
        <v>6.28</v>
      </c>
      <c r="K18" s="13">
        <f>IF(OMNI_Raw!M60=9999.99,"",OMNI_Raw!M60)</f>
        <v>-1.88</v>
      </c>
      <c r="L18" s="13">
        <f>IF(OMNI_Raw!N60=99999.9,"",OMNI_Raw!N60)</f>
        <v>419.4</v>
      </c>
      <c r="M18" s="13">
        <f>IF(OMNI_Raw!O60=999.99,"",OMNI_Raw!O60)</f>
        <v>5.2</v>
      </c>
      <c r="N18" s="13">
        <f>IF(OMNI_Raw!P60=9999999,"",OMNI_Raw!P60)</f>
        <v>47772</v>
      </c>
      <c r="O18" s="13">
        <f>IF(OMNI_Raw!Q60=99.99,"",OMNI_Raw!Q60)</f>
        <v>1.83</v>
      </c>
      <c r="P18" s="13">
        <f>IF(OMNI_Raw!R60=99999,"",OMNI_Raw!R60)</f>
        <v>64</v>
      </c>
      <c r="Q18" s="13">
        <f>IF(OMNI_Raw!S60=99999,"",OMNI_Raw!S60)</f>
        <v>2</v>
      </c>
      <c r="R18" s="12" t="str">
        <f t="shared" si="0"/>
        <v>VALID / CONTEXT</v>
      </c>
    </row>
  </sheetData>
  <mergeCells count="2">
    <mergeCell ref="A1:R1"/>
    <mergeCell ref="A2:R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A1:Y116"/>
  <sheetViews>
    <sheetView workbookViewId="0">
      <selection sqref="A1:T1"/>
    </sheetView>
  </sheetViews>
  <sheetFormatPr defaultRowHeight="15" x14ac:dyDescent="0.2"/>
  <cols>
    <col min="1" max="2" width="16.94921875" customWidth="1"/>
    <col min="3" max="3" width="27.98046875" customWidth="1"/>
    <col min="4" max="11" width="16.94921875" customWidth="1"/>
    <col min="12" max="12" width="27.98046875" customWidth="1"/>
    <col min="13" max="17" width="16.94921875" customWidth="1"/>
    <col min="18" max="18" width="27.98046875" customWidth="1"/>
    <col min="19" max="20" width="16.94921875" customWidth="1"/>
    <col min="21" max="25" width="27.0390625" customWidth="1"/>
  </cols>
  <sheetData>
    <row r="1" spans="1:25" ht="33.950000000000003" customHeight="1" x14ac:dyDescent="0.3">
      <c r="A1" s="101" t="s">
        <v>787</v>
      </c>
      <c r="B1" s="80"/>
      <c r="C1" s="80"/>
      <c r="D1" s="80"/>
      <c r="E1" s="80"/>
      <c r="F1" s="80"/>
      <c r="G1" s="80"/>
      <c r="H1" s="80"/>
      <c r="I1" s="80"/>
      <c r="J1" s="80"/>
      <c r="K1" s="80"/>
      <c r="L1" s="80"/>
      <c r="M1" s="80"/>
      <c r="N1" s="80"/>
      <c r="O1" s="80"/>
      <c r="P1" s="80"/>
      <c r="Q1" s="80"/>
      <c r="R1" s="80"/>
      <c r="S1" s="80"/>
      <c r="T1" s="80"/>
    </row>
    <row r="2" spans="1:25" ht="23.1" customHeight="1" x14ac:dyDescent="0.2">
      <c r="A2" s="102" t="s">
        <v>788</v>
      </c>
      <c r="B2" s="80"/>
      <c r="C2" s="80"/>
      <c r="D2" s="80"/>
      <c r="E2" s="80"/>
      <c r="F2" s="80"/>
      <c r="G2" s="80"/>
      <c r="H2" s="80"/>
      <c r="I2" s="80"/>
      <c r="J2" s="80"/>
      <c r="K2" s="80"/>
      <c r="L2" s="80"/>
      <c r="M2" s="80"/>
      <c r="N2" s="80"/>
      <c r="O2" s="80"/>
      <c r="P2" s="80"/>
      <c r="Q2" s="80"/>
      <c r="R2" s="80"/>
      <c r="S2" s="80"/>
      <c r="T2" s="80"/>
    </row>
    <row r="3" spans="1:25" ht="23.1" customHeight="1" x14ac:dyDescent="0.2">
      <c r="A3" s="80"/>
      <c r="B3" s="80"/>
      <c r="C3" s="80"/>
      <c r="D3" s="80"/>
      <c r="E3" s="80"/>
      <c r="F3" s="80"/>
      <c r="G3" s="80"/>
      <c r="H3" s="80"/>
      <c r="I3" s="80"/>
      <c r="J3" s="80"/>
      <c r="K3" s="80"/>
      <c r="L3" s="80"/>
      <c r="M3" s="80"/>
      <c r="N3" s="80"/>
      <c r="O3" s="80"/>
      <c r="P3" s="80"/>
      <c r="Q3" s="80"/>
      <c r="R3" s="80"/>
      <c r="S3" s="80"/>
      <c r="T3" s="80"/>
    </row>
    <row r="4" spans="1:25" x14ac:dyDescent="0.2">
      <c r="A4" s="1"/>
      <c r="B4" s="1"/>
      <c r="C4" s="1"/>
      <c r="D4" s="1"/>
      <c r="E4" s="1"/>
      <c r="F4" s="1"/>
      <c r="G4" s="1"/>
      <c r="H4" s="1"/>
      <c r="I4" s="1"/>
      <c r="J4" s="1"/>
      <c r="K4" s="1"/>
      <c r="L4" s="1"/>
      <c r="M4" s="1"/>
      <c r="N4" s="1"/>
      <c r="O4" s="1"/>
      <c r="P4" s="1"/>
      <c r="Q4" s="1"/>
      <c r="R4" s="1"/>
      <c r="S4" s="1"/>
      <c r="T4" s="1"/>
    </row>
    <row r="5" spans="1:25" ht="60" customHeight="1" x14ac:dyDescent="0.2">
      <c r="A5" s="5" t="s">
        <v>789</v>
      </c>
      <c r="B5" s="5" t="s">
        <v>790</v>
      </c>
      <c r="C5" s="5" t="s">
        <v>791</v>
      </c>
      <c r="D5" s="5" t="s">
        <v>792</v>
      </c>
      <c r="E5" s="5" t="s">
        <v>793</v>
      </c>
      <c r="F5" s="5" t="s">
        <v>45</v>
      </c>
      <c r="G5" s="5" t="s">
        <v>43</v>
      </c>
      <c r="H5" s="5" t="s">
        <v>794</v>
      </c>
      <c r="I5" s="5" t="s">
        <v>543</v>
      </c>
      <c r="J5" s="5" t="s">
        <v>795</v>
      </c>
      <c r="K5" s="5" t="s">
        <v>796</v>
      </c>
      <c r="L5" s="5" t="s">
        <v>797</v>
      </c>
      <c r="M5" s="5" t="s">
        <v>798</v>
      </c>
      <c r="N5" s="5" t="s">
        <v>799</v>
      </c>
      <c r="O5" s="5" t="s">
        <v>800</v>
      </c>
      <c r="P5" s="5" t="s">
        <v>801</v>
      </c>
      <c r="Q5" s="5" t="s">
        <v>802</v>
      </c>
      <c r="R5" s="5" t="s">
        <v>803</v>
      </c>
      <c r="S5" s="5" t="s">
        <v>804</v>
      </c>
      <c r="T5" s="5" t="s">
        <v>805</v>
      </c>
      <c r="U5" s="33" t="s">
        <v>806</v>
      </c>
      <c r="V5" s="33" t="s">
        <v>568</v>
      </c>
      <c r="W5" s="33" t="s">
        <v>807</v>
      </c>
      <c r="X5" s="33" t="s">
        <v>808</v>
      </c>
      <c r="Y5" s="33" t="s">
        <v>809</v>
      </c>
    </row>
    <row r="6" spans="1:25" ht="21.95" customHeight="1" x14ac:dyDescent="0.2">
      <c r="A6" s="7">
        <v>1</v>
      </c>
      <c r="B6" s="7">
        <v>242248</v>
      </c>
      <c r="C6" s="24">
        <v>44589.73809027778</v>
      </c>
      <c r="D6" s="7">
        <v>1643391771</v>
      </c>
      <c r="E6" s="7">
        <f>D6-Protocol!$B$7</f>
        <v>2</v>
      </c>
      <c r="F6" s="7">
        <v>1352</v>
      </c>
      <c r="G6" s="7">
        <v>1</v>
      </c>
      <c r="H6" s="7">
        <v>1</v>
      </c>
      <c r="I6" s="7" t="s">
        <v>536</v>
      </c>
      <c r="J6" s="7">
        <v>0</v>
      </c>
      <c r="K6" s="7">
        <v>5</v>
      </c>
      <c r="L6" s="24">
        <v>44589.738067129627</v>
      </c>
      <c r="M6" s="7">
        <v>203</v>
      </c>
      <c r="N6" s="7">
        <v>1643391769</v>
      </c>
      <c r="O6" s="7">
        <f t="shared" ref="O6:O37" si="0">D6-N6</f>
        <v>2</v>
      </c>
      <c r="P6" s="7">
        <v>1</v>
      </c>
      <c r="Q6" s="7">
        <v>43</v>
      </c>
      <c r="R6" s="24">
        <v>44589.737500000003</v>
      </c>
      <c r="S6" s="7" t="str">
        <f>IF(AND(O6&gt;=0,O6&lt;=Protocol!$B$9),"ACCEPT","REJECT")</f>
        <v>ACCEPT</v>
      </c>
      <c r="T6" s="7" t="str">
        <f t="shared" ref="T6:T37" si="1">IF(O6=0,"EXACT","AS-OF")</f>
        <v>AS-OF</v>
      </c>
      <c r="U6" s="38">
        <v>1</v>
      </c>
      <c r="V6" s="38" t="s">
        <v>577</v>
      </c>
      <c r="W6" s="38">
        <v>2</v>
      </c>
      <c r="X6" s="38" t="b">
        <v>1</v>
      </c>
      <c r="Y6" s="38" t="s">
        <v>810</v>
      </c>
    </row>
    <row r="7" spans="1:25" ht="21.95" customHeight="1" x14ac:dyDescent="0.2">
      <c r="A7" s="7">
        <v>2</v>
      </c>
      <c r="B7" s="7">
        <v>242249</v>
      </c>
      <c r="C7" s="24">
        <v>44589.73814814815</v>
      </c>
      <c r="D7" s="7">
        <v>1643391776</v>
      </c>
      <c r="E7" s="7">
        <f>D7-Protocol!$B$7</f>
        <v>7</v>
      </c>
      <c r="F7" s="7">
        <v>1352</v>
      </c>
      <c r="G7" s="7">
        <v>1</v>
      </c>
      <c r="H7" s="7">
        <v>1</v>
      </c>
      <c r="I7" s="7" t="s">
        <v>536</v>
      </c>
      <c r="J7" s="7">
        <v>0</v>
      </c>
      <c r="K7" s="7">
        <v>5</v>
      </c>
      <c r="L7" s="24">
        <v>44589.738067129627</v>
      </c>
      <c r="M7" s="7">
        <v>203</v>
      </c>
      <c r="N7" s="7">
        <v>1643391769</v>
      </c>
      <c r="O7" s="7">
        <f t="shared" si="0"/>
        <v>7</v>
      </c>
      <c r="P7" s="7">
        <v>1</v>
      </c>
      <c r="Q7" s="7">
        <v>43</v>
      </c>
      <c r="R7" s="24">
        <v>44589.737500000003</v>
      </c>
      <c r="S7" s="7" t="str">
        <f>IF(AND(O7&gt;=0,O7&lt;=Protocol!$B$9),"ACCEPT","REJECT")</f>
        <v>ACCEPT</v>
      </c>
      <c r="T7" s="7" t="str">
        <f t="shared" si="1"/>
        <v>AS-OF</v>
      </c>
      <c r="U7" s="38">
        <v>1</v>
      </c>
      <c r="V7" s="38" t="s">
        <v>577</v>
      </c>
      <c r="W7" s="38">
        <v>7</v>
      </c>
      <c r="X7" s="38" t="b">
        <v>1</v>
      </c>
      <c r="Y7" s="38" t="s">
        <v>810</v>
      </c>
    </row>
    <row r="8" spans="1:25" ht="21.95" customHeight="1" x14ac:dyDescent="0.2">
      <c r="A8" s="7">
        <v>3</v>
      </c>
      <c r="B8" s="7">
        <v>242250</v>
      </c>
      <c r="C8" s="24">
        <v>44589.738206018519</v>
      </c>
      <c r="D8" s="7">
        <v>1643391781</v>
      </c>
      <c r="E8" s="7">
        <f>D8-Protocol!$B$7</f>
        <v>12</v>
      </c>
      <c r="F8" s="7">
        <v>1352</v>
      </c>
      <c r="G8" s="7">
        <v>1</v>
      </c>
      <c r="H8" s="7">
        <v>1</v>
      </c>
      <c r="I8" s="7" t="s">
        <v>536</v>
      </c>
      <c r="J8" s="7">
        <v>0</v>
      </c>
      <c r="K8" s="7">
        <v>5</v>
      </c>
      <c r="L8" s="24">
        <v>44589.738067129627</v>
      </c>
      <c r="M8" s="7">
        <v>203</v>
      </c>
      <c r="N8" s="7">
        <v>1643391769</v>
      </c>
      <c r="O8" s="7">
        <f t="shared" si="0"/>
        <v>12</v>
      </c>
      <c r="P8" s="7">
        <v>1</v>
      </c>
      <c r="Q8" s="7">
        <v>44</v>
      </c>
      <c r="R8" s="24">
        <v>44589.738194444442</v>
      </c>
      <c r="S8" s="7" t="str">
        <f>IF(AND(O8&gt;=0,O8&lt;=Protocol!$B$9),"ACCEPT","REJECT")</f>
        <v>REJECT</v>
      </c>
      <c r="T8" s="7" t="str">
        <f t="shared" si="1"/>
        <v>AS-OF</v>
      </c>
      <c r="U8" s="38">
        <v>1</v>
      </c>
      <c r="V8" s="38" t="s">
        <v>577</v>
      </c>
      <c r="W8" s="38">
        <v>12</v>
      </c>
      <c r="X8" s="38" t="b">
        <v>0</v>
      </c>
      <c r="Y8" s="38" t="s">
        <v>810</v>
      </c>
    </row>
    <row r="9" spans="1:25" ht="21.95" customHeight="1" x14ac:dyDescent="0.2">
      <c r="A9" s="7">
        <v>4</v>
      </c>
      <c r="B9" s="7">
        <v>242251</v>
      </c>
      <c r="C9" s="24">
        <v>44589.738263888888</v>
      </c>
      <c r="D9" s="7">
        <v>1643391786</v>
      </c>
      <c r="E9" s="7">
        <f>D9-Protocol!$B$7</f>
        <v>17</v>
      </c>
      <c r="F9" s="7">
        <v>1352</v>
      </c>
      <c r="G9" s="7">
        <v>1</v>
      </c>
      <c r="H9" s="7">
        <v>1</v>
      </c>
      <c r="I9" s="7" t="s">
        <v>536</v>
      </c>
      <c r="J9" s="7">
        <v>0</v>
      </c>
      <c r="K9" s="7">
        <v>5</v>
      </c>
      <c r="L9" s="24">
        <v>44589.738067129627</v>
      </c>
      <c r="M9" s="7">
        <v>203</v>
      </c>
      <c r="N9" s="7">
        <v>1643391769</v>
      </c>
      <c r="O9" s="7">
        <f t="shared" si="0"/>
        <v>17</v>
      </c>
      <c r="P9" s="7">
        <v>1</v>
      </c>
      <c r="Q9" s="7">
        <v>44</v>
      </c>
      <c r="R9" s="24">
        <v>44589.738194444442</v>
      </c>
      <c r="S9" s="7" t="str">
        <f>IF(AND(O9&gt;=0,O9&lt;=Protocol!$B$9),"ACCEPT","REJECT")</f>
        <v>REJECT</v>
      </c>
      <c r="T9" s="7" t="str">
        <f t="shared" si="1"/>
        <v>AS-OF</v>
      </c>
      <c r="U9" s="38">
        <v>1</v>
      </c>
      <c r="V9" s="38" t="s">
        <v>577</v>
      </c>
      <c r="W9" s="38">
        <v>17</v>
      </c>
      <c r="X9" s="38" t="b">
        <v>0</v>
      </c>
      <c r="Y9" s="38" t="s">
        <v>810</v>
      </c>
    </row>
    <row r="10" spans="1:25" ht="21.95" customHeight="1" x14ac:dyDescent="0.2">
      <c r="A10" s="7">
        <v>5</v>
      </c>
      <c r="B10" s="7">
        <v>242252</v>
      </c>
      <c r="C10" s="24">
        <v>44589.738321759258</v>
      </c>
      <c r="D10" s="7">
        <v>1643391791</v>
      </c>
      <c r="E10" s="7">
        <f>D10-Protocol!$B$7</f>
        <v>22</v>
      </c>
      <c r="F10" s="7">
        <v>1352</v>
      </c>
      <c r="G10" s="7">
        <v>1</v>
      </c>
      <c r="H10" s="7">
        <v>1</v>
      </c>
      <c r="I10" s="7" t="s">
        <v>536</v>
      </c>
      <c r="J10" s="7">
        <v>0</v>
      </c>
      <c r="K10" s="7">
        <v>5</v>
      </c>
      <c r="L10" s="24">
        <v>44589.738067129627</v>
      </c>
      <c r="M10" s="7">
        <v>203</v>
      </c>
      <c r="N10" s="7">
        <v>1643391769</v>
      </c>
      <c r="O10" s="7">
        <f t="shared" si="0"/>
        <v>22</v>
      </c>
      <c r="P10" s="7">
        <v>1</v>
      </c>
      <c r="Q10" s="7">
        <v>44</v>
      </c>
      <c r="R10" s="24">
        <v>44589.738194444442</v>
      </c>
      <c r="S10" s="7" t="str">
        <f>IF(AND(O10&gt;=0,O10&lt;=Protocol!$B$9),"ACCEPT","REJECT")</f>
        <v>REJECT</v>
      </c>
      <c r="T10" s="7" t="str">
        <f t="shared" si="1"/>
        <v>AS-OF</v>
      </c>
      <c r="U10" s="38">
        <v>1</v>
      </c>
      <c r="V10" s="38" t="s">
        <v>577</v>
      </c>
      <c r="W10" s="38">
        <v>22</v>
      </c>
      <c r="X10" s="38" t="b">
        <v>0</v>
      </c>
      <c r="Y10" s="38" t="s">
        <v>810</v>
      </c>
    </row>
    <row r="11" spans="1:25" ht="21.95" customHeight="1" x14ac:dyDescent="0.2">
      <c r="A11" s="7">
        <v>6</v>
      </c>
      <c r="B11" s="7">
        <v>242253</v>
      </c>
      <c r="C11" s="24">
        <v>44589.738379629627</v>
      </c>
      <c r="D11" s="7">
        <v>1643391796</v>
      </c>
      <c r="E11" s="7">
        <f>D11-Protocol!$B$7</f>
        <v>27</v>
      </c>
      <c r="F11" s="7">
        <v>1352</v>
      </c>
      <c r="G11" s="7">
        <v>1</v>
      </c>
      <c r="H11" s="7">
        <v>1</v>
      </c>
      <c r="I11" s="7" t="s">
        <v>536</v>
      </c>
      <c r="J11" s="7">
        <v>2.5475700000000001E-5</v>
      </c>
      <c r="K11" s="7">
        <v>5</v>
      </c>
      <c r="L11" s="24">
        <v>44589.738067129627</v>
      </c>
      <c r="M11" s="7">
        <v>203</v>
      </c>
      <c r="N11" s="7">
        <v>1643391769</v>
      </c>
      <c r="O11" s="7">
        <f t="shared" si="0"/>
        <v>27</v>
      </c>
      <c r="P11" s="7">
        <v>1</v>
      </c>
      <c r="Q11" s="7">
        <v>44</v>
      </c>
      <c r="R11" s="24">
        <v>44589.738194444442</v>
      </c>
      <c r="S11" s="7" t="str">
        <f>IF(AND(O11&gt;=0,O11&lt;=Protocol!$B$9),"ACCEPT","REJECT")</f>
        <v>REJECT</v>
      </c>
      <c r="T11" s="7" t="str">
        <f t="shared" si="1"/>
        <v>AS-OF</v>
      </c>
      <c r="U11" s="38">
        <v>1</v>
      </c>
      <c r="V11" s="38" t="s">
        <v>577</v>
      </c>
      <c r="W11" s="38">
        <v>27</v>
      </c>
      <c r="X11" s="38" t="b">
        <v>0</v>
      </c>
      <c r="Y11" s="38" t="s">
        <v>810</v>
      </c>
    </row>
    <row r="12" spans="1:25" ht="21.95" customHeight="1" x14ac:dyDescent="0.2">
      <c r="A12" s="7">
        <v>7</v>
      </c>
      <c r="B12" s="7">
        <v>242254</v>
      </c>
      <c r="C12" s="24">
        <v>44589.738437499997</v>
      </c>
      <c r="D12" s="7">
        <v>1643391801</v>
      </c>
      <c r="E12" s="7">
        <f>D12-Protocol!$B$7</f>
        <v>32</v>
      </c>
      <c r="F12" s="7">
        <v>1352</v>
      </c>
      <c r="G12" s="7">
        <v>1</v>
      </c>
      <c r="H12" s="7">
        <v>1</v>
      </c>
      <c r="I12" s="7" t="s">
        <v>536</v>
      </c>
      <c r="J12" s="7">
        <v>2.3526399999999999E-5</v>
      </c>
      <c r="K12" s="7">
        <v>5</v>
      </c>
      <c r="L12" s="24">
        <v>44589.73841435185</v>
      </c>
      <c r="M12" s="7">
        <v>202</v>
      </c>
      <c r="N12" s="7">
        <v>1643391799</v>
      </c>
      <c r="O12" s="7">
        <f t="shared" si="0"/>
        <v>2</v>
      </c>
      <c r="P12" s="7">
        <v>1</v>
      </c>
      <c r="Q12" s="7">
        <v>44</v>
      </c>
      <c r="R12" s="24">
        <v>44589.738194444442</v>
      </c>
      <c r="S12" s="7" t="str">
        <f>IF(AND(O12&gt;=0,O12&lt;=Protocol!$B$9),"ACCEPT","REJECT")</f>
        <v>ACCEPT</v>
      </c>
      <c r="T12" s="7" t="str">
        <f t="shared" si="1"/>
        <v>AS-OF</v>
      </c>
      <c r="U12" s="38">
        <v>2</v>
      </c>
      <c r="V12" s="38" t="s">
        <v>577</v>
      </c>
      <c r="W12" s="38">
        <v>2</v>
      </c>
      <c r="X12" s="38" t="b">
        <v>1</v>
      </c>
      <c r="Y12" s="38" t="s">
        <v>810</v>
      </c>
    </row>
    <row r="13" spans="1:25" ht="21.95" customHeight="1" x14ac:dyDescent="0.2">
      <c r="A13" s="7">
        <v>8</v>
      </c>
      <c r="B13" s="7">
        <v>242255</v>
      </c>
      <c r="C13" s="24">
        <v>44589.738495370373</v>
      </c>
      <c r="D13" s="7">
        <v>1643391806</v>
      </c>
      <c r="E13" s="7">
        <f>D13-Protocol!$B$7</f>
        <v>37</v>
      </c>
      <c r="F13" s="7">
        <v>1352</v>
      </c>
      <c r="G13" s="7">
        <v>1</v>
      </c>
      <c r="H13" s="7">
        <v>1</v>
      </c>
      <c r="I13" s="7" t="s">
        <v>536</v>
      </c>
      <c r="J13" s="7">
        <v>1.6178600000000001E-5</v>
      </c>
      <c r="K13" s="7">
        <v>5</v>
      </c>
      <c r="L13" s="24">
        <v>44589.73841435185</v>
      </c>
      <c r="M13" s="7">
        <v>202</v>
      </c>
      <c r="N13" s="7">
        <v>1643391799</v>
      </c>
      <c r="O13" s="7">
        <f t="shared" si="0"/>
        <v>7</v>
      </c>
      <c r="P13" s="7">
        <v>1</v>
      </c>
      <c r="Q13" s="7">
        <v>44</v>
      </c>
      <c r="R13" s="24">
        <v>44589.738194444442</v>
      </c>
      <c r="S13" s="7" t="str">
        <f>IF(AND(O13&gt;=0,O13&lt;=Protocol!$B$9),"ACCEPT","REJECT")</f>
        <v>ACCEPT</v>
      </c>
      <c r="T13" s="7" t="str">
        <f t="shared" si="1"/>
        <v>AS-OF</v>
      </c>
      <c r="U13" s="38">
        <v>2</v>
      </c>
      <c r="V13" s="38" t="s">
        <v>577</v>
      </c>
      <c r="W13" s="38">
        <v>7</v>
      </c>
      <c r="X13" s="38" t="b">
        <v>1</v>
      </c>
      <c r="Y13" s="38" t="s">
        <v>810</v>
      </c>
    </row>
    <row r="14" spans="1:25" ht="21.95" customHeight="1" x14ac:dyDescent="0.2">
      <c r="A14" s="7">
        <v>9</v>
      </c>
      <c r="B14" s="7">
        <v>242256</v>
      </c>
      <c r="C14" s="24">
        <v>44589.738553240742</v>
      </c>
      <c r="D14" s="7">
        <v>1643391811</v>
      </c>
      <c r="E14" s="7">
        <f>D14-Protocol!$B$7</f>
        <v>42</v>
      </c>
      <c r="F14" s="7">
        <v>1352</v>
      </c>
      <c r="G14" s="7">
        <v>1</v>
      </c>
      <c r="H14" s="7">
        <v>1</v>
      </c>
      <c r="I14" s="7" t="s">
        <v>536</v>
      </c>
      <c r="J14" s="7">
        <v>1.46847E-5</v>
      </c>
      <c r="K14" s="7">
        <v>5</v>
      </c>
      <c r="L14" s="24">
        <v>44589.738541666673</v>
      </c>
      <c r="M14" s="7">
        <v>201</v>
      </c>
      <c r="N14" s="7">
        <v>1643391810</v>
      </c>
      <c r="O14" s="7">
        <f t="shared" si="0"/>
        <v>1</v>
      </c>
      <c r="P14" s="7">
        <v>1</v>
      </c>
      <c r="Q14" s="7">
        <v>44</v>
      </c>
      <c r="R14" s="24">
        <v>44589.738194444442</v>
      </c>
      <c r="S14" s="7" t="str">
        <f>IF(AND(O14&gt;=0,O14&lt;=Protocol!$B$9),"ACCEPT","REJECT")</f>
        <v>ACCEPT</v>
      </c>
      <c r="T14" s="7" t="str">
        <f t="shared" si="1"/>
        <v>AS-OF</v>
      </c>
      <c r="U14" s="38">
        <v>3</v>
      </c>
      <c r="V14" s="38" t="s">
        <v>577</v>
      </c>
      <c r="W14" s="38">
        <v>1</v>
      </c>
      <c r="X14" s="38" t="b">
        <v>1</v>
      </c>
      <c r="Y14" s="38" t="s">
        <v>810</v>
      </c>
    </row>
    <row r="15" spans="1:25" ht="21.95" customHeight="1" x14ac:dyDescent="0.2">
      <c r="A15" s="7">
        <v>10</v>
      </c>
      <c r="B15" s="7">
        <v>242257</v>
      </c>
      <c r="C15" s="24">
        <v>44589.738611111112</v>
      </c>
      <c r="D15" s="7">
        <v>1643391816</v>
      </c>
      <c r="E15" s="7">
        <f>D15-Protocol!$B$7</f>
        <v>47</v>
      </c>
      <c r="F15" s="7">
        <v>1352</v>
      </c>
      <c r="G15" s="7">
        <v>1</v>
      </c>
      <c r="H15" s="7">
        <v>1</v>
      </c>
      <c r="I15" s="7" t="s">
        <v>536</v>
      </c>
      <c r="J15" s="7">
        <v>6.8151500000000003E-6</v>
      </c>
      <c r="K15" s="7">
        <v>5</v>
      </c>
      <c r="L15" s="24">
        <v>44589.738541666673</v>
      </c>
      <c r="M15" s="7">
        <v>201</v>
      </c>
      <c r="N15" s="7">
        <v>1643391810</v>
      </c>
      <c r="O15" s="7">
        <f t="shared" si="0"/>
        <v>6</v>
      </c>
      <c r="P15" s="7">
        <v>1</v>
      </c>
      <c r="Q15" s="7">
        <v>44</v>
      </c>
      <c r="R15" s="24">
        <v>44589.738194444442</v>
      </c>
      <c r="S15" s="7" t="str">
        <f>IF(AND(O15&gt;=0,O15&lt;=Protocol!$B$9),"ACCEPT","REJECT")</f>
        <v>ACCEPT</v>
      </c>
      <c r="T15" s="7" t="str">
        <f t="shared" si="1"/>
        <v>AS-OF</v>
      </c>
      <c r="U15" s="38">
        <v>3</v>
      </c>
      <c r="V15" s="38" t="s">
        <v>577</v>
      </c>
      <c r="W15" s="38">
        <v>6</v>
      </c>
      <c r="X15" s="38" t="b">
        <v>1</v>
      </c>
      <c r="Y15" s="38" t="s">
        <v>810</v>
      </c>
    </row>
    <row r="16" spans="1:25" ht="21.95" customHeight="1" x14ac:dyDescent="0.2">
      <c r="A16" s="7">
        <v>11</v>
      </c>
      <c r="B16" s="7">
        <v>242258</v>
      </c>
      <c r="C16" s="24">
        <v>44589.738668981481</v>
      </c>
      <c r="D16" s="7">
        <v>1643391821</v>
      </c>
      <c r="E16" s="7">
        <f>D16-Protocol!$B$7</f>
        <v>52</v>
      </c>
      <c r="F16" s="7">
        <v>1352</v>
      </c>
      <c r="G16" s="7">
        <v>1</v>
      </c>
      <c r="H16" s="7">
        <v>1</v>
      </c>
      <c r="I16" s="7" t="s">
        <v>536</v>
      </c>
      <c r="J16" s="7">
        <v>5.9465200000000003E-6</v>
      </c>
      <c r="K16" s="7">
        <v>5</v>
      </c>
      <c r="L16" s="24">
        <v>44589.738645833328</v>
      </c>
      <c r="M16" s="7">
        <v>200</v>
      </c>
      <c r="N16" s="7">
        <v>1643391819</v>
      </c>
      <c r="O16" s="7">
        <f t="shared" si="0"/>
        <v>2</v>
      </c>
      <c r="P16" s="7">
        <v>1</v>
      </c>
      <c r="Q16" s="7">
        <v>44</v>
      </c>
      <c r="R16" s="24">
        <v>44589.738194444442</v>
      </c>
      <c r="S16" s="7" t="str">
        <f>IF(AND(O16&gt;=0,O16&lt;=Protocol!$B$9),"ACCEPT","REJECT")</f>
        <v>ACCEPT</v>
      </c>
      <c r="T16" s="7" t="str">
        <f t="shared" si="1"/>
        <v>AS-OF</v>
      </c>
      <c r="U16" s="38">
        <v>4</v>
      </c>
      <c r="V16" s="38" t="s">
        <v>577</v>
      </c>
      <c r="W16" s="38">
        <v>2</v>
      </c>
      <c r="X16" s="38" t="b">
        <v>1</v>
      </c>
      <c r="Y16" s="38" t="s">
        <v>810</v>
      </c>
    </row>
    <row r="17" spans="1:25" ht="21.95" customHeight="1" x14ac:dyDescent="0.2">
      <c r="A17" s="7">
        <v>12</v>
      </c>
      <c r="B17" s="7">
        <v>242259</v>
      </c>
      <c r="C17" s="24">
        <v>44589.738726851851</v>
      </c>
      <c r="D17" s="7">
        <v>1643391826</v>
      </c>
      <c r="E17" s="7">
        <f>D17-Protocol!$B$7</f>
        <v>57</v>
      </c>
      <c r="F17" s="7">
        <v>1352</v>
      </c>
      <c r="G17" s="7">
        <v>1</v>
      </c>
      <c r="H17" s="7">
        <v>1</v>
      </c>
      <c r="I17" s="7" t="s">
        <v>536</v>
      </c>
      <c r="J17" s="7">
        <v>1.1591899999999999E-7</v>
      </c>
      <c r="K17" s="7">
        <v>5</v>
      </c>
      <c r="L17" s="24">
        <v>44589.738645833328</v>
      </c>
      <c r="M17" s="7">
        <v>200</v>
      </c>
      <c r="N17" s="7">
        <v>1643391819</v>
      </c>
      <c r="O17" s="7">
        <f t="shared" si="0"/>
        <v>7</v>
      </c>
      <c r="P17" s="7">
        <v>1</v>
      </c>
      <c r="Q17" s="7">
        <v>44</v>
      </c>
      <c r="R17" s="24">
        <v>44589.738194444442</v>
      </c>
      <c r="S17" s="7" t="str">
        <f>IF(AND(O17&gt;=0,O17&lt;=Protocol!$B$9),"ACCEPT","REJECT")</f>
        <v>ACCEPT</v>
      </c>
      <c r="T17" s="7" t="str">
        <f t="shared" si="1"/>
        <v>AS-OF</v>
      </c>
      <c r="U17" s="38">
        <v>4</v>
      </c>
      <c r="V17" s="38" t="s">
        <v>577</v>
      </c>
      <c r="W17" s="38">
        <v>7</v>
      </c>
      <c r="X17" s="38" t="b">
        <v>1</v>
      </c>
      <c r="Y17" s="38" t="s">
        <v>810</v>
      </c>
    </row>
    <row r="18" spans="1:25" ht="21.95" customHeight="1" x14ac:dyDescent="0.2">
      <c r="A18" s="7">
        <v>13</v>
      </c>
      <c r="B18" s="7">
        <v>242260</v>
      </c>
      <c r="C18" s="24">
        <v>44589.73878472222</v>
      </c>
      <c r="D18" s="7">
        <v>1643391831</v>
      </c>
      <c r="E18" s="7">
        <f>D18-Protocol!$B$7</f>
        <v>62</v>
      </c>
      <c r="F18" s="7">
        <v>1352</v>
      </c>
      <c r="G18" s="7">
        <v>1</v>
      </c>
      <c r="H18" s="7">
        <v>1</v>
      </c>
      <c r="I18" s="7" t="s">
        <v>536</v>
      </c>
      <c r="J18" s="7">
        <v>-2.68024E-6</v>
      </c>
      <c r="K18" s="7">
        <v>5</v>
      </c>
      <c r="L18" s="24">
        <v>44589.738645833328</v>
      </c>
      <c r="M18" s="7">
        <v>200</v>
      </c>
      <c r="N18" s="7">
        <v>1643391819</v>
      </c>
      <c r="O18" s="7">
        <f t="shared" si="0"/>
        <v>12</v>
      </c>
      <c r="P18" s="7">
        <v>1</v>
      </c>
      <c r="Q18" s="7">
        <v>44</v>
      </c>
      <c r="R18" s="24">
        <v>44589.738194444442</v>
      </c>
      <c r="S18" s="7" t="str">
        <f>IF(AND(O18&gt;=0,O18&lt;=Protocol!$B$9),"ACCEPT","REJECT")</f>
        <v>REJECT</v>
      </c>
      <c r="T18" s="7" t="str">
        <f t="shared" si="1"/>
        <v>AS-OF</v>
      </c>
      <c r="U18" s="38">
        <v>4</v>
      </c>
      <c r="V18" s="38" t="s">
        <v>577</v>
      </c>
      <c r="W18" s="38">
        <v>12</v>
      </c>
      <c r="X18" s="38" t="b">
        <v>0</v>
      </c>
      <c r="Y18" s="38" t="s">
        <v>810</v>
      </c>
    </row>
    <row r="19" spans="1:25" ht="21.95" customHeight="1" x14ac:dyDescent="0.2">
      <c r="A19" s="7">
        <v>14</v>
      </c>
      <c r="B19" s="7">
        <v>242261</v>
      </c>
      <c r="C19" s="24">
        <v>44589.738842592589</v>
      </c>
      <c r="D19" s="7">
        <v>1643391836</v>
      </c>
      <c r="E19" s="7">
        <f>D19-Protocol!$B$7</f>
        <v>67</v>
      </c>
      <c r="F19" s="7">
        <v>1352</v>
      </c>
      <c r="G19" s="7">
        <v>1</v>
      </c>
      <c r="H19" s="7">
        <v>1</v>
      </c>
      <c r="I19" s="7" t="s">
        <v>536</v>
      </c>
      <c r="J19" s="7">
        <v>-5.1494000000000002E-6</v>
      </c>
      <c r="K19" s="7">
        <v>5</v>
      </c>
      <c r="L19" s="24">
        <v>44589.738645833328</v>
      </c>
      <c r="M19" s="7">
        <v>200</v>
      </c>
      <c r="N19" s="7">
        <v>1643391819</v>
      </c>
      <c r="O19" s="7">
        <f t="shared" si="0"/>
        <v>17</v>
      </c>
      <c r="P19" s="7">
        <v>1</v>
      </c>
      <c r="Q19" s="7">
        <v>44</v>
      </c>
      <c r="R19" s="24">
        <v>44589.738194444442</v>
      </c>
      <c r="S19" s="7" t="str">
        <f>IF(AND(O19&gt;=0,O19&lt;=Protocol!$B$9),"ACCEPT","REJECT")</f>
        <v>REJECT</v>
      </c>
      <c r="T19" s="7" t="str">
        <f t="shared" si="1"/>
        <v>AS-OF</v>
      </c>
      <c r="U19" s="38">
        <v>4</v>
      </c>
      <c r="V19" s="38" t="s">
        <v>577</v>
      </c>
      <c r="W19" s="38">
        <v>17</v>
      </c>
      <c r="X19" s="38" t="b">
        <v>0</v>
      </c>
      <c r="Y19" s="38" t="s">
        <v>810</v>
      </c>
    </row>
    <row r="20" spans="1:25" ht="21.95" customHeight="1" x14ac:dyDescent="0.2">
      <c r="A20" s="7">
        <v>15</v>
      </c>
      <c r="B20" s="7">
        <v>242262</v>
      </c>
      <c r="C20" s="24">
        <v>44589.738900462973</v>
      </c>
      <c r="D20" s="7">
        <v>1643391841</v>
      </c>
      <c r="E20" s="7">
        <f>D20-Protocol!$B$7</f>
        <v>72</v>
      </c>
      <c r="F20" s="7">
        <v>1352</v>
      </c>
      <c r="G20" s="7">
        <v>1</v>
      </c>
      <c r="H20" s="7">
        <v>1</v>
      </c>
      <c r="I20" s="7" t="s">
        <v>536</v>
      </c>
      <c r="J20" s="7">
        <v>-4.4417600000000001E-6</v>
      </c>
      <c r="K20" s="7">
        <v>5</v>
      </c>
      <c r="L20" s="24">
        <v>44589.738645833328</v>
      </c>
      <c r="M20" s="7">
        <v>200</v>
      </c>
      <c r="N20" s="7">
        <v>1643391819</v>
      </c>
      <c r="O20" s="7">
        <f t="shared" si="0"/>
        <v>22</v>
      </c>
      <c r="P20" s="7">
        <v>1</v>
      </c>
      <c r="Q20" s="7">
        <v>45</v>
      </c>
      <c r="R20" s="24">
        <v>44589.738888888889</v>
      </c>
      <c r="S20" s="7" t="str">
        <f>IF(AND(O20&gt;=0,O20&lt;=Protocol!$B$9),"ACCEPT","REJECT")</f>
        <v>REJECT</v>
      </c>
      <c r="T20" s="7" t="str">
        <f t="shared" si="1"/>
        <v>AS-OF</v>
      </c>
      <c r="U20" s="38">
        <v>4</v>
      </c>
      <c r="V20" s="38" t="s">
        <v>577</v>
      </c>
      <c r="W20" s="38">
        <v>22</v>
      </c>
      <c r="X20" s="38" t="b">
        <v>0</v>
      </c>
      <c r="Y20" s="38" t="s">
        <v>810</v>
      </c>
    </row>
    <row r="21" spans="1:25" ht="21.95" customHeight="1" x14ac:dyDescent="0.2">
      <c r="A21" s="7">
        <v>16</v>
      </c>
      <c r="B21" s="7">
        <v>242263</v>
      </c>
      <c r="C21" s="24">
        <v>44589.740057870367</v>
      </c>
      <c r="D21" s="7">
        <v>1643391941</v>
      </c>
      <c r="E21" s="7">
        <f>D21-Protocol!$B$7</f>
        <v>172</v>
      </c>
      <c r="F21" s="7">
        <v>1353</v>
      </c>
      <c r="G21" s="7">
        <v>0</v>
      </c>
      <c r="H21" s="7">
        <v>0</v>
      </c>
      <c r="I21" s="7" t="s">
        <v>536</v>
      </c>
      <c r="J21" s="7">
        <v>-3.6434399999999998E-5</v>
      </c>
      <c r="K21" s="7">
        <v>5</v>
      </c>
      <c r="L21" s="24">
        <v>44589.740034722221</v>
      </c>
      <c r="M21" s="7">
        <v>186</v>
      </c>
      <c r="N21" s="7">
        <v>1643391939</v>
      </c>
      <c r="O21" s="7">
        <f t="shared" si="0"/>
        <v>2</v>
      </c>
      <c r="P21" s="7">
        <v>1</v>
      </c>
      <c r="Q21" s="7">
        <v>46</v>
      </c>
      <c r="R21" s="24">
        <v>44589.739583333343</v>
      </c>
      <c r="S21" s="7" t="str">
        <f>IF(AND(O21&gt;=0,O21&lt;=Protocol!$B$9),"ACCEPT","REJECT")</f>
        <v>ACCEPT</v>
      </c>
      <c r="T21" s="7" t="str">
        <f t="shared" si="1"/>
        <v>AS-OF</v>
      </c>
      <c r="U21" s="38">
        <v>13</v>
      </c>
      <c r="V21" s="38" t="s">
        <v>590</v>
      </c>
      <c r="W21" s="38">
        <v>12</v>
      </c>
      <c r="X21" s="38" t="b">
        <v>0</v>
      </c>
      <c r="Y21" s="38" t="s">
        <v>810</v>
      </c>
    </row>
    <row r="22" spans="1:25" ht="21.95" customHeight="1" x14ac:dyDescent="0.2">
      <c r="A22" s="7">
        <v>17</v>
      </c>
      <c r="B22" s="7">
        <v>242264</v>
      </c>
      <c r="C22" s="24">
        <v>44589.740115740737</v>
      </c>
      <c r="D22" s="7">
        <v>1643391946</v>
      </c>
      <c r="E22" s="7">
        <f>D22-Protocol!$B$7</f>
        <v>177</v>
      </c>
      <c r="F22" s="7">
        <v>1353</v>
      </c>
      <c r="G22" s="7">
        <v>0</v>
      </c>
      <c r="H22" s="7">
        <v>0</v>
      </c>
      <c r="I22" s="7" t="s">
        <v>536</v>
      </c>
      <c r="J22" s="7">
        <v>-3.3757699999999997E-5</v>
      </c>
      <c r="K22" s="7">
        <v>5</v>
      </c>
      <c r="L22" s="24">
        <v>44589.740034722221</v>
      </c>
      <c r="M22" s="7">
        <v>186</v>
      </c>
      <c r="N22" s="7">
        <v>1643391939</v>
      </c>
      <c r="O22" s="7">
        <f t="shared" si="0"/>
        <v>7</v>
      </c>
      <c r="P22" s="7">
        <v>1</v>
      </c>
      <c r="Q22" s="7">
        <v>46</v>
      </c>
      <c r="R22" s="24">
        <v>44589.739583333343</v>
      </c>
      <c r="S22" s="7" t="str">
        <f>IF(AND(O22&gt;=0,O22&lt;=Protocol!$B$9),"ACCEPT","REJECT")</f>
        <v>ACCEPT</v>
      </c>
      <c r="T22" s="7" t="str">
        <f t="shared" si="1"/>
        <v>AS-OF</v>
      </c>
      <c r="U22" s="38">
        <v>13</v>
      </c>
      <c r="V22" s="38" t="s">
        <v>590</v>
      </c>
      <c r="W22" s="38">
        <v>17</v>
      </c>
      <c r="X22" s="38" t="b">
        <v>0</v>
      </c>
      <c r="Y22" s="38" t="s">
        <v>810</v>
      </c>
    </row>
    <row r="23" spans="1:25" ht="21.95" customHeight="1" x14ac:dyDescent="0.2">
      <c r="A23" s="7">
        <v>18</v>
      </c>
      <c r="B23" s="7">
        <v>242265</v>
      </c>
      <c r="C23" s="24">
        <v>44589.740173611113</v>
      </c>
      <c r="D23" s="7">
        <v>1643391951</v>
      </c>
      <c r="E23" s="7">
        <f>D23-Protocol!$B$7</f>
        <v>182</v>
      </c>
      <c r="F23" s="7">
        <v>1353</v>
      </c>
      <c r="G23" s="7">
        <v>0</v>
      </c>
      <c r="H23" s="7">
        <v>0</v>
      </c>
      <c r="I23" s="7" t="s">
        <v>536</v>
      </c>
      <c r="J23" s="7">
        <v>-2.86368E-5</v>
      </c>
      <c r="K23" s="7">
        <v>5</v>
      </c>
      <c r="L23" s="24">
        <v>44589.74015046296</v>
      </c>
      <c r="M23" s="7">
        <v>185</v>
      </c>
      <c r="N23" s="7">
        <v>1643391949</v>
      </c>
      <c r="O23" s="7">
        <f t="shared" si="0"/>
        <v>2</v>
      </c>
      <c r="P23" s="7">
        <v>2</v>
      </c>
      <c r="Q23" s="7">
        <v>46</v>
      </c>
      <c r="R23" s="24">
        <v>44589.739583333343</v>
      </c>
      <c r="S23" s="7" t="str">
        <f>IF(AND(O23&gt;=0,O23&lt;=Protocol!$B$9),"ACCEPT","REJECT")</f>
        <v>ACCEPT</v>
      </c>
      <c r="T23" s="7" t="str">
        <f t="shared" si="1"/>
        <v>AS-OF</v>
      </c>
      <c r="U23" s="38">
        <v>14</v>
      </c>
      <c r="V23" s="38" t="s">
        <v>577</v>
      </c>
      <c r="W23" s="38">
        <v>2</v>
      </c>
      <c r="X23" s="38" t="b">
        <v>1</v>
      </c>
      <c r="Y23" s="38" t="s">
        <v>810</v>
      </c>
    </row>
    <row r="24" spans="1:25" ht="21.95" customHeight="1" x14ac:dyDescent="0.2">
      <c r="A24" s="7">
        <v>19</v>
      </c>
      <c r="B24" s="7">
        <v>242266</v>
      </c>
      <c r="C24" s="24">
        <v>44589.740231481483</v>
      </c>
      <c r="D24" s="7">
        <v>1643391956</v>
      </c>
      <c r="E24" s="7">
        <f>D24-Protocol!$B$7</f>
        <v>187</v>
      </c>
      <c r="F24" s="7">
        <v>1353</v>
      </c>
      <c r="G24" s="7">
        <v>0</v>
      </c>
      <c r="H24" s="7">
        <v>0</v>
      </c>
      <c r="I24" s="7" t="s">
        <v>536</v>
      </c>
      <c r="J24" s="7">
        <v>-2.09138E-5</v>
      </c>
      <c r="K24" s="7">
        <v>5</v>
      </c>
      <c r="L24" s="24">
        <v>44589.74015046296</v>
      </c>
      <c r="M24" s="7">
        <v>185</v>
      </c>
      <c r="N24" s="7">
        <v>1643391949</v>
      </c>
      <c r="O24" s="7">
        <f t="shared" si="0"/>
        <v>7</v>
      </c>
      <c r="P24" s="7">
        <v>2</v>
      </c>
      <c r="Q24" s="7">
        <v>46</v>
      </c>
      <c r="R24" s="24">
        <v>44589.739583333343</v>
      </c>
      <c r="S24" s="7" t="str">
        <f>IF(AND(O24&gt;=0,O24&lt;=Protocol!$B$9),"ACCEPT","REJECT")</f>
        <v>ACCEPT</v>
      </c>
      <c r="T24" s="7" t="str">
        <f t="shared" si="1"/>
        <v>AS-OF</v>
      </c>
      <c r="U24" s="38">
        <v>14</v>
      </c>
      <c r="V24" s="38" t="s">
        <v>577</v>
      </c>
      <c r="W24" s="38">
        <v>7</v>
      </c>
      <c r="X24" s="38" t="b">
        <v>1</v>
      </c>
      <c r="Y24" s="38" t="s">
        <v>810</v>
      </c>
    </row>
    <row r="25" spans="1:25" ht="21.95" customHeight="1" x14ac:dyDescent="0.2">
      <c r="A25" s="7">
        <v>20</v>
      </c>
      <c r="B25" s="7">
        <v>242267</v>
      </c>
      <c r="C25" s="24">
        <v>44589.740289351852</v>
      </c>
      <c r="D25" s="7">
        <v>1643391961</v>
      </c>
      <c r="E25" s="7">
        <f>D25-Protocol!$B$7</f>
        <v>192</v>
      </c>
      <c r="F25" s="7">
        <v>1353</v>
      </c>
      <c r="G25" s="7">
        <v>0</v>
      </c>
      <c r="H25" s="7">
        <v>0</v>
      </c>
      <c r="I25" s="7" t="s">
        <v>536</v>
      </c>
      <c r="J25" s="7">
        <v>-1.17926E-5</v>
      </c>
      <c r="K25" s="7">
        <v>5</v>
      </c>
      <c r="L25" s="24">
        <v>44589.740266203713</v>
      </c>
      <c r="M25" s="7">
        <v>182</v>
      </c>
      <c r="N25" s="7">
        <v>1643391959</v>
      </c>
      <c r="O25" s="7">
        <f t="shared" si="0"/>
        <v>2</v>
      </c>
      <c r="P25" s="7">
        <v>4</v>
      </c>
      <c r="Q25" s="7">
        <v>47</v>
      </c>
      <c r="R25" s="24">
        <v>44589.740277777782</v>
      </c>
      <c r="S25" s="7" t="str">
        <f>IF(AND(O25&gt;=0,O25&lt;=Protocol!$B$9),"ACCEPT","REJECT")</f>
        <v>ACCEPT</v>
      </c>
      <c r="T25" s="7" t="str">
        <f t="shared" si="1"/>
        <v>AS-OF</v>
      </c>
      <c r="U25" s="38">
        <v>15</v>
      </c>
      <c r="V25" s="38" t="s">
        <v>577</v>
      </c>
      <c r="W25" s="38">
        <v>2</v>
      </c>
      <c r="X25" s="38" t="b">
        <v>1</v>
      </c>
      <c r="Y25" s="38" t="s">
        <v>810</v>
      </c>
    </row>
    <row r="26" spans="1:25" ht="21.95" customHeight="1" x14ac:dyDescent="0.2">
      <c r="A26" s="7">
        <v>21</v>
      </c>
      <c r="B26" s="7">
        <v>242268</v>
      </c>
      <c r="C26" s="24">
        <v>44589.740347222221</v>
      </c>
      <c r="D26" s="7">
        <v>1643391966</v>
      </c>
      <c r="E26" s="7">
        <f>D26-Protocol!$B$7</f>
        <v>197</v>
      </c>
      <c r="F26" s="7">
        <v>1353</v>
      </c>
      <c r="G26" s="7">
        <v>0</v>
      </c>
      <c r="H26" s="7">
        <v>0</v>
      </c>
      <c r="I26" s="7" t="s">
        <v>536</v>
      </c>
      <c r="J26" s="7">
        <v>-4.65125E-7</v>
      </c>
      <c r="K26" s="7">
        <v>5</v>
      </c>
      <c r="L26" s="24">
        <v>44589.740266203713</v>
      </c>
      <c r="M26" s="7">
        <v>182</v>
      </c>
      <c r="N26" s="7">
        <v>1643391959</v>
      </c>
      <c r="O26" s="7">
        <f t="shared" si="0"/>
        <v>7</v>
      </c>
      <c r="P26" s="7">
        <v>4</v>
      </c>
      <c r="Q26" s="7">
        <v>47</v>
      </c>
      <c r="R26" s="24">
        <v>44589.740277777782</v>
      </c>
      <c r="S26" s="7" t="str">
        <f>IF(AND(O26&gt;=0,O26&lt;=Protocol!$B$9),"ACCEPT","REJECT")</f>
        <v>ACCEPT</v>
      </c>
      <c r="T26" s="7" t="str">
        <f t="shared" si="1"/>
        <v>AS-OF</v>
      </c>
      <c r="U26" s="38">
        <v>15</v>
      </c>
      <c r="V26" s="38" t="s">
        <v>577</v>
      </c>
      <c r="W26" s="38">
        <v>7</v>
      </c>
      <c r="X26" s="38" t="b">
        <v>1</v>
      </c>
      <c r="Y26" s="38" t="s">
        <v>810</v>
      </c>
    </row>
    <row r="27" spans="1:25" ht="21.95" customHeight="1" x14ac:dyDescent="0.2">
      <c r="A27" s="7">
        <v>22</v>
      </c>
      <c r="B27" s="7">
        <v>242269</v>
      </c>
      <c r="C27" s="24">
        <v>44589.740405092591</v>
      </c>
      <c r="D27" s="7">
        <v>1643391971</v>
      </c>
      <c r="E27" s="7">
        <f>D27-Protocol!$B$7</f>
        <v>202</v>
      </c>
      <c r="F27" s="7">
        <v>1353</v>
      </c>
      <c r="G27" s="7">
        <v>0</v>
      </c>
      <c r="H27" s="7">
        <v>0</v>
      </c>
      <c r="I27" s="7" t="s">
        <v>536</v>
      </c>
      <c r="J27" s="7">
        <v>9.7219299999999996E-6</v>
      </c>
      <c r="K27" s="7">
        <v>5</v>
      </c>
      <c r="L27" s="24">
        <v>44589.740381944437</v>
      </c>
      <c r="M27" s="7">
        <v>178</v>
      </c>
      <c r="N27" s="7">
        <v>1643391969</v>
      </c>
      <c r="O27" s="7">
        <f t="shared" si="0"/>
        <v>2</v>
      </c>
      <c r="P27" s="7">
        <v>3</v>
      </c>
      <c r="Q27" s="7">
        <v>47</v>
      </c>
      <c r="R27" s="24">
        <v>44589.740277777782</v>
      </c>
      <c r="S27" s="7" t="str">
        <f>IF(AND(O27&gt;=0,O27&lt;=Protocol!$B$9),"ACCEPT","REJECT")</f>
        <v>ACCEPT</v>
      </c>
      <c r="T27" s="7" t="str">
        <f t="shared" si="1"/>
        <v>AS-OF</v>
      </c>
      <c r="U27" s="38">
        <v>16</v>
      </c>
      <c r="V27" s="38" t="s">
        <v>577</v>
      </c>
      <c r="W27" s="38">
        <v>2</v>
      </c>
      <c r="X27" s="38" t="b">
        <v>1</v>
      </c>
      <c r="Y27" s="38" t="s">
        <v>810</v>
      </c>
    </row>
    <row r="28" spans="1:25" ht="21.95" customHeight="1" x14ac:dyDescent="0.2">
      <c r="A28" s="7">
        <v>23</v>
      </c>
      <c r="B28" s="7">
        <v>242270</v>
      </c>
      <c r="C28" s="24">
        <v>44589.74046296296</v>
      </c>
      <c r="D28" s="7">
        <v>1643391976</v>
      </c>
      <c r="E28" s="7">
        <f>D28-Protocol!$B$7</f>
        <v>207</v>
      </c>
      <c r="F28" s="7">
        <v>1353</v>
      </c>
      <c r="G28" s="7">
        <v>0</v>
      </c>
      <c r="H28" s="7">
        <v>0</v>
      </c>
      <c r="I28" s="7" t="s">
        <v>536</v>
      </c>
      <c r="J28" s="7">
        <v>1.72395E-5</v>
      </c>
      <c r="K28" s="7">
        <v>5</v>
      </c>
      <c r="L28" s="24">
        <v>44589.740381944437</v>
      </c>
      <c r="M28" s="7">
        <v>178</v>
      </c>
      <c r="N28" s="7">
        <v>1643391969</v>
      </c>
      <c r="O28" s="7">
        <f t="shared" si="0"/>
        <v>7</v>
      </c>
      <c r="P28" s="7">
        <v>3</v>
      </c>
      <c r="Q28" s="7">
        <v>47</v>
      </c>
      <c r="R28" s="24">
        <v>44589.740277777782</v>
      </c>
      <c r="S28" s="7" t="str">
        <f>IF(AND(O28&gt;=0,O28&lt;=Protocol!$B$9),"ACCEPT","REJECT")</f>
        <v>ACCEPT</v>
      </c>
      <c r="T28" s="7" t="str">
        <f t="shared" si="1"/>
        <v>AS-OF</v>
      </c>
      <c r="U28" s="38">
        <v>16</v>
      </c>
      <c r="V28" s="38" t="s">
        <v>577</v>
      </c>
      <c r="W28" s="38">
        <v>7</v>
      </c>
      <c r="X28" s="38" t="b">
        <v>1</v>
      </c>
      <c r="Y28" s="38" t="s">
        <v>810</v>
      </c>
    </row>
    <row r="29" spans="1:25" ht="21.95" customHeight="1" x14ac:dyDescent="0.2">
      <c r="A29" s="7">
        <v>24</v>
      </c>
      <c r="B29" s="7">
        <v>242271</v>
      </c>
      <c r="C29" s="24">
        <v>44589.740520833337</v>
      </c>
      <c r="D29" s="7">
        <v>1643391981</v>
      </c>
      <c r="E29" s="7">
        <f>D29-Protocol!$B$7</f>
        <v>212</v>
      </c>
      <c r="F29" s="7">
        <v>1353</v>
      </c>
      <c r="G29" s="7">
        <v>0</v>
      </c>
      <c r="H29" s="7">
        <v>0</v>
      </c>
      <c r="I29" s="7" t="s">
        <v>536</v>
      </c>
      <c r="J29" s="7">
        <v>2.3348200000000001E-5</v>
      </c>
      <c r="K29" s="7">
        <v>5</v>
      </c>
      <c r="L29" s="24">
        <v>44589.740497685183</v>
      </c>
      <c r="M29" s="7">
        <v>175</v>
      </c>
      <c r="N29" s="7">
        <v>1643391979</v>
      </c>
      <c r="O29" s="7">
        <f t="shared" si="0"/>
        <v>2</v>
      </c>
      <c r="P29" s="7">
        <v>3</v>
      </c>
      <c r="Q29" s="7">
        <v>47</v>
      </c>
      <c r="R29" s="24">
        <v>44589.740277777782</v>
      </c>
      <c r="S29" s="7" t="str">
        <f>IF(AND(O29&gt;=0,O29&lt;=Protocol!$B$9),"ACCEPT","REJECT")</f>
        <v>ACCEPT</v>
      </c>
      <c r="T29" s="7" t="str">
        <f t="shared" si="1"/>
        <v>AS-OF</v>
      </c>
      <c r="U29" s="38">
        <v>17</v>
      </c>
      <c r="V29" s="38" t="s">
        <v>577</v>
      </c>
      <c r="W29" s="38">
        <v>2</v>
      </c>
      <c r="X29" s="38" t="b">
        <v>1</v>
      </c>
      <c r="Y29" s="38" t="s">
        <v>810</v>
      </c>
    </row>
    <row r="30" spans="1:25" ht="21.95" customHeight="1" x14ac:dyDescent="0.2">
      <c r="A30" s="7">
        <v>25</v>
      </c>
      <c r="B30" s="7">
        <v>242272</v>
      </c>
      <c r="C30" s="24">
        <v>44589.740578703713</v>
      </c>
      <c r="D30" s="7">
        <v>1643391986</v>
      </c>
      <c r="E30" s="7">
        <f>D30-Protocol!$B$7</f>
        <v>217</v>
      </c>
      <c r="F30" s="7">
        <v>1353</v>
      </c>
      <c r="G30" s="7">
        <v>0</v>
      </c>
      <c r="H30" s="7">
        <v>0</v>
      </c>
      <c r="I30" s="7" t="s">
        <v>536</v>
      </c>
      <c r="J30" s="7">
        <v>3.1821900000000001E-5</v>
      </c>
      <c r="K30" s="7">
        <v>5</v>
      </c>
      <c r="L30" s="24">
        <v>44589.740497685183</v>
      </c>
      <c r="M30" s="7">
        <v>175</v>
      </c>
      <c r="N30" s="7">
        <v>1643391979</v>
      </c>
      <c r="O30" s="7">
        <f t="shared" si="0"/>
        <v>7</v>
      </c>
      <c r="P30" s="7">
        <v>3</v>
      </c>
      <c r="Q30" s="7">
        <v>47</v>
      </c>
      <c r="R30" s="24">
        <v>44589.740277777782</v>
      </c>
      <c r="S30" s="7" t="str">
        <f>IF(AND(O30&gt;=0,O30&lt;=Protocol!$B$9),"ACCEPT","REJECT")</f>
        <v>ACCEPT</v>
      </c>
      <c r="T30" s="7" t="str">
        <f t="shared" si="1"/>
        <v>AS-OF</v>
      </c>
      <c r="U30" s="38">
        <v>17</v>
      </c>
      <c r="V30" s="38" t="s">
        <v>577</v>
      </c>
      <c r="W30" s="38">
        <v>7</v>
      </c>
      <c r="X30" s="38" t="b">
        <v>1</v>
      </c>
      <c r="Y30" s="38" t="s">
        <v>810</v>
      </c>
    </row>
    <row r="31" spans="1:25" ht="21.95" customHeight="1" x14ac:dyDescent="0.2">
      <c r="A31" s="7">
        <v>26</v>
      </c>
      <c r="B31" s="7">
        <v>242273</v>
      </c>
      <c r="C31" s="24">
        <v>44589.740636574083</v>
      </c>
      <c r="D31" s="7">
        <v>1643391991</v>
      </c>
      <c r="E31" s="7">
        <f>D31-Protocol!$B$7</f>
        <v>222</v>
      </c>
      <c r="F31" s="7">
        <v>1353</v>
      </c>
      <c r="G31" s="7">
        <v>0</v>
      </c>
      <c r="H31" s="7">
        <v>0</v>
      </c>
      <c r="I31" s="7" t="s">
        <v>536</v>
      </c>
      <c r="J31" s="7">
        <v>3.6832400000000003E-5</v>
      </c>
      <c r="K31" s="7">
        <v>5</v>
      </c>
      <c r="L31" s="24">
        <v>44589.740613425929</v>
      </c>
      <c r="M31" s="7">
        <v>173</v>
      </c>
      <c r="N31" s="7">
        <v>1643391989</v>
      </c>
      <c r="O31" s="7">
        <f t="shared" si="0"/>
        <v>2</v>
      </c>
      <c r="P31" s="7">
        <v>2</v>
      </c>
      <c r="Q31" s="7">
        <v>47</v>
      </c>
      <c r="R31" s="24">
        <v>44589.740277777782</v>
      </c>
      <c r="S31" s="7" t="str">
        <f>IF(AND(O31&gt;=0,O31&lt;=Protocol!$B$9),"ACCEPT","REJECT")</f>
        <v>ACCEPT</v>
      </c>
      <c r="T31" s="7" t="str">
        <f t="shared" si="1"/>
        <v>AS-OF</v>
      </c>
      <c r="U31" s="38">
        <v>18</v>
      </c>
      <c r="V31" s="38" t="s">
        <v>577</v>
      </c>
      <c r="W31" s="38">
        <v>2</v>
      </c>
      <c r="X31" s="38" t="b">
        <v>1</v>
      </c>
      <c r="Y31" s="38" t="s">
        <v>810</v>
      </c>
    </row>
    <row r="32" spans="1:25" ht="21.95" customHeight="1" x14ac:dyDescent="0.2">
      <c r="A32" s="7">
        <v>27</v>
      </c>
      <c r="B32" s="7">
        <v>242274</v>
      </c>
      <c r="C32" s="24">
        <v>44589.740694444437</v>
      </c>
      <c r="D32" s="7">
        <v>1643391996</v>
      </c>
      <c r="E32" s="7">
        <f>D32-Protocol!$B$7</f>
        <v>227</v>
      </c>
      <c r="F32" s="7">
        <v>1353</v>
      </c>
      <c r="G32" s="7">
        <v>0</v>
      </c>
      <c r="H32" s="7">
        <v>0</v>
      </c>
      <c r="I32" s="7" t="s">
        <v>536</v>
      </c>
      <c r="J32" s="7">
        <v>3.8497900000000003E-5</v>
      </c>
      <c r="K32" s="7">
        <v>5</v>
      </c>
      <c r="L32" s="24">
        <v>44589.740613425929</v>
      </c>
      <c r="M32" s="7">
        <v>173</v>
      </c>
      <c r="N32" s="7">
        <v>1643391989</v>
      </c>
      <c r="O32" s="7">
        <f t="shared" si="0"/>
        <v>7</v>
      </c>
      <c r="P32" s="7">
        <v>2</v>
      </c>
      <c r="Q32" s="7">
        <v>47</v>
      </c>
      <c r="R32" s="24">
        <v>44589.740277777782</v>
      </c>
      <c r="S32" s="7" t="str">
        <f>IF(AND(O32&gt;=0,O32&lt;=Protocol!$B$9),"ACCEPT","REJECT")</f>
        <v>ACCEPT</v>
      </c>
      <c r="T32" s="7" t="str">
        <f t="shared" si="1"/>
        <v>AS-OF</v>
      </c>
      <c r="U32" s="38">
        <v>18</v>
      </c>
      <c r="V32" s="38" t="s">
        <v>577</v>
      </c>
      <c r="W32" s="38">
        <v>7</v>
      </c>
      <c r="X32" s="38" t="b">
        <v>1</v>
      </c>
      <c r="Y32" s="38" t="s">
        <v>810</v>
      </c>
    </row>
    <row r="33" spans="1:25" ht="21.95" customHeight="1" x14ac:dyDescent="0.2">
      <c r="A33" s="7">
        <v>28</v>
      </c>
      <c r="B33" s="7">
        <v>242275</v>
      </c>
      <c r="C33" s="24">
        <v>44589.740752314807</v>
      </c>
      <c r="D33" s="7">
        <v>1643392001</v>
      </c>
      <c r="E33" s="7">
        <f>D33-Protocol!$B$7</f>
        <v>232</v>
      </c>
      <c r="F33" s="7">
        <v>1353</v>
      </c>
      <c r="G33" s="7">
        <v>0</v>
      </c>
      <c r="H33" s="7">
        <v>0</v>
      </c>
      <c r="I33" s="7" t="s">
        <v>536</v>
      </c>
      <c r="J33" s="7">
        <v>3.8495000000000003E-5</v>
      </c>
      <c r="K33" s="7">
        <v>5</v>
      </c>
      <c r="L33" s="24">
        <v>44589.740729166668</v>
      </c>
      <c r="M33" s="7">
        <v>171</v>
      </c>
      <c r="N33" s="7">
        <v>1643391999</v>
      </c>
      <c r="O33" s="7">
        <f t="shared" si="0"/>
        <v>2</v>
      </c>
      <c r="P33" s="7">
        <v>1</v>
      </c>
      <c r="Q33" s="7">
        <v>47</v>
      </c>
      <c r="R33" s="24">
        <v>44589.740277777782</v>
      </c>
      <c r="S33" s="7" t="str">
        <f>IF(AND(O33&gt;=0,O33&lt;=Protocol!$B$9),"ACCEPT","REJECT")</f>
        <v>ACCEPT</v>
      </c>
      <c r="T33" s="7" t="str">
        <f t="shared" si="1"/>
        <v>AS-OF</v>
      </c>
      <c r="U33" s="38">
        <v>19</v>
      </c>
      <c r="V33" s="38" t="s">
        <v>590</v>
      </c>
      <c r="W33" s="38">
        <v>12</v>
      </c>
      <c r="X33" s="38" t="b">
        <v>0</v>
      </c>
      <c r="Y33" s="38" t="s">
        <v>810</v>
      </c>
    </row>
    <row r="34" spans="1:25" ht="21.95" customHeight="1" x14ac:dyDescent="0.2">
      <c r="A34" s="7">
        <v>29</v>
      </c>
      <c r="B34" s="7">
        <v>242276</v>
      </c>
      <c r="C34" s="24">
        <v>44589.740810185183</v>
      </c>
      <c r="D34" s="7">
        <v>1643392006</v>
      </c>
      <c r="E34" s="7">
        <f>D34-Protocol!$B$7</f>
        <v>237</v>
      </c>
      <c r="F34" s="7">
        <v>1353</v>
      </c>
      <c r="G34" s="7">
        <v>0</v>
      </c>
      <c r="H34" s="7">
        <v>0</v>
      </c>
      <c r="I34" s="7" t="s">
        <v>536</v>
      </c>
      <c r="J34" s="7">
        <v>3.6265099999999999E-5</v>
      </c>
      <c r="K34" s="7">
        <v>5</v>
      </c>
      <c r="L34" s="24">
        <v>44589.740729166668</v>
      </c>
      <c r="M34" s="7">
        <v>171</v>
      </c>
      <c r="N34" s="7">
        <v>1643391999</v>
      </c>
      <c r="O34" s="7">
        <f t="shared" si="0"/>
        <v>7</v>
      </c>
      <c r="P34" s="7">
        <v>1</v>
      </c>
      <c r="Q34" s="7">
        <v>47</v>
      </c>
      <c r="R34" s="24">
        <v>44589.740277777782</v>
      </c>
      <c r="S34" s="7" t="str">
        <f>IF(AND(O34&gt;=0,O34&lt;=Protocol!$B$9),"ACCEPT","REJECT")</f>
        <v>ACCEPT</v>
      </c>
      <c r="T34" s="7" t="str">
        <f t="shared" si="1"/>
        <v>AS-OF</v>
      </c>
      <c r="U34" s="38">
        <v>19</v>
      </c>
      <c r="V34" s="38" t="s">
        <v>590</v>
      </c>
      <c r="W34" s="38">
        <v>17</v>
      </c>
      <c r="X34" s="38" t="b">
        <v>0</v>
      </c>
      <c r="Y34" s="38" t="s">
        <v>810</v>
      </c>
    </row>
    <row r="35" spans="1:25" ht="21.95" customHeight="1" x14ac:dyDescent="0.2">
      <c r="A35" s="7">
        <v>30</v>
      </c>
      <c r="B35" s="7">
        <v>242277</v>
      </c>
      <c r="C35" s="24">
        <v>44589.740868055553</v>
      </c>
      <c r="D35" s="7">
        <v>1643392011</v>
      </c>
      <c r="E35" s="7">
        <f>D35-Protocol!$B$7</f>
        <v>242</v>
      </c>
      <c r="F35" s="7">
        <v>1353</v>
      </c>
      <c r="G35" s="7">
        <v>0</v>
      </c>
      <c r="H35" s="7">
        <v>0</v>
      </c>
      <c r="I35" s="7" t="s">
        <v>536</v>
      </c>
      <c r="J35" s="7">
        <v>3.0967799999999999E-5</v>
      </c>
      <c r="K35" s="7">
        <v>5</v>
      </c>
      <c r="L35" s="24">
        <v>44589.740844907406</v>
      </c>
      <c r="M35" s="7">
        <v>170</v>
      </c>
      <c r="N35" s="7">
        <v>1643392009</v>
      </c>
      <c r="O35" s="7">
        <f t="shared" si="0"/>
        <v>2</v>
      </c>
      <c r="P35" s="7">
        <v>2</v>
      </c>
      <c r="Q35" s="7">
        <v>47</v>
      </c>
      <c r="R35" s="24">
        <v>44589.740277777782</v>
      </c>
      <c r="S35" s="7" t="str">
        <f>IF(AND(O35&gt;=0,O35&lt;=Protocol!$B$9),"ACCEPT","REJECT")</f>
        <v>ACCEPT</v>
      </c>
      <c r="T35" s="7" t="str">
        <f t="shared" si="1"/>
        <v>AS-OF</v>
      </c>
      <c r="U35" s="38">
        <v>20</v>
      </c>
      <c r="V35" s="38" t="s">
        <v>577</v>
      </c>
      <c r="W35" s="38">
        <v>2</v>
      </c>
      <c r="X35" s="38" t="b">
        <v>1</v>
      </c>
      <c r="Y35" s="38" t="s">
        <v>810</v>
      </c>
    </row>
    <row r="36" spans="1:25" ht="21.95" customHeight="1" x14ac:dyDescent="0.2">
      <c r="A36" s="7">
        <v>31</v>
      </c>
      <c r="B36" s="7">
        <v>242278</v>
      </c>
      <c r="C36" s="24">
        <v>44589.740925925929</v>
      </c>
      <c r="D36" s="7">
        <v>1643392016</v>
      </c>
      <c r="E36" s="7">
        <f>D36-Protocol!$B$7</f>
        <v>247</v>
      </c>
      <c r="F36" s="7">
        <v>1353</v>
      </c>
      <c r="G36" s="7">
        <v>0</v>
      </c>
      <c r="H36" s="7">
        <v>0</v>
      </c>
      <c r="I36" s="7" t="s">
        <v>536</v>
      </c>
      <c r="J36" s="7">
        <v>2.3768899999999999E-5</v>
      </c>
      <c r="K36" s="7">
        <v>5</v>
      </c>
      <c r="L36" s="24">
        <v>44589.740844907406</v>
      </c>
      <c r="M36" s="7">
        <v>170</v>
      </c>
      <c r="N36" s="7">
        <v>1643392009</v>
      </c>
      <c r="O36" s="7">
        <f t="shared" si="0"/>
        <v>7</v>
      </c>
      <c r="P36" s="7">
        <v>2</v>
      </c>
      <c r="Q36" s="7">
        <v>47</v>
      </c>
      <c r="R36" s="24">
        <v>44589.740277777782</v>
      </c>
      <c r="S36" s="7" t="str">
        <f>IF(AND(O36&gt;=0,O36&lt;=Protocol!$B$9),"ACCEPT","REJECT")</f>
        <v>ACCEPT</v>
      </c>
      <c r="T36" s="7" t="str">
        <f t="shared" si="1"/>
        <v>AS-OF</v>
      </c>
      <c r="U36" s="38">
        <v>20</v>
      </c>
      <c r="V36" s="38" t="s">
        <v>577</v>
      </c>
      <c r="W36" s="38">
        <v>7</v>
      </c>
      <c r="X36" s="38" t="b">
        <v>1</v>
      </c>
      <c r="Y36" s="38" t="s">
        <v>810</v>
      </c>
    </row>
    <row r="37" spans="1:25" ht="21.95" customHeight="1" x14ac:dyDescent="0.2">
      <c r="A37" s="7">
        <v>32</v>
      </c>
      <c r="B37" s="7">
        <v>242279</v>
      </c>
      <c r="C37" s="24">
        <v>44589.740983796299</v>
      </c>
      <c r="D37" s="7">
        <v>1643392021</v>
      </c>
      <c r="E37" s="7">
        <f>D37-Protocol!$B$7</f>
        <v>252</v>
      </c>
      <c r="F37" s="7">
        <v>1353</v>
      </c>
      <c r="G37" s="7">
        <v>0</v>
      </c>
      <c r="H37" s="7">
        <v>0</v>
      </c>
      <c r="I37" s="7" t="s">
        <v>536</v>
      </c>
      <c r="J37" s="7">
        <v>1.32498E-5</v>
      </c>
      <c r="K37" s="7">
        <v>5</v>
      </c>
      <c r="L37" s="24">
        <v>44589.740960648152</v>
      </c>
      <c r="M37" s="7">
        <v>167</v>
      </c>
      <c r="N37" s="7">
        <v>1643392019</v>
      </c>
      <c r="O37" s="7">
        <f t="shared" si="0"/>
        <v>2</v>
      </c>
      <c r="P37" s="7">
        <v>3</v>
      </c>
      <c r="Q37" s="7">
        <v>48</v>
      </c>
      <c r="R37" s="24">
        <v>44589.740972222222</v>
      </c>
      <c r="S37" s="7" t="str">
        <f>IF(AND(O37&gt;=0,O37&lt;=Protocol!$B$9),"ACCEPT","REJECT")</f>
        <v>ACCEPT</v>
      </c>
      <c r="T37" s="7" t="str">
        <f t="shared" si="1"/>
        <v>AS-OF</v>
      </c>
      <c r="U37" s="38">
        <v>21</v>
      </c>
      <c r="V37" s="38" t="s">
        <v>577</v>
      </c>
      <c r="W37" s="38">
        <v>2</v>
      </c>
      <c r="X37" s="38" t="b">
        <v>1</v>
      </c>
      <c r="Y37" s="38" t="s">
        <v>810</v>
      </c>
    </row>
    <row r="38" spans="1:25" ht="21.95" customHeight="1" x14ac:dyDescent="0.2">
      <c r="A38" s="7">
        <v>33</v>
      </c>
      <c r="B38" s="7">
        <v>242280</v>
      </c>
      <c r="C38" s="24">
        <v>44589.741041666668</v>
      </c>
      <c r="D38" s="7">
        <v>1643392026</v>
      </c>
      <c r="E38" s="7">
        <f>D38-Protocol!$B$7</f>
        <v>257</v>
      </c>
      <c r="F38" s="7">
        <v>1353</v>
      </c>
      <c r="G38" s="7">
        <v>0</v>
      </c>
      <c r="H38" s="7">
        <v>0</v>
      </c>
      <c r="I38" s="7" t="s">
        <v>536</v>
      </c>
      <c r="J38" s="7">
        <v>2.3263699999999999E-6</v>
      </c>
      <c r="K38" s="7">
        <v>5</v>
      </c>
      <c r="L38" s="24">
        <v>44589.740960648152</v>
      </c>
      <c r="M38" s="7">
        <v>167</v>
      </c>
      <c r="N38" s="7">
        <v>1643392019</v>
      </c>
      <c r="O38" s="7">
        <f t="shared" ref="O38:O69" si="2">D38-N38</f>
        <v>7</v>
      </c>
      <c r="P38" s="7">
        <v>3</v>
      </c>
      <c r="Q38" s="7">
        <v>48</v>
      </c>
      <c r="R38" s="24">
        <v>44589.740972222222</v>
      </c>
      <c r="S38" s="7" t="str">
        <f>IF(AND(O38&gt;=0,O38&lt;=Protocol!$B$9),"ACCEPT","REJECT")</f>
        <v>ACCEPT</v>
      </c>
      <c r="T38" s="7" t="str">
        <f t="shared" ref="T38:T69" si="3">IF(O38=0,"EXACT","AS-OF")</f>
        <v>AS-OF</v>
      </c>
      <c r="U38" s="38">
        <v>21</v>
      </c>
      <c r="V38" s="38" t="s">
        <v>577</v>
      </c>
      <c r="W38" s="38">
        <v>7</v>
      </c>
      <c r="X38" s="38" t="b">
        <v>1</v>
      </c>
      <c r="Y38" s="38" t="s">
        <v>810</v>
      </c>
    </row>
    <row r="39" spans="1:25" ht="21.95" customHeight="1" x14ac:dyDescent="0.2">
      <c r="A39" s="7">
        <v>34</v>
      </c>
      <c r="B39" s="7">
        <v>242281</v>
      </c>
      <c r="C39" s="24">
        <v>44589.741099537037</v>
      </c>
      <c r="D39" s="7">
        <v>1643392031</v>
      </c>
      <c r="E39" s="7">
        <f>D39-Protocol!$B$7</f>
        <v>262</v>
      </c>
      <c r="F39" s="7">
        <v>1353</v>
      </c>
      <c r="G39" s="7">
        <v>0</v>
      </c>
      <c r="H39" s="7">
        <v>0</v>
      </c>
      <c r="I39" s="7" t="s">
        <v>536</v>
      </c>
      <c r="J39" s="7">
        <v>-9.0199800000000003E-6</v>
      </c>
      <c r="K39" s="7">
        <v>5</v>
      </c>
      <c r="L39" s="24">
        <v>44589.741076388891</v>
      </c>
      <c r="M39" s="7">
        <v>164</v>
      </c>
      <c r="N39" s="7">
        <v>1643392029</v>
      </c>
      <c r="O39" s="7">
        <f t="shared" si="2"/>
        <v>2</v>
      </c>
      <c r="P39" s="7">
        <v>3</v>
      </c>
      <c r="Q39" s="7">
        <v>48</v>
      </c>
      <c r="R39" s="24">
        <v>44589.740972222222</v>
      </c>
      <c r="S39" s="7" t="str">
        <f>IF(AND(O39&gt;=0,O39&lt;=Protocol!$B$9),"ACCEPT","REJECT")</f>
        <v>ACCEPT</v>
      </c>
      <c r="T39" s="7" t="str">
        <f t="shared" si="3"/>
        <v>AS-OF</v>
      </c>
      <c r="U39" s="38">
        <v>22</v>
      </c>
      <c r="V39" s="38" t="s">
        <v>577</v>
      </c>
      <c r="W39" s="38">
        <v>2</v>
      </c>
      <c r="X39" s="38" t="b">
        <v>1</v>
      </c>
      <c r="Y39" s="38" t="s">
        <v>810</v>
      </c>
    </row>
    <row r="40" spans="1:25" ht="21.95" customHeight="1" x14ac:dyDescent="0.2">
      <c r="A40" s="7">
        <v>35</v>
      </c>
      <c r="B40" s="7">
        <v>242282</v>
      </c>
      <c r="C40" s="24">
        <v>44589.741168981483</v>
      </c>
      <c r="D40" s="7">
        <v>1643392037</v>
      </c>
      <c r="E40" s="7">
        <f>D40-Protocol!$B$7</f>
        <v>268</v>
      </c>
      <c r="F40" s="7">
        <v>1353</v>
      </c>
      <c r="G40" s="7">
        <v>0</v>
      </c>
      <c r="H40" s="7">
        <v>0</v>
      </c>
      <c r="I40" s="7" t="s">
        <v>536</v>
      </c>
      <c r="J40" s="7">
        <v>-2.07689E-5</v>
      </c>
      <c r="K40" s="7">
        <v>5</v>
      </c>
      <c r="L40" s="24">
        <v>44589.741076388891</v>
      </c>
      <c r="M40" s="7">
        <v>164</v>
      </c>
      <c r="N40" s="7">
        <v>1643392029</v>
      </c>
      <c r="O40" s="7">
        <f t="shared" si="2"/>
        <v>8</v>
      </c>
      <c r="P40" s="7">
        <v>3</v>
      </c>
      <c r="Q40" s="7">
        <v>48</v>
      </c>
      <c r="R40" s="24">
        <v>44589.740972222222</v>
      </c>
      <c r="S40" s="7" t="str">
        <f>IF(AND(O40&gt;=0,O40&lt;=Protocol!$B$9),"ACCEPT","REJECT")</f>
        <v>ACCEPT</v>
      </c>
      <c r="T40" s="7" t="str">
        <f t="shared" si="3"/>
        <v>AS-OF</v>
      </c>
      <c r="U40" s="38">
        <v>22</v>
      </c>
      <c r="V40" s="38" t="s">
        <v>577</v>
      </c>
      <c r="W40" s="38">
        <v>8</v>
      </c>
      <c r="X40" s="38" t="b">
        <v>1</v>
      </c>
      <c r="Y40" s="38" t="s">
        <v>810</v>
      </c>
    </row>
    <row r="41" spans="1:25" ht="21.95" customHeight="1" x14ac:dyDescent="0.2">
      <c r="A41" s="7">
        <v>36</v>
      </c>
      <c r="B41" s="7">
        <v>242283</v>
      </c>
      <c r="C41" s="24">
        <v>44589.741226851853</v>
      </c>
      <c r="D41" s="7">
        <v>1643392042</v>
      </c>
      <c r="E41" s="7">
        <f>D41-Protocol!$B$7</f>
        <v>273</v>
      </c>
      <c r="F41" s="7">
        <v>1353</v>
      </c>
      <c r="G41" s="7">
        <v>0</v>
      </c>
      <c r="H41" s="7">
        <v>0</v>
      </c>
      <c r="I41" s="7" t="s">
        <v>536</v>
      </c>
      <c r="J41" s="7">
        <v>-2.7601299999999999E-5</v>
      </c>
      <c r="K41" s="7">
        <v>5</v>
      </c>
      <c r="L41" s="24">
        <v>44589.74119212963</v>
      </c>
      <c r="M41" s="7">
        <v>162</v>
      </c>
      <c r="N41" s="7">
        <v>1643392039</v>
      </c>
      <c r="O41" s="7">
        <f t="shared" si="2"/>
        <v>3</v>
      </c>
      <c r="P41" s="7">
        <v>2</v>
      </c>
      <c r="Q41" s="7">
        <v>48</v>
      </c>
      <c r="R41" s="24">
        <v>44589.740972222222</v>
      </c>
      <c r="S41" s="7" t="str">
        <f>IF(AND(O41&gt;=0,O41&lt;=Protocol!$B$9),"ACCEPT","REJECT")</f>
        <v>ACCEPT</v>
      </c>
      <c r="T41" s="7" t="str">
        <f t="shared" si="3"/>
        <v>AS-OF</v>
      </c>
      <c r="U41" s="38">
        <v>23</v>
      </c>
      <c r="V41" s="38" t="s">
        <v>577</v>
      </c>
      <c r="W41" s="38">
        <v>3</v>
      </c>
      <c r="X41" s="38" t="b">
        <v>1</v>
      </c>
      <c r="Y41" s="38" t="s">
        <v>810</v>
      </c>
    </row>
    <row r="42" spans="1:25" ht="21.95" customHeight="1" x14ac:dyDescent="0.2">
      <c r="A42" s="7">
        <v>37</v>
      </c>
      <c r="B42" s="7">
        <v>242284</v>
      </c>
      <c r="C42" s="24">
        <v>44589.741284722222</v>
      </c>
      <c r="D42" s="7">
        <v>1643392047</v>
      </c>
      <c r="E42" s="7">
        <f>D42-Protocol!$B$7</f>
        <v>278</v>
      </c>
      <c r="F42" s="7">
        <v>1353</v>
      </c>
      <c r="G42" s="7">
        <v>0</v>
      </c>
      <c r="H42" s="7">
        <v>0</v>
      </c>
      <c r="I42" s="7" t="s">
        <v>536</v>
      </c>
      <c r="J42" s="7">
        <v>-3.2347300000000001E-5</v>
      </c>
      <c r="K42" s="7">
        <v>5</v>
      </c>
      <c r="L42" s="24">
        <v>44589.74119212963</v>
      </c>
      <c r="M42" s="7">
        <v>162</v>
      </c>
      <c r="N42" s="7">
        <v>1643392039</v>
      </c>
      <c r="O42" s="7">
        <f t="shared" si="2"/>
        <v>8</v>
      </c>
      <c r="P42" s="7">
        <v>2</v>
      </c>
      <c r="Q42" s="7">
        <v>48</v>
      </c>
      <c r="R42" s="24">
        <v>44589.740972222222</v>
      </c>
      <c r="S42" s="7" t="str">
        <f>IF(AND(O42&gt;=0,O42&lt;=Protocol!$B$9),"ACCEPT","REJECT")</f>
        <v>ACCEPT</v>
      </c>
      <c r="T42" s="7" t="str">
        <f t="shared" si="3"/>
        <v>AS-OF</v>
      </c>
      <c r="U42" s="38">
        <v>23</v>
      </c>
      <c r="V42" s="38" t="s">
        <v>577</v>
      </c>
      <c r="W42" s="38">
        <v>8</v>
      </c>
      <c r="X42" s="38" t="b">
        <v>1</v>
      </c>
      <c r="Y42" s="38" t="s">
        <v>810</v>
      </c>
    </row>
    <row r="43" spans="1:25" ht="21.95" customHeight="1" x14ac:dyDescent="0.2">
      <c r="A43" s="7">
        <v>38</v>
      </c>
      <c r="B43" s="7">
        <v>242285</v>
      </c>
      <c r="C43" s="24">
        <v>44589.741342592592</v>
      </c>
      <c r="D43" s="7">
        <v>1643392052</v>
      </c>
      <c r="E43" s="7">
        <f>D43-Protocol!$B$7</f>
        <v>283</v>
      </c>
      <c r="F43" s="7">
        <v>1353</v>
      </c>
      <c r="G43" s="7">
        <v>0</v>
      </c>
      <c r="H43" s="7">
        <v>0</v>
      </c>
      <c r="I43" s="7" t="s">
        <v>536</v>
      </c>
      <c r="J43" s="7">
        <v>-3.3794999999999997E-5</v>
      </c>
      <c r="K43" s="7">
        <v>5</v>
      </c>
      <c r="L43" s="24">
        <v>44589.741307870368</v>
      </c>
      <c r="M43" s="7">
        <v>159</v>
      </c>
      <c r="N43" s="7">
        <v>1643392049</v>
      </c>
      <c r="O43" s="7">
        <f t="shared" si="2"/>
        <v>3</v>
      </c>
      <c r="P43" s="7">
        <v>1</v>
      </c>
      <c r="Q43" s="7">
        <v>48</v>
      </c>
      <c r="R43" s="24">
        <v>44589.740972222222</v>
      </c>
      <c r="S43" s="7" t="str">
        <f>IF(AND(O43&gt;=0,O43&lt;=Protocol!$B$9),"ACCEPT","REJECT")</f>
        <v>ACCEPT</v>
      </c>
      <c r="T43" s="7" t="str">
        <f t="shared" si="3"/>
        <v>AS-OF</v>
      </c>
      <c r="U43" s="38">
        <v>24</v>
      </c>
      <c r="V43" s="38" t="s">
        <v>590</v>
      </c>
      <c r="W43" s="38">
        <v>13</v>
      </c>
      <c r="X43" s="38" t="b">
        <v>0</v>
      </c>
      <c r="Y43" s="38" t="s">
        <v>810</v>
      </c>
    </row>
    <row r="44" spans="1:25" ht="21.95" customHeight="1" x14ac:dyDescent="0.2">
      <c r="A44" s="7">
        <v>39</v>
      </c>
      <c r="B44" s="7">
        <v>242286</v>
      </c>
      <c r="C44" s="24">
        <v>44589.741400462961</v>
      </c>
      <c r="D44" s="7">
        <v>1643392057</v>
      </c>
      <c r="E44" s="7">
        <f>D44-Protocol!$B$7</f>
        <v>288</v>
      </c>
      <c r="F44" s="7">
        <v>1354</v>
      </c>
      <c r="G44" s="7">
        <v>0</v>
      </c>
      <c r="H44" s="7">
        <v>1</v>
      </c>
      <c r="I44" s="7" t="s">
        <v>536</v>
      </c>
      <c r="J44" s="7">
        <v>-3.2191399999999998E-5</v>
      </c>
      <c r="K44" s="7">
        <v>5</v>
      </c>
      <c r="L44" s="24">
        <v>44589.741307870368</v>
      </c>
      <c r="M44" s="7">
        <v>159</v>
      </c>
      <c r="N44" s="7">
        <v>1643392049</v>
      </c>
      <c r="O44" s="7">
        <f t="shared" si="2"/>
        <v>8</v>
      </c>
      <c r="P44" s="7">
        <v>1</v>
      </c>
      <c r="Q44" s="7">
        <v>48</v>
      </c>
      <c r="R44" s="24">
        <v>44589.740972222222</v>
      </c>
      <c r="S44" s="7" t="str">
        <f>IF(AND(O44&gt;=0,O44&lt;=Protocol!$B$9),"ACCEPT","REJECT")</f>
        <v>ACCEPT</v>
      </c>
      <c r="T44" s="7" t="str">
        <f t="shared" si="3"/>
        <v>AS-OF</v>
      </c>
      <c r="U44" s="38">
        <v>24</v>
      </c>
      <c r="V44" s="38" t="s">
        <v>590</v>
      </c>
      <c r="W44" s="38">
        <v>18</v>
      </c>
      <c r="X44" s="38" t="b">
        <v>0</v>
      </c>
      <c r="Y44" s="38" t="s">
        <v>810</v>
      </c>
    </row>
    <row r="45" spans="1:25" ht="21.95" customHeight="1" x14ac:dyDescent="0.2">
      <c r="A45" s="7">
        <v>40</v>
      </c>
      <c r="B45" s="7">
        <v>242287</v>
      </c>
      <c r="C45" s="24">
        <v>44589.74145833333</v>
      </c>
      <c r="D45" s="7">
        <v>1643392062</v>
      </c>
      <c r="E45" s="7">
        <f>D45-Protocol!$B$7</f>
        <v>293</v>
      </c>
      <c r="F45" s="7">
        <v>1354</v>
      </c>
      <c r="G45" s="7">
        <v>0</v>
      </c>
      <c r="H45" s="7">
        <v>1</v>
      </c>
      <c r="I45" s="7" t="s">
        <v>536</v>
      </c>
      <c r="J45" s="7">
        <v>-2.7171699999999999E-5</v>
      </c>
      <c r="K45" s="7">
        <v>5</v>
      </c>
      <c r="L45" s="24">
        <v>44589.741423611107</v>
      </c>
      <c r="M45" s="7">
        <v>157</v>
      </c>
      <c r="N45" s="7">
        <v>1643392059</v>
      </c>
      <c r="O45" s="7">
        <f t="shared" si="2"/>
        <v>3</v>
      </c>
      <c r="P45" s="7">
        <v>4</v>
      </c>
      <c r="Q45" s="7">
        <v>48</v>
      </c>
      <c r="R45" s="24">
        <v>44589.740972222222</v>
      </c>
      <c r="S45" s="7" t="str">
        <f>IF(AND(O45&gt;=0,O45&lt;=Protocol!$B$9),"ACCEPT","REJECT")</f>
        <v>ACCEPT</v>
      </c>
      <c r="T45" s="7" t="str">
        <f t="shared" si="3"/>
        <v>AS-OF</v>
      </c>
      <c r="U45" s="38">
        <v>25</v>
      </c>
      <c r="V45" s="38" t="s">
        <v>577</v>
      </c>
      <c r="W45" s="38">
        <v>3</v>
      </c>
      <c r="X45" s="38" t="b">
        <v>1</v>
      </c>
      <c r="Y45" s="38" t="s">
        <v>810</v>
      </c>
    </row>
    <row r="46" spans="1:25" ht="21.95" customHeight="1" x14ac:dyDescent="0.2">
      <c r="A46" s="7">
        <v>41</v>
      </c>
      <c r="B46" s="7">
        <v>242288</v>
      </c>
      <c r="C46" s="24">
        <v>44589.741516203707</v>
      </c>
      <c r="D46" s="7">
        <v>1643392067</v>
      </c>
      <c r="E46" s="7">
        <f>D46-Protocol!$B$7</f>
        <v>298</v>
      </c>
      <c r="F46" s="7">
        <v>1354</v>
      </c>
      <c r="G46" s="7">
        <v>0</v>
      </c>
      <c r="H46" s="7">
        <v>1</v>
      </c>
      <c r="I46" s="7" t="s">
        <v>536</v>
      </c>
      <c r="J46" s="7">
        <v>-2.1469400000000001E-5</v>
      </c>
      <c r="K46" s="7">
        <v>5</v>
      </c>
      <c r="L46" s="24">
        <v>44589.741423611107</v>
      </c>
      <c r="M46" s="7">
        <v>157</v>
      </c>
      <c r="N46" s="7">
        <v>1643392059</v>
      </c>
      <c r="O46" s="7">
        <f t="shared" si="2"/>
        <v>8</v>
      </c>
      <c r="P46" s="7">
        <v>4</v>
      </c>
      <c r="Q46" s="7">
        <v>48</v>
      </c>
      <c r="R46" s="24">
        <v>44589.740972222222</v>
      </c>
      <c r="S46" s="7" t="str">
        <f>IF(AND(O46&gt;=0,O46&lt;=Protocol!$B$9),"ACCEPT","REJECT")</f>
        <v>ACCEPT</v>
      </c>
      <c r="T46" s="7" t="str">
        <f t="shared" si="3"/>
        <v>AS-OF</v>
      </c>
      <c r="U46" s="38">
        <v>25</v>
      </c>
      <c r="V46" s="38" t="s">
        <v>577</v>
      </c>
      <c r="W46" s="38">
        <v>8</v>
      </c>
      <c r="X46" s="38" t="b">
        <v>1</v>
      </c>
      <c r="Y46" s="38" t="s">
        <v>810</v>
      </c>
    </row>
    <row r="47" spans="1:25" ht="21.95" customHeight="1" x14ac:dyDescent="0.2">
      <c r="A47" s="7">
        <v>42</v>
      </c>
      <c r="B47" s="7">
        <v>242289</v>
      </c>
      <c r="C47" s="24">
        <v>44589.741574074083</v>
      </c>
      <c r="D47" s="7">
        <v>1643392072</v>
      </c>
      <c r="E47" s="7">
        <f>D47-Protocol!$B$7</f>
        <v>303</v>
      </c>
      <c r="F47" s="7">
        <v>1354</v>
      </c>
      <c r="G47" s="7">
        <v>0</v>
      </c>
      <c r="H47" s="7">
        <v>1</v>
      </c>
      <c r="I47" s="7" t="s">
        <v>536</v>
      </c>
      <c r="J47" s="7">
        <v>-1.27337E-5</v>
      </c>
      <c r="K47" s="7">
        <v>5</v>
      </c>
      <c r="L47" s="24">
        <v>44589.741539351853</v>
      </c>
      <c r="M47" s="7">
        <v>154</v>
      </c>
      <c r="N47" s="7">
        <v>1643392069</v>
      </c>
      <c r="O47" s="7">
        <f t="shared" si="2"/>
        <v>3</v>
      </c>
      <c r="P47" s="7">
        <v>3</v>
      </c>
      <c r="Q47" s="7">
        <v>48</v>
      </c>
      <c r="R47" s="24">
        <v>44589.740972222222</v>
      </c>
      <c r="S47" s="7" t="str">
        <f>IF(AND(O47&gt;=0,O47&lt;=Protocol!$B$9),"ACCEPT","REJECT")</f>
        <v>ACCEPT</v>
      </c>
      <c r="T47" s="7" t="str">
        <f t="shared" si="3"/>
        <v>AS-OF</v>
      </c>
      <c r="U47" s="38">
        <v>26</v>
      </c>
      <c r="V47" s="38" t="s">
        <v>577</v>
      </c>
      <c r="W47" s="38">
        <v>3</v>
      </c>
      <c r="X47" s="38" t="b">
        <v>1</v>
      </c>
      <c r="Y47" s="38" t="s">
        <v>810</v>
      </c>
    </row>
    <row r="48" spans="1:25" ht="21.95" customHeight="1" x14ac:dyDescent="0.2">
      <c r="A48" s="7">
        <v>43</v>
      </c>
      <c r="B48" s="7">
        <v>242290</v>
      </c>
      <c r="C48" s="24">
        <v>44589.741631944453</v>
      </c>
      <c r="D48" s="7">
        <v>1643392077</v>
      </c>
      <c r="E48" s="7">
        <f>D48-Protocol!$B$7</f>
        <v>308</v>
      </c>
      <c r="F48" s="7">
        <v>1354</v>
      </c>
      <c r="G48" s="7">
        <v>0</v>
      </c>
      <c r="H48" s="7">
        <v>1</v>
      </c>
      <c r="I48" s="7" t="s">
        <v>536</v>
      </c>
      <c r="J48" s="7">
        <v>-4.6766600000000002E-6</v>
      </c>
      <c r="K48" s="7">
        <v>5</v>
      </c>
      <c r="L48" s="24">
        <v>44589.741539351853</v>
      </c>
      <c r="M48" s="7">
        <v>154</v>
      </c>
      <c r="N48" s="7">
        <v>1643392069</v>
      </c>
      <c r="O48" s="7">
        <f t="shared" si="2"/>
        <v>8</v>
      </c>
      <c r="P48" s="7">
        <v>3</v>
      </c>
      <c r="Q48" s="7">
        <v>48</v>
      </c>
      <c r="R48" s="24">
        <v>44589.740972222222</v>
      </c>
      <c r="S48" s="7" t="str">
        <f>IF(AND(O48&gt;=0,O48&lt;=Protocol!$B$9),"ACCEPT","REJECT")</f>
        <v>ACCEPT</v>
      </c>
      <c r="T48" s="7" t="str">
        <f t="shared" si="3"/>
        <v>AS-OF</v>
      </c>
      <c r="U48" s="38">
        <v>26</v>
      </c>
      <c r="V48" s="38" t="s">
        <v>577</v>
      </c>
      <c r="W48" s="38">
        <v>8</v>
      </c>
      <c r="X48" s="38" t="b">
        <v>1</v>
      </c>
      <c r="Y48" s="38" t="s">
        <v>810</v>
      </c>
    </row>
    <row r="49" spans="1:25" ht="21.95" customHeight="1" x14ac:dyDescent="0.2">
      <c r="A49" s="7">
        <v>44</v>
      </c>
      <c r="B49" s="7">
        <v>242291</v>
      </c>
      <c r="C49" s="24">
        <v>44589.741689814808</v>
      </c>
      <c r="D49" s="7">
        <v>1643392082</v>
      </c>
      <c r="E49" s="7">
        <f>D49-Protocol!$B$7</f>
        <v>313</v>
      </c>
      <c r="F49" s="7">
        <v>1354</v>
      </c>
      <c r="G49" s="7">
        <v>0</v>
      </c>
      <c r="H49" s="7">
        <v>1</v>
      </c>
      <c r="I49" s="7" t="s">
        <v>536</v>
      </c>
      <c r="J49" s="7">
        <v>2.6948699999999998E-6</v>
      </c>
      <c r="K49" s="7">
        <v>5</v>
      </c>
      <c r="L49" s="24">
        <v>44589.741655092592</v>
      </c>
      <c r="M49" s="7">
        <v>150</v>
      </c>
      <c r="N49" s="7">
        <v>1643392079</v>
      </c>
      <c r="O49" s="7">
        <f t="shared" si="2"/>
        <v>3</v>
      </c>
      <c r="P49" s="7">
        <v>3</v>
      </c>
      <c r="Q49" s="7">
        <v>49</v>
      </c>
      <c r="R49" s="24">
        <v>44589.741666666669</v>
      </c>
      <c r="S49" s="7" t="str">
        <f>IF(AND(O49&gt;=0,O49&lt;=Protocol!$B$9),"ACCEPT","REJECT")</f>
        <v>ACCEPT</v>
      </c>
      <c r="T49" s="7" t="str">
        <f t="shared" si="3"/>
        <v>AS-OF</v>
      </c>
      <c r="U49" s="38">
        <v>27</v>
      </c>
      <c r="V49" s="38" t="s">
        <v>577</v>
      </c>
      <c r="W49" s="38">
        <v>3</v>
      </c>
      <c r="X49" s="38" t="b">
        <v>1</v>
      </c>
      <c r="Y49" s="38" t="s">
        <v>810</v>
      </c>
    </row>
    <row r="50" spans="1:25" ht="21.95" customHeight="1" x14ac:dyDescent="0.2">
      <c r="A50" s="7">
        <v>45</v>
      </c>
      <c r="B50" s="7">
        <v>242292</v>
      </c>
      <c r="C50" s="24">
        <v>44589.741747685177</v>
      </c>
      <c r="D50" s="7">
        <v>1643392087</v>
      </c>
      <c r="E50" s="7">
        <f>D50-Protocol!$B$7</f>
        <v>318</v>
      </c>
      <c r="F50" s="7">
        <v>1354</v>
      </c>
      <c r="G50" s="7">
        <v>0</v>
      </c>
      <c r="H50" s="7">
        <v>1</v>
      </c>
      <c r="I50" s="7" t="s">
        <v>536</v>
      </c>
      <c r="J50" s="7">
        <v>9.1659899999999993E-6</v>
      </c>
      <c r="K50" s="7">
        <v>5</v>
      </c>
      <c r="L50" s="24">
        <v>44589.741655092592</v>
      </c>
      <c r="M50" s="7">
        <v>150</v>
      </c>
      <c r="N50" s="7">
        <v>1643392079</v>
      </c>
      <c r="O50" s="7">
        <f t="shared" si="2"/>
        <v>8</v>
      </c>
      <c r="P50" s="7">
        <v>3</v>
      </c>
      <c r="Q50" s="7">
        <v>49</v>
      </c>
      <c r="R50" s="24">
        <v>44589.741666666669</v>
      </c>
      <c r="S50" s="7" t="str">
        <f>IF(AND(O50&gt;=0,O50&lt;=Protocol!$B$9),"ACCEPT","REJECT")</f>
        <v>ACCEPT</v>
      </c>
      <c r="T50" s="7" t="str">
        <f t="shared" si="3"/>
        <v>AS-OF</v>
      </c>
      <c r="U50" s="38">
        <v>27</v>
      </c>
      <c r="V50" s="38" t="s">
        <v>577</v>
      </c>
      <c r="W50" s="38">
        <v>8</v>
      </c>
      <c r="X50" s="38" t="b">
        <v>1</v>
      </c>
      <c r="Y50" s="38" t="s">
        <v>810</v>
      </c>
    </row>
    <row r="51" spans="1:25" ht="21.95" customHeight="1" x14ac:dyDescent="0.2">
      <c r="A51" s="7">
        <v>46</v>
      </c>
      <c r="B51" s="7">
        <v>242293</v>
      </c>
      <c r="C51" s="24">
        <v>44589.741805555554</v>
      </c>
      <c r="D51" s="7">
        <v>1643392092</v>
      </c>
      <c r="E51" s="7">
        <f>D51-Protocol!$B$7</f>
        <v>323</v>
      </c>
      <c r="F51" s="7">
        <v>1354</v>
      </c>
      <c r="G51" s="7">
        <v>0</v>
      </c>
      <c r="H51" s="7">
        <v>1</v>
      </c>
      <c r="I51" s="7" t="s">
        <v>536</v>
      </c>
      <c r="J51" s="7">
        <v>1.49564E-5</v>
      </c>
      <c r="K51" s="7">
        <v>5</v>
      </c>
      <c r="L51" s="24">
        <v>44589.741770833331</v>
      </c>
      <c r="M51" s="7">
        <v>148</v>
      </c>
      <c r="N51" s="7">
        <v>1643392089</v>
      </c>
      <c r="O51" s="7">
        <f t="shared" si="2"/>
        <v>3</v>
      </c>
      <c r="P51" s="7">
        <v>2</v>
      </c>
      <c r="Q51" s="7">
        <v>49</v>
      </c>
      <c r="R51" s="24">
        <v>44589.741666666669</v>
      </c>
      <c r="S51" s="7" t="str">
        <f>IF(AND(O51&gt;=0,O51&lt;=Protocol!$B$9),"ACCEPT","REJECT")</f>
        <v>ACCEPT</v>
      </c>
      <c r="T51" s="7" t="str">
        <f t="shared" si="3"/>
        <v>AS-OF</v>
      </c>
      <c r="U51" s="38">
        <v>28</v>
      </c>
      <c r="V51" s="38" t="s">
        <v>577</v>
      </c>
      <c r="W51" s="38">
        <v>3</v>
      </c>
      <c r="X51" s="38" t="b">
        <v>1</v>
      </c>
      <c r="Y51" s="38" t="s">
        <v>810</v>
      </c>
    </row>
    <row r="52" spans="1:25" ht="21.95" customHeight="1" x14ac:dyDescent="0.2">
      <c r="A52" s="7">
        <v>47</v>
      </c>
      <c r="B52" s="7">
        <v>242294</v>
      </c>
      <c r="C52" s="24">
        <v>44589.741863425923</v>
      </c>
      <c r="D52" s="7">
        <v>1643392097</v>
      </c>
      <c r="E52" s="7">
        <f>D52-Protocol!$B$7</f>
        <v>328</v>
      </c>
      <c r="F52" s="7">
        <v>1354</v>
      </c>
      <c r="G52" s="7">
        <v>0</v>
      </c>
      <c r="H52" s="7">
        <v>1</v>
      </c>
      <c r="I52" s="7" t="s">
        <v>536</v>
      </c>
      <c r="J52" s="7">
        <v>1.7980599999999999E-5</v>
      </c>
      <c r="K52" s="7">
        <v>5</v>
      </c>
      <c r="L52" s="24">
        <v>44589.741770833331</v>
      </c>
      <c r="M52" s="7">
        <v>148</v>
      </c>
      <c r="N52" s="7">
        <v>1643392089</v>
      </c>
      <c r="O52" s="7">
        <f t="shared" si="2"/>
        <v>8</v>
      </c>
      <c r="P52" s="7">
        <v>2</v>
      </c>
      <c r="Q52" s="7">
        <v>49</v>
      </c>
      <c r="R52" s="24">
        <v>44589.741666666669</v>
      </c>
      <c r="S52" s="7" t="str">
        <f>IF(AND(O52&gt;=0,O52&lt;=Protocol!$B$9),"ACCEPT","REJECT")</f>
        <v>ACCEPT</v>
      </c>
      <c r="T52" s="7" t="str">
        <f t="shared" si="3"/>
        <v>AS-OF</v>
      </c>
      <c r="U52" s="38">
        <v>28</v>
      </c>
      <c r="V52" s="38" t="s">
        <v>577</v>
      </c>
      <c r="W52" s="38">
        <v>8</v>
      </c>
      <c r="X52" s="38" t="b">
        <v>1</v>
      </c>
      <c r="Y52" s="38" t="s">
        <v>810</v>
      </c>
    </row>
    <row r="53" spans="1:25" ht="21.95" customHeight="1" x14ac:dyDescent="0.2">
      <c r="A53" s="7">
        <v>48</v>
      </c>
      <c r="B53" s="7">
        <v>242295</v>
      </c>
      <c r="C53" s="24">
        <v>44589.7419212963</v>
      </c>
      <c r="D53" s="7">
        <v>1643392102</v>
      </c>
      <c r="E53" s="7">
        <f>D53-Protocol!$B$7</f>
        <v>333</v>
      </c>
      <c r="F53" s="7">
        <v>1354</v>
      </c>
      <c r="G53" s="7">
        <v>0</v>
      </c>
      <c r="H53" s="7">
        <v>1</v>
      </c>
      <c r="I53" s="7" t="s">
        <v>536</v>
      </c>
      <c r="J53" s="7">
        <v>2.1971300000000001E-5</v>
      </c>
      <c r="K53" s="7">
        <v>5</v>
      </c>
      <c r="L53" s="24">
        <v>44589.741886574076</v>
      </c>
      <c r="M53" s="7">
        <v>146</v>
      </c>
      <c r="N53" s="7">
        <v>1643392099</v>
      </c>
      <c r="O53" s="7">
        <f t="shared" si="2"/>
        <v>3</v>
      </c>
      <c r="P53" s="7">
        <v>1</v>
      </c>
      <c r="Q53" s="7">
        <v>49</v>
      </c>
      <c r="R53" s="24">
        <v>44589.741666666669</v>
      </c>
      <c r="S53" s="7" t="str">
        <f>IF(AND(O53&gt;=0,O53&lt;=Protocol!$B$9),"ACCEPT","REJECT")</f>
        <v>ACCEPT</v>
      </c>
      <c r="T53" s="7" t="str">
        <f t="shared" si="3"/>
        <v>AS-OF</v>
      </c>
      <c r="U53" s="38">
        <v>29</v>
      </c>
      <c r="V53" s="38" t="s">
        <v>590</v>
      </c>
      <c r="W53" s="38">
        <v>13</v>
      </c>
      <c r="X53" s="38" t="b">
        <v>0</v>
      </c>
      <c r="Y53" s="38" t="s">
        <v>810</v>
      </c>
    </row>
    <row r="54" spans="1:25" ht="21.95" customHeight="1" x14ac:dyDescent="0.2">
      <c r="A54" s="7">
        <v>49</v>
      </c>
      <c r="B54" s="7">
        <v>242296</v>
      </c>
      <c r="C54" s="24">
        <v>44589.741979166669</v>
      </c>
      <c r="D54" s="7">
        <v>1643392107</v>
      </c>
      <c r="E54" s="7">
        <f>D54-Protocol!$B$7</f>
        <v>338</v>
      </c>
      <c r="F54" s="7">
        <v>1354</v>
      </c>
      <c r="G54" s="7">
        <v>0</v>
      </c>
      <c r="H54" s="7">
        <v>1</v>
      </c>
      <c r="I54" s="7" t="s">
        <v>536</v>
      </c>
      <c r="J54" s="7">
        <v>2.1852300000000001E-5</v>
      </c>
      <c r="K54" s="7">
        <v>5</v>
      </c>
      <c r="L54" s="24">
        <v>44589.741886574076</v>
      </c>
      <c r="M54" s="7">
        <v>146</v>
      </c>
      <c r="N54" s="7">
        <v>1643392099</v>
      </c>
      <c r="O54" s="7">
        <f t="shared" si="2"/>
        <v>8</v>
      </c>
      <c r="P54" s="7">
        <v>1</v>
      </c>
      <c r="Q54" s="7">
        <v>49</v>
      </c>
      <c r="R54" s="24">
        <v>44589.741666666669</v>
      </c>
      <c r="S54" s="7" t="str">
        <f>IF(AND(O54&gt;=0,O54&lt;=Protocol!$B$9),"ACCEPT","REJECT")</f>
        <v>ACCEPT</v>
      </c>
      <c r="T54" s="7" t="str">
        <f t="shared" si="3"/>
        <v>AS-OF</v>
      </c>
      <c r="U54" s="38">
        <v>29</v>
      </c>
      <c r="V54" s="38" t="s">
        <v>590</v>
      </c>
      <c r="W54" s="38">
        <v>18</v>
      </c>
      <c r="X54" s="38" t="b">
        <v>0</v>
      </c>
      <c r="Y54" s="38" t="s">
        <v>810</v>
      </c>
    </row>
    <row r="55" spans="1:25" ht="21.95" customHeight="1" x14ac:dyDescent="0.2">
      <c r="A55" s="7">
        <v>50</v>
      </c>
      <c r="B55" s="7">
        <v>242297</v>
      </c>
      <c r="C55" s="24">
        <v>44589.742037037038</v>
      </c>
      <c r="D55" s="7">
        <v>1643392112</v>
      </c>
      <c r="E55" s="7">
        <f>D55-Protocol!$B$7</f>
        <v>343</v>
      </c>
      <c r="F55" s="7">
        <v>1354</v>
      </c>
      <c r="G55" s="7">
        <v>0</v>
      </c>
      <c r="H55" s="7">
        <v>1</v>
      </c>
      <c r="I55" s="7" t="s">
        <v>536</v>
      </c>
      <c r="J55" s="7">
        <v>1.9342299999999999E-5</v>
      </c>
      <c r="K55" s="7">
        <v>5</v>
      </c>
      <c r="L55" s="24">
        <v>44589.742002314822</v>
      </c>
      <c r="M55" s="7">
        <v>144</v>
      </c>
      <c r="N55" s="7">
        <v>1643392109</v>
      </c>
      <c r="O55" s="7">
        <f t="shared" si="2"/>
        <v>3</v>
      </c>
      <c r="P55" s="7">
        <v>3</v>
      </c>
      <c r="Q55" s="7">
        <v>49</v>
      </c>
      <c r="R55" s="24">
        <v>44589.741666666669</v>
      </c>
      <c r="S55" s="7" t="str">
        <f>IF(AND(O55&gt;=0,O55&lt;=Protocol!$B$9),"ACCEPT","REJECT")</f>
        <v>ACCEPT</v>
      </c>
      <c r="T55" s="7" t="str">
        <f t="shared" si="3"/>
        <v>AS-OF</v>
      </c>
      <c r="U55" s="38">
        <v>30</v>
      </c>
      <c r="V55" s="38" t="s">
        <v>577</v>
      </c>
      <c r="W55" s="38">
        <v>3</v>
      </c>
      <c r="X55" s="38" t="b">
        <v>1</v>
      </c>
      <c r="Y55" s="38" t="s">
        <v>810</v>
      </c>
    </row>
    <row r="56" spans="1:25" ht="21.95" customHeight="1" x14ac:dyDescent="0.2">
      <c r="A56" s="7">
        <v>51</v>
      </c>
      <c r="B56" s="7">
        <v>242298</v>
      </c>
      <c r="C56" s="24">
        <v>44589.742094907408</v>
      </c>
      <c r="D56" s="7">
        <v>1643392117</v>
      </c>
      <c r="E56" s="7">
        <f>D56-Protocol!$B$7</f>
        <v>348</v>
      </c>
      <c r="F56" s="7">
        <v>1354</v>
      </c>
      <c r="G56" s="7">
        <v>0</v>
      </c>
      <c r="H56" s="7">
        <v>1</v>
      </c>
      <c r="I56" s="7" t="s">
        <v>536</v>
      </c>
      <c r="J56" s="7">
        <v>1.5606600000000001E-5</v>
      </c>
      <c r="K56" s="7">
        <v>5</v>
      </c>
      <c r="L56" s="24">
        <v>44589.742002314822</v>
      </c>
      <c r="M56" s="7">
        <v>144</v>
      </c>
      <c r="N56" s="7">
        <v>1643392109</v>
      </c>
      <c r="O56" s="7">
        <f t="shared" si="2"/>
        <v>8</v>
      </c>
      <c r="P56" s="7">
        <v>3</v>
      </c>
      <c r="Q56" s="7">
        <v>49</v>
      </c>
      <c r="R56" s="24">
        <v>44589.741666666669</v>
      </c>
      <c r="S56" s="7" t="str">
        <f>IF(AND(O56&gt;=0,O56&lt;=Protocol!$B$9),"ACCEPT","REJECT")</f>
        <v>ACCEPT</v>
      </c>
      <c r="T56" s="7" t="str">
        <f t="shared" si="3"/>
        <v>AS-OF</v>
      </c>
      <c r="U56" s="38">
        <v>30</v>
      </c>
      <c r="V56" s="38" t="s">
        <v>577</v>
      </c>
      <c r="W56" s="38">
        <v>8</v>
      </c>
      <c r="X56" s="38" t="b">
        <v>1</v>
      </c>
      <c r="Y56" s="38" t="s">
        <v>810</v>
      </c>
    </row>
    <row r="57" spans="1:25" ht="21.95" customHeight="1" x14ac:dyDescent="0.2">
      <c r="A57" s="7">
        <v>52</v>
      </c>
      <c r="B57" s="7">
        <v>242299</v>
      </c>
      <c r="C57" s="24">
        <v>44589.742164351846</v>
      </c>
      <c r="D57" s="7">
        <v>1643392123</v>
      </c>
      <c r="E57" s="7">
        <f>D57-Protocol!$B$7</f>
        <v>354</v>
      </c>
      <c r="F57" s="7">
        <v>1354</v>
      </c>
      <c r="G57" s="7">
        <v>0</v>
      </c>
      <c r="H57" s="7">
        <v>1</v>
      </c>
      <c r="I57" s="7" t="s">
        <v>536</v>
      </c>
      <c r="J57" s="7">
        <v>9.6909599999999998E-6</v>
      </c>
      <c r="K57" s="7">
        <v>5</v>
      </c>
      <c r="L57" s="24">
        <v>44589.742118055547</v>
      </c>
      <c r="M57" s="7">
        <v>142</v>
      </c>
      <c r="N57" s="7">
        <v>1643392119</v>
      </c>
      <c r="O57" s="7">
        <f t="shared" si="2"/>
        <v>4</v>
      </c>
      <c r="P57" s="7">
        <v>2</v>
      </c>
      <c r="Q57" s="7">
        <v>49</v>
      </c>
      <c r="R57" s="24">
        <v>44589.741666666669</v>
      </c>
      <c r="S57" s="7" t="str">
        <f>IF(AND(O57&gt;=0,O57&lt;=Protocol!$B$9),"ACCEPT","REJECT")</f>
        <v>ACCEPT</v>
      </c>
      <c r="T57" s="7" t="str">
        <f t="shared" si="3"/>
        <v>AS-OF</v>
      </c>
      <c r="U57" s="38">
        <v>31</v>
      </c>
      <c r="V57" s="38" t="s">
        <v>577</v>
      </c>
      <c r="W57" s="38">
        <v>4</v>
      </c>
      <c r="X57" s="38" t="b">
        <v>1</v>
      </c>
      <c r="Y57" s="38" t="s">
        <v>810</v>
      </c>
    </row>
    <row r="58" spans="1:25" ht="21.95" customHeight="1" x14ac:dyDescent="0.2">
      <c r="A58" s="7">
        <v>53</v>
      </c>
      <c r="B58" s="7">
        <v>242300</v>
      </c>
      <c r="C58" s="24">
        <v>44589.742222222223</v>
      </c>
      <c r="D58" s="7">
        <v>1643392128</v>
      </c>
      <c r="E58" s="7">
        <f>D58-Protocol!$B$7</f>
        <v>359</v>
      </c>
      <c r="F58" s="7">
        <v>1354</v>
      </c>
      <c r="G58" s="7">
        <v>0</v>
      </c>
      <c r="H58" s="7">
        <v>1</v>
      </c>
      <c r="I58" s="7" t="s">
        <v>536</v>
      </c>
      <c r="J58" s="7">
        <v>1.99844E-6</v>
      </c>
      <c r="K58" s="7">
        <v>5</v>
      </c>
      <c r="L58" s="24">
        <v>44589.742118055547</v>
      </c>
      <c r="M58" s="7">
        <v>142</v>
      </c>
      <c r="N58" s="7">
        <v>1643392119</v>
      </c>
      <c r="O58" s="7">
        <f t="shared" si="2"/>
        <v>9</v>
      </c>
      <c r="P58" s="7">
        <v>2</v>
      </c>
      <c r="Q58" s="7">
        <v>49</v>
      </c>
      <c r="R58" s="24">
        <v>44589.741666666669</v>
      </c>
      <c r="S58" s="7" t="str">
        <f>IF(AND(O58&gt;=0,O58&lt;=Protocol!$B$9),"ACCEPT","REJECT")</f>
        <v>ACCEPT</v>
      </c>
      <c r="T58" s="7" t="str">
        <f t="shared" si="3"/>
        <v>AS-OF</v>
      </c>
      <c r="U58" s="38">
        <v>31</v>
      </c>
      <c r="V58" s="38" t="s">
        <v>577</v>
      </c>
      <c r="W58" s="38">
        <v>9</v>
      </c>
      <c r="X58" s="38" t="b">
        <v>1</v>
      </c>
      <c r="Y58" s="38" t="s">
        <v>810</v>
      </c>
    </row>
    <row r="59" spans="1:25" ht="21.95" customHeight="1" x14ac:dyDescent="0.2">
      <c r="A59" s="7">
        <v>54</v>
      </c>
      <c r="B59" s="7">
        <v>242301</v>
      </c>
      <c r="C59" s="24">
        <v>44589.742280092592</v>
      </c>
      <c r="D59" s="7">
        <v>1643392133</v>
      </c>
      <c r="E59" s="7">
        <f>D59-Protocol!$B$7</f>
        <v>364</v>
      </c>
      <c r="F59" s="7">
        <v>1354</v>
      </c>
      <c r="G59" s="7">
        <v>0</v>
      </c>
      <c r="H59" s="7">
        <v>1</v>
      </c>
      <c r="I59" s="7" t="s">
        <v>536</v>
      </c>
      <c r="J59" s="7">
        <v>-6.7877399999999997E-6</v>
      </c>
      <c r="K59" s="7">
        <v>5</v>
      </c>
      <c r="L59" s="24">
        <v>44589.7422337963</v>
      </c>
      <c r="M59" s="7">
        <v>139</v>
      </c>
      <c r="N59" s="7">
        <v>1643392129</v>
      </c>
      <c r="O59" s="7">
        <f t="shared" si="2"/>
        <v>4</v>
      </c>
      <c r="P59" s="7">
        <v>3</v>
      </c>
      <c r="Q59" s="7">
        <v>49</v>
      </c>
      <c r="R59" s="24">
        <v>44589.741666666669</v>
      </c>
      <c r="S59" s="7" t="str">
        <f>IF(AND(O59&gt;=0,O59&lt;=Protocol!$B$9),"ACCEPT","REJECT")</f>
        <v>ACCEPT</v>
      </c>
      <c r="T59" s="7" t="str">
        <f t="shared" si="3"/>
        <v>AS-OF</v>
      </c>
      <c r="U59" s="38">
        <v>32</v>
      </c>
      <c r="V59" s="38" t="s">
        <v>577</v>
      </c>
      <c r="W59" s="38">
        <v>4</v>
      </c>
      <c r="X59" s="38" t="b">
        <v>1</v>
      </c>
      <c r="Y59" s="38" t="s">
        <v>810</v>
      </c>
    </row>
    <row r="60" spans="1:25" ht="21.95" customHeight="1" x14ac:dyDescent="0.2">
      <c r="A60" s="7">
        <v>55</v>
      </c>
      <c r="B60" s="7">
        <v>242302</v>
      </c>
      <c r="C60" s="24">
        <v>44589.742337962962</v>
      </c>
      <c r="D60" s="7">
        <v>1643392138</v>
      </c>
      <c r="E60" s="7">
        <f>D60-Protocol!$B$7</f>
        <v>369</v>
      </c>
      <c r="F60" s="7">
        <v>1354</v>
      </c>
      <c r="G60" s="7">
        <v>0</v>
      </c>
      <c r="H60" s="7">
        <v>1</v>
      </c>
      <c r="I60" s="7" t="s">
        <v>536</v>
      </c>
      <c r="J60" s="7">
        <v>-1.52756E-5</v>
      </c>
      <c r="K60" s="7">
        <v>5</v>
      </c>
      <c r="L60" s="24">
        <v>44589.7422337963</v>
      </c>
      <c r="M60" s="7">
        <v>139</v>
      </c>
      <c r="N60" s="7">
        <v>1643392129</v>
      </c>
      <c r="O60" s="7">
        <f t="shared" si="2"/>
        <v>9</v>
      </c>
      <c r="P60" s="7">
        <v>3</v>
      </c>
      <c r="Q60" s="7">
        <v>49</v>
      </c>
      <c r="R60" s="24">
        <v>44589.741666666669</v>
      </c>
      <c r="S60" s="7" t="str">
        <f>IF(AND(O60&gt;=0,O60&lt;=Protocol!$B$9),"ACCEPT","REJECT")</f>
        <v>ACCEPT</v>
      </c>
      <c r="T60" s="7" t="str">
        <f t="shared" si="3"/>
        <v>AS-OF</v>
      </c>
      <c r="U60" s="38">
        <v>32</v>
      </c>
      <c r="V60" s="38" t="s">
        <v>577</v>
      </c>
      <c r="W60" s="38">
        <v>9</v>
      </c>
      <c r="X60" s="38" t="b">
        <v>1</v>
      </c>
      <c r="Y60" s="38" t="s">
        <v>810</v>
      </c>
    </row>
    <row r="61" spans="1:25" ht="21.95" customHeight="1" x14ac:dyDescent="0.2">
      <c r="A61" s="7">
        <v>56</v>
      </c>
      <c r="B61" s="7">
        <v>242303</v>
      </c>
      <c r="C61" s="24">
        <v>44589.742395833331</v>
      </c>
      <c r="D61" s="7">
        <v>1643392143</v>
      </c>
      <c r="E61" s="7">
        <f>D61-Protocol!$B$7</f>
        <v>374</v>
      </c>
      <c r="F61" s="7">
        <v>1354</v>
      </c>
      <c r="G61" s="7">
        <v>0</v>
      </c>
      <c r="H61" s="7">
        <v>1</v>
      </c>
      <c r="I61" s="7" t="s">
        <v>536</v>
      </c>
      <c r="J61" s="7">
        <v>-2.16958E-5</v>
      </c>
      <c r="K61" s="7">
        <v>5</v>
      </c>
      <c r="L61" s="24">
        <v>44589.742349537039</v>
      </c>
      <c r="M61" s="7">
        <v>137</v>
      </c>
      <c r="N61" s="7">
        <v>1643392139</v>
      </c>
      <c r="O61" s="7">
        <f t="shared" si="2"/>
        <v>4</v>
      </c>
      <c r="P61" s="7">
        <v>2</v>
      </c>
      <c r="Q61" s="7">
        <v>50</v>
      </c>
      <c r="R61" s="24">
        <v>44589.742361111108</v>
      </c>
      <c r="S61" s="7" t="str">
        <f>IF(AND(O61&gt;=0,O61&lt;=Protocol!$B$9),"ACCEPT","REJECT")</f>
        <v>ACCEPT</v>
      </c>
      <c r="T61" s="7" t="str">
        <f t="shared" si="3"/>
        <v>AS-OF</v>
      </c>
      <c r="U61" s="38">
        <v>33</v>
      </c>
      <c r="V61" s="38" t="s">
        <v>577</v>
      </c>
      <c r="W61" s="38">
        <v>4</v>
      </c>
      <c r="X61" s="38" t="b">
        <v>1</v>
      </c>
      <c r="Y61" s="38" t="s">
        <v>810</v>
      </c>
    </row>
    <row r="62" spans="1:25" ht="21.95" customHeight="1" x14ac:dyDescent="0.2">
      <c r="A62" s="7">
        <v>57</v>
      </c>
      <c r="B62" s="7">
        <v>242304</v>
      </c>
      <c r="C62" s="24">
        <v>44589.7424537037</v>
      </c>
      <c r="D62" s="7">
        <v>1643392148</v>
      </c>
      <c r="E62" s="7">
        <f>D62-Protocol!$B$7</f>
        <v>379</v>
      </c>
      <c r="F62" s="7">
        <v>1354</v>
      </c>
      <c r="G62" s="7">
        <v>0</v>
      </c>
      <c r="H62" s="7">
        <v>1</v>
      </c>
      <c r="I62" s="7" t="s">
        <v>536</v>
      </c>
      <c r="J62" s="7">
        <v>-2.6191100000000001E-5</v>
      </c>
      <c r="K62" s="7">
        <v>5</v>
      </c>
      <c r="L62" s="24">
        <v>44589.742349537039</v>
      </c>
      <c r="M62" s="7">
        <v>137</v>
      </c>
      <c r="N62" s="7">
        <v>1643392139</v>
      </c>
      <c r="O62" s="7">
        <f t="shared" si="2"/>
        <v>9</v>
      </c>
      <c r="P62" s="7">
        <v>2</v>
      </c>
      <c r="Q62" s="7">
        <v>50</v>
      </c>
      <c r="R62" s="24">
        <v>44589.742361111108</v>
      </c>
      <c r="S62" s="7" t="str">
        <f>IF(AND(O62&gt;=0,O62&lt;=Protocol!$B$9),"ACCEPT","REJECT")</f>
        <v>ACCEPT</v>
      </c>
      <c r="T62" s="7" t="str">
        <f t="shared" si="3"/>
        <v>AS-OF</v>
      </c>
      <c r="U62" s="38">
        <v>33</v>
      </c>
      <c r="V62" s="38" t="s">
        <v>577</v>
      </c>
      <c r="W62" s="38">
        <v>9</v>
      </c>
      <c r="X62" s="38" t="b">
        <v>1</v>
      </c>
      <c r="Y62" s="38" t="s">
        <v>810</v>
      </c>
    </row>
    <row r="63" spans="1:25" ht="21.95" customHeight="1" x14ac:dyDescent="0.2">
      <c r="A63" s="7">
        <v>58</v>
      </c>
      <c r="B63" s="7">
        <v>242305</v>
      </c>
      <c r="C63" s="24">
        <v>44589.742511574077</v>
      </c>
      <c r="D63" s="7">
        <v>1643392153</v>
      </c>
      <c r="E63" s="7">
        <f>D63-Protocol!$B$7</f>
        <v>384</v>
      </c>
      <c r="F63" s="7">
        <v>1355</v>
      </c>
      <c r="G63" s="7">
        <v>0</v>
      </c>
      <c r="H63" s="7">
        <v>1</v>
      </c>
      <c r="I63" s="7" t="s">
        <v>536</v>
      </c>
      <c r="J63" s="7">
        <v>-2.7572999999999998E-5</v>
      </c>
      <c r="K63" s="7">
        <v>5</v>
      </c>
      <c r="L63" s="24">
        <v>44589.742465277777</v>
      </c>
      <c r="M63" s="7">
        <v>135</v>
      </c>
      <c r="N63" s="7">
        <v>1643392149</v>
      </c>
      <c r="O63" s="7">
        <f t="shared" si="2"/>
        <v>4</v>
      </c>
      <c r="P63" s="7">
        <v>1</v>
      </c>
      <c r="Q63" s="7">
        <v>50</v>
      </c>
      <c r="R63" s="24">
        <v>44589.742361111108</v>
      </c>
      <c r="S63" s="7" t="str">
        <f>IF(AND(O63&gt;=0,O63&lt;=Protocol!$B$9),"ACCEPT","REJECT")</f>
        <v>ACCEPT</v>
      </c>
      <c r="T63" s="7" t="str">
        <f t="shared" si="3"/>
        <v>AS-OF</v>
      </c>
      <c r="U63" s="38">
        <v>34</v>
      </c>
      <c r="V63" s="38" t="s">
        <v>577</v>
      </c>
      <c r="W63" s="38">
        <v>4</v>
      </c>
      <c r="X63" s="38" t="b">
        <v>1</v>
      </c>
      <c r="Y63" s="38" t="s">
        <v>810</v>
      </c>
    </row>
    <row r="64" spans="1:25" ht="21.95" customHeight="1" x14ac:dyDescent="0.2">
      <c r="A64" s="7">
        <v>59</v>
      </c>
      <c r="B64" s="7">
        <v>242306</v>
      </c>
      <c r="C64" s="24">
        <v>44589.742569444446</v>
      </c>
      <c r="D64" s="7">
        <v>1643392158</v>
      </c>
      <c r="E64" s="7">
        <f>D64-Protocol!$B$7</f>
        <v>389</v>
      </c>
      <c r="F64" s="7">
        <v>1355</v>
      </c>
      <c r="G64" s="7">
        <v>0</v>
      </c>
      <c r="H64" s="7">
        <v>1</v>
      </c>
      <c r="I64" s="7" t="s">
        <v>536</v>
      </c>
      <c r="J64" s="7">
        <v>-2.6528799999999999E-5</v>
      </c>
      <c r="K64" s="7">
        <v>5</v>
      </c>
      <c r="L64" s="24">
        <v>44589.742465277777</v>
      </c>
      <c r="M64" s="7">
        <v>135</v>
      </c>
      <c r="N64" s="7">
        <v>1643392149</v>
      </c>
      <c r="O64" s="7">
        <f t="shared" si="2"/>
        <v>9</v>
      </c>
      <c r="P64" s="7">
        <v>1</v>
      </c>
      <c r="Q64" s="7">
        <v>50</v>
      </c>
      <c r="R64" s="24">
        <v>44589.742361111108</v>
      </c>
      <c r="S64" s="7" t="str">
        <f>IF(AND(O64&gt;=0,O64&lt;=Protocol!$B$9),"ACCEPT","REJECT")</f>
        <v>ACCEPT</v>
      </c>
      <c r="T64" s="7" t="str">
        <f t="shared" si="3"/>
        <v>AS-OF</v>
      </c>
      <c r="U64" s="38">
        <v>34</v>
      </c>
      <c r="V64" s="38" t="s">
        <v>577</v>
      </c>
      <c r="W64" s="38">
        <v>9</v>
      </c>
      <c r="X64" s="38" t="b">
        <v>1</v>
      </c>
      <c r="Y64" s="38" t="s">
        <v>810</v>
      </c>
    </row>
    <row r="65" spans="1:25" ht="21.95" customHeight="1" x14ac:dyDescent="0.2">
      <c r="A65" s="7">
        <v>60</v>
      </c>
      <c r="B65" s="7">
        <v>242307</v>
      </c>
      <c r="C65" s="24">
        <v>44589.742627314823</v>
      </c>
      <c r="D65" s="7">
        <v>1643392163</v>
      </c>
      <c r="E65" s="7">
        <f>D65-Protocol!$B$7</f>
        <v>394</v>
      </c>
      <c r="F65" s="7">
        <v>1355</v>
      </c>
      <c r="G65" s="7">
        <v>0</v>
      </c>
      <c r="H65" s="7">
        <v>1</v>
      </c>
      <c r="I65" s="7" t="s">
        <v>536</v>
      </c>
      <c r="J65" s="7">
        <v>-2.2311999999999999E-5</v>
      </c>
      <c r="K65" s="7">
        <v>5</v>
      </c>
      <c r="L65" s="24">
        <v>44589.742581018523</v>
      </c>
      <c r="M65" s="7">
        <v>134</v>
      </c>
      <c r="N65" s="7">
        <v>1643392159</v>
      </c>
      <c r="O65" s="7">
        <f t="shared" si="2"/>
        <v>4</v>
      </c>
      <c r="P65" s="7">
        <v>1</v>
      </c>
      <c r="Q65" s="7">
        <v>50</v>
      </c>
      <c r="R65" s="24">
        <v>44589.742361111108</v>
      </c>
      <c r="S65" s="7" t="str">
        <f>IF(AND(O65&gt;=0,O65&lt;=Protocol!$B$9),"ACCEPT","REJECT")</f>
        <v>ACCEPT</v>
      </c>
      <c r="T65" s="7" t="str">
        <f t="shared" si="3"/>
        <v>AS-OF</v>
      </c>
      <c r="U65" s="38">
        <v>35</v>
      </c>
      <c r="V65" s="38" t="s">
        <v>577</v>
      </c>
      <c r="W65" s="38">
        <v>4</v>
      </c>
      <c r="X65" s="38" t="b">
        <v>1</v>
      </c>
      <c r="Y65" s="38" t="s">
        <v>810</v>
      </c>
    </row>
    <row r="66" spans="1:25" ht="21.95" customHeight="1" x14ac:dyDescent="0.2">
      <c r="A66" s="7">
        <v>61</v>
      </c>
      <c r="B66" s="7">
        <v>242308</v>
      </c>
      <c r="C66" s="24">
        <v>44589.742685185192</v>
      </c>
      <c r="D66" s="7">
        <v>1643392168</v>
      </c>
      <c r="E66" s="7">
        <f>D66-Protocol!$B$7</f>
        <v>399</v>
      </c>
      <c r="F66" s="7">
        <v>1355</v>
      </c>
      <c r="G66" s="7">
        <v>0</v>
      </c>
      <c r="H66" s="7">
        <v>1</v>
      </c>
      <c r="I66" s="7" t="s">
        <v>536</v>
      </c>
      <c r="J66" s="7">
        <v>-1.60329E-5</v>
      </c>
      <c r="K66" s="7">
        <v>5</v>
      </c>
      <c r="L66" s="24">
        <v>44589.742581018523</v>
      </c>
      <c r="M66" s="7">
        <v>134</v>
      </c>
      <c r="N66" s="7">
        <v>1643392159</v>
      </c>
      <c r="O66" s="7">
        <f t="shared" si="2"/>
        <v>9</v>
      </c>
      <c r="P66" s="7">
        <v>1</v>
      </c>
      <c r="Q66" s="7">
        <v>50</v>
      </c>
      <c r="R66" s="24">
        <v>44589.742361111108</v>
      </c>
      <c r="S66" s="7" t="str">
        <f>IF(AND(O66&gt;=0,O66&lt;=Protocol!$B$9),"ACCEPT","REJECT")</f>
        <v>ACCEPT</v>
      </c>
      <c r="T66" s="7" t="str">
        <f t="shared" si="3"/>
        <v>AS-OF</v>
      </c>
      <c r="U66" s="38">
        <v>35</v>
      </c>
      <c r="V66" s="38" t="s">
        <v>577</v>
      </c>
      <c r="W66" s="38">
        <v>9</v>
      </c>
      <c r="X66" s="38" t="b">
        <v>1</v>
      </c>
      <c r="Y66" s="38" t="s">
        <v>810</v>
      </c>
    </row>
    <row r="67" spans="1:25" ht="21.95" customHeight="1" x14ac:dyDescent="0.2">
      <c r="A67" s="7">
        <v>62</v>
      </c>
      <c r="B67" s="7">
        <v>242309</v>
      </c>
      <c r="C67" s="24">
        <v>44589.742743055547</v>
      </c>
      <c r="D67" s="7">
        <v>1643392173</v>
      </c>
      <c r="E67" s="7">
        <f>D67-Protocol!$B$7</f>
        <v>404</v>
      </c>
      <c r="F67" s="7">
        <v>1355</v>
      </c>
      <c r="G67" s="7">
        <v>0</v>
      </c>
      <c r="H67" s="7">
        <v>1</v>
      </c>
      <c r="I67" s="7" t="s">
        <v>536</v>
      </c>
      <c r="J67" s="7">
        <v>-6.9269800000000002E-6</v>
      </c>
      <c r="K67" s="7">
        <v>5</v>
      </c>
      <c r="L67" s="24">
        <v>44589.742696759262</v>
      </c>
      <c r="M67" s="7">
        <v>132</v>
      </c>
      <c r="N67" s="7">
        <v>1643392169</v>
      </c>
      <c r="O67" s="7">
        <f t="shared" si="2"/>
        <v>4</v>
      </c>
      <c r="P67" s="7">
        <v>3</v>
      </c>
      <c r="Q67" s="7">
        <v>50</v>
      </c>
      <c r="R67" s="24">
        <v>44589.742361111108</v>
      </c>
      <c r="S67" s="7" t="str">
        <f>IF(AND(O67&gt;=0,O67&lt;=Protocol!$B$9),"ACCEPT","REJECT")</f>
        <v>ACCEPT</v>
      </c>
      <c r="T67" s="7" t="str">
        <f t="shared" si="3"/>
        <v>AS-OF</v>
      </c>
      <c r="U67" s="38">
        <v>36</v>
      </c>
      <c r="V67" s="38" t="s">
        <v>577</v>
      </c>
      <c r="W67" s="38">
        <v>4</v>
      </c>
      <c r="X67" s="38" t="b">
        <v>1</v>
      </c>
      <c r="Y67" s="38" t="s">
        <v>810</v>
      </c>
    </row>
    <row r="68" spans="1:25" ht="21.95" customHeight="1" x14ac:dyDescent="0.2">
      <c r="A68" s="7">
        <v>63</v>
      </c>
      <c r="B68" s="7">
        <v>242310</v>
      </c>
      <c r="C68" s="24">
        <v>44589.742800925917</v>
      </c>
      <c r="D68" s="7">
        <v>1643392178</v>
      </c>
      <c r="E68" s="7">
        <f>D68-Protocol!$B$7</f>
        <v>409</v>
      </c>
      <c r="F68" s="7">
        <v>1355</v>
      </c>
      <c r="G68" s="7">
        <v>0</v>
      </c>
      <c r="H68" s="7">
        <v>1</v>
      </c>
      <c r="I68" s="7" t="s">
        <v>536</v>
      </c>
      <c r="J68" s="7">
        <v>3.5022199999999998E-6</v>
      </c>
      <c r="K68" s="7">
        <v>5</v>
      </c>
      <c r="L68" s="24">
        <v>44589.742696759262</v>
      </c>
      <c r="M68" s="7">
        <v>132</v>
      </c>
      <c r="N68" s="7">
        <v>1643392169</v>
      </c>
      <c r="O68" s="7">
        <f t="shared" si="2"/>
        <v>9</v>
      </c>
      <c r="P68" s="7">
        <v>3</v>
      </c>
      <c r="Q68" s="7">
        <v>50</v>
      </c>
      <c r="R68" s="24">
        <v>44589.742361111108</v>
      </c>
      <c r="S68" s="7" t="str">
        <f>IF(AND(O68&gt;=0,O68&lt;=Protocol!$B$9),"ACCEPT","REJECT")</f>
        <v>ACCEPT</v>
      </c>
      <c r="T68" s="7" t="str">
        <f t="shared" si="3"/>
        <v>AS-OF</v>
      </c>
      <c r="U68" s="38">
        <v>36</v>
      </c>
      <c r="V68" s="38" t="s">
        <v>577</v>
      </c>
      <c r="W68" s="38">
        <v>9</v>
      </c>
      <c r="X68" s="38" t="b">
        <v>1</v>
      </c>
      <c r="Y68" s="38" t="s">
        <v>810</v>
      </c>
    </row>
    <row r="69" spans="1:25" ht="21.95" customHeight="1" x14ac:dyDescent="0.2">
      <c r="A69" s="7">
        <v>64</v>
      </c>
      <c r="B69" s="7">
        <v>242311</v>
      </c>
      <c r="C69" s="24">
        <v>44589.742858796293</v>
      </c>
      <c r="D69" s="7">
        <v>1643392183</v>
      </c>
      <c r="E69" s="7">
        <f>D69-Protocol!$B$7</f>
        <v>414</v>
      </c>
      <c r="F69" s="7">
        <v>1355</v>
      </c>
      <c r="G69" s="7">
        <v>0</v>
      </c>
      <c r="H69" s="7">
        <v>1</v>
      </c>
      <c r="I69" s="7" t="s">
        <v>536</v>
      </c>
      <c r="J69" s="7">
        <v>1.31017E-5</v>
      </c>
      <c r="K69" s="7">
        <v>5</v>
      </c>
      <c r="L69" s="24">
        <v>44589.742812500001</v>
      </c>
      <c r="M69" s="7">
        <v>129</v>
      </c>
      <c r="N69" s="7">
        <v>1643392179</v>
      </c>
      <c r="O69" s="7">
        <f t="shared" si="2"/>
        <v>4</v>
      </c>
      <c r="P69" s="7">
        <v>3</v>
      </c>
      <c r="Q69" s="7">
        <v>50</v>
      </c>
      <c r="R69" s="24">
        <v>44589.742361111108</v>
      </c>
      <c r="S69" s="7" t="str">
        <f>IF(AND(O69&gt;=0,O69&lt;=Protocol!$B$9),"ACCEPT","REJECT")</f>
        <v>ACCEPT</v>
      </c>
      <c r="T69" s="7" t="str">
        <f t="shared" si="3"/>
        <v>AS-OF</v>
      </c>
      <c r="U69" s="38">
        <v>37</v>
      </c>
      <c r="V69" s="38" t="s">
        <v>577</v>
      </c>
      <c r="W69" s="38">
        <v>4</v>
      </c>
      <c r="X69" s="38" t="b">
        <v>1</v>
      </c>
      <c r="Y69" s="38" t="s">
        <v>810</v>
      </c>
    </row>
    <row r="70" spans="1:25" ht="21.95" customHeight="1" x14ac:dyDescent="0.2">
      <c r="A70" s="7">
        <v>65</v>
      </c>
      <c r="B70" s="7">
        <v>242312</v>
      </c>
      <c r="C70" s="24">
        <v>44589.74291666667</v>
      </c>
      <c r="D70" s="7">
        <v>1643392188</v>
      </c>
      <c r="E70" s="7">
        <f>D70-Protocol!$B$7</f>
        <v>419</v>
      </c>
      <c r="F70" s="7">
        <v>1355</v>
      </c>
      <c r="G70" s="7">
        <v>0</v>
      </c>
      <c r="H70" s="7">
        <v>1</v>
      </c>
      <c r="I70" s="7" t="s">
        <v>536</v>
      </c>
      <c r="J70" s="7">
        <v>2.1547099999999999E-5</v>
      </c>
      <c r="K70" s="7">
        <v>5</v>
      </c>
      <c r="L70" s="24">
        <v>44589.742812500001</v>
      </c>
      <c r="M70" s="7">
        <v>129</v>
      </c>
      <c r="N70" s="7">
        <v>1643392179</v>
      </c>
      <c r="O70" s="7">
        <f t="shared" ref="O70:O101" si="4">D70-N70</f>
        <v>9</v>
      </c>
      <c r="P70" s="7">
        <v>3</v>
      </c>
      <c r="Q70" s="7">
        <v>50</v>
      </c>
      <c r="R70" s="24">
        <v>44589.742361111108</v>
      </c>
      <c r="S70" s="7" t="str">
        <f>IF(AND(O70&gt;=0,O70&lt;=Protocol!$B$9),"ACCEPT","REJECT")</f>
        <v>ACCEPT</v>
      </c>
      <c r="T70" s="7" t="str">
        <f t="shared" ref="T70:T101" si="5">IF(O70=0,"EXACT","AS-OF")</f>
        <v>AS-OF</v>
      </c>
      <c r="U70" s="38">
        <v>37</v>
      </c>
      <c r="V70" s="38" t="s">
        <v>577</v>
      </c>
      <c r="W70" s="38">
        <v>9</v>
      </c>
      <c r="X70" s="38" t="b">
        <v>1</v>
      </c>
      <c r="Y70" s="38" t="s">
        <v>810</v>
      </c>
    </row>
    <row r="71" spans="1:25" ht="21.95" customHeight="1" x14ac:dyDescent="0.2">
      <c r="A71" s="7">
        <v>66</v>
      </c>
      <c r="B71" s="7">
        <v>242313</v>
      </c>
      <c r="C71" s="24">
        <v>44589.742974537039</v>
      </c>
      <c r="D71" s="7">
        <v>1643392193</v>
      </c>
      <c r="E71" s="7">
        <f>D71-Protocol!$B$7</f>
        <v>424</v>
      </c>
      <c r="F71" s="7">
        <v>1355</v>
      </c>
      <c r="G71" s="7">
        <v>0</v>
      </c>
      <c r="H71" s="7">
        <v>1</v>
      </c>
      <c r="I71" s="7" t="s">
        <v>536</v>
      </c>
      <c r="J71" s="7">
        <v>2.7480599999999999E-5</v>
      </c>
      <c r="K71" s="7">
        <v>5</v>
      </c>
      <c r="L71" s="24">
        <v>44589.742928240739</v>
      </c>
      <c r="M71" s="7">
        <v>127</v>
      </c>
      <c r="N71" s="7">
        <v>1643392189</v>
      </c>
      <c r="O71" s="7">
        <f t="shared" si="4"/>
        <v>4</v>
      </c>
      <c r="P71" s="7">
        <v>2</v>
      </c>
      <c r="Q71" s="7">
        <v>50</v>
      </c>
      <c r="R71" s="24">
        <v>44589.742361111108</v>
      </c>
      <c r="S71" s="7" t="str">
        <f>IF(AND(O71&gt;=0,O71&lt;=Protocol!$B$9),"ACCEPT","REJECT")</f>
        <v>ACCEPT</v>
      </c>
      <c r="T71" s="7" t="str">
        <f t="shared" si="5"/>
        <v>AS-OF</v>
      </c>
      <c r="U71" s="38">
        <v>38</v>
      </c>
      <c r="V71" s="38" t="s">
        <v>577</v>
      </c>
      <c r="W71" s="38">
        <v>4</v>
      </c>
      <c r="X71" s="38" t="b">
        <v>1</v>
      </c>
      <c r="Y71" s="38" t="s">
        <v>810</v>
      </c>
    </row>
    <row r="72" spans="1:25" ht="21.95" customHeight="1" x14ac:dyDescent="0.2">
      <c r="A72" s="7">
        <v>67</v>
      </c>
      <c r="B72" s="7">
        <v>242314</v>
      </c>
      <c r="C72" s="24">
        <v>44589.743032407408</v>
      </c>
      <c r="D72" s="7">
        <v>1643392198</v>
      </c>
      <c r="E72" s="7">
        <f>D72-Protocol!$B$7</f>
        <v>429</v>
      </c>
      <c r="F72" s="7">
        <v>1355</v>
      </c>
      <c r="G72" s="7">
        <v>0</v>
      </c>
      <c r="H72" s="7">
        <v>1</v>
      </c>
      <c r="I72" s="7" t="s">
        <v>536</v>
      </c>
      <c r="J72" s="7">
        <v>3.2975899999999997E-5</v>
      </c>
      <c r="K72" s="7">
        <v>5</v>
      </c>
      <c r="L72" s="24">
        <v>44589.742928240739</v>
      </c>
      <c r="M72" s="7">
        <v>127</v>
      </c>
      <c r="N72" s="7">
        <v>1643392189</v>
      </c>
      <c r="O72" s="7">
        <f t="shared" si="4"/>
        <v>9</v>
      </c>
      <c r="P72" s="7">
        <v>2</v>
      </c>
      <c r="Q72" s="7">
        <v>50</v>
      </c>
      <c r="R72" s="24">
        <v>44589.742361111108</v>
      </c>
      <c r="S72" s="7" t="str">
        <f>IF(AND(O72&gt;=0,O72&lt;=Protocol!$B$9),"ACCEPT","REJECT")</f>
        <v>ACCEPT</v>
      </c>
      <c r="T72" s="7" t="str">
        <f t="shared" si="5"/>
        <v>AS-OF</v>
      </c>
      <c r="U72" s="38">
        <v>38</v>
      </c>
      <c r="V72" s="38" t="s">
        <v>577</v>
      </c>
      <c r="W72" s="38">
        <v>9</v>
      </c>
      <c r="X72" s="38" t="b">
        <v>1</v>
      </c>
      <c r="Y72" s="38" t="s">
        <v>810</v>
      </c>
    </row>
    <row r="73" spans="1:25" ht="21.95" customHeight="1" x14ac:dyDescent="0.2">
      <c r="A73" s="7">
        <v>68</v>
      </c>
      <c r="B73" s="7">
        <v>242315</v>
      </c>
      <c r="C73" s="24">
        <v>44589.743090277778</v>
      </c>
      <c r="D73" s="7">
        <v>1643392203</v>
      </c>
      <c r="E73" s="7">
        <f>D73-Protocol!$B$7</f>
        <v>434</v>
      </c>
      <c r="F73" s="7">
        <v>1355</v>
      </c>
      <c r="G73" s="7">
        <v>0</v>
      </c>
      <c r="H73" s="7">
        <v>1</v>
      </c>
      <c r="I73" s="7" t="s">
        <v>536</v>
      </c>
      <c r="J73" s="7">
        <v>3.6116299999999998E-5</v>
      </c>
      <c r="K73" s="7">
        <v>5</v>
      </c>
      <c r="L73" s="24">
        <v>44589.743043981478</v>
      </c>
      <c r="M73" s="7">
        <v>125</v>
      </c>
      <c r="N73" s="7">
        <v>1643392199</v>
      </c>
      <c r="O73" s="7">
        <f t="shared" si="4"/>
        <v>4</v>
      </c>
      <c r="P73" s="7">
        <v>1</v>
      </c>
      <c r="Q73" s="7">
        <v>51</v>
      </c>
      <c r="R73" s="24">
        <v>44589.743055555547</v>
      </c>
      <c r="S73" s="7" t="str">
        <f>IF(AND(O73&gt;=0,O73&lt;=Protocol!$B$9),"ACCEPT","REJECT")</f>
        <v>ACCEPT</v>
      </c>
      <c r="T73" s="7" t="str">
        <f t="shared" si="5"/>
        <v>AS-OF</v>
      </c>
      <c r="U73" s="38">
        <v>39</v>
      </c>
      <c r="V73" s="38" t="s">
        <v>590</v>
      </c>
      <c r="W73" s="38">
        <v>14</v>
      </c>
      <c r="X73" s="38" t="b">
        <v>0</v>
      </c>
      <c r="Y73" s="38" t="s">
        <v>810</v>
      </c>
    </row>
    <row r="74" spans="1:25" ht="21.95" customHeight="1" x14ac:dyDescent="0.2">
      <c r="A74" s="7">
        <v>69</v>
      </c>
      <c r="B74" s="7">
        <v>242316</v>
      </c>
      <c r="C74" s="24">
        <v>44589.743148148147</v>
      </c>
      <c r="D74" s="7">
        <v>1643392208</v>
      </c>
      <c r="E74" s="7">
        <f>D74-Protocol!$B$7</f>
        <v>439</v>
      </c>
      <c r="F74" s="7">
        <v>1355</v>
      </c>
      <c r="G74" s="7">
        <v>0</v>
      </c>
      <c r="H74" s="7">
        <v>1</v>
      </c>
      <c r="I74" s="7" t="s">
        <v>536</v>
      </c>
      <c r="J74" s="7">
        <v>3.66146E-5</v>
      </c>
      <c r="K74" s="7">
        <v>5</v>
      </c>
      <c r="L74" s="24">
        <v>44589.743043981478</v>
      </c>
      <c r="M74" s="7">
        <v>125</v>
      </c>
      <c r="N74" s="7">
        <v>1643392199</v>
      </c>
      <c r="O74" s="7">
        <f t="shared" si="4"/>
        <v>9</v>
      </c>
      <c r="P74" s="7">
        <v>1</v>
      </c>
      <c r="Q74" s="7">
        <v>51</v>
      </c>
      <c r="R74" s="24">
        <v>44589.743055555547</v>
      </c>
      <c r="S74" s="7" t="str">
        <f>IF(AND(O74&gt;=0,O74&lt;=Protocol!$B$9),"ACCEPT","REJECT")</f>
        <v>ACCEPT</v>
      </c>
      <c r="T74" s="7" t="str">
        <f t="shared" si="5"/>
        <v>AS-OF</v>
      </c>
      <c r="U74" s="38">
        <v>39</v>
      </c>
      <c r="V74" s="38" t="s">
        <v>590</v>
      </c>
      <c r="W74" s="38">
        <v>19</v>
      </c>
      <c r="X74" s="38" t="b">
        <v>0</v>
      </c>
      <c r="Y74" s="38" t="s">
        <v>810</v>
      </c>
    </row>
    <row r="75" spans="1:25" ht="21.95" customHeight="1" x14ac:dyDescent="0.2">
      <c r="A75" s="7">
        <v>70</v>
      </c>
      <c r="B75" s="7">
        <v>242317</v>
      </c>
      <c r="C75" s="24">
        <v>44589.743206018517</v>
      </c>
      <c r="D75" s="7">
        <v>1643392213</v>
      </c>
      <c r="E75" s="7">
        <f>D75-Protocol!$B$7</f>
        <v>444</v>
      </c>
      <c r="F75" s="7">
        <v>1355</v>
      </c>
      <c r="G75" s="7">
        <v>0</v>
      </c>
      <c r="H75" s="7">
        <v>1</v>
      </c>
      <c r="I75" s="7" t="s">
        <v>536</v>
      </c>
      <c r="J75" s="7">
        <v>3.4527999999999999E-5</v>
      </c>
      <c r="K75" s="7">
        <v>5</v>
      </c>
      <c r="L75" s="24">
        <v>44589.743159722217</v>
      </c>
      <c r="M75" s="7">
        <v>124</v>
      </c>
      <c r="N75" s="7">
        <v>1643392209</v>
      </c>
      <c r="O75" s="7">
        <f t="shared" si="4"/>
        <v>4</v>
      </c>
      <c r="P75" s="7">
        <v>1</v>
      </c>
      <c r="Q75" s="7">
        <v>51</v>
      </c>
      <c r="R75" s="24">
        <v>44589.743055555547</v>
      </c>
      <c r="S75" s="7" t="str">
        <f>IF(AND(O75&gt;=0,O75&lt;=Protocol!$B$9),"ACCEPT","REJECT")</f>
        <v>ACCEPT</v>
      </c>
      <c r="T75" s="7" t="str">
        <f t="shared" si="5"/>
        <v>AS-OF</v>
      </c>
      <c r="U75" s="38">
        <v>40</v>
      </c>
      <c r="V75" s="38" t="s">
        <v>577</v>
      </c>
      <c r="W75" s="38">
        <v>4</v>
      </c>
      <c r="X75" s="38" t="b">
        <v>1</v>
      </c>
      <c r="Y75" s="38" t="s">
        <v>810</v>
      </c>
    </row>
    <row r="76" spans="1:25" ht="21.95" customHeight="1" x14ac:dyDescent="0.2">
      <c r="A76" s="7">
        <v>71</v>
      </c>
      <c r="B76" s="7">
        <v>242318</v>
      </c>
      <c r="C76" s="24">
        <v>44589.743263888893</v>
      </c>
      <c r="D76" s="7">
        <v>1643392218</v>
      </c>
      <c r="E76" s="7">
        <f>D76-Protocol!$B$7</f>
        <v>449</v>
      </c>
      <c r="F76" s="7">
        <v>1355</v>
      </c>
      <c r="G76" s="7">
        <v>0</v>
      </c>
      <c r="H76" s="7">
        <v>1</v>
      </c>
      <c r="I76" s="7" t="s">
        <v>536</v>
      </c>
      <c r="J76" s="7">
        <v>2.97693E-5</v>
      </c>
      <c r="K76" s="7">
        <v>5</v>
      </c>
      <c r="L76" s="24">
        <v>44589.743159722217</v>
      </c>
      <c r="M76" s="7">
        <v>124</v>
      </c>
      <c r="N76" s="7">
        <v>1643392209</v>
      </c>
      <c r="O76" s="7">
        <f t="shared" si="4"/>
        <v>9</v>
      </c>
      <c r="P76" s="7">
        <v>1</v>
      </c>
      <c r="Q76" s="7">
        <v>51</v>
      </c>
      <c r="R76" s="24">
        <v>44589.743055555547</v>
      </c>
      <c r="S76" s="7" t="str">
        <f>IF(AND(O76&gt;=0,O76&lt;=Protocol!$B$9),"ACCEPT","REJECT")</f>
        <v>ACCEPT</v>
      </c>
      <c r="T76" s="7" t="str">
        <f t="shared" si="5"/>
        <v>AS-OF</v>
      </c>
      <c r="U76" s="38">
        <v>40</v>
      </c>
      <c r="V76" s="38" t="s">
        <v>577</v>
      </c>
      <c r="W76" s="38">
        <v>9</v>
      </c>
      <c r="X76" s="38" t="b">
        <v>1</v>
      </c>
      <c r="Y76" s="38" t="s">
        <v>810</v>
      </c>
    </row>
    <row r="77" spans="1:25" ht="21.95" customHeight="1" x14ac:dyDescent="0.2">
      <c r="A77" s="7">
        <v>72</v>
      </c>
      <c r="B77" s="7">
        <v>242319</v>
      </c>
      <c r="C77" s="24">
        <v>44589.743321759262</v>
      </c>
      <c r="D77" s="7">
        <v>1643392223</v>
      </c>
      <c r="E77" s="7">
        <f>D77-Protocol!$B$7</f>
        <v>454</v>
      </c>
      <c r="F77" s="7">
        <v>1355</v>
      </c>
      <c r="G77" s="7">
        <v>0</v>
      </c>
      <c r="H77" s="7">
        <v>1</v>
      </c>
      <c r="I77" s="7" t="s">
        <v>536</v>
      </c>
      <c r="J77" s="7">
        <v>2.4431400000000001E-5</v>
      </c>
      <c r="K77" s="7">
        <v>5</v>
      </c>
      <c r="L77" s="24">
        <v>44589.743275462963</v>
      </c>
      <c r="M77" s="7">
        <v>123</v>
      </c>
      <c r="N77" s="7">
        <v>1643392219</v>
      </c>
      <c r="O77" s="7">
        <f t="shared" si="4"/>
        <v>4</v>
      </c>
      <c r="P77" s="7">
        <v>1</v>
      </c>
      <c r="Q77" s="7">
        <v>51</v>
      </c>
      <c r="R77" s="24">
        <v>44589.743055555547</v>
      </c>
      <c r="S77" s="7" t="str">
        <f>IF(AND(O77&gt;=0,O77&lt;=Protocol!$B$9),"ACCEPT","REJECT")</f>
        <v>ACCEPT</v>
      </c>
      <c r="T77" s="7" t="str">
        <f t="shared" si="5"/>
        <v>AS-OF</v>
      </c>
      <c r="U77" s="38">
        <v>41</v>
      </c>
      <c r="V77" s="38" t="s">
        <v>577</v>
      </c>
      <c r="W77" s="38">
        <v>4</v>
      </c>
      <c r="X77" s="38" t="b">
        <v>1</v>
      </c>
      <c r="Y77" s="38" t="s">
        <v>810</v>
      </c>
    </row>
    <row r="78" spans="1:25" ht="21.95" customHeight="1" x14ac:dyDescent="0.2">
      <c r="A78" s="7">
        <v>73</v>
      </c>
      <c r="B78" s="7">
        <v>242320</v>
      </c>
      <c r="C78" s="24">
        <v>44589.743379629632</v>
      </c>
      <c r="D78" s="7">
        <v>1643392228</v>
      </c>
      <c r="E78" s="7">
        <f>D78-Protocol!$B$7</f>
        <v>459</v>
      </c>
      <c r="F78" s="7">
        <v>1355</v>
      </c>
      <c r="G78" s="7">
        <v>0</v>
      </c>
      <c r="H78" s="7">
        <v>1</v>
      </c>
      <c r="I78" s="7" t="s">
        <v>536</v>
      </c>
      <c r="J78" s="7">
        <v>1.6478300000000001E-5</v>
      </c>
      <c r="K78" s="7">
        <v>5</v>
      </c>
      <c r="L78" s="24">
        <v>44589.743275462963</v>
      </c>
      <c r="M78" s="7">
        <v>123</v>
      </c>
      <c r="N78" s="7">
        <v>1643392219</v>
      </c>
      <c r="O78" s="7">
        <f t="shared" si="4"/>
        <v>9</v>
      </c>
      <c r="P78" s="7">
        <v>1</v>
      </c>
      <c r="Q78" s="7">
        <v>51</v>
      </c>
      <c r="R78" s="24">
        <v>44589.743055555547</v>
      </c>
      <c r="S78" s="7" t="str">
        <f>IF(AND(O78&gt;=0,O78&lt;=Protocol!$B$9),"ACCEPT","REJECT")</f>
        <v>ACCEPT</v>
      </c>
      <c r="T78" s="7" t="str">
        <f t="shared" si="5"/>
        <v>AS-OF</v>
      </c>
      <c r="U78" s="38">
        <v>41</v>
      </c>
      <c r="V78" s="38" t="s">
        <v>577</v>
      </c>
      <c r="W78" s="38">
        <v>9</v>
      </c>
      <c r="X78" s="38" t="b">
        <v>1</v>
      </c>
      <c r="Y78" s="38" t="s">
        <v>810</v>
      </c>
    </row>
    <row r="79" spans="1:25" ht="21.95" customHeight="1" x14ac:dyDescent="0.2">
      <c r="A79" s="7">
        <v>74</v>
      </c>
      <c r="B79" s="7">
        <v>242321</v>
      </c>
      <c r="C79" s="24">
        <v>44589.743437500001</v>
      </c>
      <c r="D79" s="7">
        <v>1643392233</v>
      </c>
      <c r="E79" s="7">
        <f>D79-Protocol!$B$7</f>
        <v>464</v>
      </c>
      <c r="F79" s="7">
        <v>1355</v>
      </c>
      <c r="G79" s="7">
        <v>0</v>
      </c>
      <c r="H79" s="7">
        <v>1</v>
      </c>
      <c r="I79" s="7" t="s">
        <v>536</v>
      </c>
      <c r="J79" s="7">
        <v>7.1712400000000003E-6</v>
      </c>
      <c r="K79" s="7">
        <v>5</v>
      </c>
      <c r="L79" s="24">
        <v>44589.743275462963</v>
      </c>
      <c r="M79" s="7">
        <v>123</v>
      </c>
      <c r="N79" s="7">
        <v>1643392219</v>
      </c>
      <c r="O79" s="7">
        <f t="shared" si="4"/>
        <v>14</v>
      </c>
      <c r="P79" s="7">
        <v>1</v>
      </c>
      <c r="Q79" s="7">
        <v>51</v>
      </c>
      <c r="R79" s="24">
        <v>44589.743055555547</v>
      </c>
      <c r="S79" s="7" t="str">
        <f>IF(AND(O79&gt;=0,O79&lt;=Protocol!$B$9),"ACCEPT","REJECT")</f>
        <v>REJECT</v>
      </c>
      <c r="T79" s="7" t="str">
        <f t="shared" si="5"/>
        <v>AS-OF</v>
      </c>
      <c r="U79" s="38">
        <v>41</v>
      </c>
      <c r="V79" s="38" t="s">
        <v>577</v>
      </c>
      <c r="W79" s="38">
        <v>14</v>
      </c>
      <c r="X79" s="38" t="b">
        <v>0</v>
      </c>
      <c r="Y79" s="38" t="s">
        <v>810</v>
      </c>
    </row>
    <row r="80" spans="1:25" ht="21.95" customHeight="1" x14ac:dyDescent="0.2">
      <c r="A80" s="7">
        <v>75</v>
      </c>
      <c r="B80" s="7">
        <v>242322</v>
      </c>
      <c r="C80" s="24">
        <v>44589.743495370371</v>
      </c>
      <c r="D80" s="7">
        <v>1643392238</v>
      </c>
      <c r="E80" s="7">
        <f>D80-Protocol!$B$7</f>
        <v>469</v>
      </c>
      <c r="F80" s="7">
        <v>1355</v>
      </c>
      <c r="G80" s="7">
        <v>0</v>
      </c>
      <c r="H80" s="7">
        <v>1</v>
      </c>
      <c r="I80" s="7" t="s">
        <v>536</v>
      </c>
      <c r="J80" s="7">
        <v>-4.2162899999999999E-6</v>
      </c>
      <c r="K80" s="7">
        <v>5</v>
      </c>
      <c r="L80" s="24">
        <v>44589.743275462963</v>
      </c>
      <c r="M80" s="7">
        <v>123</v>
      </c>
      <c r="N80" s="7">
        <v>1643392219</v>
      </c>
      <c r="O80" s="7">
        <f t="shared" si="4"/>
        <v>19</v>
      </c>
      <c r="P80" s="7">
        <v>1</v>
      </c>
      <c r="Q80" s="7">
        <v>51</v>
      </c>
      <c r="R80" s="24">
        <v>44589.743055555547</v>
      </c>
      <c r="S80" s="7" t="str">
        <f>IF(AND(O80&gt;=0,O80&lt;=Protocol!$B$9),"ACCEPT","REJECT")</f>
        <v>REJECT</v>
      </c>
      <c r="T80" s="7" t="str">
        <f t="shared" si="5"/>
        <v>AS-OF</v>
      </c>
      <c r="U80" s="38">
        <v>41</v>
      </c>
      <c r="V80" s="38" t="s">
        <v>577</v>
      </c>
      <c r="W80" s="38">
        <v>19</v>
      </c>
      <c r="X80" s="38" t="b">
        <v>0</v>
      </c>
      <c r="Y80" s="38" t="s">
        <v>810</v>
      </c>
    </row>
    <row r="81" spans="1:25" ht="21.95" customHeight="1" x14ac:dyDescent="0.2">
      <c r="A81" s="7">
        <v>76</v>
      </c>
      <c r="B81" s="7">
        <v>242323</v>
      </c>
      <c r="C81" s="24">
        <v>44589.74355324074</v>
      </c>
      <c r="D81" s="7">
        <v>1643392243</v>
      </c>
      <c r="E81" s="7">
        <f>D81-Protocol!$B$7</f>
        <v>474</v>
      </c>
      <c r="F81" s="7">
        <v>1355</v>
      </c>
      <c r="G81" s="7">
        <v>0</v>
      </c>
      <c r="H81" s="7">
        <v>1</v>
      </c>
      <c r="I81" s="7" t="s">
        <v>536</v>
      </c>
      <c r="J81" s="7">
        <v>-1.3944899999999999E-5</v>
      </c>
      <c r="K81" s="7">
        <v>5</v>
      </c>
      <c r="L81" s="24">
        <v>44589.743506944447</v>
      </c>
      <c r="M81" s="7">
        <v>122</v>
      </c>
      <c r="N81" s="7">
        <v>1643392239</v>
      </c>
      <c r="O81" s="7">
        <f t="shared" si="4"/>
        <v>4</v>
      </c>
      <c r="P81" s="7">
        <v>1</v>
      </c>
      <c r="Q81" s="7">
        <v>51</v>
      </c>
      <c r="R81" s="24">
        <v>44589.743055555547</v>
      </c>
      <c r="S81" s="7" t="str">
        <f>IF(AND(O81&gt;=0,O81&lt;=Protocol!$B$9),"ACCEPT","REJECT")</f>
        <v>ACCEPT</v>
      </c>
      <c r="T81" s="7" t="str">
        <f t="shared" si="5"/>
        <v>AS-OF</v>
      </c>
      <c r="U81" s="38">
        <v>42</v>
      </c>
      <c r="V81" s="38" t="s">
        <v>577</v>
      </c>
      <c r="W81" s="38">
        <v>4</v>
      </c>
      <c r="X81" s="38" t="b">
        <v>1</v>
      </c>
      <c r="Y81" s="38" t="s">
        <v>810</v>
      </c>
    </row>
    <row r="82" spans="1:25" ht="21.95" customHeight="1" x14ac:dyDescent="0.2">
      <c r="A82" s="7">
        <v>77</v>
      </c>
      <c r="B82" s="7">
        <v>242324</v>
      </c>
      <c r="C82" s="24">
        <v>44589.743611111109</v>
      </c>
      <c r="D82" s="7">
        <v>1643392248</v>
      </c>
      <c r="E82" s="7">
        <f>D82-Protocol!$B$7</f>
        <v>479</v>
      </c>
      <c r="F82" s="7">
        <v>1355</v>
      </c>
      <c r="G82" s="7">
        <v>0</v>
      </c>
      <c r="H82" s="7">
        <v>1</v>
      </c>
      <c r="I82" s="7" t="s">
        <v>536</v>
      </c>
      <c r="J82" s="7">
        <v>-2.2554299999999999E-5</v>
      </c>
      <c r="K82" s="7">
        <v>5</v>
      </c>
      <c r="L82" s="24">
        <v>44589.743506944447</v>
      </c>
      <c r="M82" s="7">
        <v>122</v>
      </c>
      <c r="N82" s="7">
        <v>1643392239</v>
      </c>
      <c r="O82" s="7">
        <f t="shared" si="4"/>
        <v>9</v>
      </c>
      <c r="P82" s="7">
        <v>1</v>
      </c>
      <c r="Q82" s="7">
        <v>51</v>
      </c>
      <c r="R82" s="24">
        <v>44589.743055555547</v>
      </c>
      <c r="S82" s="7" t="str">
        <f>IF(AND(O82&gt;=0,O82&lt;=Protocol!$B$9),"ACCEPT","REJECT")</f>
        <v>ACCEPT</v>
      </c>
      <c r="T82" s="7" t="str">
        <f t="shared" si="5"/>
        <v>AS-OF</v>
      </c>
      <c r="U82" s="38">
        <v>42</v>
      </c>
      <c r="V82" s="38" t="s">
        <v>577</v>
      </c>
      <c r="W82" s="38">
        <v>9</v>
      </c>
      <c r="X82" s="38" t="b">
        <v>1</v>
      </c>
      <c r="Y82" s="38" t="s">
        <v>810</v>
      </c>
    </row>
    <row r="83" spans="1:25" ht="21.95" customHeight="1" x14ac:dyDescent="0.2">
      <c r="A83" s="7">
        <v>78</v>
      </c>
      <c r="B83" s="7">
        <v>242325</v>
      </c>
      <c r="C83" s="24">
        <v>44589.743668981479</v>
      </c>
      <c r="D83" s="7">
        <v>1643392253</v>
      </c>
      <c r="E83" s="7">
        <f>D83-Protocol!$B$7</f>
        <v>484</v>
      </c>
      <c r="F83" s="7">
        <v>1355</v>
      </c>
      <c r="G83" s="7">
        <v>0</v>
      </c>
      <c r="H83" s="7">
        <v>1</v>
      </c>
      <c r="I83" s="7" t="s">
        <v>536</v>
      </c>
      <c r="J83" s="7">
        <v>-2.8752099999999999E-5</v>
      </c>
      <c r="K83" s="7">
        <v>5</v>
      </c>
      <c r="L83" s="24">
        <v>44589.743506944447</v>
      </c>
      <c r="M83" s="7">
        <v>122</v>
      </c>
      <c r="N83" s="7">
        <v>1643392239</v>
      </c>
      <c r="O83" s="7">
        <f t="shared" si="4"/>
        <v>14</v>
      </c>
      <c r="P83" s="7">
        <v>1</v>
      </c>
      <c r="Q83" s="7">
        <v>51</v>
      </c>
      <c r="R83" s="24">
        <v>44589.743055555547</v>
      </c>
      <c r="S83" s="7" t="str">
        <f>IF(AND(O83&gt;=0,O83&lt;=Protocol!$B$9),"ACCEPT","REJECT")</f>
        <v>REJECT</v>
      </c>
      <c r="T83" s="7" t="str">
        <f t="shared" si="5"/>
        <v>AS-OF</v>
      </c>
      <c r="U83" s="38">
        <v>42</v>
      </c>
      <c r="V83" s="38" t="s">
        <v>577</v>
      </c>
      <c r="W83" s="38">
        <v>14</v>
      </c>
      <c r="X83" s="38" t="b">
        <v>0</v>
      </c>
      <c r="Y83" s="38" t="s">
        <v>810</v>
      </c>
    </row>
    <row r="84" spans="1:25" ht="21.95" customHeight="1" x14ac:dyDescent="0.2">
      <c r="A84" s="7">
        <v>79</v>
      </c>
      <c r="B84" s="7">
        <v>242326</v>
      </c>
      <c r="C84" s="24">
        <v>44589.743726851862</v>
      </c>
      <c r="D84" s="7">
        <v>1643392258</v>
      </c>
      <c r="E84" s="7">
        <f>D84-Protocol!$B$7</f>
        <v>489</v>
      </c>
      <c r="F84" s="7">
        <v>1356</v>
      </c>
      <c r="G84" s="7">
        <v>0</v>
      </c>
      <c r="H84" s="7">
        <v>1</v>
      </c>
      <c r="I84" s="7" t="s">
        <v>536</v>
      </c>
      <c r="J84" s="7">
        <v>-3.05452E-5</v>
      </c>
      <c r="K84" s="7">
        <v>5</v>
      </c>
      <c r="L84" s="24">
        <v>44589.743506944447</v>
      </c>
      <c r="M84" s="7">
        <v>122</v>
      </c>
      <c r="N84" s="7">
        <v>1643392239</v>
      </c>
      <c r="O84" s="7">
        <f t="shared" si="4"/>
        <v>19</v>
      </c>
      <c r="P84" s="7">
        <v>1</v>
      </c>
      <c r="Q84" s="7">
        <v>51</v>
      </c>
      <c r="R84" s="24">
        <v>44589.743055555547</v>
      </c>
      <c r="S84" s="7" t="str">
        <f>IF(AND(O84&gt;=0,O84&lt;=Protocol!$B$9),"ACCEPT","REJECT")</f>
        <v>REJECT</v>
      </c>
      <c r="T84" s="7" t="str">
        <f t="shared" si="5"/>
        <v>AS-OF</v>
      </c>
      <c r="U84" s="38">
        <v>42</v>
      </c>
      <c r="V84" s="38" t="s">
        <v>577</v>
      </c>
      <c r="W84" s="38">
        <v>19</v>
      </c>
      <c r="X84" s="38" t="b">
        <v>0</v>
      </c>
      <c r="Y84" s="38" t="s">
        <v>810</v>
      </c>
    </row>
    <row r="85" spans="1:25" ht="21.95" customHeight="1" x14ac:dyDescent="0.2">
      <c r="A85" s="7">
        <v>80</v>
      </c>
      <c r="B85" s="7">
        <v>242327</v>
      </c>
      <c r="C85" s="24">
        <v>44589.743784722217</v>
      </c>
      <c r="D85" s="7">
        <v>1643392263</v>
      </c>
      <c r="E85" s="7">
        <f>D85-Protocol!$B$7</f>
        <v>494</v>
      </c>
      <c r="F85" s="7">
        <v>1356</v>
      </c>
      <c r="G85" s="7">
        <v>0</v>
      </c>
      <c r="H85" s="7">
        <v>1</v>
      </c>
      <c r="I85" s="7" t="s">
        <v>536</v>
      </c>
      <c r="J85" s="7">
        <v>-2.98944E-5</v>
      </c>
      <c r="K85" s="7">
        <v>5</v>
      </c>
      <c r="L85" s="24">
        <v>44589.743738425917</v>
      </c>
      <c r="M85" s="7">
        <v>121</v>
      </c>
      <c r="N85" s="7">
        <v>1643392259</v>
      </c>
      <c r="O85" s="7">
        <f t="shared" si="4"/>
        <v>4</v>
      </c>
      <c r="P85" s="7">
        <v>1</v>
      </c>
      <c r="Q85" s="7">
        <v>52</v>
      </c>
      <c r="R85" s="24">
        <v>44589.743750000001</v>
      </c>
      <c r="S85" s="7" t="str">
        <f>IF(AND(O85&gt;=0,O85&lt;=Protocol!$B$9),"ACCEPT","REJECT")</f>
        <v>ACCEPT</v>
      </c>
      <c r="T85" s="7" t="str">
        <f t="shared" si="5"/>
        <v>AS-OF</v>
      </c>
      <c r="U85" s="38">
        <v>43</v>
      </c>
      <c r="V85" s="38" t="s">
        <v>577</v>
      </c>
      <c r="W85" s="38">
        <v>4</v>
      </c>
      <c r="X85" s="38" t="b">
        <v>1</v>
      </c>
      <c r="Y85" s="38" t="s">
        <v>810</v>
      </c>
    </row>
    <row r="86" spans="1:25" ht="21.95" customHeight="1" x14ac:dyDescent="0.2">
      <c r="A86" s="7">
        <v>81</v>
      </c>
      <c r="B86" s="7">
        <v>242328</v>
      </c>
      <c r="C86" s="24">
        <v>44589.743842592587</v>
      </c>
      <c r="D86" s="7">
        <v>1643392268</v>
      </c>
      <c r="E86" s="7">
        <f>D86-Protocol!$B$7</f>
        <v>499</v>
      </c>
      <c r="F86" s="7">
        <v>1356</v>
      </c>
      <c r="G86" s="7">
        <v>0</v>
      </c>
      <c r="H86" s="7">
        <v>1</v>
      </c>
      <c r="I86" s="7" t="s">
        <v>536</v>
      </c>
      <c r="J86" s="7">
        <v>-2.6431299999999999E-5</v>
      </c>
      <c r="K86" s="7">
        <v>5</v>
      </c>
      <c r="L86" s="24">
        <v>44589.743738425917</v>
      </c>
      <c r="M86" s="7">
        <v>121</v>
      </c>
      <c r="N86" s="7">
        <v>1643392259</v>
      </c>
      <c r="O86" s="7">
        <f t="shared" si="4"/>
        <v>9</v>
      </c>
      <c r="P86" s="7">
        <v>1</v>
      </c>
      <c r="Q86" s="7">
        <v>52</v>
      </c>
      <c r="R86" s="24">
        <v>44589.743750000001</v>
      </c>
      <c r="S86" s="7" t="str">
        <f>IF(AND(O86&gt;=0,O86&lt;=Protocol!$B$9),"ACCEPT","REJECT")</f>
        <v>ACCEPT</v>
      </c>
      <c r="T86" s="7" t="str">
        <f t="shared" si="5"/>
        <v>AS-OF</v>
      </c>
      <c r="U86" s="38">
        <v>43</v>
      </c>
      <c r="V86" s="38" t="s">
        <v>577</v>
      </c>
      <c r="W86" s="38">
        <v>9</v>
      </c>
      <c r="X86" s="38" t="b">
        <v>1</v>
      </c>
      <c r="Y86" s="38" t="s">
        <v>810</v>
      </c>
    </row>
    <row r="87" spans="1:25" ht="21.95" customHeight="1" x14ac:dyDescent="0.2">
      <c r="A87" s="7">
        <v>82</v>
      </c>
      <c r="B87" s="7">
        <v>242329</v>
      </c>
      <c r="C87" s="24">
        <v>44589.743900462963</v>
      </c>
      <c r="D87" s="7">
        <v>1643392273</v>
      </c>
      <c r="E87" s="7">
        <f>D87-Protocol!$B$7</f>
        <v>504</v>
      </c>
      <c r="F87" s="7">
        <v>1356</v>
      </c>
      <c r="G87" s="7">
        <v>0</v>
      </c>
      <c r="H87" s="7">
        <v>1</v>
      </c>
      <c r="I87" s="7" t="s">
        <v>536</v>
      </c>
      <c r="J87" s="7">
        <v>-2.0276400000000001E-5</v>
      </c>
      <c r="K87" s="7">
        <v>5</v>
      </c>
      <c r="L87" s="24">
        <v>44589.743854166663</v>
      </c>
      <c r="M87" s="7">
        <v>120</v>
      </c>
      <c r="N87" s="7">
        <v>1643392269</v>
      </c>
      <c r="O87" s="7">
        <f t="shared" si="4"/>
        <v>4</v>
      </c>
      <c r="P87" s="7">
        <v>1</v>
      </c>
      <c r="Q87" s="7">
        <v>52</v>
      </c>
      <c r="R87" s="24">
        <v>44589.743750000001</v>
      </c>
      <c r="S87" s="7" t="str">
        <f>IF(AND(O87&gt;=0,O87&lt;=Protocol!$B$9),"ACCEPT","REJECT")</f>
        <v>ACCEPT</v>
      </c>
      <c r="T87" s="7" t="str">
        <f t="shared" si="5"/>
        <v>AS-OF</v>
      </c>
      <c r="U87" s="38">
        <v>44</v>
      </c>
      <c r="V87" s="38" t="s">
        <v>577</v>
      </c>
      <c r="W87" s="38">
        <v>4</v>
      </c>
      <c r="X87" s="38" t="b">
        <v>1</v>
      </c>
      <c r="Y87" s="38" t="s">
        <v>810</v>
      </c>
    </row>
    <row r="88" spans="1:25" ht="21.95" customHeight="1" x14ac:dyDescent="0.2">
      <c r="A88" s="7">
        <v>83</v>
      </c>
      <c r="B88" s="7">
        <v>242330</v>
      </c>
      <c r="C88" s="24">
        <v>44589.743958333333</v>
      </c>
      <c r="D88" s="7">
        <v>1643392278</v>
      </c>
      <c r="E88" s="7">
        <f>D88-Protocol!$B$7</f>
        <v>509</v>
      </c>
      <c r="F88" s="7">
        <v>1356</v>
      </c>
      <c r="G88" s="7">
        <v>0</v>
      </c>
      <c r="H88" s="7">
        <v>1</v>
      </c>
      <c r="I88" s="7" t="s">
        <v>536</v>
      </c>
      <c r="J88" s="7">
        <v>-1.13796E-5</v>
      </c>
      <c r="K88" s="7">
        <v>5</v>
      </c>
      <c r="L88" s="24">
        <v>44589.743854166663</v>
      </c>
      <c r="M88" s="7">
        <v>120</v>
      </c>
      <c r="N88" s="7">
        <v>1643392269</v>
      </c>
      <c r="O88" s="7">
        <f t="shared" si="4"/>
        <v>9</v>
      </c>
      <c r="P88" s="7">
        <v>1</v>
      </c>
      <c r="Q88" s="7">
        <v>52</v>
      </c>
      <c r="R88" s="24">
        <v>44589.743750000001</v>
      </c>
      <c r="S88" s="7" t="str">
        <f>IF(AND(O88&gt;=0,O88&lt;=Protocol!$B$9),"ACCEPT","REJECT")</f>
        <v>ACCEPT</v>
      </c>
      <c r="T88" s="7" t="str">
        <f t="shared" si="5"/>
        <v>AS-OF</v>
      </c>
      <c r="U88" s="38">
        <v>44</v>
      </c>
      <c r="V88" s="38" t="s">
        <v>577</v>
      </c>
      <c r="W88" s="38">
        <v>9</v>
      </c>
      <c r="X88" s="38" t="b">
        <v>1</v>
      </c>
      <c r="Y88" s="38" t="s">
        <v>810</v>
      </c>
    </row>
    <row r="89" spans="1:25" ht="21.95" customHeight="1" x14ac:dyDescent="0.2">
      <c r="A89" s="7">
        <v>84</v>
      </c>
      <c r="B89" s="7">
        <v>242331</v>
      </c>
      <c r="C89" s="24">
        <v>44589.744016203702</v>
      </c>
      <c r="D89" s="7">
        <v>1643392283</v>
      </c>
      <c r="E89" s="7">
        <f>D89-Protocol!$B$7</f>
        <v>514</v>
      </c>
      <c r="F89" s="7">
        <v>1356</v>
      </c>
      <c r="G89" s="7">
        <v>0</v>
      </c>
      <c r="H89" s="7">
        <v>1</v>
      </c>
      <c r="I89" s="7" t="s">
        <v>536</v>
      </c>
      <c r="J89" s="7">
        <v>-8.1215599999999998E-7</v>
      </c>
      <c r="K89" s="7">
        <v>5</v>
      </c>
      <c r="L89" s="24">
        <v>44589.743969907409</v>
      </c>
      <c r="M89" s="7">
        <v>119</v>
      </c>
      <c r="N89" s="7">
        <v>1643392279</v>
      </c>
      <c r="O89" s="7">
        <f t="shared" si="4"/>
        <v>4</v>
      </c>
      <c r="P89" s="7">
        <v>1</v>
      </c>
      <c r="Q89" s="7">
        <v>52</v>
      </c>
      <c r="R89" s="24">
        <v>44589.743750000001</v>
      </c>
      <c r="S89" s="7" t="str">
        <f>IF(AND(O89&gt;=0,O89&lt;=Protocol!$B$9),"ACCEPT","REJECT")</f>
        <v>ACCEPT</v>
      </c>
      <c r="T89" s="7" t="str">
        <f t="shared" si="5"/>
        <v>AS-OF</v>
      </c>
      <c r="U89" s="38">
        <v>45</v>
      </c>
      <c r="V89" s="38" t="s">
        <v>577</v>
      </c>
      <c r="W89" s="38">
        <v>4</v>
      </c>
      <c r="X89" s="38" t="b">
        <v>1</v>
      </c>
      <c r="Y89" s="38" t="s">
        <v>810</v>
      </c>
    </row>
    <row r="90" spans="1:25" ht="21.95" customHeight="1" x14ac:dyDescent="0.2">
      <c r="A90" s="7">
        <v>85</v>
      </c>
      <c r="B90" s="7">
        <v>242332</v>
      </c>
      <c r="C90" s="24">
        <v>44589.744074074071</v>
      </c>
      <c r="D90" s="7">
        <v>1643392288</v>
      </c>
      <c r="E90" s="7">
        <f>D90-Protocol!$B$7</f>
        <v>519</v>
      </c>
      <c r="F90" s="7">
        <v>1356</v>
      </c>
      <c r="G90" s="7">
        <v>0</v>
      </c>
      <c r="H90" s="7">
        <v>1</v>
      </c>
      <c r="I90" s="7" t="s">
        <v>536</v>
      </c>
      <c r="J90" s="7">
        <v>9.8520199999999996E-6</v>
      </c>
      <c r="K90" s="7">
        <v>5</v>
      </c>
      <c r="L90" s="24">
        <v>44589.743969907409</v>
      </c>
      <c r="M90" s="7">
        <v>119</v>
      </c>
      <c r="N90" s="7">
        <v>1643392279</v>
      </c>
      <c r="O90" s="7">
        <f t="shared" si="4"/>
        <v>9</v>
      </c>
      <c r="P90" s="7">
        <v>1</v>
      </c>
      <c r="Q90" s="7">
        <v>52</v>
      </c>
      <c r="R90" s="24">
        <v>44589.743750000001</v>
      </c>
      <c r="S90" s="7" t="str">
        <f>IF(AND(O90&gt;=0,O90&lt;=Protocol!$B$9),"ACCEPT","REJECT")</f>
        <v>ACCEPT</v>
      </c>
      <c r="T90" s="7" t="str">
        <f t="shared" si="5"/>
        <v>AS-OF</v>
      </c>
      <c r="U90" s="38">
        <v>45</v>
      </c>
      <c r="V90" s="38" t="s">
        <v>577</v>
      </c>
      <c r="W90" s="38">
        <v>9</v>
      </c>
      <c r="X90" s="38" t="b">
        <v>1</v>
      </c>
      <c r="Y90" s="38" t="s">
        <v>810</v>
      </c>
    </row>
    <row r="91" spans="1:25" ht="21.95" customHeight="1" x14ac:dyDescent="0.2">
      <c r="A91" s="7">
        <v>86</v>
      </c>
      <c r="B91" s="7">
        <v>242333</v>
      </c>
      <c r="C91" s="24">
        <v>44589.744131944448</v>
      </c>
      <c r="D91" s="7">
        <v>1643392293</v>
      </c>
      <c r="E91" s="7">
        <f>D91-Protocol!$B$7</f>
        <v>524</v>
      </c>
      <c r="F91" s="7">
        <v>1356</v>
      </c>
      <c r="G91" s="7">
        <v>0</v>
      </c>
      <c r="H91" s="7">
        <v>1</v>
      </c>
      <c r="I91" s="7" t="s">
        <v>536</v>
      </c>
      <c r="J91" s="7">
        <v>1.7787100000000001E-5</v>
      </c>
      <c r="K91" s="7">
        <v>5</v>
      </c>
      <c r="L91" s="24">
        <v>44589.744085648148</v>
      </c>
      <c r="M91" s="7">
        <v>118</v>
      </c>
      <c r="N91" s="7">
        <v>1643392289</v>
      </c>
      <c r="O91" s="7">
        <f t="shared" si="4"/>
        <v>4</v>
      </c>
      <c r="P91" s="7">
        <v>1</v>
      </c>
      <c r="Q91" s="7">
        <v>52</v>
      </c>
      <c r="R91" s="24">
        <v>44589.743750000001</v>
      </c>
      <c r="S91" s="7" t="str">
        <f>IF(AND(O91&gt;=0,O91&lt;=Protocol!$B$9),"ACCEPT","REJECT")</f>
        <v>ACCEPT</v>
      </c>
      <c r="T91" s="7" t="str">
        <f t="shared" si="5"/>
        <v>AS-OF</v>
      </c>
      <c r="U91" s="38">
        <v>46</v>
      </c>
      <c r="V91" s="38" t="s">
        <v>577</v>
      </c>
      <c r="W91" s="38">
        <v>4</v>
      </c>
      <c r="X91" s="38" t="b">
        <v>1</v>
      </c>
      <c r="Y91" s="38" t="s">
        <v>810</v>
      </c>
    </row>
    <row r="92" spans="1:25" ht="21.95" customHeight="1" x14ac:dyDescent="0.2">
      <c r="A92" s="7">
        <v>87</v>
      </c>
      <c r="B92" s="7">
        <v>242334</v>
      </c>
      <c r="C92" s="24">
        <v>44589.744189814817</v>
      </c>
      <c r="D92" s="7">
        <v>1643392298</v>
      </c>
      <c r="E92" s="7">
        <f>D92-Protocol!$B$7</f>
        <v>529</v>
      </c>
      <c r="F92" s="7">
        <v>1356</v>
      </c>
      <c r="G92" s="7">
        <v>0</v>
      </c>
      <c r="H92" s="7">
        <v>1</v>
      </c>
      <c r="I92" s="7" t="s">
        <v>536</v>
      </c>
      <c r="J92" s="7">
        <v>2.4209599999999999E-5</v>
      </c>
      <c r="K92" s="7">
        <v>5</v>
      </c>
      <c r="L92" s="24">
        <v>44589.744085648148</v>
      </c>
      <c r="M92" s="7">
        <v>118</v>
      </c>
      <c r="N92" s="7">
        <v>1643392289</v>
      </c>
      <c r="O92" s="7">
        <f t="shared" si="4"/>
        <v>9</v>
      </c>
      <c r="P92" s="7">
        <v>1</v>
      </c>
      <c r="Q92" s="7">
        <v>52</v>
      </c>
      <c r="R92" s="24">
        <v>44589.743750000001</v>
      </c>
      <c r="S92" s="7" t="str">
        <f>IF(AND(O92&gt;=0,O92&lt;=Protocol!$B$9),"ACCEPT","REJECT")</f>
        <v>ACCEPT</v>
      </c>
      <c r="T92" s="7" t="str">
        <f t="shared" si="5"/>
        <v>AS-OF</v>
      </c>
      <c r="U92" s="38">
        <v>46</v>
      </c>
      <c r="V92" s="38" t="s">
        <v>577</v>
      </c>
      <c r="W92" s="38">
        <v>9</v>
      </c>
      <c r="X92" s="38" t="b">
        <v>1</v>
      </c>
      <c r="Y92" s="38" t="s">
        <v>810</v>
      </c>
    </row>
    <row r="93" spans="1:25" ht="21.95" customHeight="1" x14ac:dyDescent="0.2">
      <c r="A93" s="7">
        <v>88</v>
      </c>
      <c r="B93" s="7">
        <v>242335</v>
      </c>
      <c r="C93" s="24">
        <v>44589.744247685187</v>
      </c>
      <c r="D93" s="7">
        <v>1643392303</v>
      </c>
      <c r="E93" s="7">
        <f>D93-Protocol!$B$7</f>
        <v>534</v>
      </c>
      <c r="F93" s="7">
        <v>1356</v>
      </c>
      <c r="G93" s="7">
        <v>0</v>
      </c>
      <c r="H93" s="7">
        <v>1</v>
      </c>
      <c r="I93" s="7" t="s">
        <v>536</v>
      </c>
      <c r="J93" s="7">
        <v>2.9748699999999999E-5</v>
      </c>
      <c r="K93" s="7">
        <v>5</v>
      </c>
      <c r="L93" s="24">
        <v>44589.744201388887</v>
      </c>
      <c r="M93" s="7">
        <v>117</v>
      </c>
      <c r="N93" s="7">
        <v>1643392299</v>
      </c>
      <c r="O93" s="7">
        <f t="shared" si="4"/>
        <v>4</v>
      </c>
      <c r="P93" s="7">
        <v>1</v>
      </c>
      <c r="Q93" s="7">
        <v>52</v>
      </c>
      <c r="R93" s="24">
        <v>44589.743750000001</v>
      </c>
      <c r="S93" s="7" t="str">
        <f>IF(AND(O93&gt;=0,O93&lt;=Protocol!$B$9),"ACCEPT","REJECT")</f>
        <v>ACCEPT</v>
      </c>
      <c r="T93" s="7" t="str">
        <f t="shared" si="5"/>
        <v>AS-OF</v>
      </c>
      <c r="U93" s="38">
        <v>47</v>
      </c>
      <c r="V93" s="38" t="s">
        <v>577</v>
      </c>
      <c r="W93" s="38">
        <v>4</v>
      </c>
      <c r="X93" s="38" t="b">
        <v>1</v>
      </c>
      <c r="Y93" s="38" t="s">
        <v>810</v>
      </c>
    </row>
    <row r="94" spans="1:25" ht="21.95" customHeight="1" x14ac:dyDescent="0.2">
      <c r="A94" s="7">
        <v>89</v>
      </c>
      <c r="B94" s="7">
        <v>242336</v>
      </c>
      <c r="C94" s="24">
        <v>44589.744305555563</v>
      </c>
      <c r="D94" s="7">
        <v>1643392308</v>
      </c>
      <c r="E94" s="7">
        <f>D94-Protocol!$B$7</f>
        <v>539</v>
      </c>
      <c r="F94" s="7">
        <v>1356</v>
      </c>
      <c r="G94" s="7">
        <v>0</v>
      </c>
      <c r="H94" s="7">
        <v>1</v>
      </c>
      <c r="I94" s="7" t="s">
        <v>536</v>
      </c>
      <c r="J94" s="7">
        <v>3.2350300000000001E-5</v>
      </c>
      <c r="K94" s="7">
        <v>5</v>
      </c>
      <c r="L94" s="24">
        <v>44589.744201388887</v>
      </c>
      <c r="M94" s="7">
        <v>117</v>
      </c>
      <c r="N94" s="7">
        <v>1643392299</v>
      </c>
      <c r="O94" s="7">
        <f t="shared" si="4"/>
        <v>9</v>
      </c>
      <c r="P94" s="7">
        <v>1</v>
      </c>
      <c r="Q94" s="7">
        <v>52</v>
      </c>
      <c r="R94" s="24">
        <v>44589.743750000001</v>
      </c>
      <c r="S94" s="7" t="str">
        <f>IF(AND(O94&gt;=0,O94&lt;=Protocol!$B$9),"ACCEPT","REJECT")</f>
        <v>ACCEPT</v>
      </c>
      <c r="T94" s="7" t="str">
        <f t="shared" si="5"/>
        <v>AS-OF</v>
      </c>
      <c r="U94" s="38">
        <v>47</v>
      </c>
      <c r="V94" s="38" t="s">
        <v>577</v>
      </c>
      <c r="W94" s="38">
        <v>9</v>
      </c>
      <c r="X94" s="38" t="b">
        <v>1</v>
      </c>
      <c r="Y94" s="38" t="s">
        <v>810</v>
      </c>
    </row>
    <row r="95" spans="1:25" ht="21.95" customHeight="1" x14ac:dyDescent="0.2">
      <c r="A95" s="7">
        <v>90</v>
      </c>
      <c r="B95" s="7">
        <v>242337</v>
      </c>
      <c r="C95" s="24">
        <v>44589.744363425933</v>
      </c>
      <c r="D95" s="7">
        <v>1643392313</v>
      </c>
      <c r="E95" s="7">
        <f>D95-Protocol!$B$7</f>
        <v>544</v>
      </c>
      <c r="F95" s="7">
        <v>1356</v>
      </c>
      <c r="G95" s="7">
        <v>0</v>
      </c>
      <c r="H95" s="7">
        <v>1</v>
      </c>
      <c r="I95" s="7" t="s">
        <v>536</v>
      </c>
      <c r="J95" s="7">
        <v>3.2880699999999998E-5</v>
      </c>
      <c r="K95" s="7">
        <v>5</v>
      </c>
      <c r="L95" s="24">
        <v>44589.744317129633</v>
      </c>
      <c r="M95" s="7">
        <v>116</v>
      </c>
      <c r="N95" s="7">
        <v>1643392309</v>
      </c>
      <c r="O95" s="7">
        <f t="shared" si="4"/>
        <v>4</v>
      </c>
      <c r="P95" s="7">
        <v>1</v>
      </c>
      <c r="Q95" s="7">
        <v>52</v>
      </c>
      <c r="R95" s="24">
        <v>44589.743750000001</v>
      </c>
      <c r="S95" s="7" t="str">
        <f>IF(AND(O95&gt;=0,O95&lt;=Protocol!$B$9),"ACCEPT","REJECT")</f>
        <v>ACCEPT</v>
      </c>
      <c r="T95" s="7" t="str">
        <f t="shared" si="5"/>
        <v>AS-OF</v>
      </c>
      <c r="U95" s="38">
        <v>48</v>
      </c>
      <c r="V95" s="38" t="s">
        <v>577</v>
      </c>
      <c r="W95" s="38">
        <v>4</v>
      </c>
      <c r="X95" s="38" t="b">
        <v>1</v>
      </c>
      <c r="Y95" s="38" t="s">
        <v>810</v>
      </c>
    </row>
    <row r="96" spans="1:25" ht="21.95" customHeight="1" x14ac:dyDescent="0.2">
      <c r="A96" s="7">
        <v>91</v>
      </c>
      <c r="B96" s="7">
        <v>242338</v>
      </c>
      <c r="C96" s="24">
        <v>44589.744421296287</v>
      </c>
      <c r="D96" s="7">
        <v>1643392318</v>
      </c>
      <c r="E96" s="7">
        <f>D96-Protocol!$B$7</f>
        <v>549</v>
      </c>
      <c r="F96" s="7">
        <v>1356</v>
      </c>
      <c r="G96" s="7">
        <v>0</v>
      </c>
      <c r="H96" s="7">
        <v>1</v>
      </c>
      <c r="I96" s="7" t="s">
        <v>536</v>
      </c>
      <c r="J96" s="7">
        <v>3.1065899999999997E-5</v>
      </c>
      <c r="K96" s="7">
        <v>5</v>
      </c>
      <c r="L96" s="24">
        <v>44589.744317129633</v>
      </c>
      <c r="M96" s="7">
        <v>116</v>
      </c>
      <c r="N96" s="7">
        <v>1643392309</v>
      </c>
      <c r="O96" s="7">
        <f t="shared" si="4"/>
        <v>9</v>
      </c>
      <c r="P96" s="7">
        <v>1</v>
      </c>
      <c r="Q96" s="7">
        <v>52</v>
      </c>
      <c r="R96" s="24">
        <v>44589.743750000001</v>
      </c>
      <c r="S96" s="7" t="str">
        <f>IF(AND(O96&gt;=0,O96&lt;=Protocol!$B$9),"ACCEPT","REJECT")</f>
        <v>ACCEPT</v>
      </c>
      <c r="T96" s="7" t="str">
        <f t="shared" si="5"/>
        <v>AS-OF</v>
      </c>
      <c r="U96" s="38">
        <v>48</v>
      </c>
      <c r="V96" s="38" t="s">
        <v>577</v>
      </c>
      <c r="W96" s="38">
        <v>9</v>
      </c>
      <c r="X96" s="38" t="b">
        <v>1</v>
      </c>
      <c r="Y96" s="38" t="s">
        <v>810</v>
      </c>
    </row>
    <row r="97" spans="1:25" ht="21.95" customHeight="1" x14ac:dyDescent="0.2">
      <c r="A97" s="7">
        <v>92</v>
      </c>
      <c r="B97" s="7">
        <v>242339</v>
      </c>
      <c r="C97" s="24">
        <v>44589.744479166657</v>
      </c>
      <c r="D97" s="7">
        <v>1643392323</v>
      </c>
      <c r="E97" s="7">
        <f>D97-Protocol!$B$7</f>
        <v>554</v>
      </c>
      <c r="F97" s="7">
        <v>1356</v>
      </c>
      <c r="G97" s="7">
        <v>0</v>
      </c>
      <c r="H97" s="7">
        <v>1</v>
      </c>
      <c r="I97" s="7" t="s">
        <v>536</v>
      </c>
      <c r="J97" s="7">
        <v>2.60302E-5</v>
      </c>
      <c r="K97" s="7">
        <v>5</v>
      </c>
      <c r="L97" s="24">
        <v>44589.744432870371</v>
      </c>
      <c r="M97" s="7">
        <v>115</v>
      </c>
      <c r="N97" s="7">
        <v>1643392319</v>
      </c>
      <c r="O97" s="7">
        <f t="shared" si="4"/>
        <v>4</v>
      </c>
      <c r="P97" s="7">
        <v>1</v>
      </c>
      <c r="Q97" s="7">
        <v>53</v>
      </c>
      <c r="R97" s="24">
        <v>44589.744444444441</v>
      </c>
      <c r="S97" s="7" t="str">
        <f>IF(AND(O97&gt;=0,O97&lt;=Protocol!$B$9),"ACCEPT","REJECT")</f>
        <v>ACCEPT</v>
      </c>
      <c r="T97" s="7" t="str">
        <f t="shared" si="5"/>
        <v>AS-OF</v>
      </c>
      <c r="U97" s="38">
        <v>49</v>
      </c>
      <c r="V97" s="38" t="s">
        <v>577</v>
      </c>
      <c r="W97" s="38">
        <v>4</v>
      </c>
      <c r="X97" s="38" t="b">
        <v>1</v>
      </c>
      <c r="Y97" s="38" t="s">
        <v>810</v>
      </c>
    </row>
    <row r="98" spans="1:25" ht="21.95" customHeight="1" x14ac:dyDescent="0.2">
      <c r="A98" s="7">
        <v>93</v>
      </c>
      <c r="B98" s="7">
        <v>242340</v>
      </c>
      <c r="C98" s="24">
        <v>44589.744537037041</v>
      </c>
      <c r="D98" s="7">
        <v>1643392328</v>
      </c>
      <c r="E98" s="7">
        <f>D98-Protocol!$B$7</f>
        <v>559</v>
      </c>
      <c r="F98" s="7">
        <v>1356</v>
      </c>
      <c r="G98" s="7">
        <v>0</v>
      </c>
      <c r="H98" s="7">
        <v>1</v>
      </c>
      <c r="I98" s="7" t="s">
        <v>536</v>
      </c>
      <c r="J98" s="7">
        <v>2.1146799999999999E-5</v>
      </c>
      <c r="K98" s="7">
        <v>5</v>
      </c>
      <c r="L98" s="24">
        <v>44589.744432870371</v>
      </c>
      <c r="M98" s="7">
        <v>115</v>
      </c>
      <c r="N98" s="7">
        <v>1643392319</v>
      </c>
      <c r="O98" s="7">
        <f t="shared" si="4"/>
        <v>9</v>
      </c>
      <c r="P98" s="7">
        <v>1</v>
      </c>
      <c r="Q98" s="7">
        <v>53</v>
      </c>
      <c r="R98" s="24">
        <v>44589.744444444441</v>
      </c>
      <c r="S98" s="7" t="str">
        <f>IF(AND(O98&gt;=0,O98&lt;=Protocol!$B$9),"ACCEPT","REJECT")</f>
        <v>ACCEPT</v>
      </c>
      <c r="T98" s="7" t="str">
        <f t="shared" si="5"/>
        <v>AS-OF</v>
      </c>
      <c r="U98" s="38">
        <v>49</v>
      </c>
      <c r="V98" s="38" t="s">
        <v>577</v>
      </c>
      <c r="W98" s="38">
        <v>9</v>
      </c>
      <c r="X98" s="38" t="b">
        <v>1</v>
      </c>
      <c r="Y98" s="38" t="s">
        <v>810</v>
      </c>
    </row>
    <row r="99" spans="1:25" ht="21.95" customHeight="1" x14ac:dyDescent="0.2">
      <c r="A99" s="7">
        <v>94</v>
      </c>
      <c r="B99" s="7">
        <v>242341</v>
      </c>
      <c r="C99" s="24">
        <v>44589.74459490741</v>
      </c>
      <c r="D99" s="7">
        <v>1643392333</v>
      </c>
      <c r="E99" s="7">
        <f>D99-Protocol!$B$7</f>
        <v>564</v>
      </c>
      <c r="F99" s="7">
        <v>1356</v>
      </c>
      <c r="G99" s="7">
        <v>0</v>
      </c>
      <c r="H99" s="7">
        <v>1</v>
      </c>
      <c r="I99" s="7" t="s">
        <v>536</v>
      </c>
      <c r="J99" s="7">
        <v>1.3602699999999999E-5</v>
      </c>
      <c r="K99" s="7">
        <v>5</v>
      </c>
      <c r="L99" s="24">
        <v>44589.74454861111</v>
      </c>
      <c r="M99" s="7">
        <v>114</v>
      </c>
      <c r="N99" s="7">
        <v>1643392329</v>
      </c>
      <c r="O99" s="7">
        <f t="shared" si="4"/>
        <v>4</v>
      </c>
      <c r="P99" s="7">
        <v>1</v>
      </c>
      <c r="Q99" s="7">
        <v>53</v>
      </c>
      <c r="R99" s="24">
        <v>44589.744444444441</v>
      </c>
      <c r="S99" s="7" t="str">
        <f>IF(AND(O99&gt;=0,O99&lt;=Protocol!$B$9),"ACCEPT","REJECT")</f>
        <v>ACCEPT</v>
      </c>
      <c r="T99" s="7" t="str">
        <f t="shared" si="5"/>
        <v>AS-OF</v>
      </c>
      <c r="U99" s="38">
        <v>50</v>
      </c>
      <c r="V99" s="38" t="s">
        <v>577</v>
      </c>
      <c r="W99" s="38">
        <v>4</v>
      </c>
      <c r="X99" s="38" t="b">
        <v>1</v>
      </c>
      <c r="Y99" s="38" t="s">
        <v>810</v>
      </c>
    </row>
    <row r="100" spans="1:25" ht="21.95" customHeight="1" x14ac:dyDescent="0.2">
      <c r="A100" s="7">
        <v>95</v>
      </c>
      <c r="B100" s="7">
        <v>242342</v>
      </c>
      <c r="C100" s="24">
        <v>44589.744652777779</v>
      </c>
      <c r="D100" s="7">
        <v>1643392338</v>
      </c>
      <c r="E100" s="7">
        <f>D100-Protocol!$B$7</f>
        <v>569</v>
      </c>
      <c r="F100" s="7">
        <v>1356</v>
      </c>
      <c r="G100" s="7">
        <v>0</v>
      </c>
      <c r="H100" s="7">
        <v>1</v>
      </c>
      <c r="I100" s="7" t="s">
        <v>536</v>
      </c>
      <c r="J100" s="7">
        <v>4.5659900000000001E-6</v>
      </c>
      <c r="K100" s="7">
        <v>5</v>
      </c>
      <c r="L100" s="24">
        <v>44589.74454861111</v>
      </c>
      <c r="M100" s="7">
        <v>114</v>
      </c>
      <c r="N100" s="7">
        <v>1643392329</v>
      </c>
      <c r="O100" s="7">
        <f t="shared" si="4"/>
        <v>9</v>
      </c>
      <c r="P100" s="7">
        <v>1</v>
      </c>
      <c r="Q100" s="7">
        <v>53</v>
      </c>
      <c r="R100" s="24">
        <v>44589.744444444441</v>
      </c>
      <c r="S100" s="7" t="str">
        <f>IF(AND(O100&gt;=0,O100&lt;=Protocol!$B$9),"ACCEPT","REJECT")</f>
        <v>ACCEPT</v>
      </c>
      <c r="T100" s="7" t="str">
        <f t="shared" si="5"/>
        <v>AS-OF</v>
      </c>
      <c r="U100" s="38">
        <v>50</v>
      </c>
      <c r="V100" s="38" t="s">
        <v>577</v>
      </c>
      <c r="W100" s="38">
        <v>9</v>
      </c>
      <c r="X100" s="38" t="b">
        <v>1</v>
      </c>
      <c r="Y100" s="38" t="s">
        <v>810</v>
      </c>
    </row>
    <row r="101" spans="1:25" ht="21.95" customHeight="1" x14ac:dyDescent="0.2">
      <c r="A101" s="7">
        <v>96</v>
      </c>
      <c r="B101" s="7">
        <v>242343</v>
      </c>
      <c r="C101" s="24">
        <v>44589.744710648149</v>
      </c>
      <c r="D101" s="7">
        <v>1643392343</v>
      </c>
      <c r="E101" s="7">
        <f>D101-Protocol!$B$7</f>
        <v>574</v>
      </c>
      <c r="F101" s="7">
        <v>1356</v>
      </c>
      <c r="G101" s="7">
        <v>0</v>
      </c>
      <c r="H101" s="7">
        <v>1</v>
      </c>
      <c r="I101" s="7" t="s">
        <v>536</v>
      </c>
      <c r="J101" s="7">
        <v>-5.2256999999999998E-6</v>
      </c>
      <c r="K101" s="7">
        <v>5</v>
      </c>
      <c r="L101" s="24">
        <v>44589.744664351849</v>
      </c>
      <c r="M101" s="7">
        <v>113</v>
      </c>
      <c r="N101" s="7">
        <v>1643392339</v>
      </c>
      <c r="O101" s="7">
        <f t="shared" si="4"/>
        <v>4</v>
      </c>
      <c r="P101" s="7">
        <v>1</v>
      </c>
      <c r="Q101" s="7">
        <v>53</v>
      </c>
      <c r="R101" s="24">
        <v>44589.744444444441</v>
      </c>
      <c r="S101" s="7" t="str">
        <f>IF(AND(O101&gt;=0,O101&lt;=Protocol!$B$9),"ACCEPT","REJECT")</f>
        <v>ACCEPT</v>
      </c>
      <c r="T101" s="7" t="str">
        <f t="shared" si="5"/>
        <v>AS-OF</v>
      </c>
      <c r="U101" s="38">
        <v>51</v>
      </c>
      <c r="V101" s="38" t="s">
        <v>577</v>
      </c>
      <c r="W101" s="38">
        <v>4</v>
      </c>
      <c r="X101" s="38" t="b">
        <v>1</v>
      </c>
      <c r="Y101" s="38" t="s">
        <v>810</v>
      </c>
    </row>
    <row r="102" spans="1:25" ht="21.95" customHeight="1" x14ac:dyDescent="0.2">
      <c r="A102" s="7">
        <v>97</v>
      </c>
      <c r="B102" s="7">
        <v>242344</v>
      </c>
      <c r="C102" s="24">
        <v>44589.744768518518</v>
      </c>
      <c r="D102" s="7">
        <v>1643392348</v>
      </c>
      <c r="E102" s="7">
        <f>D102-Protocol!$B$7</f>
        <v>579</v>
      </c>
      <c r="F102" s="7">
        <v>1356</v>
      </c>
      <c r="G102" s="7">
        <v>0</v>
      </c>
      <c r="H102" s="7">
        <v>1</v>
      </c>
      <c r="I102" s="7" t="s">
        <v>536</v>
      </c>
      <c r="J102" s="7">
        <v>-1.52075E-5</v>
      </c>
      <c r="K102" s="7">
        <v>5</v>
      </c>
      <c r="L102" s="24">
        <v>44589.744664351849</v>
      </c>
      <c r="M102" s="7">
        <v>113</v>
      </c>
      <c r="N102" s="7">
        <v>1643392339</v>
      </c>
      <c r="O102" s="7">
        <f t="shared" ref="O102:O116" si="6">D102-N102</f>
        <v>9</v>
      </c>
      <c r="P102" s="7">
        <v>1</v>
      </c>
      <c r="Q102" s="7">
        <v>53</v>
      </c>
      <c r="R102" s="24">
        <v>44589.744444444441</v>
      </c>
      <c r="S102" s="7" t="str">
        <f>IF(AND(O102&gt;=0,O102&lt;=Protocol!$B$9),"ACCEPT","REJECT")</f>
        <v>ACCEPT</v>
      </c>
      <c r="T102" s="7" t="str">
        <f t="shared" ref="T102:T116" si="7">IF(O102=0,"EXACT","AS-OF")</f>
        <v>AS-OF</v>
      </c>
      <c r="U102" s="38">
        <v>51</v>
      </c>
      <c r="V102" s="38" t="s">
        <v>577</v>
      </c>
      <c r="W102" s="38">
        <v>9</v>
      </c>
      <c r="X102" s="38" t="b">
        <v>1</v>
      </c>
      <c r="Y102" s="38" t="s">
        <v>810</v>
      </c>
    </row>
    <row r="103" spans="1:25" ht="21.95" customHeight="1" x14ac:dyDescent="0.2">
      <c r="A103" s="7">
        <v>98</v>
      </c>
      <c r="B103" s="7">
        <v>242345</v>
      </c>
      <c r="C103" s="24">
        <v>44589.744826388887</v>
      </c>
      <c r="D103" s="7">
        <v>1643392353</v>
      </c>
      <c r="E103" s="7">
        <f>D103-Protocol!$B$7</f>
        <v>584</v>
      </c>
      <c r="F103" s="7">
        <v>1356</v>
      </c>
      <c r="G103" s="7">
        <v>0</v>
      </c>
      <c r="H103" s="7">
        <v>1</v>
      </c>
      <c r="I103" s="7" t="s">
        <v>536</v>
      </c>
      <c r="J103" s="7">
        <v>-2.2823399999999999E-5</v>
      </c>
      <c r="K103" s="7">
        <v>5</v>
      </c>
      <c r="L103" s="24">
        <v>44589.744780092587</v>
      </c>
      <c r="M103" s="7">
        <v>112</v>
      </c>
      <c r="N103" s="7">
        <v>1643392349</v>
      </c>
      <c r="O103" s="7">
        <f t="shared" si="6"/>
        <v>4</v>
      </c>
      <c r="P103" s="7">
        <v>1</v>
      </c>
      <c r="Q103" s="7">
        <v>53</v>
      </c>
      <c r="R103" s="24">
        <v>44589.744444444441</v>
      </c>
      <c r="S103" s="7" t="str">
        <f>IF(AND(O103&gt;=0,O103&lt;=Protocol!$B$9),"ACCEPT","REJECT")</f>
        <v>ACCEPT</v>
      </c>
      <c r="T103" s="7" t="str">
        <f t="shared" si="7"/>
        <v>AS-OF</v>
      </c>
      <c r="U103" s="38">
        <v>52</v>
      </c>
      <c r="V103" s="38" t="s">
        <v>577</v>
      </c>
      <c r="W103" s="38">
        <v>4</v>
      </c>
      <c r="X103" s="38" t="b">
        <v>1</v>
      </c>
      <c r="Y103" s="38" t="s">
        <v>810</v>
      </c>
    </row>
    <row r="104" spans="1:25" ht="21.95" customHeight="1" x14ac:dyDescent="0.2">
      <c r="A104" s="7">
        <v>99</v>
      </c>
      <c r="B104" s="7">
        <v>242346</v>
      </c>
      <c r="C104" s="24">
        <v>44589.744884259257</v>
      </c>
      <c r="D104" s="7">
        <v>1643392358</v>
      </c>
      <c r="E104" s="7">
        <f>D104-Protocol!$B$7</f>
        <v>589</v>
      </c>
      <c r="F104" s="7">
        <v>1356</v>
      </c>
      <c r="G104" s="7">
        <v>0</v>
      </c>
      <c r="H104" s="7">
        <v>1</v>
      </c>
      <c r="I104" s="7" t="s">
        <v>536</v>
      </c>
      <c r="J104" s="7">
        <v>-2.72367E-5</v>
      </c>
      <c r="K104" s="7">
        <v>5</v>
      </c>
      <c r="L104" s="24">
        <v>44589.744780092587</v>
      </c>
      <c r="M104" s="7">
        <v>112</v>
      </c>
      <c r="N104" s="7">
        <v>1643392349</v>
      </c>
      <c r="O104" s="7">
        <f t="shared" si="6"/>
        <v>9</v>
      </c>
      <c r="P104" s="7">
        <v>1</v>
      </c>
      <c r="Q104" s="7">
        <v>53</v>
      </c>
      <c r="R104" s="24">
        <v>44589.744444444441</v>
      </c>
      <c r="S104" s="7" t="str">
        <f>IF(AND(O104&gt;=0,O104&lt;=Protocol!$B$9),"ACCEPT","REJECT")</f>
        <v>ACCEPT</v>
      </c>
      <c r="T104" s="7" t="str">
        <f t="shared" si="7"/>
        <v>AS-OF</v>
      </c>
      <c r="U104" s="38">
        <v>52</v>
      </c>
      <c r="V104" s="38" t="s">
        <v>577</v>
      </c>
      <c r="W104" s="38">
        <v>9</v>
      </c>
      <c r="X104" s="38" t="b">
        <v>1</v>
      </c>
      <c r="Y104" s="38" t="s">
        <v>810</v>
      </c>
    </row>
    <row r="105" spans="1:25" ht="21.95" customHeight="1" x14ac:dyDescent="0.2">
      <c r="A105" s="7">
        <v>100</v>
      </c>
      <c r="B105" s="7">
        <v>242347</v>
      </c>
      <c r="C105" s="24">
        <v>44589.744942129633</v>
      </c>
      <c r="D105" s="7">
        <v>1643392363</v>
      </c>
      <c r="E105" s="7">
        <f>D105-Protocol!$B$7</f>
        <v>594</v>
      </c>
      <c r="F105" s="7">
        <v>1356</v>
      </c>
      <c r="G105" s="7">
        <v>0</v>
      </c>
      <c r="H105" s="7">
        <v>1</v>
      </c>
      <c r="I105" s="7" t="s">
        <v>536</v>
      </c>
      <c r="J105" s="7">
        <v>-2.99254E-5</v>
      </c>
      <c r="K105" s="7">
        <v>5</v>
      </c>
      <c r="L105" s="24">
        <v>44589.744895833333</v>
      </c>
      <c r="M105" s="7">
        <v>111</v>
      </c>
      <c r="N105" s="7">
        <v>1643392359</v>
      </c>
      <c r="O105" s="7">
        <f t="shared" si="6"/>
        <v>4</v>
      </c>
      <c r="P105" s="7">
        <v>1</v>
      </c>
      <c r="Q105" s="7">
        <v>53</v>
      </c>
      <c r="R105" s="24">
        <v>44589.744444444441</v>
      </c>
      <c r="S105" s="7" t="str">
        <f>IF(AND(O105&gt;=0,O105&lt;=Protocol!$B$9),"ACCEPT","REJECT")</f>
        <v>ACCEPT</v>
      </c>
      <c r="T105" s="7" t="str">
        <f t="shared" si="7"/>
        <v>AS-OF</v>
      </c>
      <c r="U105" s="38">
        <v>53</v>
      </c>
      <c r="V105" s="38" t="s">
        <v>577</v>
      </c>
      <c r="W105" s="38">
        <v>4</v>
      </c>
      <c r="X105" s="38" t="b">
        <v>1</v>
      </c>
      <c r="Y105" s="38" t="s">
        <v>810</v>
      </c>
    </row>
    <row r="106" spans="1:25" ht="21.95" customHeight="1" x14ac:dyDescent="0.2">
      <c r="A106" s="7">
        <v>101</v>
      </c>
      <c r="B106" s="7">
        <v>242348</v>
      </c>
      <c r="C106" s="24">
        <v>44589.745000000003</v>
      </c>
      <c r="D106" s="7">
        <v>1643392368</v>
      </c>
      <c r="E106" s="7">
        <f>D106-Protocol!$B$7</f>
        <v>599</v>
      </c>
      <c r="F106" s="7">
        <v>1357</v>
      </c>
      <c r="G106" s="7">
        <v>1</v>
      </c>
      <c r="H106" s="7">
        <v>1</v>
      </c>
      <c r="I106" s="7" t="s">
        <v>536</v>
      </c>
      <c r="J106" s="7">
        <v>-2.9238200000000001E-5</v>
      </c>
      <c r="K106" s="7">
        <v>5</v>
      </c>
      <c r="L106" s="24">
        <v>44589.744895833333</v>
      </c>
      <c r="M106" s="7">
        <v>111</v>
      </c>
      <c r="N106" s="7">
        <v>1643392359</v>
      </c>
      <c r="O106" s="7">
        <f t="shared" si="6"/>
        <v>9</v>
      </c>
      <c r="P106" s="7">
        <v>1</v>
      </c>
      <c r="Q106" s="7">
        <v>53</v>
      </c>
      <c r="R106" s="24">
        <v>44589.744444444441</v>
      </c>
      <c r="S106" s="7" t="str">
        <f>IF(AND(O106&gt;=0,O106&lt;=Protocol!$B$9),"ACCEPT","REJECT")</f>
        <v>ACCEPT</v>
      </c>
      <c r="T106" s="7" t="str">
        <f t="shared" si="7"/>
        <v>AS-OF</v>
      </c>
      <c r="U106" s="38">
        <v>53</v>
      </c>
      <c r="V106" s="38" t="s">
        <v>577</v>
      </c>
      <c r="W106" s="38">
        <v>9</v>
      </c>
      <c r="X106" s="38" t="b">
        <v>1</v>
      </c>
      <c r="Y106" s="38" t="s">
        <v>810</v>
      </c>
    </row>
    <row r="107" spans="1:25" ht="21.95" customHeight="1" x14ac:dyDescent="0.2">
      <c r="A107" s="7">
        <v>102</v>
      </c>
      <c r="B107" s="7">
        <v>242349</v>
      </c>
      <c r="C107" s="24">
        <v>44589.745057870372</v>
      </c>
      <c r="D107" s="7">
        <v>1643392373</v>
      </c>
      <c r="E107" s="7">
        <f>D107-Protocol!$B$7</f>
        <v>604</v>
      </c>
      <c r="F107" s="7">
        <v>1357</v>
      </c>
      <c r="G107" s="7">
        <v>1</v>
      </c>
      <c r="H107" s="7">
        <v>1</v>
      </c>
      <c r="I107" s="7" t="s">
        <v>536</v>
      </c>
      <c r="J107" s="7">
        <v>-2.5530399999999999E-5</v>
      </c>
      <c r="K107" s="7">
        <v>5</v>
      </c>
      <c r="L107" s="24">
        <v>44589.745011574072</v>
      </c>
      <c r="M107" s="7">
        <v>110</v>
      </c>
      <c r="N107" s="7">
        <v>1643392369</v>
      </c>
      <c r="O107" s="7">
        <f t="shared" si="6"/>
        <v>4</v>
      </c>
      <c r="P107" s="7">
        <v>1</v>
      </c>
      <c r="Q107" s="7">
        <v>53</v>
      </c>
      <c r="R107" s="24">
        <v>44589.744444444441</v>
      </c>
      <c r="S107" s="7" t="str">
        <f>IF(AND(O107&gt;=0,O107&lt;=Protocol!$B$9),"ACCEPT","REJECT")</f>
        <v>ACCEPT</v>
      </c>
      <c r="T107" s="7" t="str">
        <f t="shared" si="7"/>
        <v>AS-OF</v>
      </c>
      <c r="U107" s="38">
        <v>54</v>
      </c>
      <c r="V107" s="38" t="s">
        <v>577</v>
      </c>
      <c r="W107" s="38">
        <v>4</v>
      </c>
      <c r="X107" s="38" t="b">
        <v>1</v>
      </c>
      <c r="Y107" s="38" t="s">
        <v>810</v>
      </c>
    </row>
    <row r="108" spans="1:25" ht="21.95" customHeight="1" x14ac:dyDescent="0.2">
      <c r="A108" s="7">
        <v>103</v>
      </c>
      <c r="B108" s="7">
        <v>242350</v>
      </c>
      <c r="C108" s="24">
        <v>44589.745115740741</v>
      </c>
      <c r="D108" s="7">
        <v>1643392378</v>
      </c>
      <c r="E108" s="7">
        <f>D108-Protocol!$B$7</f>
        <v>609</v>
      </c>
      <c r="F108" s="7">
        <v>1357</v>
      </c>
      <c r="G108" s="7">
        <v>1</v>
      </c>
      <c r="H108" s="7">
        <v>1</v>
      </c>
      <c r="I108" s="7" t="s">
        <v>536</v>
      </c>
      <c r="J108" s="7">
        <v>-1.8904699999999999E-5</v>
      </c>
      <c r="K108" s="7">
        <v>5</v>
      </c>
      <c r="L108" s="24">
        <v>44589.745011574072</v>
      </c>
      <c r="M108" s="7">
        <v>110</v>
      </c>
      <c r="N108" s="7">
        <v>1643392369</v>
      </c>
      <c r="O108" s="7">
        <f t="shared" si="6"/>
        <v>9</v>
      </c>
      <c r="P108" s="7">
        <v>1</v>
      </c>
      <c r="Q108" s="7">
        <v>53</v>
      </c>
      <c r="R108" s="24">
        <v>44589.744444444441</v>
      </c>
      <c r="S108" s="7" t="str">
        <f>IF(AND(O108&gt;=0,O108&lt;=Protocol!$B$9),"ACCEPT","REJECT")</f>
        <v>ACCEPT</v>
      </c>
      <c r="T108" s="7" t="str">
        <f t="shared" si="7"/>
        <v>AS-OF</v>
      </c>
      <c r="U108" s="38">
        <v>54</v>
      </c>
      <c r="V108" s="38" t="s">
        <v>577</v>
      </c>
      <c r="W108" s="38">
        <v>9</v>
      </c>
      <c r="X108" s="38" t="b">
        <v>1</v>
      </c>
      <c r="Y108" s="38" t="s">
        <v>810</v>
      </c>
    </row>
    <row r="109" spans="1:25" ht="21.95" customHeight="1" x14ac:dyDescent="0.2">
      <c r="A109" s="7">
        <v>104</v>
      </c>
      <c r="B109" s="7">
        <v>242351</v>
      </c>
      <c r="C109" s="24">
        <v>44589.745173611111</v>
      </c>
      <c r="D109" s="7">
        <v>1643392383</v>
      </c>
      <c r="E109" s="7">
        <f>D109-Protocol!$B$7</f>
        <v>614</v>
      </c>
      <c r="F109" s="7">
        <v>1357</v>
      </c>
      <c r="G109" s="7">
        <v>1</v>
      </c>
      <c r="H109" s="7">
        <v>1</v>
      </c>
      <c r="I109" s="7" t="s">
        <v>536</v>
      </c>
      <c r="J109" s="7">
        <v>-9.9715200000000007E-6</v>
      </c>
      <c r="K109" s="7">
        <v>5</v>
      </c>
      <c r="L109" s="24">
        <v>44589.745127314818</v>
      </c>
      <c r="M109" s="7">
        <v>109</v>
      </c>
      <c r="N109" s="7">
        <v>1643392379</v>
      </c>
      <c r="O109" s="7">
        <f t="shared" si="6"/>
        <v>4</v>
      </c>
      <c r="P109" s="7">
        <v>1</v>
      </c>
      <c r="Q109" s="7">
        <v>54</v>
      </c>
      <c r="R109" s="24">
        <v>44589.745138888888</v>
      </c>
      <c r="S109" s="7" t="str">
        <f>IF(AND(O109&gt;=0,O109&lt;=Protocol!$B$9),"ACCEPT","REJECT")</f>
        <v>ACCEPT</v>
      </c>
      <c r="T109" s="7" t="str">
        <f t="shared" si="7"/>
        <v>AS-OF</v>
      </c>
      <c r="U109" s="38">
        <v>55</v>
      </c>
      <c r="V109" s="38" t="s">
        <v>577</v>
      </c>
      <c r="W109" s="38">
        <v>4</v>
      </c>
      <c r="X109" s="38" t="b">
        <v>1</v>
      </c>
      <c r="Y109" s="38" t="s">
        <v>810</v>
      </c>
    </row>
    <row r="110" spans="1:25" ht="21.95" customHeight="1" x14ac:dyDescent="0.2">
      <c r="A110" s="7">
        <v>105</v>
      </c>
      <c r="B110" s="7">
        <v>242352</v>
      </c>
      <c r="C110" s="24">
        <v>44589.74523148148</v>
      </c>
      <c r="D110" s="7">
        <v>1643392388</v>
      </c>
      <c r="E110" s="7">
        <f>D110-Protocol!$B$7</f>
        <v>619</v>
      </c>
      <c r="F110" s="7">
        <v>1357</v>
      </c>
      <c r="G110" s="7">
        <v>1</v>
      </c>
      <c r="H110" s="7">
        <v>1</v>
      </c>
      <c r="I110" s="7" t="s">
        <v>536</v>
      </c>
      <c r="J110" s="7">
        <v>-7.3643800000000005E-7</v>
      </c>
      <c r="K110" s="7">
        <v>5</v>
      </c>
      <c r="L110" s="24">
        <v>44589.745127314818</v>
      </c>
      <c r="M110" s="7">
        <v>109</v>
      </c>
      <c r="N110" s="7">
        <v>1643392379</v>
      </c>
      <c r="O110" s="7">
        <f t="shared" si="6"/>
        <v>9</v>
      </c>
      <c r="P110" s="7">
        <v>1</v>
      </c>
      <c r="Q110" s="7">
        <v>54</v>
      </c>
      <c r="R110" s="24">
        <v>44589.745138888888</v>
      </c>
      <c r="S110" s="7" t="str">
        <f>IF(AND(O110&gt;=0,O110&lt;=Protocol!$B$9),"ACCEPT","REJECT")</f>
        <v>ACCEPT</v>
      </c>
      <c r="T110" s="7" t="str">
        <f t="shared" si="7"/>
        <v>AS-OF</v>
      </c>
      <c r="U110" s="38">
        <v>55</v>
      </c>
      <c r="V110" s="38" t="s">
        <v>577</v>
      </c>
      <c r="W110" s="38">
        <v>9</v>
      </c>
      <c r="X110" s="38" t="b">
        <v>1</v>
      </c>
      <c r="Y110" s="38" t="s">
        <v>810</v>
      </c>
    </row>
    <row r="111" spans="1:25" ht="21.95" customHeight="1" x14ac:dyDescent="0.2">
      <c r="A111" s="7">
        <v>106</v>
      </c>
      <c r="B111" s="7">
        <v>242353</v>
      </c>
      <c r="C111" s="24">
        <v>44589.745289351849</v>
      </c>
      <c r="D111" s="7">
        <v>1643392393</v>
      </c>
      <c r="E111" s="7">
        <f>D111-Protocol!$B$7</f>
        <v>624</v>
      </c>
      <c r="F111" s="7">
        <v>1357</v>
      </c>
      <c r="G111" s="7">
        <v>1</v>
      </c>
      <c r="H111" s="7">
        <v>1</v>
      </c>
      <c r="I111" s="7" t="s">
        <v>536</v>
      </c>
      <c r="J111" s="7">
        <v>7.0153700000000002E-6</v>
      </c>
      <c r="K111" s="7">
        <v>5</v>
      </c>
      <c r="L111" s="24">
        <v>44589.745254629634</v>
      </c>
      <c r="M111" s="7">
        <v>108</v>
      </c>
      <c r="N111" s="7">
        <v>1643392390</v>
      </c>
      <c r="O111" s="7">
        <f t="shared" si="6"/>
        <v>3</v>
      </c>
      <c r="P111" s="7">
        <v>1</v>
      </c>
      <c r="Q111" s="7">
        <v>54</v>
      </c>
      <c r="R111" s="24">
        <v>44589.745138888888</v>
      </c>
      <c r="S111" s="7" t="str">
        <f>IF(AND(O111&gt;=0,O111&lt;=Protocol!$B$9),"ACCEPT","REJECT")</f>
        <v>ACCEPT</v>
      </c>
      <c r="T111" s="7" t="str">
        <f t="shared" si="7"/>
        <v>AS-OF</v>
      </c>
      <c r="U111" s="38">
        <v>56</v>
      </c>
      <c r="V111" s="38" t="s">
        <v>577</v>
      </c>
      <c r="W111" s="38">
        <v>3</v>
      </c>
      <c r="X111" s="38" t="b">
        <v>1</v>
      </c>
      <c r="Y111" s="38" t="s">
        <v>810</v>
      </c>
    </row>
    <row r="112" spans="1:25" ht="21.95" customHeight="1" x14ac:dyDescent="0.2">
      <c r="A112" s="7">
        <v>107</v>
      </c>
      <c r="B112" s="7">
        <v>242354</v>
      </c>
      <c r="C112" s="24">
        <v>44589.745347222219</v>
      </c>
      <c r="D112" s="7">
        <v>1643392398</v>
      </c>
      <c r="E112" s="7">
        <f>D112-Protocol!$B$7</f>
        <v>629</v>
      </c>
      <c r="F112" s="7">
        <v>1357</v>
      </c>
      <c r="G112" s="7">
        <v>1</v>
      </c>
      <c r="H112" s="7">
        <v>1</v>
      </c>
      <c r="I112" s="7" t="s">
        <v>536</v>
      </c>
      <c r="J112" s="7">
        <v>1.50251E-5</v>
      </c>
      <c r="K112" s="7">
        <v>5</v>
      </c>
      <c r="L112" s="24">
        <v>44589.745254629634</v>
      </c>
      <c r="M112" s="7">
        <v>108</v>
      </c>
      <c r="N112" s="7">
        <v>1643392390</v>
      </c>
      <c r="O112" s="7">
        <f t="shared" si="6"/>
        <v>8</v>
      </c>
      <c r="P112" s="7">
        <v>1</v>
      </c>
      <c r="Q112" s="7">
        <v>54</v>
      </c>
      <c r="R112" s="24">
        <v>44589.745138888888</v>
      </c>
      <c r="S112" s="7" t="str">
        <f>IF(AND(O112&gt;=0,O112&lt;=Protocol!$B$9),"ACCEPT","REJECT")</f>
        <v>ACCEPT</v>
      </c>
      <c r="T112" s="7" t="str">
        <f t="shared" si="7"/>
        <v>AS-OF</v>
      </c>
      <c r="U112" s="38">
        <v>56</v>
      </c>
      <c r="V112" s="38" t="s">
        <v>577</v>
      </c>
      <c r="W112" s="38">
        <v>8</v>
      </c>
      <c r="X112" s="38" t="b">
        <v>1</v>
      </c>
      <c r="Y112" s="38" t="s">
        <v>810</v>
      </c>
    </row>
    <row r="113" spans="1:25" ht="21.95" customHeight="1" x14ac:dyDescent="0.2">
      <c r="A113" s="7">
        <v>108</v>
      </c>
      <c r="B113" s="7">
        <v>242355</v>
      </c>
      <c r="C113" s="24">
        <v>44589.745405092603</v>
      </c>
      <c r="D113" s="7">
        <v>1643392403</v>
      </c>
      <c r="E113" s="7">
        <f>D113-Protocol!$B$7</f>
        <v>634</v>
      </c>
      <c r="F113" s="7">
        <v>1357</v>
      </c>
      <c r="G113" s="7">
        <v>1</v>
      </c>
      <c r="H113" s="7">
        <v>1</v>
      </c>
      <c r="I113" s="7" t="s">
        <v>536</v>
      </c>
      <c r="J113" s="7">
        <v>2.08706E-5</v>
      </c>
      <c r="K113" s="7">
        <v>5</v>
      </c>
      <c r="L113" s="24">
        <v>44589.745358796303</v>
      </c>
      <c r="M113" s="7">
        <v>107</v>
      </c>
      <c r="N113" s="7">
        <v>1643392399</v>
      </c>
      <c r="O113" s="7">
        <f t="shared" si="6"/>
        <v>4</v>
      </c>
      <c r="P113" s="7">
        <v>1</v>
      </c>
      <c r="Q113" s="7">
        <v>54</v>
      </c>
      <c r="R113" s="24">
        <v>44589.745138888888</v>
      </c>
      <c r="S113" s="7" t="str">
        <f>IF(AND(O113&gt;=0,O113&lt;=Protocol!$B$9),"ACCEPT","REJECT")</f>
        <v>ACCEPT</v>
      </c>
      <c r="T113" s="7" t="str">
        <f t="shared" si="7"/>
        <v>AS-OF</v>
      </c>
      <c r="U113" s="38">
        <v>57</v>
      </c>
      <c r="V113" s="38" t="s">
        <v>577</v>
      </c>
      <c r="W113" s="38">
        <v>4</v>
      </c>
      <c r="X113" s="38" t="b">
        <v>1</v>
      </c>
      <c r="Y113" s="38" t="s">
        <v>810</v>
      </c>
    </row>
    <row r="114" spans="1:25" ht="21.95" customHeight="1" x14ac:dyDescent="0.2">
      <c r="A114" s="7">
        <v>109</v>
      </c>
      <c r="B114" s="7">
        <v>242356</v>
      </c>
      <c r="C114" s="24">
        <v>44589.745462962957</v>
      </c>
      <c r="D114" s="7">
        <v>1643392408</v>
      </c>
      <c r="E114" s="7">
        <f>D114-Protocol!$B$7</f>
        <v>639</v>
      </c>
      <c r="F114" s="7">
        <v>1357</v>
      </c>
      <c r="G114" s="7">
        <v>1</v>
      </c>
      <c r="H114" s="7">
        <v>1</v>
      </c>
      <c r="I114" s="7" t="s">
        <v>536</v>
      </c>
      <c r="J114" s="7">
        <v>2.5888500000000001E-5</v>
      </c>
      <c r="K114" s="7">
        <v>5</v>
      </c>
      <c r="L114" s="24">
        <v>44589.745358796303</v>
      </c>
      <c r="M114" s="7">
        <v>107</v>
      </c>
      <c r="N114" s="7">
        <v>1643392399</v>
      </c>
      <c r="O114" s="7">
        <f t="shared" si="6"/>
        <v>9</v>
      </c>
      <c r="P114" s="7">
        <v>1</v>
      </c>
      <c r="Q114" s="7">
        <v>54</v>
      </c>
      <c r="R114" s="24">
        <v>44589.745138888888</v>
      </c>
      <c r="S114" s="7" t="str">
        <f>IF(AND(O114&gt;=0,O114&lt;=Protocol!$B$9),"ACCEPT","REJECT")</f>
        <v>ACCEPT</v>
      </c>
      <c r="T114" s="7" t="str">
        <f t="shared" si="7"/>
        <v>AS-OF</v>
      </c>
      <c r="U114" s="38">
        <v>57</v>
      </c>
      <c r="V114" s="38" t="s">
        <v>577</v>
      </c>
      <c r="W114" s="38">
        <v>9</v>
      </c>
      <c r="X114" s="38" t="b">
        <v>1</v>
      </c>
      <c r="Y114" s="38" t="s">
        <v>810</v>
      </c>
    </row>
    <row r="115" spans="1:25" ht="21.95" customHeight="1" x14ac:dyDescent="0.2">
      <c r="A115" s="7">
        <v>110</v>
      </c>
      <c r="B115" s="7">
        <v>242357</v>
      </c>
      <c r="C115" s="24">
        <v>44589.745983796303</v>
      </c>
      <c r="D115" s="7">
        <v>1643392453</v>
      </c>
      <c r="E115" s="7">
        <f>D115-Protocol!$B$7</f>
        <v>684</v>
      </c>
      <c r="F115" s="7">
        <v>1357</v>
      </c>
      <c r="G115" s="7">
        <v>1</v>
      </c>
      <c r="H115" s="7">
        <v>1</v>
      </c>
      <c r="I115" s="7" t="s">
        <v>536</v>
      </c>
      <c r="J115" s="7">
        <v>-1.3835999999999999E-5</v>
      </c>
      <c r="K115" s="7">
        <v>5</v>
      </c>
      <c r="L115" s="24">
        <v>44589.745937500003</v>
      </c>
      <c r="M115" s="7">
        <v>104</v>
      </c>
      <c r="N115" s="7">
        <v>1643392449</v>
      </c>
      <c r="O115" s="7">
        <f t="shared" si="6"/>
        <v>4</v>
      </c>
      <c r="P115" s="7">
        <v>1</v>
      </c>
      <c r="Q115" s="7">
        <v>55</v>
      </c>
      <c r="R115" s="24">
        <v>44589.745833333327</v>
      </c>
      <c r="S115" s="7" t="str">
        <f>IF(AND(O115&gt;=0,O115&lt;=Protocol!$B$9),"ACCEPT","REJECT")</f>
        <v>ACCEPT</v>
      </c>
      <c r="T115" s="7" t="str">
        <f t="shared" si="7"/>
        <v>AS-OF</v>
      </c>
      <c r="U115" s="38">
        <v>60</v>
      </c>
      <c r="V115" s="38" t="s">
        <v>577</v>
      </c>
      <c r="W115" s="38">
        <v>4</v>
      </c>
      <c r="X115" s="38" t="b">
        <v>1</v>
      </c>
      <c r="Y115" s="38" t="s">
        <v>810</v>
      </c>
    </row>
    <row r="116" spans="1:25" ht="21.95" customHeight="1" x14ac:dyDescent="0.2">
      <c r="A116" s="7">
        <v>111</v>
      </c>
      <c r="B116" s="7">
        <v>242358</v>
      </c>
      <c r="C116" s="24">
        <v>44589.746041666673</v>
      </c>
      <c r="D116" s="7">
        <v>1643392458</v>
      </c>
      <c r="E116" s="7">
        <f>D116-Protocol!$B$7</f>
        <v>689</v>
      </c>
      <c r="F116" s="7">
        <v>1357</v>
      </c>
      <c r="G116" s="7">
        <v>1</v>
      </c>
      <c r="H116" s="7">
        <v>1</v>
      </c>
      <c r="I116" s="7" t="s">
        <v>536</v>
      </c>
      <c r="J116" s="7">
        <v>-2.0225600000000002E-5</v>
      </c>
      <c r="K116" s="7">
        <v>5</v>
      </c>
      <c r="L116" s="24">
        <v>44589.745937500003</v>
      </c>
      <c r="M116" s="7">
        <v>104</v>
      </c>
      <c r="N116" s="7">
        <v>1643392449</v>
      </c>
      <c r="O116" s="7">
        <f t="shared" si="6"/>
        <v>9</v>
      </c>
      <c r="P116" s="7">
        <v>1</v>
      </c>
      <c r="Q116" s="7">
        <v>55</v>
      </c>
      <c r="R116" s="24">
        <v>44589.745833333327</v>
      </c>
      <c r="S116" s="7" t="str">
        <f>IF(AND(O116&gt;=0,O116&lt;=Protocol!$B$9),"ACCEPT","REJECT")</f>
        <v>ACCEPT</v>
      </c>
      <c r="T116" s="7" t="str">
        <f t="shared" si="7"/>
        <v>AS-OF</v>
      </c>
      <c r="U116" s="38">
        <v>60</v>
      </c>
      <c r="V116" s="38" t="s">
        <v>577</v>
      </c>
      <c r="W116" s="38">
        <v>9</v>
      </c>
      <c r="X116" s="38" t="b">
        <v>1</v>
      </c>
      <c r="Y116" s="38" t="s">
        <v>810</v>
      </c>
    </row>
  </sheetData>
  <mergeCells count="2">
    <mergeCell ref="A1:T1"/>
    <mergeCell ref="A2:T3"/>
  </mergeCells>
  <conditionalFormatting sqref="S6:S116">
    <cfRule type="expression" dxfId="3" priority="1">
      <formula>S6="REJECT"</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70C0"/>
  </sheetPr>
  <dimension ref="A1:BD105"/>
  <sheetViews>
    <sheetView workbookViewId="0">
      <selection sqref="A1:Z1"/>
    </sheetView>
  </sheetViews>
  <sheetFormatPr defaultRowHeight="15" x14ac:dyDescent="0.2"/>
  <cols>
    <col min="1" max="2" width="16.94921875" customWidth="1"/>
    <col min="3" max="3" width="27.98046875" customWidth="1"/>
    <col min="4" max="8" width="16.94921875" customWidth="1"/>
    <col min="9" max="9" width="27.98046875" customWidth="1"/>
    <col min="10" max="11" width="16.94921875" customWidth="1"/>
    <col min="12" max="12" width="27.98046875" customWidth="1"/>
    <col min="13" max="25" width="16.94921875" customWidth="1"/>
    <col min="26" max="26" width="50.04296875" customWidth="1"/>
    <col min="27" max="56" width="23.9453125" customWidth="1"/>
  </cols>
  <sheetData>
    <row r="1" spans="1:56" ht="33.950000000000003" customHeight="1" x14ac:dyDescent="0.3">
      <c r="A1" s="101" t="s">
        <v>811</v>
      </c>
      <c r="B1" s="80"/>
      <c r="C1" s="80"/>
      <c r="D1" s="80"/>
      <c r="E1" s="80"/>
      <c r="F1" s="80"/>
      <c r="G1" s="80"/>
      <c r="H1" s="80"/>
      <c r="I1" s="80"/>
      <c r="J1" s="80"/>
      <c r="K1" s="80"/>
      <c r="L1" s="80"/>
      <c r="M1" s="80"/>
      <c r="N1" s="80"/>
      <c r="O1" s="80"/>
      <c r="P1" s="80"/>
      <c r="Q1" s="80"/>
      <c r="R1" s="80"/>
      <c r="S1" s="80"/>
      <c r="T1" s="80"/>
      <c r="U1" s="80"/>
      <c r="V1" s="80"/>
      <c r="W1" s="80"/>
      <c r="X1" s="80"/>
      <c r="Y1" s="80"/>
      <c r="Z1" s="80"/>
    </row>
    <row r="2" spans="1:56" ht="23.1" customHeight="1" x14ac:dyDescent="0.2">
      <c r="A2" s="102" t="s">
        <v>812</v>
      </c>
      <c r="B2" s="80"/>
      <c r="C2" s="80"/>
      <c r="D2" s="80"/>
      <c r="E2" s="80"/>
      <c r="F2" s="80"/>
      <c r="G2" s="80"/>
      <c r="H2" s="80"/>
      <c r="I2" s="80"/>
      <c r="J2" s="80"/>
      <c r="K2" s="80"/>
      <c r="L2" s="80"/>
      <c r="M2" s="80"/>
      <c r="N2" s="80"/>
      <c r="O2" s="80"/>
      <c r="P2" s="80"/>
      <c r="Q2" s="80"/>
      <c r="R2" s="80"/>
      <c r="S2" s="80"/>
      <c r="T2" s="80"/>
      <c r="U2" s="80"/>
      <c r="V2" s="80"/>
      <c r="W2" s="80"/>
      <c r="X2" s="80"/>
      <c r="Y2" s="80"/>
      <c r="Z2" s="80"/>
    </row>
    <row r="3" spans="1:56" ht="23.1" customHeight="1" x14ac:dyDescent="0.2">
      <c r="A3" s="80"/>
      <c r="B3" s="80"/>
      <c r="C3" s="80"/>
      <c r="D3" s="80"/>
      <c r="E3" s="80"/>
      <c r="F3" s="80"/>
      <c r="G3" s="80"/>
      <c r="H3" s="80"/>
      <c r="I3" s="80"/>
      <c r="J3" s="80"/>
      <c r="K3" s="80"/>
      <c r="L3" s="80"/>
      <c r="M3" s="80"/>
      <c r="N3" s="80"/>
      <c r="O3" s="80"/>
      <c r="P3" s="80"/>
      <c r="Q3" s="80"/>
      <c r="R3" s="80"/>
      <c r="S3" s="80"/>
      <c r="T3" s="80"/>
      <c r="U3" s="80"/>
      <c r="V3" s="80"/>
      <c r="W3" s="80"/>
      <c r="X3" s="80"/>
      <c r="Y3" s="80"/>
      <c r="Z3" s="80"/>
    </row>
    <row r="4" spans="1:56" x14ac:dyDescent="0.2">
      <c r="A4" s="1"/>
      <c r="B4" s="1"/>
      <c r="C4" s="1"/>
      <c r="D4" s="1"/>
      <c r="E4" s="1"/>
      <c r="F4" s="1"/>
      <c r="G4" s="1"/>
      <c r="H4" s="1"/>
      <c r="I4" s="1"/>
      <c r="J4" s="1"/>
      <c r="K4" s="1"/>
      <c r="L4" s="1"/>
      <c r="M4" s="1"/>
      <c r="N4" s="1"/>
      <c r="O4" s="1"/>
      <c r="P4" s="1"/>
      <c r="Q4" s="1"/>
      <c r="R4" s="1"/>
      <c r="S4" s="1"/>
      <c r="T4" s="1"/>
      <c r="U4" s="1"/>
      <c r="V4" s="1"/>
      <c r="W4" s="1"/>
      <c r="X4" s="1"/>
      <c r="Y4" s="1"/>
      <c r="Z4" s="1"/>
    </row>
    <row r="5" spans="1:56" ht="69.95" customHeight="1" x14ac:dyDescent="0.2">
      <c r="A5" s="5" t="s">
        <v>233</v>
      </c>
      <c r="B5" s="5" t="s">
        <v>789</v>
      </c>
      <c r="C5" s="5" t="s">
        <v>791</v>
      </c>
      <c r="D5" s="5" t="s">
        <v>793</v>
      </c>
      <c r="E5" s="5" t="s">
        <v>45</v>
      </c>
      <c r="F5" s="5" t="s">
        <v>43</v>
      </c>
      <c r="G5" s="5" t="s">
        <v>543</v>
      </c>
      <c r="H5" s="5" t="s">
        <v>795</v>
      </c>
      <c r="I5" s="5" t="s">
        <v>797</v>
      </c>
      <c r="J5" s="5" t="s">
        <v>813</v>
      </c>
      <c r="K5" s="5" t="s">
        <v>798</v>
      </c>
      <c r="L5" s="5" t="s">
        <v>803</v>
      </c>
      <c r="M5" s="5" t="s">
        <v>814</v>
      </c>
      <c r="N5" s="5" t="s">
        <v>815</v>
      </c>
      <c r="O5" s="5" t="s">
        <v>816</v>
      </c>
      <c r="P5" s="5" t="s">
        <v>817</v>
      </c>
      <c r="Q5" s="5" t="s">
        <v>818</v>
      </c>
      <c r="R5" s="5" t="s">
        <v>819</v>
      </c>
      <c r="S5" s="5" t="s">
        <v>820</v>
      </c>
      <c r="T5" s="5" t="s">
        <v>821</v>
      </c>
      <c r="U5" s="5" t="s">
        <v>822</v>
      </c>
      <c r="V5" s="5" t="s">
        <v>823</v>
      </c>
      <c r="W5" s="5" t="s">
        <v>824</v>
      </c>
      <c r="X5" s="5" t="s">
        <v>825</v>
      </c>
      <c r="Y5" s="5" t="s">
        <v>826</v>
      </c>
      <c r="Z5" s="5" t="s">
        <v>827</v>
      </c>
      <c r="AA5" s="33" t="s">
        <v>828</v>
      </c>
      <c r="AB5" s="33" t="s">
        <v>829</v>
      </c>
      <c r="AC5" s="33" t="s">
        <v>830</v>
      </c>
      <c r="AD5" s="33" t="s">
        <v>831</v>
      </c>
      <c r="AE5" s="33" t="s">
        <v>832</v>
      </c>
      <c r="AF5" s="33" t="s">
        <v>833</v>
      </c>
      <c r="AG5" s="33" t="s">
        <v>834</v>
      </c>
      <c r="AH5" s="33" t="s">
        <v>835</v>
      </c>
      <c r="AI5" s="33" t="s">
        <v>836</v>
      </c>
      <c r="AJ5" s="33" t="s">
        <v>837</v>
      </c>
      <c r="AK5" s="33" t="s">
        <v>838</v>
      </c>
      <c r="AL5" s="33" t="s">
        <v>839</v>
      </c>
      <c r="AM5" s="33" t="s">
        <v>840</v>
      </c>
      <c r="AN5" s="33" t="s">
        <v>841</v>
      </c>
      <c r="AO5" s="33" t="s">
        <v>842</v>
      </c>
      <c r="AP5" s="33" t="s">
        <v>843</v>
      </c>
      <c r="AQ5" s="33" t="s">
        <v>844</v>
      </c>
      <c r="AR5" s="33" t="s">
        <v>845</v>
      </c>
      <c r="AS5" s="33" t="s">
        <v>846</v>
      </c>
      <c r="AT5" s="33" t="s">
        <v>847</v>
      </c>
      <c r="AU5" s="33" t="s">
        <v>848</v>
      </c>
      <c r="AV5" s="33" t="s">
        <v>849</v>
      </c>
      <c r="AW5" s="33" t="s">
        <v>850</v>
      </c>
      <c r="AX5" s="33" t="s">
        <v>851</v>
      </c>
      <c r="AY5" s="33" t="s">
        <v>807</v>
      </c>
      <c r="AZ5" s="33" t="s">
        <v>852</v>
      </c>
      <c r="BA5" s="33" t="s">
        <v>853</v>
      </c>
      <c r="BB5" s="33" t="s">
        <v>854</v>
      </c>
      <c r="BC5" s="33" t="s">
        <v>855</v>
      </c>
      <c r="BD5" s="33" t="s">
        <v>856</v>
      </c>
    </row>
    <row r="6" spans="1:56" ht="24" customHeight="1" x14ac:dyDescent="0.2">
      <c r="A6" s="7">
        <v>1</v>
      </c>
      <c r="B6" s="7">
        <v>1</v>
      </c>
      <c r="C6" s="25">
        <f>Join_Audit!C6</f>
        <v>44589.73809027778</v>
      </c>
      <c r="D6" s="12">
        <f>Join_Audit!E6</f>
        <v>2</v>
      </c>
      <c r="E6" s="12">
        <f>Join_Audit!F6</f>
        <v>1352</v>
      </c>
      <c r="F6" s="12">
        <f>Join_Audit!G6</f>
        <v>1</v>
      </c>
      <c r="G6" s="12" t="str">
        <f>Join_Audit!I6</f>
        <v>CADC0873</v>
      </c>
      <c r="H6" s="12">
        <f>Join_Audit!J6</f>
        <v>0</v>
      </c>
      <c r="I6" s="25">
        <f>Join_Audit!L6</f>
        <v>44589.738067129627</v>
      </c>
      <c r="J6" s="12">
        <f>Join_Audit!O6</f>
        <v>2</v>
      </c>
      <c r="K6" s="12">
        <f>INDEX(COMM_Beacons!$D$6:$D$66,AA6)</f>
        <v>203</v>
      </c>
      <c r="L6" s="25">
        <f>Join_Audit!R6</f>
        <v>44589.737500000003</v>
      </c>
      <c r="M6" s="12">
        <f>OMNI_Normalized!J6</f>
        <v>6.41</v>
      </c>
      <c r="N6" s="12">
        <f>OMNI_Normalized!K6</f>
        <v>-1.1499999999999999</v>
      </c>
      <c r="O6" s="12">
        <f>OMNI_Normalized!L6</f>
        <v>419.9</v>
      </c>
      <c r="P6" s="12">
        <f>OMNI_Normalized!M6</f>
        <v>5.35</v>
      </c>
      <c r="Q6" s="12">
        <f>OMNI_Normalized!P6</f>
        <v>96</v>
      </c>
      <c r="R6" s="12">
        <f>OMNI_Normalized!Q6</f>
        <v>1</v>
      </c>
      <c r="S6" s="14">
        <f>Settings!$B$28</f>
        <v>100</v>
      </c>
      <c r="T6" s="14">
        <f>Settings!$B$29</f>
        <v>0.02</v>
      </c>
      <c r="U6" s="14">
        <f>Settings!$B$12</f>
        <v>300</v>
      </c>
      <c r="V6" s="14">
        <f>Settings!$B$25</f>
        <v>0.25</v>
      </c>
      <c r="W6" s="14">
        <f>Settings!$B$21</f>
        <v>4</v>
      </c>
      <c r="X6" s="14">
        <f>Settings!$B$24</f>
        <v>12</v>
      </c>
      <c r="Y6" s="12" t="str">
        <f>Join_Audit!S6</f>
        <v>ACCEPT</v>
      </c>
      <c r="Z6" s="12" t="s">
        <v>857</v>
      </c>
      <c r="AA6" s="34">
        <v>1</v>
      </c>
      <c r="AB6" s="34" t="str">
        <f>INDEX(COMM_Beacons!$E$6:$E$66,AA6)</f>
        <v>CRC32C_VERIFIED</v>
      </c>
      <c r="AC6" s="34">
        <f>INDEX(COMM_Beacons!$K$6:$K$66,$AA6)</f>
        <v>388</v>
      </c>
      <c r="AD6" s="34">
        <f>INDEX(COMM_Beacons!$L$6:$L$66,$AA6)</f>
        <v>388</v>
      </c>
      <c r="AE6" s="34">
        <f>INDEX(COMM_Beacons!$M$6:$M$66,$AA6)</f>
        <v>-83</v>
      </c>
      <c r="AF6" s="34">
        <f>INDEX(COMM_Beacons!$N$6:$N$66,$AA6)</f>
        <v>257</v>
      </c>
      <c r="AG6" s="34">
        <f>INDEX(COMM_Beacons!$O$6:$O$66,$AA6)</f>
        <v>33421</v>
      </c>
      <c r="AH6" s="34">
        <f>INDEX(COMM_Beacons!$P$6:$P$66,$AA6)</f>
        <v>11</v>
      </c>
      <c r="AI6" s="34">
        <f>INDEX(COMM_Beacons!$Q$6:$Q$66,$AA6)</f>
        <v>4386219</v>
      </c>
      <c r="AJ6" s="34">
        <f>INDEX(COMM_Beacons!$R$6:$R$66,$AA6)</f>
        <v>110</v>
      </c>
      <c r="AK6" s="34">
        <f>INDEX(COMM_Beacons!$S$6:$S$66,$AA6)</f>
        <v>2</v>
      </c>
      <c r="AL6" s="34">
        <f>INDEX(COMM_Beacons!$T$6:$T$66,$AA6)</f>
        <v>1126</v>
      </c>
      <c r="AM6" s="34">
        <f>INDEX(COMM_Beacons!$U$6:$U$66,$AA6)</f>
        <v>256</v>
      </c>
      <c r="AN6" s="34">
        <f>INDEX(COMM_Beacons!$V$6:$V$66,$AA6)</f>
        <v>1035520017</v>
      </c>
      <c r="AO6" s="34">
        <f>INDEX(COMM_Beacons!$W$6:$W$66,$AA6)</f>
        <v>-110</v>
      </c>
      <c r="AP6" s="34">
        <f>INDEX(COMM_Beacons!$X$6:$X$66,$AA6)</f>
        <v>1</v>
      </c>
      <c r="AQ6" s="34">
        <f>INDEX(COMM_Beacons!$Y$6:$Y$66,$AA6)</f>
        <v>17475737</v>
      </c>
      <c r="AR6" s="34">
        <f>INDEX(COMM_Beacons!$Z$6:$Z$66,$AA6)</f>
        <v>22035</v>
      </c>
      <c r="AS6" s="34">
        <f>INDEX(COMM_Beacons!$AA$6:$AA$66,$AA6)</f>
        <v>3048166464</v>
      </c>
      <c r="AT6" s="34">
        <f>INDEX(COMM_Beacons!$AB$6:$AB$66,$AA6)</f>
        <v>1105712</v>
      </c>
      <c r="AU6" s="36" t="str">
        <f>IF(AA6&lt;=1,"",INDEX(COMM_Counter_Deltas!$J$6:$J$65,AA6-1))</f>
        <v/>
      </c>
      <c r="AV6" s="35" t="str">
        <f>IF(AA6&lt;=1,"",INDEX(COMM_Counter_Deltas!$B$6:$B$65,AA6-1))</f>
        <v/>
      </c>
      <c r="AW6" s="35" t="str">
        <f>IF(AA6&lt;=1,"",INDEX(COMM_Counter_Deltas!$C$6:$C$65,AA6-1))</f>
        <v/>
      </c>
      <c r="AX6" s="34" t="b">
        <v>1</v>
      </c>
      <c r="AY6" s="34">
        <v>2</v>
      </c>
      <c r="AZ6" s="34">
        <f>INDEX(OMNI_Normalized!$N$6:$N$18,MATCH(L6,OMNI_Normalized!$C$6:$C$18,0))</f>
        <v>45421</v>
      </c>
      <c r="BA6" s="37">
        <f>INDEX(OMNI_Normalized!$O$6:$O$18,MATCH(L6,OMNI_Normalized!$C$6:$C$18,0))</f>
        <v>1.89</v>
      </c>
      <c r="BB6" s="34">
        <f>INDEX(OMNI_Normalized!$H$6:$H$18,MATCH(L6,OMNI_Normalized!$C$6:$C$18,0))</f>
        <v>0</v>
      </c>
      <c r="BC6" s="34">
        <f>INDEX(OMNI_Normalized!$F$6:$F$18,MATCH(L6,OMNI_Normalized!$C$6:$C$18,0))</f>
        <v>51</v>
      </c>
      <c r="BD6" s="34">
        <f>INDEX(OMNI_Normalized!$G$6:$G$18,MATCH(L6,OMNI_Normalized!$C$6:$C$18,0))</f>
        <v>51</v>
      </c>
    </row>
    <row r="7" spans="1:56" ht="24" customHeight="1" x14ac:dyDescent="0.2">
      <c r="A7" s="7">
        <v>2</v>
      </c>
      <c r="B7" s="7">
        <v>2</v>
      </c>
      <c r="C7" s="25">
        <f>Join_Audit!C7</f>
        <v>44589.73814814815</v>
      </c>
      <c r="D7" s="12">
        <f>Join_Audit!E7</f>
        <v>7</v>
      </c>
      <c r="E7" s="12">
        <f>Join_Audit!F7</f>
        <v>1352</v>
      </c>
      <c r="F7" s="12">
        <f>Join_Audit!G7</f>
        <v>1</v>
      </c>
      <c r="G7" s="12" t="str">
        <f>Join_Audit!I7</f>
        <v>CADC0873</v>
      </c>
      <c r="H7" s="12">
        <f>Join_Audit!J7</f>
        <v>0</v>
      </c>
      <c r="I7" s="25">
        <f>Join_Audit!L7</f>
        <v>44589.738067129627</v>
      </c>
      <c r="J7" s="12">
        <f>Join_Audit!O7</f>
        <v>7</v>
      </c>
      <c r="K7" s="12">
        <f>INDEX(COMM_Beacons!$D$6:$D$66,AA7)</f>
        <v>203</v>
      </c>
      <c r="L7" s="25">
        <f>Join_Audit!R7</f>
        <v>44589.737500000003</v>
      </c>
      <c r="M7" s="12">
        <f>OMNI_Normalized!J6</f>
        <v>6.41</v>
      </c>
      <c r="N7" s="12">
        <f>OMNI_Normalized!K6</f>
        <v>-1.1499999999999999</v>
      </c>
      <c r="O7" s="12">
        <f>OMNI_Normalized!L6</f>
        <v>419.9</v>
      </c>
      <c r="P7" s="12">
        <f>OMNI_Normalized!M6</f>
        <v>5.35</v>
      </c>
      <c r="Q7" s="12">
        <f>OMNI_Normalized!P6</f>
        <v>96</v>
      </c>
      <c r="R7" s="12">
        <f>OMNI_Normalized!Q6</f>
        <v>1</v>
      </c>
      <c r="S7" s="14">
        <f>Settings!$B$28</f>
        <v>100</v>
      </c>
      <c r="T7" s="14">
        <f>Settings!$B$29</f>
        <v>0.02</v>
      </c>
      <c r="U7" s="14">
        <f>Settings!$B$12</f>
        <v>300</v>
      </c>
      <c r="V7" s="14">
        <f>Settings!$B$25</f>
        <v>0.25</v>
      </c>
      <c r="W7" s="14">
        <f>Settings!$B$21</f>
        <v>4</v>
      </c>
      <c r="X7" s="14">
        <f>Settings!$B$24</f>
        <v>12</v>
      </c>
      <c r="Y7" s="12" t="str">
        <f>Join_Audit!S7</f>
        <v>ACCEPT</v>
      </c>
      <c r="Z7" s="12" t="s">
        <v>857</v>
      </c>
      <c r="AA7" s="34">
        <v>1</v>
      </c>
      <c r="AB7" s="34" t="str">
        <f>INDEX(COMM_Beacons!$E$6:$E$66,AA7)</f>
        <v>CRC32C_VERIFIED</v>
      </c>
      <c r="AC7" s="34">
        <f>INDEX(COMM_Beacons!$K$6:$K$66,$AA7)</f>
        <v>388</v>
      </c>
      <c r="AD7" s="34">
        <f>INDEX(COMM_Beacons!$L$6:$L$66,$AA7)</f>
        <v>388</v>
      </c>
      <c r="AE7" s="34">
        <f>INDEX(COMM_Beacons!$M$6:$M$66,$AA7)</f>
        <v>-83</v>
      </c>
      <c r="AF7" s="34">
        <f>INDEX(COMM_Beacons!$N$6:$N$66,$AA7)</f>
        <v>257</v>
      </c>
      <c r="AG7" s="34">
        <f>INDEX(COMM_Beacons!$O$6:$O$66,$AA7)</f>
        <v>33421</v>
      </c>
      <c r="AH7" s="34">
        <f>INDEX(COMM_Beacons!$P$6:$P$66,$AA7)</f>
        <v>11</v>
      </c>
      <c r="AI7" s="34">
        <f>INDEX(COMM_Beacons!$Q$6:$Q$66,$AA7)</f>
        <v>4386219</v>
      </c>
      <c r="AJ7" s="34">
        <f>INDEX(COMM_Beacons!$R$6:$R$66,$AA7)</f>
        <v>110</v>
      </c>
      <c r="AK7" s="34">
        <f>INDEX(COMM_Beacons!$S$6:$S$66,$AA7)</f>
        <v>2</v>
      </c>
      <c r="AL7" s="34">
        <f>INDEX(COMM_Beacons!$T$6:$T$66,$AA7)</f>
        <v>1126</v>
      </c>
      <c r="AM7" s="34">
        <f>INDEX(COMM_Beacons!$U$6:$U$66,$AA7)</f>
        <v>256</v>
      </c>
      <c r="AN7" s="34">
        <f>INDEX(COMM_Beacons!$V$6:$V$66,$AA7)</f>
        <v>1035520017</v>
      </c>
      <c r="AO7" s="34">
        <f>INDEX(COMM_Beacons!$W$6:$W$66,$AA7)</f>
        <v>-110</v>
      </c>
      <c r="AP7" s="34">
        <f>INDEX(COMM_Beacons!$X$6:$X$66,$AA7)</f>
        <v>1</v>
      </c>
      <c r="AQ7" s="34">
        <f>INDEX(COMM_Beacons!$Y$6:$Y$66,$AA7)</f>
        <v>17475737</v>
      </c>
      <c r="AR7" s="34">
        <f>INDEX(COMM_Beacons!$Z$6:$Z$66,$AA7)</f>
        <v>22035</v>
      </c>
      <c r="AS7" s="34">
        <f>INDEX(COMM_Beacons!$AA$6:$AA$66,$AA7)</f>
        <v>3048166464</v>
      </c>
      <c r="AT7" s="34">
        <f>INDEX(COMM_Beacons!$AB$6:$AB$66,$AA7)</f>
        <v>1105712</v>
      </c>
      <c r="AU7" s="36" t="str">
        <f>IF(AA7&lt;=1,"",INDEX(COMM_Counter_Deltas!$J$6:$J$65,AA7-1))</f>
        <v/>
      </c>
      <c r="AV7" s="35" t="str">
        <f>IF(AA7&lt;=1,"",INDEX(COMM_Counter_Deltas!$B$6:$B$65,AA7-1))</f>
        <v/>
      </c>
      <c r="AW7" s="35" t="str">
        <f>IF(AA7&lt;=1,"",INDEX(COMM_Counter_Deltas!$C$6:$C$65,AA7-1))</f>
        <v/>
      </c>
      <c r="AX7" s="34" t="b">
        <v>1</v>
      </c>
      <c r="AY7" s="34">
        <v>7</v>
      </c>
      <c r="AZ7" s="34">
        <f>INDEX(OMNI_Normalized!$N$6:$N$18,MATCH(L7,OMNI_Normalized!$C$6:$C$18,0))</f>
        <v>45421</v>
      </c>
      <c r="BA7" s="37">
        <f>INDEX(OMNI_Normalized!$O$6:$O$18,MATCH(L7,OMNI_Normalized!$C$6:$C$18,0))</f>
        <v>1.89</v>
      </c>
      <c r="BB7" s="34">
        <f>INDEX(OMNI_Normalized!$H$6:$H$18,MATCH(L7,OMNI_Normalized!$C$6:$C$18,0))</f>
        <v>0</v>
      </c>
      <c r="BC7" s="34">
        <f>INDEX(OMNI_Normalized!$F$6:$F$18,MATCH(L7,OMNI_Normalized!$C$6:$C$18,0))</f>
        <v>51</v>
      </c>
      <c r="BD7" s="34">
        <f>INDEX(OMNI_Normalized!$G$6:$G$18,MATCH(L7,OMNI_Normalized!$C$6:$C$18,0))</f>
        <v>51</v>
      </c>
    </row>
    <row r="8" spans="1:56" ht="24" customHeight="1" x14ac:dyDescent="0.2">
      <c r="A8" s="7">
        <v>3</v>
      </c>
      <c r="B8" s="7">
        <v>7</v>
      </c>
      <c r="C8" s="25">
        <f>Join_Audit!C12</f>
        <v>44589.738437499997</v>
      </c>
      <c r="D8" s="12">
        <f>Join_Audit!E12</f>
        <v>32</v>
      </c>
      <c r="E8" s="12">
        <f>Join_Audit!F12</f>
        <v>1352</v>
      </c>
      <c r="F8" s="12">
        <f>Join_Audit!G12</f>
        <v>1</v>
      </c>
      <c r="G8" s="12" t="str">
        <f>Join_Audit!I12</f>
        <v>CADC0873</v>
      </c>
      <c r="H8" s="12">
        <f>Join_Audit!J12</f>
        <v>2.3526399999999999E-5</v>
      </c>
      <c r="I8" s="25">
        <f>Join_Audit!L12</f>
        <v>44589.73841435185</v>
      </c>
      <c r="J8" s="12">
        <f>Join_Audit!O12</f>
        <v>2</v>
      </c>
      <c r="K8" s="12">
        <f>INDEX(COMM_Beacons!$D$6:$D$66,AA8)</f>
        <v>202</v>
      </c>
      <c r="L8" s="25">
        <f>Join_Audit!R12</f>
        <v>44589.738194444442</v>
      </c>
      <c r="M8" s="12">
        <f>OMNI_Normalized!J7</f>
        <v>6.27</v>
      </c>
      <c r="N8" s="12">
        <f>OMNI_Normalized!K7</f>
        <v>-1.74</v>
      </c>
      <c r="O8" s="12">
        <f>OMNI_Normalized!L7</f>
        <v>420.2</v>
      </c>
      <c r="P8" s="12">
        <f>OMNI_Normalized!M7</f>
        <v>5.31</v>
      </c>
      <c r="Q8" s="12">
        <f>OMNI_Normalized!P7</f>
        <v>103</v>
      </c>
      <c r="R8" s="12">
        <f>OMNI_Normalized!Q7</f>
        <v>1</v>
      </c>
      <c r="S8" s="14">
        <f>Settings!$B$28</f>
        <v>100</v>
      </c>
      <c r="T8" s="14">
        <f>Settings!$B$29</f>
        <v>0.02</v>
      </c>
      <c r="U8" s="14">
        <f>Settings!$B$12</f>
        <v>300</v>
      </c>
      <c r="V8" s="14">
        <f>Settings!$B$25</f>
        <v>0.25</v>
      </c>
      <c r="W8" s="14">
        <f>Settings!$B$21</f>
        <v>4</v>
      </c>
      <c r="X8" s="14">
        <f>Settings!$B$24</f>
        <v>12</v>
      </c>
      <c r="Y8" s="12" t="str">
        <f>Join_Audit!S12</f>
        <v>ACCEPT</v>
      </c>
      <c r="Z8" s="12" t="s">
        <v>857</v>
      </c>
      <c r="AA8" s="34">
        <v>2</v>
      </c>
      <c r="AB8" s="34" t="str">
        <f>INDEX(COMM_Beacons!$E$6:$E$66,AA8)</f>
        <v>CRC32C_VERIFIED</v>
      </c>
      <c r="AC8" s="34">
        <f>INDEX(COMM_Beacons!$K$6:$K$66,$AA8)</f>
        <v>386</v>
      </c>
      <c r="AD8" s="34">
        <f>INDEX(COMM_Beacons!$L$6:$L$66,$AA8)</f>
        <v>386</v>
      </c>
      <c r="AE8" s="34">
        <f>INDEX(COMM_Beacons!$M$6:$M$66,$AA8)</f>
        <v>-83</v>
      </c>
      <c r="AF8" s="34">
        <f>INDEX(COMM_Beacons!$N$6:$N$66,$AA8)</f>
        <v>257</v>
      </c>
      <c r="AG8" s="34">
        <f>INDEX(COMM_Beacons!$O$6:$O$66,$AA8)</f>
        <v>33424</v>
      </c>
      <c r="AH8" s="34">
        <f>INDEX(COMM_Beacons!$P$6:$P$66,$AA8)</f>
        <v>11</v>
      </c>
      <c r="AI8" s="34">
        <f>INDEX(COMM_Beacons!$Q$6:$Q$66,$AA8)</f>
        <v>4386501</v>
      </c>
      <c r="AJ8" s="34">
        <f>INDEX(COMM_Beacons!$R$6:$R$66,$AA8)</f>
        <v>110</v>
      </c>
      <c r="AK8" s="34">
        <f>INDEX(COMM_Beacons!$S$6:$S$66,$AA8)</f>
        <v>2</v>
      </c>
      <c r="AL8" s="34">
        <f>INDEX(COMM_Beacons!$T$6:$T$66,$AA8)</f>
        <v>1126</v>
      </c>
      <c r="AM8" s="34">
        <f>INDEX(COMM_Beacons!$U$6:$U$66,$AA8)</f>
        <v>256</v>
      </c>
      <c r="AN8" s="34">
        <f>INDEX(COMM_Beacons!$V$6:$V$66,$AA8)</f>
        <v>1035520017</v>
      </c>
      <c r="AO8" s="34">
        <f>INDEX(COMM_Beacons!$W$6:$W$66,$AA8)</f>
        <v>-115</v>
      </c>
      <c r="AP8" s="34">
        <f>INDEX(COMM_Beacons!$X$6:$X$66,$AA8)</f>
        <v>1</v>
      </c>
      <c r="AQ8" s="34">
        <f>INDEX(COMM_Beacons!$Y$6:$Y$66,$AA8)</f>
        <v>17475740</v>
      </c>
      <c r="AR8" s="34">
        <f>INDEX(COMM_Beacons!$Z$6:$Z$66,$AA8)</f>
        <v>22035</v>
      </c>
      <c r="AS8" s="34">
        <f>INDEX(COMM_Beacons!$AA$6:$AA$66,$AA8)</f>
        <v>3048166746</v>
      </c>
      <c r="AT8" s="34">
        <f>INDEX(COMM_Beacons!$AB$6:$AB$66,$AA8)</f>
        <v>1105712</v>
      </c>
      <c r="AU8" s="36">
        <f>IF(AA8&lt;=1,"",INDEX(COMM_Counter_Deltas!$J$6:$J$65,AA8-1))</f>
        <v>9.4</v>
      </c>
      <c r="AV8" s="35">
        <f>IF(AA8&lt;=1,"",INDEX(COMM_Counter_Deltas!$B$6:$B$65,AA8-1))</f>
        <v>44589.738067129627</v>
      </c>
      <c r="AW8" s="35">
        <f>IF(AA8&lt;=1,"",INDEX(COMM_Counter_Deltas!$C$6:$C$65,AA8-1))</f>
        <v>44589.73841435185</v>
      </c>
      <c r="AX8" s="34" t="b">
        <v>1</v>
      </c>
      <c r="AY8" s="34">
        <v>2</v>
      </c>
      <c r="AZ8" s="34">
        <f>INDEX(OMNI_Normalized!$N$6:$N$18,MATCH(L8,OMNI_Normalized!$C$6:$C$18,0))</f>
        <v>49399</v>
      </c>
      <c r="BA8" s="37">
        <f>INDEX(OMNI_Normalized!$O$6:$O$18,MATCH(L8,OMNI_Normalized!$C$6:$C$18,0))</f>
        <v>1.88</v>
      </c>
      <c r="BB8" s="34">
        <f>INDEX(OMNI_Normalized!$H$6:$H$18,MATCH(L8,OMNI_Normalized!$C$6:$C$18,0))</f>
        <v>20</v>
      </c>
      <c r="BC8" s="34">
        <f>INDEX(OMNI_Normalized!$F$6:$F$18,MATCH(L8,OMNI_Normalized!$C$6:$C$18,0))</f>
        <v>51</v>
      </c>
      <c r="BD8" s="34">
        <f>INDEX(OMNI_Normalized!$G$6:$G$18,MATCH(L8,OMNI_Normalized!$C$6:$C$18,0))</f>
        <v>51</v>
      </c>
    </row>
    <row r="9" spans="1:56" ht="24" customHeight="1" x14ac:dyDescent="0.2">
      <c r="A9" s="7">
        <v>4</v>
      </c>
      <c r="B9" s="7">
        <v>8</v>
      </c>
      <c r="C9" s="25">
        <f>Join_Audit!C13</f>
        <v>44589.738495370373</v>
      </c>
      <c r="D9" s="12">
        <f>Join_Audit!E13</f>
        <v>37</v>
      </c>
      <c r="E9" s="12">
        <f>Join_Audit!F13</f>
        <v>1352</v>
      </c>
      <c r="F9" s="12">
        <f>Join_Audit!G13</f>
        <v>1</v>
      </c>
      <c r="G9" s="12" t="str">
        <f>Join_Audit!I13</f>
        <v>CADC0873</v>
      </c>
      <c r="H9" s="12">
        <f>Join_Audit!J13</f>
        <v>1.6178600000000001E-5</v>
      </c>
      <c r="I9" s="25">
        <f>Join_Audit!L13</f>
        <v>44589.73841435185</v>
      </c>
      <c r="J9" s="12">
        <f>Join_Audit!O13</f>
        <v>7</v>
      </c>
      <c r="K9" s="12">
        <f>INDEX(COMM_Beacons!$D$6:$D$66,AA9)</f>
        <v>202</v>
      </c>
      <c r="L9" s="25">
        <f>Join_Audit!R13</f>
        <v>44589.738194444442</v>
      </c>
      <c r="M9" s="12">
        <f>OMNI_Normalized!J7</f>
        <v>6.27</v>
      </c>
      <c r="N9" s="12">
        <f>OMNI_Normalized!K7</f>
        <v>-1.74</v>
      </c>
      <c r="O9" s="12">
        <f>OMNI_Normalized!L7</f>
        <v>420.2</v>
      </c>
      <c r="P9" s="12">
        <f>OMNI_Normalized!M7</f>
        <v>5.31</v>
      </c>
      <c r="Q9" s="12">
        <f>OMNI_Normalized!P7</f>
        <v>103</v>
      </c>
      <c r="R9" s="12">
        <f>OMNI_Normalized!Q7</f>
        <v>1</v>
      </c>
      <c r="S9" s="14">
        <f>Settings!$B$28</f>
        <v>100</v>
      </c>
      <c r="T9" s="14">
        <f>Settings!$B$29</f>
        <v>0.02</v>
      </c>
      <c r="U9" s="14">
        <f>Settings!$B$12</f>
        <v>300</v>
      </c>
      <c r="V9" s="14">
        <f>Settings!$B$25</f>
        <v>0.25</v>
      </c>
      <c r="W9" s="14">
        <f>Settings!$B$21</f>
        <v>4</v>
      </c>
      <c r="X9" s="14">
        <f>Settings!$B$24</f>
        <v>12</v>
      </c>
      <c r="Y9" s="12" t="str">
        <f>Join_Audit!S13</f>
        <v>ACCEPT</v>
      </c>
      <c r="Z9" s="12" t="s">
        <v>857</v>
      </c>
      <c r="AA9" s="34">
        <v>2</v>
      </c>
      <c r="AB9" s="34" t="str">
        <f>INDEX(COMM_Beacons!$E$6:$E$66,AA9)</f>
        <v>CRC32C_VERIFIED</v>
      </c>
      <c r="AC9" s="34">
        <f>INDEX(COMM_Beacons!$K$6:$K$66,$AA9)</f>
        <v>386</v>
      </c>
      <c r="AD9" s="34">
        <f>INDEX(COMM_Beacons!$L$6:$L$66,$AA9)</f>
        <v>386</v>
      </c>
      <c r="AE9" s="34">
        <f>INDEX(COMM_Beacons!$M$6:$M$66,$AA9)</f>
        <v>-83</v>
      </c>
      <c r="AF9" s="34">
        <f>INDEX(COMM_Beacons!$N$6:$N$66,$AA9)</f>
        <v>257</v>
      </c>
      <c r="AG9" s="34">
        <f>INDEX(COMM_Beacons!$O$6:$O$66,$AA9)</f>
        <v>33424</v>
      </c>
      <c r="AH9" s="34">
        <f>INDEX(COMM_Beacons!$P$6:$P$66,$AA9)</f>
        <v>11</v>
      </c>
      <c r="AI9" s="34">
        <f>INDEX(COMM_Beacons!$Q$6:$Q$66,$AA9)</f>
        <v>4386501</v>
      </c>
      <c r="AJ9" s="34">
        <f>INDEX(COMM_Beacons!$R$6:$R$66,$AA9)</f>
        <v>110</v>
      </c>
      <c r="AK9" s="34">
        <f>INDEX(COMM_Beacons!$S$6:$S$66,$AA9)</f>
        <v>2</v>
      </c>
      <c r="AL9" s="34">
        <f>INDEX(COMM_Beacons!$T$6:$T$66,$AA9)</f>
        <v>1126</v>
      </c>
      <c r="AM9" s="34">
        <f>INDEX(COMM_Beacons!$U$6:$U$66,$AA9)</f>
        <v>256</v>
      </c>
      <c r="AN9" s="34">
        <f>INDEX(COMM_Beacons!$V$6:$V$66,$AA9)</f>
        <v>1035520017</v>
      </c>
      <c r="AO9" s="34">
        <f>INDEX(COMM_Beacons!$W$6:$W$66,$AA9)</f>
        <v>-115</v>
      </c>
      <c r="AP9" s="34">
        <f>INDEX(COMM_Beacons!$X$6:$X$66,$AA9)</f>
        <v>1</v>
      </c>
      <c r="AQ9" s="34">
        <f>INDEX(COMM_Beacons!$Y$6:$Y$66,$AA9)</f>
        <v>17475740</v>
      </c>
      <c r="AR9" s="34">
        <f>INDEX(COMM_Beacons!$Z$6:$Z$66,$AA9)</f>
        <v>22035</v>
      </c>
      <c r="AS9" s="34">
        <f>INDEX(COMM_Beacons!$AA$6:$AA$66,$AA9)</f>
        <v>3048166746</v>
      </c>
      <c r="AT9" s="34">
        <f>INDEX(COMM_Beacons!$AB$6:$AB$66,$AA9)</f>
        <v>1105712</v>
      </c>
      <c r="AU9" s="36">
        <f>IF(AA9&lt;=1,"",INDEX(COMM_Counter_Deltas!$J$6:$J$65,AA9-1))</f>
        <v>9.4</v>
      </c>
      <c r="AV9" s="35">
        <f>IF(AA9&lt;=1,"",INDEX(COMM_Counter_Deltas!$B$6:$B$65,AA9-1))</f>
        <v>44589.738067129627</v>
      </c>
      <c r="AW9" s="35">
        <f>IF(AA9&lt;=1,"",INDEX(COMM_Counter_Deltas!$C$6:$C$65,AA9-1))</f>
        <v>44589.73841435185</v>
      </c>
      <c r="AX9" s="34" t="b">
        <v>1</v>
      </c>
      <c r="AY9" s="34">
        <v>7</v>
      </c>
      <c r="AZ9" s="34">
        <f>INDEX(OMNI_Normalized!$N$6:$N$18,MATCH(L9,OMNI_Normalized!$C$6:$C$18,0))</f>
        <v>49399</v>
      </c>
      <c r="BA9" s="37">
        <f>INDEX(OMNI_Normalized!$O$6:$O$18,MATCH(L9,OMNI_Normalized!$C$6:$C$18,0))</f>
        <v>1.88</v>
      </c>
      <c r="BB9" s="34">
        <f>INDEX(OMNI_Normalized!$H$6:$H$18,MATCH(L9,OMNI_Normalized!$C$6:$C$18,0))</f>
        <v>20</v>
      </c>
      <c r="BC9" s="34">
        <f>INDEX(OMNI_Normalized!$F$6:$F$18,MATCH(L9,OMNI_Normalized!$C$6:$C$18,0))</f>
        <v>51</v>
      </c>
      <c r="BD9" s="34">
        <f>INDEX(OMNI_Normalized!$G$6:$G$18,MATCH(L9,OMNI_Normalized!$C$6:$C$18,0))</f>
        <v>51</v>
      </c>
    </row>
    <row r="10" spans="1:56" ht="24" customHeight="1" x14ac:dyDescent="0.2">
      <c r="A10" s="7">
        <v>5</v>
      </c>
      <c r="B10" s="7">
        <v>9</v>
      </c>
      <c r="C10" s="25">
        <f>Join_Audit!C14</f>
        <v>44589.738553240742</v>
      </c>
      <c r="D10" s="12">
        <f>Join_Audit!E14</f>
        <v>42</v>
      </c>
      <c r="E10" s="12">
        <f>Join_Audit!F14</f>
        <v>1352</v>
      </c>
      <c r="F10" s="12">
        <f>Join_Audit!G14</f>
        <v>1</v>
      </c>
      <c r="G10" s="12" t="str">
        <f>Join_Audit!I14</f>
        <v>CADC0873</v>
      </c>
      <c r="H10" s="12">
        <f>Join_Audit!J14</f>
        <v>1.46847E-5</v>
      </c>
      <c r="I10" s="25">
        <f>Join_Audit!L14</f>
        <v>44589.738541666673</v>
      </c>
      <c r="J10" s="12">
        <f>Join_Audit!O14</f>
        <v>1</v>
      </c>
      <c r="K10" s="12">
        <f>INDEX(COMM_Beacons!$D$6:$D$66,AA10)</f>
        <v>201</v>
      </c>
      <c r="L10" s="25">
        <f>Join_Audit!R14</f>
        <v>44589.738194444442</v>
      </c>
      <c r="M10" s="12">
        <f>OMNI_Normalized!J7</f>
        <v>6.27</v>
      </c>
      <c r="N10" s="12">
        <f>OMNI_Normalized!K7</f>
        <v>-1.74</v>
      </c>
      <c r="O10" s="12">
        <f>OMNI_Normalized!L7</f>
        <v>420.2</v>
      </c>
      <c r="P10" s="12">
        <f>OMNI_Normalized!M7</f>
        <v>5.31</v>
      </c>
      <c r="Q10" s="12">
        <f>OMNI_Normalized!P7</f>
        <v>103</v>
      </c>
      <c r="R10" s="12">
        <f>OMNI_Normalized!Q7</f>
        <v>1</v>
      </c>
      <c r="S10" s="14">
        <f>Settings!$B$28</f>
        <v>100</v>
      </c>
      <c r="T10" s="14">
        <f>Settings!$B$29</f>
        <v>0.02</v>
      </c>
      <c r="U10" s="14">
        <f>Settings!$B$12</f>
        <v>300</v>
      </c>
      <c r="V10" s="14">
        <f>Settings!$B$25</f>
        <v>0.25</v>
      </c>
      <c r="W10" s="14">
        <f>Settings!$B$21</f>
        <v>4</v>
      </c>
      <c r="X10" s="14">
        <f>Settings!$B$24</f>
        <v>12</v>
      </c>
      <c r="Y10" s="12" t="str">
        <f>Join_Audit!S14</f>
        <v>ACCEPT</v>
      </c>
      <c r="Z10" s="12" t="s">
        <v>857</v>
      </c>
      <c r="AA10" s="34">
        <v>3</v>
      </c>
      <c r="AB10" s="34" t="str">
        <f>INDEX(COMM_Beacons!$E$6:$E$66,AA10)</f>
        <v>CRC32C_VERIFIED</v>
      </c>
      <c r="AC10" s="34">
        <f>INDEX(COMM_Beacons!$K$6:$K$66,$AA10)</f>
        <v>385</v>
      </c>
      <c r="AD10" s="34">
        <f>INDEX(COMM_Beacons!$L$6:$L$66,$AA10)</f>
        <v>385</v>
      </c>
      <c r="AE10" s="34">
        <f>INDEX(COMM_Beacons!$M$6:$M$66,$AA10)</f>
        <v>-83</v>
      </c>
      <c r="AF10" s="34">
        <f>INDEX(COMM_Beacons!$N$6:$N$66,$AA10)</f>
        <v>257</v>
      </c>
      <c r="AG10" s="34">
        <f>INDEX(COMM_Beacons!$O$6:$O$66,$AA10)</f>
        <v>33425</v>
      </c>
      <c r="AH10" s="34">
        <f>INDEX(COMM_Beacons!$P$6:$P$66,$AA10)</f>
        <v>11</v>
      </c>
      <c r="AI10" s="34">
        <f>INDEX(COMM_Beacons!$Q$6:$Q$66,$AA10)</f>
        <v>4386595</v>
      </c>
      <c r="AJ10" s="34">
        <f>INDEX(COMM_Beacons!$R$6:$R$66,$AA10)</f>
        <v>110</v>
      </c>
      <c r="AK10" s="34">
        <f>INDEX(COMM_Beacons!$S$6:$S$66,$AA10)</f>
        <v>2</v>
      </c>
      <c r="AL10" s="34">
        <f>INDEX(COMM_Beacons!$T$6:$T$66,$AA10)</f>
        <v>1126</v>
      </c>
      <c r="AM10" s="34">
        <f>INDEX(COMM_Beacons!$U$6:$U$66,$AA10)</f>
        <v>256</v>
      </c>
      <c r="AN10" s="34">
        <f>INDEX(COMM_Beacons!$V$6:$V$66,$AA10)</f>
        <v>1035520017</v>
      </c>
      <c r="AO10" s="34">
        <f>INDEX(COMM_Beacons!$W$6:$W$66,$AA10)</f>
        <v>-115</v>
      </c>
      <c r="AP10" s="34">
        <f>INDEX(COMM_Beacons!$X$6:$X$66,$AA10)</f>
        <v>1</v>
      </c>
      <c r="AQ10" s="34">
        <f>INDEX(COMM_Beacons!$Y$6:$Y$66,$AA10)</f>
        <v>17475741</v>
      </c>
      <c r="AR10" s="34">
        <f>INDEX(COMM_Beacons!$Z$6:$Z$66,$AA10)</f>
        <v>22035</v>
      </c>
      <c r="AS10" s="34">
        <f>INDEX(COMM_Beacons!$AA$6:$AA$66,$AA10)</f>
        <v>3048166840</v>
      </c>
      <c r="AT10" s="34">
        <f>INDEX(COMM_Beacons!$AB$6:$AB$66,$AA10)</f>
        <v>1105712</v>
      </c>
      <c r="AU10" s="36">
        <f>IF(AA10&lt;=1,"",INDEX(COMM_Counter_Deltas!$J$6:$J$65,AA10-1))</f>
        <v>8.545454545454545</v>
      </c>
      <c r="AV10" s="35">
        <f>IF(AA10&lt;=1,"",INDEX(COMM_Counter_Deltas!$B$6:$B$65,AA10-1))</f>
        <v>44589.73841435185</v>
      </c>
      <c r="AW10" s="35">
        <f>IF(AA10&lt;=1,"",INDEX(COMM_Counter_Deltas!$C$6:$C$65,AA10-1))</f>
        <v>44589.738541666673</v>
      </c>
      <c r="AX10" s="34" t="b">
        <v>1</v>
      </c>
      <c r="AY10" s="34">
        <v>1</v>
      </c>
      <c r="AZ10" s="34">
        <f>INDEX(OMNI_Normalized!$N$6:$N$18,MATCH(L10,OMNI_Normalized!$C$6:$C$18,0))</f>
        <v>49399</v>
      </c>
      <c r="BA10" s="37">
        <f>INDEX(OMNI_Normalized!$O$6:$O$18,MATCH(L10,OMNI_Normalized!$C$6:$C$18,0))</f>
        <v>1.88</v>
      </c>
      <c r="BB10" s="34">
        <f>INDEX(OMNI_Normalized!$H$6:$H$18,MATCH(L10,OMNI_Normalized!$C$6:$C$18,0))</f>
        <v>20</v>
      </c>
      <c r="BC10" s="34">
        <f>INDEX(OMNI_Normalized!$F$6:$F$18,MATCH(L10,OMNI_Normalized!$C$6:$C$18,0))</f>
        <v>51</v>
      </c>
      <c r="BD10" s="34">
        <f>INDEX(OMNI_Normalized!$G$6:$G$18,MATCH(L10,OMNI_Normalized!$C$6:$C$18,0))</f>
        <v>51</v>
      </c>
    </row>
    <row r="11" spans="1:56" ht="24" customHeight="1" x14ac:dyDescent="0.2">
      <c r="A11" s="7">
        <v>6</v>
      </c>
      <c r="B11" s="7">
        <v>10</v>
      </c>
      <c r="C11" s="25">
        <f>Join_Audit!C15</f>
        <v>44589.738611111112</v>
      </c>
      <c r="D11" s="12">
        <f>Join_Audit!E15</f>
        <v>47</v>
      </c>
      <c r="E11" s="12">
        <f>Join_Audit!F15</f>
        <v>1352</v>
      </c>
      <c r="F11" s="12">
        <f>Join_Audit!G15</f>
        <v>1</v>
      </c>
      <c r="G11" s="12" t="str">
        <f>Join_Audit!I15</f>
        <v>CADC0873</v>
      </c>
      <c r="H11" s="12">
        <f>Join_Audit!J15</f>
        <v>6.8151500000000003E-6</v>
      </c>
      <c r="I11" s="25">
        <f>Join_Audit!L15</f>
        <v>44589.738541666673</v>
      </c>
      <c r="J11" s="12">
        <f>Join_Audit!O15</f>
        <v>6</v>
      </c>
      <c r="K11" s="12">
        <f>INDEX(COMM_Beacons!$D$6:$D$66,AA11)</f>
        <v>201</v>
      </c>
      <c r="L11" s="25">
        <f>Join_Audit!R15</f>
        <v>44589.738194444442</v>
      </c>
      <c r="M11" s="12">
        <f>OMNI_Normalized!J7</f>
        <v>6.27</v>
      </c>
      <c r="N11" s="12">
        <f>OMNI_Normalized!K7</f>
        <v>-1.74</v>
      </c>
      <c r="O11" s="12">
        <f>OMNI_Normalized!L7</f>
        <v>420.2</v>
      </c>
      <c r="P11" s="12">
        <f>OMNI_Normalized!M7</f>
        <v>5.31</v>
      </c>
      <c r="Q11" s="12">
        <f>OMNI_Normalized!P7</f>
        <v>103</v>
      </c>
      <c r="R11" s="12">
        <f>OMNI_Normalized!Q7</f>
        <v>1</v>
      </c>
      <c r="S11" s="14">
        <f>Settings!$B$28</f>
        <v>100</v>
      </c>
      <c r="T11" s="14">
        <f>Settings!$B$29</f>
        <v>0.02</v>
      </c>
      <c r="U11" s="14">
        <f>Settings!$B$12</f>
        <v>300</v>
      </c>
      <c r="V11" s="14">
        <f>Settings!$B$25</f>
        <v>0.25</v>
      </c>
      <c r="W11" s="14">
        <f>Settings!$B$21</f>
        <v>4</v>
      </c>
      <c r="X11" s="14">
        <f>Settings!$B$24</f>
        <v>12</v>
      </c>
      <c r="Y11" s="12" t="str">
        <f>Join_Audit!S15</f>
        <v>ACCEPT</v>
      </c>
      <c r="Z11" s="12" t="s">
        <v>857</v>
      </c>
      <c r="AA11" s="34">
        <v>3</v>
      </c>
      <c r="AB11" s="34" t="str">
        <f>INDEX(COMM_Beacons!$E$6:$E$66,AA11)</f>
        <v>CRC32C_VERIFIED</v>
      </c>
      <c r="AC11" s="34">
        <f>INDEX(COMM_Beacons!$K$6:$K$66,$AA11)</f>
        <v>385</v>
      </c>
      <c r="AD11" s="34">
        <f>INDEX(COMM_Beacons!$L$6:$L$66,$AA11)</f>
        <v>385</v>
      </c>
      <c r="AE11" s="34">
        <f>INDEX(COMM_Beacons!$M$6:$M$66,$AA11)</f>
        <v>-83</v>
      </c>
      <c r="AF11" s="34">
        <f>INDEX(COMM_Beacons!$N$6:$N$66,$AA11)</f>
        <v>257</v>
      </c>
      <c r="AG11" s="34">
        <f>INDEX(COMM_Beacons!$O$6:$O$66,$AA11)</f>
        <v>33425</v>
      </c>
      <c r="AH11" s="34">
        <f>INDEX(COMM_Beacons!$P$6:$P$66,$AA11)</f>
        <v>11</v>
      </c>
      <c r="AI11" s="34">
        <f>INDEX(COMM_Beacons!$Q$6:$Q$66,$AA11)</f>
        <v>4386595</v>
      </c>
      <c r="AJ11" s="34">
        <f>INDEX(COMM_Beacons!$R$6:$R$66,$AA11)</f>
        <v>110</v>
      </c>
      <c r="AK11" s="34">
        <f>INDEX(COMM_Beacons!$S$6:$S$66,$AA11)</f>
        <v>2</v>
      </c>
      <c r="AL11" s="34">
        <f>INDEX(COMM_Beacons!$T$6:$T$66,$AA11)</f>
        <v>1126</v>
      </c>
      <c r="AM11" s="34">
        <f>INDEX(COMM_Beacons!$U$6:$U$66,$AA11)</f>
        <v>256</v>
      </c>
      <c r="AN11" s="34">
        <f>INDEX(COMM_Beacons!$V$6:$V$66,$AA11)</f>
        <v>1035520017</v>
      </c>
      <c r="AO11" s="34">
        <f>INDEX(COMM_Beacons!$W$6:$W$66,$AA11)</f>
        <v>-115</v>
      </c>
      <c r="AP11" s="34">
        <f>INDEX(COMM_Beacons!$X$6:$X$66,$AA11)</f>
        <v>1</v>
      </c>
      <c r="AQ11" s="34">
        <f>INDEX(COMM_Beacons!$Y$6:$Y$66,$AA11)</f>
        <v>17475741</v>
      </c>
      <c r="AR11" s="34">
        <f>INDEX(COMM_Beacons!$Z$6:$Z$66,$AA11)</f>
        <v>22035</v>
      </c>
      <c r="AS11" s="34">
        <f>INDEX(COMM_Beacons!$AA$6:$AA$66,$AA11)</f>
        <v>3048166840</v>
      </c>
      <c r="AT11" s="34">
        <f>INDEX(COMM_Beacons!$AB$6:$AB$66,$AA11)</f>
        <v>1105712</v>
      </c>
      <c r="AU11" s="36">
        <f>IF(AA11&lt;=1,"",INDEX(COMM_Counter_Deltas!$J$6:$J$65,AA11-1))</f>
        <v>8.545454545454545</v>
      </c>
      <c r="AV11" s="35">
        <f>IF(AA11&lt;=1,"",INDEX(COMM_Counter_Deltas!$B$6:$B$65,AA11-1))</f>
        <v>44589.73841435185</v>
      </c>
      <c r="AW11" s="35">
        <f>IF(AA11&lt;=1,"",INDEX(COMM_Counter_Deltas!$C$6:$C$65,AA11-1))</f>
        <v>44589.738541666673</v>
      </c>
      <c r="AX11" s="34" t="b">
        <v>1</v>
      </c>
      <c r="AY11" s="34">
        <v>6</v>
      </c>
      <c r="AZ11" s="34">
        <f>INDEX(OMNI_Normalized!$N$6:$N$18,MATCH(L11,OMNI_Normalized!$C$6:$C$18,0))</f>
        <v>49399</v>
      </c>
      <c r="BA11" s="37">
        <f>INDEX(OMNI_Normalized!$O$6:$O$18,MATCH(L11,OMNI_Normalized!$C$6:$C$18,0))</f>
        <v>1.88</v>
      </c>
      <c r="BB11" s="34">
        <f>INDEX(OMNI_Normalized!$H$6:$H$18,MATCH(L11,OMNI_Normalized!$C$6:$C$18,0))</f>
        <v>20</v>
      </c>
      <c r="BC11" s="34">
        <f>INDEX(OMNI_Normalized!$F$6:$F$18,MATCH(L11,OMNI_Normalized!$C$6:$C$18,0))</f>
        <v>51</v>
      </c>
      <c r="BD11" s="34">
        <f>INDEX(OMNI_Normalized!$G$6:$G$18,MATCH(L11,OMNI_Normalized!$C$6:$C$18,0))</f>
        <v>51</v>
      </c>
    </row>
    <row r="12" spans="1:56" ht="24" customHeight="1" x14ac:dyDescent="0.2">
      <c r="A12" s="7">
        <v>7</v>
      </c>
      <c r="B12" s="7">
        <v>11</v>
      </c>
      <c r="C12" s="25">
        <f>Join_Audit!C16</f>
        <v>44589.738668981481</v>
      </c>
      <c r="D12" s="12">
        <f>Join_Audit!E16</f>
        <v>52</v>
      </c>
      <c r="E12" s="12">
        <f>Join_Audit!F16</f>
        <v>1352</v>
      </c>
      <c r="F12" s="12">
        <f>Join_Audit!G16</f>
        <v>1</v>
      </c>
      <c r="G12" s="12" t="str">
        <f>Join_Audit!I16</f>
        <v>CADC0873</v>
      </c>
      <c r="H12" s="12">
        <f>Join_Audit!J16</f>
        <v>5.9465200000000003E-6</v>
      </c>
      <c r="I12" s="25">
        <f>Join_Audit!L16</f>
        <v>44589.738645833328</v>
      </c>
      <c r="J12" s="12">
        <f>Join_Audit!O16</f>
        <v>2</v>
      </c>
      <c r="K12" s="12">
        <f>INDEX(COMM_Beacons!$D$6:$D$66,AA12)</f>
        <v>200</v>
      </c>
      <c r="L12" s="25">
        <f>Join_Audit!R16</f>
        <v>44589.738194444442</v>
      </c>
      <c r="M12" s="12">
        <f>OMNI_Normalized!J7</f>
        <v>6.27</v>
      </c>
      <c r="N12" s="12">
        <f>OMNI_Normalized!K7</f>
        <v>-1.74</v>
      </c>
      <c r="O12" s="12">
        <f>OMNI_Normalized!L7</f>
        <v>420.2</v>
      </c>
      <c r="P12" s="12">
        <f>OMNI_Normalized!M7</f>
        <v>5.31</v>
      </c>
      <c r="Q12" s="12">
        <f>OMNI_Normalized!P7</f>
        <v>103</v>
      </c>
      <c r="R12" s="12">
        <f>OMNI_Normalized!Q7</f>
        <v>1</v>
      </c>
      <c r="S12" s="14">
        <f>Settings!$B$28</f>
        <v>100</v>
      </c>
      <c r="T12" s="14">
        <f>Settings!$B$29</f>
        <v>0.02</v>
      </c>
      <c r="U12" s="14">
        <f>Settings!$B$12</f>
        <v>300</v>
      </c>
      <c r="V12" s="14">
        <f>Settings!$B$25</f>
        <v>0.25</v>
      </c>
      <c r="W12" s="14">
        <f>Settings!$B$21</f>
        <v>4</v>
      </c>
      <c r="X12" s="14">
        <f>Settings!$B$24</f>
        <v>12</v>
      </c>
      <c r="Y12" s="12" t="str">
        <f>Join_Audit!S16</f>
        <v>ACCEPT</v>
      </c>
      <c r="Z12" s="12" t="s">
        <v>857</v>
      </c>
      <c r="AA12" s="34">
        <v>4</v>
      </c>
      <c r="AB12" s="34" t="str">
        <f>INDEX(COMM_Beacons!$E$6:$E$66,AA12)</f>
        <v>CRC32C_VERIFIED</v>
      </c>
      <c r="AC12" s="34">
        <f>INDEX(COMM_Beacons!$K$6:$K$66,$AA12)</f>
        <v>385</v>
      </c>
      <c r="AD12" s="34">
        <f>INDEX(COMM_Beacons!$L$6:$L$66,$AA12)</f>
        <v>387</v>
      </c>
      <c r="AE12" s="34">
        <f>INDEX(COMM_Beacons!$M$6:$M$66,$AA12)</f>
        <v>-83</v>
      </c>
      <c r="AF12" s="34">
        <f>INDEX(COMM_Beacons!$N$6:$N$66,$AA12)</f>
        <v>257</v>
      </c>
      <c r="AG12" s="34">
        <f>INDEX(COMM_Beacons!$O$6:$O$66,$AA12)</f>
        <v>33426</v>
      </c>
      <c r="AH12" s="34">
        <f>INDEX(COMM_Beacons!$P$6:$P$66,$AA12)</f>
        <v>11</v>
      </c>
      <c r="AI12" s="34">
        <f>INDEX(COMM_Beacons!$Q$6:$Q$66,$AA12)</f>
        <v>4386689</v>
      </c>
      <c r="AJ12" s="34">
        <f>INDEX(COMM_Beacons!$R$6:$R$66,$AA12)</f>
        <v>110</v>
      </c>
      <c r="AK12" s="34">
        <f>INDEX(COMM_Beacons!$S$6:$S$66,$AA12)</f>
        <v>2</v>
      </c>
      <c r="AL12" s="34">
        <f>INDEX(COMM_Beacons!$T$6:$T$66,$AA12)</f>
        <v>1126</v>
      </c>
      <c r="AM12" s="34">
        <f>INDEX(COMM_Beacons!$U$6:$U$66,$AA12)</f>
        <v>256</v>
      </c>
      <c r="AN12" s="34">
        <f>INDEX(COMM_Beacons!$V$6:$V$66,$AA12)</f>
        <v>1035520017</v>
      </c>
      <c r="AO12" s="34">
        <f>INDEX(COMM_Beacons!$W$6:$W$66,$AA12)</f>
        <v>-100</v>
      </c>
      <c r="AP12" s="34">
        <f>INDEX(COMM_Beacons!$X$6:$X$66,$AA12)</f>
        <v>1</v>
      </c>
      <c r="AQ12" s="34">
        <f>INDEX(COMM_Beacons!$Y$6:$Y$66,$AA12)</f>
        <v>17475742</v>
      </c>
      <c r="AR12" s="34">
        <f>INDEX(COMM_Beacons!$Z$6:$Z$66,$AA12)</f>
        <v>22035</v>
      </c>
      <c r="AS12" s="34">
        <f>INDEX(COMM_Beacons!$AA$6:$AA$66,$AA12)</f>
        <v>3048166934</v>
      </c>
      <c r="AT12" s="34">
        <f>INDEX(COMM_Beacons!$AB$6:$AB$66,$AA12)</f>
        <v>1105712</v>
      </c>
      <c r="AU12" s="36">
        <f>IF(AA12&lt;=1,"",INDEX(COMM_Counter_Deltas!$J$6:$J$65,AA12-1))</f>
        <v>10.444444444444445</v>
      </c>
      <c r="AV12" s="35">
        <f>IF(AA12&lt;=1,"",INDEX(COMM_Counter_Deltas!$B$6:$B$65,AA12-1))</f>
        <v>44589.738541666673</v>
      </c>
      <c r="AW12" s="35">
        <f>IF(AA12&lt;=1,"",INDEX(COMM_Counter_Deltas!$C$6:$C$65,AA12-1))</f>
        <v>44589.738645833328</v>
      </c>
      <c r="AX12" s="34" t="b">
        <v>1</v>
      </c>
      <c r="AY12" s="34">
        <v>2</v>
      </c>
      <c r="AZ12" s="34">
        <f>INDEX(OMNI_Normalized!$N$6:$N$18,MATCH(L12,OMNI_Normalized!$C$6:$C$18,0))</f>
        <v>49399</v>
      </c>
      <c r="BA12" s="37">
        <f>INDEX(OMNI_Normalized!$O$6:$O$18,MATCH(L12,OMNI_Normalized!$C$6:$C$18,0))</f>
        <v>1.88</v>
      </c>
      <c r="BB12" s="34">
        <f>INDEX(OMNI_Normalized!$H$6:$H$18,MATCH(L12,OMNI_Normalized!$C$6:$C$18,0))</f>
        <v>20</v>
      </c>
      <c r="BC12" s="34">
        <f>INDEX(OMNI_Normalized!$F$6:$F$18,MATCH(L12,OMNI_Normalized!$C$6:$C$18,0))</f>
        <v>51</v>
      </c>
      <c r="BD12" s="34">
        <f>INDEX(OMNI_Normalized!$G$6:$G$18,MATCH(L12,OMNI_Normalized!$C$6:$C$18,0))</f>
        <v>51</v>
      </c>
    </row>
    <row r="13" spans="1:56" ht="24" customHeight="1" x14ac:dyDescent="0.2">
      <c r="A13" s="7">
        <v>8</v>
      </c>
      <c r="B13" s="7">
        <v>12</v>
      </c>
      <c r="C13" s="25">
        <f>Join_Audit!C17</f>
        <v>44589.738726851851</v>
      </c>
      <c r="D13" s="12">
        <f>Join_Audit!E17</f>
        <v>57</v>
      </c>
      <c r="E13" s="12">
        <f>Join_Audit!F17</f>
        <v>1352</v>
      </c>
      <c r="F13" s="12">
        <f>Join_Audit!G17</f>
        <v>1</v>
      </c>
      <c r="G13" s="12" t="str">
        <f>Join_Audit!I17</f>
        <v>CADC0873</v>
      </c>
      <c r="H13" s="12">
        <f>Join_Audit!J17</f>
        <v>1.1591899999999999E-7</v>
      </c>
      <c r="I13" s="25">
        <f>Join_Audit!L17</f>
        <v>44589.738645833328</v>
      </c>
      <c r="J13" s="12">
        <f>Join_Audit!O17</f>
        <v>7</v>
      </c>
      <c r="K13" s="12">
        <f>INDEX(COMM_Beacons!$D$6:$D$66,AA13)</f>
        <v>200</v>
      </c>
      <c r="L13" s="25">
        <f>Join_Audit!R17</f>
        <v>44589.738194444442</v>
      </c>
      <c r="M13" s="12">
        <f>OMNI_Normalized!J7</f>
        <v>6.27</v>
      </c>
      <c r="N13" s="12">
        <f>OMNI_Normalized!K7</f>
        <v>-1.74</v>
      </c>
      <c r="O13" s="12">
        <f>OMNI_Normalized!L7</f>
        <v>420.2</v>
      </c>
      <c r="P13" s="12">
        <f>OMNI_Normalized!M7</f>
        <v>5.31</v>
      </c>
      <c r="Q13" s="12">
        <f>OMNI_Normalized!P7</f>
        <v>103</v>
      </c>
      <c r="R13" s="12">
        <f>OMNI_Normalized!Q7</f>
        <v>1</v>
      </c>
      <c r="S13" s="14">
        <f>Settings!$B$28</f>
        <v>100</v>
      </c>
      <c r="T13" s="14">
        <f>Settings!$B$29</f>
        <v>0.02</v>
      </c>
      <c r="U13" s="14">
        <f>Settings!$B$12</f>
        <v>300</v>
      </c>
      <c r="V13" s="14">
        <f>Settings!$B$25</f>
        <v>0.25</v>
      </c>
      <c r="W13" s="14">
        <f>Settings!$B$21</f>
        <v>4</v>
      </c>
      <c r="X13" s="14">
        <f>Settings!$B$24</f>
        <v>12</v>
      </c>
      <c r="Y13" s="12" t="str">
        <f>Join_Audit!S17</f>
        <v>ACCEPT</v>
      </c>
      <c r="Z13" s="12" t="s">
        <v>857</v>
      </c>
      <c r="AA13" s="34">
        <v>4</v>
      </c>
      <c r="AB13" s="34" t="str">
        <f>INDEX(COMM_Beacons!$E$6:$E$66,AA13)</f>
        <v>CRC32C_VERIFIED</v>
      </c>
      <c r="AC13" s="34">
        <f>INDEX(COMM_Beacons!$K$6:$K$66,$AA13)</f>
        <v>385</v>
      </c>
      <c r="AD13" s="34">
        <f>INDEX(COMM_Beacons!$L$6:$L$66,$AA13)</f>
        <v>387</v>
      </c>
      <c r="AE13" s="34">
        <f>INDEX(COMM_Beacons!$M$6:$M$66,$AA13)</f>
        <v>-83</v>
      </c>
      <c r="AF13" s="34">
        <f>INDEX(COMM_Beacons!$N$6:$N$66,$AA13)</f>
        <v>257</v>
      </c>
      <c r="AG13" s="34">
        <f>INDEX(COMM_Beacons!$O$6:$O$66,$AA13)</f>
        <v>33426</v>
      </c>
      <c r="AH13" s="34">
        <f>INDEX(COMM_Beacons!$P$6:$P$66,$AA13)</f>
        <v>11</v>
      </c>
      <c r="AI13" s="34">
        <f>INDEX(COMM_Beacons!$Q$6:$Q$66,$AA13)</f>
        <v>4386689</v>
      </c>
      <c r="AJ13" s="34">
        <f>INDEX(COMM_Beacons!$R$6:$R$66,$AA13)</f>
        <v>110</v>
      </c>
      <c r="AK13" s="34">
        <f>INDEX(COMM_Beacons!$S$6:$S$66,$AA13)</f>
        <v>2</v>
      </c>
      <c r="AL13" s="34">
        <f>INDEX(COMM_Beacons!$T$6:$T$66,$AA13)</f>
        <v>1126</v>
      </c>
      <c r="AM13" s="34">
        <f>INDEX(COMM_Beacons!$U$6:$U$66,$AA13)</f>
        <v>256</v>
      </c>
      <c r="AN13" s="34">
        <f>INDEX(COMM_Beacons!$V$6:$V$66,$AA13)</f>
        <v>1035520017</v>
      </c>
      <c r="AO13" s="34">
        <f>INDEX(COMM_Beacons!$W$6:$W$66,$AA13)</f>
        <v>-100</v>
      </c>
      <c r="AP13" s="34">
        <f>INDEX(COMM_Beacons!$X$6:$X$66,$AA13)</f>
        <v>1</v>
      </c>
      <c r="AQ13" s="34">
        <f>INDEX(COMM_Beacons!$Y$6:$Y$66,$AA13)</f>
        <v>17475742</v>
      </c>
      <c r="AR13" s="34">
        <f>INDEX(COMM_Beacons!$Z$6:$Z$66,$AA13)</f>
        <v>22035</v>
      </c>
      <c r="AS13" s="34">
        <f>INDEX(COMM_Beacons!$AA$6:$AA$66,$AA13)</f>
        <v>3048166934</v>
      </c>
      <c r="AT13" s="34">
        <f>INDEX(COMM_Beacons!$AB$6:$AB$66,$AA13)</f>
        <v>1105712</v>
      </c>
      <c r="AU13" s="36">
        <f>IF(AA13&lt;=1,"",INDEX(COMM_Counter_Deltas!$J$6:$J$65,AA13-1))</f>
        <v>10.444444444444445</v>
      </c>
      <c r="AV13" s="35">
        <f>IF(AA13&lt;=1,"",INDEX(COMM_Counter_Deltas!$B$6:$B$65,AA13-1))</f>
        <v>44589.738541666673</v>
      </c>
      <c r="AW13" s="35">
        <f>IF(AA13&lt;=1,"",INDEX(COMM_Counter_Deltas!$C$6:$C$65,AA13-1))</f>
        <v>44589.738645833328</v>
      </c>
      <c r="AX13" s="34" t="b">
        <v>1</v>
      </c>
      <c r="AY13" s="34">
        <v>7</v>
      </c>
      <c r="AZ13" s="34">
        <f>INDEX(OMNI_Normalized!$N$6:$N$18,MATCH(L13,OMNI_Normalized!$C$6:$C$18,0))</f>
        <v>49399</v>
      </c>
      <c r="BA13" s="37">
        <f>INDEX(OMNI_Normalized!$O$6:$O$18,MATCH(L13,OMNI_Normalized!$C$6:$C$18,0))</f>
        <v>1.88</v>
      </c>
      <c r="BB13" s="34">
        <f>INDEX(OMNI_Normalized!$H$6:$H$18,MATCH(L13,OMNI_Normalized!$C$6:$C$18,0))</f>
        <v>20</v>
      </c>
      <c r="BC13" s="34">
        <f>INDEX(OMNI_Normalized!$F$6:$F$18,MATCH(L13,OMNI_Normalized!$C$6:$C$18,0))</f>
        <v>51</v>
      </c>
      <c r="BD13" s="34">
        <f>INDEX(OMNI_Normalized!$G$6:$G$18,MATCH(L13,OMNI_Normalized!$C$6:$C$18,0))</f>
        <v>51</v>
      </c>
    </row>
    <row r="14" spans="1:56" ht="24" customHeight="1" x14ac:dyDescent="0.2">
      <c r="A14" s="7">
        <v>9</v>
      </c>
      <c r="B14" s="7">
        <v>16</v>
      </c>
      <c r="C14" s="25">
        <f>Join_Audit!C21</f>
        <v>44589.740057870367</v>
      </c>
      <c r="D14" s="12">
        <f>Join_Audit!E21</f>
        <v>172</v>
      </c>
      <c r="E14" s="12">
        <f>Join_Audit!F21</f>
        <v>1353</v>
      </c>
      <c r="F14" s="12">
        <f>Join_Audit!G21</f>
        <v>0</v>
      </c>
      <c r="G14" s="12" t="str">
        <f>Join_Audit!I21</f>
        <v>CADC0873</v>
      </c>
      <c r="H14" s="12">
        <f>Join_Audit!J21</f>
        <v>-3.6434399999999998E-5</v>
      </c>
      <c r="I14" s="25">
        <f>Join_Audit!L21</f>
        <v>44589.740034722221</v>
      </c>
      <c r="J14" s="12">
        <f>Join_Audit!O21</f>
        <v>2</v>
      </c>
      <c r="K14" s="12">
        <f>INDEX(COMM_Beacons!$D$6:$D$66,AA14)</f>
        <v>186</v>
      </c>
      <c r="L14" s="25">
        <f>Join_Audit!R21</f>
        <v>44589.739583333343</v>
      </c>
      <c r="M14" s="12">
        <f>OMNI_Normalized!J9</f>
        <v>6.25</v>
      </c>
      <c r="N14" s="12">
        <f>OMNI_Normalized!K9</f>
        <v>-2.11</v>
      </c>
      <c r="O14" s="12">
        <f>OMNI_Normalized!L9</f>
        <v>419.5</v>
      </c>
      <c r="P14" s="12">
        <f>OMNI_Normalized!M9</f>
        <v>5.6</v>
      </c>
      <c r="Q14" s="12">
        <f>OMNI_Normalized!P9</f>
        <v>100</v>
      </c>
      <c r="R14" s="12">
        <f>OMNI_Normalized!Q9</f>
        <v>1</v>
      </c>
      <c r="S14" s="14">
        <f>Settings!$B$28</f>
        <v>100</v>
      </c>
      <c r="T14" s="14">
        <f>Settings!$B$29</f>
        <v>0.02</v>
      </c>
      <c r="U14" s="14">
        <f>Settings!$B$12</f>
        <v>300</v>
      </c>
      <c r="V14" s="14">
        <f>Settings!$B$25</f>
        <v>0.25</v>
      </c>
      <c r="W14" s="14">
        <f>Settings!$B$21</f>
        <v>4</v>
      </c>
      <c r="X14" s="14">
        <f>Settings!$B$24</f>
        <v>12</v>
      </c>
      <c r="Y14" s="12" t="str">
        <f>Join_Audit!S21</f>
        <v>ACCEPT</v>
      </c>
      <c r="Z14" s="12" t="s">
        <v>857</v>
      </c>
      <c r="AA14" s="34">
        <v>13</v>
      </c>
      <c r="AB14" s="34" t="str">
        <f>INDEX(COMM_Beacons!$E$6:$E$66,AA14)</f>
        <v>PREPROCESSED_NO_CRC</v>
      </c>
      <c r="AC14" s="34">
        <f>INDEX(COMM_Beacons!$K$6:$K$66,$AA14)</f>
        <v>377</v>
      </c>
      <c r="AD14" s="34">
        <f>INDEX(COMM_Beacons!$L$6:$L$66,$AA14)</f>
        <v>377</v>
      </c>
      <c r="AE14" s="34">
        <f>INDEX(COMM_Beacons!$M$6:$M$66,$AA14)</f>
        <v>-83</v>
      </c>
      <c r="AF14" s="34">
        <f>INDEX(COMM_Beacons!$N$6:$N$66,$AA14)</f>
        <v>257</v>
      </c>
      <c r="AG14" s="34">
        <f>INDEX(COMM_Beacons!$O$6:$O$66,$AA14)</f>
        <v>33438</v>
      </c>
      <c r="AH14" s="34">
        <f>INDEX(COMM_Beacons!$P$6:$P$66,$AA14)</f>
        <v>11</v>
      </c>
      <c r="AI14" s="34">
        <f>INDEX(COMM_Beacons!$Q$6:$Q$66,$AA14)</f>
        <v>4387817</v>
      </c>
      <c r="AJ14" s="34">
        <f>INDEX(COMM_Beacons!$R$6:$R$66,$AA14)</f>
        <v>110</v>
      </c>
      <c r="AK14" s="34">
        <f>INDEX(COMM_Beacons!$S$6:$S$66,$AA14)</f>
        <v>2</v>
      </c>
      <c r="AL14" s="34">
        <f>INDEX(COMM_Beacons!$T$6:$T$66,$AA14)</f>
        <v>1126</v>
      </c>
      <c r="AM14" s="34">
        <f>INDEX(COMM_Beacons!$U$6:$U$66,$AA14)</f>
        <v>256</v>
      </c>
      <c r="AN14" s="34">
        <f>INDEX(COMM_Beacons!$V$6:$V$66,$AA14)</f>
        <v>1035520017</v>
      </c>
      <c r="AO14" s="34">
        <f>INDEX(COMM_Beacons!$W$6:$W$66,$AA14)</f>
        <v>-111</v>
      </c>
      <c r="AP14" s="34">
        <f>INDEX(COMM_Beacons!$X$6:$X$66,$AA14)</f>
        <v>1</v>
      </c>
      <c r="AQ14" s="34">
        <f>INDEX(COMM_Beacons!$Y$6:$Y$66,$AA14)</f>
        <v>17475754</v>
      </c>
      <c r="AR14" s="34">
        <f>INDEX(COMM_Beacons!$Z$6:$Z$66,$AA14)</f>
        <v>22035</v>
      </c>
      <c r="AS14" s="34">
        <f>INDEX(COMM_Beacons!$AA$6:$AA$66,$AA14)</f>
        <v>3048168062</v>
      </c>
      <c r="AT14" s="34">
        <f>INDEX(COMM_Beacons!$AB$6:$AB$66,$AA14)</f>
        <v>1105712</v>
      </c>
      <c r="AU14" s="36">
        <f>IF(AA14&lt;=1,"",INDEX(COMM_Counter_Deltas!$J$6:$J$65,AA14-1))</f>
        <v>9.4</v>
      </c>
      <c r="AV14" s="35">
        <f>IF(AA14&lt;=1,"",INDEX(COMM_Counter_Deltas!$B$6:$B$65,AA14-1))</f>
        <v>44589.739918981482</v>
      </c>
      <c r="AW14" s="35">
        <f>IF(AA14&lt;=1,"",INDEX(COMM_Counter_Deltas!$C$6:$C$65,AA14-1))</f>
        <v>44589.740034722221</v>
      </c>
      <c r="AX14" s="34" t="b">
        <v>0</v>
      </c>
      <c r="AY14" s="34">
        <v>12</v>
      </c>
      <c r="AZ14" s="34">
        <f>INDEX(OMNI_Normalized!$N$6:$N$18,MATCH(L14,OMNI_Normalized!$C$6:$C$18,0))</f>
        <v>44104</v>
      </c>
      <c r="BA14" s="37">
        <f>INDEX(OMNI_Normalized!$O$6:$O$18,MATCH(L14,OMNI_Normalized!$C$6:$C$18,0))</f>
        <v>1.97</v>
      </c>
      <c r="BB14" s="34">
        <f>INDEX(OMNI_Normalized!$H$6:$H$18,MATCH(L14,OMNI_Normalized!$C$6:$C$18,0))</f>
        <v>100</v>
      </c>
      <c r="BC14" s="34">
        <f>INDEX(OMNI_Normalized!$F$6:$F$18,MATCH(L14,OMNI_Normalized!$C$6:$C$18,0))</f>
        <v>51</v>
      </c>
      <c r="BD14" s="34">
        <f>INDEX(OMNI_Normalized!$G$6:$G$18,MATCH(L14,OMNI_Normalized!$C$6:$C$18,0))</f>
        <v>51</v>
      </c>
    </row>
    <row r="15" spans="1:56" ht="24" customHeight="1" x14ac:dyDescent="0.2">
      <c r="A15" s="7">
        <v>10</v>
      </c>
      <c r="B15" s="7">
        <v>17</v>
      </c>
      <c r="C15" s="25">
        <f>Join_Audit!C22</f>
        <v>44589.740115740737</v>
      </c>
      <c r="D15" s="12">
        <f>Join_Audit!E22</f>
        <v>177</v>
      </c>
      <c r="E15" s="12">
        <f>Join_Audit!F22</f>
        <v>1353</v>
      </c>
      <c r="F15" s="12">
        <f>Join_Audit!G22</f>
        <v>0</v>
      </c>
      <c r="G15" s="12" t="str">
        <f>Join_Audit!I22</f>
        <v>CADC0873</v>
      </c>
      <c r="H15" s="12">
        <f>Join_Audit!J22</f>
        <v>-3.3757699999999997E-5</v>
      </c>
      <c r="I15" s="25">
        <f>Join_Audit!L22</f>
        <v>44589.740034722221</v>
      </c>
      <c r="J15" s="12">
        <f>Join_Audit!O22</f>
        <v>7</v>
      </c>
      <c r="K15" s="12">
        <f>INDEX(COMM_Beacons!$D$6:$D$66,AA15)</f>
        <v>186</v>
      </c>
      <c r="L15" s="25">
        <f>Join_Audit!R22</f>
        <v>44589.739583333343</v>
      </c>
      <c r="M15" s="12">
        <f>OMNI_Normalized!J9</f>
        <v>6.25</v>
      </c>
      <c r="N15" s="12">
        <f>OMNI_Normalized!K9</f>
        <v>-2.11</v>
      </c>
      <c r="O15" s="12">
        <f>OMNI_Normalized!L9</f>
        <v>419.5</v>
      </c>
      <c r="P15" s="12">
        <f>OMNI_Normalized!M9</f>
        <v>5.6</v>
      </c>
      <c r="Q15" s="12">
        <f>OMNI_Normalized!P9</f>
        <v>100</v>
      </c>
      <c r="R15" s="12">
        <f>OMNI_Normalized!Q9</f>
        <v>1</v>
      </c>
      <c r="S15" s="14">
        <f>Settings!$B$28</f>
        <v>100</v>
      </c>
      <c r="T15" s="14">
        <f>Settings!$B$29</f>
        <v>0.02</v>
      </c>
      <c r="U15" s="14">
        <f>Settings!$B$12</f>
        <v>300</v>
      </c>
      <c r="V15" s="14">
        <f>Settings!$B$25</f>
        <v>0.25</v>
      </c>
      <c r="W15" s="14">
        <f>Settings!$B$21</f>
        <v>4</v>
      </c>
      <c r="X15" s="14">
        <f>Settings!$B$24</f>
        <v>12</v>
      </c>
      <c r="Y15" s="12" t="str">
        <f>Join_Audit!S22</f>
        <v>ACCEPT</v>
      </c>
      <c r="Z15" s="12" t="s">
        <v>857</v>
      </c>
      <c r="AA15" s="34">
        <v>13</v>
      </c>
      <c r="AB15" s="34" t="str">
        <f>INDEX(COMM_Beacons!$E$6:$E$66,AA15)</f>
        <v>PREPROCESSED_NO_CRC</v>
      </c>
      <c r="AC15" s="34">
        <f>INDEX(COMM_Beacons!$K$6:$K$66,$AA15)</f>
        <v>377</v>
      </c>
      <c r="AD15" s="34">
        <f>INDEX(COMM_Beacons!$L$6:$L$66,$AA15)</f>
        <v>377</v>
      </c>
      <c r="AE15" s="34">
        <f>INDEX(COMM_Beacons!$M$6:$M$66,$AA15)</f>
        <v>-83</v>
      </c>
      <c r="AF15" s="34">
        <f>INDEX(COMM_Beacons!$N$6:$N$66,$AA15)</f>
        <v>257</v>
      </c>
      <c r="AG15" s="34">
        <f>INDEX(COMM_Beacons!$O$6:$O$66,$AA15)</f>
        <v>33438</v>
      </c>
      <c r="AH15" s="34">
        <f>INDEX(COMM_Beacons!$P$6:$P$66,$AA15)</f>
        <v>11</v>
      </c>
      <c r="AI15" s="34">
        <f>INDEX(COMM_Beacons!$Q$6:$Q$66,$AA15)</f>
        <v>4387817</v>
      </c>
      <c r="AJ15" s="34">
        <f>INDEX(COMM_Beacons!$R$6:$R$66,$AA15)</f>
        <v>110</v>
      </c>
      <c r="AK15" s="34">
        <f>INDEX(COMM_Beacons!$S$6:$S$66,$AA15)</f>
        <v>2</v>
      </c>
      <c r="AL15" s="34">
        <f>INDEX(COMM_Beacons!$T$6:$T$66,$AA15)</f>
        <v>1126</v>
      </c>
      <c r="AM15" s="34">
        <f>INDEX(COMM_Beacons!$U$6:$U$66,$AA15)</f>
        <v>256</v>
      </c>
      <c r="AN15" s="34">
        <f>INDEX(COMM_Beacons!$V$6:$V$66,$AA15)</f>
        <v>1035520017</v>
      </c>
      <c r="AO15" s="34">
        <f>INDEX(COMM_Beacons!$W$6:$W$66,$AA15)</f>
        <v>-111</v>
      </c>
      <c r="AP15" s="34">
        <f>INDEX(COMM_Beacons!$X$6:$X$66,$AA15)</f>
        <v>1</v>
      </c>
      <c r="AQ15" s="34">
        <f>INDEX(COMM_Beacons!$Y$6:$Y$66,$AA15)</f>
        <v>17475754</v>
      </c>
      <c r="AR15" s="34">
        <f>INDEX(COMM_Beacons!$Z$6:$Z$66,$AA15)</f>
        <v>22035</v>
      </c>
      <c r="AS15" s="34">
        <f>INDEX(COMM_Beacons!$AA$6:$AA$66,$AA15)</f>
        <v>3048168062</v>
      </c>
      <c r="AT15" s="34">
        <f>INDEX(COMM_Beacons!$AB$6:$AB$66,$AA15)</f>
        <v>1105712</v>
      </c>
      <c r="AU15" s="36">
        <f>IF(AA15&lt;=1,"",INDEX(COMM_Counter_Deltas!$J$6:$J$65,AA15-1))</f>
        <v>9.4</v>
      </c>
      <c r="AV15" s="35">
        <f>IF(AA15&lt;=1,"",INDEX(COMM_Counter_Deltas!$B$6:$B$65,AA15-1))</f>
        <v>44589.739918981482</v>
      </c>
      <c r="AW15" s="35">
        <f>IF(AA15&lt;=1,"",INDEX(COMM_Counter_Deltas!$C$6:$C$65,AA15-1))</f>
        <v>44589.740034722221</v>
      </c>
      <c r="AX15" s="34" t="b">
        <v>0</v>
      </c>
      <c r="AY15" s="34">
        <v>17</v>
      </c>
      <c r="AZ15" s="34">
        <f>INDEX(OMNI_Normalized!$N$6:$N$18,MATCH(L15,OMNI_Normalized!$C$6:$C$18,0))</f>
        <v>44104</v>
      </c>
      <c r="BA15" s="37">
        <f>INDEX(OMNI_Normalized!$O$6:$O$18,MATCH(L15,OMNI_Normalized!$C$6:$C$18,0))</f>
        <v>1.97</v>
      </c>
      <c r="BB15" s="34">
        <f>INDEX(OMNI_Normalized!$H$6:$H$18,MATCH(L15,OMNI_Normalized!$C$6:$C$18,0))</f>
        <v>100</v>
      </c>
      <c r="BC15" s="34">
        <f>INDEX(OMNI_Normalized!$F$6:$F$18,MATCH(L15,OMNI_Normalized!$C$6:$C$18,0))</f>
        <v>51</v>
      </c>
      <c r="BD15" s="34">
        <f>INDEX(OMNI_Normalized!$G$6:$G$18,MATCH(L15,OMNI_Normalized!$C$6:$C$18,0))</f>
        <v>51</v>
      </c>
    </row>
    <row r="16" spans="1:56" ht="24" customHeight="1" x14ac:dyDescent="0.2">
      <c r="A16" s="7">
        <v>11</v>
      </c>
      <c r="B16" s="7">
        <v>18</v>
      </c>
      <c r="C16" s="25">
        <f>Join_Audit!C23</f>
        <v>44589.740173611113</v>
      </c>
      <c r="D16" s="12">
        <f>Join_Audit!E23</f>
        <v>182</v>
      </c>
      <c r="E16" s="12">
        <f>Join_Audit!F23</f>
        <v>1353</v>
      </c>
      <c r="F16" s="12">
        <f>Join_Audit!G23</f>
        <v>0</v>
      </c>
      <c r="G16" s="12" t="str">
        <f>Join_Audit!I23</f>
        <v>CADC0873</v>
      </c>
      <c r="H16" s="12">
        <f>Join_Audit!J23</f>
        <v>-2.86368E-5</v>
      </c>
      <c r="I16" s="25">
        <f>Join_Audit!L23</f>
        <v>44589.74015046296</v>
      </c>
      <c r="J16" s="12">
        <f>Join_Audit!O23</f>
        <v>2</v>
      </c>
      <c r="K16" s="12">
        <f>INDEX(COMM_Beacons!$D$6:$D$66,AA16)</f>
        <v>185</v>
      </c>
      <c r="L16" s="25">
        <f>Join_Audit!R23</f>
        <v>44589.739583333343</v>
      </c>
      <c r="M16" s="12">
        <f>OMNI_Normalized!J9</f>
        <v>6.25</v>
      </c>
      <c r="N16" s="12">
        <f>OMNI_Normalized!K9</f>
        <v>-2.11</v>
      </c>
      <c r="O16" s="12">
        <f>OMNI_Normalized!L9</f>
        <v>419.5</v>
      </c>
      <c r="P16" s="12">
        <f>OMNI_Normalized!M9</f>
        <v>5.6</v>
      </c>
      <c r="Q16" s="12">
        <f>OMNI_Normalized!P9</f>
        <v>100</v>
      </c>
      <c r="R16" s="12">
        <f>OMNI_Normalized!Q9</f>
        <v>1</v>
      </c>
      <c r="S16" s="14">
        <f>Settings!$B$28</f>
        <v>100</v>
      </c>
      <c r="T16" s="14">
        <f>Settings!$B$29</f>
        <v>0.02</v>
      </c>
      <c r="U16" s="14">
        <f>Settings!$B$12</f>
        <v>300</v>
      </c>
      <c r="V16" s="14">
        <f>Settings!$B$25</f>
        <v>0.25</v>
      </c>
      <c r="W16" s="14">
        <f>Settings!$B$21</f>
        <v>4</v>
      </c>
      <c r="X16" s="14">
        <f>Settings!$B$24</f>
        <v>12</v>
      </c>
      <c r="Y16" s="12" t="str">
        <f>Join_Audit!S23</f>
        <v>ACCEPT</v>
      </c>
      <c r="Z16" s="12" t="s">
        <v>857</v>
      </c>
      <c r="AA16" s="34">
        <v>14</v>
      </c>
      <c r="AB16" s="34" t="str">
        <f>INDEX(COMM_Beacons!$E$6:$E$66,AA16)</f>
        <v>CRC32C_VERIFIED</v>
      </c>
      <c r="AC16" s="34">
        <f>INDEX(COMM_Beacons!$K$6:$K$66,$AA16)</f>
        <v>377</v>
      </c>
      <c r="AD16" s="34">
        <f>INDEX(COMM_Beacons!$L$6:$L$66,$AA16)</f>
        <v>377</v>
      </c>
      <c r="AE16" s="34">
        <f>INDEX(COMM_Beacons!$M$6:$M$66,$AA16)</f>
        <v>-83</v>
      </c>
      <c r="AF16" s="34">
        <f>INDEX(COMM_Beacons!$N$6:$N$66,$AA16)</f>
        <v>257</v>
      </c>
      <c r="AG16" s="34">
        <f>INDEX(COMM_Beacons!$O$6:$O$66,$AA16)</f>
        <v>33439</v>
      </c>
      <c r="AH16" s="34">
        <f>INDEX(COMM_Beacons!$P$6:$P$66,$AA16)</f>
        <v>11</v>
      </c>
      <c r="AI16" s="34">
        <f>INDEX(COMM_Beacons!$Q$6:$Q$66,$AA16)</f>
        <v>4387911</v>
      </c>
      <c r="AJ16" s="34">
        <f>INDEX(COMM_Beacons!$R$6:$R$66,$AA16)</f>
        <v>110</v>
      </c>
      <c r="AK16" s="34">
        <f>INDEX(COMM_Beacons!$S$6:$S$66,$AA16)</f>
        <v>2</v>
      </c>
      <c r="AL16" s="34">
        <f>INDEX(COMM_Beacons!$T$6:$T$66,$AA16)</f>
        <v>1126</v>
      </c>
      <c r="AM16" s="34">
        <f>INDEX(COMM_Beacons!$U$6:$U$66,$AA16)</f>
        <v>256</v>
      </c>
      <c r="AN16" s="34">
        <f>INDEX(COMM_Beacons!$V$6:$V$66,$AA16)</f>
        <v>1035520017</v>
      </c>
      <c r="AO16" s="34">
        <f>INDEX(COMM_Beacons!$W$6:$W$66,$AA16)</f>
        <v>-113</v>
      </c>
      <c r="AP16" s="34">
        <f>INDEX(COMM_Beacons!$X$6:$X$66,$AA16)</f>
        <v>1</v>
      </c>
      <c r="AQ16" s="34">
        <f>INDEX(COMM_Beacons!$Y$6:$Y$66,$AA16)</f>
        <v>17475755</v>
      </c>
      <c r="AR16" s="34">
        <f>INDEX(COMM_Beacons!$Z$6:$Z$66,$AA16)</f>
        <v>22035</v>
      </c>
      <c r="AS16" s="34">
        <f>INDEX(COMM_Beacons!$AA$6:$AA$66,$AA16)</f>
        <v>3048168156</v>
      </c>
      <c r="AT16" s="34">
        <f>INDEX(COMM_Beacons!$AB$6:$AB$66,$AA16)</f>
        <v>1105712</v>
      </c>
      <c r="AU16" s="36">
        <f>IF(AA16&lt;=1,"",INDEX(COMM_Counter_Deltas!$J$6:$J$65,AA16-1))</f>
        <v>9.4</v>
      </c>
      <c r="AV16" s="35">
        <f>IF(AA16&lt;=1,"",INDEX(COMM_Counter_Deltas!$B$6:$B$65,AA16-1))</f>
        <v>44589.740034722221</v>
      </c>
      <c r="AW16" s="35">
        <f>IF(AA16&lt;=1,"",INDEX(COMM_Counter_Deltas!$C$6:$C$65,AA16-1))</f>
        <v>44589.74015046296</v>
      </c>
      <c r="AX16" s="34" t="b">
        <v>1</v>
      </c>
      <c r="AY16" s="34">
        <v>2</v>
      </c>
      <c r="AZ16" s="34">
        <f>INDEX(OMNI_Normalized!$N$6:$N$18,MATCH(L16,OMNI_Normalized!$C$6:$C$18,0))</f>
        <v>44104</v>
      </c>
      <c r="BA16" s="37">
        <f>INDEX(OMNI_Normalized!$O$6:$O$18,MATCH(L16,OMNI_Normalized!$C$6:$C$18,0))</f>
        <v>1.97</v>
      </c>
      <c r="BB16" s="34">
        <f>INDEX(OMNI_Normalized!$H$6:$H$18,MATCH(L16,OMNI_Normalized!$C$6:$C$18,0))</f>
        <v>100</v>
      </c>
      <c r="BC16" s="34">
        <f>INDEX(OMNI_Normalized!$F$6:$F$18,MATCH(L16,OMNI_Normalized!$C$6:$C$18,0))</f>
        <v>51</v>
      </c>
      <c r="BD16" s="34">
        <f>INDEX(OMNI_Normalized!$G$6:$G$18,MATCH(L16,OMNI_Normalized!$C$6:$C$18,0))</f>
        <v>51</v>
      </c>
    </row>
    <row r="17" spans="1:56" ht="24" customHeight="1" x14ac:dyDescent="0.2">
      <c r="A17" s="7">
        <v>12</v>
      </c>
      <c r="B17" s="7">
        <v>19</v>
      </c>
      <c r="C17" s="25">
        <f>Join_Audit!C24</f>
        <v>44589.740231481483</v>
      </c>
      <c r="D17" s="12">
        <f>Join_Audit!E24</f>
        <v>187</v>
      </c>
      <c r="E17" s="12">
        <f>Join_Audit!F24</f>
        <v>1353</v>
      </c>
      <c r="F17" s="12">
        <f>Join_Audit!G24</f>
        <v>0</v>
      </c>
      <c r="G17" s="12" t="str">
        <f>Join_Audit!I24</f>
        <v>CADC0873</v>
      </c>
      <c r="H17" s="12">
        <f>Join_Audit!J24</f>
        <v>-2.09138E-5</v>
      </c>
      <c r="I17" s="25">
        <f>Join_Audit!L24</f>
        <v>44589.74015046296</v>
      </c>
      <c r="J17" s="12">
        <f>Join_Audit!O24</f>
        <v>7</v>
      </c>
      <c r="K17" s="12">
        <f>INDEX(COMM_Beacons!$D$6:$D$66,AA17)</f>
        <v>185</v>
      </c>
      <c r="L17" s="25">
        <f>Join_Audit!R24</f>
        <v>44589.739583333343</v>
      </c>
      <c r="M17" s="12">
        <f>OMNI_Normalized!J9</f>
        <v>6.25</v>
      </c>
      <c r="N17" s="12">
        <f>OMNI_Normalized!K9</f>
        <v>-2.11</v>
      </c>
      <c r="O17" s="12">
        <f>OMNI_Normalized!L9</f>
        <v>419.5</v>
      </c>
      <c r="P17" s="12">
        <f>OMNI_Normalized!M9</f>
        <v>5.6</v>
      </c>
      <c r="Q17" s="12">
        <f>OMNI_Normalized!P9</f>
        <v>100</v>
      </c>
      <c r="R17" s="12">
        <f>OMNI_Normalized!Q9</f>
        <v>1</v>
      </c>
      <c r="S17" s="14">
        <f>Settings!$B$28</f>
        <v>100</v>
      </c>
      <c r="T17" s="14">
        <f>Settings!$B$29</f>
        <v>0.02</v>
      </c>
      <c r="U17" s="14">
        <f>Settings!$B$12</f>
        <v>300</v>
      </c>
      <c r="V17" s="14">
        <f>Settings!$B$25</f>
        <v>0.25</v>
      </c>
      <c r="W17" s="14">
        <f>Settings!$B$21</f>
        <v>4</v>
      </c>
      <c r="X17" s="14">
        <f>Settings!$B$24</f>
        <v>12</v>
      </c>
      <c r="Y17" s="12" t="str">
        <f>Join_Audit!S24</f>
        <v>ACCEPT</v>
      </c>
      <c r="Z17" s="12" t="s">
        <v>857</v>
      </c>
      <c r="AA17" s="34">
        <v>14</v>
      </c>
      <c r="AB17" s="34" t="str">
        <f>INDEX(COMM_Beacons!$E$6:$E$66,AA17)</f>
        <v>CRC32C_VERIFIED</v>
      </c>
      <c r="AC17" s="34">
        <f>INDEX(COMM_Beacons!$K$6:$K$66,$AA17)</f>
        <v>377</v>
      </c>
      <c r="AD17" s="34">
        <f>INDEX(COMM_Beacons!$L$6:$L$66,$AA17)</f>
        <v>377</v>
      </c>
      <c r="AE17" s="34">
        <f>INDEX(COMM_Beacons!$M$6:$M$66,$AA17)</f>
        <v>-83</v>
      </c>
      <c r="AF17" s="34">
        <f>INDEX(COMM_Beacons!$N$6:$N$66,$AA17)</f>
        <v>257</v>
      </c>
      <c r="AG17" s="34">
        <f>INDEX(COMM_Beacons!$O$6:$O$66,$AA17)</f>
        <v>33439</v>
      </c>
      <c r="AH17" s="34">
        <f>INDEX(COMM_Beacons!$P$6:$P$66,$AA17)</f>
        <v>11</v>
      </c>
      <c r="AI17" s="34">
        <f>INDEX(COMM_Beacons!$Q$6:$Q$66,$AA17)</f>
        <v>4387911</v>
      </c>
      <c r="AJ17" s="34">
        <f>INDEX(COMM_Beacons!$R$6:$R$66,$AA17)</f>
        <v>110</v>
      </c>
      <c r="AK17" s="34">
        <f>INDEX(COMM_Beacons!$S$6:$S$66,$AA17)</f>
        <v>2</v>
      </c>
      <c r="AL17" s="34">
        <f>INDEX(COMM_Beacons!$T$6:$T$66,$AA17)</f>
        <v>1126</v>
      </c>
      <c r="AM17" s="34">
        <f>INDEX(COMM_Beacons!$U$6:$U$66,$AA17)</f>
        <v>256</v>
      </c>
      <c r="AN17" s="34">
        <f>INDEX(COMM_Beacons!$V$6:$V$66,$AA17)</f>
        <v>1035520017</v>
      </c>
      <c r="AO17" s="34">
        <f>INDEX(COMM_Beacons!$W$6:$W$66,$AA17)</f>
        <v>-113</v>
      </c>
      <c r="AP17" s="34">
        <f>INDEX(COMM_Beacons!$X$6:$X$66,$AA17)</f>
        <v>1</v>
      </c>
      <c r="AQ17" s="34">
        <f>INDEX(COMM_Beacons!$Y$6:$Y$66,$AA17)</f>
        <v>17475755</v>
      </c>
      <c r="AR17" s="34">
        <f>INDEX(COMM_Beacons!$Z$6:$Z$66,$AA17)</f>
        <v>22035</v>
      </c>
      <c r="AS17" s="34">
        <f>INDEX(COMM_Beacons!$AA$6:$AA$66,$AA17)</f>
        <v>3048168156</v>
      </c>
      <c r="AT17" s="34">
        <f>INDEX(COMM_Beacons!$AB$6:$AB$66,$AA17)</f>
        <v>1105712</v>
      </c>
      <c r="AU17" s="36">
        <f>IF(AA17&lt;=1,"",INDEX(COMM_Counter_Deltas!$J$6:$J$65,AA17-1))</f>
        <v>9.4</v>
      </c>
      <c r="AV17" s="35">
        <f>IF(AA17&lt;=1,"",INDEX(COMM_Counter_Deltas!$B$6:$B$65,AA17-1))</f>
        <v>44589.740034722221</v>
      </c>
      <c r="AW17" s="35">
        <f>IF(AA17&lt;=1,"",INDEX(COMM_Counter_Deltas!$C$6:$C$65,AA17-1))</f>
        <v>44589.74015046296</v>
      </c>
      <c r="AX17" s="34" t="b">
        <v>1</v>
      </c>
      <c r="AY17" s="34">
        <v>7</v>
      </c>
      <c r="AZ17" s="34">
        <f>INDEX(OMNI_Normalized!$N$6:$N$18,MATCH(L17,OMNI_Normalized!$C$6:$C$18,0))</f>
        <v>44104</v>
      </c>
      <c r="BA17" s="37">
        <f>INDEX(OMNI_Normalized!$O$6:$O$18,MATCH(L17,OMNI_Normalized!$C$6:$C$18,0))</f>
        <v>1.97</v>
      </c>
      <c r="BB17" s="34">
        <f>INDEX(OMNI_Normalized!$H$6:$H$18,MATCH(L17,OMNI_Normalized!$C$6:$C$18,0))</f>
        <v>100</v>
      </c>
      <c r="BC17" s="34">
        <f>INDEX(OMNI_Normalized!$F$6:$F$18,MATCH(L17,OMNI_Normalized!$C$6:$C$18,0))</f>
        <v>51</v>
      </c>
      <c r="BD17" s="34">
        <f>INDEX(OMNI_Normalized!$G$6:$G$18,MATCH(L17,OMNI_Normalized!$C$6:$C$18,0))</f>
        <v>51</v>
      </c>
    </row>
    <row r="18" spans="1:56" ht="24" customHeight="1" x14ac:dyDescent="0.2">
      <c r="A18" s="7">
        <v>13</v>
      </c>
      <c r="B18" s="7">
        <v>20</v>
      </c>
      <c r="C18" s="25">
        <f>Join_Audit!C25</f>
        <v>44589.740289351852</v>
      </c>
      <c r="D18" s="12">
        <f>Join_Audit!E25</f>
        <v>192</v>
      </c>
      <c r="E18" s="12">
        <f>Join_Audit!F25</f>
        <v>1353</v>
      </c>
      <c r="F18" s="12">
        <f>Join_Audit!G25</f>
        <v>0</v>
      </c>
      <c r="G18" s="12" t="str">
        <f>Join_Audit!I25</f>
        <v>CADC0873</v>
      </c>
      <c r="H18" s="12">
        <f>Join_Audit!J25</f>
        <v>-1.17926E-5</v>
      </c>
      <c r="I18" s="25">
        <f>Join_Audit!L25</f>
        <v>44589.740266203713</v>
      </c>
      <c r="J18" s="12">
        <f>Join_Audit!O25</f>
        <v>2</v>
      </c>
      <c r="K18" s="12">
        <f>INDEX(COMM_Beacons!$D$6:$D$66,AA18)</f>
        <v>182</v>
      </c>
      <c r="L18" s="25">
        <f>Join_Audit!R25</f>
        <v>44589.740277777782</v>
      </c>
      <c r="M18" s="12">
        <f>OMNI_Normalized!J10</f>
        <v>6.19</v>
      </c>
      <c r="N18" s="12">
        <f>OMNI_Normalized!K10</f>
        <v>-2.12</v>
      </c>
      <c r="O18" s="12">
        <f>OMNI_Normalized!L10</f>
        <v>419.5</v>
      </c>
      <c r="P18" s="12">
        <f>OMNI_Normalized!M10</f>
        <v>5.6</v>
      </c>
      <c r="Q18" s="12">
        <f>OMNI_Normalized!P10</f>
        <v>89</v>
      </c>
      <c r="R18" s="12">
        <f>OMNI_Normalized!Q10</f>
        <v>1</v>
      </c>
      <c r="S18" s="14">
        <f>Settings!$B$28</f>
        <v>100</v>
      </c>
      <c r="T18" s="14">
        <f>Settings!$B$29</f>
        <v>0.02</v>
      </c>
      <c r="U18" s="14">
        <f>Settings!$B$12</f>
        <v>300</v>
      </c>
      <c r="V18" s="14">
        <f>Settings!$B$25</f>
        <v>0.25</v>
      </c>
      <c r="W18" s="14">
        <f>Settings!$B$21</f>
        <v>4</v>
      </c>
      <c r="X18" s="14">
        <f>Settings!$B$24</f>
        <v>12</v>
      </c>
      <c r="Y18" s="12" t="str">
        <f>Join_Audit!S25</f>
        <v>ACCEPT</v>
      </c>
      <c r="Z18" s="12" t="s">
        <v>857</v>
      </c>
      <c r="AA18" s="34">
        <v>15</v>
      </c>
      <c r="AB18" s="34" t="str">
        <f>INDEX(COMM_Beacons!$E$6:$E$66,AA18)</f>
        <v>CRC32C_VERIFIED</v>
      </c>
      <c r="AC18" s="34">
        <f>INDEX(COMM_Beacons!$K$6:$K$66,$AA18)</f>
        <v>376</v>
      </c>
      <c r="AD18" s="34">
        <f>INDEX(COMM_Beacons!$L$6:$L$66,$AA18)</f>
        <v>376</v>
      </c>
      <c r="AE18" s="34">
        <f>INDEX(COMM_Beacons!$M$6:$M$66,$AA18)</f>
        <v>-83</v>
      </c>
      <c r="AF18" s="34">
        <f>INDEX(COMM_Beacons!$N$6:$N$66,$AA18)</f>
        <v>257</v>
      </c>
      <c r="AG18" s="34">
        <f>INDEX(COMM_Beacons!$O$6:$O$66,$AA18)</f>
        <v>33440</v>
      </c>
      <c r="AH18" s="34">
        <f>INDEX(COMM_Beacons!$P$6:$P$66,$AA18)</f>
        <v>11</v>
      </c>
      <c r="AI18" s="34">
        <f>INDEX(COMM_Beacons!$Q$6:$Q$66,$AA18)</f>
        <v>4388005</v>
      </c>
      <c r="AJ18" s="34">
        <f>INDEX(COMM_Beacons!$R$6:$R$66,$AA18)</f>
        <v>110</v>
      </c>
      <c r="AK18" s="34">
        <f>INDEX(COMM_Beacons!$S$6:$S$66,$AA18)</f>
        <v>2</v>
      </c>
      <c r="AL18" s="34">
        <f>INDEX(COMM_Beacons!$T$6:$T$66,$AA18)</f>
        <v>1126</v>
      </c>
      <c r="AM18" s="34">
        <f>INDEX(COMM_Beacons!$U$6:$U$66,$AA18)</f>
        <v>256</v>
      </c>
      <c r="AN18" s="34">
        <f>INDEX(COMM_Beacons!$V$6:$V$66,$AA18)</f>
        <v>1035520017</v>
      </c>
      <c r="AO18" s="34">
        <f>INDEX(COMM_Beacons!$W$6:$W$66,$AA18)</f>
        <v>-111</v>
      </c>
      <c r="AP18" s="34">
        <f>INDEX(COMM_Beacons!$X$6:$X$66,$AA18)</f>
        <v>1</v>
      </c>
      <c r="AQ18" s="34">
        <f>INDEX(COMM_Beacons!$Y$6:$Y$66,$AA18)</f>
        <v>17475756</v>
      </c>
      <c r="AR18" s="34">
        <f>INDEX(COMM_Beacons!$Z$6:$Z$66,$AA18)</f>
        <v>22035</v>
      </c>
      <c r="AS18" s="34">
        <f>INDEX(COMM_Beacons!$AA$6:$AA$66,$AA18)</f>
        <v>3048168250</v>
      </c>
      <c r="AT18" s="34">
        <f>INDEX(COMM_Beacons!$AB$6:$AB$66,$AA18)</f>
        <v>1105712</v>
      </c>
      <c r="AU18" s="36">
        <f>IF(AA18&lt;=1,"",INDEX(COMM_Counter_Deltas!$J$6:$J$65,AA18-1))</f>
        <v>9.4</v>
      </c>
      <c r="AV18" s="35">
        <f>IF(AA18&lt;=1,"",INDEX(COMM_Counter_Deltas!$B$6:$B$65,AA18-1))</f>
        <v>44589.74015046296</v>
      </c>
      <c r="AW18" s="35">
        <f>IF(AA18&lt;=1,"",INDEX(COMM_Counter_Deltas!$C$6:$C$65,AA18-1))</f>
        <v>44589.740266203713</v>
      </c>
      <c r="AX18" s="34" t="b">
        <v>1</v>
      </c>
      <c r="AY18" s="34">
        <v>2</v>
      </c>
      <c r="AZ18" s="34">
        <f>INDEX(OMNI_Normalized!$N$6:$N$18,MATCH(L18,OMNI_Normalized!$C$6:$C$18,0))</f>
        <v>44104</v>
      </c>
      <c r="BA18" s="37">
        <f>INDEX(OMNI_Normalized!$O$6:$O$18,MATCH(L18,OMNI_Normalized!$C$6:$C$18,0))</f>
        <v>1.97</v>
      </c>
      <c r="BB18" s="34">
        <f>INDEX(OMNI_Normalized!$H$6:$H$18,MATCH(L18,OMNI_Normalized!$C$6:$C$18,0))</f>
        <v>100</v>
      </c>
      <c r="BC18" s="34">
        <f>INDEX(OMNI_Normalized!$F$6:$F$18,MATCH(L18,OMNI_Normalized!$C$6:$C$18,0))</f>
        <v>51</v>
      </c>
      <c r="BD18" s="34">
        <f>INDEX(OMNI_Normalized!$G$6:$G$18,MATCH(L18,OMNI_Normalized!$C$6:$C$18,0))</f>
        <v>51</v>
      </c>
    </row>
    <row r="19" spans="1:56" ht="24" customHeight="1" x14ac:dyDescent="0.2">
      <c r="A19" s="7">
        <v>14</v>
      </c>
      <c r="B19" s="7">
        <v>21</v>
      </c>
      <c r="C19" s="25">
        <f>Join_Audit!C26</f>
        <v>44589.740347222221</v>
      </c>
      <c r="D19" s="12">
        <f>Join_Audit!E26</f>
        <v>197</v>
      </c>
      <c r="E19" s="12">
        <f>Join_Audit!F26</f>
        <v>1353</v>
      </c>
      <c r="F19" s="12">
        <f>Join_Audit!G26</f>
        <v>0</v>
      </c>
      <c r="G19" s="12" t="str">
        <f>Join_Audit!I26</f>
        <v>CADC0873</v>
      </c>
      <c r="H19" s="12">
        <f>Join_Audit!J26</f>
        <v>-4.65125E-7</v>
      </c>
      <c r="I19" s="25">
        <f>Join_Audit!L26</f>
        <v>44589.740266203713</v>
      </c>
      <c r="J19" s="12">
        <f>Join_Audit!O26</f>
        <v>7</v>
      </c>
      <c r="K19" s="12">
        <f>INDEX(COMM_Beacons!$D$6:$D$66,AA19)</f>
        <v>182</v>
      </c>
      <c r="L19" s="25">
        <f>Join_Audit!R26</f>
        <v>44589.740277777782</v>
      </c>
      <c r="M19" s="12">
        <f>OMNI_Normalized!J10</f>
        <v>6.19</v>
      </c>
      <c r="N19" s="12">
        <f>OMNI_Normalized!K10</f>
        <v>-2.12</v>
      </c>
      <c r="O19" s="12">
        <f>OMNI_Normalized!L10</f>
        <v>419.5</v>
      </c>
      <c r="P19" s="12">
        <f>OMNI_Normalized!M10</f>
        <v>5.6</v>
      </c>
      <c r="Q19" s="12">
        <f>OMNI_Normalized!P10</f>
        <v>89</v>
      </c>
      <c r="R19" s="12">
        <f>OMNI_Normalized!Q10</f>
        <v>1</v>
      </c>
      <c r="S19" s="14">
        <f>Settings!$B$28</f>
        <v>100</v>
      </c>
      <c r="T19" s="14">
        <f>Settings!$B$29</f>
        <v>0.02</v>
      </c>
      <c r="U19" s="14">
        <f>Settings!$B$12</f>
        <v>300</v>
      </c>
      <c r="V19" s="14">
        <f>Settings!$B$25</f>
        <v>0.25</v>
      </c>
      <c r="W19" s="14">
        <f>Settings!$B$21</f>
        <v>4</v>
      </c>
      <c r="X19" s="14">
        <f>Settings!$B$24</f>
        <v>12</v>
      </c>
      <c r="Y19" s="12" t="str">
        <f>Join_Audit!S26</f>
        <v>ACCEPT</v>
      </c>
      <c r="Z19" s="12" t="s">
        <v>857</v>
      </c>
      <c r="AA19" s="34">
        <v>15</v>
      </c>
      <c r="AB19" s="34" t="str">
        <f>INDEX(COMM_Beacons!$E$6:$E$66,AA19)</f>
        <v>CRC32C_VERIFIED</v>
      </c>
      <c r="AC19" s="34">
        <f>INDEX(COMM_Beacons!$K$6:$K$66,$AA19)</f>
        <v>376</v>
      </c>
      <c r="AD19" s="34">
        <f>INDEX(COMM_Beacons!$L$6:$L$66,$AA19)</f>
        <v>376</v>
      </c>
      <c r="AE19" s="34">
        <f>INDEX(COMM_Beacons!$M$6:$M$66,$AA19)</f>
        <v>-83</v>
      </c>
      <c r="AF19" s="34">
        <f>INDEX(COMM_Beacons!$N$6:$N$66,$AA19)</f>
        <v>257</v>
      </c>
      <c r="AG19" s="34">
        <f>INDEX(COMM_Beacons!$O$6:$O$66,$AA19)</f>
        <v>33440</v>
      </c>
      <c r="AH19" s="34">
        <f>INDEX(COMM_Beacons!$P$6:$P$66,$AA19)</f>
        <v>11</v>
      </c>
      <c r="AI19" s="34">
        <f>INDEX(COMM_Beacons!$Q$6:$Q$66,$AA19)</f>
        <v>4388005</v>
      </c>
      <c r="AJ19" s="34">
        <f>INDEX(COMM_Beacons!$R$6:$R$66,$AA19)</f>
        <v>110</v>
      </c>
      <c r="AK19" s="34">
        <f>INDEX(COMM_Beacons!$S$6:$S$66,$AA19)</f>
        <v>2</v>
      </c>
      <c r="AL19" s="34">
        <f>INDEX(COMM_Beacons!$T$6:$T$66,$AA19)</f>
        <v>1126</v>
      </c>
      <c r="AM19" s="34">
        <f>INDEX(COMM_Beacons!$U$6:$U$66,$AA19)</f>
        <v>256</v>
      </c>
      <c r="AN19" s="34">
        <f>INDEX(COMM_Beacons!$V$6:$V$66,$AA19)</f>
        <v>1035520017</v>
      </c>
      <c r="AO19" s="34">
        <f>INDEX(COMM_Beacons!$W$6:$W$66,$AA19)</f>
        <v>-111</v>
      </c>
      <c r="AP19" s="34">
        <f>INDEX(COMM_Beacons!$X$6:$X$66,$AA19)</f>
        <v>1</v>
      </c>
      <c r="AQ19" s="34">
        <f>INDEX(COMM_Beacons!$Y$6:$Y$66,$AA19)</f>
        <v>17475756</v>
      </c>
      <c r="AR19" s="34">
        <f>INDEX(COMM_Beacons!$Z$6:$Z$66,$AA19)</f>
        <v>22035</v>
      </c>
      <c r="AS19" s="34">
        <f>INDEX(COMM_Beacons!$AA$6:$AA$66,$AA19)</f>
        <v>3048168250</v>
      </c>
      <c r="AT19" s="34">
        <f>INDEX(COMM_Beacons!$AB$6:$AB$66,$AA19)</f>
        <v>1105712</v>
      </c>
      <c r="AU19" s="36">
        <f>IF(AA19&lt;=1,"",INDEX(COMM_Counter_Deltas!$J$6:$J$65,AA19-1))</f>
        <v>9.4</v>
      </c>
      <c r="AV19" s="35">
        <f>IF(AA19&lt;=1,"",INDEX(COMM_Counter_Deltas!$B$6:$B$65,AA19-1))</f>
        <v>44589.74015046296</v>
      </c>
      <c r="AW19" s="35">
        <f>IF(AA19&lt;=1,"",INDEX(COMM_Counter_Deltas!$C$6:$C$65,AA19-1))</f>
        <v>44589.740266203713</v>
      </c>
      <c r="AX19" s="34" t="b">
        <v>1</v>
      </c>
      <c r="AY19" s="34">
        <v>7</v>
      </c>
      <c r="AZ19" s="34">
        <f>INDEX(OMNI_Normalized!$N$6:$N$18,MATCH(L19,OMNI_Normalized!$C$6:$C$18,0))</f>
        <v>44104</v>
      </c>
      <c r="BA19" s="37">
        <f>INDEX(OMNI_Normalized!$O$6:$O$18,MATCH(L19,OMNI_Normalized!$C$6:$C$18,0))</f>
        <v>1.97</v>
      </c>
      <c r="BB19" s="34">
        <f>INDEX(OMNI_Normalized!$H$6:$H$18,MATCH(L19,OMNI_Normalized!$C$6:$C$18,0))</f>
        <v>100</v>
      </c>
      <c r="BC19" s="34">
        <f>INDEX(OMNI_Normalized!$F$6:$F$18,MATCH(L19,OMNI_Normalized!$C$6:$C$18,0))</f>
        <v>51</v>
      </c>
      <c r="BD19" s="34">
        <f>INDEX(OMNI_Normalized!$G$6:$G$18,MATCH(L19,OMNI_Normalized!$C$6:$C$18,0))</f>
        <v>51</v>
      </c>
    </row>
    <row r="20" spans="1:56" ht="24" customHeight="1" x14ac:dyDescent="0.2">
      <c r="A20" s="7">
        <v>15</v>
      </c>
      <c r="B20" s="7">
        <v>22</v>
      </c>
      <c r="C20" s="25">
        <f>Join_Audit!C27</f>
        <v>44589.740405092591</v>
      </c>
      <c r="D20" s="12">
        <f>Join_Audit!E27</f>
        <v>202</v>
      </c>
      <c r="E20" s="12">
        <f>Join_Audit!F27</f>
        <v>1353</v>
      </c>
      <c r="F20" s="12">
        <f>Join_Audit!G27</f>
        <v>0</v>
      </c>
      <c r="G20" s="12" t="str">
        <f>Join_Audit!I27</f>
        <v>CADC0873</v>
      </c>
      <c r="H20" s="12">
        <f>Join_Audit!J27</f>
        <v>9.7219299999999996E-6</v>
      </c>
      <c r="I20" s="25">
        <f>Join_Audit!L27</f>
        <v>44589.740381944437</v>
      </c>
      <c r="J20" s="12">
        <f>Join_Audit!O27</f>
        <v>2</v>
      </c>
      <c r="K20" s="12">
        <f>INDEX(COMM_Beacons!$D$6:$D$66,AA20)</f>
        <v>178</v>
      </c>
      <c r="L20" s="25">
        <f>Join_Audit!R27</f>
        <v>44589.740277777782</v>
      </c>
      <c r="M20" s="12">
        <f>OMNI_Normalized!J10</f>
        <v>6.19</v>
      </c>
      <c r="N20" s="12">
        <f>OMNI_Normalized!K10</f>
        <v>-2.12</v>
      </c>
      <c r="O20" s="12">
        <f>OMNI_Normalized!L10</f>
        <v>419.5</v>
      </c>
      <c r="P20" s="12">
        <f>OMNI_Normalized!M10</f>
        <v>5.6</v>
      </c>
      <c r="Q20" s="12">
        <f>OMNI_Normalized!P10</f>
        <v>89</v>
      </c>
      <c r="R20" s="12">
        <f>OMNI_Normalized!Q10</f>
        <v>1</v>
      </c>
      <c r="S20" s="14">
        <f>Settings!$B$28</f>
        <v>100</v>
      </c>
      <c r="T20" s="14">
        <f>Settings!$B$29</f>
        <v>0.02</v>
      </c>
      <c r="U20" s="14">
        <f>Settings!$B$12</f>
        <v>300</v>
      </c>
      <c r="V20" s="14">
        <f>Settings!$B$25</f>
        <v>0.25</v>
      </c>
      <c r="W20" s="14">
        <f>Settings!$B$21</f>
        <v>4</v>
      </c>
      <c r="X20" s="14">
        <f>Settings!$B$24</f>
        <v>12</v>
      </c>
      <c r="Y20" s="12" t="str">
        <f>Join_Audit!S27</f>
        <v>ACCEPT</v>
      </c>
      <c r="Z20" s="12" t="s">
        <v>857</v>
      </c>
      <c r="AA20" s="34">
        <v>16</v>
      </c>
      <c r="AB20" s="34" t="str">
        <f>INDEX(COMM_Beacons!$E$6:$E$66,AA20)</f>
        <v>CRC32C_VERIFIED</v>
      </c>
      <c r="AC20" s="34">
        <f>INDEX(COMM_Beacons!$K$6:$K$66,$AA20)</f>
        <v>376</v>
      </c>
      <c r="AD20" s="34">
        <f>INDEX(COMM_Beacons!$L$6:$L$66,$AA20)</f>
        <v>376</v>
      </c>
      <c r="AE20" s="34">
        <f>INDEX(COMM_Beacons!$M$6:$M$66,$AA20)</f>
        <v>-83</v>
      </c>
      <c r="AF20" s="34">
        <f>INDEX(COMM_Beacons!$N$6:$N$66,$AA20)</f>
        <v>257</v>
      </c>
      <c r="AG20" s="34">
        <f>INDEX(COMM_Beacons!$O$6:$O$66,$AA20)</f>
        <v>33441</v>
      </c>
      <c r="AH20" s="34">
        <f>INDEX(COMM_Beacons!$P$6:$P$66,$AA20)</f>
        <v>11</v>
      </c>
      <c r="AI20" s="34">
        <f>INDEX(COMM_Beacons!$Q$6:$Q$66,$AA20)</f>
        <v>4388099</v>
      </c>
      <c r="AJ20" s="34">
        <f>INDEX(COMM_Beacons!$R$6:$R$66,$AA20)</f>
        <v>110</v>
      </c>
      <c r="AK20" s="34">
        <f>INDEX(COMM_Beacons!$S$6:$S$66,$AA20)</f>
        <v>2</v>
      </c>
      <c r="AL20" s="34">
        <f>INDEX(COMM_Beacons!$T$6:$T$66,$AA20)</f>
        <v>1126</v>
      </c>
      <c r="AM20" s="34">
        <f>INDEX(COMM_Beacons!$U$6:$U$66,$AA20)</f>
        <v>256</v>
      </c>
      <c r="AN20" s="34">
        <f>INDEX(COMM_Beacons!$V$6:$V$66,$AA20)</f>
        <v>1035520017</v>
      </c>
      <c r="AO20" s="34">
        <f>INDEX(COMM_Beacons!$W$6:$W$66,$AA20)</f>
        <v>-108</v>
      </c>
      <c r="AP20" s="34">
        <f>INDEX(COMM_Beacons!$X$6:$X$66,$AA20)</f>
        <v>1</v>
      </c>
      <c r="AQ20" s="34">
        <f>INDEX(COMM_Beacons!$Y$6:$Y$66,$AA20)</f>
        <v>17475757</v>
      </c>
      <c r="AR20" s="34">
        <f>INDEX(COMM_Beacons!$Z$6:$Z$66,$AA20)</f>
        <v>22035</v>
      </c>
      <c r="AS20" s="34">
        <f>INDEX(COMM_Beacons!$AA$6:$AA$66,$AA20)</f>
        <v>3048168344</v>
      </c>
      <c r="AT20" s="34">
        <f>INDEX(COMM_Beacons!$AB$6:$AB$66,$AA20)</f>
        <v>1105712</v>
      </c>
      <c r="AU20" s="36">
        <f>IF(AA20&lt;=1,"",INDEX(COMM_Counter_Deltas!$J$6:$J$65,AA20-1))</f>
        <v>9.4</v>
      </c>
      <c r="AV20" s="35">
        <f>IF(AA20&lt;=1,"",INDEX(COMM_Counter_Deltas!$B$6:$B$65,AA20-1))</f>
        <v>44589.740266203713</v>
      </c>
      <c r="AW20" s="35">
        <f>IF(AA20&lt;=1,"",INDEX(COMM_Counter_Deltas!$C$6:$C$65,AA20-1))</f>
        <v>44589.740381944437</v>
      </c>
      <c r="AX20" s="34" t="b">
        <v>1</v>
      </c>
      <c r="AY20" s="34">
        <v>2</v>
      </c>
      <c r="AZ20" s="34">
        <f>INDEX(OMNI_Normalized!$N$6:$N$18,MATCH(L20,OMNI_Normalized!$C$6:$C$18,0))</f>
        <v>44104</v>
      </c>
      <c r="BA20" s="37">
        <f>INDEX(OMNI_Normalized!$O$6:$O$18,MATCH(L20,OMNI_Normalized!$C$6:$C$18,0))</f>
        <v>1.97</v>
      </c>
      <c r="BB20" s="34">
        <f>INDEX(OMNI_Normalized!$H$6:$H$18,MATCH(L20,OMNI_Normalized!$C$6:$C$18,0))</f>
        <v>100</v>
      </c>
      <c r="BC20" s="34">
        <f>INDEX(OMNI_Normalized!$F$6:$F$18,MATCH(L20,OMNI_Normalized!$C$6:$C$18,0))</f>
        <v>51</v>
      </c>
      <c r="BD20" s="34">
        <f>INDEX(OMNI_Normalized!$G$6:$G$18,MATCH(L20,OMNI_Normalized!$C$6:$C$18,0))</f>
        <v>51</v>
      </c>
    </row>
    <row r="21" spans="1:56" ht="24" customHeight="1" x14ac:dyDescent="0.2">
      <c r="A21" s="7">
        <v>16</v>
      </c>
      <c r="B21" s="7">
        <v>23</v>
      </c>
      <c r="C21" s="25">
        <f>Join_Audit!C28</f>
        <v>44589.74046296296</v>
      </c>
      <c r="D21" s="12">
        <f>Join_Audit!E28</f>
        <v>207</v>
      </c>
      <c r="E21" s="12">
        <f>Join_Audit!F28</f>
        <v>1353</v>
      </c>
      <c r="F21" s="12">
        <f>Join_Audit!G28</f>
        <v>0</v>
      </c>
      <c r="G21" s="12" t="str">
        <f>Join_Audit!I28</f>
        <v>CADC0873</v>
      </c>
      <c r="H21" s="12">
        <f>Join_Audit!J28</f>
        <v>1.72395E-5</v>
      </c>
      <c r="I21" s="25">
        <f>Join_Audit!L28</f>
        <v>44589.740381944437</v>
      </c>
      <c r="J21" s="12">
        <f>Join_Audit!O28</f>
        <v>7</v>
      </c>
      <c r="K21" s="12">
        <f>INDEX(COMM_Beacons!$D$6:$D$66,AA21)</f>
        <v>178</v>
      </c>
      <c r="L21" s="25">
        <f>Join_Audit!R28</f>
        <v>44589.740277777782</v>
      </c>
      <c r="M21" s="12">
        <f>OMNI_Normalized!J10</f>
        <v>6.19</v>
      </c>
      <c r="N21" s="12">
        <f>OMNI_Normalized!K10</f>
        <v>-2.12</v>
      </c>
      <c r="O21" s="12">
        <f>OMNI_Normalized!L10</f>
        <v>419.5</v>
      </c>
      <c r="P21" s="12">
        <f>OMNI_Normalized!M10</f>
        <v>5.6</v>
      </c>
      <c r="Q21" s="12">
        <f>OMNI_Normalized!P10</f>
        <v>89</v>
      </c>
      <c r="R21" s="12">
        <f>OMNI_Normalized!Q10</f>
        <v>1</v>
      </c>
      <c r="S21" s="14">
        <f>Settings!$B$28</f>
        <v>100</v>
      </c>
      <c r="T21" s="14">
        <f>Settings!$B$29</f>
        <v>0.02</v>
      </c>
      <c r="U21" s="14">
        <f>Settings!$B$12</f>
        <v>300</v>
      </c>
      <c r="V21" s="14">
        <f>Settings!$B$25</f>
        <v>0.25</v>
      </c>
      <c r="W21" s="14">
        <f>Settings!$B$21</f>
        <v>4</v>
      </c>
      <c r="X21" s="14">
        <f>Settings!$B$24</f>
        <v>12</v>
      </c>
      <c r="Y21" s="12" t="str">
        <f>Join_Audit!S28</f>
        <v>ACCEPT</v>
      </c>
      <c r="Z21" s="12" t="s">
        <v>857</v>
      </c>
      <c r="AA21" s="34">
        <v>16</v>
      </c>
      <c r="AB21" s="34" t="str">
        <f>INDEX(COMM_Beacons!$E$6:$E$66,AA21)</f>
        <v>CRC32C_VERIFIED</v>
      </c>
      <c r="AC21" s="34">
        <f>INDEX(COMM_Beacons!$K$6:$K$66,$AA21)</f>
        <v>376</v>
      </c>
      <c r="AD21" s="34">
        <f>INDEX(COMM_Beacons!$L$6:$L$66,$AA21)</f>
        <v>376</v>
      </c>
      <c r="AE21" s="34">
        <f>INDEX(COMM_Beacons!$M$6:$M$66,$AA21)</f>
        <v>-83</v>
      </c>
      <c r="AF21" s="34">
        <f>INDEX(COMM_Beacons!$N$6:$N$66,$AA21)</f>
        <v>257</v>
      </c>
      <c r="AG21" s="34">
        <f>INDEX(COMM_Beacons!$O$6:$O$66,$AA21)</f>
        <v>33441</v>
      </c>
      <c r="AH21" s="34">
        <f>INDEX(COMM_Beacons!$P$6:$P$66,$AA21)</f>
        <v>11</v>
      </c>
      <c r="AI21" s="34">
        <f>INDEX(COMM_Beacons!$Q$6:$Q$66,$AA21)</f>
        <v>4388099</v>
      </c>
      <c r="AJ21" s="34">
        <f>INDEX(COMM_Beacons!$R$6:$R$66,$AA21)</f>
        <v>110</v>
      </c>
      <c r="AK21" s="34">
        <f>INDEX(COMM_Beacons!$S$6:$S$66,$AA21)</f>
        <v>2</v>
      </c>
      <c r="AL21" s="34">
        <f>INDEX(COMM_Beacons!$T$6:$T$66,$AA21)</f>
        <v>1126</v>
      </c>
      <c r="AM21" s="34">
        <f>INDEX(COMM_Beacons!$U$6:$U$66,$AA21)</f>
        <v>256</v>
      </c>
      <c r="AN21" s="34">
        <f>INDEX(COMM_Beacons!$V$6:$V$66,$AA21)</f>
        <v>1035520017</v>
      </c>
      <c r="AO21" s="34">
        <f>INDEX(COMM_Beacons!$W$6:$W$66,$AA21)</f>
        <v>-108</v>
      </c>
      <c r="AP21" s="34">
        <f>INDEX(COMM_Beacons!$X$6:$X$66,$AA21)</f>
        <v>1</v>
      </c>
      <c r="AQ21" s="34">
        <f>INDEX(COMM_Beacons!$Y$6:$Y$66,$AA21)</f>
        <v>17475757</v>
      </c>
      <c r="AR21" s="34">
        <f>INDEX(COMM_Beacons!$Z$6:$Z$66,$AA21)</f>
        <v>22035</v>
      </c>
      <c r="AS21" s="34">
        <f>INDEX(COMM_Beacons!$AA$6:$AA$66,$AA21)</f>
        <v>3048168344</v>
      </c>
      <c r="AT21" s="34">
        <f>INDEX(COMM_Beacons!$AB$6:$AB$66,$AA21)</f>
        <v>1105712</v>
      </c>
      <c r="AU21" s="36">
        <f>IF(AA21&lt;=1,"",INDEX(COMM_Counter_Deltas!$J$6:$J$65,AA21-1))</f>
        <v>9.4</v>
      </c>
      <c r="AV21" s="35">
        <f>IF(AA21&lt;=1,"",INDEX(COMM_Counter_Deltas!$B$6:$B$65,AA21-1))</f>
        <v>44589.740266203713</v>
      </c>
      <c r="AW21" s="35">
        <f>IF(AA21&lt;=1,"",INDEX(COMM_Counter_Deltas!$C$6:$C$65,AA21-1))</f>
        <v>44589.740381944437</v>
      </c>
      <c r="AX21" s="34" t="b">
        <v>1</v>
      </c>
      <c r="AY21" s="34">
        <v>7</v>
      </c>
      <c r="AZ21" s="34">
        <f>INDEX(OMNI_Normalized!$N$6:$N$18,MATCH(L21,OMNI_Normalized!$C$6:$C$18,0))</f>
        <v>44104</v>
      </c>
      <c r="BA21" s="37">
        <f>INDEX(OMNI_Normalized!$O$6:$O$18,MATCH(L21,OMNI_Normalized!$C$6:$C$18,0))</f>
        <v>1.97</v>
      </c>
      <c r="BB21" s="34">
        <f>INDEX(OMNI_Normalized!$H$6:$H$18,MATCH(L21,OMNI_Normalized!$C$6:$C$18,0))</f>
        <v>100</v>
      </c>
      <c r="BC21" s="34">
        <f>INDEX(OMNI_Normalized!$F$6:$F$18,MATCH(L21,OMNI_Normalized!$C$6:$C$18,0))</f>
        <v>51</v>
      </c>
      <c r="BD21" s="34">
        <f>INDEX(OMNI_Normalized!$G$6:$G$18,MATCH(L21,OMNI_Normalized!$C$6:$C$18,0))</f>
        <v>51</v>
      </c>
    </row>
    <row r="22" spans="1:56" ht="24" customHeight="1" x14ac:dyDescent="0.2">
      <c r="A22" s="7">
        <v>17</v>
      </c>
      <c r="B22" s="7">
        <v>24</v>
      </c>
      <c r="C22" s="25">
        <f>Join_Audit!C29</f>
        <v>44589.740520833337</v>
      </c>
      <c r="D22" s="12">
        <f>Join_Audit!E29</f>
        <v>212</v>
      </c>
      <c r="E22" s="12">
        <f>Join_Audit!F29</f>
        <v>1353</v>
      </c>
      <c r="F22" s="12">
        <f>Join_Audit!G29</f>
        <v>0</v>
      </c>
      <c r="G22" s="12" t="str">
        <f>Join_Audit!I29</f>
        <v>CADC0873</v>
      </c>
      <c r="H22" s="12">
        <f>Join_Audit!J29</f>
        <v>2.3348200000000001E-5</v>
      </c>
      <c r="I22" s="25">
        <f>Join_Audit!L29</f>
        <v>44589.740497685183</v>
      </c>
      <c r="J22" s="12">
        <f>Join_Audit!O29</f>
        <v>2</v>
      </c>
      <c r="K22" s="12">
        <f>INDEX(COMM_Beacons!$D$6:$D$66,AA22)</f>
        <v>175</v>
      </c>
      <c r="L22" s="25">
        <f>Join_Audit!R29</f>
        <v>44589.740277777782</v>
      </c>
      <c r="M22" s="12">
        <f>OMNI_Normalized!J10</f>
        <v>6.19</v>
      </c>
      <c r="N22" s="12">
        <f>OMNI_Normalized!K10</f>
        <v>-2.12</v>
      </c>
      <c r="O22" s="12">
        <f>OMNI_Normalized!L10</f>
        <v>419.5</v>
      </c>
      <c r="P22" s="12">
        <f>OMNI_Normalized!M10</f>
        <v>5.6</v>
      </c>
      <c r="Q22" s="12">
        <f>OMNI_Normalized!P10</f>
        <v>89</v>
      </c>
      <c r="R22" s="12">
        <f>OMNI_Normalized!Q10</f>
        <v>1</v>
      </c>
      <c r="S22" s="14">
        <f>Settings!$B$28</f>
        <v>100</v>
      </c>
      <c r="T22" s="14">
        <f>Settings!$B$29</f>
        <v>0.02</v>
      </c>
      <c r="U22" s="14">
        <f>Settings!$B$12</f>
        <v>300</v>
      </c>
      <c r="V22" s="14">
        <f>Settings!$B$25</f>
        <v>0.25</v>
      </c>
      <c r="W22" s="14">
        <f>Settings!$B$21</f>
        <v>4</v>
      </c>
      <c r="X22" s="14">
        <f>Settings!$B$24</f>
        <v>12</v>
      </c>
      <c r="Y22" s="12" t="str">
        <f>Join_Audit!S29</f>
        <v>ACCEPT</v>
      </c>
      <c r="Z22" s="12" t="s">
        <v>857</v>
      </c>
      <c r="AA22" s="34">
        <v>17</v>
      </c>
      <c r="AB22" s="34" t="str">
        <f>INDEX(COMM_Beacons!$E$6:$E$66,AA22)</f>
        <v>CRC32C_VERIFIED</v>
      </c>
      <c r="AC22" s="34">
        <f>INDEX(COMM_Beacons!$K$6:$K$66,$AA22)</f>
        <v>375</v>
      </c>
      <c r="AD22" s="34">
        <f>INDEX(COMM_Beacons!$L$6:$L$66,$AA22)</f>
        <v>375</v>
      </c>
      <c r="AE22" s="34">
        <f>INDEX(COMM_Beacons!$M$6:$M$66,$AA22)</f>
        <v>-83</v>
      </c>
      <c r="AF22" s="34">
        <f>INDEX(COMM_Beacons!$N$6:$N$66,$AA22)</f>
        <v>257</v>
      </c>
      <c r="AG22" s="34">
        <f>INDEX(COMM_Beacons!$O$6:$O$66,$AA22)</f>
        <v>33442</v>
      </c>
      <c r="AH22" s="34">
        <f>INDEX(COMM_Beacons!$P$6:$P$66,$AA22)</f>
        <v>11</v>
      </c>
      <c r="AI22" s="34">
        <f>INDEX(COMM_Beacons!$Q$6:$Q$66,$AA22)</f>
        <v>4388193</v>
      </c>
      <c r="AJ22" s="34">
        <f>INDEX(COMM_Beacons!$R$6:$R$66,$AA22)</f>
        <v>110</v>
      </c>
      <c r="AK22" s="34">
        <f>INDEX(COMM_Beacons!$S$6:$S$66,$AA22)</f>
        <v>2</v>
      </c>
      <c r="AL22" s="34">
        <f>INDEX(COMM_Beacons!$T$6:$T$66,$AA22)</f>
        <v>1126</v>
      </c>
      <c r="AM22" s="34">
        <f>INDEX(COMM_Beacons!$U$6:$U$66,$AA22)</f>
        <v>256</v>
      </c>
      <c r="AN22" s="34">
        <f>INDEX(COMM_Beacons!$V$6:$V$66,$AA22)</f>
        <v>1035520017</v>
      </c>
      <c r="AO22" s="34">
        <f>INDEX(COMM_Beacons!$W$6:$W$66,$AA22)</f>
        <v>-107</v>
      </c>
      <c r="AP22" s="34">
        <f>INDEX(COMM_Beacons!$X$6:$X$66,$AA22)</f>
        <v>1</v>
      </c>
      <c r="AQ22" s="34">
        <f>INDEX(COMM_Beacons!$Y$6:$Y$66,$AA22)</f>
        <v>17475758</v>
      </c>
      <c r="AR22" s="34">
        <f>INDEX(COMM_Beacons!$Z$6:$Z$66,$AA22)</f>
        <v>22035</v>
      </c>
      <c r="AS22" s="34">
        <f>INDEX(COMM_Beacons!$AA$6:$AA$66,$AA22)</f>
        <v>3048168438</v>
      </c>
      <c r="AT22" s="34">
        <f>INDEX(COMM_Beacons!$AB$6:$AB$66,$AA22)</f>
        <v>1105712</v>
      </c>
      <c r="AU22" s="36">
        <f>IF(AA22&lt;=1,"",INDEX(COMM_Counter_Deltas!$J$6:$J$65,AA22-1))</f>
        <v>9.4</v>
      </c>
      <c r="AV22" s="35">
        <f>IF(AA22&lt;=1,"",INDEX(COMM_Counter_Deltas!$B$6:$B$65,AA22-1))</f>
        <v>44589.740381944437</v>
      </c>
      <c r="AW22" s="35">
        <f>IF(AA22&lt;=1,"",INDEX(COMM_Counter_Deltas!$C$6:$C$65,AA22-1))</f>
        <v>44589.740497685183</v>
      </c>
      <c r="AX22" s="34" t="b">
        <v>1</v>
      </c>
      <c r="AY22" s="34">
        <v>2</v>
      </c>
      <c r="AZ22" s="34">
        <f>INDEX(OMNI_Normalized!$N$6:$N$18,MATCH(L22,OMNI_Normalized!$C$6:$C$18,0))</f>
        <v>44104</v>
      </c>
      <c r="BA22" s="37">
        <f>INDEX(OMNI_Normalized!$O$6:$O$18,MATCH(L22,OMNI_Normalized!$C$6:$C$18,0))</f>
        <v>1.97</v>
      </c>
      <c r="BB22" s="34">
        <f>INDEX(OMNI_Normalized!$H$6:$H$18,MATCH(L22,OMNI_Normalized!$C$6:$C$18,0))</f>
        <v>100</v>
      </c>
      <c r="BC22" s="34">
        <f>INDEX(OMNI_Normalized!$F$6:$F$18,MATCH(L22,OMNI_Normalized!$C$6:$C$18,0))</f>
        <v>51</v>
      </c>
      <c r="BD22" s="34">
        <f>INDEX(OMNI_Normalized!$G$6:$G$18,MATCH(L22,OMNI_Normalized!$C$6:$C$18,0))</f>
        <v>51</v>
      </c>
    </row>
    <row r="23" spans="1:56" ht="24" customHeight="1" x14ac:dyDescent="0.2">
      <c r="A23" s="7">
        <v>18</v>
      </c>
      <c r="B23" s="7">
        <v>25</v>
      </c>
      <c r="C23" s="25">
        <f>Join_Audit!C30</f>
        <v>44589.740578703713</v>
      </c>
      <c r="D23" s="12">
        <f>Join_Audit!E30</f>
        <v>217</v>
      </c>
      <c r="E23" s="12">
        <f>Join_Audit!F30</f>
        <v>1353</v>
      </c>
      <c r="F23" s="12">
        <f>Join_Audit!G30</f>
        <v>0</v>
      </c>
      <c r="G23" s="12" t="str">
        <f>Join_Audit!I30</f>
        <v>CADC0873</v>
      </c>
      <c r="H23" s="12">
        <f>Join_Audit!J30</f>
        <v>3.1821900000000001E-5</v>
      </c>
      <c r="I23" s="25">
        <f>Join_Audit!L30</f>
        <v>44589.740497685183</v>
      </c>
      <c r="J23" s="12">
        <f>Join_Audit!O30</f>
        <v>7</v>
      </c>
      <c r="K23" s="12">
        <f>INDEX(COMM_Beacons!$D$6:$D$66,AA23)</f>
        <v>175</v>
      </c>
      <c r="L23" s="25">
        <f>Join_Audit!R30</f>
        <v>44589.740277777782</v>
      </c>
      <c r="M23" s="12">
        <f>OMNI_Normalized!J10</f>
        <v>6.19</v>
      </c>
      <c r="N23" s="12">
        <f>OMNI_Normalized!K10</f>
        <v>-2.12</v>
      </c>
      <c r="O23" s="12">
        <f>OMNI_Normalized!L10</f>
        <v>419.5</v>
      </c>
      <c r="P23" s="12">
        <f>OMNI_Normalized!M10</f>
        <v>5.6</v>
      </c>
      <c r="Q23" s="12">
        <f>OMNI_Normalized!P10</f>
        <v>89</v>
      </c>
      <c r="R23" s="12">
        <f>OMNI_Normalized!Q10</f>
        <v>1</v>
      </c>
      <c r="S23" s="14">
        <f>Settings!$B$28</f>
        <v>100</v>
      </c>
      <c r="T23" s="14">
        <f>Settings!$B$29</f>
        <v>0.02</v>
      </c>
      <c r="U23" s="14">
        <f>Settings!$B$12</f>
        <v>300</v>
      </c>
      <c r="V23" s="14">
        <f>Settings!$B$25</f>
        <v>0.25</v>
      </c>
      <c r="W23" s="14">
        <f>Settings!$B$21</f>
        <v>4</v>
      </c>
      <c r="X23" s="14">
        <f>Settings!$B$24</f>
        <v>12</v>
      </c>
      <c r="Y23" s="12" t="str">
        <f>Join_Audit!S30</f>
        <v>ACCEPT</v>
      </c>
      <c r="Z23" s="12" t="s">
        <v>857</v>
      </c>
      <c r="AA23" s="34">
        <v>17</v>
      </c>
      <c r="AB23" s="34" t="str">
        <f>INDEX(COMM_Beacons!$E$6:$E$66,AA23)</f>
        <v>CRC32C_VERIFIED</v>
      </c>
      <c r="AC23" s="34">
        <f>INDEX(COMM_Beacons!$K$6:$K$66,$AA23)</f>
        <v>375</v>
      </c>
      <c r="AD23" s="34">
        <f>INDEX(COMM_Beacons!$L$6:$L$66,$AA23)</f>
        <v>375</v>
      </c>
      <c r="AE23" s="34">
        <f>INDEX(COMM_Beacons!$M$6:$M$66,$AA23)</f>
        <v>-83</v>
      </c>
      <c r="AF23" s="34">
        <f>INDEX(COMM_Beacons!$N$6:$N$66,$AA23)</f>
        <v>257</v>
      </c>
      <c r="AG23" s="34">
        <f>INDEX(COMM_Beacons!$O$6:$O$66,$AA23)</f>
        <v>33442</v>
      </c>
      <c r="AH23" s="34">
        <f>INDEX(COMM_Beacons!$P$6:$P$66,$AA23)</f>
        <v>11</v>
      </c>
      <c r="AI23" s="34">
        <f>INDEX(COMM_Beacons!$Q$6:$Q$66,$AA23)</f>
        <v>4388193</v>
      </c>
      <c r="AJ23" s="34">
        <f>INDEX(COMM_Beacons!$R$6:$R$66,$AA23)</f>
        <v>110</v>
      </c>
      <c r="AK23" s="34">
        <f>INDEX(COMM_Beacons!$S$6:$S$66,$AA23)</f>
        <v>2</v>
      </c>
      <c r="AL23" s="34">
        <f>INDEX(COMM_Beacons!$T$6:$T$66,$AA23)</f>
        <v>1126</v>
      </c>
      <c r="AM23" s="34">
        <f>INDEX(COMM_Beacons!$U$6:$U$66,$AA23)</f>
        <v>256</v>
      </c>
      <c r="AN23" s="34">
        <f>INDEX(COMM_Beacons!$V$6:$V$66,$AA23)</f>
        <v>1035520017</v>
      </c>
      <c r="AO23" s="34">
        <f>INDEX(COMM_Beacons!$W$6:$W$66,$AA23)</f>
        <v>-107</v>
      </c>
      <c r="AP23" s="34">
        <f>INDEX(COMM_Beacons!$X$6:$X$66,$AA23)</f>
        <v>1</v>
      </c>
      <c r="AQ23" s="34">
        <f>INDEX(COMM_Beacons!$Y$6:$Y$66,$AA23)</f>
        <v>17475758</v>
      </c>
      <c r="AR23" s="34">
        <f>INDEX(COMM_Beacons!$Z$6:$Z$66,$AA23)</f>
        <v>22035</v>
      </c>
      <c r="AS23" s="34">
        <f>INDEX(COMM_Beacons!$AA$6:$AA$66,$AA23)</f>
        <v>3048168438</v>
      </c>
      <c r="AT23" s="34">
        <f>INDEX(COMM_Beacons!$AB$6:$AB$66,$AA23)</f>
        <v>1105712</v>
      </c>
      <c r="AU23" s="36">
        <f>IF(AA23&lt;=1,"",INDEX(COMM_Counter_Deltas!$J$6:$J$65,AA23-1))</f>
        <v>9.4</v>
      </c>
      <c r="AV23" s="35">
        <f>IF(AA23&lt;=1,"",INDEX(COMM_Counter_Deltas!$B$6:$B$65,AA23-1))</f>
        <v>44589.740381944437</v>
      </c>
      <c r="AW23" s="35">
        <f>IF(AA23&lt;=1,"",INDEX(COMM_Counter_Deltas!$C$6:$C$65,AA23-1))</f>
        <v>44589.740497685183</v>
      </c>
      <c r="AX23" s="34" t="b">
        <v>1</v>
      </c>
      <c r="AY23" s="34">
        <v>7</v>
      </c>
      <c r="AZ23" s="34">
        <f>INDEX(OMNI_Normalized!$N$6:$N$18,MATCH(L23,OMNI_Normalized!$C$6:$C$18,0))</f>
        <v>44104</v>
      </c>
      <c r="BA23" s="37">
        <f>INDEX(OMNI_Normalized!$O$6:$O$18,MATCH(L23,OMNI_Normalized!$C$6:$C$18,0))</f>
        <v>1.97</v>
      </c>
      <c r="BB23" s="34">
        <f>INDEX(OMNI_Normalized!$H$6:$H$18,MATCH(L23,OMNI_Normalized!$C$6:$C$18,0))</f>
        <v>100</v>
      </c>
      <c r="BC23" s="34">
        <f>INDEX(OMNI_Normalized!$F$6:$F$18,MATCH(L23,OMNI_Normalized!$C$6:$C$18,0))</f>
        <v>51</v>
      </c>
      <c r="BD23" s="34">
        <f>INDEX(OMNI_Normalized!$G$6:$G$18,MATCH(L23,OMNI_Normalized!$C$6:$C$18,0))</f>
        <v>51</v>
      </c>
    </row>
    <row r="24" spans="1:56" ht="24" customHeight="1" x14ac:dyDescent="0.2">
      <c r="A24" s="7">
        <v>19</v>
      </c>
      <c r="B24" s="7">
        <v>26</v>
      </c>
      <c r="C24" s="25">
        <f>Join_Audit!C31</f>
        <v>44589.740636574083</v>
      </c>
      <c r="D24" s="12">
        <f>Join_Audit!E31</f>
        <v>222</v>
      </c>
      <c r="E24" s="12">
        <f>Join_Audit!F31</f>
        <v>1353</v>
      </c>
      <c r="F24" s="12">
        <f>Join_Audit!G31</f>
        <v>0</v>
      </c>
      <c r="G24" s="12" t="str">
        <f>Join_Audit!I31</f>
        <v>CADC0873</v>
      </c>
      <c r="H24" s="12">
        <f>Join_Audit!J31</f>
        <v>3.6832400000000003E-5</v>
      </c>
      <c r="I24" s="25">
        <f>Join_Audit!L31</f>
        <v>44589.740613425929</v>
      </c>
      <c r="J24" s="12">
        <f>Join_Audit!O31</f>
        <v>2</v>
      </c>
      <c r="K24" s="12">
        <f>INDEX(COMM_Beacons!$D$6:$D$66,AA24)</f>
        <v>173</v>
      </c>
      <c r="L24" s="25">
        <f>Join_Audit!R31</f>
        <v>44589.740277777782</v>
      </c>
      <c r="M24" s="12">
        <f>OMNI_Normalized!J10</f>
        <v>6.19</v>
      </c>
      <c r="N24" s="12">
        <f>OMNI_Normalized!K10</f>
        <v>-2.12</v>
      </c>
      <c r="O24" s="12">
        <f>OMNI_Normalized!L10</f>
        <v>419.5</v>
      </c>
      <c r="P24" s="12">
        <f>OMNI_Normalized!M10</f>
        <v>5.6</v>
      </c>
      <c r="Q24" s="12">
        <f>OMNI_Normalized!P10</f>
        <v>89</v>
      </c>
      <c r="R24" s="12">
        <f>OMNI_Normalized!Q10</f>
        <v>1</v>
      </c>
      <c r="S24" s="14">
        <f>Settings!$B$28</f>
        <v>100</v>
      </c>
      <c r="T24" s="14">
        <f>Settings!$B$29</f>
        <v>0.02</v>
      </c>
      <c r="U24" s="14">
        <f>Settings!$B$12</f>
        <v>300</v>
      </c>
      <c r="V24" s="14">
        <f>Settings!$B$25</f>
        <v>0.25</v>
      </c>
      <c r="W24" s="14">
        <f>Settings!$B$21</f>
        <v>4</v>
      </c>
      <c r="X24" s="14">
        <f>Settings!$B$24</f>
        <v>12</v>
      </c>
      <c r="Y24" s="12" t="str">
        <f>Join_Audit!S31</f>
        <v>ACCEPT</v>
      </c>
      <c r="Z24" s="12" t="s">
        <v>857</v>
      </c>
      <c r="AA24" s="34">
        <v>18</v>
      </c>
      <c r="AB24" s="34" t="str">
        <f>INDEX(COMM_Beacons!$E$6:$E$66,AA24)</f>
        <v>CRC32C_VERIFIED</v>
      </c>
      <c r="AC24" s="34">
        <f>INDEX(COMM_Beacons!$K$6:$K$66,$AA24)</f>
        <v>375</v>
      </c>
      <c r="AD24" s="34">
        <f>INDEX(COMM_Beacons!$L$6:$L$66,$AA24)</f>
        <v>375</v>
      </c>
      <c r="AE24" s="34">
        <f>INDEX(COMM_Beacons!$M$6:$M$66,$AA24)</f>
        <v>-83</v>
      </c>
      <c r="AF24" s="34">
        <f>INDEX(COMM_Beacons!$N$6:$N$66,$AA24)</f>
        <v>257</v>
      </c>
      <c r="AG24" s="34">
        <f>INDEX(COMM_Beacons!$O$6:$O$66,$AA24)</f>
        <v>33443</v>
      </c>
      <c r="AH24" s="34">
        <f>INDEX(COMM_Beacons!$P$6:$P$66,$AA24)</f>
        <v>11</v>
      </c>
      <c r="AI24" s="34">
        <f>INDEX(COMM_Beacons!$Q$6:$Q$66,$AA24)</f>
        <v>4388287</v>
      </c>
      <c r="AJ24" s="34">
        <f>INDEX(COMM_Beacons!$R$6:$R$66,$AA24)</f>
        <v>110</v>
      </c>
      <c r="AK24" s="34">
        <f>INDEX(COMM_Beacons!$S$6:$S$66,$AA24)</f>
        <v>2</v>
      </c>
      <c r="AL24" s="34">
        <f>INDEX(COMM_Beacons!$T$6:$T$66,$AA24)</f>
        <v>1126</v>
      </c>
      <c r="AM24" s="34">
        <f>INDEX(COMM_Beacons!$U$6:$U$66,$AA24)</f>
        <v>256</v>
      </c>
      <c r="AN24" s="34">
        <f>INDEX(COMM_Beacons!$V$6:$V$66,$AA24)</f>
        <v>1035520017</v>
      </c>
      <c r="AO24" s="34">
        <f>INDEX(COMM_Beacons!$W$6:$W$66,$AA24)</f>
        <v>-117</v>
      </c>
      <c r="AP24" s="34">
        <f>INDEX(COMM_Beacons!$X$6:$X$66,$AA24)</f>
        <v>1</v>
      </c>
      <c r="AQ24" s="34">
        <f>INDEX(COMM_Beacons!$Y$6:$Y$66,$AA24)</f>
        <v>17475759</v>
      </c>
      <c r="AR24" s="34">
        <f>INDEX(COMM_Beacons!$Z$6:$Z$66,$AA24)</f>
        <v>22035</v>
      </c>
      <c r="AS24" s="34">
        <f>INDEX(COMM_Beacons!$AA$6:$AA$66,$AA24)</f>
        <v>3048168532</v>
      </c>
      <c r="AT24" s="34">
        <f>INDEX(COMM_Beacons!$AB$6:$AB$66,$AA24)</f>
        <v>1105712</v>
      </c>
      <c r="AU24" s="36">
        <f>IF(AA24&lt;=1,"",INDEX(COMM_Counter_Deltas!$J$6:$J$65,AA24-1))</f>
        <v>9.4</v>
      </c>
      <c r="AV24" s="35">
        <f>IF(AA24&lt;=1,"",INDEX(COMM_Counter_Deltas!$B$6:$B$65,AA24-1))</f>
        <v>44589.740497685183</v>
      </c>
      <c r="AW24" s="35">
        <f>IF(AA24&lt;=1,"",INDEX(COMM_Counter_Deltas!$C$6:$C$65,AA24-1))</f>
        <v>44589.740613425929</v>
      </c>
      <c r="AX24" s="34" t="b">
        <v>1</v>
      </c>
      <c r="AY24" s="34">
        <v>2</v>
      </c>
      <c r="AZ24" s="34">
        <f>INDEX(OMNI_Normalized!$N$6:$N$18,MATCH(L24,OMNI_Normalized!$C$6:$C$18,0))</f>
        <v>44104</v>
      </c>
      <c r="BA24" s="37">
        <f>INDEX(OMNI_Normalized!$O$6:$O$18,MATCH(L24,OMNI_Normalized!$C$6:$C$18,0))</f>
        <v>1.97</v>
      </c>
      <c r="BB24" s="34">
        <f>INDEX(OMNI_Normalized!$H$6:$H$18,MATCH(L24,OMNI_Normalized!$C$6:$C$18,0))</f>
        <v>100</v>
      </c>
      <c r="BC24" s="34">
        <f>INDEX(OMNI_Normalized!$F$6:$F$18,MATCH(L24,OMNI_Normalized!$C$6:$C$18,0))</f>
        <v>51</v>
      </c>
      <c r="BD24" s="34">
        <f>INDEX(OMNI_Normalized!$G$6:$G$18,MATCH(L24,OMNI_Normalized!$C$6:$C$18,0))</f>
        <v>51</v>
      </c>
    </row>
    <row r="25" spans="1:56" ht="24" customHeight="1" x14ac:dyDescent="0.2">
      <c r="A25" s="7">
        <v>20</v>
      </c>
      <c r="B25" s="7">
        <v>27</v>
      </c>
      <c r="C25" s="25">
        <f>Join_Audit!C32</f>
        <v>44589.740694444437</v>
      </c>
      <c r="D25" s="12">
        <f>Join_Audit!E32</f>
        <v>227</v>
      </c>
      <c r="E25" s="12">
        <f>Join_Audit!F32</f>
        <v>1353</v>
      </c>
      <c r="F25" s="12">
        <f>Join_Audit!G32</f>
        <v>0</v>
      </c>
      <c r="G25" s="12" t="str">
        <f>Join_Audit!I32</f>
        <v>CADC0873</v>
      </c>
      <c r="H25" s="12">
        <f>Join_Audit!J32</f>
        <v>3.8497900000000003E-5</v>
      </c>
      <c r="I25" s="25">
        <f>Join_Audit!L32</f>
        <v>44589.740613425929</v>
      </c>
      <c r="J25" s="12">
        <f>Join_Audit!O32</f>
        <v>7</v>
      </c>
      <c r="K25" s="12">
        <f>INDEX(COMM_Beacons!$D$6:$D$66,AA25)</f>
        <v>173</v>
      </c>
      <c r="L25" s="25">
        <f>Join_Audit!R32</f>
        <v>44589.740277777782</v>
      </c>
      <c r="M25" s="12">
        <f>OMNI_Normalized!J10</f>
        <v>6.19</v>
      </c>
      <c r="N25" s="12">
        <f>OMNI_Normalized!K10</f>
        <v>-2.12</v>
      </c>
      <c r="O25" s="12">
        <f>OMNI_Normalized!L10</f>
        <v>419.5</v>
      </c>
      <c r="P25" s="12">
        <f>OMNI_Normalized!M10</f>
        <v>5.6</v>
      </c>
      <c r="Q25" s="12">
        <f>OMNI_Normalized!P10</f>
        <v>89</v>
      </c>
      <c r="R25" s="12">
        <f>OMNI_Normalized!Q10</f>
        <v>1</v>
      </c>
      <c r="S25" s="14">
        <f>Settings!$B$28</f>
        <v>100</v>
      </c>
      <c r="T25" s="14">
        <f>Settings!$B$29</f>
        <v>0.02</v>
      </c>
      <c r="U25" s="14">
        <f>Settings!$B$12</f>
        <v>300</v>
      </c>
      <c r="V25" s="14">
        <f>Settings!$B$25</f>
        <v>0.25</v>
      </c>
      <c r="W25" s="14">
        <f>Settings!$B$21</f>
        <v>4</v>
      </c>
      <c r="X25" s="14">
        <f>Settings!$B$24</f>
        <v>12</v>
      </c>
      <c r="Y25" s="12" t="str">
        <f>Join_Audit!S32</f>
        <v>ACCEPT</v>
      </c>
      <c r="Z25" s="12" t="s">
        <v>857</v>
      </c>
      <c r="AA25" s="34">
        <v>18</v>
      </c>
      <c r="AB25" s="34" t="str">
        <f>INDEX(COMM_Beacons!$E$6:$E$66,AA25)</f>
        <v>CRC32C_VERIFIED</v>
      </c>
      <c r="AC25" s="34">
        <f>INDEX(COMM_Beacons!$K$6:$K$66,$AA25)</f>
        <v>375</v>
      </c>
      <c r="AD25" s="34">
        <f>INDEX(COMM_Beacons!$L$6:$L$66,$AA25)</f>
        <v>375</v>
      </c>
      <c r="AE25" s="34">
        <f>INDEX(COMM_Beacons!$M$6:$M$66,$AA25)</f>
        <v>-83</v>
      </c>
      <c r="AF25" s="34">
        <f>INDEX(COMM_Beacons!$N$6:$N$66,$AA25)</f>
        <v>257</v>
      </c>
      <c r="AG25" s="34">
        <f>INDEX(COMM_Beacons!$O$6:$O$66,$AA25)</f>
        <v>33443</v>
      </c>
      <c r="AH25" s="34">
        <f>INDEX(COMM_Beacons!$P$6:$P$66,$AA25)</f>
        <v>11</v>
      </c>
      <c r="AI25" s="34">
        <f>INDEX(COMM_Beacons!$Q$6:$Q$66,$AA25)</f>
        <v>4388287</v>
      </c>
      <c r="AJ25" s="34">
        <f>INDEX(COMM_Beacons!$R$6:$R$66,$AA25)</f>
        <v>110</v>
      </c>
      <c r="AK25" s="34">
        <f>INDEX(COMM_Beacons!$S$6:$S$66,$AA25)</f>
        <v>2</v>
      </c>
      <c r="AL25" s="34">
        <f>INDEX(COMM_Beacons!$T$6:$T$66,$AA25)</f>
        <v>1126</v>
      </c>
      <c r="AM25" s="34">
        <f>INDEX(COMM_Beacons!$U$6:$U$66,$AA25)</f>
        <v>256</v>
      </c>
      <c r="AN25" s="34">
        <f>INDEX(COMM_Beacons!$V$6:$V$66,$AA25)</f>
        <v>1035520017</v>
      </c>
      <c r="AO25" s="34">
        <f>INDEX(COMM_Beacons!$W$6:$W$66,$AA25)</f>
        <v>-117</v>
      </c>
      <c r="AP25" s="34">
        <f>INDEX(COMM_Beacons!$X$6:$X$66,$AA25)</f>
        <v>1</v>
      </c>
      <c r="AQ25" s="34">
        <f>INDEX(COMM_Beacons!$Y$6:$Y$66,$AA25)</f>
        <v>17475759</v>
      </c>
      <c r="AR25" s="34">
        <f>INDEX(COMM_Beacons!$Z$6:$Z$66,$AA25)</f>
        <v>22035</v>
      </c>
      <c r="AS25" s="34">
        <f>INDEX(COMM_Beacons!$AA$6:$AA$66,$AA25)</f>
        <v>3048168532</v>
      </c>
      <c r="AT25" s="34">
        <f>INDEX(COMM_Beacons!$AB$6:$AB$66,$AA25)</f>
        <v>1105712</v>
      </c>
      <c r="AU25" s="36">
        <f>IF(AA25&lt;=1,"",INDEX(COMM_Counter_Deltas!$J$6:$J$65,AA25-1))</f>
        <v>9.4</v>
      </c>
      <c r="AV25" s="35">
        <f>IF(AA25&lt;=1,"",INDEX(COMM_Counter_Deltas!$B$6:$B$65,AA25-1))</f>
        <v>44589.740497685183</v>
      </c>
      <c r="AW25" s="35">
        <f>IF(AA25&lt;=1,"",INDEX(COMM_Counter_Deltas!$C$6:$C$65,AA25-1))</f>
        <v>44589.740613425929</v>
      </c>
      <c r="AX25" s="34" t="b">
        <v>1</v>
      </c>
      <c r="AY25" s="34">
        <v>7</v>
      </c>
      <c r="AZ25" s="34">
        <f>INDEX(OMNI_Normalized!$N$6:$N$18,MATCH(L25,OMNI_Normalized!$C$6:$C$18,0))</f>
        <v>44104</v>
      </c>
      <c r="BA25" s="37">
        <f>INDEX(OMNI_Normalized!$O$6:$O$18,MATCH(L25,OMNI_Normalized!$C$6:$C$18,0))</f>
        <v>1.97</v>
      </c>
      <c r="BB25" s="34">
        <f>INDEX(OMNI_Normalized!$H$6:$H$18,MATCH(L25,OMNI_Normalized!$C$6:$C$18,0))</f>
        <v>100</v>
      </c>
      <c r="BC25" s="34">
        <f>INDEX(OMNI_Normalized!$F$6:$F$18,MATCH(L25,OMNI_Normalized!$C$6:$C$18,0))</f>
        <v>51</v>
      </c>
      <c r="BD25" s="34">
        <f>INDEX(OMNI_Normalized!$G$6:$G$18,MATCH(L25,OMNI_Normalized!$C$6:$C$18,0))</f>
        <v>51</v>
      </c>
    </row>
    <row r="26" spans="1:56" ht="24" customHeight="1" x14ac:dyDescent="0.2">
      <c r="A26" s="7">
        <v>21</v>
      </c>
      <c r="B26" s="7">
        <v>28</v>
      </c>
      <c r="C26" s="25">
        <f>Join_Audit!C33</f>
        <v>44589.740752314807</v>
      </c>
      <c r="D26" s="12">
        <f>Join_Audit!E33</f>
        <v>232</v>
      </c>
      <c r="E26" s="12">
        <f>Join_Audit!F33</f>
        <v>1353</v>
      </c>
      <c r="F26" s="12">
        <f>Join_Audit!G33</f>
        <v>0</v>
      </c>
      <c r="G26" s="12" t="str">
        <f>Join_Audit!I33</f>
        <v>CADC0873</v>
      </c>
      <c r="H26" s="12">
        <f>Join_Audit!J33</f>
        <v>3.8495000000000003E-5</v>
      </c>
      <c r="I26" s="25">
        <f>Join_Audit!L33</f>
        <v>44589.740729166668</v>
      </c>
      <c r="J26" s="12">
        <f>Join_Audit!O33</f>
        <v>2</v>
      </c>
      <c r="K26" s="12">
        <f>INDEX(COMM_Beacons!$D$6:$D$66,AA26)</f>
        <v>171</v>
      </c>
      <c r="L26" s="25">
        <f>Join_Audit!R33</f>
        <v>44589.740277777782</v>
      </c>
      <c r="M26" s="12">
        <f>OMNI_Normalized!J10</f>
        <v>6.19</v>
      </c>
      <c r="N26" s="12">
        <f>OMNI_Normalized!K10</f>
        <v>-2.12</v>
      </c>
      <c r="O26" s="12">
        <f>OMNI_Normalized!L10</f>
        <v>419.5</v>
      </c>
      <c r="P26" s="12">
        <f>OMNI_Normalized!M10</f>
        <v>5.6</v>
      </c>
      <c r="Q26" s="12">
        <f>OMNI_Normalized!P10</f>
        <v>89</v>
      </c>
      <c r="R26" s="12">
        <f>OMNI_Normalized!Q10</f>
        <v>1</v>
      </c>
      <c r="S26" s="14">
        <f>Settings!$B$28</f>
        <v>100</v>
      </c>
      <c r="T26" s="14">
        <f>Settings!$B$29</f>
        <v>0.02</v>
      </c>
      <c r="U26" s="14">
        <f>Settings!$B$12</f>
        <v>300</v>
      </c>
      <c r="V26" s="14">
        <f>Settings!$B$25</f>
        <v>0.25</v>
      </c>
      <c r="W26" s="14">
        <f>Settings!$B$21</f>
        <v>4</v>
      </c>
      <c r="X26" s="14">
        <f>Settings!$B$24</f>
        <v>12</v>
      </c>
      <c r="Y26" s="12" t="str">
        <f>Join_Audit!S33</f>
        <v>ACCEPT</v>
      </c>
      <c r="Z26" s="12" t="s">
        <v>857</v>
      </c>
      <c r="AA26" s="34">
        <v>19</v>
      </c>
      <c r="AB26" s="34" t="str">
        <f>INDEX(COMM_Beacons!$E$6:$E$66,AA26)</f>
        <v>PREPROCESSED_NO_CRC</v>
      </c>
      <c r="AC26" s="34">
        <f>INDEX(COMM_Beacons!$K$6:$K$66,$AA26)</f>
        <v>374</v>
      </c>
      <c r="AD26" s="34">
        <f>INDEX(COMM_Beacons!$L$6:$L$66,$AA26)</f>
        <v>374</v>
      </c>
      <c r="AE26" s="34">
        <f>INDEX(COMM_Beacons!$M$6:$M$66,$AA26)</f>
        <v>-83</v>
      </c>
      <c r="AF26" s="34">
        <f>INDEX(COMM_Beacons!$N$6:$N$66,$AA26)</f>
        <v>257</v>
      </c>
      <c r="AG26" s="34">
        <f>INDEX(COMM_Beacons!$O$6:$O$66,$AA26)</f>
        <v>33444</v>
      </c>
      <c r="AH26" s="34">
        <f>INDEX(COMM_Beacons!$P$6:$P$66,$AA26)</f>
        <v>11</v>
      </c>
      <c r="AI26" s="34">
        <f>INDEX(COMM_Beacons!$Q$6:$Q$66,$AA26)</f>
        <v>4388381</v>
      </c>
      <c r="AJ26" s="34">
        <f>INDEX(COMM_Beacons!$R$6:$R$66,$AA26)</f>
        <v>110</v>
      </c>
      <c r="AK26" s="34">
        <f>INDEX(COMM_Beacons!$S$6:$S$66,$AA26)</f>
        <v>2</v>
      </c>
      <c r="AL26" s="34">
        <f>INDEX(COMM_Beacons!$T$6:$T$66,$AA26)</f>
        <v>1126</v>
      </c>
      <c r="AM26" s="34">
        <f>INDEX(COMM_Beacons!$U$6:$U$66,$AA26)</f>
        <v>256</v>
      </c>
      <c r="AN26" s="34">
        <f>INDEX(COMM_Beacons!$V$6:$V$66,$AA26)</f>
        <v>1035520017</v>
      </c>
      <c r="AO26" s="34">
        <f>INDEX(COMM_Beacons!$W$6:$W$66,$AA26)</f>
        <v>-104</v>
      </c>
      <c r="AP26" s="34">
        <f>INDEX(COMM_Beacons!$X$6:$X$66,$AA26)</f>
        <v>1</v>
      </c>
      <c r="AQ26" s="34">
        <f>INDEX(COMM_Beacons!$Y$6:$Y$66,$AA26)</f>
        <v>17475760</v>
      </c>
      <c r="AR26" s="34">
        <f>INDEX(COMM_Beacons!$Z$6:$Z$66,$AA26)</f>
        <v>22035</v>
      </c>
      <c r="AS26" s="34">
        <f>INDEX(COMM_Beacons!$AA$6:$AA$66,$AA26)</f>
        <v>3048168626</v>
      </c>
      <c r="AT26" s="34">
        <f>INDEX(COMM_Beacons!$AB$6:$AB$66,$AA26)</f>
        <v>1105712</v>
      </c>
      <c r="AU26" s="36">
        <f>IF(AA26&lt;=1,"",INDEX(COMM_Counter_Deltas!$J$6:$J$65,AA26-1))</f>
        <v>9.4</v>
      </c>
      <c r="AV26" s="35">
        <f>IF(AA26&lt;=1,"",INDEX(COMM_Counter_Deltas!$B$6:$B$65,AA26-1))</f>
        <v>44589.740613425929</v>
      </c>
      <c r="AW26" s="35">
        <f>IF(AA26&lt;=1,"",INDEX(COMM_Counter_Deltas!$C$6:$C$65,AA26-1))</f>
        <v>44589.740729166668</v>
      </c>
      <c r="AX26" s="34" t="b">
        <v>0</v>
      </c>
      <c r="AY26" s="34">
        <v>12</v>
      </c>
      <c r="AZ26" s="34">
        <f>INDEX(OMNI_Normalized!$N$6:$N$18,MATCH(L26,OMNI_Normalized!$C$6:$C$18,0))</f>
        <v>44104</v>
      </c>
      <c r="BA26" s="37">
        <f>INDEX(OMNI_Normalized!$O$6:$O$18,MATCH(L26,OMNI_Normalized!$C$6:$C$18,0))</f>
        <v>1.97</v>
      </c>
      <c r="BB26" s="34">
        <f>INDEX(OMNI_Normalized!$H$6:$H$18,MATCH(L26,OMNI_Normalized!$C$6:$C$18,0))</f>
        <v>100</v>
      </c>
      <c r="BC26" s="34">
        <f>INDEX(OMNI_Normalized!$F$6:$F$18,MATCH(L26,OMNI_Normalized!$C$6:$C$18,0))</f>
        <v>51</v>
      </c>
      <c r="BD26" s="34">
        <f>INDEX(OMNI_Normalized!$G$6:$G$18,MATCH(L26,OMNI_Normalized!$C$6:$C$18,0))</f>
        <v>51</v>
      </c>
    </row>
    <row r="27" spans="1:56" ht="24" customHeight="1" x14ac:dyDescent="0.2">
      <c r="A27" s="7">
        <v>22</v>
      </c>
      <c r="B27" s="7">
        <v>29</v>
      </c>
      <c r="C27" s="25">
        <f>Join_Audit!C34</f>
        <v>44589.740810185183</v>
      </c>
      <c r="D27" s="12">
        <f>Join_Audit!E34</f>
        <v>237</v>
      </c>
      <c r="E27" s="12">
        <f>Join_Audit!F34</f>
        <v>1353</v>
      </c>
      <c r="F27" s="12">
        <f>Join_Audit!G34</f>
        <v>0</v>
      </c>
      <c r="G27" s="12" t="str">
        <f>Join_Audit!I34</f>
        <v>CADC0873</v>
      </c>
      <c r="H27" s="12">
        <f>Join_Audit!J34</f>
        <v>3.6265099999999999E-5</v>
      </c>
      <c r="I27" s="25">
        <f>Join_Audit!L34</f>
        <v>44589.740729166668</v>
      </c>
      <c r="J27" s="12">
        <f>Join_Audit!O34</f>
        <v>7</v>
      </c>
      <c r="K27" s="12">
        <f>INDEX(COMM_Beacons!$D$6:$D$66,AA27)</f>
        <v>171</v>
      </c>
      <c r="L27" s="25">
        <f>Join_Audit!R34</f>
        <v>44589.740277777782</v>
      </c>
      <c r="M27" s="12">
        <f>OMNI_Normalized!J10</f>
        <v>6.19</v>
      </c>
      <c r="N27" s="12">
        <f>OMNI_Normalized!K10</f>
        <v>-2.12</v>
      </c>
      <c r="O27" s="12">
        <f>OMNI_Normalized!L10</f>
        <v>419.5</v>
      </c>
      <c r="P27" s="12">
        <f>OMNI_Normalized!M10</f>
        <v>5.6</v>
      </c>
      <c r="Q27" s="12">
        <f>OMNI_Normalized!P10</f>
        <v>89</v>
      </c>
      <c r="R27" s="12">
        <f>OMNI_Normalized!Q10</f>
        <v>1</v>
      </c>
      <c r="S27" s="14">
        <f>Settings!$B$28</f>
        <v>100</v>
      </c>
      <c r="T27" s="14">
        <f>Settings!$B$29</f>
        <v>0.02</v>
      </c>
      <c r="U27" s="14">
        <f>Settings!$B$12</f>
        <v>300</v>
      </c>
      <c r="V27" s="14">
        <f>Settings!$B$25</f>
        <v>0.25</v>
      </c>
      <c r="W27" s="14">
        <f>Settings!$B$21</f>
        <v>4</v>
      </c>
      <c r="X27" s="14">
        <f>Settings!$B$24</f>
        <v>12</v>
      </c>
      <c r="Y27" s="12" t="str">
        <f>Join_Audit!S34</f>
        <v>ACCEPT</v>
      </c>
      <c r="Z27" s="12" t="s">
        <v>857</v>
      </c>
      <c r="AA27" s="34">
        <v>19</v>
      </c>
      <c r="AB27" s="34" t="str">
        <f>INDEX(COMM_Beacons!$E$6:$E$66,AA27)</f>
        <v>PREPROCESSED_NO_CRC</v>
      </c>
      <c r="AC27" s="34">
        <f>INDEX(COMM_Beacons!$K$6:$K$66,$AA27)</f>
        <v>374</v>
      </c>
      <c r="AD27" s="34">
        <f>INDEX(COMM_Beacons!$L$6:$L$66,$AA27)</f>
        <v>374</v>
      </c>
      <c r="AE27" s="34">
        <f>INDEX(COMM_Beacons!$M$6:$M$66,$AA27)</f>
        <v>-83</v>
      </c>
      <c r="AF27" s="34">
        <f>INDEX(COMM_Beacons!$N$6:$N$66,$AA27)</f>
        <v>257</v>
      </c>
      <c r="AG27" s="34">
        <f>INDEX(COMM_Beacons!$O$6:$O$66,$AA27)</f>
        <v>33444</v>
      </c>
      <c r="AH27" s="34">
        <f>INDEX(COMM_Beacons!$P$6:$P$66,$AA27)</f>
        <v>11</v>
      </c>
      <c r="AI27" s="34">
        <f>INDEX(COMM_Beacons!$Q$6:$Q$66,$AA27)</f>
        <v>4388381</v>
      </c>
      <c r="AJ27" s="34">
        <f>INDEX(COMM_Beacons!$R$6:$R$66,$AA27)</f>
        <v>110</v>
      </c>
      <c r="AK27" s="34">
        <f>INDEX(COMM_Beacons!$S$6:$S$66,$AA27)</f>
        <v>2</v>
      </c>
      <c r="AL27" s="34">
        <f>INDEX(COMM_Beacons!$T$6:$T$66,$AA27)</f>
        <v>1126</v>
      </c>
      <c r="AM27" s="34">
        <f>INDEX(COMM_Beacons!$U$6:$U$66,$AA27)</f>
        <v>256</v>
      </c>
      <c r="AN27" s="34">
        <f>INDEX(COMM_Beacons!$V$6:$V$66,$AA27)</f>
        <v>1035520017</v>
      </c>
      <c r="AO27" s="34">
        <f>INDEX(COMM_Beacons!$W$6:$W$66,$AA27)</f>
        <v>-104</v>
      </c>
      <c r="AP27" s="34">
        <f>INDEX(COMM_Beacons!$X$6:$X$66,$AA27)</f>
        <v>1</v>
      </c>
      <c r="AQ27" s="34">
        <f>INDEX(COMM_Beacons!$Y$6:$Y$66,$AA27)</f>
        <v>17475760</v>
      </c>
      <c r="AR27" s="34">
        <f>INDEX(COMM_Beacons!$Z$6:$Z$66,$AA27)</f>
        <v>22035</v>
      </c>
      <c r="AS27" s="34">
        <f>INDEX(COMM_Beacons!$AA$6:$AA$66,$AA27)</f>
        <v>3048168626</v>
      </c>
      <c r="AT27" s="34">
        <f>INDEX(COMM_Beacons!$AB$6:$AB$66,$AA27)</f>
        <v>1105712</v>
      </c>
      <c r="AU27" s="36">
        <f>IF(AA27&lt;=1,"",INDEX(COMM_Counter_Deltas!$J$6:$J$65,AA27-1))</f>
        <v>9.4</v>
      </c>
      <c r="AV27" s="35">
        <f>IF(AA27&lt;=1,"",INDEX(COMM_Counter_Deltas!$B$6:$B$65,AA27-1))</f>
        <v>44589.740613425929</v>
      </c>
      <c r="AW27" s="35">
        <f>IF(AA27&lt;=1,"",INDEX(COMM_Counter_Deltas!$C$6:$C$65,AA27-1))</f>
        <v>44589.740729166668</v>
      </c>
      <c r="AX27" s="34" t="b">
        <v>0</v>
      </c>
      <c r="AY27" s="34">
        <v>17</v>
      </c>
      <c r="AZ27" s="34">
        <f>INDEX(OMNI_Normalized!$N$6:$N$18,MATCH(L27,OMNI_Normalized!$C$6:$C$18,0))</f>
        <v>44104</v>
      </c>
      <c r="BA27" s="37">
        <f>INDEX(OMNI_Normalized!$O$6:$O$18,MATCH(L27,OMNI_Normalized!$C$6:$C$18,0))</f>
        <v>1.97</v>
      </c>
      <c r="BB27" s="34">
        <f>INDEX(OMNI_Normalized!$H$6:$H$18,MATCH(L27,OMNI_Normalized!$C$6:$C$18,0))</f>
        <v>100</v>
      </c>
      <c r="BC27" s="34">
        <f>INDEX(OMNI_Normalized!$F$6:$F$18,MATCH(L27,OMNI_Normalized!$C$6:$C$18,0))</f>
        <v>51</v>
      </c>
      <c r="BD27" s="34">
        <f>INDEX(OMNI_Normalized!$G$6:$G$18,MATCH(L27,OMNI_Normalized!$C$6:$C$18,0))</f>
        <v>51</v>
      </c>
    </row>
    <row r="28" spans="1:56" ht="24" customHeight="1" x14ac:dyDescent="0.2">
      <c r="A28" s="7">
        <v>23</v>
      </c>
      <c r="B28" s="7">
        <v>30</v>
      </c>
      <c r="C28" s="25">
        <f>Join_Audit!C35</f>
        <v>44589.740868055553</v>
      </c>
      <c r="D28" s="12">
        <f>Join_Audit!E35</f>
        <v>242</v>
      </c>
      <c r="E28" s="12">
        <f>Join_Audit!F35</f>
        <v>1353</v>
      </c>
      <c r="F28" s="12">
        <f>Join_Audit!G35</f>
        <v>0</v>
      </c>
      <c r="G28" s="12" t="str">
        <f>Join_Audit!I35</f>
        <v>CADC0873</v>
      </c>
      <c r="H28" s="12">
        <f>Join_Audit!J35</f>
        <v>3.0967799999999999E-5</v>
      </c>
      <c r="I28" s="25">
        <f>Join_Audit!L35</f>
        <v>44589.740844907406</v>
      </c>
      <c r="J28" s="12">
        <f>Join_Audit!O35</f>
        <v>2</v>
      </c>
      <c r="K28" s="12">
        <f>INDEX(COMM_Beacons!$D$6:$D$66,AA28)</f>
        <v>170</v>
      </c>
      <c r="L28" s="25">
        <f>Join_Audit!R35</f>
        <v>44589.740277777782</v>
      </c>
      <c r="M28" s="12">
        <f>OMNI_Normalized!J10</f>
        <v>6.19</v>
      </c>
      <c r="N28" s="12">
        <f>OMNI_Normalized!K10</f>
        <v>-2.12</v>
      </c>
      <c r="O28" s="12">
        <f>OMNI_Normalized!L10</f>
        <v>419.5</v>
      </c>
      <c r="P28" s="12">
        <f>OMNI_Normalized!M10</f>
        <v>5.6</v>
      </c>
      <c r="Q28" s="12">
        <f>OMNI_Normalized!P10</f>
        <v>89</v>
      </c>
      <c r="R28" s="12">
        <f>OMNI_Normalized!Q10</f>
        <v>1</v>
      </c>
      <c r="S28" s="14">
        <f>Settings!$B$28</f>
        <v>100</v>
      </c>
      <c r="T28" s="14">
        <f>Settings!$B$29</f>
        <v>0.02</v>
      </c>
      <c r="U28" s="14">
        <f>Settings!$B$12</f>
        <v>300</v>
      </c>
      <c r="V28" s="14">
        <f>Settings!$B$25</f>
        <v>0.25</v>
      </c>
      <c r="W28" s="14">
        <f>Settings!$B$21</f>
        <v>4</v>
      </c>
      <c r="X28" s="14">
        <f>Settings!$B$24</f>
        <v>12</v>
      </c>
      <c r="Y28" s="12" t="str">
        <f>Join_Audit!S35</f>
        <v>ACCEPT</v>
      </c>
      <c r="Z28" s="12" t="s">
        <v>857</v>
      </c>
      <c r="AA28" s="34">
        <v>20</v>
      </c>
      <c r="AB28" s="34" t="str">
        <f>INDEX(COMM_Beacons!$E$6:$E$66,AA28)</f>
        <v>CRC32C_VERIFIED</v>
      </c>
      <c r="AC28" s="34">
        <f>INDEX(COMM_Beacons!$K$6:$K$66,$AA28)</f>
        <v>374</v>
      </c>
      <c r="AD28" s="34">
        <f>INDEX(COMM_Beacons!$L$6:$L$66,$AA28)</f>
        <v>374</v>
      </c>
      <c r="AE28" s="34">
        <f>INDEX(COMM_Beacons!$M$6:$M$66,$AA28)</f>
        <v>-83</v>
      </c>
      <c r="AF28" s="34">
        <f>INDEX(COMM_Beacons!$N$6:$N$66,$AA28)</f>
        <v>257</v>
      </c>
      <c r="AG28" s="34">
        <f>INDEX(COMM_Beacons!$O$6:$O$66,$AA28)</f>
        <v>33445</v>
      </c>
      <c r="AH28" s="34">
        <f>INDEX(COMM_Beacons!$P$6:$P$66,$AA28)</f>
        <v>11</v>
      </c>
      <c r="AI28" s="34">
        <f>INDEX(COMM_Beacons!$Q$6:$Q$66,$AA28)</f>
        <v>4388475</v>
      </c>
      <c r="AJ28" s="34">
        <f>INDEX(COMM_Beacons!$R$6:$R$66,$AA28)</f>
        <v>110</v>
      </c>
      <c r="AK28" s="34">
        <f>INDEX(COMM_Beacons!$S$6:$S$66,$AA28)</f>
        <v>2</v>
      </c>
      <c r="AL28" s="34">
        <f>INDEX(COMM_Beacons!$T$6:$T$66,$AA28)</f>
        <v>1126</v>
      </c>
      <c r="AM28" s="34">
        <f>INDEX(COMM_Beacons!$U$6:$U$66,$AA28)</f>
        <v>256</v>
      </c>
      <c r="AN28" s="34">
        <f>INDEX(COMM_Beacons!$V$6:$V$66,$AA28)</f>
        <v>1035520017</v>
      </c>
      <c r="AO28" s="34">
        <f>INDEX(COMM_Beacons!$W$6:$W$66,$AA28)</f>
        <v>-107</v>
      </c>
      <c r="AP28" s="34">
        <f>INDEX(COMM_Beacons!$X$6:$X$66,$AA28)</f>
        <v>1</v>
      </c>
      <c r="AQ28" s="34">
        <f>INDEX(COMM_Beacons!$Y$6:$Y$66,$AA28)</f>
        <v>17475761</v>
      </c>
      <c r="AR28" s="34">
        <f>INDEX(COMM_Beacons!$Z$6:$Z$66,$AA28)</f>
        <v>22035</v>
      </c>
      <c r="AS28" s="34">
        <f>INDEX(COMM_Beacons!$AA$6:$AA$66,$AA28)</f>
        <v>3048168720</v>
      </c>
      <c r="AT28" s="34">
        <f>INDEX(COMM_Beacons!$AB$6:$AB$66,$AA28)</f>
        <v>1105712</v>
      </c>
      <c r="AU28" s="36">
        <f>IF(AA28&lt;=1,"",INDEX(COMM_Counter_Deltas!$J$6:$J$65,AA28-1))</f>
        <v>9.4</v>
      </c>
      <c r="AV28" s="35">
        <f>IF(AA28&lt;=1,"",INDEX(COMM_Counter_Deltas!$B$6:$B$65,AA28-1))</f>
        <v>44589.740729166668</v>
      </c>
      <c r="AW28" s="35">
        <f>IF(AA28&lt;=1,"",INDEX(COMM_Counter_Deltas!$C$6:$C$65,AA28-1))</f>
        <v>44589.740844907406</v>
      </c>
      <c r="AX28" s="34" t="b">
        <v>1</v>
      </c>
      <c r="AY28" s="34">
        <v>2</v>
      </c>
      <c r="AZ28" s="34">
        <f>INDEX(OMNI_Normalized!$N$6:$N$18,MATCH(L28,OMNI_Normalized!$C$6:$C$18,0))</f>
        <v>44104</v>
      </c>
      <c r="BA28" s="37">
        <f>INDEX(OMNI_Normalized!$O$6:$O$18,MATCH(L28,OMNI_Normalized!$C$6:$C$18,0))</f>
        <v>1.97</v>
      </c>
      <c r="BB28" s="34">
        <f>INDEX(OMNI_Normalized!$H$6:$H$18,MATCH(L28,OMNI_Normalized!$C$6:$C$18,0))</f>
        <v>100</v>
      </c>
      <c r="BC28" s="34">
        <f>INDEX(OMNI_Normalized!$F$6:$F$18,MATCH(L28,OMNI_Normalized!$C$6:$C$18,0))</f>
        <v>51</v>
      </c>
      <c r="BD28" s="34">
        <f>INDEX(OMNI_Normalized!$G$6:$G$18,MATCH(L28,OMNI_Normalized!$C$6:$C$18,0))</f>
        <v>51</v>
      </c>
    </row>
    <row r="29" spans="1:56" ht="24" customHeight="1" x14ac:dyDescent="0.2">
      <c r="A29" s="7">
        <v>24</v>
      </c>
      <c r="B29" s="7">
        <v>31</v>
      </c>
      <c r="C29" s="25">
        <f>Join_Audit!C36</f>
        <v>44589.740925925929</v>
      </c>
      <c r="D29" s="12">
        <f>Join_Audit!E36</f>
        <v>247</v>
      </c>
      <c r="E29" s="12">
        <f>Join_Audit!F36</f>
        <v>1353</v>
      </c>
      <c r="F29" s="12">
        <f>Join_Audit!G36</f>
        <v>0</v>
      </c>
      <c r="G29" s="12" t="str">
        <f>Join_Audit!I36</f>
        <v>CADC0873</v>
      </c>
      <c r="H29" s="12">
        <f>Join_Audit!J36</f>
        <v>2.3768899999999999E-5</v>
      </c>
      <c r="I29" s="25">
        <f>Join_Audit!L36</f>
        <v>44589.740844907406</v>
      </c>
      <c r="J29" s="12">
        <f>Join_Audit!O36</f>
        <v>7</v>
      </c>
      <c r="K29" s="12">
        <f>INDEX(COMM_Beacons!$D$6:$D$66,AA29)</f>
        <v>170</v>
      </c>
      <c r="L29" s="25">
        <f>Join_Audit!R36</f>
        <v>44589.740277777782</v>
      </c>
      <c r="M29" s="12">
        <f>OMNI_Normalized!J10</f>
        <v>6.19</v>
      </c>
      <c r="N29" s="12">
        <f>OMNI_Normalized!K10</f>
        <v>-2.12</v>
      </c>
      <c r="O29" s="12">
        <f>OMNI_Normalized!L10</f>
        <v>419.5</v>
      </c>
      <c r="P29" s="12">
        <f>OMNI_Normalized!M10</f>
        <v>5.6</v>
      </c>
      <c r="Q29" s="12">
        <f>OMNI_Normalized!P10</f>
        <v>89</v>
      </c>
      <c r="R29" s="12">
        <f>OMNI_Normalized!Q10</f>
        <v>1</v>
      </c>
      <c r="S29" s="14">
        <f>Settings!$B$28</f>
        <v>100</v>
      </c>
      <c r="T29" s="14">
        <f>Settings!$B$29</f>
        <v>0.02</v>
      </c>
      <c r="U29" s="14">
        <f>Settings!$B$12</f>
        <v>300</v>
      </c>
      <c r="V29" s="14">
        <f>Settings!$B$25</f>
        <v>0.25</v>
      </c>
      <c r="W29" s="14">
        <f>Settings!$B$21</f>
        <v>4</v>
      </c>
      <c r="X29" s="14">
        <f>Settings!$B$24</f>
        <v>12</v>
      </c>
      <c r="Y29" s="12" t="str">
        <f>Join_Audit!S36</f>
        <v>ACCEPT</v>
      </c>
      <c r="Z29" s="12" t="s">
        <v>857</v>
      </c>
      <c r="AA29" s="34">
        <v>20</v>
      </c>
      <c r="AB29" s="34" t="str">
        <f>INDEX(COMM_Beacons!$E$6:$E$66,AA29)</f>
        <v>CRC32C_VERIFIED</v>
      </c>
      <c r="AC29" s="34">
        <f>INDEX(COMM_Beacons!$K$6:$K$66,$AA29)</f>
        <v>374</v>
      </c>
      <c r="AD29" s="34">
        <f>INDEX(COMM_Beacons!$L$6:$L$66,$AA29)</f>
        <v>374</v>
      </c>
      <c r="AE29" s="34">
        <f>INDEX(COMM_Beacons!$M$6:$M$66,$AA29)</f>
        <v>-83</v>
      </c>
      <c r="AF29" s="34">
        <f>INDEX(COMM_Beacons!$N$6:$N$66,$AA29)</f>
        <v>257</v>
      </c>
      <c r="AG29" s="34">
        <f>INDEX(COMM_Beacons!$O$6:$O$66,$AA29)</f>
        <v>33445</v>
      </c>
      <c r="AH29" s="34">
        <f>INDEX(COMM_Beacons!$P$6:$P$66,$AA29)</f>
        <v>11</v>
      </c>
      <c r="AI29" s="34">
        <f>INDEX(COMM_Beacons!$Q$6:$Q$66,$AA29)</f>
        <v>4388475</v>
      </c>
      <c r="AJ29" s="34">
        <f>INDEX(COMM_Beacons!$R$6:$R$66,$AA29)</f>
        <v>110</v>
      </c>
      <c r="AK29" s="34">
        <f>INDEX(COMM_Beacons!$S$6:$S$66,$AA29)</f>
        <v>2</v>
      </c>
      <c r="AL29" s="34">
        <f>INDEX(COMM_Beacons!$T$6:$T$66,$AA29)</f>
        <v>1126</v>
      </c>
      <c r="AM29" s="34">
        <f>INDEX(COMM_Beacons!$U$6:$U$66,$AA29)</f>
        <v>256</v>
      </c>
      <c r="AN29" s="34">
        <f>INDEX(COMM_Beacons!$V$6:$V$66,$AA29)</f>
        <v>1035520017</v>
      </c>
      <c r="AO29" s="34">
        <f>INDEX(COMM_Beacons!$W$6:$W$66,$AA29)</f>
        <v>-107</v>
      </c>
      <c r="AP29" s="34">
        <f>INDEX(COMM_Beacons!$X$6:$X$66,$AA29)</f>
        <v>1</v>
      </c>
      <c r="AQ29" s="34">
        <f>INDEX(COMM_Beacons!$Y$6:$Y$66,$AA29)</f>
        <v>17475761</v>
      </c>
      <c r="AR29" s="34">
        <f>INDEX(COMM_Beacons!$Z$6:$Z$66,$AA29)</f>
        <v>22035</v>
      </c>
      <c r="AS29" s="34">
        <f>INDEX(COMM_Beacons!$AA$6:$AA$66,$AA29)</f>
        <v>3048168720</v>
      </c>
      <c r="AT29" s="34">
        <f>INDEX(COMM_Beacons!$AB$6:$AB$66,$AA29)</f>
        <v>1105712</v>
      </c>
      <c r="AU29" s="36">
        <f>IF(AA29&lt;=1,"",INDEX(COMM_Counter_Deltas!$J$6:$J$65,AA29-1))</f>
        <v>9.4</v>
      </c>
      <c r="AV29" s="35">
        <f>IF(AA29&lt;=1,"",INDEX(COMM_Counter_Deltas!$B$6:$B$65,AA29-1))</f>
        <v>44589.740729166668</v>
      </c>
      <c r="AW29" s="35">
        <f>IF(AA29&lt;=1,"",INDEX(COMM_Counter_Deltas!$C$6:$C$65,AA29-1))</f>
        <v>44589.740844907406</v>
      </c>
      <c r="AX29" s="34" t="b">
        <v>1</v>
      </c>
      <c r="AY29" s="34">
        <v>7</v>
      </c>
      <c r="AZ29" s="34">
        <f>INDEX(OMNI_Normalized!$N$6:$N$18,MATCH(L29,OMNI_Normalized!$C$6:$C$18,0))</f>
        <v>44104</v>
      </c>
      <c r="BA29" s="37">
        <f>INDEX(OMNI_Normalized!$O$6:$O$18,MATCH(L29,OMNI_Normalized!$C$6:$C$18,0))</f>
        <v>1.97</v>
      </c>
      <c r="BB29" s="34">
        <f>INDEX(OMNI_Normalized!$H$6:$H$18,MATCH(L29,OMNI_Normalized!$C$6:$C$18,0))</f>
        <v>100</v>
      </c>
      <c r="BC29" s="34">
        <f>INDEX(OMNI_Normalized!$F$6:$F$18,MATCH(L29,OMNI_Normalized!$C$6:$C$18,0))</f>
        <v>51</v>
      </c>
      <c r="BD29" s="34">
        <f>INDEX(OMNI_Normalized!$G$6:$G$18,MATCH(L29,OMNI_Normalized!$C$6:$C$18,0))</f>
        <v>51</v>
      </c>
    </row>
    <row r="30" spans="1:56" ht="24" customHeight="1" x14ac:dyDescent="0.2">
      <c r="A30" s="7">
        <v>25</v>
      </c>
      <c r="B30" s="7">
        <v>32</v>
      </c>
      <c r="C30" s="25">
        <f>Join_Audit!C37</f>
        <v>44589.740983796299</v>
      </c>
      <c r="D30" s="12">
        <f>Join_Audit!E37</f>
        <v>252</v>
      </c>
      <c r="E30" s="12">
        <f>Join_Audit!F37</f>
        <v>1353</v>
      </c>
      <c r="F30" s="12">
        <f>Join_Audit!G37</f>
        <v>0</v>
      </c>
      <c r="G30" s="12" t="str">
        <f>Join_Audit!I37</f>
        <v>CADC0873</v>
      </c>
      <c r="H30" s="12">
        <f>Join_Audit!J37</f>
        <v>1.32498E-5</v>
      </c>
      <c r="I30" s="25">
        <f>Join_Audit!L37</f>
        <v>44589.740960648152</v>
      </c>
      <c r="J30" s="12">
        <f>Join_Audit!O37</f>
        <v>2</v>
      </c>
      <c r="K30" s="12">
        <f>INDEX(COMM_Beacons!$D$6:$D$66,AA30)</f>
        <v>167</v>
      </c>
      <c r="L30" s="25">
        <f>Join_Audit!R37</f>
        <v>44589.740972222222</v>
      </c>
      <c r="M30" s="12">
        <f>OMNI_Normalized!J11</f>
        <v>6.4</v>
      </c>
      <c r="N30" s="12">
        <f>OMNI_Normalized!K11</f>
        <v>-1.67</v>
      </c>
      <c r="O30" s="12">
        <f>OMNI_Normalized!L11</f>
        <v>417.8</v>
      </c>
      <c r="P30" s="12">
        <f>OMNI_Normalized!M11</f>
        <v>5.63</v>
      </c>
      <c r="Q30" s="12">
        <f>OMNI_Normalized!P11</f>
        <v>72</v>
      </c>
      <c r="R30" s="12">
        <f>OMNI_Normalized!Q11</f>
        <v>1</v>
      </c>
      <c r="S30" s="14">
        <f>Settings!$B$28</f>
        <v>100</v>
      </c>
      <c r="T30" s="14">
        <f>Settings!$B$29</f>
        <v>0.02</v>
      </c>
      <c r="U30" s="14">
        <f>Settings!$B$12</f>
        <v>300</v>
      </c>
      <c r="V30" s="14">
        <f>Settings!$B$25</f>
        <v>0.25</v>
      </c>
      <c r="W30" s="14">
        <f>Settings!$B$21</f>
        <v>4</v>
      </c>
      <c r="X30" s="14">
        <f>Settings!$B$24</f>
        <v>12</v>
      </c>
      <c r="Y30" s="12" t="str">
        <f>Join_Audit!S37</f>
        <v>ACCEPT</v>
      </c>
      <c r="Z30" s="12" t="s">
        <v>857</v>
      </c>
      <c r="AA30" s="34">
        <v>21</v>
      </c>
      <c r="AB30" s="34" t="str">
        <f>INDEX(COMM_Beacons!$E$6:$E$66,AA30)</f>
        <v>CRC32C_VERIFIED</v>
      </c>
      <c r="AC30" s="34">
        <f>INDEX(COMM_Beacons!$K$6:$K$66,$AA30)</f>
        <v>373</v>
      </c>
      <c r="AD30" s="34">
        <f>INDEX(COMM_Beacons!$L$6:$L$66,$AA30)</f>
        <v>373</v>
      </c>
      <c r="AE30" s="34">
        <f>INDEX(COMM_Beacons!$M$6:$M$66,$AA30)</f>
        <v>-83</v>
      </c>
      <c r="AF30" s="34">
        <f>INDEX(COMM_Beacons!$N$6:$N$66,$AA30)</f>
        <v>257</v>
      </c>
      <c r="AG30" s="34">
        <f>INDEX(COMM_Beacons!$O$6:$O$66,$AA30)</f>
        <v>33446</v>
      </c>
      <c r="AH30" s="34">
        <f>INDEX(COMM_Beacons!$P$6:$P$66,$AA30)</f>
        <v>11</v>
      </c>
      <c r="AI30" s="34">
        <f>INDEX(COMM_Beacons!$Q$6:$Q$66,$AA30)</f>
        <v>4388569</v>
      </c>
      <c r="AJ30" s="34">
        <f>INDEX(COMM_Beacons!$R$6:$R$66,$AA30)</f>
        <v>110</v>
      </c>
      <c r="AK30" s="34">
        <f>INDEX(COMM_Beacons!$S$6:$S$66,$AA30)</f>
        <v>2</v>
      </c>
      <c r="AL30" s="34">
        <f>INDEX(COMM_Beacons!$T$6:$T$66,$AA30)</f>
        <v>1126</v>
      </c>
      <c r="AM30" s="34">
        <f>INDEX(COMM_Beacons!$U$6:$U$66,$AA30)</f>
        <v>256</v>
      </c>
      <c r="AN30" s="34">
        <f>INDEX(COMM_Beacons!$V$6:$V$66,$AA30)</f>
        <v>1035520017</v>
      </c>
      <c r="AO30" s="34">
        <f>INDEX(COMM_Beacons!$W$6:$W$66,$AA30)</f>
        <v>-104</v>
      </c>
      <c r="AP30" s="34">
        <f>INDEX(COMM_Beacons!$X$6:$X$66,$AA30)</f>
        <v>1</v>
      </c>
      <c r="AQ30" s="34">
        <f>INDEX(COMM_Beacons!$Y$6:$Y$66,$AA30)</f>
        <v>17475762</v>
      </c>
      <c r="AR30" s="34">
        <f>INDEX(COMM_Beacons!$Z$6:$Z$66,$AA30)</f>
        <v>22035</v>
      </c>
      <c r="AS30" s="34">
        <f>INDEX(COMM_Beacons!$AA$6:$AA$66,$AA30)</f>
        <v>3048168814</v>
      </c>
      <c r="AT30" s="34">
        <f>INDEX(COMM_Beacons!$AB$6:$AB$66,$AA30)</f>
        <v>1105712</v>
      </c>
      <c r="AU30" s="36">
        <f>IF(AA30&lt;=1,"",INDEX(COMM_Counter_Deltas!$J$6:$J$65,AA30-1))</f>
        <v>9.4</v>
      </c>
      <c r="AV30" s="35">
        <f>IF(AA30&lt;=1,"",INDEX(COMM_Counter_Deltas!$B$6:$B$65,AA30-1))</f>
        <v>44589.740844907406</v>
      </c>
      <c r="AW30" s="35">
        <f>IF(AA30&lt;=1,"",INDEX(COMM_Counter_Deltas!$C$6:$C$65,AA30-1))</f>
        <v>44589.740960648152</v>
      </c>
      <c r="AX30" s="34" t="b">
        <v>1</v>
      </c>
      <c r="AY30" s="34">
        <v>2</v>
      </c>
      <c r="AZ30" s="34">
        <f>INDEX(OMNI_Normalized!$N$6:$N$18,MATCH(L30,OMNI_Normalized!$C$6:$C$18,0))</f>
        <v>42936</v>
      </c>
      <c r="BA30" s="37">
        <f>INDEX(OMNI_Normalized!$O$6:$O$18,MATCH(L30,OMNI_Normalized!$C$6:$C$18,0))</f>
        <v>1.97</v>
      </c>
      <c r="BB30" s="34">
        <f>INDEX(OMNI_Normalized!$H$6:$H$18,MATCH(L30,OMNI_Normalized!$C$6:$C$18,0))</f>
        <v>100</v>
      </c>
      <c r="BC30" s="34">
        <f>INDEX(OMNI_Normalized!$F$6:$F$18,MATCH(L30,OMNI_Normalized!$C$6:$C$18,0))</f>
        <v>51</v>
      </c>
      <c r="BD30" s="34">
        <f>INDEX(OMNI_Normalized!$G$6:$G$18,MATCH(L30,OMNI_Normalized!$C$6:$C$18,0))</f>
        <v>51</v>
      </c>
    </row>
    <row r="31" spans="1:56" ht="24" customHeight="1" x14ac:dyDescent="0.2">
      <c r="A31" s="7">
        <v>26</v>
      </c>
      <c r="B31" s="7">
        <v>33</v>
      </c>
      <c r="C31" s="25">
        <f>Join_Audit!C38</f>
        <v>44589.741041666668</v>
      </c>
      <c r="D31" s="12">
        <f>Join_Audit!E38</f>
        <v>257</v>
      </c>
      <c r="E31" s="12">
        <f>Join_Audit!F38</f>
        <v>1353</v>
      </c>
      <c r="F31" s="12">
        <f>Join_Audit!G38</f>
        <v>0</v>
      </c>
      <c r="G31" s="12" t="str">
        <f>Join_Audit!I38</f>
        <v>CADC0873</v>
      </c>
      <c r="H31" s="12">
        <f>Join_Audit!J38</f>
        <v>2.3263699999999999E-6</v>
      </c>
      <c r="I31" s="25">
        <f>Join_Audit!L38</f>
        <v>44589.740960648152</v>
      </c>
      <c r="J31" s="12">
        <f>Join_Audit!O38</f>
        <v>7</v>
      </c>
      <c r="K31" s="12">
        <f>INDEX(COMM_Beacons!$D$6:$D$66,AA31)</f>
        <v>167</v>
      </c>
      <c r="L31" s="25">
        <f>Join_Audit!R38</f>
        <v>44589.740972222222</v>
      </c>
      <c r="M31" s="12">
        <f>OMNI_Normalized!J11</f>
        <v>6.4</v>
      </c>
      <c r="N31" s="12">
        <f>OMNI_Normalized!K11</f>
        <v>-1.67</v>
      </c>
      <c r="O31" s="12">
        <f>OMNI_Normalized!L11</f>
        <v>417.8</v>
      </c>
      <c r="P31" s="12">
        <f>OMNI_Normalized!M11</f>
        <v>5.63</v>
      </c>
      <c r="Q31" s="12">
        <f>OMNI_Normalized!P11</f>
        <v>72</v>
      </c>
      <c r="R31" s="12">
        <f>OMNI_Normalized!Q11</f>
        <v>1</v>
      </c>
      <c r="S31" s="14">
        <f>Settings!$B$28</f>
        <v>100</v>
      </c>
      <c r="T31" s="14">
        <f>Settings!$B$29</f>
        <v>0.02</v>
      </c>
      <c r="U31" s="14">
        <f>Settings!$B$12</f>
        <v>300</v>
      </c>
      <c r="V31" s="14">
        <f>Settings!$B$25</f>
        <v>0.25</v>
      </c>
      <c r="W31" s="14">
        <f>Settings!$B$21</f>
        <v>4</v>
      </c>
      <c r="X31" s="14">
        <f>Settings!$B$24</f>
        <v>12</v>
      </c>
      <c r="Y31" s="12" t="str">
        <f>Join_Audit!S38</f>
        <v>ACCEPT</v>
      </c>
      <c r="Z31" s="12" t="s">
        <v>857</v>
      </c>
      <c r="AA31" s="34">
        <v>21</v>
      </c>
      <c r="AB31" s="34" t="str">
        <f>INDEX(COMM_Beacons!$E$6:$E$66,AA31)</f>
        <v>CRC32C_VERIFIED</v>
      </c>
      <c r="AC31" s="34">
        <f>INDEX(COMM_Beacons!$K$6:$K$66,$AA31)</f>
        <v>373</v>
      </c>
      <c r="AD31" s="34">
        <f>INDEX(COMM_Beacons!$L$6:$L$66,$AA31)</f>
        <v>373</v>
      </c>
      <c r="AE31" s="34">
        <f>INDEX(COMM_Beacons!$M$6:$M$66,$AA31)</f>
        <v>-83</v>
      </c>
      <c r="AF31" s="34">
        <f>INDEX(COMM_Beacons!$N$6:$N$66,$AA31)</f>
        <v>257</v>
      </c>
      <c r="AG31" s="34">
        <f>INDEX(COMM_Beacons!$O$6:$O$66,$AA31)</f>
        <v>33446</v>
      </c>
      <c r="AH31" s="34">
        <f>INDEX(COMM_Beacons!$P$6:$P$66,$AA31)</f>
        <v>11</v>
      </c>
      <c r="AI31" s="34">
        <f>INDEX(COMM_Beacons!$Q$6:$Q$66,$AA31)</f>
        <v>4388569</v>
      </c>
      <c r="AJ31" s="34">
        <f>INDEX(COMM_Beacons!$R$6:$R$66,$AA31)</f>
        <v>110</v>
      </c>
      <c r="AK31" s="34">
        <f>INDEX(COMM_Beacons!$S$6:$S$66,$AA31)</f>
        <v>2</v>
      </c>
      <c r="AL31" s="34">
        <f>INDEX(COMM_Beacons!$T$6:$T$66,$AA31)</f>
        <v>1126</v>
      </c>
      <c r="AM31" s="34">
        <f>INDEX(COMM_Beacons!$U$6:$U$66,$AA31)</f>
        <v>256</v>
      </c>
      <c r="AN31" s="34">
        <f>INDEX(COMM_Beacons!$V$6:$V$66,$AA31)</f>
        <v>1035520017</v>
      </c>
      <c r="AO31" s="34">
        <f>INDEX(COMM_Beacons!$W$6:$W$66,$AA31)</f>
        <v>-104</v>
      </c>
      <c r="AP31" s="34">
        <f>INDEX(COMM_Beacons!$X$6:$X$66,$AA31)</f>
        <v>1</v>
      </c>
      <c r="AQ31" s="34">
        <f>INDEX(COMM_Beacons!$Y$6:$Y$66,$AA31)</f>
        <v>17475762</v>
      </c>
      <c r="AR31" s="34">
        <f>INDEX(COMM_Beacons!$Z$6:$Z$66,$AA31)</f>
        <v>22035</v>
      </c>
      <c r="AS31" s="34">
        <f>INDEX(COMM_Beacons!$AA$6:$AA$66,$AA31)</f>
        <v>3048168814</v>
      </c>
      <c r="AT31" s="34">
        <f>INDEX(COMM_Beacons!$AB$6:$AB$66,$AA31)</f>
        <v>1105712</v>
      </c>
      <c r="AU31" s="36">
        <f>IF(AA31&lt;=1,"",INDEX(COMM_Counter_Deltas!$J$6:$J$65,AA31-1))</f>
        <v>9.4</v>
      </c>
      <c r="AV31" s="35">
        <f>IF(AA31&lt;=1,"",INDEX(COMM_Counter_Deltas!$B$6:$B$65,AA31-1))</f>
        <v>44589.740844907406</v>
      </c>
      <c r="AW31" s="35">
        <f>IF(AA31&lt;=1,"",INDEX(COMM_Counter_Deltas!$C$6:$C$65,AA31-1))</f>
        <v>44589.740960648152</v>
      </c>
      <c r="AX31" s="34" t="b">
        <v>1</v>
      </c>
      <c r="AY31" s="34">
        <v>7</v>
      </c>
      <c r="AZ31" s="34">
        <f>INDEX(OMNI_Normalized!$N$6:$N$18,MATCH(L31,OMNI_Normalized!$C$6:$C$18,0))</f>
        <v>42936</v>
      </c>
      <c r="BA31" s="37">
        <f>INDEX(OMNI_Normalized!$O$6:$O$18,MATCH(L31,OMNI_Normalized!$C$6:$C$18,0))</f>
        <v>1.97</v>
      </c>
      <c r="BB31" s="34">
        <f>INDEX(OMNI_Normalized!$H$6:$H$18,MATCH(L31,OMNI_Normalized!$C$6:$C$18,0))</f>
        <v>100</v>
      </c>
      <c r="BC31" s="34">
        <f>INDEX(OMNI_Normalized!$F$6:$F$18,MATCH(L31,OMNI_Normalized!$C$6:$C$18,0))</f>
        <v>51</v>
      </c>
      <c r="BD31" s="34">
        <f>INDEX(OMNI_Normalized!$G$6:$G$18,MATCH(L31,OMNI_Normalized!$C$6:$C$18,0))</f>
        <v>51</v>
      </c>
    </row>
    <row r="32" spans="1:56" ht="24" customHeight="1" x14ac:dyDescent="0.2">
      <c r="A32" s="7">
        <v>27</v>
      </c>
      <c r="B32" s="7">
        <v>34</v>
      </c>
      <c r="C32" s="25">
        <f>Join_Audit!C39</f>
        <v>44589.741099537037</v>
      </c>
      <c r="D32" s="12">
        <f>Join_Audit!E39</f>
        <v>262</v>
      </c>
      <c r="E32" s="12">
        <f>Join_Audit!F39</f>
        <v>1353</v>
      </c>
      <c r="F32" s="12">
        <f>Join_Audit!G39</f>
        <v>0</v>
      </c>
      <c r="G32" s="12" t="str">
        <f>Join_Audit!I39</f>
        <v>CADC0873</v>
      </c>
      <c r="H32" s="12">
        <f>Join_Audit!J39</f>
        <v>-9.0199800000000003E-6</v>
      </c>
      <c r="I32" s="25">
        <f>Join_Audit!L39</f>
        <v>44589.741076388891</v>
      </c>
      <c r="J32" s="12">
        <f>Join_Audit!O39</f>
        <v>2</v>
      </c>
      <c r="K32" s="12">
        <f>INDEX(COMM_Beacons!$D$6:$D$66,AA32)</f>
        <v>164</v>
      </c>
      <c r="L32" s="25">
        <f>Join_Audit!R39</f>
        <v>44589.740972222222</v>
      </c>
      <c r="M32" s="12">
        <f>OMNI_Normalized!J11</f>
        <v>6.4</v>
      </c>
      <c r="N32" s="12">
        <f>OMNI_Normalized!K11</f>
        <v>-1.67</v>
      </c>
      <c r="O32" s="12">
        <f>OMNI_Normalized!L11</f>
        <v>417.8</v>
      </c>
      <c r="P32" s="12">
        <f>OMNI_Normalized!M11</f>
        <v>5.63</v>
      </c>
      <c r="Q32" s="12">
        <f>OMNI_Normalized!P11</f>
        <v>72</v>
      </c>
      <c r="R32" s="12">
        <f>OMNI_Normalized!Q11</f>
        <v>1</v>
      </c>
      <c r="S32" s="14">
        <f>Settings!$B$28</f>
        <v>100</v>
      </c>
      <c r="T32" s="14">
        <f>Settings!$B$29</f>
        <v>0.02</v>
      </c>
      <c r="U32" s="14">
        <f>Settings!$B$12</f>
        <v>300</v>
      </c>
      <c r="V32" s="14">
        <f>Settings!$B$25</f>
        <v>0.25</v>
      </c>
      <c r="W32" s="14">
        <f>Settings!$B$21</f>
        <v>4</v>
      </c>
      <c r="X32" s="14">
        <f>Settings!$B$24</f>
        <v>12</v>
      </c>
      <c r="Y32" s="12" t="str">
        <f>Join_Audit!S39</f>
        <v>ACCEPT</v>
      </c>
      <c r="Z32" s="12" t="s">
        <v>857</v>
      </c>
      <c r="AA32" s="34">
        <v>22</v>
      </c>
      <c r="AB32" s="34" t="str">
        <f>INDEX(COMM_Beacons!$E$6:$E$66,AA32)</f>
        <v>CRC32C_VERIFIED</v>
      </c>
      <c r="AC32" s="34">
        <f>INDEX(COMM_Beacons!$K$6:$K$66,$AA32)</f>
        <v>373</v>
      </c>
      <c r="AD32" s="34">
        <f>INDEX(COMM_Beacons!$L$6:$L$66,$AA32)</f>
        <v>373</v>
      </c>
      <c r="AE32" s="34">
        <f>INDEX(COMM_Beacons!$M$6:$M$66,$AA32)</f>
        <v>-83</v>
      </c>
      <c r="AF32" s="34">
        <f>INDEX(COMM_Beacons!$N$6:$N$66,$AA32)</f>
        <v>257</v>
      </c>
      <c r="AG32" s="34">
        <f>INDEX(COMM_Beacons!$O$6:$O$66,$AA32)</f>
        <v>33447</v>
      </c>
      <c r="AH32" s="34">
        <f>INDEX(COMM_Beacons!$P$6:$P$66,$AA32)</f>
        <v>11</v>
      </c>
      <c r="AI32" s="34">
        <f>INDEX(COMM_Beacons!$Q$6:$Q$66,$AA32)</f>
        <v>4388663</v>
      </c>
      <c r="AJ32" s="34">
        <f>INDEX(COMM_Beacons!$R$6:$R$66,$AA32)</f>
        <v>110</v>
      </c>
      <c r="AK32" s="34">
        <f>INDEX(COMM_Beacons!$S$6:$S$66,$AA32)</f>
        <v>2</v>
      </c>
      <c r="AL32" s="34">
        <f>INDEX(COMM_Beacons!$T$6:$T$66,$AA32)</f>
        <v>1126</v>
      </c>
      <c r="AM32" s="34">
        <f>INDEX(COMM_Beacons!$U$6:$U$66,$AA32)</f>
        <v>256</v>
      </c>
      <c r="AN32" s="34">
        <f>INDEX(COMM_Beacons!$V$6:$V$66,$AA32)</f>
        <v>1035520017</v>
      </c>
      <c r="AO32" s="34">
        <f>INDEX(COMM_Beacons!$W$6:$W$66,$AA32)</f>
        <v>-99</v>
      </c>
      <c r="AP32" s="34">
        <f>INDEX(COMM_Beacons!$X$6:$X$66,$AA32)</f>
        <v>1</v>
      </c>
      <c r="AQ32" s="34">
        <f>INDEX(COMM_Beacons!$Y$6:$Y$66,$AA32)</f>
        <v>17475763</v>
      </c>
      <c r="AR32" s="34">
        <f>INDEX(COMM_Beacons!$Z$6:$Z$66,$AA32)</f>
        <v>22035</v>
      </c>
      <c r="AS32" s="34">
        <f>INDEX(COMM_Beacons!$AA$6:$AA$66,$AA32)</f>
        <v>3048168908</v>
      </c>
      <c r="AT32" s="34">
        <f>INDEX(COMM_Beacons!$AB$6:$AB$66,$AA32)</f>
        <v>1105712</v>
      </c>
      <c r="AU32" s="36">
        <f>IF(AA32&lt;=1,"",INDEX(COMM_Counter_Deltas!$J$6:$J$65,AA32-1))</f>
        <v>9.4</v>
      </c>
      <c r="AV32" s="35">
        <f>IF(AA32&lt;=1,"",INDEX(COMM_Counter_Deltas!$B$6:$B$65,AA32-1))</f>
        <v>44589.740960648152</v>
      </c>
      <c r="AW32" s="35">
        <f>IF(AA32&lt;=1,"",INDEX(COMM_Counter_Deltas!$C$6:$C$65,AA32-1))</f>
        <v>44589.741076388891</v>
      </c>
      <c r="AX32" s="34" t="b">
        <v>1</v>
      </c>
      <c r="AY32" s="34">
        <v>2</v>
      </c>
      <c r="AZ32" s="34">
        <f>INDEX(OMNI_Normalized!$N$6:$N$18,MATCH(L32,OMNI_Normalized!$C$6:$C$18,0))</f>
        <v>42936</v>
      </c>
      <c r="BA32" s="37">
        <f>INDEX(OMNI_Normalized!$O$6:$O$18,MATCH(L32,OMNI_Normalized!$C$6:$C$18,0))</f>
        <v>1.97</v>
      </c>
      <c r="BB32" s="34">
        <f>INDEX(OMNI_Normalized!$H$6:$H$18,MATCH(L32,OMNI_Normalized!$C$6:$C$18,0))</f>
        <v>100</v>
      </c>
      <c r="BC32" s="34">
        <f>INDEX(OMNI_Normalized!$F$6:$F$18,MATCH(L32,OMNI_Normalized!$C$6:$C$18,0))</f>
        <v>51</v>
      </c>
      <c r="BD32" s="34">
        <f>INDEX(OMNI_Normalized!$G$6:$G$18,MATCH(L32,OMNI_Normalized!$C$6:$C$18,0))</f>
        <v>51</v>
      </c>
    </row>
    <row r="33" spans="1:56" ht="24" customHeight="1" x14ac:dyDescent="0.2">
      <c r="A33" s="7">
        <v>28</v>
      </c>
      <c r="B33" s="7">
        <v>35</v>
      </c>
      <c r="C33" s="25">
        <f>Join_Audit!C40</f>
        <v>44589.741168981483</v>
      </c>
      <c r="D33" s="12">
        <f>Join_Audit!E40</f>
        <v>268</v>
      </c>
      <c r="E33" s="12">
        <f>Join_Audit!F40</f>
        <v>1353</v>
      </c>
      <c r="F33" s="12">
        <f>Join_Audit!G40</f>
        <v>0</v>
      </c>
      <c r="G33" s="12" t="str">
        <f>Join_Audit!I40</f>
        <v>CADC0873</v>
      </c>
      <c r="H33" s="12">
        <f>Join_Audit!J40</f>
        <v>-2.07689E-5</v>
      </c>
      <c r="I33" s="25">
        <f>Join_Audit!L40</f>
        <v>44589.741076388891</v>
      </c>
      <c r="J33" s="12">
        <f>Join_Audit!O40</f>
        <v>8</v>
      </c>
      <c r="K33" s="12">
        <f>INDEX(COMM_Beacons!$D$6:$D$66,AA33)</f>
        <v>164</v>
      </c>
      <c r="L33" s="25">
        <f>Join_Audit!R40</f>
        <v>44589.740972222222</v>
      </c>
      <c r="M33" s="12">
        <f>OMNI_Normalized!J11</f>
        <v>6.4</v>
      </c>
      <c r="N33" s="12">
        <f>OMNI_Normalized!K11</f>
        <v>-1.67</v>
      </c>
      <c r="O33" s="12">
        <f>OMNI_Normalized!L11</f>
        <v>417.8</v>
      </c>
      <c r="P33" s="12">
        <f>OMNI_Normalized!M11</f>
        <v>5.63</v>
      </c>
      <c r="Q33" s="12">
        <f>OMNI_Normalized!P11</f>
        <v>72</v>
      </c>
      <c r="R33" s="12">
        <f>OMNI_Normalized!Q11</f>
        <v>1</v>
      </c>
      <c r="S33" s="14">
        <f>Settings!$B$28</f>
        <v>100</v>
      </c>
      <c r="T33" s="14">
        <f>Settings!$B$29</f>
        <v>0.02</v>
      </c>
      <c r="U33" s="14">
        <f>Settings!$B$12</f>
        <v>300</v>
      </c>
      <c r="V33" s="14">
        <f>Settings!$B$25</f>
        <v>0.25</v>
      </c>
      <c r="W33" s="14">
        <f>Settings!$B$21</f>
        <v>4</v>
      </c>
      <c r="X33" s="14">
        <f>Settings!$B$24</f>
        <v>12</v>
      </c>
      <c r="Y33" s="12" t="str">
        <f>Join_Audit!S40</f>
        <v>ACCEPT</v>
      </c>
      <c r="Z33" s="12" t="s">
        <v>857</v>
      </c>
      <c r="AA33" s="34">
        <v>22</v>
      </c>
      <c r="AB33" s="34" t="str">
        <f>INDEX(COMM_Beacons!$E$6:$E$66,AA33)</f>
        <v>CRC32C_VERIFIED</v>
      </c>
      <c r="AC33" s="34">
        <f>INDEX(COMM_Beacons!$K$6:$K$66,$AA33)</f>
        <v>373</v>
      </c>
      <c r="AD33" s="34">
        <f>INDEX(COMM_Beacons!$L$6:$L$66,$AA33)</f>
        <v>373</v>
      </c>
      <c r="AE33" s="34">
        <f>INDEX(COMM_Beacons!$M$6:$M$66,$AA33)</f>
        <v>-83</v>
      </c>
      <c r="AF33" s="34">
        <f>INDEX(COMM_Beacons!$N$6:$N$66,$AA33)</f>
        <v>257</v>
      </c>
      <c r="AG33" s="34">
        <f>INDEX(COMM_Beacons!$O$6:$O$66,$AA33)</f>
        <v>33447</v>
      </c>
      <c r="AH33" s="34">
        <f>INDEX(COMM_Beacons!$P$6:$P$66,$AA33)</f>
        <v>11</v>
      </c>
      <c r="AI33" s="34">
        <f>INDEX(COMM_Beacons!$Q$6:$Q$66,$AA33)</f>
        <v>4388663</v>
      </c>
      <c r="AJ33" s="34">
        <f>INDEX(COMM_Beacons!$R$6:$R$66,$AA33)</f>
        <v>110</v>
      </c>
      <c r="AK33" s="34">
        <f>INDEX(COMM_Beacons!$S$6:$S$66,$AA33)</f>
        <v>2</v>
      </c>
      <c r="AL33" s="34">
        <f>INDEX(COMM_Beacons!$T$6:$T$66,$AA33)</f>
        <v>1126</v>
      </c>
      <c r="AM33" s="34">
        <f>INDEX(COMM_Beacons!$U$6:$U$66,$AA33)</f>
        <v>256</v>
      </c>
      <c r="AN33" s="34">
        <f>INDEX(COMM_Beacons!$V$6:$V$66,$AA33)</f>
        <v>1035520017</v>
      </c>
      <c r="AO33" s="34">
        <f>INDEX(COMM_Beacons!$W$6:$W$66,$AA33)</f>
        <v>-99</v>
      </c>
      <c r="AP33" s="34">
        <f>INDEX(COMM_Beacons!$X$6:$X$66,$AA33)</f>
        <v>1</v>
      </c>
      <c r="AQ33" s="34">
        <f>INDEX(COMM_Beacons!$Y$6:$Y$66,$AA33)</f>
        <v>17475763</v>
      </c>
      <c r="AR33" s="34">
        <f>INDEX(COMM_Beacons!$Z$6:$Z$66,$AA33)</f>
        <v>22035</v>
      </c>
      <c r="AS33" s="34">
        <f>INDEX(COMM_Beacons!$AA$6:$AA$66,$AA33)</f>
        <v>3048168908</v>
      </c>
      <c r="AT33" s="34">
        <f>INDEX(COMM_Beacons!$AB$6:$AB$66,$AA33)</f>
        <v>1105712</v>
      </c>
      <c r="AU33" s="36">
        <f>IF(AA33&lt;=1,"",INDEX(COMM_Counter_Deltas!$J$6:$J$65,AA33-1))</f>
        <v>9.4</v>
      </c>
      <c r="AV33" s="35">
        <f>IF(AA33&lt;=1,"",INDEX(COMM_Counter_Deltas!$B$6:$B$65,AA33-1))</f>
        <v>44589.740960648152</v>
      </c>
      <c r="AW33" s="35">
        <f>IF(AA33&lt;=1,"",INDEX(COMM_Counter_Deltas!$C$6:$C$65,AA33-1))</f>
        <v>44589.741076388891</v>
      </c>
      <c r="AX33" s="34" t="b">
        <v>1</v>
      </c>
      <c r="AY33" s="34">
        <v>8</v>
      </c>
      <c r="AZ33" s="34">
        <f>INDEX(OMNI_Normalized!$N$6:$N$18,MATCH(L33,OMNI_Normalized!$C$6:$C$18,0))</f>
        <v>42936</v>
      </c>
      <c r="BA33" s="37">
        <f>INDEX(OMNI_Normalized!$O$6:$O$18,MATCH(L33,OMNI_Normalized!$C$6:$C$18,0))</f>
        <v>1.97</v>
      </c>
      <c r="BB33" s="34">
        <f>INDEX(OMNI_Normalized!$H$6:$H$18,MATCH(L33,OMNI_Normalized!$C$6:$C$18,0))</f>
        <v>100</v>
      </c>
      <c r="BC33" s="34">
        <f>INDEX(OMNI_Normalized!$F$6:$F$18,MATCH(L33,OMNI_Normalized!$C$6:$C$18,0))</f>
        <v>51</v>
      </c>
      <c r="BD33" s="34">
        <f>INDEX(OMNI_Normalized!$G$6:$G$18,MATCH(L33,OMNI_Normalized!$C$6:$C$18,0))</f>
        <v>51</v>
      </c>
    </row>
    <row r="34" spans="1:56" ht="24" customHeight="1" x14ac:dyDescent="0.2">
      <c r="A34" s="7">
        <v>29</v>
      </c>
      <c r="B34" s="7">
        <v>36</v>
      </c>
      <c r="C34" s="25">
        <f>Join_Audit!C41</f>
        <v>44589.741226851853</v>
      </c>
      <c r="D34" s="12">
        <f>Join_Audit!E41</f>
        <v>273</v>
      </c>
      <c r="E34" s="12">
        <f>Join_Audit!F41</f>
        <v>1353</v>
      </c>
      <c r="F34" s="12">
        <f>Join_Audit!G41</f>
        <v>0</v>
      </c>
      <c r="G34" s="12" t="str">
        <f>Join_Audit!I41</f>
        <v>CADC0873</v>
      </c>
      <c r="H34" s="12">
        <f>Join_Audit!J41</f>
        <v>-2.7601299999999999E-5</v>
      </c>
      <c r="I34" s="25">
        <f>Join_Audit!L41</f>
        <v>44589.74119212963</v>
      </c>
      <c r="J34" s="12">
        <f>Join_Audit!O41</f>
        <v>3</v>
      </c>
      <c r="K34" s="12">
        <f>INDEX(COMM_Beacons!$D$6:$D$66,AA34)</f>
        <v>162</v>
      </c>
      <c r="L34" s="25">
        <f>Join_Audit!R41</f>
        <v>44589.740972222222</v>
      </c>
      <c r="M34" s="12">
        <f>OMNI_Normalized!J11</f>
        <v>6.4</v>
      </c>
      <c r="N34" s="12">
        <f>OMNI_Normalized!K11</f>
        <v>-1.67</v>
      </c>
      <c r="O34" s="12">
        <f>OMNI_Normalized!L11</f>
        <v>417.8</v>
      </c>
      <c r="P34" s="12">
        <f>OMNI_Normalized!M11</f>
        <v>5.63</v>
      </c>
      <c r="Q34" s="12">
        <f>OMNI_Normalized!P11</f>
        <v>72</v>
      </c>
      <c r="R34" s="12">
        <f>OMNI_Normalized!Q11</f>
        <v>1</v>
      </c>
      <c r="S34" s="14">
        <f>Settings!$B$28</f>
        <v>100</v>
      </c>
      <c r="T34" s="14">
        <f>Settings!$B$29</f>
        <v>0.02</v>
      </c>
      <c r="U34" s="14">
        <f>Settings!$B$12</f>
        <v>300</v>
      </c>
      <c r="V34" s="14">
        <f>Settings!$B$25</f>
        <v>0.25</v>
      </c>
      <c r="W34" s="14">
        <f>Settings!$B$21</f>
        <v>4</v>
      </c>
      <c r="X34" s="14">
        <f>Settings!$B$24</f>
        <v>12</v>
      </c>
      <c r="Y34" s="12" t="str">
        <f>Join_Audit!S41</f>
        <v>ACCEPT</v>
      </c>
      <c r="Z34" s="12" t="s">
        <v>857</v>
      </c>
      <c r="AA34" s="34">
        <v>23</v>
      </c>
      <c r="AB34" s="34" t="str">
        <f>INDEX(COMM_Beacons!$E$6:$E$66,AA34)</f>
        <v>CRC32C_VERIFIED</v>
      </c>
      <c r="AC34" s="34">
        <f>INDEX(COMM_Beacons!$K$6:$K$66,$AA34)</f>
        <v>373</v>
      </c>
      <c r="AD34" s="34">
        <f>INDEX(COMM_Beacons!$L$6:$L$66,$AA34)</f>
        <v>373</v>
      </c>
      <c r="AE34" s="34">
        <f>INDEX(COMM_Beacons!$M$6:$M$66,$AA34)</f>
        <v>-83</v>
      </c>
      <c r="AF34" s="34">
        <f>INDEX(COMM_Beacons!$N$6:$N$66,$AA34)</f>
        <v>257</v>
      </c>
      <c r="AG34" s="34">
        <f>INDEX(COMM_Beacons!$O$6:$O$66,$AA34)</f>
        <v>33448</v>
      </c>
      <c r="AH34" s="34">
        <f>INDEX(COMM_Beacons!$P$6:$P$66,$AA34)</f>
        <v>11</v>
      </c>
      <c r="AI34" s="34">
        <f>INDEX(COMM_Beacons!$Q$6:$Q$66,$AA34)</f>
        <v>4388757</v>
      </c>
      <c r="AJ34" s="34">
        <f>INDEX(COMM_Beacons!$R$6:$R$66,$AA34)</f>
        <v>110</v>
      </c>
      <c r="AK34" s="34">
        <f>INDEX(COMM_Beacons!$S$6:$S$66,$AA34)</f>
        <v>2</v>
      </c>
      <c r="AL34" s="34">
        <f>INDEX(COMM_Beacons!$T$6:$T$66,$AA34)</f>
        <v>1126</v>
      </c>
      <c r="AM34" s="34">
        <f>INDEX(COMM_Beacons!$U$6:$U$66,$AA34)</f>
        <v>256</v>
      </c>
      <c r="AN34" s="34">
        <f>INDEX(COMM_Beacons!$V$6:$V$66,$AA34)</f>
        <v>1035520017</v>
      </c>
      <c r="AO34" s="34">
        <f>INDEX(COMM_Beacons!$W$6:$W$66,$AA34)</f>
        <v>-96</v>
      </c>
      <c r="AP34" s="34">
        <f>INDEX(COMM_Beacons!$X$6:$X$66,$AA34)</f>
        <v>1</v>
      </c>
      <c r="AQ34" s="34">
        <f>INDEX(COMM_Beacons!$Y$6:$Y$66,$AA34)</f>
        <v>17475764</v>
      </c>
      <c r="AR34" s="34">
        <f>INDEX(COMM_Beacons!$Z$6:$Z$66,$AA34)</f>
        <v>22035</v>
      </c>
      <c r="AS34" s="34">
        <f>INDEX(COMM_Beacons!$AA$6:$AA$66,$AA34)</f>
        <v>3048169002</v>
      </c>
      <c r="AT34" s="34">
        <f>INDEX(COMM_Beacons!$AB$6:$AB$66,$AA34)</f>
        <v>1105712</v>
      </c>
      <c r="AU34" s="36">
        <f>IF(AA34&lt;=1,"",INDEX(COMM_Counter_Deltas!$J$6:$J$65,AA34-1))</f>
        <v>9.4</v>
      </c>
      <c r="AV34" s="35">
        <f>IF(AA34&lt;=1,"",INDEX(COMM_Counter_Deltas!$B$6:$B$65,AA34-1))</f>
        <v>44589.741076388891</v>
      </c>
      <c r="AW34" s="35">
        <f>IF(AA34&lt;=1,"",INDEX(COMM_Counter_Deltas!$C$6:$C$65,AA34-1))</f>
        <v>44589.74119212963</v>
      </c>
      <c r="AX34" s="34" t="b">
        <v>1</v>
      </c>
      <c r="AY34" s="34">
        <v>3</v>
      </c>
      <c r="AZ34" s="34">
        <f>INDEX(OMNI_Normalized!$N$6:$N$18,MATCH(L34,OMNI_Normalized!$C$6:$C$18,0))</f>
        <v>42936</v>
      </c>
      <c r="BA34" s="37">
        <f>INDEX(OMNI_Normalized!$O$6:$O$18,MATCH(L34,OMNI_Normalized!$C$6:$C$18,0))</f>
        <v>1.97</v>
      </c>
      <c r="BB34" s="34">
        <f>INDEX(OMNI_Normalized!$H$6:$H$18,MATCH(L34,OMNI_Normalized!$C$6:$C$18,0))</f>
        <v>100</v>
      </c>
      <c r="BC34" s="34">
        <f>INDEX(OMNI_Normalized!$F$6:$F$18,MATCH(L34,OMNI_Normalized!$C$6:$C$18,0))</f>
        <v>51</v>
      </c>
      <c r="BD34" s="34">
        <f>INDEX(OMNI_Normalized!$G$6:$G$18,MATCH(L34,OMNI_Normalized!$C$6:$C$18,0))</f>
        <v>51</v>
      </c>
    </row>
    <row r="35" spans="1:56" ht="24" customHeight="1" x14ac:dyDescent="0.2">
      <c r="A35" s="7">
        <v>30</v>
      </c>
      <c r="B35" s="7">
        <v>37</v>
      </c>
      <c r="C35" s="25">
        <f>Join_Audit!C42</f>
        <v>44589.741284722222</v>
      </c>
      <c r="D35" s="12">
        <f>Join_Audit!E42</f>
        <v>278</v>
      </c>
      <c r="E35" s="12">
        <f>Join_Audit!F42</f>
        <v>1353</v>
      </c>
      <c r="F35" s="12">
        <f>Join_Audit!G42</f>
        <v>0</v>
      </c>
      <c r="G35" s="12" t="str">
        <f>Join_Audit!I42</f>
        <v>CADC0873</v>
      </c>
      <c r="H35" s="12">
        <f>Join_Audit!J42</f>
        <v>-3.2347300000000001E-5</v>
      </c>
      <c r="I35" s="25">
        <f>Join_Audit!L42</f>
        <v>44589.74119212963</v>
      </c>
      <c r="J35" s="12">
        <f>Join_Audit!O42</f>
        <v>8</v>
      </c>
      <c r="K35" s="12">
        <f>INDEX(COMM_Beacons!$D$6:$D$66,AA35)</f>
        <v>162</v>
      </c>
      <c r="L35" s="25">
        <f>Join_Audit!R42</f>
        <v>44589.740972222222</v>
      </c>
      <c r="M35" s="12">
        <f>OMNI_Normalized!J11</f>
        <v>6.4</v>
      </c>
      <c r="N35" s="12">
        <f>OMNI_Normalized!K11</f>
        <v>-1.67</v>
      </c>
      <c r="O35" s="12">
        <f>OMNI_Normalized!L11</f>
        <v>417.8</v>
      </c>
      <c r="P35" s="12">
        <f>OMNI_Normalized!M11</f>
        <v>5.63</v>
      </c>
      <c r="Q35" s="12">
        <f>OMNI_Normalized!P11</f>
        <v>72</v>
      </c>
      <c r="R35" s="12">
        <f>OMNI_Normalized!Q11</f>
        <v>1</v>
      </c>
      <c r="S35" s="14">
        <f>Settings!$B$28</f>
        <v>100</v>
      </c>
      <c r="T35" s="14">
        <f>Settings!$B$29</f>
        <v>0.02</v>
      </c>
      <c r="U35" s="14">
        <f>Settings!$B$12</f>
        <v>300</v>
      </c>
      <c r="V35" s="14">
        <f>Settings!$B$25</f>
        <v>0.25</v>
      </c>
      <c r="W35" s="14">
        <f>Settings!$B$21</f>
        <v>4</v>
      </c>
      <c r="X35" s="14">
        <f>Settings!$B$24</f>
        <v>12</v>
      </c>
      <c r="Y35" s="12" t="str">
        <f>Join_Audit!S42</f>
        <v>ACCEPT</v>
      </c>
      <c r="Z35" s="12" t="s">
        <v>857</v>
      </c>
      <c r="AA35" s="34">
        <v>23</v>
      </c>
      <c r="AB35" s="34" t="str">
        <f>INDEX(COMM_Beacons!$E$6:$E$66,AA35)</f>
        <v>CRC32C_VERIFIED</v>
      </c>
      <c r="AC35" s="34">
        <f>INDEX(COMM_Beacons!$K$6:$K$66,$AA35)</f>
        <v>373</v>
      </c>
      <c r="AD35" s="34">
        <f>INDEX(COMM_Beacons!$L$6:$L$66,$AA35)</f>
        <v>373</v>
      </c>
      <c r="AE35" s="34">
        <f>INDEX(COMM_Beacons!$M$6:$M$66,$AA35)</f>
        <v>-83</v>
      </c>
      <c r="AF35" s="34">
        <f>INDEX(COMM_Beacons!$N$6:$N$66,$AA35)</f>
        <v>257</v>
      </c>
      <c r="AG35" s="34">
        <f>INDEX(COMM_Beacons!$O$6:$O$66,$AA35)</f>
        <v>33448</v>
      </c>
      <c r="AH35" s="34">
        <f>INDEX(COMM_Beacons!$P$6:$P$66,$AA35)</f>
        <v>11</v>
      </c>
      <c r="AI35" s="34">
        <f>INDEX(COMM_Beacons!$Q$6:$Q$66,$AA35)</f>
        <v>4388757</v>
      </c>
      <c r="AJ35" s="34">
        <f>INDEX(COMM_Beacons!$R$6:$R$66,$AA35)</f>
        <v>110</v>
      </c>
      <c r="AK35" s="34">
        <f>INDEX(COMM_Beacons!$S$6:$S$66,$AA35)</f>
        <v>2</v>
      </c>
      <c r="AL35" s="34">
        <f>INDEX(COMM_Beacons!$T$6:$T$66,$AA35)</f>
        <v>1126</v>
      </c>
      <c r="AM35" s="34">
        <f>INDEX(COMM_Beacons!$U$6:$U$66,$AA35)</f>
        <v>256</v>
      </c>
      <c r="AN35" s="34">
        <f>INDEX(COMM_Beacons!$V$6:$V$66,$AA35)</f>
        <v>1035520017</v>
      </c>
      <c r="AO35" s="34">
        <f>INDEX(COMM_Beacons!$W$6:$W$66,$AA35)</f>
        <v>-96</v>
      </c>
      <c r="AP35" s="34">
        <f>INDEX(COMM_Beacons!$X$6:$X$66,$AA35)</f>
        <v>1</v>
      </c>
      <c r="AQ35" s="34">
        <f>INDEX(COMM_Beacons!$Y$6:$Y$66,$AA35)</f>
        <v>17475764</v>
      </c>
      <c r="AR35" s="34">
        <f>INDEX(COMM_Beacons!$Z$6:$Z$66,$AA35)</f>
        <v>22035</v>
      </c>
      <c r="AS35" s="34">
        <f>INDEX(COMM_Beacons!$AA$6:$AA$66,$AA35)</f>
        <v>3048169002</v>
      </c>
      <c r="AT35" s="34">
        <f>INDEX(COMM_Beacons!$AB$6:$AB$66,$AA35)</f>
        <v>1105712</v>
      </c>
      <c r="AU35" s="36">
        <f>IF(AA35&lt;=1,"",INDEX(COMM_Counter_Deltas!$J$6:$J$65,AA35-1))</f>
        <v>9.4</v>
      </c>
      <c r="AV35" s="35">
        <f>IF(AA35&lt;=1,"",INDEX(COMM_Counter_Deltas!$B$6:$B$65,AA35-1))</f>
        <v>44589.741076388891</v>
      </c>
      <c r="AW35" s="35">
        <f>IF(AA35&lt;=1,"",INDEX(COMM_Counter_Deltas!$C$6:$C$65,AA35-1))</f>
        <v>44589.74119212963</v>
      </c>
      <c r="AX35" s="34" t="b">
        <v>1</v>
      </c>
      <c r="AY35" s="34">
        <v>8</v>
      </c>
      <c r="AZ35" s="34">
        <f>INDEX(OMNI_Normalized!$N$6:$N$18,MATCH(L35,OMNI_Normalized!$C$6:$C$18,0))</f>
        <v>42936</v>
      </c>
      <c r="BA35" s="37">
        <f>INDEX(OMNI_Normalized!$O$6:$O$18,MATCH(L35,OMNI_Normalized!$C$6:$C$18,0))</f>
        <v>1.97</v>
      </c>
      <c r="BB35" s="34">
        <f>INDEX(OMNI_Normalized!$H$6:$H$18,MATCH(L35,OMNI_Normalized!$C$6:$C$18,0))</f>
        <v>100</v>
      </c>
      <c r="BC35" s="34">
        <f>INDEX(OMNI_Normalized!$F$6:$F$18,MATCH(L35,OMNI_Normalized!$C$6:$C$18,0))</f>
        <v>51</v>
      </c>
      <c r="BD35" s="34">
        <f>INDEX(OMNI_Normalized!$G$6:$G$18,MATCH(L35,OMNI_Normalized!$C$6:$C$18,0))</f>
        <v>51</v>
      </c>
    </row>
    <row r="36" spans="1:56" ht="24" customHeight="1" x14ac:dyDescent="0.2">
      <c r="A36" s="7">
        <v>31</v>
      </c>
      <c r="B36" s="7">
        <v>38</v>
      </c>
      <c r="C36" s="25">
        <f>Join_Audit!C43</f>
        <v>44589.741342592592</v>
      </c>
      <c r="D36" s="12">
        <f>Join_Audit!E43</f>
        <v>283</v>
      </c>
      <c r="E36" s="12">
        <f>Join_Audit!F43</f>
        <v>1353</v>
      </c>
      <c r="F36" s="12">
        <f>Join_Audit!G43</f>
        <v>0</v>
      </c>
      <c r="G36" s="12" t="str">
        <f>Join_Audit!I43</f>
        <v>CADC0873</v>
      </c>
      <c r="H36" s="12">
        <f>Join_Audit!J43</f>
        <v>-3.3794999999999997E-5</v>
      </c>
      <c r="I36" s="25">
        <f>Join_Audit!L43</f>
        <v>44589.741307870368</v>
      </c>
      <c r="J36" s="12">
        <f>Join_Audit!O43</f>
        <v>3</v>
      </c>
      <c r="K36" s="12">
        <f>INDEX(COMM_Beacons!$D$6:$D$66,AA36)</f>
        <v>159</v>
      </c>
      <c r="L36" s="25">
        <f>Join_Audit!R43</f>
        <v>44589.740972222222</v>
      </c>
      <c r="M36" s="12">
        <f>OMNI_Normalized!J11</f>
        <v>6.4</v>
      </c>
      <c r="N36" s="12">
        <f>OMNI_Normalized!K11</f>
        <v>-1.67</v>
      </c>
      <c r="O36" s="12">
        <f>OMNI_Normalized!L11</f>
        <v>417.8</v>
      </c>
      <c r="P36" s="12">
        <f>OMNI_Normalized!M11</f>
        <v>5.63</v>
      </c>
      <c r="Q36" s="12">
        <f>OMNI_Normalized!P11</f>
        <v>72</v>
      </c>
      <c r="R36" s="12">
        <f>OMNI_Normalized!Q11</f>
        <v>1</v>
      </c>
      <c r="S36" s="14">
        <f>Settings!$B$28</f>
        <v>100</v>
      </c>
      <c r="T36" s="14">
        <f>Settings!$B$29</f>
        <v>0.02</v>
      </c>
      <c r="U36" s="14">
        <f>Settings!$B$12</f>
        <v>300</v>
      </c>
      <c r="V36" s="14">
        <f>Settings!$B$25</f>
        <v>0.25</v>
      </c>
      <c r="W36" s="14">
        <f>Settings!$B$21</f>
        <v>4</v>
      </c>
      <c r="X36" s="14">
        <f>Settings!$B$24</f>
        <v>12</v>
      </c>
      <c r="Y36" s="12" t="str">
        <f>Join_Audit!S43</f>
        <v>ACCEPT</v>
      </c>
      <c r="Z36" s="12" t="s">
        <v>857</v>
      </c>
      <c r="AA36" s="34">
        <v>24</v>
      </c>
      <c r="AB36" s="34" t="str">
        <f>INDEX(COMM_Beacons!$E$6:$E$66,AA36)</f>
        <v>PREPROCESSED_NO_CRC</v>
      </c>
      <c r="AC36" s="34">
        <f>INDEX(COMM_Beacons!$K$6:$K$66,$AA36)</f>
        <v>372</v>
      </c>
      <c r="AD36" s="34">
        <f>INDEX(COMM_Beacons!$L$6:$L$66,$AA36)</f>
        <v>372</v>
      </c>
      <c r="AE36" s="34">
        <f>INDEX(COMM_Beacons!$M$6:$M$66,$AA36)</f>
        <v>-83</v>
      </c>
      <c r="AF36" s="34">
        <f>INDEX(COMM_Beacons!$N$6:$N$66,$AA36)</f>
        <v>257</v>
      </c>
      <c r="AG36" s="34">
        <f>INDEX(COMM_Beacons!$O$6:$O$66,$AA36)</f>
        <v>33449</v>
      </c>
      <c r="AH36" s="34">
        <f>INDEX(COMM_Beacons!$P$6:$P$66,$AA36)</f>
        <v>11</v>
      </c>
      <c r="AI36" s="34">
        <f>INDEX(COMM_Beacons!$Q$6:$Q$66,$AA36)</f>
        <v>4388851</v>
      </c>
      <c r="AJ36" s="34">
        <f>INDEX(COMM_Beacons!$R$6:$R$66,$AA36)</f>
        <v>110</v>
      </c>
      <c r="AK36" s="34">
        <f>INDEX(COMM_Beacons!$S$6:$S$66,$AA36)</f>
        <v>2</v>
      </c>
      <c r="AL36" s="34">
        <f>INDEX(COMM_Beacons!$T$6:$T$66,$AA36)</f>
        <v>1126</v>
      </c>
      <c r="AM36" s="34">
        <f>INDEX(COMM_Beacons!$U$6:$U$66,$AA36)</f>
        <v>256</v>
      </c>
      <c r="AN36" s="34">
        <f>INDEX(COMM_Beacons!$V$6:$V$66,$AA36)</f>
        <v>1035520017</v>
      </c>
      <c r="AO36" s="34">
        <f>INDEX(COMM_Beacons!$W$6:$W$66,$AA36)</f>
        <v>-105</v>
      </c>
      <c r="AP36" s="34">
        <f>INDEX(COMM_Beacons!$X$6:$X$66,$AA36)</f>
        <v>1</v>
      </c>
      <c r="AQ36" s="34">
        <f>INDEX(COMM_Beacons!$Y$6:$Y$66,$AA36)</f>
        <v>17475765</v>
      </c>
      <c r="AR36" s="34">
        <f>INDEX(COMM_Beacons!$Z$6:$Z$66,$AA36)</f>
        <v>22035</v>
      </c>
      <c r="AS36" s="34">
        <f>INDEX(COMM_Beacons!$AA$6:$AA$66,$AA36)</f>
        <v>3048169096</v>
      </c>
      <c r="AT36" s="34">
        <f>INDEX(COMM_Beacons!$AB$6:$AB$66,$AA36)</f>
        <v>1105712</v>
      </c>
      <c r="AU36" s="36">
        <f>IF(AA36&lt;=1,"",INDEX(COMM_Counter_Deltas!$J$6:$J$65,AA36-1))</f>
        <v>9.4</v>
      </c>
      <c r="AV36" s="35">
        <f>IF(AA36&lt;=1,"",INDEX(COMM_Counter_Deltas!$B$6:$B$65,AA36-1))</f>
        <v>44589.74119212963</v>
      </c>
      <c r="AW36" s="35">
        <f>IF(AA36&lt;=1,"",INDEX(COMM_Counter_Deltas!$C$6:$C$65,AA36-1))</f>
        <v>44589.741307870368</v>
      </c>
      <c r="AX36" s="34" t="b">
        <v>0</v>
      </c>
      <c r="AY36" s="34">
        <v>13</v>
      </c>
      <c r="AZ36" s="34">
        <f>INDEX(OMNI_Normalized!$N$6:$N$18,MATCH(L36,OMNI_Normalized!$C$6:$C$18,0))</f>
        <v>42936</v>
      </c>
      <c r="BA36" s="37">
        <f>INDEX(OMNI_Normalized!$O$6:$O$18,MATCH(L36,OMNI_Normalized!$C$6:$C$18,0))</f>
        <v>1.97</v>
      </c>
      <c r="BB36" s="34">
        <f>INDEX(OMNI_Normalized!$H$6:$H$18,MATCH(L36,OMNI_Normalized!$C$6:$C$18,0))</f>
        <v>100</v>
      </c>
      <c r="BC36" s="34">
        <f>INDEX(OMNI_Normalized!$F$6:$F$18,MATCH(L36,OMNI_Normalized!$C$6:$C$18,0))</f>
        <v>51</v>
      </c>
      <c r="BD36" s="34">
        <f>INDEX(OMNI_Normalized!$G$6:$G$18,MATCH(L36,OMNI_Normalized!$C$6:$C$18,0))</f>
        <v>51</v>
      </c>
    </row>
    <row r="37" spans="1:56" ht="24" customHeight="1" x14ac:dyDescent="0.2">
      <c r="A37" s="7">
        <v>32</v>
      </c>
      <c r="B37" s="7">
        <v>39</v>
      </c>
      <c r="C37" s="25">
        <f>Join_Audit!C44</f>
        <v>44589.741400462961</v>
      </c>
      <c r="D37" s="12">
        <f>Join_Audit!E44</f>
        <v>288</v>
      </c>
      <c r="E37" s="12">
        <f>Join_Audit!F44</f>
        <v>1354</v>
      </c>
      <c r="F37" s="12">
        <f>Join_Audit!G44</f>
        <v>0</v>
      </c>
      <c r="G37" s="12" t="str">
        <f>Join_Audit!I44</f>
        <v>CADC0873</v>
      </c>
      <c r="H37" s="12">
        <f>Join_Audit!J44</f>
        <v>-3.2191399999999998E-5</v>
      </c>
      <c r="I37" s="25">
        <f>Join_Audit!L44</f>
        <v>44589.741307870368</v>
      </c>
      <c r="J37" s="12">
        <f>Join_Audit!O44</f>
        <v>8</v>
      </c>
      <c r="K37" s="12">
        <f>INDEX(COMM_Beacons!$D$6:$D$66,AA37)</f>
        <v>159</v>
      </c>
      <c r="L37" s="25">
        <f>Join_Audit!R44</f>
        <v>44589.740972222222</v>
      </c>
      <c r="M37" s="12">
        <f>OMNI_Normalized!J11</f>
        <v>6.4</v>
      </c>
      <c r="N37" s="12">
        <f>OMNI_Normalized!K11</f>
        <v>-1.67</v>
      </c>
      <c r="O37" s="12">
        <f>OMNI_Normalized!L11</f>
        <v>417.8</v>
      </c>
      <c r="P37" s="12">
        <f>OMNI_Normalized!M11</f>
        <v>5.63</v>
      </c>
      <c r="Q37" s="12">
        <f>OMNI_Normalized!P11</f>
        <v>72</v>
      </c>
      <c r="R37" s="12">
        <f>OMNI_Normalized!Q11</f>
        <v>1</v>
      </c>
      <c r="S37" s="14">
        <f>Settings!$B$28</f>
        <v>100</v>
      </c>
      <c r="T37" s="14">
        <f>Settings!$B$29</f>
        <v>0.02</v>
      </c>
      <c r="U37" s="14">
        <f>Settings!$B$12</f>
        <v>300</v>
      </c>
      <c r="V37" s="14">
        <f>Settings!$B$25</f>
        <v>0.25</v>
      </c>
      <c r="W37" s="14">
        <f>Settings!$B$21</f>
        <v>4</v>
      </c>
      <c r="X37" s="14">
        <f>Settings!$B$24</f>
        <v>12</v>
      </c>
      <c r="Y37" s="12" t="str">
        <f>Join_Audit!S44</f>
        <v>ACCEPT</v>
      </c>
      <c r="Z37" s="12" t="s">
        <v>857</v>
      </c>
      <c r="AA37" s="34">
        <v>24</v>
      </c>
      <c r="AB37" s="34" t="str">
        <f>INDEX(COMM_Beacons!$E$6:$E$66,AA37)</f>
        <v>PREPROCESSED_NO_CRC</v>
      </c>
      <c r="AC37" s="34">
        <f>INDEX(COMM_Beacons!$K$6:$K$66,$AA37)</f>
        <v>372</v>
      </c>
      <c r="AD37" s="34">
        <f>INDEX(COMM_Beacons!$L$6:$L$66,$AA37)</f>
        <v>372</v>
      </c>
      <c r="AE37" s="34">
        <f>INDEX(COMM_Beacons!$M$6:$M$66,$AA37)</f>
        <v>-83</v>
      </c>
      <c r="AF37" s="34">
        <f>INDEX(COMM_Beacons!$N$6:$N$66,$AA37)</f>
        <v>257</v>
      </c>
      <c r="AG37" s="34">
        <f>INDEX(COMM_Beacons!$O$6:$O$66,$AA37)</f>
        <v>33449</v>
      </c>
      <c r="AH37" s="34">
        <f>INDEX(COMM_Beacons!$P$6:$P$66,$AA37)</f>
        <v>11</v>
      </c>
      <c r="AI37" s="34">
        <f>INDEX(COMM_Beacons!$Q$6:$Q$66,$AA37)</f>
        <v>4388851</v>
      </c>
      <c r="AJ37" s="34">
        <f>INDEX(COMM_Beacons!$R$6:$R$66,$AA37)</f>
        <v>110</v>
      </c>
      <c r="AK37" s="34">
        <f>INDEX(COMM_Beacons!$S$6:$S$66,$AA37)</f>
        <v>2</v>
      </c>
      <c r="AL37" s="34">
        <f>INDEX(COMM_Beacons!$T$6:$T$66,$AA37)</f>
        <v>1126</v>
      </c>
      <c r="AM37" s="34">
        <f>INDEX(COMM_Beacons!$U$6:$U$66,$AA37)</f>
        <v>256</v>
      </c>
      <c r="AN37" s="34">
        <f>INDEX(COMM_Beacons!$V$6:$V$66,$AA37)</f>
        <v>1035520017</v>
      </c>
      <c r="AO37" s="34">
        <f>INDEX(COMM_Beacons!$W$6:$W$66,$AA37)</f>
        <v>-105</v>
      </c>
      <c r="AP37" s="34">
        <f>INDEX(COMM_Beacons!$X$6:$X$66,$AA37)</f>
        <v>1</v>
      </c>
      <c r="AQ37" s="34">
        <f>INDEX(COMM_Beacons!$Y$6:$Y$66,$AA37)</f>
        <v>17475765</v>
      </c>
      <c r="AR37" s="34">
        <f>INDEX(COMM_Beacons!$Z$6:$Z$66,$AA37)</f>
        <v>22035</v>
      </c>
      <c r="AS37" s="34">
        <f>INDEX(COMM_Beacons!$AA$6:$AA$66,$AA37)</f>
        <v>3048169096</v>
      </c>
      <c r="AT37" s="34">
        <f>INDEX(COMM_Beacons!$AB$6:$AB$66,$AA37)</f>
        <v>1105712</v>
      </c>
      <c r="AU37" s="36">
        <f>IF(AA37&lt;=1,"",INDEX(COMM_Counter_Deltas!$J$6:$J$65,AA37-1))</f>
        <v>9.4</v>
      </c>
      <c r="AV37" s="35">
        <f>IF(AA37&lt;=1,"",INDEX(COMM_Counter_Deltas!$B$6:$B$65,AA37-1))</f>
        <v>44589.74119212963</v>
      </c>
      <c r="AW37" s="35">
        <f>IF(AA37&lt;=1,"",INDEX(COMM_Counter_Deltas!$C$6:$C$65,AA37-1))</f>
        <v>44589.741307870368</v>
      </c>
      <c r="AX37" s="34" t="b">
        <v>0</v>
      </c>
      <c r="AY37" s="34">
        <v>18</v>
      </c>
      <c r="AZ37" s="34">
        <f>INDEX(OMNI_Normalized!$N$6:$N$18,MATCH(L37,OMNI_Normalized!$C$6:$C$18,0))</f>
        <v>42936</v>
      </c>
      <c r="BA37" s="37">
        <f>INDEX(OMNI_Normalized!$O$6:$O$18,MATCH(L37,OMNI_Normalized!$C$6:$C$18,0))</f>
        <v>1.97</v>
      </c>
      <c r="BB37" s="34">
        <f>INDEX(OMNI_Normalized!$H$6:$H$18,MATCH(L37,OMNI_Normalized!$C$6:$C$18,0))</f>
        <v>100</v>
      </c>
      <c r="BC37" s="34">
        <f>INDEX(OMNI_Normalized!$F$6:$F$18,MATCH(L37,OMNI_Normalized!$C$6:$C$18,0))</f>
        <v>51</v>
      </c>
      <c r="BD37" s="34">
        <f>INDEX(OMNI_Normalized!$G$6:$G$18,MATCH(L37,OMNI_Normalized!$C$6:$C$18,0))</f>
        <v>51</v>
      </c>
    </row>
    <row r="38" spans="1:56" ht="24" customHeight="1" x14ac:dyDescent="0.2">
      <c r="A38" s="7">
        <v>33</v>
      </c>
      <c r="B38" s="7">
        <v>40</v>
      </c>
      <c r="C38" s="25">
        <f>Join_Audit!C45</f>
        <v>44589.74145833333</v>
      </c>
      <c r="D38" s="12">
        <f>Join_Audit!E45</f>
        <v>293</v>
      </c>
      <c r="E38" s="12">
        <f>Join_Audit!F45</f>
        <v>1354</v>
      </c>
      <c r="F38" s="12">
        <f>Join_Audit!G45</f>
        <v>0</v>
      </c>
      <c r="G38" s="12" t="str">
        <f>Join_Audit!I45</f>
        <v>CADC0873</v>
      </c>
      <c r="H38" s="12">
        <f>Join_Audit!J45</f>
        <v>-2.7171699999999999E-5</v>
      </c>
      <c r="I38" s="25">
        <f>Join_Audit!L45</f>
        <v>44589.741423611107</v>
      </c>
      <c r="J38" s="12">
        <f>Join_Audit!O45</f>
        <v>3</v>
      </c>
      <c r="K38" s="12">
        <f>INDEX(COMM_Beacons!$D$6:$D$66,AA38)</f>
        <v>157</v>
      </c>
      <c r="L38" s="25">
        <f>Join_Audit!R45</f>
        <v>44589.740972222222</v>
      </c>
      <c r="M38" s="12">
        <f>OMNI_Normalized!J11</f>
        <v>6.4</v>
      </c>
      <c r="N38" s="12">
        <f>OMNI_Normalized!K11</f>
        <v>-1.67</v>
      </c>
      <c r="O38" s="12">
        <f>OMNI_Normalized!L11</f>
        <v>417.8</v>
      </c>
      <c r="P38" s="12">
        <f>OMNI_Normalized!M11</f>
        <v>5.63</v>
      </c>
      <c r="Q38" s="12">
        <f>OMNI_Normalized!P11</f>
        <v>72</v>
      </c>
      <c r="R38" s="12">
        <f>OMNI_Normalized!Q11</f>
        <v>1</v>
      </c>
      <c r="S38" s="14">
        <f>Settings!$B$28</f>
        <v>100</v>
      </c>
      <c r="T38" s="14">
        <f>Settings!$B$29</f>
        <v>0.02</v>
      </c>
      <c r="U38" s="14">
        <f>Settings!$B$12</f>
        <v>300</v>
      </c>
      <c r="V38" s="14">
        <f>Settings!$B$25</f>
        <v>0.25</v>
      </c>
      <c r="W38" s="14">
        <f>Settings!$B$21</f>
        <v>4</v>
      </c>
      <c r="X38" s="14">
        <f>Settings!$B$24</f>
        <v>12</v>
      </c>
      <c r="Y38" s="12" t="str">
        <f>Join_Audit!S45</f>
        <v>ACCEPT</v>
      </c>
      <c r="Z38" s="12" t="s">
        <v>857</v>
      </c>
      <c r="AA38" s="34">
        <v>25</v>
      </c>
      <c r="AB38" s="34" t="str">
        <f>INDEX(COMM_Beacons!$E$6:$E$66,AA38)</f>
        <v>CRC32C_VERIFIED</v>
      </c>
      <c r="AC38" s="34">
        <f>INDEX(COMM_Beacons!$K$6:$K$66,$AA38)</f>
        <v>372</v>
      </c>
      <c r="AD38" s="34">
        <f>INDEX(COMM_Beacons!$L$6:$L$66,$AA38)</f>
        <v>372</v>
      </c>
      <c r="AE38" s="34">
        <f>INDEX(COMM_Beacons!$M$6:$M$66,$AA38)</f>
        <v>-83</v>
      </c>
      <c r="AF38" s="34">
        <f>INDEX(COMM_Beacons!$N$6:$N$66,$AA38)</f>
        <v>257</v>
      </c>
      <c r="AG38" s="34">
        <f>INDEX(COMM_Beacons!$O$6:$O$66,$AA38)</f>
        <v>33450</v>
      </c>
      <c r="AH38" s="34">
        <f>INDEX(COMM_Beacons!$P$6:$P$66,$AA38)</f>
        <v>11</v>
      </c>
      <c r="AI38" s="34">
        <f>INDEX(COMM_Beacons!$Q$6:$Q$66,$AA38)</f>
        <v>4388945</v>
      </c>
      <c r="AJ38" s="34">
        <f>INDEX(COMM_Beacons!$R$6:$R$66,$AA38)</f>
        <v>110</v>
      </c>
      <c r="AK38" s="34">
        <f>INDEX(COMM_Beacons!$S$6:$S$66,$AA38)</f>
        <v>2</v>
      </c>
      <c r="AL38" s="34">
        <f>INDEX(COMM_Beacons!$T$6:$T$66,$AA38)</f>
        <v>1126</v>
      </c>
      <c r="AM38" s="34">
        <f>INDEX(COMM_Beacons!$U$6:$U$66,$AA38)</f>
        <v>256</v>
      </c>
      <c r="AN38" s="34">
        <f>INDEX(COMM_Beacons!$V$6:$V$66,$AA38)</f>
        <v>1035520017</v>
      </c>
      <c r="AO38" s="34">
        <f>INDEX(COMM_Beacons!$W$6:$W$66,$AA38)</f>
        <v>-99</v>
      </c>
      <c r="AP38" s="34">
        <f>INDEX(COMM_Beacons!$X$6:$X$66,$AA38)</f>
        <v>1</v>
      </c>
      <c r="AQ38" s="34">
        <f>INDEX(COMM_Beacons!$Y$6:$Y$66,$AA38)</f>
        <v>17475766</v>
      </c>
      <c r="AR38" s="34">
        <f>INDEX(COMM_Beacons!$Z$6:$Z$66,$AA38)</f>
        <v>22035</v>
      </c>
      <c r="AS38" s="34">
        <f>INDEX(COMM_Beacons!$AA$6:$AA$66,$AA38)</f>
        <v>3048169190</v>
      </c>
      <c r="AT38" s="34">
        <f>INDEX(COMM_Beacons!$AB$6:$AB$66,$AA38)</f>
        <v>1105712</v>
      </c>
      <c r="AU38" s="36">
        <f>IF(AA38&lt;=1,"",INDEX(COMM_Counter_Deltas!$J$6:$J$65,AA38-1))</f>
        <v>9.4</v>
      </c>
      <c r="AV38" s="35">
        <f>IF(AA38&lt;=1,"",INDEX(COMM_Counter_Deltas!$B$6:$B$65,AA38-1))</f>
        <v>44589.741307870368</v>
      </c>
      <c r="AW38" s="35">
        <f>IF(AA38&lt;=1,"",INDEX(COMM_Counter_Deltas!$C$6:$C$65,AA38-1))</f>
        <v>44589.741423611107</v>
      </c>
      <c r="AX38" s="34" t="b">
        <v>1</v>
      </c>
      <c r="AY38" s="34">
        <v>3</v>
      </c>
      <c r="AZ38" s="34">
        <f>INDEX(OMNI_Normalized!$N$6:$N$18,MATCH(L38,OMNI_Normalized!$C$6:$C$18,0))</f>
        <v>42936</v>
      </c>
      <c r="BA38" s="37">
        <f>INDEX(OMNI_Normalized!$O$6:$O$18,MATCH(L38,OMNI_Normalized!$C$6:$C$18,0))</f>
        <v>1.97</v>
      </c>
      <c r="BB38" s="34">
        <f>INDEX(OMNI_Normalized!$H$6:$H$18,MATCH(L38,OMNI_Normalized!$C$6:$C$18,0))</f>
        <v>100</v>
      </c>
      <c r="BC38" s="34">
        <f>INDEX(OMNI_Normalized!$F$6:$F$18,MATCH(L38,OMNI_Normalized!$C$6:$C$18,0))</f>
        <v>51</v>
      </c>
      <c r="BD38" s="34">
        <f>INDEX(OMNI_Normalized!$G$6:$G$18,MATCH(L38,OMNI_Normalized!$C$6:$C$18,0))</f>
        <v>51</v>
      </c>
    </row>
    <row r="39" spans="1:56" ht="24" customHeight="1" x14ac:dyDescent="0.2">
      <c r="A39" s="7">
        <v>34</v>
      </c>
      <c r="B39" s="7">
        <v>41</v>
      </c>
      <c r="C39" s="25">
        <f>Join_Audit!C46</f>
        <v>44589.741516203707</v>
      </c>
      <c r="D39" s="12">
        <f>Join_Audit!E46</f>
        <v>298</v>
      </c>
      <c r="E39" s="12">
        <f>Join_Audit!F46</f>
        <v>1354</v>
      </c>
      <c r="F39" s="12">
        <f>Join_Audit!G46</f>
        <v>0</v>
      </c>
      <c r="G39" s="12" t="str">
        <f>Join_Audit!I46</f>
        <v>CADC0873</v>
      </c>
      <c r="H39" s="12">
        <f>Join_Audit!J46</f>
        <v>-2.1469400000000001E-5</v>
      </c>
      <c r="I39" s="25">
        <f>Join_Audit!L46</f>
        <v>44589.741423611107</v>
      </c>
      <c r="J39" s="12">
        <f>Join_Audit!O46</f>
        <v>8</v>
      </c>
      <c r="K39" s="12">
        <f>INDEX(COMM_Beacons!$D$6:$D$66,AA39)</f>
        <v>157</v>
      </c>
      <c r="L39" s="25">
        <f>Join_Audit!R46</f>
        <v>44589.740972222222</v>
      </c>
      <c r="M39" s="12">
        <f>OMNI_Normalized!J11</f>
        <v>6.4</v>
      </c>
      <c r="N39" s="12">
        <f>OMNI_Normalized!K11</f>
        <v>-1.67</v>
      </c>
      <c r="O39" s="12">
        <f>OMNI_Normalized!L11</f>
        <v>417.8</v>
      </c>
      <c r="P39" s="12">
        <f>OMNI_Normalized!M11</f>
        <v>5.63</v>
      </c>
      <c r="Q39" s="12">
        <f>OMNI_Normalized!P11</f>
        <v>72</v>
      </c>
      <c r="R39" s="12">
        <f>OMNI_Normalized!Q11</f>
        <v>1</v>
      </c>
      <c r="S39" s="14">
        <f>Settings!$B$28</f>
        <v>100</v>
      </c>
      <c r="T39" s="14">
        <f>Settings!$B$29</f>
        <v>0.02</v>
      </c>
      <c r="U39" s="14">
        <f>Settings!$B$12</f>
        <v>300</v>
      </c>
      <c r="V39" s="14">
        <f>Settings!$B$25</f>
        <v>0.25</v>
      </c>
      <c r="W39" s="14">
        <f>Settings!$B$21</f>
        <v>4</v>
      </c>
      <c r="X39" s="14">
        <f>Settings!$B$24</f>
        <v>12</v>
      </c>
      <c r="Y39" s="12" t="str">
        <f>Join_Audit!S46</f>
        <v>ACCEPT</v>
      </c>
      <c r="Z39" s="12" t="s">
        <v>857</v>
      </c>
      <c r="AA39" s="34">
        <v>25</v>
      </c>
      <c r="AB39" s="34" t="str">
        <f>INDEX(COMM_Beacons!$E$6:$E$66,AA39)</f>
        <v>CRC32C_VERIFIED</v>
      </c>
      <c r="AC39" s="34">
        <f>INDEX(COMM_Beacons!$K$6:$K$66,$AA39)</f>
        <v>372</v>
      </c>
      <c r="AD39" s="34">
        <f>INDEX(COMM_Beacons!$L$6:$L$66,$AA39)</f>
        <v>372</v>
      </c>
      <c r="AE39" s="34">
        <f>INDEX(COMM_Beacons!$M$6:$M$66,$AA39)</f>
        <v>-83</v>
      </c>
      <c r="AF39" s="34">
        <f>INDEX(COMM_Beacons!$N$6:$N$66,$AA39)</f>
        <v>257</v>
      </c>
      <c r="AG39" s="34">
        <f>INDEX(COMM_Beacons!$O$6:$O$66,$AA39)</f>
        <v>33450</v>
      </c>
      <c r="AH39" s="34">
        <f>INDEX(COMM_Beacons!$P$6:$P$66,$AA39)</f>
        <v>11</v>
      </c>
      <c r="AI39" s="34">
        <f>INDEX(COMM_Beacons!$Q$6:$Q$66,$AA39)</f>
        <v>4388945</v>
      </c>
      <c r="AJ39" s="34">
        <f>INDEX(COMM_Beacons!$R$6:$R$66,$AA39)</f>
        <v>110</v>
      </c>
      <c r="AK39" s="34">
        <f>INDEX(COMM_Beacons!$S$6:$S$66,$AA39)</f>
        <v>2</v>
      </c>
      <c r="AL39" s="34">
        <f>INDEX(COMM_Beacons!$T$6:$T$66,$AA39)</f>
        <v>1126</v>
      </c>
      <c r="AM39" s="34">
        <f>INDEX(COMM_Beacons!$U$6:$U$66,$AA39)</f>
        <v>256</v>
      </c>
      <c r="AN39" s="34">
        <f>INDEX(COMM_Beacons!$V$6:$V$66,$AA39)</f>
        <v>1035520017</v>
      </c>
      <c r="AO39" s="34">
        <f>INDEX(COMM_Beacons!$W$6:$W$66,$AA39)</f>
        <v>-99</v>
      </c>
      <c r="AP39" s="34">
        <f>INDEX(COMM_Beacons!$X$6:$X$66,$AA39)</f>
        <v>1</v>
      </c>
      <c r="AQ39" s="34">
        <f>INDEX(COMM_Beacons!$Y$6:$Y$66,$AA39)</f>
        <v>17475766</v>
      </c>
      <c r="AR39" s="34">
        <f>INDEX(COMM_Beacons!$Z$6:$Z$66,$AA39)</f>
        <v>22035</v>
      </c>
      <c r="AS39" s="34">
        <f>INDEX(COMM_Beacons!$AA$6:$AA$66,$AA39)</f>
        <v>3048169190</v>
      </c>
      <c r="AT39" s="34">
        <f>INDEX(COMM_Beacons!$AB$6:$AB$66,$AA39)</f>
        <v>1105712</v>
      </c>
      <c r="AU39" s="36">
        <f>IF(AA39&lt;=1,"",INDEX(COMM_Counter_Deltas!$J$6:$J$65,AA39-1))</f>
        <v>9.4</v>
      </c>
      <c r="AV39" s="35">
        <f>IF(AA39&lt;=1,"",INDEX(COMM_Counter_Deltas!$B$6:$B$65,AA39-1))</f>
        <v>44589.741307870368</v>
      </c>
      <c r="AW39" s="35">
        <f>IF(AA39&lt;=1,"",INDEX(COMM_Counter_Deltas!$C$6:$C$65,AA39-1))</f>
        <v>44589.741423611107</v>
      </c>
      <c r="AX39" s="34" t="b">
        <v>1</v>
      </c>
      <c r="AY39" s="34">
        <v>8</v>
      </c>
      <c r="AZ39" s="34">
        <f>INDEX(OMNI_Normalized!$N$6:$N$18,MATCH(L39,OMNI_Normalized!$C$6:$C$18,0))</f>
        <v>42936</v>
      </c>
      <c r="BA39" s="37">
        <f>INDEX(OMNI_Normalized!$O$6:$O$18,MATCH(L39,OMNI_Normalized!$C$6:$C$18,0))</f>
        <v>1.97</v>
      </c>
      <c r="BB39" s="34">
        <f>INDEX(OMNI_Normalized!$H$6:$H$18,MATCH(L39,OMNI_Normalized!$C$6:$C$18,0))</f>
        <v>100</v>
      </c>
      <c r="BC39" s="34">
        <f>INDEX(OMNI_Normalized!$F$6:$F$18,MATCH(L39,OMNI_Normalized!$C$6:$C$18,0))</f>
        <v>51</v>
      </c>
      <c r="BD39" s="34">
        <f>INDEX(OMNI_Normalized!$G$6:$G$18,MATCH(L39,OMNI_Normalized!$C$6:$C$18,0))</f>
        <v>51</v>
      </c>
    </row>
    <row r="40" spans="1:56" ht="24" customHeight="1" x14ac:dyDescent="0.2">
      <c r="A40" s="7">
        <v>35</v>
      </c>
      <c r="B40" s="7">
        <v>42</v>
      </c>
      <c r="C40" s="25">
        <f>Join_Audit!C47</f>
        <v>44589.741574074083</v>
      </c>
      <c r="D40" s="12">
        <f>Join_Audit!E47</f>
        <v>303</v>
      </c>
      <c r="E40" s="12">
        <f>Join_Audit!F47</f>
        <v>1354</v>
      </c>
      <c r="F40" s="12">
        <f>Join_Audit!G47</f>
        <v>0</v>
      </c>
      <c r="G40" s="12" t="str">
        <f>Join_Audit!I47</f>
        <v>CADC0873</v>
      </c>
      <c r="H40" s="12">
        <f>Join_Audit!J47</f>
        <v>-1.27337E-5</v>
      </c>
      <c r="I40" s="25">
        <f>Join_Audit!L47</f>
        <v>44589.741539351853</v>
      </c>
      <c r="J40" s="12">
        <f>Join_Audit!O47</f>
        <v>3</v>
      </c>
      <c r="K40" s="12">
        <f>INDEX(COMM_Beacons!$D$6:$D$66,AA40)</f>
        <v>154</v>
      </c>
      <c r="L40" s="25">
        <f>Join_Audit!R47</f>
        <v>44589.740972222222</v>
      </c>
      <c r="M40" s="12">
        <f>OMNI_Normalized!J11</f>
        <v>6.4</v>
      </c>
      <c r="N40" s="12">
        <f>OMNI_Normalized!K11</f>
        <v>-1.67</v>
      </c>
      <c r="O40" s="12">
        <f>OMNI_Normalized!L11</f>
        <v>417.8</v>
      </c>
      <c r="P40" s="12">
        <f>OMNI_Normalized!M11</f>
        <v>5.63</v>
      </c>
      <c r="Q40" s="12">
        <f>OMNI_Normalized!P11</f>
        <v>72</v>
      </c>
      <c r="R40" s="12">
        <f>OMNI_Normalized!Q11</f>
        <v>1</v>
      </c>
      <c r="S40" s="14">
        <f>Settings!$B$28</f>
        <v>100</v>
      </c>
      <c r="T40" s="14">
        <f>Settings!$B$29</f>
        <v>0.02</v>
      </c>
      <c r="U40" s="14">
        <f>Settings!$B$12</f>
        <v>300</v>
      </c>
      <c r="V40" s="14">
        <f>Settings!$B$25</f>
        <v>0.25</v>
      </c>
      <c r="W40" s="14">
        <f>Settings!$B$21</f>
        <v>4</v>
      </c>
      <c r="X40" s="14">
        <f>Settings!$B$24</f>
        <v>12</v>
      </c>
      <c r="Y40" s="12" t="str">
        <f>Join_Audit!S47</f>
        <v>ACCEPT</v>
      </c>
      <c r="Z40" s="12" t="s">
        <v>857</v>
      </c>
      <c r="AA40" s="34">
        <v>26</v>
      </c>
      <c r="AB40" s="34" t="str">
        <f>INDEX(COMM_Beacons!$E$6:$E$66,AA40)</f>
        <v>CRC32C_VERIFIED</v>
      </c>
      <c r="AC40" s="34">
        <f>INDEX(COMM_Beacons!$K$6:$K$66,$AA40)</f>
        <v>372</v>
      </c>
      <c r="AD40" s="34">
        <f>INDEX(COMM_Beacons!$L$6:$L$66,$AA40)</f>
        <v>372</v>
      </c>
      <c r="AE40" s="34">
        <f>INDEX(COMM_Beacons!$M$6:$M$66,$AA40)</f>
        <v>-83</v>
      </c>
      <c r="AF40" s="34">
        <f>INDEX(COMM_Beacons!$N$6:$N$66,$AA40)</f>
        <v>257</v>
      </c>
      <c r="AG40" s="34">
        <f>INDEX(COMM_Beacons!$O$6:$O$66,$AA40)</f>
        <v>33451</v>
      </c>
      <c r="AH40" s="34">
        <f>INDEX(COMM_Beacons!$P$6:$P$66,$AA40)</f>
        <v>11</v>
      </c>
      <c r="AI40" s="34">
        <f>INDEX(COMM_Beacons!$Q$6:$Q$66,$AA40)</f>
        <v>4389039</v>
      </c>
      <c r="AJ40" s="34">
        <f>INDEX(COMM_Beacons!$R$6:$R$66,$AA40)</f>
        <v>110</v>
      </c>
      <c r="AK40" s="34">
        <f>INDEX(COMM_Beacons!$S$6:$S$66,$AA40)</f>
        <v>2</v>
      </c>
      <c r="AL40" s="34">
        <f>INDEX(COMM_Beacons!$T$6:$T$66,$AA40)</f>
        <v>1126</v>
      </c>
      <c r="AM40" s="34">
        <f>INDEX(COMM_Beacons!$U$6:$U$66,$AA40)</f>
        <v>256</v>
      </c>
      <c r="AN40" s="34">
        <f>INDEX(COMM_Beacons!$V$6:$V$66,$AA40)</f>
        <v>1035520017</v>
      </c>
      <c r="AO40" s="34">
        <f>INDEX(COMM_Beacons!$W$6:$W$66,$AA40)</f>
        <v>-95</v>
      </c>
      <c r="AP40" s="34">
        <f>INDEX(COMM_Beacons!$X$6:$X$66,$AA40)</f>
        <v>1</v>
      </c>
      <c r="AQ40" s="34">
        <f>INDEX(COMM_Beacons!$Y$6:$Y$66,$AA40)</f>
        <v>17475767</v>
      </c>
      <c r="AR40" s="34">
        <f>INDEX(COMM_Beacons!$Z$6:$Z$66,$AA40)</f>
        <v>22035</v>
      </c>
      <c r="AS40" s="34">
        <f>INDEX(COMM_Beacons!$AA$6:$AA$66,$AA40)</f>
        <v>3048169284</v>
      </c>
      <c r="AT40" s="34">
        <f>INDEX(COMM_Beacons!$AB$6:$AB$66,$AA40)</f>
        <v>1105712</v>
      </c>
      <c r="AU40" s="36">
        <f>IF(AA40&lt;=1,"",INDEX(COMM_Counter_Deltas!$J$6:$J$65,AA40-1))</f>
        <v>9.4</v>
      </c>
      <c r="AV40" s="35">
        <f>IF(AA40&lt;=1,"",INDEX(COMM_Counter_Deltas!$B$6:$B$65,AA40-1))</f>
        <v>44589.741423611107</v>
      </c>
      <c r="AW40" s="35">
        <f>IF(AA40&lt;=1,"",INDEX(COMM_Counter_Deltas!$C$6:$C$65,AA40-1))</f>
        <v>44589.741539351853</v>
      </c>
      <c r="AX40" s="34" t="b">
        <v>1</v>
      </c>
      <c r="AY40" s="34">
        <v>3</v>
      </c>
      <c r="AZ40" s="34">
        <f>INDEX(OMNI_Normalized!$N$6:$N$18,MATCH(L40,OMNI_Normalized!$C$6:$C$18,0))</f>
        <v>42936</v>
      </c>
      <c r="BA40" s="37">
        <f>INDEX(OMNI_Normalized!$O$6:$O$18,MATCH(L40,OMNI_Normalized!$C$6:$C$18,0))</f>
        <v>1.97</v>
      </c>
      <c r="BB40" s="34">
        <f>INDEX(OMNI_Normalized!$H$6:$H$18,MATCH(L40,OMNI_Normalized!$C$6:$C$18,0))</f>
        <v>100</v>
      </c>
      <c r="BC40" s="34">
        <f>INDEX(OMNI_Normalized!$F$6:$F$18,MATCH(L40,OMNI_Normalized!$C$6:$C$18,0))</f>
        <v>51</v>
      </c>
      <c r="BD40" s="34">
        <f>INDEX(OMNI_Normalized!$G$6:$G$18,MATCH(L40,OMNI_Normalized!$C$6:$C$18,0))</f>
        <v>51</v>
      </c>
    </row>
    <row r="41" spans="1:56" ht="24" customHeight="1" x14ac:dyDescent="0.2">
      <c r="A41" s="7">
        <v>36</v>
      </c>
      <c r="B41" s="7">
        <v>43</v>
      </c>
      <c r="C41" s="25">
        <f>Join_Audit!C48</f>
        <v>44589.741631944453</v>
      </c>
      <c r="D41" s="12">
        <f>Join_Audit!E48</f>
        <v>308</v>
      </c>
      <c r="E41" s="12">
        <f>Join_Audit!F48</f>
        <v>1354</v>
      </c>
      <c r="F41" s="12">
        <f>Join_Audit!G48</f>
        <v>0</v>
      </c>
      <c r="G41" s="12" t="str">
        <f>Join_Audit!I48</f>
        <v>CADC0873</v>
      </c>
      <c r="H41" s="12">
        <f>Join_Audit!J48</f>
        <v>-4.6766600000000002E-6</v>
      </c>
      <c r="I41" s="25">
        <f>Join_Audit!L48</f>
        <v>44589.741539351853</v>
      </c>
      <c r="J41" s="12">
        <f>Join_Audit!O48</f>
        <v>8</v>
      </c>
      <c r="K41" s="12">
        <f>INDEX(COMM_Beacons!$D$6:$D$66,AA41)</f>
        <v>154</v>
      </c>
      <c r="L41" s="25">
        <f>Join_Audit!R48</f>
        <v>44589.740972222222</v>
      </c>
      <c r="M41" s="12">
        <f>OMNI_Normalized!J11</f>
        <v>6.4</v>
      </c>
      <c r="N41" s="12">
        <f>OMNI_Normalized!K11</f>
        <v>-1.67</v>
      </c>
      <c r="O41" s="12">
        <f>OMNI_Normalized!L11</f>
        <v>417.8</v>
      </c>
      <c r="P41" s="12">
        <f>OMNI_Normalized!M11</f>
        <v>5.63</v>
      </c>
      <c r="Q41" s="12">
        <f>OMNI_Normalized!P11</f>
        <v>72</v>
      </c>
      <c r="R41" s="12">
        <f>OMNI_Normalized!Q11</f>
        <v>1</v>
      </c>
      <c r="S41" s="14">
        <f>Settings!$B$28</f>
        <v>100</v>
      </c>
      <c r="T41" s="14">
        <f>Settings!$B$29</f>
        <v>0.02</v>
      </c>
      <c r="U41" s="14">
        <f>Settings!$B$12</f>
        <v>300</v>
      </c>
      <c r="V41" s="14">
        <f>Settings!$B$25</f>
        <v>0.25</v>
      </c>
      <c r="W41" s="14">
        <f>Settings!$B$21</f>
        <v>4</v>
      </c>
      <c r="X41" s="14">
        <f>Settings!$B$24</f>
        <v>12</v>
      </c>
      <c r="Y41" s="12" t="str">
        <f>Join_Audit!S48</f>
        <v>ACCEPT</v>
      </c>
      <c r="Z41" s="12" t="s">
        <v>857</v>
      </c>
      <c r="AA41" s="34">
        <v>26</v>
      </c>
      <c r="AB41" s="34" t="str">
        <f>INDEX(COMM_Beacons!$E$6:$E$66,AA41)</f>
        <v>CRC32C_VERIFIED</v>
      </c>
      <c r="AC41" s="34">
        <f>INDEX(COMM_Beacons!$K$6:$K$66,$AA41)</f>
        <v>372</v>
      </c>
      <c r="AD41" s="34">
        <f>INDEX(COMM_Beacons!$L$6:$L$66,$AA41)</f>
        <v>372</v>
      </c>
      <c r="AE41" s="34">
        <f>INDEX(COMM_Beacons!$M$6:$M$66,$AA41)</f>
        <v>-83</v>
      </c>
      <c r="AF41" s="34">
        <f>INDEX(COMM_Beacons!$N$6:$N$66,$AA41)</f>
        <v>257</v>
      </c>
      <c r="AG41" s="34">
        <f>INDEX(COMM_Beacons!$O$6:$O$66,$AA41)</f>
        <v>33451</v>
      </c>
      <c r="AH41" s="34">
        <f>INDEX(COMM_Beacons!$P$6:$P$66,$AA41)</f>
        <v>11</v>
      </c>
      <c r="AI41" s="34">
        <f>INDEX(COMM_Beacons!$Q$6:$Q$66,$AA41)</f>
        <v>4389039</v>
      </c>
      <c r="AJ41" s="34">
        <f>INDEX(COMM_Beacons!$R$6:$R$66,$AA41)</f>
        <v>110</v>
      </c>
      <c r="AK41" s="34">
        <f>INDEX(COMM_Beacons!$S$6:$S$66,$AA41)</f>
        <v>2</v>
      </c>
      <c r="AL41" s="34">
        <f>INDEX(COMM_Beacons!$T$6:$T$66,$AA41)</f>
        <v>1126</v>
      </c>
      <c r="AM41" s="34">
        <f>INDEX(COMM_Beacons!$U$6:$U$66,$AA41)</f>
        <v>256</v>
      </c>
      <c r="AN41" s="34">
        <f>INDEX(COMM_Beacons!$V$6:$V$66,$AA41)</f>
        <v>1035520017</v>
      </c>
      <c r="AO41" s="34">
        <f>INDEX(COMM_Beacons!$W$6:$W$66,$AA41)</f>
        <v>-95</v>
      </c>
      <c r="AP41" s="34">
        <f>INDEX(COMM_Beacons!$X$6:$X$66,$AA41)</f>
        <v>1</v>
      </c>
      <c r="AQ41" s="34">
        <f>INDEX(COMM_Beacons!$Y$6:$Y$66,$AA41)</f>
        <v>17475767</v>
      </c>
      <c r="AR41" s="34">
        <f>INDEX(COMM_Beacons!$Z$6:$Z$66,$AA41)</f>
        <v>22035</v>
      </c>
      <c r="AS41" s="34">
        <f>INDEX(COMM_Beacons!$AA$6:$AA$66,$AA41)</f>
        <v>3048169284</v>
      </c>
      <c r="AT41" s="34">
        <f>INDEX(COMM_Beacons!$AB$6:$AB$66,$AA41)</f>
        <v>1105712</v>
      </c>
      <c r="AU41" s="36">
        <f>IF(AA41&lt;=1,"",INDEX(COMM_Counter_Deltas!$J$6:$J$65,AA41-1))</f>
        <v>9.4</v>
      </c>
      <c r="AV41" s="35">
        <f>IF(AA41&lt;=1,"",INDEX(COMM_Counter_Deltas!$B$6:$B$65,AA41-1))</f>
        <v>44589.741423611107</v>
      </c>
      <c r="AW41" s="35">
        <f>IF(AA41&lt;=1,"",INDEX(COMM_Counter_Deltas!$C$6:$C$65,AA41-1))</f>
        <v>44589.741539351853</v>
      </c>
      <c r="AX41" s="34" t="b">
        <v>1</v>
      </c>
      <c r="AY41" s="34">
        <v>8</v>
      </c>
      <c r="AZ41" s="34">
        <f>INDEX(OMNI_Normalized!$N$6:$N$18,MATCH(L41,OMNI_Normalized!$C$6:$C$18,0))</f>
        <v>42936</v>
      </c>
      <c r="BA41" s="37">
        <f>INDEX(OMNI_Normalized!$O$6:$O$18,MATCH(L41,OMNI_Normalized!$C$6:$C$18,0))</f>
        <v>1.97</v>
      </c>
      <c r="BB41" s="34">
        <f>INDEX(OMNI_Normalized!$H$6:$H$18,MATCH(L41,OMNI_Normalized!$C$6:$C$18,0))</f>
        <v>100</v>
      </c>
      <c r="BC41" s="34">
        <f>INDEX(OMNI_Normalized!$F$6:$F$18,MATCH(L41,OMNI_Normalized!$C$6:$C$18,0))</f>
        <v>51</v>
      </c>
      <c r="BD41" s="34">
        <f>INDEX(OMNI_Normalized!$G$6:$G$18,MATCH(L41,OMNI_Normalized!$C$6:$C$18,0))</f>
        <v>51</v>
      </c>
    </row>
    <row r="42" spans="1:56" ht="24" customHeight="1" x14ac:dyDescent="0.2">
      <c r="A42" s="7">
        <v>37</v>
      </c>
      <c r="B42" s="7">
        <v>44</v>
      </c>
      <c r="C42" s="25">
        <f>Join_Audit!C49</f>
        <v>44589.741689814808</v>
      </c>
      <c r="D42" s="12">
        <f>Join_Audit!E49</f>
        <v>313</v>
      </c>
      <c r="E42" s="12">
        <f>Join_Audit!F49</f>
        <v>1354</v>
      </c>
      <c r="F42" s="12">
        <f>Join_Audit!G49</f>
        <v>0</v>
      </c>
      <c r="G42" s="12" t="str">
        <f>Join_Audit!I49</f>
        <v>CADC0873</v>
      </c>
      <c r="H42" s="12">
        <f>Join_Audit!J49</f>
        <v>2.6948699999999998E-6</v>
      </c>
      <c r="I42" s="25">
        <f>Join_Audit!L49</f>
        <v>44589.741655092592</v>
      </c>
      <c r="J42" s="12">
        <f>Join_Audit!O49</f>
        <v>3</v>
      </c>
      <c r="K42" s="12">
        <f>INDEX(COMM_Beacons!$D$6:$D$66,AA42)</f>
        <v>150</v>
      </c>
      <c r="L42" s="25">
        <f>Join_Audit!R49</f>
        <v>44589.741666666669</v>
      </c>
      <c r="M42" s="12">
        <f>OMNI_Normalized!J12</f>
        <v>6.43</v>
      </c>
      <c r="N42" s="12">
        <f>OMNI_Normalized!K12</f>
        <v>-1.3</v>
      </c>
      <c r="O42" s="12">
        <f>OMNI_Normalized!L12</f>
        <v>418.9</v>
      </c>
      <c r="P42" s="12">
        <f>OMNI_Normalized!M12</f>
        <v>5.5</v>
      </c>
      <c r="Q42" s="12">
        <f>OMNI_Normalized!P12</f>
        <v>70</v>
      </c>
      <c r="R42" s="12">
        <f>OMNI_Normalized!Q12</f>
        <v>1</v>
      </c>
      <c r="S42" s="14">
        <f>Settings!$B$28</f>
        <v>100</v>
      </c>
      <c r="T42" s="14">
        <f>Settings!$B$29</f>
        <v>0.02</v>
      </c>
      <c r="U42" s="14">
        <f>Settings!$B$12</f>
        <v>300</v>
      </c>
      <c r="V42" s="14">
        <f>Settings!$B$25</f>
        <v>0.25</v>
      </c>
      <c r="W42" s="14">
        <f>Settings!$B$21</f>
        <v>4</v>
      </c>
      <c r="X42" s="14">
        <f>Settings!$B$24</f>
        <v>12</v>
      </c>
      <c r="Y42" s="12" t="str">
        <f>Join_Audit!S49</f>
        <v>ACCEPT</v>
      </c>
      <c r="Z42" s="12" t="s">
        <v>857</v>
      </c>
      <c r="AA42" s="34">
        <v>27</v>
      </c>
      <c r="AB42" s="34" t="str">
        <f>INDEX(COMM_Beacons!$E$6:$E$66,AA42)</f>
        <v>CRC32C_VERIFIED</v>
      </c>
      <c r="AC42" s="34">
        <f>INDEX(COMM_Beacons!$K$6:$K$66,$AA42)</f>
        <v>371</v>
      </c>
      <c r="AD42" s="34">
        <f>INDEX(COMM_Beacons!$L$6:$L$66,$AA42)</f>
        <v>371</v>
      </c>
      <c r="AE42" s="34">
        <f>INDEX(COMM_Beacons!$M$6:$M$66,$AA42)</f>
        <v>-83</v>
      </c>
      <c r="AF42" s="34">
        <f>INDEX(COMM_Beacons!$N$6:$N$66,$AA42)</f>
        <v>257</v>
      </c>
      <c r="AG42" s="34">
        <f>INDEX(COMM_Beacons!$O$6:$O$66,$AA42)</f>
        <v>33452</v>
      </c>
      <c r="AH42" s="34">
        <f>INDEX(COMM_Beacons!$P$6:$P$66,$AA42)</f>
        <v>11</v>
      </c>
      <c r="AI42" s="34">
        <f>INDEX(COMM_Beacons!$Q$6:$Q$66,$AA42)</f>
        <v>4389133</v>
      </c>
      <c r="AJ42" s="34">
        <f>INDEX(COMM_Beacons!$R$6:$R$66,$AA42)</f>
        <v>110</v>
      </c>
      <c r="AK42" s="34">
        <f>INDEX(COMM_Beacons!$S$6:$S$66,$AA42)</f>
        <v>2</v>
      </c>
      <c r="AL42" s="34">
        <f>INDEX(COMM_Beacons!$T$6:$T$66,$AA42)</f>
        <v>1126</v>
      </c>
      <c r="AM42" s="34">
        <f>INDEX(COMM_Beacons!$U$6:$U$66,$AA42)</f>
        <v>256</v>
      </c>
      <c r="AN42" s="34">
        <f>INDEX(COMM_Beacons!$V$6:$V$66,$AA42)</f>
        <v>1035520017</v>
      </c>
      <c r="AO42" s="34">
        <f>INDEX(COMM_Beacons!$W$6:$W$66,$AA42)</f>
        <v>-113</v>
      </c>
      <c r="AP42" s="34">
        <f>INDEX(COMM_Beacons!$X$6:$X$66,$AA42)</f>
        <v>1</v>
      </c>
      <c r="AQ42" s="34">
        <f>INDEX(COMM_Beacons!$Y$6:$Y$66,$AA42)</f>
        <v>17475768</v>
      </c>
      <c r="AR42" s="34">
        <f>INDEX(COMM_Beacons!$Z$6:$Z$66,$AA42)</f>
        <v>22035</v>
      </c>
      <c r="AS42" s="34">
        <f>INDEX(COMM_Beacons!$AA$6:$AA$66,$AA42)</f>
        <v>3048169378</v>
      </c>
      <c r="AT42" s="34">
        <f>INDEX(COMM_Beacons!$AB$6:$AB$66,$AA42)</f>
        <v>1105712</v>
      </c>
      <c r="AU42" s="36">
        <f>IF(AA42&lt;=1,"",INDEX(COMM_Counter_Deltas!$J$6:$J$65,AA42-1))</f>
        <v>9.4</v>
      </c>
      <c r="AV42" s="35">
        <f>IF(AA42&lt;=1,"",INDEX(COMM_Counter_Deltas!$B$6:$B$65,AA42-1))</f>
        <v>44589.741539351853</v>
      </c>
      <c r="AW42" s="35">
        <f>IF(AA42&lt;=1,"",INDEX(COMM_Counter_Deltas!$C$6:$C$65,AA42-1))</f>
        <v>44589.741655092592</v>
      </c>
      <c r="AX42" s="34" t="b">
        <v>1</v>
      </c>
      <c r="AY42" s="34">
        <v>3</v>
      </c>
      <c r="AZ42" s="34">
        <f>INDEX(OMNI_Normalized!$N$6:$N$18,MATCH(L42,OMNI_Normalized!$C$6:$C$18,0))</f>
        <v>41910</v>
      </c>
      <c r="BA42" s="37">
        <f>INDEX(OMNI_Normalized!$O$6:$O$18,MATCH(L42,OMNI_Normalized!$C$6:$C$18,0))</f>
        <v>1.93</v>
      </c>
      <c r="BB42" s="34">
        <f>INDEX(OMNI_Normalized!$H$6:$H$18,MATCH(L42,OMNI_Normalized!$C$6:$C$18,0))</f>
        <v>100</v>
      </c>
      <c r="BC42" s="34">
        <f>INDEX(OMNI_Normalized!$F$6:$F$18,MATCH(L42,OMNI_Normalized!$C$6:$C$18,0))</f>
        <v>51</v>
      </c>
      <c r="BD42" s="34">
        <f>INDEX(OMNI_Normalized!$G$6:$G$18,MATCH(L42,OMNI_Normalized!$C$6:$C$18,0))</f>
        <v>51</v>
      </c>
    </row>
    <row r="43" spans="1:56" ht="24" customHeight="1" x14ac:dyDescent="0.2">
      <c r="A43" s="7">
        <v>38</v>
      </c>
      <c r="B43" s="7">
        <v>45</v>
      </c>
      <c r="C43" s="25">
        <f>Join_Audit!C50</f>
        <v>44589.741747685177</v>
      </c>
      <c r="D43" s="12">
        <f>Join_Audit!E50</f>
        <v>318</v>
      </c>
      <c r="E43" s="12">
        <f>Join_Audit!F50</f>
        <v>1354</v>
      </c>
      <c r="F43" s="12">
        <f>Join_Audit!G50</f>
        <v>0</v>
      </c>
      <c r="G43" s="12" t="str">
        <f>Join_Audit!I50</f>
        <v>CADC0873</v>
      </c>
      <c r="H43" s="12">
        <f>Join_Audit!J50</f>
        <v>9.1659899999999993E-6</v>
      </c>
      <c r="I43" s="25">
        <f>Join_Audit!L50</f>
        <v>44589.741655092592</v>
      </c>
      <c r="J43" s="12">
        <f>Join_Audit!O50</f>
        <v>8</v>
      </c>
      <c r="K43" s="12">
        <f>INDEX(COMM_Beacons!$D$6:$D$66,AA43)</f>
        <v>150</v>
      </c>
      <c r="L43" s="25">
        <f>Join_Audit!R50</f>
        <v>44589.741666666669</v>
      </c>
      <c r="M43" s="12">
        <f>OMNI_Normalized!J12</f>
        <v>6.43</v>
      </c>
      <c r="N43" s="12">
        <f>OMNI_Normalized!K12</f>
        <v>-1.3</v>
      </c>
      <c r="O43" s="12">
        <f>OMNI_Normalized!L12</f>
        <v>418.9</v>
      </c>
      <c r="P43" s="12">
        <f>OMNI_Normalized!M12</f>
        <v>5.5</v>
      </c>
      <c r="Q43" s="12">
        <f>OMNI_Normalized!P12</f>
        <v>70</v>
      </c>
      <c r="R43" s="12">
        <f>OMNI_Normalized!Q12</f>
        <v>1</v>
      </c>
      <c r="S43" s="14">
        <f>Settings!$B$28</f>
        <v>100</v>
      </c>
      <c r="T43" s="14">
        <f>Settings!$B$29</f>
        <v>0.02</v>
      </c>
      <c r="U43" s="14">
        <f>Settings!$B$12</f>
        <v>300</v>
      </c>
      <c r="V43" s="14">
        <f>Settings!$B$25</f>
        <v>0.25</v>
      </c>
      <c r="W43" s="14">
        <f>Settings!$B$21</f>
        <v>4</v>
      </c>
      <c r="X43" s="14">
        <f>Settings!$B$24</f>
        <v>12</v>
      </c>
      <c r="Y43" s="12" t="str">
        <f>Join_Audit!S50</f>
        <v>ACCEPT</v>
      </c>
      <c r="Z43" s="12" t="s">
        <v>857</v>
      </c>
      <c r="AA43" s="34">
        <v>27</v>
      </c>
      <c r="AB43" s="34" t="str">
        <f>INDEX(COMM_Beacons!$E$6:$E$66,AA43)</f>
        <v>CRC32C_VERIFIED</v>
      </c>
      <c r="AC43" s="34">
        <f>INDEX(COMM_Beacons!$K$6:$K$66,$AA43)</f>
        <v>371</v>
      </c>
      <c r="AD43" s="34">
        <f>INDEX(COMM_Beacons!$L$6:$L$66,$AA43)</f>
        <v>371</v>
      </c>
      <c r="AE43" s="34">
        <f>INDEX(COMM_Beacons!$M$6:$M$66,$AA43)</f>
        <v>-83</v>
      </c>
      <c r="AF43" s="34">
        <f>INDEX(COMM_Beacons!$N$6:$N$66,$AA43)</f>
        <v>257</v>
      </c>
      <c r="AG43" s="34">
        <f>INDEX(COMM_Beacons!$O$6:$O$66,$AA43)</f>
        <v>33452</v>
      </c>
      <c r="AH43" s="34">
        <f>INDEX(COMM_Beacons!$P$6:$P$66,$AA43)</f>
        <v>11</v>
      </c>
      <c r="AI43" s="34">
        <f>INDEX(COMM_Beacons!$Q$6:$Q$66,$AA43)</f>
        <v>4389133</v>
      </c>
      <c r="AJ43" s="34">
        <f>INDEX(COMM_Beacons!$R$6:$R$66,$AA43)</f>
        <v>110</v>
      </c>
      <c r="AK43" s="34">
        <f>INDEX(COMM_Beacons!$S$6:$S$66,$AA43)</f>
        <v>2</v>
      </c>
      <c r="AL43" s="34">
        <f>INDEX(COMM_Beacons!$T$6:$T$66,$AA43)</f>
        <v>1126</v>
      </c>
      <c r="AM43" s="34">
        <f>INDEX(COMM_Beacons!$U$6:$U$66,$AA43)</f>
        <v>256</v>
      </c>
      <c r="AN43" s="34">
        <f>INDEX(COMM_Beacons!$V$6:$V$66,$AA43)</f>
        <v>1035520017</v>
      </c>
      <c r="AO43" s="34">
        <f>INDEX(COMM_Beacons!$W$6:$W$66,$AA43)</f>
        <v>-113</v>
      </c>
      <c r="AP43" s="34">
        <f>INDEX(COMM_Beacons!$X$6:$X$66,$AA43)</f>
        <v>1</v>
      </c>
      <c r="AQ43" s="34">
        <f>INDEX(COMM_Beacons!$Y$6:$Y$66,$AA43)</f>
        <v>17475768</v>
      </c>
      <c r="AR43" s="34">
        <f>INDEX(COMM_Beacons!$Z$6:$Z$66,$AA43)</f>
        <v>22035</v>
      </c>
      <c r="AS43" s="34">
        <f>INDEX(COMM_Beacons!$AA$6:$AA$66,$AA43)</f>
        <v>3048169378</v>
      </c>
      <c r="AT43" s="34">
        <f>INDEX(COMM_Beacons!$AB$6:$AB$66,$AA43)</f>
        <v>1105712</v>
      </c>
      <c r="AU43" s="36">
        <f>IF(AA43&lt;=1,"",INDEX(COMM_Counter_Deltas!$J$6:$J$65,AA43-1))</f>
        <v>9.4</v>
      </c>
      <c r="AV43" s="35">
        <f>IF(AA43&lt;=1,"",INDEX(COMM_Counter_Deltas!$B$6:$B$65,AA43-1))</f>
        <v>44589.741539351853</v>
      </c>
      <c r="AW43" s="35">
        <f>IF(AA43&lt;=1,"",INDEX(COMM_Counter_Deltas!$C$6:$C$65,AA43-1))</f>
        <v>44589.741655092592</v>
      </c>
      <c r="AX43" s="34" t="b">
        <v>1</v>
      </c>
      <c r="AY43" s="34">
        <v>8</v>
      </c>
      <c r="AZ43" s="34">
        <f>INDEX(OMNI_Normalized!$N$6:$N$18,MATCH(L43,OMNI_Normalized!$C$6:$C$18,0))</f>
        <v>41910</v>
      </c>
      <c r="BA43" s="37">
        <f>INDEX(OMNI_Normalized!$O$6:$O$18,MATCH(L43,OMNI_Normalized!$C$6:$C$18,0))</f>
        <v>1.93</v>
      </c>
      <c r="BB43" s="34">
        <f>INDEX(OMNI_Normalized!$H$6:$H$18,MATCH(L43,OMNI_Normalized!$C$6:$C$18,0))</f>
        <v>100</v>
      </c>
      <c r="BC43" s="34">
        <f>INDEX(OMNI_Normalized!$F$6:$F$18,MATCH(L43,OMNI_Normalized!$C$6:$C$18,0))</f>
        <v>51</v>
      </c>
      <c r="BD43" s="34">
        <f>INDEX(OMNI_Normalized!$G$6:$G$18,MATCH(L43,OMNI_Normalized!$C$6:$C$18,0))</f>
        <v>51</v>
      </c>
    </row>
    <row r="44" spans="1:56" ht="24" customHeight="1" x14ac:dyDescent="0.2">
      <c r="A44" s="7">
        <v>39</v>
      </c>
      <c r="B44" s="7">
        <v>46</v>
      </c>
      <c r="C44" s="25">
        <f>Join_Audit!C51</f>
        <v>44589.741805555554</v>
      </c>
      <c r="D44" s="12">
        <f>Join_Audit!E51</f>
        <v>323</v>
      </c>
      <c r="E44" s="12">
        <f>Join_Audit!F51</f>
        <v>1354</v>
      </c>
      <c r="F44" s="12">
        <f>Join_Audit!G51</f>
        <v>0</v>
      </c>
      <c r="G44" s="12" t="str">
        <f>Join_Audit!I51</f>
        <v>CADC0873</v>
      </c>
      <c r="H44" s="12">
        <f>Join_Audit!J51</f>
        <v>1.49564E-5</v>
      </c>
      <c r="I44" s="25">
        <f>Join_Audit!L51</f>
        <v>44589.741770833331</v>
      </c>
      <c r="J44" s="12">
        <f>Join_Audit!O51</f>
        <v>3</v>
      </c>
      <c r="K44" s="12">
        <f>INDEX(COMM_Beacons!$D$6:$D$66,AA44)</f>
        <v>148</v>
      </c>
      <c r="L44" s="25">
        <f>Join_Audit!R51</f>
        <v>44589.741666666669</v>
      </c>
      <c r="M44" s="12">
        <f>OMNI_Normalized!J12</f>
        <v>6.43</v>
      </c>
      <c r="N44" s="12">
        <f>OMNI_Normalized!K12</f>
        <v>-1.3</v>
      </c>
      <c r="O44" s="12">
        <f>OMNI_Normalized!L12</f>
        <v>418.9</v>
      </c>
      <c r="P44" s="12">
        <f>OMNI_Normalized!M12</f>
        <v>5.5</v>
      </c>
      <c r="Q44" s="12">
        <f>OMNI_Normalized!P12</f>
        <v>70</v>
      </c>
      <c r="R44" s="12">
        <f>OMNI_Normalized!Q12</f>
        <v>1</v>
      </c>
      <c r="S44" s="14">
        <f>Settings!$B$28</f>
        <v>100</v>
      </c>
      <c r="T44" s="14">
        <f>Settings!$B$29</f>
        <v>0.02</v>
      </c>
      <c r="U44" s="14">
        <f>Settings!$B$12</f>
        <v>300</v>
      </c>
      <c r="V44" s="14">
        <f>Settings!$B$25</f>
        <v>0.25</v>
      </c>
      <c r="W44" s="14">
        <f>Settings!$B$21</f>
        <v>4</v>
      </c>
      <c r="X44" s="14">
        <f>Settings!$B$24</f>
        <v>12</v>
      </c>
      <c r="Y44" s="12" t="str">
        <f>Join_Audit!S51</f>
        <v>ACCEPT</v>
      </c>
      <c r="Z44" s="12" t="s">
        <v>857</v>
      </c>
      <c r="AA44" s="34">
        <v>28</v>
      </c>
      <c r="AB44" s="34" t="str">
        <f>INDEX(COMM_Beacons!$E$6:$E$66,AA44)</f>
        <v>CRC32C_VERIFIED</v>
      </c>
      <c r="AC44" s="34">
        <f>INDEX(COMM_Beacons!$K$6:$K$66,$AA44)</f>
        <v>371</v>
      </c>
      <c r="AD44" s="34">
        <f>INDEX(COMM_Beacons!$L$6:$L$66,$AA44)</f>
        <v>371</v>
      </c>
      <c r="AE44" s="34">
        <f>INDEX(COMM_Beacons!$M$6:$M$66,$AA44)</f>
        <v>-83</v>
      </c>
      <c r="AF44" s="34">
        <f>INDEX(COMM_Beacons!$N$6:$N$66,$AA44)</f>
        <v>257</v>
      </c>
      <c r="AG44" s="34">
        <f>INDEX(COMM_Beacons!$O$6:$O$66,$AA44)</f>
        <v>33453</v>
      </c>
      <c r="AH44" s="34">
        <f>INDEX(COMM_Beacons!$P$6:$P$66,$AA44)</f>
        <v>11</v>
      </c>
      <c r="AI44" s="34">
        <f>INDEX(COMM_Beacons!$Q$6:$Q$66,$AA44)</f>
        <v>4389227</v>
      </c>
      <c r="AJ44" s="34">
        <f>INDEX(COMM_Beacons!$R$6:$R$66,$AA44)</f>
        <v>110</v>
      </c>
      <c r="AK44" s="34">
        <f>INDEX(COMM_Beacons!$S$6:$S$66,$AA44)</f>
        <v>2</v>
      </c>
      <c r="AL44" s="34">
        <f>INDEX(COMM_Beacons!$T$6:$T$66,$AA44)</f>
        <v>1126</v>
      </c>
      <c r="AM44" s="34">
        <f>INDEX(COMM_Beacons!$U$6:$U$66,$AA44)</f>
        <v>256</v>
      </c>
      <c r="AN44" s="34">
        <f>INDEX(COMM_Beacons!$V$6:$V$66,$AA44)</f>
        <v>1035520017</v>
      </c>
      <c r="AO44" s="34">
        <f>INDEX(COMM_Beacons!$W$6:$W$66,$AA44)</f>
        <v>-112</v>
      </c>
      <c r="AP44" s="34">
        <f>INDEX(COMM_Beacons!$X$6:$X$66,$AA44)</f>
        <v>1</v>
      </c>
      <c r="AQ44" s="34">
        <f>INDEX(COMM_Beacons!$Y$6:$Y$66,$AA44)</f>
        <v>17475769</v>
      </c>
      <c r="AR44" s="34">
        <f>INDEX(COMM_Beacons!$Z$6:$Z$66,$AA44)</f>
        <v>22035</v>
      </c>
      <c r="AS44" s="34">
        <f>INDEX(COMM_Beacons!$AA$6:$AA$66,$AA44)</f>
        <v>3048169472</v>
      </c>
      <c r="AT44" s="34">
        <f>INDEX(COMM_Beacons!$AB$6:$AB$66,$AA44)</f>
        <v>1105712</v>
      </c>
      <c r="AU44" s="36">
        <f>IF(AA44&lt;=1,"",INDEX(COMM_Counter_Deltas!$J$6:$J$65,AA44-1))</f>
        <v>9.4</v>
      </c>
      <c r="AV44" s="35">
        <f>IF(AA44&lt;=1,"",INDEX(COMM_Counter_Deltas!$B$6:$B$65,AA44-1))</f>
        <v>44589.741655092592</v>
      </c>
      <c r="AW44" s="35">
        <f>IF(AA44&lt;=1,"",INDEX(COMM_Counter_Deltas!$C$6:$C$65,AA44-1))</f>
        <v>44589.741770833331</v>
      </c>
      <c r="AX44" s="34" t="b">
        <v>1</v>
      </c>
      <c r="AY44" s="34">
        <v>3</v>
      </c>
      <c r="AZ44" s="34">
        <f>INDEX(OMNI_Normalized!$N$6:$N$18,MATCH(L44,OMNI_Normalized!$C$6:$C$18,0))</f>
        <v>41910</v>
      </c>
      <c r="BA44" s="37">
        <f>INDEX(OMNI_Normalized!$O$6:$O$18,MATCH(L44,OMNI_Normalized!$C$6:$C$18,0))</f>
        <v>1.93</v>
      </c>
      <c r="BB44" s="34">
        <f>INDEX(OMNI_Normalized!$H$6:$H$18,MATCH(L44,OMNI_Normalized!$C$6:$C$18,0))</f>
        <v>100</v>
      </c>
      <c r="BC44" s="34">
        <f>INDEX(OMNI_Normalized!$F$6:$F$18,MATCH(L44,OMNI_Normalized!$C$6:$C$18,0))</f>
        <v>51</v>
      </c>
      <c r="BD44" s="34">
        <f>INDEX(OMNI_Normalized!$G$6:$G$18,MATCH(L44,OMNI_Normalized!$C$6:$C$18,0))</f>
        <v>51</v>
      </c>
    </row>
    <row r="45" spans="1:56" ht="24" customHeight="1" x14ac:dyDescent="0.2">
      <c r="A45" s="7">
        <v>40</v>
      </c>
      <c r="B45" s="7">
        <v>47</v>
      </c>
      <c r="C45" s="25">
        <f>Join_Audit!C52</f>
        <v>44589.741863425923</v>
      </c>
      <c r="D45" s="12">
        <f>Join_Audit!E52</f>
        <v>328</v>
      </c>
      <c r="E45" s="12">
        <f>Join_Audit!F52</f>
        <v>1354</v>
      </c>
      <c r="F45" s="12">
        <f>Join_Audit!G52</f>
        <v>0</v>
      </c>
      <c r="G45" s="12" t="str">
        <f>Join_Audit!I52</f>
        <v>CADC0873</v>
      </c>
      <c r="H45" s="12">
        <f>Join_Audit!J52</f>
        <v>1.7980599999999999E-5</v>
      </c>
      <c r="I45" s="25">
        <f>Join_Audit!L52</f>
        <v>44589.741770833331</v>
      </c>
      <c r="J45" s="12">
        <f>Join_Audit!O52</f>
        <v>8</v>
      </c>
      <c r="K45" s="12">
        <f>INDEX(COMM_Beacons!$D$6:$D$66,AA45)</f>
        <v>148</v>
      </c>
      <c r="L45" s="25">
        <f>Join_Audit!R52</f>
        <v>44589.741666666669</v>
      </c>
      <c r="M45" s="12">
        <f>OMNI_Normalized!J12</f>
        <v>6.43</v>
      </c>
      <c r="N45" s="12">
        <f>OMNI_Normalized!K12</f>
        <v>-1.3</v>
      </c>
      <c r="O45" s="12">
        <f>OMNI_Normalized!L12</f>
        <v>418.9</v>
      </c>
      <c r="P45" s="12">
        <f>OMNI_Normalized!M12</f>
        <v>5.5</v>
      </c>
      <c r="Q45" s="12">
        <f>OMNI_Normalized!P12</f>
        <v>70</v>
      </c>
      <c r="R45" s="12">
        <f>OMNI_Normalized!Q12</f>
        <v>1</v>
      </c>
      <c r="S45" s="14">
        <f>Settings!$B$28</f>
        <v>100</v>
      </c>
      <c r="T45" s="14">
        <f>Settings!$B$29</f>
        <v>0.02</v>
      </c>
      <c r="U45" s="14">
        <f>Settings!$B$12</f>
        <v>300</v>
      </c>
      <c r="V45" s="14">
        <f>Settings!$B$25</f>
        <v>0.25</v>
      </c>
      <c r="W45" s="14">
        <f>Settings!$B$21</f>
        <v>4</v>
      </c>
      <c r="X45" s="14">
        <f>Settings!$B$24</f>
        <v>12</v>
      </c>
      <c r="Y45" s="12" t="str">
        <f>Join_Audit!S52</f>
        <v>ACCEPT</v>
      </c>
      <c r="Z45" s="12" t="s">
        <v>857</v>
      </c>
      <c r="AA45" s="34">
        <v>28</v>
      </c>
      <c r="AB45" s="34" t="str">
        <f>INDEX(COMM_Beacons!$E$6:$E$66,AA45)</f>
        <v>CRC32C_VERIFIED</v>
      </c>
      <c r="AC45" s="34">
        <f>INDEX(COMM_Beacons!$K$6:$K$66,$AA45)</f>
        <v>371</v>
      </c>
      <c r="AD45" s="34">
        <f>INDEX(COMM_Beacons!$L$6:$L$66,$AA45)</f>
        <v>371</v>
      </c>
      <c r="AE45" s="34">
        <f>INDEX(COMM_Beacons!$M$6:$M$66,$AA45)</f>
        <v>-83</v>
      </c>
      <c r="AF45" s="34">
        <f>INDEX(COMM_Beacons!$N$6:$N$66,$AA45)</f>
        <v>257</v>
      </c>
      <c r="AG45" s="34">
        <f>INDEX(COMM_Beacons!$O$6:$O$66,$AA45)</f>
        <v>33453</v>
      </c>
      <c r="AH45" s="34">
        <f>INDEX(COMM_Beacons!$P$6:$P$66,$AA45)</f>
        <v>11</v>
      </c>
      <c r="AI45" s="34">
        <f>INDEX(COMM_Beacons!$Q$6:$Q$66,$AA45)</f>
        <v>4389227</v>
      </c>
      <c r="AJ45" s="34">
        <f>INDEX(COMM_Beacons!$R$6:$R$66,$AA45)</f>
        <v>110</v>
      </c>
      <c r="AK45" s="34">
        <f>INDEX(COMM_Beacons!$S$6:$S$66,$AA45)</f>
        <v>2</v>
      </c>
      <c r="AL45" s="34">
        <f>INDEX(COMM_Beacons!$T$6:$T$66,$AA45)</f>
        <v>1126</v>
      </c>
      <c r="AM45" s="34">
        <f>INDEX(COMM_Beacons!$U$6:$U$66,$AA45)</f>
        <v>256</v>
      </c>
      <c r="AN45" s="34">
        <f>INDEX(COMM_Beacons!$V$6:$V$66,$AA45)</f>
        <v>1035520017</v>
      </c>
      <c r="AO45" s="34">
        <f>INDEX(COMM_Beacons!$W$6:$W$66,$AA45)</f>
        <v>-112</v>
      </c>
      <c r="AP45" s="34">
        <f>INDEX(COMM_Beacons!$X$6:$X$66,$AA45)</f>
        <v>1</v>
      </c>
      <c r="AQ45" s="34">
        <f>INDEX(COMM_Beacons!$Y$6:$Y$66,$AA45)</f>
        <v>17475769</v>
      </c>
      <c r="AR45" s="34">
        <f>INDEX(COMM_Beacons!$Z$6:$Z$66,$AA45)</f>
        <v>22035</v>
      </c>
      <c r="AS45" s="34">
        <f>INDEX(COMM_Beacons!$AA$6:$AA$66,$AA45)</f>
        <v>3048169472</v>
      </c>
      <c r="AT45" s="34">
        <f>INDEX(COMM_Beacons!$AB$6:$AB$66,$AA45)</f>
        <v>1105712</v>
      </c>
      <c r="AU45" s="36">
        <f>IF(AA45&lt;=1,"",INDEX(COMM_Counter_Deltas!$J$6:$J$65,AA45-1))</f>
        <v>9.4</v>
      </c>
      <c r="AV45" s="35">
        <f>IF(AA45&lt;=1,"",INDEX(COMM_Counter_Deltas!$B$6:$B$65,AA45-1))</f>
        <v>44589.741655092592</v>
      </c>
      <c r="AW45" s="35">
        <f>IF(AA45&lt;=1,"",INDEX(COMM_Counter_Deltas!$C$6:$C$65,AA45-1))</f>
        <v>44589.741770833331</v>
      </c>
      <c r="AX45" s="34" t="b">
        <v>1</v>
      </c>
      <c r="AY45" s="34">
        <v>8</v>
      </c>
      <c r="AZ45" s="34">
        <f>INDEX(OMNI_Normalized!$N$6:$N$18,MATCH(L45,OMNI_Normalized!$C$6:$C$18,0))</f>
        <v>41910</v>
      </c>
      <c r="BA45" s="37">
        <f>INDEX(OMNI_Normalized!$O$6:$O$18,MATCH(L45,OMNI_Normalized!$C$6:$C$18,0))</f>
        <v>1.93</v>
      </c>
      <c r="BB45" s="34">
        <f>INDEX(OMNI_Normalized!$H$6:$H$18,MATCH(L45,OMNI_Normalized!$C$6:$C$18,0))</f>
        <v>100</v>
      </c>
      <c r="BC45" s="34">
        <f>INDEX(OMNI_Normalized!$F$6:$F$18,MATCH(L45,OMNI_Normalized!$C$6:$C$18,0))</f>
        <v>51</v>
      </c>
      <c r="BD45" s="34">
        <f>INDEX(OMNI_Normalized!$G$6:$G$18,MATCH(L45,OMNI_Normalized!$C$6:$C$18,0))</f>
        <v>51</v>
      </c>
    </row>
    <row r="46" spans="1:56" ht="24" customHeight="1" x14ac:dyDescent="0.2">
      <c r="A46" s="7">
        <v>41</v>
      </c>
      <c r="B46" s="7">
        <v>48</v>
      </c>
      <c r="C46" s="25">
        <f>Join_Audit!C53</f>
        <v>44589.7419212963</v>
      </c>
      <c r="D46" s="12">
        <f>Join_Audit!E53</f>
        <v>333</v>
      </c>
      <c r="E46" s="12">
        <f>Join_Audit!F53</f>
        <v>1354</v>
      </c>
      <c r="F46" s="12">
        <f>Join_Audit!G53</f>
        <v>0</v>
      </c>
      <c r="G46" s="12" t="str">
        <f>Join_Audit!I53</f>
        <v>CADC0873</v>
      </c>
      <c r="H46" s="12">
        <f>Join_Audit!J53</f>
        <v>2.1971300000000001E-5</v>
      </c>
      <c r="I46" s="25">
        <f>Join_Audit!L53</f>
        <v>44589.741886574076</v>
      </c>
      <c r="J46" s="12">
        <f>Join_Audit!O53</f>
        <v>3</v>
      </c>
      <c r="K46" s="12">
        <f>INDEX(COMM_Beacons!$D$6:$D$66,AA46)</f>
        <v>146</v>
      </c>
      <c r="L46" s="25">
        <f>Join_Audit!R53</f>
        <v>44589.741666666669</v>
      </c>
      <c r="M46" s="12">
        <f>OMNI_Normalized!J12</f>
        <v>6.43</v>
      </c>
      <c r="N46" s="12">
        <f>OMNI_Normalized!K12</f>
        <v>-1.3</v>
      </c>
      <c r="O46" s="12">
        <f>OMNI_Normalized!L12</f>
        <v>418.9</v>
      </c>
      <c r="P46" s="12">
        <f>OMNI_Normalized!M12</f>
        <v>5.5</v>
      </c>
      <c r="Q46" s="12">
        <f>OMNI_Normalized!P12</f>
        <v>70</v>
      </c>
      <c r="R46" s="12">
        <f>OMNI_Normalized!Q12</f>
        <v>1</v>
      </c>
      <c r="S46" s="14">
        <f>Settings!$B$28</f>
        <v>100</v>
      </c>
      <c r="T46" s="14">
        <f>Settings!$B$29</f>
        <v>0.02</v>
      </c>
      <c r="U46" s="14">
        <f>Settings!$B$12</f>
        <v>300</v>
      </c>
      <c r="V46" s="14">
        <f>Settings!$B$25</f>
        <v>0.25</v>
      </c>
      <c r="W46" s="14">
        <f>Settings!$B$21</f>
        <v>4</v>
      </c>
      <c r="X46" s="14">
        <f>Settings!$B$24</f>
        <v>12</v>
      </c>
      <c r="Y46" s="12" t="str">
        <f>Join_Audit!S53</f>
        <v>ACCEPT</v>
      </c>
      <c r="Z46" s="12" t="s">
        <v>857</v>
      </c>
      <c r="AA46" s="34">
        <v>29</v>
      </c>
      <c r="AB46" s="34" t="str">
        <f>INDEX(COMM_Beacons!$E$6:$E$66,AA46)</f>
        <v>PREPROCESSED_NO_CRC</v>
      </c>
      <c r="AC46" s="34">
        <f>INDEX(COMM_Beacons!$K$6:$K$66,$AA46)</f>
        <v>370</v>
      </c>
      <c r="AD46" s="34">
        <f>INDEX(COMM_Beacons!$L$6:$L$66,$AA46)</f>
        <v>371</v>
      </c>
      <c r="AE46" s="34">
        <f>INDEX(COMM_Beacons!$M$6:$M$66,$AA46)</f>
        <v>-83</v>
      </c>
      <c r="AF46" s="34">
        <f>INDEX(COMM_Beacons!$N$6:$N$66,$AA46)</f>
        <v>257</v>
      </c>
      <c r="AG46" s="34">
        <f>INDEX(COMM_Beacons!$O$6:$O$66,$AA46)</f>
        <v>33454</v>
      </c>
      <c r="AH46" s="34">
        <f>INDEX(COMM_Beacons!$P$6:$P$66,$AA46)</f>
        <v>11</v>
      </c>
      <c r="AI46" s="34">
        <f>INDEX(COMM_Beacons!$Q$6:$Q$66,$AA46)</f>
        <v>4389321</v>
      </c>
      <c r="AJ46" s="34">
        <f>INDEX(COMM_Beacons!$R$6:$R$66,$AA46)</f>
        <v>110</v>
      </c>
      <c r="AK46" s="34">
        <f>INDEX(COMM_Beacons!$S$6:$S$66,$AA46)</f>
        <v>2</v>
      </c>
      <c r="AL46" s="34">
        <f>INDEX(COMM_Beacons!$T$6:$T$66,$AA46)</f>
        <v>1126</v>
      </c>
      <c r="AM46" s="34">
        <f>INDEX(COMM_Beacons!$U$6:$U$66,$AA46)</f>
        <v>256</v>
      </c>
      <c r="AN46" s="34">
        <f>INDEX(COMM_Beacons!$V$6:$V$66,$AA46)</f>
        <v>1035520017</v>
      </c>
      <c r="AO46" s="34">
        <f>INDEX(COMM_Beacons!$W$6:$W$66,$AA46)</f>
        <v>-113</v>
      </c>
      <c r="AP46" s="34">
        <f>INDEX(COMM_Beacons!$X$6:$X$66,$AA46)</f>
        <v>1</v>
      </c>
      <c r="AQ46" s="34">
        <f>INDEX(COMM_Beacons!$Y$6:$Y$66,$AA46)</f>
        <v>17475770</v>
      </c>
      <c r="AR46" s="34">
        <f>INDEX(COMM_Beacons!$Z$6:$Z$66,$AA46)</f>
        <v>22035</v>
      </c>
      <c r="AS46" s="34">
        <f>INDEX(COMM_Beacons!$AA$6:$AA$66,$AA46)</f>
        <v>3048169566</v>
      </c>
      <c r="AT46" s="34">
        <f>INDEX(COMM_Beacons!$AB$6:$AB$66,$AA46)</f>
        <v>1105712</v>
      </c>
      <c r="AU46" s="36">
        <f>IF(AA46&lt;=1,"",INDEX(COMM_Counter_Deltas!$J$6:$J$65,AA46-1))</f>
        <v>9.4</v>
      </c>
      <c r="AV46" s="35">
        <f>IF(AA46&lt;=1,"",INDEX(COMM_Counter_Deltas!$B$6:$B$65,AA46-1))</f>
        <v>44589.741770833331</v>
      </c>
      <c r="AW46" s="35">
        <f>IF(AA46&lt;=1,"",INDEX(COMM_Counter_Deltas!$C$6:$C$65,AA46-1))</f>
        <v>44589.741886574076</v>
      </c>
      <c r="AX46" s="34" t="b">
        <v>0</v>
      </c>
      <c r="AY46" s="34">
        <v>13</v>
      </c>
      <c r="AZ46" s="34">
        <f>INDEX(OMNI_Normalized!$N$6:$N$18,MATCH(L46,OMNI_Normalized!$C$6:$C$18,0))</f>
        <v>41910</v>
      </c>
      <c r="BA46" s="37">
        <f>INDEX(OMNI_Normalized!$O$6:$O$18,MATCH(L46,OMNI_Normalized!$C$6:$C$18,0))</f>
        <v>1.93</v>
      </c>
      <c r="BB46" s="34">
        <f>INDEX(OMNI_Normalized!$H$6:$H$18,MATCH(L46,OMNI_Normalized!$C$6:$C$18,0))</f>
        <v>100</v>
      </c>
      <c r="BC46" s="34">
        <f>INDEX(OMNI_Normalized!$F$6:$F$18,MATCH(L46,OMNI_Normalized!$C$6:$C$18,0))</f>
        <v>51</v>
      </c>
      <c r="BD46" s="34">
        <f>INDEX(OMNI_Normalized!$G$6:$G$18,MATCH(L46,OMNI_Normalized!$C$6:$C$18,0))</f>
        <v>51</v>
      </c>
    </row>
    <row r="47" spans="1:56" ht="24" customHeight="1" x14ac:dyDescent="0.2">
      <c r="A47" s="7">
        <v>42</v>
      </c>
      <c r="B47" s="7">
        <v>49</v>
      </c>
      <c r="C47" s="25">
        <f>Join_Audit!C54</f>
        <v>44589.741979166669</v>
      </c>
      <c r="D47" s="12">
        <f>Join_Audit!E54</f>
        <v>338</v>
      </c>
      <c r="E47" s="12">
        <f>Join_Audit!F54</f>
        <v>1354</v>
      </c>
      <c r="F47" s="12">
        <f>Join_Audit!G54</f>
        <v>0</v>
      </c>
      <c r="G47" s="12" t="str">
        <f>Join_Audit!I54</f>
        <v>CADC0873</v>
      </c>
      <c r="H47" s="12">
        <f>Join_Audit!J54</f>
        <v>2.1852300000000001E-5</v>
      </c>
      <c r="I47" s="25">
        <f>Join_Audit!L54</f>
        <v>44589.741886574076</v>
      </c>
      <c r="J47" s="12">
        <f>Join_Audit!O54</f>
        <v>8</v>
      </c>
      <c r="K47" s="12">
        <f>INDEX(COMM_Beacons!$D$6:$D$66,AA47)</f>
        <v>146</v>
      </c>
      <c r="L47" s="25">
        <f>Join_Audit!R54</f>
        <v>44589.741666666669</v>
      </c>
      <c r="M47" s="12">
        <f>OMNI_Normalized!J12</f>
        <v>6.43</v>
      </c>
      <c r="N47" s="12">
        <f>OMNI_Normalized!K12</f>
        <v>-1.3</v>
      </c>
      <c r="O47" s="12">
        <f>OMNI_Normalized!L12</f>
        <v>418.9</v>
      </c>
      <c r="P47" s="12">
        <f>OMNI_Normalized!M12</f>
        <v>5.5</v>
      </c>
      <c r="Q47" s="12">
        <f>OMNI_Normalized!P12</f>
        <v>70</v>
      </c>
      <c r="R47" s="12">
        <f>OMNI_Normalized!Q12</f>
        <v>1</v>
      </c>
      <c r="S47" s="14">
        <f>Settings!$B$28</f>
        <v>100</v>
      </c>
      <c r="T47" s="14">
        <f>Settings!$B$29</f>
        <v>0.02</v>
      </c>
      <c r="U47" s="14">
        <f>Settings!$B$12</f>
        <v>300</v>
      </c>
      <c r="V47" s="14">
        <f>Settings!$B$25</f>
        <v>0.25</v>
      </c>
      <c r="W47" s="14">
        <f>Settings!$B$21</f>
        <v>4</v>
      </c>
      <c r="X47" s="14">
        <f>Settings!$B$24</f>
        <v>12</v>
      </c>
      <c r="Y47" s="12" t="str">
        <f>Join_Audit!S54</f>
        <v>ACCEPT</v>
      </c>
      <c r="Z47" s="12" t="s">
        <v>857</v>
      </c>
      <c r="AA47" s="34">
        <v>29</v>
      </c>
      <c r="AB47" s="34" t="str">
        <f>INDEX(COMM_Beacons!$E$6:$E$66,AA47)</f>
        <v>PREPROCESSED_NO_CRC</v>
      </c>
      <c r="AC47" s="34">
        <f>INDEX(COMM_Beacons!$K$6:$K$66,$AA47)</f>
        <v>370</v>
      </c>
      <c r="AD47" s="34">
        <f>INDEX(COMM_Beacons!$L$6:$L$66,$AA47)</f>
        <v>371</v>
      </c>
      <c r="AE47" s="34">
        <f>INDEX(COMM_Beacons!$M$6:$M$66,$AA47)</f>
        <v>-83</v>
      </c>
      <c r="AF47" s="34">
        <f>INDEX(COMM_Beacons!$N$6:$N$66,$AA47)</f>
        <v>257</v>
      </c>
      <c r="AG47" s="34">
        <f>INDEX(COMM_Beacons!$O$6:$O$66,$AA47)</f>
        <v>33454</v>
      </c>
      <c r="AH47" s="34">
        <f>INDEX(COMM_Beacons!$P$6:$P$66,$AA47)</f>
        <v>11</v>
      </c>
      <c r="AI47" s="34">
        <f>INDEX(COMM_Beacons!$Q$6:$Q$66,$AA47)</f>
        <v>4389321</v>
      </c>
      <c r="AJ47" s="34">
        <f>INDEX(COMM_Beacons!$R$6:$R$66,$AA47)</f>
        <v>110</v>
      </c>
      <c r="AK47" s="34">
        <f>INDEX(COMM_Beacons!$S$6:$S$66,$AA47)</f>
        <v>2</v>
      </c>
      <c r="AL47" s="34">
        <f>INDEX(COMM_Beacons!$T$6:$T$66,$AA47)</f>
        <v>1126</v>
      </c>
      <c r="AM47" s="34">
        <f>INDEX(COMM_Beacons!$U$6:$U$66,$AA47)</f>
        <v>256</v>
      </c>
      <c r="AN47" s="34">
        <f>INDEX(COMM_Beacons!$V$6:$V$66,$AA47)</f>
        <v>1035520017</v>
      </c>
      <c r="AO47" s="34">
        <f>INDEX(COMM_Beacons!$W$6:$W$66,$AA47)</f>
        <v>-113</v>
      </c>
      <c r="AP47" s="34">
        <f>INDEX(COMM_Beacons!$X$6:$X$66,$AA47)</f>
        <v>1</v>
      </c>
      <c r="AQ47" s="34">
        <f>INDEX(COMM_Beacons!$Y$6:$Y$66,$AA47)</f>
        <v>17475770</v>
      </c>
      <c r="AR47" s="34">
        <f>INDEX(COMM_Beacons!$Z$6:$Z$66,$AA47)</f>
        <v>22035</v>
      </c>
      <c r="AS47" s="34">
        <f>INDEX(COMM_Beacons!$AA$6:$AA$66,$AA47)</f>
        <v>3048169566</v>
      </c>
      <c r="AT47" s="34">
        <f>INDEX(COMM_Beacons!$AB$6:$AB$66,$AA47)</f>
        <v>1105712</v>
      </c>
      <c r="AU47" s="36">
        <f>IF(AA47&lt;=1,"",INDEX(COMM_Counter_Deltas!$J$6:$J$65,AA47-1))</f>
        <v>9.4</v>
      </c>
      <c r="AV47" s="35">
        <f>IF(AA47&lt;=1,"",INDEX(COMM_Counter_Deltas!$B$6:$B$65,AA47-1))</f>
        <v>44589.741770833331</v>
      </c>
      <c r="AW47" s="35">
        <f>IF(AA47&lt;=1,"",INDEX(COMM_Counter_Deltas!$C$6:$C$65,AA47-1))</f>
        <v>44589.741886574076</v>
      </c>
      <c r="AX47" s="34" t="b">
        <v>0</v>
      </c>
      <c r="AY47" s="34">
        <v>18</v>
      </c>
      <c r="AZ47" s="34">
        <f>INDEX(OMNI_Normalized!$N$6:$N$18,MATCH(L47,OMNI_Normalized!$C$6:$C$18,0))</f>
        <v>41910</v>
      </c>
      <c r="BA47" s="37">
        <f>INDEX(OMNI_Normalized!$O$6:$O$18,MATCH(L47,OMNI_Normalized!$C$6:$C$18,0))</f>
        <v>1.93</v>
      </c>
      <c r="BB47" s="34">
        <f>INDEX(OMNI_Normalized!$H$6:$H$18,MATCH(L47,OMNI_Normalized!$C$6:$C$18,0))</f>
        <v>100</v>
      </c>
      <c r="BC47" s="34">
        <f>INDEX(OMNI_Normalized!$F$6:$F$18,MATCH(L47,OMNI_Normalized!$C$6:$C$18,0))</f>
        <v>51</v>
      </c>
      <c r="BD47" s="34">
        <f>INDEX(OMNI_Normalized!$G$6:$G$18,MATCH(L47,OMNI_Normalized!$C$6:$C$18,0))</f>
        <v>51</v>
      </c>
    </row>
    <row r="48" spans="1:56" ht="24" customHeight="1" x14ac:dyDescent="0.2">
      <c r="A48" s="7">
        <v>43</v>
      </c>
      <c r="B48" s="7">
        <v>50</v>
      </c>
      <c r="C48" s="25">
        <f>Join_Audit!C55</f>
        <v>44589.742037037038</v>
      </c>
      <c r="D48" s="12">
        <f>Join_Audit!E55</f>
        <v>343</v>
      </c>
      <c r="E48" s="12">
        <f>Join_Audit!F55</f>
        <v>1354</v>
      </c>
      <c r="F48" s="12">
        <f>Join_Audit!G55</f>
        <v>0</v>
      </c>
      <c r="G48" s="12" t="str">
        <f>Join_Audit!I55</f>
        <v>CADC0873</v>
      </c>
      <c r="H48" s="12">
        <f>Join_Audit!J55</f>
        <v>1.9342299999999999E-5</v>
      </c>
      <c r="I48" s="25">
        <f>Join_Audit!L55</f>
        <v>44589.742002314822</v>
      </c>
      <c r="J48" s="12">
        <f>Join_Audit!O55</f>
        <v>3</v>
      </c>
      <c r="K48" s="12">
        <f>INDEX(COMM_Beacons!$D$6:$D$66,AA48)</f>
        <v>144</v>
      </c>
      <c r="L48" s="25">
        <f>Join_Audit!R55</f>
        <v>44589.741666666669</v>
      </c>
      <c r="M48" s="12">
        <f>OMNI_Normalized!J12</f>
        <v>6.43</v>
      </c>
      <c r="N48" s="12">
        <f>OMNI_Normalized!K12</f>
        <v>-1.3</v>
      </c>
      <c r="O48" s="12">
        <f>OMNI_Normalized!L12</f>
        <v>418.9</v>
      </c>
      <c r="P48" s="12">
        <f>OMNI_Normalized!M12</f>
        <v>5.5</v>
      </c>
      <c r="Q48" s="12">
        <f>OMNI_Normalized!P12</f>
        <v>70</v>
      </c>
      <c r="R48" s="12">
        <f>OMNI_Normalized!Q12</f>
        <v>1</v>
      </c>
      <c r="S48" s="14">
        <f>Settings!$B$28</f>
        <v>100</v>
      </c>
      <c r="T48" s="14">
        <f>Settings!$B$29</f>
        <v>0.02</v>
      </c>
      <c r="U48" s="14">
        <f>Settings!$B$12</f>
        <v>300</v>
      </c>
      <c r="V48" s="14">
        <f>Settings!$B$25</f>
        <v>0.25</v>
      </c>
      <c r="W48" s="14">
        <f>Settings!$B$21</f>
        <v>4</v>
      </c>
      <c r="X48" s="14">
        <f>Settings!$B$24</f>
        <v>12</v>
      </c>
      <c r="Y48" s="12" t="str">
        <f>Join_Audit!S55</f>
        <v>ACCEPT</v>
      </c>
      <c r="Z48" s="12" t="s">
        <v>857</v>
      </c>
      <c r="AA48" s="34">
        <v>30</v>
      </c>
      <c r="AB48" s="34" t="str">
        <f>INDEX(COMM_Beacons!$E$6:$E$66,AA48)</f>
        <v>CRC32C_VERIFIED</v>
      </c>
      <c r="AC48" s="34">
        <f>INDEX(COMM_Beacons!$K$6:$K$66,$AA48)</f>
        <v>370</v>
      </c>
      <c r="AD48" s="34">
        <f>INDEX(COMM_Beacons!$L$6:$L$66,$AA48)</f>
        <v>371</v>
      </c>
      <c r="AE48" s="34">
        <f>INDEX(COMM_Beacons!$M$6:$M$66,$AA48)</f>
        <v>-83</v>
      </c>
      <c r="AF48" s="34">
        <f>INDEX(COMM_Beacons!$N$6:$N$66,$AA48)</f>
        <v>257</v>
      </c>
      <c r="AG48" s="34">
        <f>INDEX(COMM_Beacons!$O$6:$O$66,$AA48)</f>
        <v>33455</v>
      </c>
      <c r="AH48" s="34">
        <f>INDEX(COMM_Beacons!$P$6:$P$66,$AA48)</f>
        <v>11</v>
      </c>
      <c r="AI48" s="34">
        <f>INDEX(COMM_Beacons!$Q$6:$Q$66,$AA48)</f>
        <v>4389415</v>
      </c>
      <c r="AJ48" s="34">
        <f>INDEX(COMM_Beacons!$R$6:$R$66,$AA48)</f>
        <v>110</v>
      </c>
      <c r="AK48" s="34">
        <f>INDEX(COMM_Beacons!$S$6:$S$66,$AA48)</f>
        <v>2</v>
      </c>
      <c r="AL48" s="34">
        <f>INDEX(COMM_Beacons!$T$6:$T$66,$AA48)</f>
        <v>1126</v>
      </c>
      <c r="AM48" s="34">
        <f>INDEX(COMM_Beacons!$U$6:$U$66,$AA48)</f>
        <v>256</v>
      </c>
      <c r="AN48" s="34">
        <f>INDEX(COMM_Beacons!$V$6:$V$66,$AA48)</f>
        <v>1035520017</v>
      </c>
      <c r="AO48" s="34">
        <f>INDEX(COMM_Beacons!$W$6:$W$66,$AA48)</f>
        <v>-108</v>
      </c>
      <c r="AP48" s="34">
        <f>INDEX(COMM_Beacons!$X$6:$X$66,$AA48)</f>
        <v>1</v>
      </c>
      <c r="AQ48" s="34">
        <f>INDEX(COMM_Beacons!$Y$6:$Y$66,$AA48)</f>
        <v>17475771</v>
      </c>
      <c r="AR48" s="34">
        <f>INDEX(COMM_Beacons!$Z$6:$Z$66,$AA48)</f>
        <v>22035</v>
      </c>
      <c r="AS48" s="34">
        <f>INDEX(COMM_Beacons!$AA$6:$AA$66,$AA48)</f>
        <v>3048169660</v>
      </c>
      <c r="AT48" s="34">
        <f>INDEX(COMM_Beacons!$AB$6:$AB$66,$AA48)</f>
        <v>1105712</v>
      </c>
      <c r="AU48" s="36">
        <f>IF(AA48&lt;=1,"",INDEX(COMM_Counter_Deltas!$J$6:$J$65,AA48-1))</f>
        <v>9.4</v>
      </c>
      <c r="AV48" s="35">
        <f>IF(AA48&lt;=1,"",INDEX(COMM_Counter_Deltas!$B$6:$B$65,AA48-1))</f>
        <v>44589.741886574076</v>
      </c>
      <c r="AW48" s="35">
        <f>IF(AA48&lt;=1,"",INDEX(COMM_Counter_Deltas!$C$6:$C$65,AA48-1))</f>
        <v>44589.742002314822</v>
      </c>
      <c r="AX48" s="34" t="b">
        <v>1</v>
      </c>
      <c r="AY48" s="34">
        <v>3</v>
      </c>
      <c r="AZ48" s="34">
        <f>INDEX(OMNI_Normalized!$N$6:$N$18,MATCH(L48,OMNI_Normalized!$C$6:$C$18,0))</f>
        <v>41910</v>
      </c>
      <c r="BA48" s="37">
        <f>INDEX(OMNI_Normalized!$O$6:$O$18,MATCH(L48,OMNI_Normalized!$C$6:$C$18,0))</f>
        <v>1.93</v>
      </c>
      <c r="BB48" s="34">
        <f>INDEX(OMNI_Normalized!$H$6:$H$18,MATCH(L48,OMNI_Normalized!$C$6:$C$18,0))</f>
        <v>100</v>
      </c>
      <c r="BC48" s="34">
        <f>INDEX(OMNI_Normalized!$F$6:$F$18,MATCH(L48,OMNI_Normalized!$C$6:$C$18,0))</f>
        <v>51</v>
      </c>
      <c r="BD48" s="34">
        <f>INDEX(OMNI_Normalized!$G$6:$G$18,MATCH(L48,OMNI_Normalized!$C$6:$C$18,0))</f>
        <v>51</v>
      </c>
    </row>
    <row r="49" spans="1:56" ht="24" customHeight="1" x14ac:dyDescent="0.2">
      <c r="A49" s="7">
        <v>44</v>
      </c>
      <c r="B49" s="7">
        <v>51</v>
      </c>
      <c r="C49" s="25">
        <f>Join_Audit!C56</f>
        <v>44589.742094907408</v>
      </c>
      <c r="D49" s="12">
        <f>Join_Audit!E56</f>
        <v>348</v>
      </c>
      <c r="E49" s="12">
        <f>Join_Audit!F56</f>
        <v>1354</v>
      </c>
      <c r="F49" s="12">
        <f>Join_Audit!G56</f>
        <v>0</v>
      </c>
      <c r="G49" s="12" t="str">
        <f>Join_Audit!I56</f>
        <v>CADC0873</v>
      </c>
      <c r="H49" s="12">
        <f>Join_Audit!J56</f>
        <v>1.5606600000000001E-5</v>
      </c>
      <c r="I49" s="25">
        <f>Join_Audit!L56</f>
        <v>44589.742002314822</v>
      </c>
      <c r="J49" s="12">
        <f>Join_Audit!O56</f>
        <v>8</v>
      </c>
      <c r="K49" s="12">
        <f>INDEX(COMM_Beacons!$D$6:$D$66,AA49)</f>
        <v>144</v>
      </c>
      <c r="L49" s="25">
        <f>Join_Audit!R56</f>
        <v>44589.741666666669</v>
      </c>
      <c r="M49" s="12">
        <f>OMNI_Normalized!J12</f>
        <v>6.43</v>
      </c>
      <c r="N49" s="12">
        <f>OMNI_Normalized!K12</f>
        <v>-1.3</v>
      </c>
      <c r="O49" s="12">
        <f>OMNI_Normalized!L12</f>
        <v>418.9</v>
      </c>
      <c r="P49" s="12">
        <f>OMNI_Normalized!M12</f>
        <v>5.5</v>
      </c>
      <c r="Q49" s="12">
        <f>OMNI_Normalized!P12</f>
        <v>70</v>
      </c>
      <c r="R49" s="12">
        <f>OMNI_Normalized!Q12</f>
        <v>1</v>
      </c>
      <c r="S49" s="14">
        <f>Settings!$B$28</f>
        <v>100</v>
      </c>
      <c r="T49" s="14">
        <f>Settings!$B$29</f>
        <v>0.02</v>
      </c>
      <c r="U49" s="14">
        <f>Settings!$B$12</f>
        <v>300</v>
      </c>
      <c r="V49" s="14">
        <f>Settings!$B$25</f>
        <v>0.25</v>
      </c>
      <c r="W49" s="14">
        <f>Settings!$B$21</f>
        <v>4</v>
      </c>
      <c r="X49" s="14">
        <f>Settings!$B$24</f>
        <v>12</v>
      </c>
      <c r="Y49" s="12" t="str">
        <f>Join_Audit!S56</f>
        <v>ACCEPT</v>
      </c>
      <c r="Z49" s="12" t="s">
        <v>857</v>
      </c>
      <c r="AA49" s="34">
        <v>30</v>
      </c>
      <c r="AB49" s="34" t="str">
        <f>INDEX(COMM_Beacons!$E$6:$E$66,AA49)</f>
        <v>CRC32C_VERIFIED</v>
      </c>
      <c r="AC49" s="34">
        <f>INDEX(COMM_Beacons!$K$6:$K$66,$AA49)</f>
        <v>370</v>
      </c>
      <c r="AD49" s="34">
        <f>INDEX(COMM_Beacons!$L$6:$L$66,$AA49)</f>
        <v>371</v>
      </c>
      <c r="AE49" s="34">
        <f>INDEX(COMM_Beacons!$M$6:$M$66,$AA49)</f>
        <v>-83</v>
      </c>
      <c r="AF49" s="34">
        <f>INDEX(COMM_Beacons!$N$6:$N$66,$AA49)</f>
        <v>257</v>
      </c>
      <c r="AG49" s="34">
        <f>INDEX(COMM_Beacons!$O$6:$O$66,$AA49)</f>
        <v>33455</v>
      </c>
      <c r="AH49" s="34">
        <f>INDEX(COMM_Beacons!$P$6:$P$66,$AA49)</f>
        <v>11</v>
      </c>
      <c r="AI49" s="34">
        <f>INDEX(COMM_Beacons!$Q$6:$Q$66,$AA49)</f>
        <v>4389415</v>
      </c>
      <c r="AJ49" s="34">
        <f>INDEX(COMM_Beacons!$R$6:$R$66,$AA49)</f>
        <v>110</v>
      </c>
      <c r="AK49" s="34">
        <f>INDEX(COMM_Beacons!$S$6:$S$66,$AA49)</f>
        <v>2</v>
      </c>
      <c r="AL49" s="34">
        <f>INDEX(COMM_Beacons!$T$6:$T$66,$AA49)</f>
        <v>1126</v>
      </c>
      <c r="AM49" s="34">
        <f>INDEX(COMM_Beacons!$U$6:$U$66,$AA49)</f>
        <v>256</v>
      </c>
      <c r="AN49" s="34">
        <f>INDEX(COMM_Beacons!$V$6:$V$66,$AA49)</f>
        <v>1035520017</v>
      </c>
      <c r="AO49" s="34">
        <f>INDEX(COMM_Beacons!$W$6:$W$66,$AA49)</f>
        <v>-108</v>
      </c>
      <c r="AP49" s="34">
        <f>INDEX(COMM_Beacons!$X$6:$X$66,$AA49)</f>
        <v>1</v>
      </c>
      <c r="AQ49" s="34">
        <f>INDEX(COMM_Beacons!$Y$6:$Y$66,$AA49)</f>
        <v>17475771</v>
      </c>
      <c r="AR49" s="34">
        <f>INDEX(COMM_Beacons!$Z$6:$Z$66,$AA49)</f>
        <v>22035</v>
      </c>
      <c r="AS49" s="34">
        <f>INDEX(COMM_Beacons!$AA$6:$AA$66,$AA49)</f>
        <v>3048169660</v>
      </c>
      <c r="AT49" s="34">
        <f>INDEX(COMM_Beacons!$AB$6:$AB$66,$AA49)</f>
        <v>1105712</v>
      </c>
      <c r="AU49" s="36">
        <f>IF(AA49&lt;=1,"",INDEX(COMM_Counter_Deltas!$J$6:$J$65,AA49-1))</f>
        <v>9.4</v>
      </c>
      <c r="AV49" s="35">
        <f>IF(AA49&lt;=1,"",INDEX(COMM_Counter_Deltas!$B$6:$B$65,AA49-1))</f>
        <v>44589.741886574076</v>
      </c>
      <c r="AW49" s="35">
        <f>IF(AA49&lt;=1,"",INDEX(COMM_Counter_Deltas!$C$6:$C$65,AA49-1))</f>
        <v>44589.742002314822</v>
      </c>
      <c r="AX49" s="34" t="b">
        <v>1</v>
      </c>
      <c r="AY49" s="34">
        <v>8</v>
      </c>
      <c r="AZ49" s="34">
        <f>INDEX(OMNI_Normalized!$N$6:$N$18,MATCH(L49,OMNI_Normalized!$C$6:$C$18,0))</f>
        <v>41910</v>
      </c>
      <c r="BA49" s="37">
        <f>INDEX(OMNI_Normalized!$O$6:$O$18,MATCH(L49,OMNI_Normalized!$C$6:$C$18,0))</f>
        <v>1.93</v>
      </c>
      <c r="BB49" s="34">
        <f>INDEX(OMNI_Normalized!$H$6:$H$18,MATCH(L49,OMNI_Normalized!$C$6:$C$18,0))</f>
        <v>100</v>
      </c>
      <c r="BC49" s="34">
        <f>INDEX(OMNI_Normalized!$F$6:$F$18,MATCH(L49,OMNI_Normalized!$C$6:$C$18,0))</f>
        <v>51</v>
      </c>
      <c r="BD49" s="34">
        <f>INDEX(OMNI_Normalized!$G$6:$G$18,MATCH(L49,OMNI_Normalized!$C$6:$C$18,0))</f>
        <v>51</v>
      </c>
    </row>
    <row r="50" spans="1:56" ht="24" customHeight="1" x14ac:dyDescent="0.2">
      <c r="A50" s="7">
        <v>45</v>
      </c>
      <c r="B50" s="7">
        <v>52</v>
      </c>
      <c r="C50" s="25">
        <f>Join_Audit!C57</f>
        <v>44589.742164351846</v>
      </c>
      <c r="D50" s="12">
        <f>Join_Audit!E57</f>
        <v>354</v>
      </c>
      <c r="E50" s="12">
        <f>Join_Audit!F57</f>
        <v>1354</v>
      </c>
      <c r="F50" s="12">
        <f>Join_Audit!G57</f>
        <v>0</v>
      </c>
      <c r="G50" s="12" t="str">
        <f>Join_Audit!I57</f>
        <v>CADC0873</v>
      </c>
      <c r="H50" s="12">
        <f>Join_Audit!J57</f>
        <v>9.6909599999999998E-6</v>
      </c>
      <c r="I50" s="25">
        <f>Join_Audit!L57</f>
        <v>44589.742118055547</v>
      </c>
      <c r="J50" s="12">
        <f>Join_Audit!O57</f>
        <v>4</v>
      </c>
      <c r="K50" s="12">
        <f>INDEX(COMM_Beacons!$D$6:$D$66,AA50)</f>
        <v>142</v>
      </c>
      <c r="L50" s="25">
        <f>Join_Audit!R57</f>
        <v>44589.741666666669</v>
      </c>
      <c r="M50" s="12">
        <f>OMNI_Normalized!J12</f>
        <v>6.43</v>
      </c>
      <c r="N50" s="12">
        <f>OMNI_Normalized!K12</f>
        <v>-1.3</v>
      </c>
      <c r="O50" s="12">
        <f>OMNI_Normalized!L12</f>
        <v>418.9</v>
      </c>
      <c r="P50" s="12">
        <f>OMNI_Normalized!M12</f>
        <v>5.5</v>
      </c>
      <c r="Q50" s="12">
        <f>OMNI_Normalized!P12</f>
        <v>70</v>
      </c>
      <c r="R50" s="12">
        <f>OMNI_Normalized!Q12</f>
        <v>1</v>
      </c>
      <c r="S50" s="14">
        <f>Settings!$B$28</f>
        <v>100</v>
      </c>
      <c r="T50" s="14">
        <f>Settings!$B$29</f>
        <v>0.02</v>
      </c>
      <c r="U50" s="14">
        <f>Settings!$B$12</f>
        <v>300</v>
      </c>
      <c r="V50" s="14">
        <f>Settings!$B$25</f>
        <v>0.25</v>
      </c>
      <c r="W50" s="14">
        <f>Settings!$B$21</f>
        <v>4</v>
      </c>
      <c r="X50" s="14">
        <f>Settings!$B$24</f>
        <v>12</v>
      </c>
      <c r="Y50" s="12" t="str">
        <f>Join_Audit!S57</f>
        <v>ACCEPT</v>
      </c>
      <c r="Z50" s="12" t="s">
        <v>857</v>
      </c>
      <c r="AA50" s="34">
        <v>31</v>
      </c>
      <c r="AB50" s="34" t="str">
        <f>INDEX(COMM_Beacons!$E$6:$E$66,AA50)</f>
        <v>CRC32C_VERIFIED</v>
      </c>
      <c r="AC50" s="34">
        <f>INDEX(COMM_Beacons!$K$6:$K$66,$AA50)</f>
        <v>370</v>
      </c>
      <c r="AD50" s="34">
        <f>INDEX(COMM_Beacons!$L$6:$L$66,$AA50)</f>
        <v>370</v>
      </c>
      <c r="AE50" s="34">
        <f>INDEX(COMM_Beacons!$M$6:$M$66,$AA50)</f>
        <v>-83</v>
      </c>
      <c r="AF50" s="34">
        <f>INDEX(COMM_Beacons!$N$6:$N$66,$AA50)</f>
        <v>257</v>
      </c>
      <c r="AG50" s="34">
        <f>INDEX(COMM_Beacons!$O$6:$O$66,$AA50)</f>
        <v>33456</v>
      </c>
      <c r="AH50" s="34">
        <f>INDEX(COMM_Beacons!$P$6:$P$66,$AA50)</f>
        <v>11</v>
      </c>
      <c r="AI50" s="34">
        <f>INDEX(COMM_Beacons!$Q$6:$Q$66,$AA50)</f>
        <v>4389509</v>
      </c>
      <c r="AJ50" s="34">
        <f>INDEX(COMM_Beacons!$R$6:$R$66,$AA50)</f>
        <v>110</v>
      </c>
      <c r="AK50" s="34">
        <f>INDEX(COMM_Beacons!$S$6:$S$66,$AA50)</f>
        <v>2</v>
      </c>
      <c r="AL50" s="34">
        <f>INDEX(COMM_Beacons!$T$6:$T$66,$AA50)</f>
        <v>1126</v>
      </c>
      <c r="AM50" s="34">
        <f>INDEX(COMM_Beacons!$U$6:$U$66,$AA50)</f>
        <v>256</v>
      </c>
      <c r="AN50" s="34">
        <f>INDEX(COMM_Beacons!$V$6:$V$66,$AA50)</f>
        <v>1035520017</v>
      </c>
      <c r="AO50" s="34">
        <f>INDEX(COMM_Beacons!$W$6:$W$66,$AA50)</f>
        <v>-93</v>
      </c>
      <c r="AP50" s="34">
        <f>INDEX(COMM_Beacons!$X$6:$X$66,$AA50)</f>
        <v>1</v>
      </c>
      <c r="AQ50" s="34">
        <f>INDEX(COMM_Beacons!$Y$6:$Y$66,$AA50)</f>
        <v>17475772</v>
      </c>
      <c r="AR50" s="34">
        <f>INDEX(COMM_Beacons!$Z$6:$Z$66,$AA50)</f>
        <v>22035</v>
      </c>
      <c r="AS50" s="34">
        <f>INDEX(COMM_Beacons!$AA$6:$AA$66,$AA50)</f>
        <v>3048169754</v>
      </c>
      <c r="AT50" s="34">
        <f>INDEX(COMM_Beacons!$AB$6:$AB$66,$AA50)</f>
        <v>1105712</v>
      </c>
      <c r="AU50" s="36">
        <f>IF(AA50&lt;=1,"",INDEX(COMM_Counter_Deltas!$J$6:$J$65,AA50-1))</f>
        <v>9.4</v>
      </c>
      <c r="AV50" s="35">
        <f>IF(AA50&lt;=1,"",INDEX(COMM_Counter_Deltas!$B$6:$B$65,AA50-1))</f>
        <v>44589.742002314822</v>
      </c>
      <c r="AW50" s="35">
        <f>IF(AA50&lt;=1,"",INDEX(COMM_Counter_Deltas!$C$6:$C$65,AA50-1))</f>
        <v>44589.742118055547</v>
      </c>
      <c r="AX50" s="34" t="b">
        <v>1</v>
      </c>
      <c r="AY50" s="34">
        <v>4</v>
      </c>
      <c r="AZ50" s="34">
        <f>INDEX(OMNI_Normalized!$N$6:$N$18,MATCH(L50,OMNI_Normalized!$C$6:$C$18,0))</f>
        <v>41910</v>
      </c>
      <c r="BA50" s="37">
        <f>INDEX(OMNI_Normalized!$O$6:$O$18,MATCH(L50,OMNI_Normalized!$C$6:$C$18,0))</f>
        <v>1.93</v>
      </c>
      <c r="BB50" s="34">
        <f>INDEX(OMNI_Normalized!$H$6:$H$18,MATCH(L50,OMNI_Normalized!$C$6:$C$18,0))</f>
        <v>100</v>
      </c>
      <c r="BC50" s="34">
        <f>INDEX(OMNI_Normalized!$F$6:$F$18,MATCH(L50,OMNI_Normalized!$C$6:$C$18,0))</f>
        <v>51</v>
      </c>
      <c r="BD50" s="34">
        <f>INDEX(OMNI_Normalized!$G$6:$G$18,MATCH(L50,OMNI_Normalized!$C$6:$C$18,0))</f>
        <v>51</v>
      </c>
    </row>
    <row r="51" spans="1:56" ht="24" customHeight="1" x14ac:dyDescent="0.2">
      <c r="A51" s="7">
        <v>46</v>
      </c>
      <c r="B51" s="7">
        <v>53</v>
      </c>
      <c r="C51" s="25">
        <f>Join_Audit!C58</f>
        <v>44589.742222222223</v>
      </c>
      <c r="D51" s="12">
        <f>Join_Audit!E58</f>
        <v>359</v>
      </c>
      <c r="E51" s="12">
        <f>Join_Audit!F58</f>
        <v>1354</v>
      </c>
      <c r="F51" s="12">
        <f>Join_Audit!G58</f>
        <v>0</v>
      </c>
      <c r="G51" s="12" t="str">
        <f>Join_Audit!I58</f>
        <v>CADC0873</v>
      </c>
      <c r="H51" s="12">
        <f>Join_Audit!J58</f>
        <v>1.99844E-6</v>
      </c>
      <c r="I51" s="25">
        <f>Join_Audit!L58</f>
        <v>44589.742118055547</v>
      </c>
      <c r="J51" s="12">
        <f>Join_Audit!O58</f>
        <v>9</v>
      </c>
      <c r="K51" s="12">
        <f>INDEX(COMM_Beacons!$D$6:$D$66,AA51)</f>
        <v>142</v>
      </c>
      <c r="L51" s="25">
        <f>Join_Audit!R58</f>
        <v>44589.741666666669</v>
      </c>
      <c r="M51" s="12">
        <f>OMNI_Normalized!J12</f>
        <v>6.43</v>
      </c>
      <c r="N51" s="12">
        <f>OMNI_Normalized!K12</f>
        <v>-1.3</v>
      </c>
      <c r="O51" s="12">
        <f>OMNI_Normalized!L12</f>
        <v>418.9</v>
      </c>
      <c r="P51" s="12">
        <f>OMNI_Normalized!M12</f>
        <v>5.5</v>
      </c>
      <c r="Q51" s="12">
        <f>OMNI_Normalized!P12</f>
        <v>70</v>
      </c>
      <c r="R51" s="12">
        <f>OMNI_Normalized!Q12</f>
        <v>1</v>
      </c>
      <c r="S51" s="14">
        <f>Settings!$B$28</f>
        <v>100</v>
      </c>
      <c r="T51" s="14">
        <f>Settings!$B$29</f>
        <v>0.02</v>
      </c>
      <c r="U51" s="14">
        <f>Settings!$B$12</f>
        <v>300</v>
      </c>
      <c r="V51" s="14">
        <f>Settings!$B$25</f>
        <v>0.25</v>
      </c>
      <c r="W51" s="14">
        <f>Settings!$B$21</f>
        <v>4</v>
      </c>
      <c r="X51" s="14">
        <f>Settings!$B$24</f>
        <v>12</v>
      </c>
      <c r="Y51" s="12" t="str">
        <f>Join_Audit!S58</f>
        <v>ACCEPT</v>
      </c>
      <c r="Z51" s="12" t="s">
        <v>857</v>
      </c>
      <c r="AA51" s="34">
        <v>31</v>
      </c>
      <c r="AB51" s="34" t="str">
        <f>INDEX(COMM_Beacons!$E$6:$E$66,AA51)</f>
        <v>CRC32C_VERIFIED</v>
      </c>
      <c r="AC51" s="34">
        <f>INDEX(COMM_Beacons!$K$6:$K$66,$AA51)</f>
        <v>370</v>
      </c>
      <c r="AD51" s="34">
        <f>INDEX(COMM_Beacons!$L$6:$L$66,$AA51)</f>
        <v>370</v>
      </c>
      <c r="AE51" s="34">
        <f>INDEX(COMM_Beacons!$M$6:$M$66,$AA51)</f>
        <v>-83</v>
      </c>
      <c r="AF51" s="34">
        <f>INDEX(COMM_Beacons!$N$6:$N$66,$AA51)</f>
        <v>257</v>
      </c>
      <c r="AG51" s="34">
        <f>INDEX(COMM_Beacons!$O$6:$O$66,$AA51)</f>
        <v>33456</v>
      </c>
      <c r="AH51" s="34">
        <f>INDEX(COMM_Beacons!$P$6:$P$66,$AA51)</f>
        <v>11</v>
      </c>
      <c r="AI51" s="34">
        <f>INDEX(COMM_Beacons!$Q$6:$Q$66,$AA51)</f>
        <v>4389509</v>
      </c>
      <c r="AJ51" s="34">
        <f>INDEX(COMM_Beacons!$R$6:$R$66,$AA51)</f>
        <v>110</v>
      </c>
      <c r="AK51" s="34">
        <f>INDEX(COMM_Beacons!$S$6:$S$66,$AA51)</f>
        <v>2</v>
      </c>
      <c r="AL51" s="34">
        <f>INDEX(COMM_Beacons!$T$6:$T$66,$AA51)</f>
        <v>1126</v>
      </c>
      <c r="AM51" s="34">
        <f>INDEX(COMM_Beacons!$U$6:$U$66,$AA51)</f>
        <v>256</v>
      </c>
      <c r="AN51" s="34">
        <f>INDEX(COMM_Beacons!$V$6:$V$66,$AA51)</f>
        <v>1035520017</v>
      </c>
      <c r="AO51" s="34">
        <f>INDEX(COMM_Beacons!$W$6:$W$66,$AA51)</f>
        <v>-93</v>
      </c>
      <c r="AP51" s="34">
        <f>INDEX(COMM_Beacons!$X$6:$X$66,$AA51)</f>
        <v>1</v>
      </c>
      <c r="AQ51" s="34">
        <f>INDEX(COMM_Beacons!$Y$6:$Y$66,$AA51)</f>
        <v>17475772</v>
      </c>
      <c r="AR51" s="34">
        <f>INDEX(COMM_Beacons!$Z$6:$Z$66,$AA51)</f>
        <v>22035</v>
      </c>
      <c r="AS51" s="34">
        <f>INDEX(COMM_Beacons!$AA$6:$AA$66,$AA51)</f>
        <v>3048169754</v>
      </c>
      <c r="AT51" s="34">
        <f>INDEX(COMM_Beacons!$AB$6:$AB$66,$AA51)</f>
        <v>1105712</v>
      </c>
      <c r="AU51" s="36">
        <f>IF(AA51&lt;=1,"",INDEX(COMM_Counter_Deltas!$J$6:$J$65,AA51-1))</f>
        <v>9.4</v>
      </c>
      <c r="AV51" s="35">
        <f>IF(AA51&lt;=1,"",INDEX(COMM_Counter_Deltas!$B$6:$B$65,AA51-1))</f>
        <v>44589.742002314822</v>
      </c>
      <c r="AW51" s="35">
        <f>IF(AA51&lt;=1,"",INDEX(COMM_Counter_Deltas!$C$6:$C$65,AA51-1))</f>
        <v>44589.742118055547</v>
      </c>
      <c r="AX51" s="34" t="b">
        <v>1</v>
      </c>
      <c r="AY51" s="34">
        <v>9</v>
      </c>
      <c r="AZ51" s="34">
        <f>INDEX(OMNI_Normalized!$N$6:$N$18,MATCH(L51,OMNI_Normalized!$C$6:$C$18,0))</f>
        <v>41910</v>
      </c>
      <c r="BA51" s="37">
        <f>INDEX(OMNI_Normalized!$O$6:$O$18,MATCH(L51,OMNI_Normalized!$C$6:$C$18,0))</f>
        <v>1.93</v>
      </c>
      <c r="BB51" s="34">
        <f>INDEX(OMNI_Normalized!$H$6:$H$18,MATCH(L51,OMNI_Normalized!$C$6:$C$18,0))</f>
        <v>100</v>
      </c>
      <c r="BC51" s="34">
        <f>INDEX(OMNI_Normalized!$F$6:$F$18,MATCH(L51,OMNI_Normalized!$C$6:$C$18,0))</f>
        <v>51</v>
      </c>
      <c r="BD51" s="34">
        <f>INDEX(OMNI_Normalized!$G$6:$G$18,MATCH(L51,OMNI_Normalized!$C$6:$C$18,0))</f>
        <v>51</v>
      </c>
    </row>
    <row r="52" spans="1:56" ht="24" customHeight="1" x14ac:dyDescent="0.2">
      <c r="A52" s="7">
        <v>47</v>
      </c>
      <c r="B52" s="7">
        <v>54</v>
      </c>
      <c r="C52" s="25">
        <f>Join_Audit!C59</f>
        <v>44589.742280092592</v>
      </c>
      <c r="D52" s="12">
        <f>Join_Audit!E59</f>
        <v>364</v>
      </c>
      <c r="E52" s="12">
        <f>Join_Audit!F59</f>
        <v>1354</v>
      </c>
      <c r="F52" s="12">
        <f>Join_Audit!G59</f>
        <v>0</v>
      </c>
      <c r="G52" s="12" t="str">
        <f>Join_Audit!I59</f>
        <v>CADC0873</v>
      </c>
      <c r="H52" s="12">
        <f>Join_Audit!J59</f>
        <v>-6.7877399999999997E-6</v>
      </c>
      <c r="I52" s="25">
        <f>Join_Audit!L59</f>
        <v>44589.7422337963</v>
      </c>
      <c r="J52" s="12">
        <f>Join_Audit!O59</f>
        <v>4</v>
      </c>
      <c r="K52" s="12">
        <f>INDEX(COMM_Beacons!$D$6:$D$66,AA52)</f>
        <v>139</v>
      </c>
      <c r="L52" s="25">
        <f>Join_Audit!R59</f>
        <v>44589.741666666669</v>
      </c>
      <c r="M52" s="12">
        <f>OMNI_Normalized!J12</f>
        <v>6.43</v>
      </c>
      <c r="N52" s="12">
        <f>OMNI_Normalized!K12</f>
        <v>-1.3</v>
      </c>
      <c r="O52" s="12">
        <f>OMNI_Normalized!L12</f>
        <v>418.9</v>
      </c>
      <c r="P52" s="12">
        <f>OMNI_Normalized!M12</f>
        <v>5.5</v>
      </c>
      <c r="Q52" s="12">
        <f>OMNI_Normalized!P12</f>
        <v>70</v>
      </c>
      <c r="R52" s="12">
        <f>OMNI_Normalized!Q12</f>
        <v>1</v>
      </c>
      <c r="S52" s="14">
        <f>Settings!$B$28</f>
        <v>100</v>
      </c>
      <c r="T52" s="14">
        <f>Settings!$B$29</f>
        <v>0.02</v>
      </c>
      <c r="U52" s="14">
        <f>Settings!$B$12</f>
        <v>300</v>
      </c>
      <c r="V52" s="14">
        <f>Settings!$B$25</f>
        <v>0.25</v>
      </c>
      <c r="W52" s="14">
        <f>Settings!$B$21</f>
        <v>4</v>
      </c>
      <c r="X52" s="14">
        <f>Settings!$B$24</f>
        <v>12</v>
      </c>
      <c r="Y52" s="12" t="str">
        <f>Join_Audit!S59</f>
        <v>ACCEPT</v>
      </c>
      <c r="Z52" s="12" t="s">
        <v>857</v>
      </c>
      <c r="AA52" s="34">
        <v>32</v>
      </c>
      <c r="AB52" s="34" t="str">
        <f>INDEX(COMM_Beacons!$E$6:$E$66,AA52)</f>
        <v>CRC32C_VERIFIED</v>
      </c>
      <c r="AC52" s="34">
        <f>INDEX(COMM_Beacons!$K$6:$K$66,$AA52)</f>
        <v>369</v>
      </c>
      <c r="AD52" s="34">
        <f>INDEX(COMM_Beacons!$L$6:$L$66,$AA52)</f>
        <v>370</v>
      </c>
      <c r="AE52" s="34">
        <f>INDEX(COMM_Beacons!$M$6:$M$66,$AA52)</f>
        <v>-83</v>
      </c>
      <c r="AF52" s="34">
        <f>INDEX(COMM_Beacons!$N$6:$N$66,$AA52)</f>
        <v>257</v>
      </c>
      <c r="AG52" s="34">
        <f>INDEX(COMM_Beacons!$O$6:$O$66,$AA52)</f>
        <v>33457</v>
      </c>
      <c r="AH52" s="34">
        <f>INDEX(COMM_Beacons!$P$6:$P$66,$AA52)</f>
        <v>11</v>
      </c>
      <c r="AI52" s="34">
        <f>INDEX(COMM_Beacons!$Q$6:$Q$66,$AA52)</f>
        <v>4389603</v>
      </c>
      <c r="AJ52" s="34">
        <f>INDEX(COMM_Beacons!$R$6:$R$66,$AA52)</f>
        <v>110</v>
      </c>
      <c r="AK52" s="34">
        <f>INDEX(COMM_Beacons!$S$6:$S$66,$AA52)</f>
        <v>2</v>
      </c>
      <c r="AL52" s="34">
        <f>INDEX(COMM_Beacons!$T$6:$T$66,$AA52)</f>
        <v>1126</v>
      </c>
      <c r="AM52" s="34">
        <f>INDEX(COMM_Beacons!$U$6:$U$66,$AA52)</f>
        <v>256</v>
      </c>
      <c r="AN52" s="34">
        <f>INDEX(COMM_Beacons!$V$6:$V$66,$AA52)</f>
        <v>1035520017</v>
      </c>
      <c r="AO52" s="34">
        <f>INDEX(COMM_Beacons!$W$6:$W$66,$AA52)</f>
        <v>-109</v>
      </c>
      <c r="AP52" s="34">
        <f>INDEX(COMM_Beacons!$X$6:$X$66,$AA52)</f>
        <v>1</v>
      </c>
      <c r="AQ52" s="34">
        <f>INDEX(COMM_Beacons!$Y$6:$Y$66,$AA52)</f>
        <v>17475773</v>
      </c>
      <c r="AR52" s="34">
        <f>INDEX(COMM_Beacons!$Z$6:$Z$66,$AA52)</f>
        <v>22035</v>
      </c>
      <c r="AS52" s="34">
        <f>INDEX(COMM_Beacons!$AA$6:$AA$66,$AA52)</f>
        <v>3048169848</v>
      </c>
      <c r="AT52" s="34">
        <f>INDEX(COMM_Beacons!$AB$6:$AB$66,$AA52)</f>
        <v>1105712</v>
      </c>
      <c r="AU52" s="36">
        <f>IF(AA52&lt;=1,"",INDEX(COMM_Counter_Deltas!$J$6:$J$65,AA52-1))</f>
        <v>9.4</v>
      </c>
      <c r="AV52" s="35">
        <f>IF(AA52&lt;=1,"",INDEX(COMM_Counter_Deltas!$B$6:$B$65,AA52-1))</f>
        <v>44589.742118055547</v>
      </c>
      <c r="AW52" s="35">
        <f>IF(AA52&lt;=1,"",INDEX(COMM_Counter_Deltas!$C$6:$C$65,AA52-1))</f>
        <v>44589.7422337963</v>
      </c>
      <c r="AX52" s="34" t="b">
        <v>1</v>
      </c>
      <c r="AY52" s="34">
        <v>4</v>
      </c>
      <c r="AZ52" s="34">
        <f>INDEX(OMNI_Normalized!$N$6:$N$18,MATCH(L52,OMNI_Normalized!$C$6:$C$18,0))</f>
        <v>41910</v>
      </c>
      <c r="BA52" s="37">
        <f>INDEX(OMNI_Normalized!$O$6:$O$18,MATCH(L52,OMNI_Normalized!$C$6:$C$18,0))</f>
        <v>1.93</v>
      </c>
      <c r="BB52" s="34">
        <f>INDEX(OMNI_Normalized!$H$6:$H$18,MATCH(L52,OMNI_Normalized!$C$6:$C$18,0))</f>
        <v>100</v>
      </c>
      <c r="BC52" s="34">
        <f>INDEX(OMNI_Normalized!$F$6:$F$18,MATCH(L52,OMNI_Normalized!$C$6:$C$18,0))</f>
        <v>51</v>
      </c>
      <c r="BD52" s="34">
        <f>INDEX(OMNI_Normalized!$G$6:$G$18,MATCH(L52,OMNI_Normalized!$C$6:$C$18,0))</f>
        <v>51</v>
      </c>
    </row>
    <row r="53" spans="1:56" ht="24" customHeight="1" x14ac:dyDescent="0.2">
      <c r="A53" s="7">
        <v>48</v>
      </c>
      <c r="B53" s="7">
        <v>55</v>
      </c>
      <c r="C53" s="25">
        <f>Join_Audit!C60</f>
        <v>44589.742337962962</v>
      </c>
      <c r="D53" s="12">
        <f>Join_Audit!E60</f>
        <v>369</v>
      </c>
      <c r="E53" s="12">
        <f>Join_Audit!F60</f>
        <v>1354</v>
      </c>
      <c r="F53" s="12">
        <f>Join_Audit!G60</f>
        <v>0</v>
      </c>
      <c r="G53" s="12" t="str">
        <f>Join_Audit!I60</f>
        <v>CADC0873</v>
      </c>
      <c r="H53" s="12">
        <f>Join_Audit!J60</f>
        <v>-1.52756E-5</v>
      </c>
      <c r="I53" s="25">
        <f>Join_Audit!L60</f>
        <v>44589.7422337963</v>
      </c>
      <c r="J53" s="12">
        <f>Join_Audit!O60</f>
        <v>9</v>
      </c>
      <c r="K53" s="12">
        <f>INDEX(COMM_Beacons!$D$6:$D$66,AA53)</f>
        <v>139</v>
      </c>
      <c r="L53" s="25">
        <f>Join_Audit!R60</f>
        <v>44589.741666666669</v>
      </c>
      <c r="M53" s="12">
        <f>OMNI_Normalized!J12</f>
        <v>6.43</v>
      </c>
      <c r="N53" s="12">
        <f>OMNI_Normalized!K12</f>
        <v>-1.3</v>
      </c>
      <c r="O53" s="12">
        <f>OMNI_Normalized!L12</f>
        <v>418.9</v>
      </c>
      <c r="P53" s="12">
        <f>OMNI_Normalized!M12</f>
        <v>5.5</v>
      </c>
      <c r="Q53" s="12">
        <f>OMNI_Normalized!P12</f>
        <v>70</v>
      </c>
      <c r="R53" s="12">
        <f>OMNI_Normalized!Q12</f>
        <v>1</v>
      </c>
      <c r="S53" s="14">
        <f>Settings!$B$28</f>
        <v>100</v>
      </c>
      <c r="T53" s="14">
        <f>Settings!$B$29</f>
        <v>0.02</v>
      </c>
      <c r="U53" s="14">
        <f>Settings!$B$12</f>
        <v>300</v>
      </c>
      <c r="V53" s="14">
        <f>Settings!$B$25</f>
        <v>0.25</v>
      </c>
      <c r="W53" s="14">
        <f>Settings!$B$21</f>
        <v>4</v>
      </c>
      <c r="X53" s="14">
        <f>Settings!$B$24</f>
        <v>12</v>
      </c>
      <c r="Y53" s="12" t="str">
        <f>Join_Audit!S60</f>
        <v>ACCEPT</v>
      </c>
      <c r="Z53" s="12" t="s">
        <v>857</v>
      </c>
      <c r="AA53" s="34">
        <v>32</v>
      </c>
      <c r="AB53" s="34" t="str">
        <f>INDEX(COMM_Beacons!$E$6:$E$66,AA53)</f>
        <v>CRC32C_VERIFIED</v>
      </c>
      <c r="AC53" s="34">
        <f>INDEX(COMM_Beacons!$K$6:$K$66,$AA53)</f>
        <v>369</v>
      </c>
      <c r="AD53" s="34">
        <f>INDEX(COMM_Beacons!$L$6:$L$66,$AA53)</f>
        <v>370</v>
      </c>
      <c r="AE53" s="34">
        <f>INDEX(COMM_Beacons!$M$6:$M$66,$AA53)</f>
        <v>-83</v>
      </c>
      <c r="AF53" s="34">
        <f>INDEX(COMM_Beacons!$N$6:$N$66,$AA53)</f>
        <v>257</v>
      </c>
      <c r="AG53" s="34">
        <f>INDEX(COMM_Beacons!$O$6:$O$66,$AA53)</f>
        <v>33457</v>
      </c>
      <c r="AH53" s="34">
        <f>INDEX(COMM_Beacons!$P$6:$P$66,$AA53)</f>
        <v>11</v>
      </c>
      <c r="AI53" s="34">
        <f>INDEX(COMM_Beacons!$Q$6:$Q$66,$AA53)</f>
        <v>4389603</v>
      </c>
      <c r="AJ53" s="34">
        <f>INDEX(COMM_Beacons!$R$6:$R$66,$AA53)</f>
        <v>110</v>
      </c>
      <c r="AK53" s="34">
        <f>INDEX(COMM_Beacons!$S$6:$S$66,$AA53)</f>
        <v>2</v>
      </c>
      <c r="AL53" s="34">
        <f>INDEX(COMM_Beacons!$T$6:$T$66,$AA53)</f>
        <v>1126</v>
      </c>
      <c r="AM53" s="34">
        <f>INDEX(COMM_Beacons!$U$6:$U$66,$AA53)</f>
        <v>256</v>
      </c>
      <c r="AN53" s="34">
        <f>INDEX(COMM_Beacons!$V$6:$V$66,$AA53)</f>
        <v>1035520017</v>
      </c>
      <c r="AO53" s="34">
        <f>INDEX(COMM_Beacons!$W$6:$W$66,$AA53)</f>
        <v>-109</v>
      </c>
      <c r="AP53" s="34">
        <f>INDEX(COMM_Beacons!$X$6:$X$66,$AA53)</f>
        <v>1</v>
      </c>
      <c r="AQ53" s="34">
        <f>INDEX(COMM_Beacons!$Y$6:$Y$66,$AA53)</f>
        <v>17475773</v>
      </c>
      <c r="AR53" s="34">
        <f>INDEX(COMM_Beacons!$Z$6:$Z$66,$AA53)</f>
        <v>22035</v>
      </c>
      <c r="AS53" s="34">
        <f>INDEX(COMM_Beacons!$AA$6:$AA$66,$AA53)</f>
        <v>3048169848</v>
      </c>
      <c r="AT53" s="34">
        <f>INDEX(COMM_Beacons!$AB$6:$AB$66,$AA53)</f>
        <v>1105712</v>
      </c>
      <c r="AU53" s="36">
        <f>IF(AA53&lt;=1,"",INDEX(COMM_Counter_Deltas!$J$6:$J$65,AA53-1))</f>
        <v>9.4</v>
      </c>
      <c r="AV53" s="35">
        <f>IF(AA53&lt;=1,"",INDEX(COMM_Counter_Deltas!$B$6:$B$65,AA53-1))</f>
        <v>44589.742118055547</v>
      </c>
      <c r="AW53" s="35">
        <f>IF(AA53&lt;=1,"",INDEX(COMM_Counter_Deltas!$C$6:$C$65,AA53-1))</f>
        <v>44589.7422337963</v>
      </c>
      <c r="AX53" s="34" t="b">
        <v>1</v>
      </c>
      <c r="AY53" s="34">
        <v>9</v>
      </c>
      <c r="AZ53" s="34">
        <f>INDEX(OMNI_Normalized!$N$6:$N$18,MATCH(L53,OMNI_Normalized!$C$6:$C$18,0))</f>
        <v>41910</v>
      </c>
      <c r="BA53" s="37">
        <f>INDEX(OMNI_Normalized!$O$6:$O$18,MATCH(L53,OMNI_Normalized!$C$6:$C$18,0))</f>
        <v>1.93</v>
      </c>
      <c r="BB53" s="34">
        <f>INDEX(OMNI_Normalized!$H$6:$H$18,MATCH(L53,OMNI_Normalized!$C$6:$C$18,0))</f>
        <v>100</v>
      </c>
      <c r="BC53" s="34">
        <f>INDEX(OMNI_Normalized!$F$6:$F$18,MATCH(L53,OMNI_Normalized!$C$6:$C$18,0))</f>
        <v>51</v>
      </c>
      <c r="BD53" s="34">
        <f>INDEX(OMNI_Normalized!$G$6:$G$18,MATCH(L53,OMNI_Normalized!$C$6:$C$18,0))</f>
        <v>51</v>
      </c>
    </row>
    <row r="54" spans="1:56" ht="24" customHeight="1" x14ac:dyDescent="0.2">
      <c r="A54" s="7">
        <v>49</v>
      </c>
      <c r="B54" s="7">
        <v>56</v>
      </c>
      <c r="C54" s="25">
        <f>Join_Audit!C61</f>
        <v>44589.742395833331</v>
      </c>
      <c r="D54" s="12">
        <f>Join_Audit!E61</f>
        <v>374</v>
      </c>
      <c r="E54" s="12">
        <f>Join_Audit!F61</f>
        <v>1354</v>
      </c>
      <c r="F54" s="12">
        <f>Join_Audit!G61</f>
        <v>0</v>
      </c>
      <c r="G54" s="12" t="str">
        <f>Join_Audit!I61</f>
        <v>CADC0873</v>
      </c>
      <c r="H54" s="12">
        <f>Join_Audit!J61</f>
        <v>-2.16958E-5</v>
      </c>
      <c r="I54" s="25">
        <f>Join_Audit!L61</f>
        <v>44589.742349537039</v>
      </c>
      <c r="J54" s="12">
        <f>Join_Audit!O61</f>
        <v>4</v>
      </c>
      <c r="K54" s="12">
        <f>INDEX(COMM_Beacons!$D$6:$D$66,AA54)</f>
        <v>137</v>
      </c>
      <c r="L54" s="25">
        <f>Join_Audit!R61</f>
        <v>44589.742361111108</v>
      </c>
      <c r="M54" s="12">
        <f>OMNI_Normalized!J13</f>
        <v>6.4</v>
      </c>
      <c r="N54" s="12">
        <f>OMNI_Normalized!K13</f>
        <v>-1.21</v>
      </c>
      <c r="O54" s="12">
        <f>OMNI_Normalized!L13</f>
        <v>420.5</v>
      </c>
      <c r="P54" s="12">
        <f>OMNI_Normalized!M13</f>
        <v>5.38</v>
      </c>
      <c r="Q54" s="12">
        <f>OMNI_Normalized!P13</f>
        <v>82</v>
      </c>
      <c r="R54" s="12">
        <f>OMNI_Normalized!Q13</f>
        <v>2</v>
      </c>
      <c r="S54" s="14">
        <f>Settings!$B$28</f>
        <v>100</v>
      </c>
      <c r="T54" s="14">
        <f>Settings!$B$29</f>
        <v>0.02</v>
      </c>
      <c r="U54" s="14">
        <f>Settings!$B$12</f>
        <v>300</v>
      </c>
      <c r="V54" s="14">
        <f>Settings!$B$25</f>
        <v>0.25</v>
      </c>
      <c r="W54" s="14">
        <f>Settings!$B$21</f>
        <v>4</v>
      </c>
      <c r="X54" s="14">
        <f>Settings!$B$24</f>
        <v>12</v>
      </c>
      <c r="Y54" s="12" t="str">
        <f>Join_Audit!S61</f>
        <v>ACCEPT</v>
      </c>
      <c r="Z54" s="12" t="s">
        <v>857</v>
      </c>
      <c r="AA54" s="34">
        <v>33</v>
      </c>
      <c r="AB54" s="34" t="str">
        <f>INDEX(COMM_Beacons!$E$6:$E$66,AA54)</f>
        <v>CRC32C_VERIFIED</v>
      </c>
      <c r="AC54" s="34">
        <f>INDEX(COMM_Beacons!$K$6:$K$66,$AA54)</f>
        <v>369</v>
      </c>
      <c r="AD54" s="34">
        <f>INDEX(COMM_Beacons!$L$6:$L$66,$AA54)</f>
        <v>370</v>
      </c>
      <c r="AE54" s="34">
        <f>INDEX(COMM_Beacons!$M$6:$M$66,$AA54)</f>
        <v>-83</v>
      </c>
      <c r="AF54" s="34">
        <f>INDEX(COMM_Beacons!$N$6:$N$66,$AA54)</f>
        <v>257</v>
      </c>
      <c r="AG54" s="34">
        <f>INDEX(COMM_Beacons!$O$6:$O$66,$AA54)</f>
        <v>33458</v>
      </c>
      <c r="AH54" s="34">
        <f>INDEX(COMM_Beacons!$P$6:$P$66,$AA54)</f>
        <v>11</v>
      </c>
      <c r="AI54" s="34">
        <f>INDEX(COMM_Beacons!$Q$6:$Q$66,$AA54)</f>
        <v>4389697</v>
      </c>
      <c r="AJ54" s="34">
        <f>INDEX(COMM_Beacons!$R$6:$R$66,$AA54)</f>
        <v>110</v>
      </c>
      <c r="AK54" s="34">
        <f>INDEX(COMM_Beacons!$S$6:$S$66,$AA54)</f>
        <v>2</v>
      </c>
      <c r="AL54" s="34">
        <f>INDEX(COMM_Beacons!$T$6:$T$66,$AA54)</f>
        <v>1126</v>
      </c>
      <c r="AM54" s="34">
        <f>INDEX(COMM_Beacons!$U$6:$U$66,$AA54)</f>
        <v>256</v>
      </c>
      <c r="AN54" s="34">
        <f>INDEX(COMM_Beacons!$V$6:$V$66,$AA54)</f>
        <v>1035520017</v>
      </c>
      <c r="AO54" s="34">
        <f>INDEX(COMM_Beacons!$W$6:$W$66,$AA54)</f>
        <v>-99</v>
      </c>
      <c r="AP54" s="34">
        <f>INDEX(COMM_Beacons!$X$6:$X$66,$AA54)</f>
        <v>1</v>
      </c>
      <c r="AQ54" s="34">
        <f>INDEX(COMM_Beacons!$Y$6:$Y$66,$AA54)</f>
        <v>17475774</v>
      </c>
      <c r="AR54" s="34">
        <f>INDEX(COMM_Beacons!$Z$6:$Z$66,$AA54)</f>
        <v>22035</v>
      </c>
      <c r="AS54" s="34">
        <f>INDEX(COMM_Beacons!$AA$6:$AA$66,$AA54)</f>
        <v>3048169942</v>
      </c>
      <c r="AT54" s="34">
        <f>INDEX(COMM_Beacons!$AB$6:$AB$66,$AA54)</f>
        <v>1105712</v>
      </c>
      <c r="AU54" s="36">
        <f>IF(AA54&lt;=1,"",INDEX(COMM_Counter_Deltas!$J$6:$J$65,AA54-1))</f>
        <v>9.4</v>
      </c>
      <c r="AV54" s="35">
        <f>IF(AA54&lt;=1,"",INDEX(COMM_Counter_Deltas!$B$6:$B$65,AA54-1))</f>
        <v>44589.7422337963</v>
      </c>
      <c r="AW54" s="35">
        <f>IF(AA54&lt;=1,"",INDEX(COMM_Counter_Deltas!$C$6:$C$65,AA54-1))</f>
        <v>44589.742349537039</v>
      </c>
      <c r="AX54" s="34" t="b">
        <v>1</v>
      </c>
      <c r="AY54" s="34">
        <v>4</v>
      </c>
      <c r="AZ54" s="34">
        <f>INDEX(OMNI_Normalized!$N$6:$N$18,MATCH(L54,OMNI_Normalized!$C$6:$C$18,0))</f>
        <v>41974</v>
      </c>
      <c r="BA54" s="37">
        <f>INDEX(OMNI_Normalized!$O$6:$O$18,MATCH(L54,OMNI_Normalized!$C$6:$C$18,0))</f>
        <v>1.9</v>
      </c>
      <c r="BB54" s="34">
        <f>INDEX(OMNI_Normalized!$H$6:$H$18,MATCH(L54,OMNI_Normalized!$C$6:$C$18,0))</f>
        <v>100</v>
      </c>
      <c r="BC54" s="34">
        <f>INDEX(OMNI_Normalized!$F$6:$F$18,MATCH(L54,OMNI_Normalized!$C$6:$C$18,0))</f>
        <v>51</v>
      </c>
      <c r="BD54" s="34">
        <f>INDEX(OMNI_Normalized!$G$6:$G$18,MATCH(L54,OMNI_Normalized!$C$6:$C$18,0))</f>
        <v>51</v>
      </c>
    </row>
    <row r="55" spans="1:56" ht="24" customHeight="1" x14ac:dyDescent="0.2">
      <c r="A55" s="7">
        <v>50</v>
      </c>
      <c r="B55" s="7">
        <v>57</v>
      </c>
      <c r="C55" s="25">
        <f>Join_Audit!C62</f>
        <v>44589.7424537037</v>
      </c>
      <c r="D55" s="12">
        <f>Join_Audit!E62</f>
        <v>379</v>
      </c>
      <c r="E55" s="12">
        <f>Join_Audit!F62</f>
        <v>1354</v>
      </c>
      <c r="F55" s="12">
        <f>Join_Audit!G62</f>
        <v>0</v>
      </c>
      <c r="G55" s="12" t="str">
        <f>Join_Audit!I62</f>
        <v>CADC0873</v>
      </c>
      <c r="H55" s="12">
        <f>Join_Audit!J62</f>
        <v>-2.6191100000000001E-5</v>
      </c>
      <c r="I55" s="25">
        <f>Join_Audit!L62</f>
        <v>44589.742349537039</v>
      </c>
      <c r="J55" s="12">
        <f>Join_Audit!O62</f>
        <v>9</v>
      </c>
      <c r="K55" s="12">
        <f>INDEX(COMM_Beacons!$D$6:$D$66,AA55)</f>
        <v>137</v>
      </c>
      <c r="L55" s="25">
        <f>Join_Audit!R62</f>
        <v>44589.742361111108</v>
      </c>
      <c r="M55" s="12">
        <f>OMNI_Normalized!J13</f>
        <v>6.4</v>
      </c>
      <c r="N55" s="12">
        <f>OMNI_Normalized!K13</f>
        <v>-1.21</v>
      </c>
      <c r="O55" s="12">
        <f>OMNI_Normalized!L13</f>
        <v>420.5</v>
      </c>
      <c r="P55" s="12">
        <f>OMNI_Normalized!M13</f>
        <v>5.38</v>
      </c>
      <c r="Q55" s="12">
        <f>OMNI_Normalized!P13</f>
        <v>82</v>
      </c>
      <c r="R55" s="12">
        <f>OMNI_Normalized!Q13</f>
        <v>2</v>
      </c>
      <c r="S55" s="14">
        <f>Settings!$B$28</f>
        <v>100</v>
      </c>
      <c r="T55" s="14">
        <f>Settings!$B$29</f>
        <v>0.02</v>
      </c>
      <c r="U55" s="14">
        <f>Settings!$B$12</f>
        <v>300</v>
      </c>
      <c r="V55" s="14">
        <f>Settings!$B$25</f>
        <v>0.25</v>
      </c>
      <c r="W55" s="14">
        <f>Settings!$B$21</f>
        <v>4</v>
      </c>
      <c r="X55" s="14">
        <f>Settings!$B$24</f>
        <v>12</v>
      </c>
      <c r="Y55" s="12" t="str">
        <f>Join_Audit!S62</f>
        <v>ACCEPT</v>
      </c>
      <c r="Z55" s="12" t="s">
        <v>857</v>
      </c>
      <c r="AA55" s="34">
        <v>33</v>
      </c>
      <c r="AB55" s="34" t="str">
        <f>INDEX(COMM_Beacons!$E$6:$E$66,AA55)</f>
        <v>CRC32C_VERIFIED</v>
      </c>
      <c r="AC55" s="34">
        <f>INDEX(COMM_Beacons!$K$6:$K$66,$AA55)</f>
        <v>369</v>
      </c>
      <c r="AD55" s="34">
        <f>INDEX(COMM_Beacons!$L$6:$L$66,$AA55)</f>
        <v>370</v>
      </c>
      <c r="AE55" s="34">
        <f>INDEX(COMM_Beacons!$M$6:$M$66,$AA55)</f>
        <v>-83</v>
      </c>
      <c r="AF55" s="34">
        <f>INDEX(COMM_Beacons!$N$6:$N$66,$AA55)</f>
        <v>257</v>
      </c>
      <c r="AG55" s="34">
        <f>INDEX(COMM_Beacons!$O$6:$O$66,$AA55)</f>
        <v>33458</v>
      </c>
      <c r="AH55" s="34">
        <f>INDEX(COMM_Beacons!$P$6:$P$66,$AA55)</f>
        <v>11</v>
      </c>
      <c r="AI55" s="34">
        <f>INDEX(COMM_Beacons!$Q$6:$Q$66,$AA55)</f>
        <v>4389697</v>
      </c>
      <c r="AJ55" s="34">
        <f>INDEX(COMM_Beacons!$R$6:$R$66,$AA55)</f>
        <v>110</v>
      </c>
      <c r="AK55" s="34">
        <f>INDEX(COMM_Beacons!$S$6:$S$66,$AA55)</f>
        <v>2</v>
      </c>
      <c r="AL55" s="34">
        <f>INDEX(COMM_Beacons!$T$6:$T$66,$AA55)</f>
        <v>1126</v>
      </c>
      <c r="AM55" s="34">
        <f>INDEX(COMM_Beacons!$U$6:$U$66,$AA55)</f>
        <v>256</v>
      </c>
      <c r="AN55" s="34">
        <f>INDEX(COMM_Beacons!$V$6:$V$66,$AA55)</f>
        <v>1035520017</v>
      </c>
      <c r="AO55" s="34">
        <f>INDEX(COMM_Beacons!$W$6:$W$66,$AA55)</f>
        <v>-99</v>
      </c>
      <c r="AP55" s="34">
        <f>INDEX(COMM_Beacons!$X$6:$X$66,$AA55)</f>
        <v>1</v>
      </c>
      <c r="AQ55" s="34">
        <f>INDEX(COMM_Beacons!$Y$6:$Y$66,$AA55)</f>
        <v>17475774</v>
      </c>
      <c r="AR55" s="34">
        <f>INDEX(COMM_Beacons!$Z$6:$Z$66,$AA55)</f>
        <v>22035</v>
      </c>
      <c r="AS55" s="34">
        <f>INDEX(COMM_Beacons!$AA$6:$AA$66,$AA55)</f>
        <v>3048169942</v>
      </c>
      <c r="AT55" s="34">
        <f>INDEX(COMM_Beacons!$AB$6:$AB$66,$AA55)</f>
        <v>1105712</v>
      </c>
      <c r="AU55" s="36">
        <f>IF(AA55&lt;=1,"",INDEX(COMM_Counter_Deltas!$J$6:$J$65,AA55-1))</f>
        <v>9.4</v>
      </c>
      <c r="AV55" s="35">
        <f>IF(AA55&lt;=1,"",INDEX(COMM_Counter_Deltas!$B$6:$B$65,AA55-1))</f>
        <v>44589.7422337963</v>
      </c>
      <c r="AW55" s="35">
        <f>IF(AA55&lt;=1,"",INDEX(COMM_Counter_Deltas!$C$6:$C$65,AA55-1))</f>
        <v>44589.742349537039</v>
      </c>
      <c r="AX55" s="34" t="b">
        <v>1</v>
      </c>
      <c r="AY55" s="34">
        <v>9</v>
      </c>
      <c r="AZ55" s="34">
        <f>INDEX(OMNI_Normalized!$N$6:$N$18,MATCH(L55,OMNI_Normalized!$C$6:$C$18,0))</f>
        <v>41974</v>
      </c>
      <c r="BA55" s="37">
        <f>INDEX(OMNI_Normalized!$O$6:$O$18,MATCH(L55,OMNI_Normalized!$C$6:$C$18,0))</f>
        <v>1.9</v>
      </c>
      <c r="BB55" s="34">
        <f>INDEX(OMNI_Normalized!$H$6:$H$18,MATCH(L55,OMNI_Normalized!$C$6:$C$18,0))</f>
        <v>100</v>
      </c>
      <c r="BC55" s="34">
        <f>INDEX(OMNI_Normalized!$F$6:$F$18,MATCH(L55,OMNI_Normalized!$C$6:$C$18,0))</f>
        <v>51</v>
      </c>
      <c r="BD55" s="34">
        <f>INDEX(OMNI_Normalized!$G$6:$G$18,MATCH(L55,OMNI_Normalized!$C$6:$C$18,0))</f>
        <v>51</v>
      </c>
    </row>
    <row r="56" spans="1:56" ht="24" customHeight="1" x14ac:dyDescent="0.2">
      <c r="A56" s="7">
        <v>51</v>
      </c>
      <c r="B56" s="7">
        <v>58</v>
      </c>
      <c r="C56" s="25">
        <f>Join_Audit!C63</f>
        <v>44589.742511574077</v>
      </c>
      <c r="D56" s="12">
        <f>Join_Audit!E63</f>
        <v>384</v>
      </c>
      <c r="E56" s="12">
        <f>Join_Audit!F63</f>
        <v>1355</v>
      </c>
      <c r="F56" s="12">
        <f>Join_Audit!G63</f>
        <v>0</v>
      </c>
      <c r="G56" s="12" t="str">
        <f>Join_Audit!I63</f>
        <v>CADC0873</v>
      </c>
      <c r="H56" s="12">
        <f>Join_Audit!J63</f>
        <v>-2.7572999999999998E-5</v>
      </c>
      <c r="I56" s="25">
        <f>Join_Audit!L63</f>
        <v>44589.742465277777</v>
      </c>
      <c r="J56" s="12">
        <f>Join_Audit!O63</f>
        <v>4</v>
      </c>
      <c r="K56" s="12">
        <f>INDEX(COMM_Beacons!$D$6:$D$66,AA56)</f>
        <v>135</v>
      </c>
      <c r="L56" s="25">
        <f>Join_Audit!R63</f>
        <v>44589.742361111108</v>
      </c>
      <c r="M56" s="12">
        <f>OMNI_Normalized!J13</f>
        <v>6.4</v>
      </c>
      <c r="N56" s="12">
        <f>OMNI_Normalized!K13</f>
        <v>-1.21</v>
      </c>
      <c r="O56" s="12">
        <f>OMNI_Normalized!L13</f>
        <v>420.5</v>
      </c>
      <c r="P56" s="12">
        <f>OMNI_Normalized!M13</f>
        <v>5.38</v>
      </c>
      <c r="Q56" s="12">
        <f>OMNI_Normalized!P13</f>
        <v>82</v>
      </c>
      <c r="R56" s="12">
        <f>OMNI_Normalized!Q13</f>
        <v>2</v>
      </c>
      <c r="S56" s="14">
        <f>Settings!$B$28</f>
        <v>100</v>
      </c>
      <c r="T56" s="14">
        <f>Settings!$B$29</f>
        <v>0.02</v>
      </c>
      <c r="U56" s="14">
        <f>Settings!$B$12</f>
        <v>300</v>
      </c>
      <c r="V56" s="14">
        <f>Settings!$B$25</f>
        <v>0.25</v>
      </c>
      <c r="W56" s="14">
        <f>Settings!$B$21</f>
        <v>4</v>
      </c>
      <c r="X56" s="14">
        <f>Settings!$B$24</f>
        <v>12</v>
      </c>
      <c r="Y56" s="12" t="str">
        <f>Join_Audit!S63</f>
        <v>ACCEPT</v>
      </c>
      <c r="Z56" s="12" t="s">
        <v>857</v>
      </c>
      <c r="AA56" s="34">
        <v>34</v>
      </c>
      <c r="AB56" s="34" t="str">
        <f>INDEX(COMM_Beacons!$E$6:$E$66,AA56)</f>
        <v>CRC32C_VERIFIED</v>
      </c>
      <c r="AC56" s="34">
        <f>INDEX(COMM_Beacons!$K$6:$K$66,$AA56)</f>
        <v>369</v>
      </c>
      <c r="AD56" s="34">
        <f>INDEX(COMM_Beacons!$L$6:$L$66,$AA56)</f>
        <v>369</v>
      </c>
      <c r="AE56" s="34">
        <f>INDEX(COMM_Beacons!$M$6:$M$66,$AA56)</f>
        <v>-83</v>
      </c>
      <c r="AF56" s="34">
        <f>INDEX(COMM_Beacons!$N$6:$N$66,$AA56)</f>
        <v>257</v>
      </c>
      <c r="AG56" s="34">
        <f>INDEX(COMM_Beacons!$O$6:$O$66,$AA56)</f>
        <v>33459</v>
      </c>
      <c r="AH56" s="34">
        <f>INDEX(COMM_Beacons!$P$6:$P$66,$AA56)</f>
        <v>11</v>
      </c>
      <c r="AI56" s="34">
        <f>INDEX(COMM_Beacons!$Q$6:$Q$66,$AA56)</f>
        <v>4389791</v>
      </c>
      <c r="AJ56" s="34">
        <f>INDEX(COMM_Beacons!$R$6:$R$66,$AA56)</f>
        <v>110</v>
      </c>
      <c r="AK56" s="34">
        <f>INDEX(COMM_Beacons!$S$6:$S$66,$AA56)</f>
        <v>2</v>
      </c>
      <c r="AL56" s="34">
        <f>INDEX(COMM_Beacons!$T$6:$T$66,$AA56)</f>
        <v>1126</v>
      </c>
      <c r="AM56" s="34">
        <f>INDEX(COMM_Beacons!$U$6:$U$66,$AA56)</f>
        <v>256</v>
      </c>
      <c r="AN56" s="34">
        <f>INDEX(COMM_Beacons!$V$6:$V$66,$AA56)</f>
        <v>1035520017</v>
      </c>
      <c r="AO56" s="34">
        <f>INDEX(COMM_Beacons!$W$6:$W$66,$AA56)</f>
        <v>-98</v>
      </c>
      <c r="AP56" s="34">
        <f>INDEX(COMM_Beacons!$X$6:$X$66,$AA56)</f>
        <v>1</v>
      </c>
      <c r="AQ56" s="34">
        <f>INDEX(COMM_Beacons!$Y$6:$Y$66,$AA56)</f>
        <v>17475775</v>
      </c>
      <c r="AR56" s="34">
        <f>INDEX(COMM_Beacons!$Z$6:$Z$66,$AA56)</f>
        <v>22035</v>
      </c>
      <c r="AS56" s="34">
        <f>INDEX(COMM_Beacons!$AA$6:$AA$66,$AA56)</f>
        <v>3048170036</v>
      </c>
      <c r="AT56" s="34">
        <f>INDEX(COMM_Beacons!$AB$6:$AB$66,$AA56)</f>
        <v>1105712</v>
      </c>
      <c r="AU56" s="36">
        <f>IF(AA56&lt;=1,"",INDEX(COMM_Counter_Deltas!$J$6:$J$65,AA56-1))</f>
        <v>9.4</v>
      </c>
      <c r="AV56" s="35">
        <f>IF(AA56&lt;=1,"",INDEX(COMM_Counter_Deltas!$B$6:$B$65,AA56-1))</f>
        <v>44589.742349537039</v>
      </c>
      <c r="AW56" s="35">
        <f>IF(AA56&lt;=1,"",INDEX(COMM_Counter_Deltas!$C$6:$C$65,AA56-1))</f>
        <v>44589.742465277777</v>
      </c>
      <c r="AX56" s="34" t="b">
        <v>1</v>
      </c>
      <c r="AY56" s="34">
        <v>4</v>
      </c>
      <c r="AZ56" s="34">
        <f>INDEX(OMNI_Normalized!$N$6:$N$18,MATCH(L56,OMNI_Normalized!$C$6:$C$18,0))</f>
        <v>41974</v>
      </c>
      <c r="BA56" s="37">
        <f>INDEX(OMNI_Normalized!$O$6:$O$18,MATCH(L56,OMNI_Normalized!$C$6:$C$18,0))</f>
        <v>1.9</v>
      </c>
      <c r="BB56" s="34">
        <f>INDEX(OMNI_Normalized!$H$6:$H$18,MATCH(L56,OMNI_Normalized!$C$6:$C$18,0))</f>
        <v>100</v>
      </c>
      <c r="BC56" s="34">
        <f>INDEX(OMNI_Normalized!$F$6:$F$18,MATCH(L56,OMNI_Normalized!$C$6:$C$18,0))</f>
        <v>51</v>
      </c>
      <c r="BD56" s="34">
        <f>INDEX(OMNI_Normalized!$G$6:$G$18,MATCH(L56,OMNI_Normalized!$C$6:$C$18,0))</f>
        <v>51</v>
      </c>
    </row>
    <row r="57" spans="1:56" ht="24" customHeight="1" x14ac:dyDescent="0.2">
      <c r="A57" s="7">
        <v>52</v>
      </c>
      <c r="B57" s="7">
        <v>59</v>
      </c>
      <c r="C57" s="25">
        <f>Join_Audit!C64</f>
        <v>44589.742569444446</v>
      </c>
      <c r="D57" s="12">
        <f>Join_Audit!E64</f>
        <v>389</v>
      </c>
      <c r="E57" s="12">
        <f>Join_Audit!F64</f>
        <v>1355</v>
      </c>
      <c r="F57" s="12">
        <f>Join_Audit!G64</f>
        <v>0</v>
      </c>
      <c r="G57" s="12" t="str">
        <f>Join_Audit!I64</f>
        <v>CADC0873</v>
      </c>
      <c r="H57" s="12">
        <f>Join_Audit!J64</f>
        <v>-2.6528799999999999E-5</v>
      </c>
      <c r="I57" s="25">
        <f>Join_Audit!L64</f>
        <v>44589.742465277777</v>
      </c>
      <c r="J57" s="12">
        <f>Join_Audit!O64</f>
        <v>9</v>
      </c>
      <c r="K57" s="12">
        <f>INDEX(COMM_Beacons!$D$6:$D$66,AA57)</f>
        <v>135</v>
      </c>
      <c r="L57" s="25">
        <f>Join_Audit!R64</f>
        <v>44589.742361111108</v>
      </c>
      <c r="M57" s="12">
        <f>OMNI_Normalized!J13</f>
        <v>6.4</v>
      </c>
      <c r="N57" s="12">
        <f>OMNI_Normalized!K13</f>
        <v>-1.21</v>
      </c>
      <c r="O57" s="12">
        <f>OMNI_Normalized!L13</f>
        <v>420.5</v>
      </c>
      <c r="P57" s="12">
        <f>OMNI_Normalized!M13</f>
        <v>5.38</v>
      </c>
      <c r="Q57" s="12">
        <f>OMNI_Normalized!P13</f>
        <v>82</v>
      </c>
      <c r="R57" s="12">
        <f>OMNI_Normalized!Q13</f>
        <v>2</v>
      </c>
      <c r="S57" s="14">
        <f>Settings!$B$28</f>
        <v>100</v>
      </c>
      <c r="T57" s="14">
        <f>Settings!$B$29</f>
        <v>0.02</v>
      </c>
      <c r="U57" s="14">
        <f>Settings!$B$12</f>
        <v>300</v>
      </c>
      <c r="V57" s="14">
        <f>Settings!$B$25</f>
        <v>0.25</v>
      </c>
      <c r="W57" s="14">
        <f>Settings!$B$21</f>
        <v>4</v>
      </c>
      <c r="X57" s="14">
        <f>Settings!$B$24</f>
        <v>12</v>
      </c>
      <c r="Y57" s="12" t="str">
        <f>Join_Audit!S64</f>
        <v>ACCEPT</v>
      </c>
      <c r="Z57" s="12" t="s">
        <v>857</v>
      </c>
      <c r="AA57" s="34">
        <v>34</v>
      </c>
      <c r="AB57" s="34" t="str">
        <f>INDEX(COMM_Beacons!$E$6:$E$66,AA57)</f>
        <v>CRC32C_VERIFIED</v>
      </c>
      <c r="AC57" s="34">
        <f>INDEX(COMM_Beacons!$K$6:$K$66,$AA57)</f>
        <v>369</v>
      </c>
      <c r="AD57" s="34">
        <f>INDEX(COMM_Beacons!$L$6:$L$66,$AA57)</f>
        <v>369</v>
      </c>
      <c r="AE57" s="34">
        <f>INDEX(COMM_Beacons!$M$6:$M$66,$AA57)</f>
        <v>-83</v>
      </c>
      <c r="AF57" s="34">
        <f>INDEX(COMM_Beacons!$N$6:$N$66,$AA57)</f>
        <v>257</v>
      </c>
      <c r="AG57" s="34">
        <f>INDEX(COMM_Beacons!$O$6:$O$66,$AA57)</f>
        <v>33459</v>
      </c>
      <c r="AH57" s="34">
        <f>INDEX(COMM_Beacons!$P$6:$P$66,$AA57)</f>
        <v>11</v>
      </c>
      <c r="AI57" s="34">
        <f>INDEX(COMM_Beacons!$Q$6:$Q$66,$AA57)</f>
        <v>4389791</v>
      </c>
      <c r="AJ57" s="34">
        <f>INDEX(COMM_Beacons!$R$6:$R$66,$AA57)</f>
        <v>110</v>
      </c>
      <c r="AK57" s="34">
        <f>INDEX(COMM_Beacons!$S$6:$S$66,$AA57)</f>
        <v>2</v>
      </c>
      <c r="AL57" s="34">
        <f>INDEX(COMM_Beacons!$T$6:$T$66,$AA57)</f>
        <v>1126</v>
      </c>
      <c r="AM57" s="34">
        <f>INDEX(COMM_Beacons!$U$6:$U$66,$AA57)</f>
        <v>256</v>
      </c>
      <c r="AN57" s="34">
        <f>INDEX(COMM_Beacons!$V$6:$V$66,$AA57)</f>
        <v>1035520017</v>
      </c>
      <c r="AO57" s="34">
        <f>INDEX(COMM_Beacons!$W$6:$W$66,$AA57)</f>
        <v>-98</v>
      </c>
      <c r="AP57" s="34">
        <f>INDEX(COMM_Beacons!$X$6:$X$66,$AA57)</f>
        <v>1</v>
      </c>
      <c r="AQ57" s="34">
        <f>INDEX(COMM_Beacons!$Y$6:$Y$66,$AA57)</f>
        <v>17475775</v>
      </c>
      <c r="AR57" s="34">
        <f>INDEX(COMM_Beacons!$Z$6:$Z$66,$AA57)</f>
        <v>22035</v>
      </c>
      <c r="AS57" s="34">
        <f>INDEX(COMM_Beacons!$AA$6:$AA$66,$AA57)</f>
        <v>3048170036</v>
      </c>
      <c r="AT57" s="34">
        <f>INDEX(COMM_Beacons!$AB$6:$AB$66,$AA57)</f>
        <v>1105712</v>
      </c>
      <c r="AU57" s="36">
        <f>IF(AA57&lt;=1,"",INDEX(COMM_Counter_Deltas!$J$6:$J$65,AA57-1))</f>
        <v>9.4</v>
      </c>
      <c r="AV57" s="35">
        <f>IF(AA57&lt;=1,"",INDEX(COMM_Counter_Deltas!$B$6:$B$65,AA57-1))</f>
        <v>44589.742349537039</v>
      </c>
      <c r="AW57" s="35">
        <f>IF(AA57&lt;=1,"",INDEX(COMM_Counter_Deltas!$C$6:$C$65,AA57-1))</f>
        <v>44589.742465277777</v>
      </c>
      <c r="AX57" s="34" t="b">
        <v>1</v>
      </c>
      <c r="AY57" s="34">
        <v>9</v>
      </c>
      <c r="AZ57" s="34">
        <f>INDEX(OMNI_Normalized!$N$6:$N$18,MATCH(L57,OMNI_Normalized!$C$6:$C$18,0))</f>
        <v>41974</v>
      </c>
      <c r="BA57" s="37">
        <f>INDEX(OMNI_Normalized!$O$6:$O$18,MATCH(L57,OMNI_Normalized!$C$6:$C$18,0))</f>
        <v>1.9</v>
      </c>
      <c r="BB57" s="34">
        <f>INDEX(OMNI_Normalized!$H$6:$H$18,MATCH(L57,OMNI_Normalized!$C$6:$C$18,0))</f>
        <v>100</v>
      </c>
      <c r="BC57" s="34">
        <f>INDEX(OMNI_Normalized!$F$6:$F$18,MATCH(L57,OMNI_Normalized!$C$6:$C$18,0))</f>
        <v>51</v>
      </c>
      <c r="BD57" s="34">
        <f>INDEX(OMNI_Normalized!$G$6:$G$18,MATCH(L57,OMNI_Normalized!$C$6:$C$18,0))</f>
        <v>51</v>
      </c>
    </row>
    <row r="58" spans="1:56" ht="24" customHeight="1" x14ac:dyDescent="0.2">
      <c r="A58" s="7">
        <v>53</v>
      </c>
      <c r="B58" s="7">
        <v>60</v>
      </c>
      <c r="C58" s="25">
        <f>Join_Audit!C65</f>
        <v>44589.742627314823</v>
      </c>
      <c r="D58" s="12">
        <f>Join_Audit!E65</f>
        <v>394</v>
      </c>
      <c r="E58" s="12">
        <f>Join_Audit!F65</f>
        <v>1355</v>
      </c>
      <c r="F58" s="12">
        <f>Join_Audit!G65</f>
        <v>0</v>
      </c>
      <c r="G58" s="12" t="str">
        <f>Join_Audit!I65</f>
        <v>CADC0873</v>
      </c>
      <c r="H58" s="12">
        <f>Join_Audit!J65</f>
        <v>-2.2311999999999999E-5</v>
      </c>
      <c r="I58" s="25">
        <f>Join_Audit!L65</f>
        <v>44589.742581018523</v>
      </c>
      <c r="J58" s="12">
        <f>Join_Audit!O65</f>
        <v>4</v>
      </c>
      <c r="K58" s="12">
        <f>INDEX(COMM_Beacons!$D$6:$D$66,AA58)</f>
        <v>134</v>
      </c>
      <c r="L58" s="25">
        <f>Join_Audit!R65</f>
        <v>44589.742361111108</v>
      </c>
      <c r="M58" s="12">
        <f>OMNI_Normalized!J13</f>
        <v>6.4</v>
      </c>
      <c r="N58" s="12">
        <f>OMNI_Normalized!K13</f>
        <v>-1.21</v>
      </c>
      <c r="O58" s="12">
        <f>OMNI_Normalized!L13</f>
        <v>420.5</v>
      </c>
      <c r="P58" s="12">
        <f>OMNI_Normalized!M13</f>
        <v>5.38</v>
      </c>
      <c r="Q58" s="12">
        <f>OMNI_Normalized!P13</f>
        <v>82</v>
      </c>
      <c r="R58" s="12">
        <f>OMNI_Normalized!Q13</f>
        <v>2</v>
      </c>
      <c r="S58" s="14">
        <f>Settings!$B$28</f>
        <v>100</v>
      </c>
      <c r="T58" s="14">
        <f>Settings!$B$29</f>
        <v>0.02</v>
      </c>
      <c r="U58" s="14">
        <f>Settings!$B$12</f>
        <v>300</v>
      </c>
      <c r="V58" s="14">
        <f>Settings!$B$25</f>
        <v>0.25</v>
      </c>
      <c r="W58" s="14">
        <f>Settings!$B$21</f>
        <v>4</v>
      </c>
      <c r="X58" s="14">
        <f>Settings!$B$24</f>
        <v>12</v>
      </c>
      <c r="Y58" s="12" t="str">
        <f>Join_Audit!S65</f>
        <v>ACCEPT</v>
      </c>
      <c r="Z58" s="12" t="s">
        <v>857</v>
      </c>
      <c r="AA58" s="34">
        <v>35</v>
      </c>
      <c r="AB58" s="34" t="str">
        <f>INDEX(COMM_Beacons!$E$6:$E$66,AA58)</f>
        <v>CRC32C_VERIFIED</v>
      </c>
      <c r="AC58" s="34">
        <f>INDEX(COMM_Beacons!$K$6:$K$66,$AA58)</f>
        <v>369</v>
      </c>
      <c r="AD58" s="34">
        <f>INDEX(COMM_Beacons!$L$6:$L$66,$AA58)</f>
        <v>369</v>
      </c>
      <c r="AE58" s="34">
        <f>INDEX(COMM_Beacons!$M$6:$M$66,$AA58)</f>
        <v>-83</v>
      </c>
      <c r="AF58" s="34">
        <f>INDEX(COMM_Beacons!$N$6:$N$66,$AA58)</f>
        <v>257</v>
      </c>
      <c r="AG58" s="34">
        <f>INDEX(COMM_Beacons!$O$6:$O$66,$AA58)</f>
        <v>33460</v>
      </c>
      <c r="AH58" s="34">
        <f>INDEX(COMM_Beacons!$P$6:$P$66,$AA58)</f>
        <v>11</v>
      </c>
      <c r="AI58" s="34">
        <f>INDEX(COMM_Beacons!$Q$6:$Q$66,$AA58)</f>
        <v>4389885</v>
      </c>
      <c r="AJ58" s="34">
        <f>INDEX(COMM_Beacons!$R$6:$R$66,$AA58)</f>
        <v>110</v>
      </c>
      <c r="AK58" s="34">
        <f>INDEX(COMM_Beacons!$S$6:$S$66,$AA58)</f>
        <v>2</v>
      </c>
      <c r="AL58" s="34">
        <f>INDEX(COMM_Beacons!$T$6:$T$66,$AA58)</f>
        <v>1126</v>
      </c>
      <c r="AM58" s="34">
        <f>INDEX(COMM_Beacons!$U$6:$U$66,$AA58)</f>
        <v>256</v>
      </c>
      <c r="AN58" s="34">
        <f>INDEX(COMM_Beacons!$V$6:$V$66,$AA58)</f>
        <v>1035520017</v>
      </c>
      <c r="AO58" s="34">
        <f>INDEX(COMM_Beacons!$W$6:$W$66,$AA58)</f>
        <v>-99</v>
      </c>
      <c r="AP58" s="34">
        <f>INDEX(COMM_Beacons!$X$6:$X$66,$AA58)</f>
        <v>1</v>
      </c>
      <c r="AQ58" s="34">
        <f>INDEX(COMM_Beacons!$Y$6:$Y$66,$AA58)</f>
        <v>17475776</v>
      </c>
      <c r="AR58" s="34">
        <f>INDEX(COMM_Beacons!$Z$6:$Z$66,$AA58)</f>
        <v>22035</v>
      </c>
      <c r="AS58" s="34">
        <f>INDEX(COMM_Beacons!$AA$6:$AA$66,$AA58)</f>
        <v>3048170130</v>
      </c>
      <c r="AT58" s="34">
        <f>INDEX(COMM_Beacons!$AB$6:$AB$66,$AA58)</f>
        <v>1105712</v>
      </c>
      <c r="AU58" s="36">
        <f>IF(AA58&lt;=1,"",INDEX(COMM_Counter_Deltas!$J$6:$J$65,AA58-1))</f>
        <v>9.4</v>
      </c>
      <c r="AV58" s="35">
        <f>IF(AA58&lt;=1,"",INDEX(COMM_Counter_Deltas!$B$6:$B$65,AA58-1))</f>
        <v>44589.742465277777</v>
      </c>
      <c r="AW58" s="35">
        <f>IF(AA58&lt;=1,"",INDEX(COMM_Counter_Deltas!$C$6:$C$65,AA58-1))</f>
        <v>44589.742581018523</v>
      </c>
      <c r="AX58" s="34" t="b">
        <v>1</v>
      </c>
      <c r="AY58" s="34">
        <v>4</v>
      </c>
      <c r="AZ58" s="34">
        <f>INDEX(OMNI_Normalized!$N$6:$N$18,MATCH(L58,OMNI_Normalized!$C$6:$C$18,0))</f>
        <v>41974</v>
      </c>
      <c r="BA58" s="37">
        <f>INDEX(OMNI_Normalized!$O$6:$O$18,MATCH(L58,OMNI_Normalized!$C$6:$C$18,0))</f>
        <v>1.9</v>
      </c>
      <c r="BB58" s="34">
        <f>INDEX(OMNI_Normalized!$H$6:$H$18,MATCH(L58,OMNI_Normalized!$C$6:$C$18,0))</f>
        <v>100</v>
      </c>
      <c r="BC58" s="34">
        <f>INDEX(OMNI_Normalized!$F$6:$F$18,MATCH(L58,OMNI_Normalized!$C$6:$C$18,0))</f>
        <v>51</v>
      </c>
      <c r="BD58" s="34">
        <f>INDEX(OMNI_Normalized!$G$6:$G$18,MATCH(L58,OMNI_Normalized!$C$6:$C$18,0))</f>
        <v>51</v>
      </c>
    </row>
    <row r="59" spans="1:56" ht="24" customHeight="1" x14ac:dyDescent="0.2">
      <c r="A59" s="7">
        <v>54</v>
      </c>
      <c r="B59" s="7">
        <v>61</v>
      </c>
      <c r="C59" s="25">
        <f>Join_Audit!C66</f>
        <v>44589.742685185192</v>
      </c>
      <c r="D59" s="12">
        <f>Join_Audit!E66</f>
        <v>399</v>
      </c>
      <c r="E59" s="12">
        <f>Join_Audit!F66</f>
        <v>1355</v>
      </c>
      <c r="F59" s="12">
        <f>Join_Audit!G66</f>
        <v>0</v>
      </c>
      <c r="G59" s="12" t="str">
        <f>Join_Audit!I66</f>
        <v>CADC0873</v>
      </c>
      <c r="H59" s="12">
        <f>Join_Audit!J66</f>
        <v>-1.60329E-5</v>
      </c>
      <c r="I59" s="25">
        <f>Join_Audit!L66</f>
        <v>44589.742581018523</v>
      </c>
      <c r="J59" s="12">
        <f>Join_Audit!O66</f>
        <v>9</v>
      </c>
      <c r="K59" s="12">
        <f>INDEX(COMM_Beacons!$D$6:$D$66,AA59)</f>
        <v>134</v>
      </c>
      <c r="L59" s="25">
        <f>Join_Audit!R66</f>
        <v>44589.742361111108</v>
      </c>
      <c r="M59" s="12">
        <f>OMNI_Normalized!J13</f>
        <v>6.4</v>
      </c>
      <c r="N59" s="12">
        <f>OMNI_Normalized!K13</f>
        <v>-1.21</v>
      </c>
      <c r="O59" s="12">
        <f>OMNI_Normalized!L13</f>
        <v>420.5</v>
      </c>
      <c r="P59" s="12">
        <f>OMNI_Normalized!M13</f>
        <v>5.38</v>
      </c>
      <c r="Q59" s="12">
        <f>OMNI_Normalized!P13</f>
        <v>82</v>
      </c>
      <c r="R59" s="12">
        <f>OMNI_Normalized!Q13</f>
        <v>2</v>
      </c>
      <c r="S59" s="14">
        <f>Settings!$B$28</f>
        <v>100</v>
      </c>
      <c r="T59" s="14">
        <f>Settings!$B$29</f>
        <v>0.02</v>
      </c>
      <c r="U59" s="14">
        <f>Settings!$B$12</f>
        <v>300</v>
      </c>
      <c r="V59" s="14">
        <f>Settings!$B$25</f>
        <v>0.25</v>
      </c>
      <c r="W59" s="14">
        <f>Settings!$B$21</f>
        <v>4</v>
      </c>
      <c r="X59" s="14">
        <f>Settings!$B$24</f>
        <v>12</v>
      </c>
      <c r="Y59" s="12" t="str">
        <f>Join_Audit!S66</f>
        <v>ACCEPT</v>
      </c>
      <c r="Z59" s="12" t="s">
        <v>857</v>
      </c>
      <c r="AA59" s="34">
        <v>35</v>
      </c>
      <c r="AB59" s="34" t="str">
        <f>INDEX(COMM_Beacons!$E$6:$E$66,AA59)</f>
        <v>CRC32C_VERIFIED</v>
      </c>
      <c r="AC59" s="34">
        <f>INDEX(COMM_Beacons!$K$6:$K$66,$AA59)</f>
        <v>369</v>
      </c>
      <c r="AD59" s="34">
        <f>INDEX(COMM_Beacons!$L$6:$L$66,$AA59)</f>
        <v>369</v>
      </c>
      <c r="AE59" s="34">
        <f>INDEX(COMM_Beacons!$M$6:$M$66,$AA59)</f>
        <v>-83</v>
      </c>
      <c r="AF59" s="34">
        <f>INDEX(COMM_Beacons!$N$6:$N$66,$AA59)</f>
        <v>257</v>
      </c>
      <c r="AG59" s="34">
        <f>INDEX(COMM_Beacons!$O$6:$O$66,$AA59)</f>
        <v>33460</v>
      </c>
      <c r="AH59" s="34">
        <f>INDEX(COMM_Beacons!$P$6:$P$66,$AA59)</f>
        <v>11</v>
      </c>
      <c r="AI59" s="34">
        <f>INDEX(COMM_Beacons!$Q$6:$Q$66,$AA59)</f>
        <v>4389885</v>
      </c>
      <c r="AJ59" s="34">
        <f>INDEX(COMM_Beacons!$R$6:$R$66,$AA59)</f>
        <v>110</v>
      </c>
      <c r="AK59" s="34">
        <f>INDEX(COMM_Beacons!$S$6:$S$66,$AA59)</f>
        <v>2</v>
      </c>
      <c r="AL59" s="34">
        <f>INDEX(COMM_Beacons!$T$6:$T$66,$AA59)</f>
        <v>1126</v>
      </c>
      <c r="AM59" s="34">
        <f>INDEX(COMM_Beacons!$U$6:$U$66,$AA59)</f>
        <v>256</v>
      </c>
      <c r="AN59" s="34">
        <f>INDEX(COMM_Beacons!$V$6:$V$66,$AA59)</f>
        <v>1035520017</v>
      </c>
      <c r="AO59" s="34">
        <f>INDEX(COMM_Beacons!$W$6:$W$66,$AA59)</f>
        <v>-99</v>
      </c>
      <c r="AP59" s="34">
        <f>INDEX(COMM_Beacons!$X$6:$X$66,$AA59)</f>
        <v>1</v>
      </c>
      <c r="AQ59" s="34">
        <f>INDEX(COMM_Beacons!$Y$6:$Y$66,$AA59)</f>
        <v>17475776</v>
      </c>
      <c r="AR59" s="34">
        <f>INDEX(COMM_Beacons!$Z$6:$Z$66,$AA59)</f>
        <v>22035</v>
      </c>
      <c r="AS59" s="34">
        <f>INDEX(COMM_Beacons!$AA$6:$AA$66,$AA59)</f>
        <v>3048170130</v>
      </c>
      <c r="AT59" s="34">
        <f>INDEX(COMM_Beacons!$AB$6:$AB$66,$AA59)</f>
        <v>1105712</v>
      </c>
      <c r="AU59" s="36">
        <f>IF(AA59&lt;=1,"",INDEX(COMM_Counter_Deltas!$J$6:$J$65,AA59-1))</f>
        <v>9.4</v>
      </c>
      <c r="AV59" s="35">
        <f>IF(AA59&lt;=1,"",INDEX(COMM_Counter_Deltas!$B$6:$B$65,AA59-1))</f>
        <v>44589.742465277777</v>
      </c>
      <c r="AW59" s="35">
        <f>IF(AA59&lt;=1,"",INDEX(COMM_Counter_Deltas!$C$6:$C$65,AA59-1))</f>
        <v>44589.742581018523</v>
      </c>
      <c r="AX59" s="34" t="b">
        <v>1</v>
      </c>
      <c r="AY59" s="34">
        <v>9</v>
      </c>
      <c r="AZ59" s="34">
        <f>INDEX(OMNI_Normalized!$N$6:$N$18,MATCH(L59,OMNI_Normalized!$C$6:$C$18,0))</f>
        <v>41974</v>
      </c>
      <c r="BA59" s="37">
        <f>INDEX(OMNI_Normalized!$O$6:$O$18,MATCH(L59,OMNI_Normalized!$C$6:$C$18,0))</f>
        <v>1.9</v>
      </c>
      <c r="BB59" s="34">
        <f>INDEX(OMNI_Normalized!$H$6:$H$18,MATCH(L59,OMNI_Normalized!$C$6:$C$18,0))</f>
        <v>100</v>
      </c>
      <c r="BC59" s="34">
        <f>INDEX(OMNI_Normalized!$F$6:$F$18,MATCH(L59,OMNI_Normalized!$C$6:$C$18,0))</f>
        <v>51</v>
      </c>
      <c r="BD59" s="34">
        <f>INDEX(OMNI_Normalized!$G$6:$G$18,MATCH(L59,OMNI_Normalized!$C$6:$C$18,0))</f>
        <v>51</v>
      </c>
    </row>
    <row r="60" spans="1:56" ht="24" customHeight="1" x14ac:dyDescent="0.2">
      <c r="A60" s="7">
        <v>55</v>
      </c>
      <c r="B60" s="7">
        <v>62</v>
      </c>
      <c r="C60" s="25">
        <f>Join_Audit!C67</f>
        <v>44589.742743055547</v>
      </c>
      <c r="D60" s="12">
        <f>Join_Audit!E67</f>
        <v>404</v>
      </c>
      <c r="E60" s="12">
        <f>Join_Audit!F67</f>
        <v>1355</v>
      </c>
      <c r="F60" s="12">
        <f>Join_Audit!G67</f>
        <v>0</v>
      </c>
      <c r="G60" s="12" t="str">
        <f>Join_Audit!I67</f>
        <v>CADC0873</v>
      </c>
      <c r="H60" s="12">
        <f>Join_Audit!J67</f>
        <v>-6.9269800000000002E-6</v>
      </c>
      <c r="I60" s="25">
        <f>Join_Audit!L67</f>
        <v>44589.742696759262</v>
      </c>
      <c r="J60" s="12">
        <f>Join_Audit!O67</f>
        <v>4</v>
      </c>
      <c r="K60" s="12">
        <f>INDEX(COMM_Beacons!$D$6:$D$66,AA60)</f>
        <v>132</v>
      </c>
      <c r="L60" s="25">
        <f>Join_Audit!R67</f>
        <v>44589.742361111108</v>
      </c>
      <c r="M60" s="12">
        <f>OMNI_Normalized!J13</f>
        <v>6.4</v>
      </c>
      <c r="N60" s="12">
        <f>OMNI_Normalized!K13</f>
        <v>-1.21</v>
      </c>
      <c r="O60" s="12">
        <f>OMNI_Normalized!L13</f>
        <v>420.5</v>
      </c>
      <c r="P60" s="12">
        <f>OMNI_Normalized!M13</f>
        <v>5.38</v>
      </c>
      <c r="Q60" s="12">
        <f>OMNI_Normalized!P13</f>
        <v>82</v>
      </c>
      <c r="R60" s="12">
        <f>OMNI_Normalized!Q13</f>
        <v>2</v>
      </c>
      <c r="S60" s="14">
        <f>Settings!$B$28</f>
        <v>100</v>
      </c>
      <c r="T60" s="14">
        <f>Settings!$B$29</f>
        <v>0.02</v>
      </c>
      <c r="U60" s="14">
        <f>Settings!$B$12</f>
        <v>300</v>
      </c>
      <c r="V60" s="14">
        <f>Settings!$B$25</f>
        <v>0.25</v>
      </c>
      <c r="W60" s="14">
        <f>Settings!$B$21</f>
        <v>4</v>
      </c>
      <c r="X60" s="14">
        <f>Settings!$B$24</f>
        <v>12</v>
      </c>
      <c r="Y60" s="12" t="str">
        <f>Join_Audit!S67</f>
        <v>ACCEPT</v>
      </c>
      <c r="Z60" s="12" t="s">
        <v>857</v>
      </c>
      <c r="AA60" s="34">
        <v>36</v>
      </c>
      <c r="AB60" s="34" t="str">
        <f>INDEX(COMM_Beacons!$E$6:$E$66,AA60)</f>
        <v>CRC32C_VERIFIED</v>
      </c>
      <c r="AC60" s="34">
        <f>INDEX(COMM_Beacons!$K$6:$K$66,$AA60)</f>
        <v>369</v>
      </c>
      <c r="AD60" s="34">
        <f>INDEX(COMM_Beacons!$L$6:$L$66,$AA60)</f>
        <v>369</v>
      </c>
      <c r="AE60" s="34">
        <f>INDEX(COMM_Beacons!$M$6:$M$66,$AA60)</f>
        <v>-83</v>
      </c>
      <c r="AF60" s="34">
        <f>INDEX(COMM_Beacons!$N$6:$N$66,$AA60)</f>
        <v>257</v>
      </c>
      <c r="AG60" s="34">
        <f>INDEX(COMM_Beacons!$O$6:$O$66,$AA60)</f>
        <v>33461</v>
      </c>
      <c r="AH60" s="34">
        <f>INDEX(COMM_Beacons!$P$6:$P$66,$AA60)</f>
        <v>11</v>
      </c>
      <c r="AI60" s="34">
        <f>INDEX(COMM_Beacons!$Q$6:$Q$66,$AA60)</f>
        <v>4389979</v>
      </c>
      <c r="AJ60" s="34">
        <f>INDEX(COMM_Beacons!$R$6:$R$66,$AA60)</f>
        <v>110</v>
      </c>
      <c r="AK60" s="34">
        <f>INDEX(COMM_Beacons!$S$6:$S$66,$AA60)</f>
        <v>2</v>
      </c>
      <c r="AL60" s="34">
        <f>INDEX(COMM_Beacons!$T$6:$T$66,$AA60)</f>
        <v>1126</v>
      </c>
      <c r="AM60" s="34">
        <f>INDEX(COMM_Beacons!$U$6:$U$66,$AA60)</f>
        <v>256</v>
      </c>
      <c r="AN60" s="34">
        <f>INDEX(COMM_Beacons!$V$6:$V$66,$AA60)</f>
        <v>1035520017</v>
      </c>
      <c r="AO60" s="34">
        <f>INDEX(COMM_Beacons!$W$6:$W$66,$AA60)</f>
        <v>-103</v>
      </c>
      <c r="AP60" s="34">
        <f>INDEX(COMM_Beacons!$X$6:$X$66,$AA60)</f>
        <v>1</v>
      </c>
      <c r="AQ60" s="34">
        <f>INDEX(COMM_Beacons!$Y$6:$Y$66,$AA60)</f>
        <v>17475777</v>
      </c>
      <c r="AR60" s="34">
        <f>INDEX(COMM_Beacons!$Z$6:$Z$66,$AA60)</f>
        <v>22035</v>
      </c>
      <c r="AS60" s="34">
        <f>INDEX(COMM_Beacons!$AA$6:$AA$66,$AA60)</f>
        <v>3048170224</v>
      </c>
      <c r="AT60" s="34">
        <f>INDEX(COMM_Beacons!$AB$6:$AB$66,$AA60)</f>
        <v>1105712</v>
      </c>
      <c r="AU60" s="36">
        <f>IF(AA60&lt;=1,"",INDEX(COMM_Counter_Deltas!$J$6:$J$65,AA60-1))</f>
        <v>9.4</v>
      </c>
      <c r="AV60" s="35">
        <f>IF(AA60&lt;=1,"",INDEX(COMM_Counter_Deltas!$B$6:$B$65,AA60-1))</f>
        <v>44589.742581018523</v>
      </c>
      <c r="AW60" s="35">
        <f>IF(AA60&lt;=1,"",INDEX(COMM_Counter_Deltas!$C$6:$C$65,AA60-1))</f>
        <v>44589.742696759262</v>
      </c>
      <c r="AX60" s="34" t="b">
        <v>1</v>
      </c>
      <c r="AY60" s="34">
        <v>4</v>
      </c>
      <c r="AZ60" s="34">
        <f>INDEX(OMNI_Normalized!$N$6:$N$18,MATCH(L60,OMNI_Normalized!$C$6:$C$18,0))</f>
        <v>41974</v>
      </c>
      <c r="BA60" s="37">
        <f>INDEX(OMNI_Normalized!$O$6:$O$18,MATCH(L60,OMNI_Normalized!$C$6:$C$18,0))</f>
        <v>1.9</v>
      </c>
      <c r="BB60" s="34">
        <f>INDEX(OMNI_Normalized!$H$6:$H$18,MATCH(L60,OMNI_Normalized!$C$6:$C$18,0))</f>
        <v>100</v>
      </c>
      <c r="BC60" s="34">
        <f>INDEX(OMNI_Normalized!$F$6:$F$18,MATCH(L60,OMNI_Normalized!$C$6:$C$18,0))</f>
        <v>51</v>
      </c>
      <c r="BD60" s="34">
        <f>INDEX(OMNI_Normalized!$G$6:$G$18,MATCH(L60,OMNI_Normalized!$C$6:$C$18,0))</f>
        <v>51</v>
      </c>
    </row>
    <row r="61" spans="1:56" ht="24" customHeight="1" x14ac:dyDescent="0.2">
      <c r="A61" s="7">
        <v>56</v>
      </c>
      <c r="B61" s="7">
        <v>63</v>
      </c>
      <c r="C61" s="25">
        <f>Join_Audit!C68</f>
        <v>44589.742800925917</v>
      </c>
      <c r="D61" s="12">
        <f>Join_Audit!E68</f>
        <v>409</v>
      </c>
      <c r="E61" s="12">
        <f>Join_Audit!F68</f>
        <v>1355</v>
      </c>
      <c r="F61" s="12">
        <f>Join_Audit!G68</f>
        <v>0</v>
      </c>
      <c r="G61" s="12" t="str">
        <f>Join_Audit!I68</f>
        <v>CADC0873</v>
      </c>
      <c r="H61" s="12">
        <f>Join_Audit!J68</f>
        <v>3.5022199999999998E-6</v>
      </c>
      <c r="I61" s="25">
        <f>Join_Audit!L68</f>
        <v>44589.742696759262</v>
      </c>
      <c r="J61" s="12">
        <f>Join_Audit!O68</f>
        <v>9</v>
      </c>
      <c r="K61" s="12">
        <f>INDEX(COMM_Beacons!$D$6:$D$66,AA61)</f>
        <v>132</v>
      </c>
      <c r="L61" s="25">
        <f>Join_Audit!R68</f>
        <v>44589.742361111108</v>
      </c>
      <c r="M61" s="12">
        <f>OMNI_Normalized!J13</f>
        <v>6.4</v>
      </c>
      <c r="N61" s="12">
        <f>OMNI_Normalized!K13</f>
        <v>-1.21</v>
      </c>
      <c r="O61" s="12">
        <f>OMNI_Normalized!L13</f>
        <v>420.5</v>
      </c>
      <c r="P61" s="12">
        <f>OMNI_Normalized!M13</f>
        <v>5.38</v>
      </c>
      <c r="Q61" s="12">
        <f>OMNI_Normalized!P13</f>
        <v>82</v>
      </c>
      <c r="R61" s="12">
        <f>OMNI_Normalized!Q13</f>
        <v>2</v>
      </c>
      <c r="S61" s="14">
        <f>Settings!$B$28</f>
        <v>100</v>
      </c>
      <c r="T61" s="14">
        <f>Settings!$B$29</f>
        <v>0.02</v>
      </c>
      <c r="U61" s="14">
        <f>Settings!$B$12</f>
        <v>300</v>
      </c>
      <c r="V61" s="14">
        <f>Settings!$B$25</f>
        <v>0.25</v>
      </c>
      <c r="W61" s="14">
        <f>Settings!$B$21</f>
        <v>4</v>
      </c>
      <c r="X61" s="14">
        <f>Settings!$B$24</f>
        <v>12</v>
      </c>
      <c r="Y61" s="12" t="str">
        <f>Join_Audit!S68</f>
        <v>ACCEPT</v>
      </c>
      <c r="Z61" s="12" t="s">
        <v>857</v>
      </c>
      <c r="AA61" s="34">
        <v>36</v>
      </c>
      <c r="AB61" s="34" t="str">
        <f>INDEX(COMM_Beacons!$E$6:$E$66,AA61)</f>
        <v>CRC32C_VERIFIED</v>
      </c>
      <c r="AC61" s="34">
        <f>INDEX(COMM_Beacons!$K$6:$K$66,$AA61)</f>
        <v>369</v>
      </c>
      <c r="AD61" s="34">
        <f>INDEX(COMM_Beacons!$L$6:$L$66,$AA61)</f>
        <v>369</v>
      </c>
      <c r="AE61" s="34">
        <f>INDEX(COMM_Beacons!$M$6:$M$66,$AA61)</f>
        <v>-83</v>
      </c>
      <c r="AF61" s="34">
        <f>INDEX(COMM_Beacons!$N$6:$N$66,$AA61)</f>
        <v>257</v>
      </c>
      <c r="AG61" s="34">
        <f>INDEX(COMM_Beacons!$O$6:$O$66,$AA61)</f>
        <v>33461</v>
      </c>
      <c r="AH61" s="34">
        <f>INDEX(COMM_Beacons!$P$6:$P$66,$AA61)</f>
        <v>11</v>
      </c>
      <c r="AI61" s="34">
        <f>INDEX(COMM_Beacons!$Q$6:$Q$66,$AA61)</f>
        <v>4389979</v>
      </c>
      <c r="AJ61" s="34">
        <f>INDEX(COMM_Beacons!$R$6:$R$66,$AA61)</f>
        <v>110</v>
      </c>
      <c r="AK61" s="34">
        <f>INDEX(COMM_Beacons!$S$6:$S$66,$AA61)</f>
        <v>2</v>
      </c>
      <c r="AL61" s="34">
        <f>INDEX(COMM_Beacons!$T$6:$T$66,$AA61)</f>
        <v>1126</v>
      </c>
      <c r="AM61" s="34">
        <f>INDEX(COMM_Beacons!$U$6:$U$66,$AA61)</f>
        <v>256</v>
      </c>
      <c r="AN61" s="34">
        <f>INDEX(COMM_Beacons!$V$6:$V$66,$AA61)</f>
        <v>1035520017</v>
      </c>
      <c r="AO61" s="34">
        <f>INDEX(COMM_Beacons!$W$6:$W$66,$AA61)</f>
        <v>-103</v>
      </c>
      <c r="AP61" s="34">
        <f>INDEX(COMM_Beacons!$X$6:$X$66,$AA61)</f>
        <v>1</v>
      </c>
      <c r="AQ61" s="34">
        <f>INDEX(COMM_Beacons!$Y$6:$Y$66,$AA61)</f>
        <v>17475777</v>
      </c>
      <c r="AR61" s="34">
        <f>INDEX(COMM_Beacons!$Z$6:$Z$66,$AA61)</f>
        <v>22035</v>
      </c>
      <c r="AS61" s="34">
        <f>INDEX(COMM_Beacons!$AA$6:$AA$66,$AA61)</f>
        <v>3048170224</v>
      </c>
      <c r="AT61" s="34">
        <f>INDEX(COMM_Beacons!$AB$6:$AB$66,$AA61)</f>
        <v>1105712</v>
      </c>
      <c r="AU61" s="36">
        <f>IF(AA61&lt;=1,"",INDEX(COMM_Counter_Deltas!$J$6:$J$65,AA61-1))</f>
        <v>9.4</v>
      </c>
      <c r="AV61" s="35">
        <f>IF(AA61&lt;=1,"",INDEX(COMM_Counter_Deltas!$B$6:$B$65,AA61-1))</f>
        <v>44589.742581018523</v>
      </c>
      <c r="AW61" s="35">
        <f>IF(AA61&lt;=1,"",INDEX(COMM_Counter_Deltas!$C$6:$C$65,AA61-1))</f>
        <v>44589.742696759262</v>
      </c>
      <c r="AX61" s="34" t="b">
        <v>1</v>
      </c>
      <c r="AY61" s="34">
        <v>9</v>
      </c>
      <c r="AZ61" s="34">
        <f>INDEX(OMNI_Normalized!$N$6:$N$18,MATCH(L61,OMNI_Normalized!$C$6:$C$18,0))</f>
        <v>41974</v>
      </c>
      <c r="BA61" s="37">
        <f>INDEX(OMNI_Normalized!$O$6:$O$18,MATCH(L61,OMNI_Normalized!$C$6:$C$18,0))</f>
        <v>1.9</v>
      </c>
      <c r="BB61" s="34">
        <f>INDEX(OMNI_Normalized!$H$6:$H$18,MATCH(L61,OMNI_Normalized!$C$6:$C$18,0))</f>
        <v>100</v>
      </c>
      <c r="BC61" s="34">
        <f>INDEX(OMNI_Normalized!$F$6:$F$18,MATCH(L61,OMNI_Normalized!$C$6:$C$18,0))</f>
        <v>51</v>
      </c>
      <c r="BD61" s="34">
        <f>INDEX(OMNI_Normalized!$G$6:$G$18,MATCH(L61,OMNI_Normalized!$C$6:$C$18,0))</f>
        <v>51</v>
      </c>
    </row>
    <row r="62" spans="1:56" ht="24" customHeight="1" x14ac:dyDescent="0.2">
      <c r="A62" s="7">
        <v>57</v>
      </c>
      <c r="B62" s="7">
        <v>64</v>
      </c>
      <c r="C62" s="25">
        <f>Join_Audit!C69</f>
        <v>44589.742858796293</v>
      </c>
      <c r="D62" s="12">
        <f>Join_Audit!E69</f>
        <v>414</v>
      </c>
      <c r="E62" s="12">
        <f>Join_Audit!F69</f>
        <v>1355</v>
      </c>
      <c r="F62" s="12">
        <f>Join_Audit!G69</f>
        <v>0</v>
      </c>
      <c r="G62" s="12" t="str">
        <f>Join_Audit!I69</f>
        <v>CADC0873</v>
      </c>
      <c r="H62" s="12">
        <f>Join_Audit!J69</f>
        <v>1.31017E-5</v>
      </c>
      <c r="I62" s="25">
        <f>Join_Audit!L69</f>
        <v>44589.742812500001</v>
      </c>
      <c r="J62" s="12">
        <f>Join_Audit!O69</f>
        <v>4</v>
      </c>
      <c r="K62" s="12">
        <f>INDEX(COMM_Beacons!$D$6:$D$66,AA62)</f>
        <v>129</v>
      </c>
      <c r="L62" s="25">
        <f>Join_Audit!R69</f>
        <v>44589.742361111108</v>
      </c>
      <c r="M62" s="12">
        <f>OMNI_Normalized!J13</f>
        <v>6.4</v>
      </c>
      <c r="N62" s="12">
        <f>OMNI_Normalized!K13</f>
        <v>-1.21</v>
      </c>
      <c r="O62" s="12">
        <f>OMNI_Normalized!L13</f>
        <v>420.5</v>
      </c>
      <c r="P62" s="12">
        <f>OMNI_Normalized!M13</f>
        <v>5.38</v>
      </c>
      <c r="Q62" s="12">
        <f>OMNI_Normalized!P13</f>
        <v>82</v>
      </c>
      <c r="R62" s="12">
        <f>OMNI_Normalized!Q13</f>
        <v>2</v>
      </c>
      <c r="S62" s="14">
        <f>Settings!$B$28</f>
        <v>100</v>
      </c>
      <c r="T62" s="14">
        <f>Settings!$B$29</f>
        <v>0.02</v>
      </c>
      <c r="U62" s="14">
        <f>Settings!$B$12</f>
        <v>300</v>
      </c>
      <c r="V62" s="14">
        <f>Settings!$B$25</f>
        <v>0.25</v>
      </c>
      <c r="W62" s="14">
        <f>Settings!$B$21</f>
        <v>4</v>
      </c>
      <c r="X62" s="14">
        <f>Settings!$B$24</f>
        <v>12</v>
      </c>
      <c r="Y62" s="12" t="str">
        <f>Join_Audit!S69</f>
        <v>ACCEPT</v>
      </c>
      <c r="Z62" s="12" t="s">
        <v>857</v>
      </c>
      <c r="AA62" s="34">
        <v>37</v>
      </c>
      <c r="AB62" s="34" t="str">
        <f>INDEX(COMM_Beacons!$E$6:$E$66,AA62)</f>
        <v>CRC32C_VERIFIED</v>
      </c>
      <c r="AC62" s="34">
        <f>INDEX(COMM_Beacons!$K$6:$K$66,$AA62)</f>
        <v>368</v>
      </c>
      <c r="AD62" s="34">
        <f>INDEX(COMM_Beacons!$L$6:$L$66,$AA62)</f>
        <v>369</v>
      </c>
      <c r="AE62" s="34">
        <f>INDEX(COMM_Beacons!$M$6:$M$66,$AA62)</f>
        <v>-83</v>
      </c>
      <c r="AF62" s="34">
        <f>INDEX(COMM_Beacons!$N$6:$N$66,$AA62)</f>
        <v>257</v>
      </c>
      <c r="AG62" s="34">
        <f>INDEX(COMM_Beacons!$O$6:$O$66,$AA62)</f>
        <v>33462</v>
      </c>
      <c r="AH62" s="34">
        <f>INDEX(COMM_Beacons!$P$6:$P$66,$AA62)</f>
        <v>11</v>
      </c>
      <c r="AI62" s="34">
        <f>INDEX(COMM_Beacons!$Q$6:$Q$66,$AA62)</f>
        <v>4390073</v>
      </c>
      <c r="AJ62" s="34">
        <f>INDEX(COMM_Beacons!$R$6:$R$66,$AA62)</f>
        <v>110</v>
      </c>
      <c r="AK62" s="34">
        <f>INDEX(COMM_Beacons!$S$6:$S$66,$AA62)</f>
        <v>2</v>
      </c>
      <c r="AL62" s="34">
        <f>INDEX(COMM_Beacons!$T$6:$T$66,$AA62)</f>
        <v>1126</v>
      </c>
      <c r="AM62" s="34">
        <f>INDEX(COMM_Beacons!$U$6:$U$66,$AA62)</f>
        <v>256</v>
      </c>
      <c r="AN62" s="34">
        <f>INDEX(COMM_Beacons!$V$6:$V$66,$AA62)</f>
        <v>1035520017</v>
      </c>
      <c r="AO62" s="34">
        <f>INDEX(COMM_Beacons!$W$6:$W$66,$AA62)</f>
        <v>-103</v>
      </c>
      <c r="AP62" s="34">
        <f>INDEX(COMM_Beacons!$X$6:$X$66,$AA62)</f>
        <v>1</v>
      </c>
      <c r="AQ62" s="34">
        <f>INDEX(COMM_Beacons!$Y$6:$Y$66,$AA62)</f>
        <v>17475778</v>
      </c>
      <c r="AR62" s="34">
        <f>INDEX(COMM_Beacons!$Z$6:$Z$66,$AA62)</f>
        <v>22035</v>
      </c>
      <c r="AS62" s="34">
        <f>INDEX(COMM_Beacons!$AA$6:$AA$66,$AA62)</f>
        <v>3048170318</v>
      </c>
      <c r="AT62" s="34">
        <f>INDEX(COMM_Beacons!$AB$6:$AB$66,$AA62)</f>
        <v>1105712</v>
      </c>
      <c r="AU62" s="36">
        <f>IF(AA62&lt;=1,"",INDEX(COMM_Counter_Deltas!$J$6:$J$65,AA62-1))</f>
        <v>9.4</v>
      </c>
      <c r="AV62" s="35">
        <f>IF(AA62&lt;=1,"",INDEX(COMM_Counter_Deltas!$B$6:$B$65,AA62-1))</f>
        <v>44589.742696759262</v>
      </c>
      <c r="AW62" s="35">
        <f>IF(AA62&lt;=1,"",INDEX(COMM_Counter_Deltas!$C$6:$C$65,AA62-1))</f>
        <v>44589.742812500001</v>
      </c>
      <c r="AX62" s="34" t="b">
        <v>1</v>
      </c>
      <c r="AY62" s="34">
        <v>4</v>
      </c>
      <c r="AZ62" s="34">
        <f>INDEX(OMNI_Normalized!$N$6:$N$18,MATCH(L62,OMNI_Normalized!$C$6:$C$18,0))</f>
        <v>41974</v>
      </c>
      <c r="BA62" s="37">
        <f>INDEX(OMNI_Normalized!$O$6:$O$18,MATCH(L62,OMNI_Normalized!$C$6:$C$18,0))</f>
        <v>1.9</v>
      </c>
      <c r="BB62" s="34">
        <f>INDEX(OMNI_Normalized!$H$6:$H$18,MATCH(L62,OMNI_Normalized!$C$6:$C$18,0))</f>
        <v>100</v>
      </c>
      <c r="BC62" s="34">
        <f>INDEX(OMNI_Normalized!$F$6:$F$18,MATCH(L62,OMNI_Normalized!$C$6:$C$18,0))</f>
        <v>51</v>
      </c>
      <c r="BD62" s="34">
        <f>INDEX(OMNI_Normalized!$G$6:$G$18,MATCH(L62,OMNI_Normalized!$C$6:$C$18,0))</f>
        <v>51</v>
      </c>
    </row>
    <row r="63" spans="1:56" ht="24" customHeight="1" x14ac:dyDescent="0.2">
      <c r="A63" s="7">
        <v>58</v>
      </c>
      <c r="B63" s="7">
        <v>65</v>
      </c>
      <c r="C63" s="25">
        <f>Join_Audit!C70</f>
        <v>44589.74291666667</v>
      </c>
      <c r="D63" s="12">
        <f>Join_Audit!E70</f>
        <v>419</v>
      </c>
      <c r="E63" s="12">
        <f>Join_Audit!F70</f>
        <v>1355</v>
      </c>
      <c r="F63" s="12">
        <f>Join_Audit!G70</f>
        <v>0</v>
      </c>
      <c r="G63" s="12" t="str">
        <f>Join_Audit!I70</f>
        <v>CADC0873</v>
      </c>
      <c r="H63" s="12">
        <f>Join_Audit!J70</f>
        <v>2.1547099999999999E-5</v>
      </c>
      <c r="I63" s="25">
        <f>Join_Audit!L70</f>
        <v>44589.742812500001</v>
      </c>
      <c r="J63" s="12">
        <f>Join_Audit!O70</f>
        <v>9</v>
      </c>
      <c r="K63" s="12">
        <f>INDEX(COMM_Beacons!$D$6:$D$66,AA63)</f>
        <v>129</v>
      </c>
      <c r="L63" s="25">
        <f>Join_Audit!R70</f>
        <v>44589.742361111108</v>
      </c>
      <c r="M63" s="12">
        <f>OMNI_Normalized!J13</f>
        <v>6.4</v>
      </c>
      <c r="N63" s="12">
        <f>OMNI_Normalized!K13</f>
        <v>-1.21</v>
      </c>
      <c r="O63" s="12">
        <f>OMNI_Normalized!L13</f>
        <v>420.5</v>
      </c>
      <c r="P63" s="12">
        <f>OMNI_Normalized!M13</f>
        <v>5.38</v>
      </c>
      <c r="Q63" s="12">
        <f>OMNI_Normalized!P13</f>
        <v>82</v>
      </c>
      <c r="R63" s="12">
        <f>OMNI_Normalized!Q13</f>
        <v>2</v>
      </c>
      <c r="S63" s="14">
        <f>Settings!$B$28</f>
        <v>100</v>
      </c>
      <c r="T63" s="14">
        <f>Settings!$B$29</f>
        <v>0.02</v>
      </c>
      <c r="U63" s="14">
        <f>Settings!$B$12</f>
        <v>300</v>
      </c>
      <c r="V63" s="14">
        <f>Settings!$B$25</f>
        <v>0.25</v>
      </c>
      <c r="W63" s="14">
        <f>Settings!$B$21</f>
        <v>4</v>
      </c>
      <c r="X63" s="14">
        <f>Settings!$B$24</f>
        <v>12</v>
      </c>
      <c r="Y63" s="12" t="str">
        <f>Join_Audit!S70</f>
        <v>ACCEPT</v>
      </c>
      <c r="Z63" s="12" t="s">
        <v>857</v>
      </c>
      <c r="AA63" s="34">
        <v>37</v>
      </c>
      <c r="AB63" s="34" t="str">
        <f>INDEX(COMM_Beacons!$E$6:$E$66,AA63)</f>
        <v>CRC32C_VERIFIED</v>
      </c>
      <c r="AC63" s="34">
        <f>INDEX(COMM_Beacons!$K$6:$K$66,$AA63)</f>
        <v>368</v>
      </c>
      <c r="AD63" s="34">
        <f>INDEX(COMM_Beacons!$L$6:$L$66,$AA63)</f>
        <v>369</v>
      </c>
      <c r="AE63" s="34">
        <f>INDEX(COMM_Beacons!$M$6:$M$66,$AA63)</f>
        <v>-83</v>
      </c>
      <c r="AF63" s="34">
        <f>INDEX(COMM_Beacons!$N$6:$N$66,$AA63)</f>
        <v>257</v>
      </c>
      <c r="AG63" s="34">
        <f>INDEX(COMM_Beacons!$O$6:$O$66,$AA63)</f>
        <v>33462</v>
      </c>
      <c r="AH63" s="34">
        <f>INDEX(COMM_Beacons!$P$6:$P$66,$AA63)</f>
        <v>11</v>
      </c>
      <c r="AI63" s="34">
        <f>INDEX(COMM_Beacons!$Q$6:$Q$66,$AA63)</f>
        <v>4390073</v>
      </c>
      <c r="AJ63" s="34">
        <f>INDEX(COMM_Beacons!$R$6:$R$66,$AA63)</f>
        <v>110</v>
      </c>
      <c r="AK63" s="34">
        <f>INDEX(COMM_Beacons!$S$6:$S$66,$AA63)</f>
        <v>2</v>
      </c>
      <c r="AL63" s="34">
        <f>INDEX(COMM_Beacons!$T$6:$T$66,$AA63)</f>
        <v>1126</v>
      </c>
      <c r="AM63" s="34">
        <f>INDEX(COMM_Beacons!$U$6:$U$66,$AA63)</f>
        <v>256</v>
      </c>
      <c r="AN63" s="34">
        <f>INDEX(COMM_Beacons!$V$6:$V$66,$AA63)</f>
        <v>1035520017</v>
      </c>
      <c r="AO63" s="34">
        <f>INDEX(COMM_Beacons!$W$6:$W$66,$AA63)</f>
        <v>-103</v>
      </c>
      <c r="AP63" s="34">
        <f>INDEX(COMM_Beacons!$X$6:$X$66,$AA63)</f>
        <v>1</v>
      </c>
      <c r="AQ63" s="34">
        <f>INDEX(COMM_Beacons!$Y$6:$Y$66,$AA63)</f>
        <v>17475778</v>
      </c>
      <c r="AR63" s="34">
        <f>INDEX(COMM_Beacons!$Z$6:$Z$66,$AA63)</f>
        <v>22035</v>
      </c>
      <c r="AS63" s="34">
        <f>INDEX(COMM_Beacons!$AA$6:$AA$66,$AA63)</f>
        <v>3048170318</v>
      </c>
      <c r="AT63" s="34">
        <f>INDEX(COMM_Beacons!$AB$6:$AB$66,$AA63)</f>
        <v>1105712</v>
      </c>
      <c r="AU63" s="36">
        <f>IF(AA63&lt;=1,"",INDEX(COMM_Counter_Deltas!$J$6:$J$65,AA63-1))</f>
        <v>9.4</v>
      </c>
      <c r="AV63" s="35">
        <f>IF(AA63&lt;=1,"",INDEX(COMM_Counter_Deltas!$B$6:$B$65,AA63-1))</f>
        <v>44589.742696759262</v>
      </c>
      <c r="AW63" s="35">
        <f>IF(AA63&lt;=1,"",INDEX(COMM_Counter_Deltas!$C$6:$C$65,AA63-1))</f>
        <v>44589.742812500001</v>
      </c>
      <c r="AX63" s="34" t="b">
        <v>1</v>
      </c>
      <c r="AY63" s="34">
        <v>9</v>
      </c>
      <c r="AZ63" s="34">
        <f>INDEX(OMNI_Normalized!$N$6:$N$18,MATCH(L63,OMNI_Normalized!$C$6:$C$18,0))</f>
        <v>41974</v>
      </c>
      <c r="BA63" s="37">
        <f>INDEX(OMNI_Normalized!$O$6:$O$18,MATCH(L63,OMNI_Normalized!$C$6:$C$18,0))</f>
        <v>1.9</v>
      </c>
      <c r="BB63" s="34">
        <f>INDEX(OMNI_Normalized!$H$6:$H$18,MATCH(L63,OMNI_Normalized!$C$6:$C$18,0))</f>
        <v>100</v>
      </c>
      <c r="BC63" s="34">
        <f>INDEX(OMNI_Normalized!$F$6:$F$18,MATCH(L63,OMNI_Normalized!$C$6:$C$18,0))</f>
        <v>51</v>
      </c>
      <c r="BD63" s="34">
        <f>INDEX(OMNI_Normalized!$G$6:$G$18,MATCH(L63,OMNI_Normalized!$C$6:$C$18,0))</f>
        <v>51</v>
      </c>
    </row>
    <row r="64" spans="1:56" ht="24" customHeight="1" x14ac:dyDescent="0.2">
      <c r="A64" s="7">
        <v>59</v>
      </c>
      <c r="B64" s="7">
        <v>66</v>
      </c>
      <c r="C64" s="25">
        <f>Join_Audit!C71</f>
        <v>44589.742974537039</v>
      </c>
      <c r="D64" s="12">
        <f>Join_Audit!E71</f>
        <v>424</v>
      </c>
      <c r="E64" s="12">
        <f>Join_Audit!F71</f>
        <v>1355</v>
      </c>
      <c r="F64" s="12">
        <f>Join_Audit!G71</f>
        <v>0</v>
      </c>
      <c r="G64" s="12" t="str">
        <f>Join_Audit!I71</f>
        <v>CADC0873</v>
      </c>
      <c r="H64" s="12">
        <f>Join_Audit!J71</f>
        <v>2.7480599999999999E-5</v>
      </c>
      <c r="I64" s="25">
        <f>Join_Audit!L71</f>
        <v>44589.742928240739</v>
      </c>
      <c r="J64" s="12">
        <f>Join_Audit!O71</f>
        <v>4</v>
      </c>
      <c r="K64" s="12">
        <f>INDEX(COMM_Beacons!$D$6:$D$66,AA64)</f>
        <v>127</v>
      </c>
      <c r="L64" s="25">
        <f>Join_Audit!R71</f>
        <v>44589.742361111108</v>
      </c>
      <c r="M64" s="12">
        <f>OMNI_Normalized!J13</f>
        <v>6.4</v>
      </c>
      <c r="N64" s="12">
        <f>OMNI_Normalized!K13</f>
        <v>-1.21</v>
      </c>
      <c r="O64" s="12">
        <f>OMNI_Normalized!L13</f>
        <v>420.5</v>
      </c>
      <c r="P64" s="12">
        <f>OMNI_Normalized!M13</f>
        <v>5.38</v>
      </c>
      <c r="Q64" s="12">
        <f>OMNI_Normalized!P13</f>
        <v>82</v>
      </c>
      <c r="R64" s="12">
        <f>OMNI_Normalized!Q13</f>
        <v>2</v>
      </c>
      <c r="S64" s="14">
        <f>Settings!$B$28</f>
        <v>100</v>
      </c>
      <c r="T64" s="14">
        <f>Settings!$B$29</f>
        <v>0.02</v>
      </c>
      <c r="U64" s="14">
        <f>Settings!$B$12</f>
        <v>300</v>
      </c>
      <c r="V64" s="14">
        <f>Settings!$B$25</f>
        <v>0.25</v>
      </c>
      <c r="W64" s="14">
        <f>Settings!$B$21</f>
        <v>4</v>
      </c>
      <c r="X64" s="14">
        <f>Settings!$B$24</f>
        <v>12</v>
      </c>
      <c r="Y64" s="12" t="str">
        <f>Join_Audit!S71</f>
        <v>ACCEPT</v>
      </c>
      <c r="Z64" s="12" t="s">
        <v>857</v>
      </c>
      <c r="AA64" s="34">
        <v>38</v>
      </c>
      <c r="AB64" s="34" t="str">
        <f>INDEX(COMM_Beacons!$E$6:$E$66,AA64)</f>
        <v>CRC32C_VERIFIED</v>
      </c>
      <c r="AC64" s="34">
        <f>INDEX(COMM_Beacons!$K$6:$K$66,$AA64)</f>
        <v>368</v>
      </c>
      <c r="AD64" s="34">
        <f>INDEX(COMM_Beacons!$L$6:$L$66,$AA64)</f>
        <v>369</v>
      </c>
      <c r="AE64" s="34">
        <f>INDEX(COMM_Beacons!$M$6:$M$66,$AA64)</f>
        <v>-83</v>
      </c>
      <c r="AF64" s="34">
        <f>INDEX(COMM_Beacons!$N$6:$N$66,$AA64)</f>
        <v>257</v>
      </c>
      <c r="AG64" s="34">
        <f>INDEX(COMM_Beacons!$O$6:$O$66,$AA64)</f>
        <v>33463</v>
      </c>
      <c r="AH64" s="34">
        <f>INDEX(COMM_Beacons!$P$6:$P$66,$AA64)</f>
        <v>11</v>
      </c>
      <c r="AI64" s="34">
        <f>INDEX(COMM_Beacons!$Q$6:$Q$66,$AA64)</f>
        <v>4390167</v>
      </c>
      <c r="AJ64" s="34">
        <f>INDEX(COMM_Beacons!$R$6:$R$66,$AA64)</f>
        <v>110</v>
      </c>
      <c r="AK64" s="34">
        <f>INDEX(COMM_Beacons!$S$6:$S$66,$AA64)</f>
        <v>2</v>
      </c>
      <c r="AL64" s="34">
        <f>INDEX(COMM_Beacons!$T$6:$T$66,$AA64)</f>
        <v>1126</v>
      </c>
      <c r="AM64" s="34">
        <f>INDEX(COMM_Beacons!$U$6:$U$66,$AA64)</f>
        <v>256</v>
      </c>
      <c r="AN64" s="34">
        <f>INDEX(COMM_Beacons!$V$6:$V$66,$AA64)</f>
        <v>1035520017</v>
      </c>
      <c r="AO64" s="34">
        <f>INDEX(COMM_Beacons!$W$6:$W$66,$AA64)</f>
        <v>-108</v>
      </c>
      <c r="AP64" s="34">
        <f>INDEX(COMM_Beacons!$X$6:$X$66,$AA64)</f>
        <v>1</v>
      </c>
      <c r="AQ64" s="34">
        <f>INDEX(COMM_Beacons!$Y$6:$Y$66,$AA64)</f>
        <v>17475779</v>
      </c>
      <c r="AR64" s="34">
        <f>INDEX(COMM_Beacons!$Z$6:$Z$66,$AA64)</f>
        <v>22035</v>
      </c>
      <c r="AS64" s="34">
        <f>INDEX(COMM_Beacons!$AA$6:$AA$66,$AA64)</f>
        <v>3048170412</v>
      </c>
      <c r="AT64" s="34">
        <f>INDEX(COMM_Beacons!$AB$6:$AB$66,$AA64)</f>
        <v>1105712</v>
      </c>
      <c r="AU64" s="36">
        <f>IF(AA64&lt;=1,"",INDEX(COMM_Counter_Deltas!$J$6:$J$65,AA64-1))</f>
        <v>9.4</v>
      </c>
      <c r="AV64" s="35">
        <f>IF(AA64&lt;=1,"",INDEX(COMM_Counter_Deltas!$B$6:$B$65,AA64-1))</f>
        <v>44589.742812500001</v>
      </c>
      <c r="AW64" s="35">
        <f>IF(AA64&lt;=1,"",INDEX(COMM_Counter_Deltas!$C$6:$C$65,AA64-1))</f>
        <v>44589.742928240739</v>
      </c>
      <c r="AX64" s="34" t="b">
        <v>1</v>
      </c>
      <c r="AY64" s="34">
        <v>4</v>
      </c>
      <c r="AZ64" s="34">
        <f>INDEX(OMNI_Normalized!$N$6:$N$18,MATCH(L64,OMNI_Normalized!$C$6:$C$18,0))</f>
        <v>41974</v>
      </c>
      <c r="BA64" s="37">
        <f>INDEX(OMNI_Normalized!$O$6:$O$18,MATCH(L64,OMNI_Normalized!$C$6:$C$18,0))</f>
        <v>1.9</v>
      </c>
      <c r="BB64" s="34">
        <f>INDEX(OMNI_Normalized!$H$6:$H$18,MATCH(L64,OMNI_Normalized!$C$6:$C$18,0))</f>
        <v>100</v>
      </c>
      <c r="BC64" s="34">
        <f>INDEX(OMNI_Normalized!$F$6:$F$18,MATCH(L64,OMNI_Normalized!$C$6:$C$18,0))</f>
        <v>51</v>
      </c>
      <c r="BD64" s="34">
        <f>INDEX(OMNI_Normalized!$G$6:$G$18,MATCH(L64,OMNI_Normalized!$C$6:$C$18,0))</f>
        <v>51</v>
      </c>
    </row>
    <row r="65" spans="1:56" ht="24" customHeight="1" x14ac:dyDescent="0.2">
      <c r="A65" s="7">
        <v>60</v>
      </c>
      <c r="B65" s="7">
        <v>67</v>
      </c>
      <c r="C65" s="25">
        <f>Join_Audit!C72</f>
        <v>44589.743032407408</v>
      </c>
      <c r="D65" s="12">
        <f>Join_Audit!E72</f>
        <v>429</v>
      </c>
      <c r="E65" s="12">
        <f>Join_Audit!F72</f>
        <v>1355</v>
      </c>
      <c r="F65" s="12">
        <f>Join_Audit!G72</f>
        <v>0</v>
      </c>
      <c r="G65" s="12" t="str">
        <f>Join_Audit!I72</f>
        <v>CADC0873</v>
      </c>
      <c r="H65" s="12">
        <f>Join_Audit!J72</f>
        <v>3.2975899999999997E-5</v>
      </c>
      <c r="I65" s="25">
        <f>Join_Audit!L72</f>
        <v>44589.742928240739</v>
      </c>
      <c r="J65" s="12">
        <f>Join_Audit!O72</f>
        <v>9</v>
      </c>
      <c r="K65" s="12">
        <f>INDEX(COMM_Beacons!$D$6:$D$66,AA65)</f>
        <v>127</v>
      </c>
      <c r="L65" s="25">
        <f>Join_Audit!R72</f>
        <v>44589.742361111108</v>
      </c>
      <c r="M65" s="12">
        <f>OMNI_Normalized!J13</f>
        <v>6.4</v>
      </c>
      <c r="N65" s="12">
        <f>OMNI_Normalized!K13</f>
        <v>-1.21</v>
      </c>
      <c r="O65" s="12">
        <f>OMNI_Normalized!L13</f>
        <v>420.5</v>
      </c>
      <c r="P65" s="12">
        <f>OMNI_Normalized!M13</f>
        <v>5.38</v>
      </c>
      <c r="Q65" s="12">
        <f>OMNI_Normalized!P13</f>
        <v>82</v>
      </c>
      <c r="R65" s="12">
        <f>OMNI_Normalized!Q13</f>
        <v>2</v>
      </c>
      <c r="S65" s="14">
        <f>Settings!$B$28</f>
        <v>100</v>
      </c>
      <c r="T65" s="14">
        <f>Settings!$B$29</f>
        <v>0.02</v>
      </c>
      <c r="U65" s="14">
        <f>Settings!$B$12</f>
        <v>300</v>
      </c>
      <c r="V65" s="14">
        <f>Settings!$B$25</f>
        <v>0.25</v>
      </c>
      <c r="W65" s="14">
        <f>Settings!$B$21</f>
        <v>4</v>
      </c>
      <c r="X65" s="14">
        <f>Settings!$B$24</f>
        <v>12</v>
      </c>
      <c r="Y65" s="12" t="str">
        <f>Join_Audit!S72</f>
        <v>ACCEPT</v>
      </c>
      <c r="Z65" s="12" t="s">
        <v>857</v>
      </c>
      <c r="AA65" s="34">
        <v>38</v>
      </c>
      <c r="AB65" s="34" t="str">
        <f>INDEX(COMM_Beacons!$E$6:$E$66,AA65)</f>
        <v>CRC32C_VERIFIED</v>
      </c>
      <c r="AC65" s="34">
        <f>INDEX(COMM_Beacons!$K$6:$K$66,$AA65)</f>
        <v>368</v>
      </c>
      <c r="AD65" s="34">
        <f>INDEX(COMM_Beacons!$L$6:$L$66,$AA65)</f>
        <v>369</v>
      </c>
      <c r="AE65" s="34">
        <f>INDEX(COMM_Beacons!$M$6:$M$66,$AA65)</f>
        <v>-83</v>
      </c>
      <c r="AF65" s="34">
        <f>INDEX(COMM_Beacons!$N$6:$N$66,$AA65)</f>
        <v>257</v>
      </c>
      <c r="AG65" s="34">
        <f>INDEX(COMM_Beacons!$O$6:$O$66,$AA65)</f>
        <v>33463</v>
      </c>
      <c r="AH65" s="34">
        <f>INDEX(COMM_Beacons!$P$6:$P$66,$AA65)</f>
        <v>11</v>
      </c>
      <c r="AI65" s="34">
        <f>INDEX(COMM_Beacons!$Q$6:$Q$66,$AA65)</f>
        <v>4390167</v>
      </c>
      <c r="AJ65" s="34">
        <f>INDEX(COMM_Beacons!$R$6:$R$66,$AA65)</f>
        <v>110</v>
      </c>
      <c r="AK65" s="34">
        <f>INDEX(COMM_Beacons!$S$6:$S$66,$AA65)</f>
        <v>2</v>
      </c>
      <c r="AL65" s="34">
        <f>INDEX(COMM_Beacons!$T$6:$T$66,$AA65)</f>
        <v>1126</v>
      </c>
      <c r="AM65" s="34">
        <f>INDEX(COMM_Beacons!$U$6:$U$66,$AA65)</f>
        <v>256</v>
      </c>
      <c r="AN65" s="34">
        <f>INDEX(COMM_Beacons!$V$6:$V$66,$AA65)</f>
        <v>1035520017</v>
      </c>
      <c r="AO65" s="34">
        <f>INDEX(COMM_Beacons!$W$6:$W$66,$AA65)</f>
        <v>-108</v>
      </c>
      <c r="AP65" s="34">
        <f>INDEX(COMM_Beacons!$X$6:$X$66,$AA65)</f>
        <v>1</v>
      </c>
      <c r="AQ65" s="34">
        <f>INDEX(COMM_Beacons!$Y$6:$Y$66,$AA65)</f>
        <v>17475779</v>
      </c>
      <c r="AR65" s="34">
        <f>INDEX(COMM_Beacons!$Z$6:$Z$66,$AA65)</f>
        <v>22035</v>
      </c>
      <c r="AS65" s="34">
        <f>INDEX(COMM_Beacons!$AA$6:$AA$66,$AA65)</f>
        <v>3048170412</v>
      </c>
      <c r="AT65" s="34">
        <f>INDEX(COMM_Beacons!$AB$6:$AB$66,$AA65)</f>
        <v>1105712</v>
      </c>
      <c r="AU65" s="36">
        <f>IF(AA65&lt;=1,"",INDEX(COMM_Counter_Deltas!$J$6:$J$65,AA65-1))</f>
        <v>9.4</v>
      </c>
      <c r="AV65" s="35">
        <f>IF(AA65&lt;=1,"",INDEX(COMM_Counter_Deltas!$B$6:$B$65,AA65-1))</f>
        <v>44589.742812500001</v>
      </c>
      <c r="AW65" s="35">
        <f>IF(AA65&lt;=1,"",INDEX(COMM_Counter_Deltas!$C$6:$C$65,AA65-1))</f>
        <v>44589.742928240739</v>
      </c>
      <c r="AX65" s="34" t="b">
        <v>1</v>
      </c>
      <c r="AY65" s="34">
        <v>9</v>
      </c>
      <c r="AZ65" s="34">
        <f>INDEX(OMNI_Normalized!$N$6:$N$18,MATCH(L65,OMNI_Normalized!$C$6:$C$18,0))</f>
        <v>41974</v>
      </c>
      <c r="BA65" s="37">
        <f>INDEX(OMNI_Normalized!$O$6:$O$18,MATCH(L65,OMNI_Normalized!$C$6:$C$18,0))</f>
        <v>1.9</v>
      </c>
      <c r="BB65" s="34">
        <f>INDEX(OMNI_Normalized!$H$6:$H$18,MATCH(L65,OMNI_Normalized!$C$6:$C$18,0))</f>
        <v>100</v>
      </c>
      <c r="BC65" s="34">
        <f>INDEX(OMNI_Normalized!$F$6:$F$18,MATCH(L65,OMNI_Normalized!$C$6:$C$18,0))</f>
        <v>51</v>
      </c>
      <c r="BD65" s="34">
        <f>INDEX(OMNI_Normalized!$G$6:$G$18,MATCH(L65,OMNI_Normalized!$C$6:$C$18,0))</f>
        <v>51</v>
      </c>
    </row>
    <row r="66" spans="1:56" ht="24" customHeight="1" x14ac:dyDescent="0.2">
      <c r="A66" s="7">
        <v>61</v>
      </c>
      <c r="B66" s="7">
        <v>68</v>
      </c>
      <c r="C66" s="25">
        <f>Join_Audit!C73</f>
        <v>44589.743090277778</v>
      </c>
      <c r="D66" s="12">
        <f>Join_Audit!E73</f>
        <v>434</v>
      </c>
      <c r="E66" s="12">
        <f>Join_Audit!F73</f>
        <v>1355</v>
      </c>
      <c r="F66" s="12">
        <f>Join_Audit!G73</f>
        <v>0</v>
      </c>
      <c r="G66" s="12" t="str">
        <f>Join_Audit!I73</f>
        <v>CADC0873</v>
      </c>
      <c r="H66" s="12">
        <f>Join_Audit!J73</f>
        <v>3.6116299999999998E-5</v>
      </c>
      <c r="I66" s="25">
        <f>Join_Audit!L73</f>
        <v>44589.743043981478</v>
      </c>
      <c r="J66" s="12">
        <f>Join_Audit!O73</f>
        <v>4</v>
      </c>
      <c r="K66" s="12">
        <f>INDEX(COMM_Beacons!$D$6:$D$66,AA66)</f>
        <v>125</v>
      </c>
      <c r="L66" s="25">
        <f>Join_Audit!R73</f>
        <v>44589.743055555547</v>
      </c>
      <c r="M66" s="12">
        <f>OMNI_Normalized!J14</f>
        <v>6.36</v>
      </c>
      <c r="N66" s="12">
        <f>OMNI_Normalized!K14</f>
        <v>-1.17</v>
      </c>
      <c r="O66" s="12">
        <f>OMNI_Normalized!L14</f>
        <v>420.9</v>
      </c>
      <c r="P66" s="12">
        <f>OMNI_Normalized!M14</f>
        <v>5.52</v>
      </c>
      <c r="Q66" s="12">
        <f>OMNI_Normalized!P14</f>
        <v>81</v>
      </c>
      <c r="R66" s="12">
        <f>OMNI_Normalized!Q14</f>
        <v>2</v>
      </c>
      <c r="S66" s="14">
        <f>Settings!$B$28</f>
        <v>100</v>
      </c>
      <c r="T66" s="14">
        <f>Settings!$B$29</f>
        <v>0.02</v>
      </c>
      <c r="U66" s="14">
        <f>Settings!$B$12</f>
        <v>300</v>
      </c>
      <c r="V66" s="14">
        <f>Settings!$B$25</f>
        <v>0.25</v>
      </c>
      <c r="W66" s="14">
        <f>Settings!$B$21</f>
        <v>4</v>
      </c>
      <c r="X66" s="14">
        <f>Settings!$B$24</f>
        <v>12</v>
      </c>
      <c r="Y66" s="12" t="str">
        <f>Join_Audit!S73</f>
        <v>ACCEPT</v>
      </c>
      <c r="Z66" s="12" t="s">
        <v>857</v>
      </c>
      <c r="AA66" s="34">
        <v>39</v>
      </c>
      <c r="AB66" s="34" t="str">
        <f>INDEX(COMM_Beacons!$E$6:$E$66,AA66)</f>
        <v>PREPROCESSED_NO_CRC</v>
      </c>
      <c r="AC66" s="34">
        <f>INDEX(COMM_Beacons!$K$6:$K$66,$AA66)</f>
        <v>368</v>
      </c>
      <c r="AD66" s="34">
        <f>INDEX(COMM_Beacons!$L$6:$L$66,$AA66)</f>
        <v>369</v>
      </c>
      <c r="AE66" s="34">
        <f>INDEX(COMM_Beacons!$M$6:$M$66,$AA66)</f>
        <v>-83</v>
      </c>
      <c r="AF66" s="34">
        <f>INDEX(COMM_Beacons!$N$6:$N$66,$AA66)</f>
        <v>257</v>
      </c>
      <c r="AG66" s="34">
        <f>INDEX(COMM_Beacons!$O$6:$O$66,$AA66)</f>
        <v>33464</v>
      </c>
      <c r="AH66" s="34">
        <f>INDEX(COMM_Beacons!$P$6:$P$66,$AA66)</f>
        <v>11</v>
      </c>
      <c r="AI66" s="34">
        <f>INDEX(COMM_Beacons!$Q$6:$Q$66,$AA66)</f>
        <v>4390261</v>
      </c>
      <c r="AJ66" s="34">
        <f>INDEX(COMM_Beacons!$R$6:$R$66,$AA66)</f>
        <v>110</v>
      </c>
      <c r="AK66" s="34">
        <f>INDEX(COMM_Beacons!$S$6:$S$66,$AA66)</f>
        <v>2</v>
      </c>
      <c r="AL66" s="34">
        <f>INDEX(COMM_Beacons!$T$6:$T$66,$AA66)</f>
        <v>1126</v>
      </c>
      <c r="AM66" s="34">
        <f>INDEX(COMM_Beacons!$U$6:$U$66,$AA66)</f>
        <v>256</v>
      </c>
      <c r="AN66" s="34">
        <f>INDEX(COMM_Beacons!$V$6:$V$66,$AA66)</f>
        <v>1035520017</v>
      </c>
      <c r="AO66" s="34">
        <f>INDEX(COMM_Beacons!$W$6:$W$66,$AA66)</f>
        <v>-96</v>
      </c>
      <c r="AP66" s="34">
        <f>INDEX(COMM_Beacons!$X$6:$X$66,$AA66)</f>
        <v>1</v>
      </c>
      <c r="AQ66" s="34">
        <f>INDEX(COMM_Beacons!$Y$6:$Y$66,$AA66)</f>
        <v>17475780</v>
      </c>
      <c r="AR66" s="34">
        <f>INDEX(COMM_Beacons!$Z$6:$Z$66,$AA66)</f>
        <v>22035</v>
      </c>
      <c r="AS66" s="34">
        <f>INDEX(COMM_Beacons!$AA$6:$AA$66,$AA66)</f>
        <v>3048170506</v>
      </c>
      <c r="AT66" s="34">
        <f>INDEX(COMM_Beacons!$AB$6:$AB$66,$AA66)</f>
        <v>1105712</v>
      </c>
      <c r="AU66" s="36">
        <f>IF(AA66&lt;=1,"",INDEX(COMM_Counter_Deltas!$J$6:$J$65,AA66-1))</f>
        <v>9.4</v>
      </c>
      <c r="AV66" s="35">
        <f>IF(AA66&lt;=1,"",INDEX(COMM_Counter_Deltas!$B$6:$B$65,AA66-1))</f>
        <v>44589.742928240739</v>
      </c>
      <c r="AW66" s="35">
        <f>IF(AA66&lt;=1,"",INDEX(COMM_Counter_Deltas!$C$6:$C$65,AA66-1))</f>
        <v>44589.743043981478</v>
      </c>
      <c r="AX66" s="34" t="b">
        <v>0</v>
      </c>
      <c r="AY66" s="34">
        <v>14</v>
      </c>
      <c r="AZ66" s="34">
        <f>INDEX(OMNI_Normalized!$N$6:$N$18,MATCH(L66,OMNI_Normalized!$C$6:$C$18,0))</f>
        <v>50007</v>
      </c>
      <c r="BA66" s="37">
        <f>INDEX(OMNI_Normalized!$O$6:$O$18,MATCH(L66,OMNI_Normalized!$C$6:$C$18,0))</f>
        <v>1.96</v>
      </c>
      <c r="BB66" s="34">
        <f>INDEX(OMNI_Normalized!$H$6:$H$18,MATCH(L66,OMNI_Normalized!$C$6:$C$18,0))</f>
        <v>100</v>
      </c>
      <c r="BC66" s="34">
        <f>INDEX(OMNI_Normalized!$F$6:$F$18,MATCH(L66,OMNI_Normalized!$C$6:$C$18,0))</f>
        <v>51</v>
      </c>
      <c r="BD66" s="34">
        <f>INDEX(OMNI_Normalized!$G$6:$G$18,MATCH(L66,OMNI_Normalized!$C$6:$C$18,0))</f>
        <v>51</v>
      </c>
    </row>
    <row r="67" spans="1:56" ht="24" customHeight="1" x14ac:dyDescent="0.2">
      <c r="A67" s="7">
        <v>62</v>
      </c>
      <c r="B67" s="7">
        <v>69</v>
      </c>
      <c r="C67" s="25">
        <f>Join_Audit!C74</f>
        <v>44589.743148148147</v>
      </c>
      <c r="D67" s="12">
        <f>Join_Audit!E74</f>
        <v>439</v>
      </c>
      <c r="E67" s="12">
        <f>Join_Audit!F74</f>
        <v>1355</v>
      </c>
      <c r="F67" s="12">
        <f>Join_Audit!G74</f>
        <v>0</v>
      </c>
      <c r="G67" s="12" t="str">
        <f>Join_Audit!I74</f>
        <v>CADC0873</v>
      </c>
      <c r="H67" s="12">
        <f>Join_Audit!J74</f>
        <v>3.66146E-5</v>
      </c>
      <c r="I67" s="25">
        <f>Join_Audit!L74</f>
        <v>44589.743043981478</v>
      </c>
      <c r="J67" s="12">
        <f>Join_Audit!O74</f>
        <v>9</v>
      </c>
      <c r="K67" s="12">
        <f>INDEX(COMM_Beacons!$D$6:$D$66,AA67)</f>
        <v>125</v>
      </c>
      <c r="L67" s="25">
        <f>Join_Audit!R74</f>
        <v>44589.743055555547</v>
      </c>
      <c r="M67" s="12">
        <f>OMNI_Normalized!J14</f>
        <v>6.36</v>
      </c>
      <c r="N67" s="12">
        <f>OMNI_Normalized!K14</f>
        <v>-1.17</v>
      </c>
      <c r="O67" s="12">
        <f>OMNI_Normalized!L14</f>
        <v>420.9</v>
      </c>
      <c r="P67" s="12">
        <f>OMNI_Normalized!M14</f>
        <v>5.52</v>
      </c>
      <c r="Q67" s="12">
        <f>OMNI_Normalized!P14</f>
        <v>81</v>
      </c>
      <c r="R67" s="12">
        <f>OMNI_Normalized!Q14</f>
        <v>2</v>
      </c>
      <c r="S67" s="14">
        <f>Settings!$B$28</f>
        <v>100</v>
      </c>
      <c r="T67" s="14">
        <f>Settings!$B$29</f>
        <v>0.02</v>
      </c>
      <c r="U67" s="14">
        <f>Settings!$B$12</f>
        <v>300</v>
      </c>
      <c r="V67" s="14">
        <f>Settings!$B$25</f>
        <v>0.25</v>
      </c>
      <c r="W67" s="14">
        <f>Settings!$B$21</f>
        <v>4</v>
      </c>
      <c r="X67" s="14">
        <f>Settings!$B$24</f>
        <v>12</v>
      </c>
      <c r="Y67" s="12" t="str">
        <f>Join_Audit!S74</f>
        <v>ACCEPT</v>
      </c>
      <c r="Z67" s="12" t="s">
        <v>857</v>
      </c>
      <c r="AA67" s="34">
        <v>39</v>
      </c>
      <c r="AB67" s="34" t="str">
        <f>INDEX(COMM_Beacons!$E$6:$E$66,AA67)</f>
        <v>PREPROCESSED_NO_CRC</v>
      </c>
      <c r="AC67" s="34">
        <f>INDEX(COMM_Beacons!$K$6:$K$66,$AA67)</f>
        <v>368</v>
      </c>
      <c r="AD67" s="34">
        <f>INDEX(COMM_Beacons!$L$6:$L$66,$AA67)</f>
        <v>369</v>
      </c>
      <c r="AE67" s="34">
        <f>INDEX(COMM_Beacons!$M$6:$M$66,$AA67)</f>
        <v>-83</v>
      </c>
      <c r="AF67" s="34">
        <f>INDEX(COMM_Beacons!$N$6:$N$66,$AA67)</f>
        <v>257</v>
      </c>
      <c r="AG67" s="34">
        <f>INDEX(COMM_Beacons!$O$6:$O$66,$AA67)</f>
        <v>33464</v>
      </c>
      <c r="AH67" s="34">
        <f>INDEX(COMM_Beacons!$P$6:$P$66,$AA67)</f>
        <v>11</v>
      </c>
      <c r="AI67" s="34">
        <f>INDEX(COMM_Beacons!$Q$6:$Q$66,$AA67)</f>
        <v>4390261</v>
      </c>
      <c r="AJ67" s="34">
        <f>INDEX(COMM_Beacons!$R$6:$R$66,$AA67)</f>
        <v>110</v>
      </c>
      <c r="AK67" s="34">
        <f>INDEX(COMM_Beacons!$S$6:$S$66,$AA67)</f>
        <v>2</v>
      </c>
      <c r="AL67" s="34">
        <f>INDEX(COMM_Beacons!$T$6:$T$66,$AA67)</f>
        <v>1126</v>
      </c>
      <c r="AM67" s="34">
        <f>INDEX(COMM_Beacons!$U$6:$U$66,$AA67)</f>
        <v>256</v>
      </c>
      <c r="AN67" s="34">
        <f>INDEX(COMM_Beacons!$V$6:$V$66,$AA67)</f>
        <v>1035520017</v>
      </c>
      <c r="AO67" s="34">
        <f>INDEX(COMM_Beacons!$W$6:$W$66,$AA67)</f>
        <v>-96</v>
      </c>
      <c r="AP67" s="34">
        <f>INDEX(COMM_Beacons!$X$6:$X$66,$AA67)</f>
        <v>1</v>
      </c>
      <c r="AQ67" s="34">
        <f>INDEX(COMM_Beacons!$Y$6:$Y$66,$AA67)</f>
        <v>17475780</v>
      </c>
      <c r="AR67" s="34">
        <f>INDEX(COMM_Beacons!$Z$6:$Z$66,$AA67)</f>
        <v>22035</v>
      </c>
      <c r="AS67" s="34">
        <f>INDEX(COMM_Beacons!$AA$6:$AA$66,$AA67)</f>
        <v>3048170506</v>
      </c>
      <c r="AT67" s="34">
        <f>INDEX(COMM_Beacons!$AB$6:$AB$66,$AA67)</f>
        <v>1105712</v>
      </c>
      <c r="AU67" s="36">
        <f>IF(AA67&lt;=1,"",INDEX(COMM_Counter_Deltas!$J$6:$J$65,AA67-1))</f>
        <v>9.4</v>
      </c>
      <c r="AV67" s="35">
        <f>IF(AA67&lt;=1,"",INDEX(COMM_Counter_Deltas!$B$6:$B$65,AA67-1))</f>
        <v>44589.742928240739</v>
      </c>
      <c r="AW67" s="35">
        <f>IF(AA67&lt;=1,"",INDEX(COMM_Counter_Deltas!$C$6:$C$65,AA67-1))</f>
        <v>44589.743043981478</v>
      </c>
      <c r="AX67" s="34" t="b">
        <v>0</v>
      </c>
      <c r="AY67" s="34">
        <v>19</v>
      </c>
      <c r="AZ67" s="34">
        <f>INDEX(OMNI_Normalized!$N$6:$N$18,MATCH(L67,OMNI_Normalized!$C$6:$C$18,0))</f>
        <v>50007</v>
      </c>
      <c r="BA67" s="37">
        <f>INDEX(OMNI_Normalized!$O$6:$O$18,MATCH(L67,OMNI_Normalized!$C$6:$C$18,0))</f>
        <v>1.96</v>
      </c>
      <c r="BB67" s="34">
        <f>INDEX(OMNI_Normalized!$H$6:$H$18,MATCH(L67,OMNI_Normalized!$C$6:$C$18,0))</f>
        <v>100</v>
      </c>
      <c r="BC67" s="34">
        <f>INDEX(OMNI_Normalized!$F$6:$F$18,MATCH(L67,OMNI_Normalized!$C$6:$C$18,0))</f>
        <v>51</v>
      </c>
      <c r="BD67" s="34">
        <f>INDEX(OMNI_Normalized!$G$6:$G$18,MATCH(L67,OMNI_Normalized!$C$6:$C$18,0))</f>
        <v>51</v>
      </c>
    </row>
    <row r="68" spans="1:56" ht="24" customHeight="1" x14ac:dyDescent="0.2">
      <c r="A68" s="7">
        <v>63</v>
      </c>
      <c r="B68" s="7">
        <v>70</v>
      </c>
      <c r="C68" s="25">
        <f>Join_Audit!C75</f>
        <v>44589.743206018517</v>
      </c>
      <c r="D68" s="12">
        <f>Join_Audit!E75</f>
        <v>444</v>
      </c>
      <c r="E68" s="12">
        <f>Join_Audit!F75</f>
        <v>1355</v>
      </c>
      <c r="F68" s="12">
        <f>Join_Audit!G75</f>
        <v>0</v>
      </c>
      <c r="G68" s="12" t="str">
        <f>Join_Audit!I75</f>
        <v>CADC0873</v>
      </c>
      <c r="H68" s="12">
        <f>Join_Audit!J75</f>
        <v>3.4527999999999999E-5</v>
      </c>
      <c r="I68" s="25">
        <f>Join_Audit!L75</f>
        <v>44589.743159722217</v>
      </c>
      <c r="J68" s="12">
        <f>Join_Audit!O75</f>
        <v>4</v>
      </c>
      <c r="K68" s="12">
        <f>INDEX(COMM_Beacons!$D$6:$D$66,AA68)</f>
        <v>124</v>
      </c>
      <c r="L68" s="25">
        <f>Join_Audit!R75</f>
        <v>44589.743055555547</v>
      </c>
      <c r="M68" s="12">
        <f>OMNI_Normalized!J14</f>
        <v>6.36</v>
      </c>
      <c r="N68" s="12">
        <f>OMNI_Normalized!K14</f>
        <v>-1.17</v>
      </c>
      <c r="O68" s="12">
        <f>OMNI_Normalized!L14</f>
        <v>420.9</v>
      </c>
      <c r="P68" s="12">
        <f>OMNI_Normalized!M14</f>
        <v>5.52</v>
      </c>
      <c r="Q68" s="12">
        <f>OMNI_Normalized!P14</f>
        <v>81</v>
      </c>
      <c r="R68" s="12">
        <f>OMNI_Normalized!Q14</f>
        <v>2</v>
      </c>
      <c r="S68" s="14">
        <f>Settings!$B$28</f>
        <v>100</v>
      </c>
      <c r="T68" s="14">
        <f>Settings!$B$29</f>
        <v>0.02</v>
      </c>
      <c r="U68" s="14">
        <f>Settings!$B$12</f>
        <v>300</v>
      </c>
      <c r="V68" s="14">
        <f>Settings!$B$25</f>
        <v>0.25</v>
      </c>
      <c r="W68" s="14">
        <f>Settings!$B$21</f>
        <v>4</v>
      </c>
      <c r="X68" s="14">
        <f>Settings!$B$24</f>
        <v>12</v>
      </c>
      <c r="Y68" s="12" t="str">
        <f>Join_Audit!S75</f>
        <v>ACCEPT</v>
      </c>
      <c r="Z68" s="12" t="s">
        <v>857</v>
      </c>
      <c r="AA68" s="34">
        <v>40</v>
      </c>
      <c r="AB68" s="34" t="str">
        <f>INDEX(COMM_Beacons!$E$6:$E$66,AA68)</f>
        <v>CRC32C_VERIFIED</v>
      </c>
      <c r="AC68" s="34">
        <f>INDEX(COMM_Beacons!$K$6:$K$66,$AA68)</f>
        <v>368</v>
      </c>
      <c r="AD68" s="34">
        <f>INDEX(COMM_Beacons!$L$6:$L$66,$AA68)</f>
        <v>369</v>
      </c>
      <c r="AE68" s="34">
        <f>INDEX(COMM_Beacons!$M$6:$M$66,$AA68)</f>
        <v>-83</v>
      </c>
      <c r="AF68" s="34">
        <f>INDEX(COMM_Beacons!$N$6:$N$66,$AA68)</f>
        <v>257</v>
      </c>
      <c r="AG68" s="34">
        <f>INDEX(COMM_Beacons!$O$6:$O$66,$AA68)</f>
        <v>33465</v>
      </c>
      <c r="AH68" s="34">
        <f>INDEX(COMM_Beacons!$P$6:$P$66,$AA68)</f>
        <v>11</v>
      </c>
      <c r="AI68" s="34">
        <f>INDEX(COMM_Beacons!$Q$6:$Q$66,$AA68)</f>
        <v>4390355</v>
      </c>
      <c r="AJ68" s="34">
        <f>INDEX(COMM_Beacons!$R$6:$R$66,$AA68)</f>
        <v>110</v>
      </c>
      <c r="AK68" s="34">
        <f>INDEX(COMM_Beacons!$S$6:$S$66,$AA68)</f>
        <v>2</v>
      </c>
      <c r="AL68" s="34">
        <f>INDEX(COMM_Beacons!$T$6:$T$66,$AA68)</f>
        <v>1126</v>
      </c>
      <c r="AM68" s="34">
        <f>INDEX(COMM_Beacons!$U$6:$U$66,$AA68)</f>
        <v>256</v>
      </c>
      <c r="AN68" s="34">
        <f>INDEX(COMM_Beacons!$V$6:$V$66,$AA68)</f>
        <v>1035520017</v>
      </c>
      <c r="AO68" s="34">
        <f>INDEX(COMM_Beacons!$W$6:$W$66,$AA68)</f>
        <v>-100</v>
      </c>
      <c r="AP68" s="34">
        <f>INDEX(COMM_Beacons!$X$6:$X$66,$AA68)</f>
        <v>1</v>
      </c>
      <c r="AQ68" s="34">
        <f>INDEX(COMM_Beacons!$Y$6:$Y$66,$AA68)</f>
        <v>17475781</v>
      </c>
      <c r="AR68" s="34">
        <f>INDEX(COMM_Beacons!$Z$6:$Z$66,$AA68)</f>
        <v>22035</v>
      </c>
      <c r="AS68" s="34">
        <f>INDEX(COMM_Beacons!$AA$6:$AA$66,$AA68)</f>
        <v>3048170600</v>
      </c>
      <c r="AT68" s="34">
        <f>INDEX(COMM_Beacons!$AB$6:$AB$66,$AA68)</f>
        <v>1105712</v>
      </c>
      <c r="AU68" s="36">
        <f>IF(AA68&lt;=1,"",INDEX(COMM_Counter_Deltas!$J$6:$J$65,AA68-1))</f>
        <v>9.4</v>
      </c>
      <c r="AV68" s="35">
        <f>IF(AA68&lt;=1,"",INDEX(COMM_Counter_Deltas!$B$6:$B$65,AA68-1))</f>
        <v>44589.743043981478</v>
      </c>
      <c r="AW68" s="35">
        <f>IF(AA68&lt;=1,"",INDEX(COMM_Counter_Deltas!$C$6:$C$65,AA68-1))</f>
        <v>44589.743159722217</v>
      </c>
      <c r="AX68" s="34" t="b">
        <v>1</v>
      </c>
      <c r="AY68" s="34">
        <v>4</v>
      </c>
      <c r="AZ68" s="34">
        <f>INDEX(OMNI_Normalized!$N$6:$N$18,MATCH(L68,OMNI_Normalized!$C$6:$C$18,0))</f>
        <v>50007</v>
      </c>
      <c r="BA68" s="37">
        <f>INDEX(OMNI_Normalized!$O$6:$O$18,MATCH(L68,OMNI_Normalized!$C$6:$C$18,0))</f>
        <v>1.96</v>
      </c>
      <c r="BB68" s="34">
        <f>INDEX(OMNI_Normalized!$H$6:$H$18,MATCH(L68,OMNI_Normalized!$C$6:$C$18,0))</f>
        <v>100</v>
      </c>
      <c r="BC68" s="34">
        <f>INDEX(OMNI_Normalized!$F$6:$F$18,MATCH(L68,OMNI_Normalized!$C$6:$C$18,0))</f>
        <v>51</v>
      </c>
      <c r="BD68" s="34">
        <f>INDEX(OMNI_Normalized!$G$6:$G$18,MATCH(L68,OMNI_Normalized!$C$6:$C$18,0))</f>
        <v>51</v>
      </c>
    </row>
    <row r="69" spans="1:56" ht="24" customHeight="1" x14ac:dyDescent="0.2">
      <c r="A69" s="7">
        <v>64</v>
      </c>
      <c r="B69" s="7">
        <v>71</v>
      </c>
      <c r="C69" s="25">
        <f>Join_Audit!C76</f>
        <v>44589.743263888893</v>
      </c>
      <c r="D69" s="12">
        <f>Join_Audit!E76</f>
        <v>449</v>
      </c>
      <c r="E69" s="12">
        <f>Join_Audit!F76</f>
        <v>1355</v>
      </c>
      <c r="F69" s="12">
        <f>Join_Audit!G76</f>
        <v>0</v>
      </c>
      <c r="G69" s="12" t="str">
        <f>Join_Audit!I76</f>
        <v>CADC0873</v>
      </c>
      <c r="H69" s="12">
        <f>Join_Audit!J76</f>
        <v>2.97693E-5</v>
      </c>
      <c r="I69" s="25">
        <f>Join_Audit!L76</f>
        <v>44589.743159722217</v>
      </c>
      <c r="J69" s="12">
        <f>Join_Audit!O76</f>
        <v>9</v>
      </c>
      <c r="K69" s="12">
        <f>INDEX(COMM_Beacons!$D$6:$D$66,AA69)</f>
        <v>124</v>
      </c>
      <c r="L69" s="25">
        <f>Join_Audit!R76</f>
        <v>44589.743055555547</v>
      </c>
      <c r="M69" s="12">
        <f>OMNI_Normalized!J14</f>
        <v>6.36</v>
      </c>
      <c r="N69" s="12">
        <f>OMNI_Normalized!K14</f>
        <v>-1.17</v>
      </c>
      <c r="O69" s="12">
        <f>OMNI_Normalized!L14</f>
        <v>420.9</v>
      </c>
      <c r="P69" s="12">
        <f>OMNI_Normalized!M14</f>
        <v>5.52</v>
      </c>
      <c r="Q69" s="12">
        <f>OMNI_Normalized!P14</f>
        <v>81</v>
      </c>
      <c r="R69" s="12">
        <f>OMNI_Normalized!Q14</f>
        <v>2</v>
      </c>
      <c r="S69" s="14">
        <f>Settings!$B$28</f>
        <v>100</v>
      </c>
      <c r="T69" s="14">
        <f>Settings!$B$29</f>
        <v>0.02</v>
      </c>
      <c r="U69" s="14">
        <f>Settings!$B$12</f>
        <v>300</v>
      </c>
      <c r="V69" s="14">
        <f>Settings!$B$25</f>
        <v>0.25</v>
      </c>
      <c r="W69" s="14">
        <f>Settings!$B$21</f>
        <v>4</v>
      </c>
      <c r="X69" s="14">
        <f>Settings!$B$24</f>
        <v>12</v>
      </c>
      <c r="Y69" s="12" t="str">
        <f>Join_Audit!S76</f>
        <v>ACCEPT</v>
      </c>
      <c r="Z69" s="12" t="s">
        <v>857</v>
      </c>
      <c r="AA69" s="34">
        <v>40</v>
      </c>
      <c r="AB69" s="34" t="str">
        <f>INDEX(COMM_Beacons!$E$6:$E$66,AA69)</f>
        <v>CRC32C_VERIFIED</v>
      </c>
      <c r="AC69" s="34">
        <f>INDEX(COMM_Beacons!$K$6:$K$66,$AA69)</f>
        <v>368</v>
      </c>
      <c r="AD69" s="34">
        <f>INDEX(COMM_Beacons!$L$6:$L$66,$AA69)</f>
        <v>369</v>
      </c>
      <c r="AE69" s="34">
        <f>INDEX(COMM_Beacons!$M$6:$M$66,$AA69)</f>
        <v>-83</v>
      </c>
      <c r="AF69" s="34">
        <f>INDEX(COMM_Beacons!$N$6:$N$66,$AA69)</f>
        <v>257</v>
      </c>
      <c r="AG69" s="34">
        <f>INDEX(COMM_Beacons!$O$6:$O$66,$AA69)</f>
        <v>33465</v>
      </c>
      <c r="AH69" s="34">
        <f>INDEX(COMM_Beacons!$P$6:$P$66,$AA69)</f>
        <v>11</v>
      </c>
      <c r="AI69" s="34">
        <f>INDEX(COMM_Beacons!$Q$6:$Q$66,$AA69)</f>
        <v>4390355</v>
      </c>
      <c r="AJ69" s="34">
        <f>INDEX(COMM_Beacons!$R$6:$R$66,$AA69)</f>
        <v>110</v>
      </c>
      <c r="AK69" s="34">
        <f>INDEX(COMM_Beacons!$S$6:$S$66,$AA69)</f>
        <v>2</v>
      </c>
      <c r="AL69" s="34">
        <f>INDEX(COMM_Beacons!$T$6:$T$66,$AA69)</f>
        <v>1126</v>
      </c>
      <c r="AM69" s="34">
        <f>INDEX(COMM_Beacons!$U$6:$U$66,$AA69)</f>
        <v>256</v>
      </c>
      <c r="AN69" s="34">
        <f>INDEX(COMM_Beacons!$V$6:$V$66,$AA69)</f>
        <v>1035520017</v>
      </c>
      <c r="AO69" s="34">
        <f>INDEX(COMM_Beacons!$W$6:$W$66,$AA69)</f>
        <v>-100</v>
      </c>
      <c r="AP69" s="34">
        <f>INDEX(COMM_Beacons!$X$6:$X$66,$AA69)</f>
        <v>1</v>
      </c>
      <c r="AQ69" s="34">
        <f>INDEX(COMM_Beacons!$Y$6:$Y$66,$AA69)</f>
        <v>17475781</v>
      </c>
      <c r="AR69" s="34">
        <f>INDEX(COMM_Beacons!$Z$6:$Z$66,$AA69)</f>
        <v>22035</v>
      </c>
      <c r="AS69" s="34">
        <f>INDEX(COMM_Beacons!$AA$6:$AA$66,$AA69)</f>
        <v>3048170600</v>
      </c>
      <c r="AT69" s="34">
        <f>INDEX(COMM_Beacons!$AB$6:$AB$66,$AA69)</f>
        <v>1105712</v>
      </c>
      <c r="AU69" s="36">
        <f>IF(AA69&lt;=1,"",INDEX(COMM_Counter_Deltas!$J$6:$J$65,AA69-1))</f>
        <v>9.4</v>
      </c>
      <c r="AV69" s="35">
        <f>IF(AA69&lt;=1,"",INDEX(COMM_Counter_Deltas!$B$6:$B$65,AA69-1))</f>
        <v>44589.743043981478</v>
      </c>
      <c r="AW69" s="35">
        <f>IF(AA69&lt;=1,"",INDEX(COMM_Counter_Deltas!$C$6:$C$65,AA69-1))</f>
        <v>44589.743159722217</v>
      </c>
      <c r="AX69" s="34" t="b">
        <v>1</v>
      </c>
      <c r="AY69" s="34">
        <v>9</v>
      </c>
      <c r="AZ69" s="34">
        <f>INDEX(OMNI_Normalized!$N$6:$N$18,MATCH(L69,OMNI_Normalized!$C$6:$C$18,0))</f>
        <v>50007</v>
      </c>
      <c r="BA69" s="37">
        <f>INDEX(OMNI_Normalized!$O$6:$O$18,MATCH(L69,OMNI_Normalized!$C$6:$C$18,0))</f>
        <v>1.96</v>
      </c>
      <c r="BB69" s="34">
        <f>INDEX(OMNI_Normalized!$H$6:$H$18,MATCH(L69,OMNI_Normalized!$C$6:$C$18,0))</f>
        <v>100</v>
      </c>
      <c r="BC69" s="34">
        <f>INDEX(OMNI_Normalized!$F$6:$F$18,MATCH(L69,OMNI_Normalized!$C$6:$C$18,0))</f>
        <v>51</v>
      </c>
      <c r="BD69" s="34">
        <f>INDEX(OMNI_Normalized!$G$6:$G$18,MATCH(L69,OMNI_Normalized!$C$6:$C$18,0))</f>
        <v>51</v>
      </c>
    </row>
    <row r="70" spans="1:56" ht="24" customHeight="1" x14ac:dyDescent="0.2">
      <c r="A70" s="7">
        <v>65</v>
      </c>
      <c r="B70" s="7">
        <v>72</v>
      </c>
      <c r="C70" s="25">
        <f>Join_Audit!C77</f>
        <v>44589.743321759262</v>
      </c>
      <c r="D70" s="12">
        <f>Join_Audit!E77</f>
        <v>454</v>
      </c>
      <c r="E70" s="12">
        <f>Join_Audit!F77</f>
        <v>1355</v>
      </c>
      <c r="F70" s="12">
        <f>Join_Audit!G77</f>
        <v>0</v>
      </c>
      <c r="G70" s="12" t="str">
        <f>Join_Audit!I77</f>
        <v>CADC0873</v>
      </c>
      <c r="H70" s="12">
        <f>Join_Audit!J77</f>
        <v>2.4431400000000001E-5</v>
      </c>
      <c r="I70" s="25">
        <f>Join_Audit!L77</f>
        <v>44589.743275462963</v>
      </c>
      <c r="J70" s="12">
        <f>Join_Audit!O77</f>
        <v>4</v>
      </c>
      <c r="K70" s="12">
        <f>INDEX(COMM_Beacons!$D$6:$D$66,AA70)</f>
        <v>123</v>
      </c>
      <c r="L70" s="25">
        <f>Join_Audit!R77</f>
        <v>44589.743055555547</v>
      </c>
      <c r="M70" s="12">
        <f>OMNI_Normalized!J14</f>
        <v>6.36</v>
      </c>
      <c r="N70" s="12">
        <f>OMNI_Normalized!K14</f>
        <v>-1.17</v>
      </c>
      <c r="O70" s="12">
        <f>OMNI_Normalized!L14</f>
        <v>420.9</v>
      </c>
      <c r="P70" s="12">
        <f>OMNI_Normalized!M14</f>
        <v>5.52</v>
      </c>
      <c r="Q70" s="12">
        <f>OMNI_Normalized!P14</f>
        <v>81</v>
      </c>
      <c r="R70" s="12">
        <f>OMNI_Normalized!Q14</f>
        <v>2</v>
      </c>
      <c r="S70" s="14">
        <f>Settings!$B$28</f>
        <v>100</v>
      </c>
      <c r="T70" s="14">
        <f>Settings!$B$29</f>
        <v>0.02</v>
      </c>
      <c r="U70" s="14">
        <f>Settings!$B$12</f>
        <v>300</v>
      </c>
      <c r="V70" s="14">
        <f>Settings!$B$25</f>
        <v>0.25</v>
      </c>
      <c r="W70" s="14">
        <f>Settings!$B$21</f>
        <v>4</v>
      </c>
      <c r="X70" s="14">
        <f>Settings!$B$24</f>
        <v>12</v>
      </c>
      <c r="Y70" s="12" t="str">
        <f>Join_Audit!S77</f>
        <v>ACCEPT</v>
      </c>
      <c r="Z70" s="12" t="s">
        <v>857</v>
      </c>
      <c r="AA70" s="34">
        <v>41</v>
      </c>
      <c r="AB70" s="34" t="str">
        <f>INDEX(COMM_Beacons!$E$6:$E$66,AA70)</f>
        <v>CRC32C_VERIFIED</v>
      </c>
      <c r="AC70" s="34">
        <f>INDEX(COMM_Beacons!$K$6:$K$66,$AA70)</f>
        <v>368</v>
      </c>
      <c r="AD70" s="34">
        <f>INDEX(COMM_Beacons!$L$6:$L$66,$AA70)</f>
        <v>368</v>
      </c>
      <c r="AE70" s="34">
        <f>INDEX(COMM_Beacons!$M$6:$M$66,$AA70)</f>
        <v>-83</v>
      </c>
      <c r="AF70" s="34">
        <f>INDEX(COMM_Beacons!$N$6:$N$66,$AA70)</f>
        <v>257</v>
      </c>
      <c r="AG70" s="34">
        <f>INDEX(COMM_Beacons!$O$6:$O$66,$AA70)</f>
        <v>33466</v>
      </c>
      <c r="AH70" s="34">
        <f>INDEX(COMM_Beacons!$P$6:$P$66,$AA70)</f>
        <v>11</v>
      </c>
      <c r="AI70" s="34">
        <f>INDEX(COMM_Beacons!$Q$6:$Q$66,$AA70)</f>
        <v>4390449</v>
      </c>
      <c r="AJ70" s="34">
        <f>INDEX(COMM_Beacons!$R$6:$R$66,$AA70)</f>
        <v>110</v>
      </c>
      <c r="AK70" s="34">
        <f>INDEX(COMM_Beacons!$S$6:$S$66,$AA70)</f>
        <v>2</v>
      </c>
      <c r="AL70" s="34">
        <f>INDEX(COMM_Beacons!$T$6:$T$66,$AA70)</f>
        <v>1126</v>
      </c>
      <c r="AM70" s="34">
        <f>INDEX(COMM_Beacons!$U$6:$U$66,$AA70)</f>
        <v>256</v>
      </c>
      <c r="AN70" s="34">
        <f>INDEX(COMM_Beacons!$V$6:$V$66,$AA70)</f>
        <v>1035520017</v>
      </c>
      <c r="AO70" s="34">
        <f>INDEX(COMM_Beacons!$W$6:$W$66,$AA70)</f>
        <v>-101</v>
      </c>
      <c r="AP70" s="34">
        <f>INDEX(COMM_Beacons!$X$6:$X$66,$AA70)</f>
        <v>1</v>
      </c>
      <c r="AQ70" s="34">
        <f>INDEX(COMM_Beacons!$Y$6:$Y$66,$AA70)</f>
        <v>17475782</v>
      </c>
      <c r="AR70" s="34">
        <f>INDEX(COMM_Beacons!$Z$6:$Z$66,$AA70)</f>
        <v>22035</v>
      </c>
      <c r="AS70" s="34">
        <f>INDEX(COMM_Beacons!$AA$6:$AA$66,$AA70)</f>
        <v>3048170694</v>
      </c>
      <c r="AT70" s="34">
        <f>INDEX(COMM_Beacons!$AB$6:$AB$66,$AA70)</f>
        <v>1105712</v>
      </c>
      <c r="AU70" s="36">
        <f>IF(AA70&lt;=1,"",INDEX(COMM_Counter_Deltas!$J$6:$J$65,AA70-1))</f>
        <v>9.4</v>
      </c>
      <c r="AV70" s="35">
        <f>IF(AA70&lt;=1,"",INDEX(COMM_Counter_Deltas!$B$6:$B$65,AA70-1))</f>
        <v>44589.743159722217</v>
      </c>
      <c r="AW70" s="35">
        <f>IF(AA70&lt;=1,"",INDEX(COMM_Counter_Deltas!$C$6:$C$65,AA70-1))</f>
        <v>44589.743275462963</v>
      </c>
      <c r="AX70" s="34" t="b">
        <v>1</v>
      </c>
      <c r="AY70" s="34">
        <v>4</v>
      </c>
      <c r="AZ70" s="34">
        <f>INDEX(OMNI_Normalized!$N$6:$N$18,MATCH(L70,OMNI_Normalized!$C$6:$C$18,0))</f>
        <v>50007</v>
      </c>
      <c r="BA70" s="37">
        <f>INDEX(OMNI_Normalized!$O$6:$O$18,MATCH(L70,OMNI_Normalized!$C$6:$C$18,0))</f>
        <v>1.96</v>
      </c>
      <c r="BB70" s="34">
        <f>INDEX(OMNI_Normalized!$H$6:$H$18,MATCH(L70,OMNI_Normalized!$C$6:$C$18,0))</f>
        <v>100</v>
      </c>
      <c r="BC70" s="34">
        <f>INDEX(OMNI_Normalized!$F$6:$F$18,MATCH(L70,OMNI_Normalized!$C$6:$C$18,0))</f>
        <v>51</v>
      </c>
      <c r="BD70" s="34">
        <f>INDEX(OMNI_Normalized!$G$6:$G$18,MATCH(L70,OMNI_Normalized!$C$6:$C$18,0))</f>
        <v>51</v>
      </c>
    </row>
    <row r="71" spans="1:56" ht="24" customHeight="1" x14ac:dyDescent="0.2">
      <c r="A71" s="7">
        <v>66</v>
      </c>
      <c r="B71" s="7">
        <v>73</v>
      </c>
      <c r="C71" s="25">
        <f>Join_Audit!C78</f>
        <v>44589.743379629632</v>
      </c>
      <c r="D71" s="12">
        <f>Join_Audit!E78</f>
        <v>459</v>
      </c>
      <c r="E71" s="12">
        <f>Join_Audit!F78</f>
        <v>1355</v>
      </c>
      <c r="F71" s="12">
        <f>Join_Audit!G78</f>
        <v>0</v>
      </c>
      <c r="G71" s="12" t="str">
        <f>Join_Audit!I78</f>
        <v>CADC0873</v>
      </c>
      <c r="H71" s="12">
        <f>Join_Audit!J78</f>
        <v>1.6478300000000001E-5</v>
      </c>
      <c r="I71" s="25">
        <f>Join_Audit!L78</f>
        <v>44589.743275462963</v>
      </c>
      <c r="J71" s="12">
        <f>Join_Audit!O78</f>
        <v>9</v>
      </c>
      <c r="K71" s="12">
        <f>INDEX(COMM_Beacons!$D$6:$D$66,AA71)</f>
        <v>123</v>
      </c>
      <c r="L71" s="25">
        <f>Join_Audit!R78</f>
        <v>44589.743055555547</v>
      </c>
      <c r="M71" s="12">
        <f>OMNI_Normalized!J14</f>
        <v>6.36</v>
      </c>
      <c r="N71" s="12">
        <f>OMNI_Normalized!K14</f>
        <v>-1.17</v>
      </c>
      <c r="O71" s="12">
        <f>OMNI_Normalized!L14</f>
        <v>420.9</v>
      </c>
      <c r="P71" s="12">
        <f>OMNI_Normalized!M14</f>
        <v>5.52</v>
      </c>
      <c r="Q71" s="12">
        <f>OMNI_Normalized!P14</f>
        <v>81</v>
      </c>
      <c r="R71" s="12">
        <f>OMNI_Normalized!Q14</f>
        <v>2</v>
      </c>
      <c r="S71" s="14">
        <f>Settings!$B$28</f>
        <v>100</v>
      </c>
      <c r="T71" s="14">
        <f>Settings!$B$29</f>
        <v>0.02</v>
      </c>
      <c r="U71" s="14">
        <f>Settings!$B$12</f>
        <v>300</v>
      </c>
      <c r="V71" s="14">
        <f>Settings!$B$25</f>
        <v>0.25</v>
      </c>
      <c r="W71" s="14">
        <f>Settings!$B$21</f>
        <v>4</v>
      </c>
      <c r="X71" s="14">
        <f>Settings!$B$24</f>
        <v>12</v>
      </c>
      <c r="Y71" s="12" t="str">
        <f>Join_Audit!S78</f>
        <v>ACCEPT</v>
      </c>
      <c r="Z71" s="12" t="s">
        <v>857</v>
      </c>
      <c r="AA71" s="34">
        <v>41</v>
      </c>
      <c r="AB71" s="34" t="str">
        <f>INDEX(COMM_Beacons!$E$6:$E$66,AA71)</f>
        <v>CRC32C_VERIFIED</v>
      </c>
      <c r="AC71" s="34">
        <f>INDEX(COMM_Beacons!$K$6:$K$66,$AA71)</f>
        <v>368</v>
      </c>
      <c r="AD71" s="34">
        <f>INDEX(COMM_Beacons!$L$6:$L$66,$AA71)</f>
        <v>368</v>
      </c>
      <c r="AE71" s="34">
        <f>INDEX(COMM_Beacons!$M$6:$M$66,$AA71)</f>
        <v>-83</v>
      </c>
      <c r="AF71" s="34">
        <f>INDEX(COMM_Beacons!$N$6:$N$66,$AA71)</f>
        <v>257</v>
      </c>
      <c r="AG71" s="34">
        <f>INDEX(COMM_Beacons!$O$6:$O$66,$AA71)</f>
        <v>33466</v>
      </c>
      <c r="AH71" s="34">
        <f>INDEX(COMM_Beacons!$P$6:$P$66,$AA71)</f>
        <v>11</v>
      </c>
      <c r="AI71" s="34">
        <f>INDEX(COMM_Beacons!$Q$6:$Q$66,$AA71)</f>
        <v>4390449</v>
      </c>
      <c r="AJ71" s="34">
        <f>INDEX(COMM_Beacons!$R$6:$R$66,$AA71)</f>
        <v>110</v>
      </c>
      <c r="AK71" s="34">
        <f>INDEX(COMM_Beacons!$S$6:$S$66,$AA71)</f>
        <v>2</v>
      </c>
      <c r="AL71" s="34">
        <f>INDEX(COMM_Beacons!$T$6:$T$66,$AA71)</f>
        <v>1126</v>
      </c>
      <c r="AM71" s="34">
        <f>INDEX(COMM_Beacons!$U$6:$U$66,$AA71)</f>
        <v>256</v>
      </c>
      <c r="AN71" s="34">
        <f>INDEX(COMM_Beacons!$V$6:$V$66,$AA71)</f>
        <v>1035520017</v>
      </c>
      <c r="AO71" s="34">
        <f>INDEX(COMM_Beacons!$W$6:$W$66,$AA71)</f>
        <v>-101</v>
      </c>
      <c r="AP71" s="34">
        <f>INDEX(COMM_Beacons!$X$6:$X$66,$AA71)</f>
        <v>1</v>
      </c>
      <c r="AQ71" s="34">
        <f>INDEX(COMM_Beacons!$Y$6:$Y$66,$AA71)</f>
        <v>17475782</v>
      </c>
      <c r="AR71" s="34">
        <f>INDEX(COMM_Beacons!$Z$6:$Z$66,$AA71)</f>
        <v>22035</v>
      </c>
      <c r="AS71" s="34">
        <f>INDEX(COMM_Beacons!$AA$6:$AA$66,$AA71)</f>
        <v>3048170694</v>
      </c>
      <c r="AT71" s="34">
        <f>INDEX(COMM_Beacons!$AB$6:$AB$66,$AA71)</f>
        <v>1105712</v>
      </c>
      <c r="AU71" s="36">
        <f>IF(AA71&lt;=1,"",INDEX(COMM_Counter_Deltas!$J$6:$J$65,AA71-1))</f>
        <v>9.4</v>
      </c>
      <c r="AV71" s="35">
        <f>IF(AA71&lt;=1,"",INDEX(COMM_Counter_Deltas!$B$6:$B$65,AA71-1))</f>
        <v>44589.743159722217</v>
      </c>
      <c r="AW71" s="35">
        <f>IF(AA71&lt;=1,"",INDEX(COMM_Counter_Deltas!$C$6:$C$65,AA71-1))</f>
        <v>44589.743275462963</v>
      </c>
      <c r="AX71" s="34" t="b">
        <v>1</v>
      </c>
      <c r="AY71" s="34">
        <v>9</v>
      </c>
      <c r="AZ71" s="34">
        <f>INDEX(OMNI_Normalized!$N$6:$N$18,MATCH(L71,OMNI_Normalized!$C$6:$C$18,0))</f>
        <v>50007</v>
      </c>
      <c r="BA71" s="37">
        <f>INDEX(OMNI_Normalized!$O$6:$O$18,MATCH(L71,OMNI_Normalized!$C$6:$C$18,0))</f>
        <v>1.96</v>
      </c>
      <c r="BB71" s="34">
        <f>INDEX(OMNI_Normalized!$H$6:$H$18,MATCH(L71,OMNI_Normalized!$C$6:$C$18,0))</f>
        <v>100</v>
      </c>
      <c r="BC71" s="34">
        <f>INDEX(OMNI_Normalized!$F$6:$F$18,MATCH(L71,OMNI_Normalized!$C$6:$C$18,0))</f>
        <v>51</v>
      </c>
      <c r="BD71" s="34">
        <f>INDEX(OMNI_Normalized!$G$6:$G$18,MATCH(L71,OMNI_Normalized!$C$6:$C$18,0))</f>
        <v>51</v>
      </c>
    </row>
    <row r="72" spans="1:56" ht="24" customHeight="1" x14ac:dyDescent="0.2">
      <c r="A72" s="7">
        <v>67</v>
      </c>
      <c r="B72" s="7">
        <v>76</v>
      </c>
      <c r="C72" s="25">
        <f>Join_Audit!C81</f>
        <v>44589.74355324074</v>
      </c>
      <c r="D72" s="12">
        <f>Join_Audit!E81</f>
        <v>474</v>
      </c>
      <c r="E72" s="12">
        <f>Join_Audit!F81</f>
        <v>1355</v>
      </c>
      <c r="F72" s="12">
        <f>Join_Audit!G81</f>
        <v>0</v>
      </c>
      <c r="G72" s="12" t="str">
        <f>Join_Audit!I81</f>
        <v>CADC0873</v>
      </c>
      <c r="H72" s="12">
        <f>Join_Audit!J81</f>
        <v>-1.3944899999999999E-5</v>
      </c>
      <c r="I72" s="25">
        <f>Join_Audit!L81</f>
        <v>44589.743506944447</v>
      </c>
      <c r="J72" s="12">
        <f>Join_Audit!O81</f>
        <v>4</v>
      </c>
      <c r="K72" s="12">
        <f>INDEX(COMM_Beacons!$D$6:$D$66,AA72)</f>
        <v>122</v>
      </c>
      <c r="L72" s="25">
        <f>Join_Audit!R81</f>
        <v>44589.743055555547</v>
      </c>
      <c r="M72" s="12">
        <f>OMNI_Normalized!J14</f>
        <v>6.36</v>
      </c>
      <c r="N72" s="12">
        <f>OMNI_Normalized!K14</f>
        <v>-1.17</v>
      </c>
      <c r="O72" s="12">
        <f>OMNI_Normalized!L14</f>
        <v>420.9</v>
      </c>
      <c r="P72" s="12">
        <f>OMNI_Normalized!M14</f>
        <v>5.52</v>
      </c>
      <c r="Q72" s="12">
        <f>OMNI_Normalized!P14</f>
        <v>81</v>
      </c>
      <c r="R72" s="12">
        <f>OMNI_Normalized!Q14</f>
        <v>2</v>
      </c>
      <c r="S72" s="14">
        <f>Settings!$B$28</f>
        <v>100</v>
      </c>
      <c r="T72" s="14">
        <f>Settings!$B$29</f>
        <v>0.02</v>
      </c>
      <c r="U72" s="14">
        <f>Settings!$B$12</f>
        <v>300</v>
      </c>
      <c r="V72" s="14">
        <f>Settings!$B$25</f>
        <v>0.25</v>
      </c>
      <c r="W72" s="14">
        <f>Settings!$B$21</f>
        <v>4</v>
      </c>
      <c r="X72" s="14">
        <f>Settings!$B$24</f>
        <v>12</v>
      </c>
      <c r="Y72" s="12" t="str">
        <f>Join_Audit!S81</f>
        <v>ACCEPT</v>
      </c>
      <c r="Z72" s="12" t="s">
        <v>857</v>
      </c>
      <c r="AA72" s="34">
        <v>42</v>
      </c>
      <c r="AB72" s="34" t="str">
        <f>INDEX(COMM_Beacons!$E$6:$E$66,AA72)</f>
        <v>CRC32C_VERIFIED</v>
      </c>
      <c r="AC72" s="34">
        <f>INDEX(COMM_Beacons!$K$6:$K$66,$AA72)</f>
        <v>368</v>
      </c>
      <c r="AD72" s="34">
        <f>INDEX(COMM_Beacons!$L$6:$L$66,$AA72)</f>
        <v>368</v>
      </c>
      <c r="AE72" s="34">
        <f>INDEX(COMM_Beacons!$M$6:$M$66,$AA72)</f>
        <v>-83</v>
      </c>
      <c r="AF72" s="34">
        <f>INDEX(COMM_Beacons!$N$6:$N$66,$AA72)</f>
        <v>257</v>
      </c>
      <c r="AG72" s="34">
        <f>INDEX(COMM_Beacons!$O$6:$O$66,$AA72)</f>
        <v>33468</v>
      </c>
      <c r="AH72" s="34">
        <f>INDEX(COMM_Beacons!$P$6:$P$66,$AA72)</f>
        <v>11</v>
      </c>
      <c r="AI72" s="34">
        <f>INDEX(COMM_Beacons!$Q$6:$Q$66,$AA72)</f>
        <v>4390637</v>
      </c>
      <c r="AJ72" s="34">
        <f>INDEX(COMM_Beacons!$R$6:$R$66,$AA72)</f>
        <v>110</v>
      </c>
      <c r="AK72" s="34">
        <f>INDEX(COMM_Beacons!$S$6:$S$66,$AA72)</f>
        <v>2</v>
      </c>
      <c r="AL72" s="34">
        <f>INDEX(COMM_Beacons!$T$6:$T$66,$AA72)</f>
        <v>1126</v>
      </c>
      <c r="AM72" s="34">
        <f>INDEX(COMM_Beacons!$U$6:$U$66,$AA72)</f>
        <v>256</v>
      </c>
      <c r="AN72" s="34">
        <f>INDEX(COMM_Beacons!$V$6:$V$66,$AA72)</f>
        <v>1035520017</v>
      </c>
      <c r="AO72" s="34">
        <f>INDEX(COMM_Beacons!$W$6:$W$66,$AA72)</f>
        <v>-109</v>
      </c>
      <c r="AP72" s="34">
        <f>INDEX(COMM_Beacons!$X$6:$X$66,$AA72)</f>
        <v>1</v>
      </c>
      <c r="AQ72" s="34">
        <f>INDEX(COMM_Beacons!$Y$6:$Y$66,$AA72)</f>
        <v>17475784</v>
      </c>
      <c r="AR72" s="34">
        <f>INDEX(COMM_Beacons!$Z$6:$Z$66,$AA72)</f>
        <v>22035</v>
      </c>
      <c r="AS72" s="34">
        <f>INDEX(COMM_Beacons!$AA$6:$AA$66,$AA72)</f>
        <v>3048170882</v>
      </c>
      <c r="AT72" s="34">
        <f>INDEX(COMM_Beacons!$AB$6:$AB$66,$AA72)</f>
        <v>1105712</v>
      </c>
      <c r="AU72" s="36">
        <f>IF(AA72&lt;=1,"",INDEX(COMM_Counter_Deltas!$J$6:$J$65,AA72-1))</f>
        <v>9.4</v>
      </c>
      <c r="AV72" s="35">
        <f>IF(AA72&lt;=1,"",INDEX(COMM_Counter_Deltas!$B$6:$B$65,AA72-1))</f>
        <v>44589.743275462963</v>
      </c>
      <c r="AW72" s="35">
        <f>IF(AA72&lt;=1,"",INDEX(COMM_Counter_Deltas!$C$6:$C$65,AA72-1))</f>
        <v>44589.743506944447</v>
      </c>
      <c r="AX72" s="34" t="b">
        <v>1</v>
      </c>
      <c r="AY72" s="34">
        <v>4</v>
      </c>
      <c r="AZ72" s="34">
        <f>INDEX(OMNI_Normalized!$N$6:$N$18,MATCH(L72,OMNI_Normalized!$C$6:$C$18,0))</f>
        <v>50007</v>
      </c>
      <c r="BA72" s="37">
        <f>INDEX(OMNI_Normalized!$O$6:$O$18,MATCH(L72,OMNI_Normalized!$C$6:$C$18,0))</f>
        <v>1.96</v>
      </c>
      <c r="BB72" s="34">
        <f>INDEX(OMNI_Normalized!$H$6:$H$18,MATCH(L72,OMNI_Normalized!$C$6:$C$18,0))</f>
        <v>100</v>
      </c>
      <c r="BC72" s="34">
        <f>INDEX(OMNI_Normalized!$F$6:$F$18,MATCH(L72,OMNI_Normalized!$C$6:$C$18,0))</f>
        <v>51</v>
      </c>
      <c r="BD72" s="34">
        <f>INDEX(OMNI_Normalized!$G$6:$G$18,MATCH(L72,OMNI_Normalized!$C$6:$C$18,0))</f>
        <v>51</v>
      </c>
    </row>
    <row r="73" spans="1:56" ht="24" customHeight="1" x14ac:dyDescent="0.2">
      <c r="A73" s="7">
        <v>68</v>
      </c>
      <c r="B73" s="7">
        <v>77</v>
      </c>
      <c r="C73" s="25">
        <f>Join_Audit!C82</f>
        <v>44589.743611111109</v>
      </c>
      <c r="D73" s="12">
        <f>Join_Audit!E82</f>
        <v>479</v>
      </c>
      <c r="E73" s="12">
        <f>Join_Audit!F82</f>
        <v>1355</v>
      </c>
      <c r="F73" s="12">
        <f>Join_Audit!G82</f>
        <v>0</v>
      </c>
      <c r="G73" s="12" t="str">
        <f>Join_Audit!I82</f>
        <v>CADC0873</v>
      </c>
      <c r="H73" s="12">
        <f>Join_Audit!J82</f>
        <v>-2.2554299999999999E-5</v>
      </c>
      <c r="I73" s="25">
        <f>Join_Audit!L82</f>
        <v>44589.743506944447</v>
      </c>
      <c r="J73" s="12">
        <f>Join_Audit!O82</f>
        <v>9</v>
      </c>
      <c r="K73" s="12">
        <f>INDEX(COMM_Beacons!$D$6:$D$66,AA73)</f>
        <v>122</v>
      </c>
      <c r="L73" s="25">
        <f>Join_Audit!R82</f>
        <v>44589.743055555547</v>
      </c>
      <c r="M73" s="12">
        <f>OMNI_Normalized!J14</f>
        <v>6.36</v>
      </c>
      <c r="N73" s="12">
        <f>OMNI_Normalized!K14</f>
        <v>-1.17</v>
      </c>
      <c r="O73" s="12">
        <f>OMNI_Normalized!L14</f>
        <v>420.9</v>
      </c>
      <c r="P73" s="12">
        <f>OMNI_Normalized!M14</f>
        <v>5.52</v>
      </c>
      <c r="Q73" s="12">
        <f>OMNI_Normalized!P14</f>
        <v>81</v>
      </c>
      <c r="R73" s="12">
        <f>OMNI_Normalized!Q14</f>
        <v>2</v>
      </c>
      <c r="S73" s="14">
        <f>Settings!$B$28</f>
        <v>100</v>
      </c>
      <c r="T73" s="14">
        <f>Settings!$B$29</f>
        <v>0.02</v>
      </c>
      <c r="U73" s="14">
        <f>Settings!$B$12</f>
        <v>300</v>
      </c>
      <c r="V73" s="14">
        <f>Settings!$B$25</f>
        <v>0.25</v>
      </c>
      <c r="W73" s="14">
        <f>Settings!$B$21</f>
        <v>4</v>
      </c>
      <c r="X73" s="14">
        <f>Settings!$B$24</f>
        <v>12</v>
      </c>
      <c r="Y73" s="12" t="str">
        <f>Join_Audit!S82</f>
        <v>ACCEPT</v>
      </c>
      <c r="Z73" s="12" t="s">
        <v>857</v>
      </c>
      <c r="AA73" s="34">
        <v>42</v>
      </c>
      <c r="AB73" s="34" t="str">
        <f>INDEX(COMM_Beacons!$E$6:$E$66,AA73)</f>
        <v>CRC32C_VERIFIED</v>
      </c>
      <c r="AC73" s="34">
        <f>INDEX(COMM_Beacons!$K$6:$K$66,$AA73)</f>
        <v>368</v>
      </c>
      <c r="AD73" s="34">
        <f>INDEX(COMM_Beacons!$L$6:$L$66,$AA73)</f>
        <v>368</v>
      </c>
      <c r="AE73" s="34">
        <f>INDEX(COMM_Beacons!$M$6:$M$66,$AA73)</f>
        <v>-83</v>
      </c>
      <c r="AF73" s="34">
        <f>INDEX(COMM_Beacons!$N$6:$N$66,$AA73)</f>
        <v>257</v>
      </c>
      <c r="AG73" s="34">
        <f>INDEX(COMM_Beacons!$O$6:$O$66,$AA73)</f>
        <v>33468</v>
      </c>
      <c r="AH73" s="34">
        <f>INDEX(COMM_Beacons!$P$6:$P$66,$AA73)</f>
        <v>11</v>
      </c>
      <c r="AI73" s="34">
        <f>INDEX(COMM_Beacons!$Q$6:$Q$66,$AA73)</f>
        <v>4390637</v>
      </c>
      <c r="AJ73" s="34">
        <f>INDEX(COMM_Beacons!$R$6:$R$66,$AA73)</f>
        <v>110</v>
      </c>
      <c r="AK73" s="34">
        <f>INDEX(COMM_Beacons!$S$6:$S$66,$AA73)</f>
        <v>2</v>
      </c>
      <c r="AL73" s="34">
        <f>INDEX(COMM_Beacons!$T$6:$T$66,$AA73)</f>
        <v>1126</v>
      </c>
      <c r="AM73" s="34">
        <f>INDEX(COMM_Beacons!$U$6:$U$66,$AA73)</f>
        <v>256</v>
      </c>
      <c r="AN73" s="34">
        <f>INDEX(COMM_Beacons!$V$6:$V$66,$AA73)</f>
        <v>1035520017</v>
      </c>
      <c r="AO73" s="34">
        <f>INDEX(COMM_Beacons!$W$6:$W$66,$AA73)</f>
        <v>-109</v>
      </c>
      <c r="AP73" s="34">
        <f>INDEX(COMM_Beacons!$X$6:$X$66,$AA73)</f>
        <v>1</v>
      </c>
      <c r="AQ73" s="34">
        <f>INDEX(COMM_Beacons!$Y$6:$Y$66,$AA73)</f>
        <v>17475784</v>
      </c>
      <c r="AR73" s="34">
        <f>INDEX(COMM_Beacons!$Z$6:$Z$66,$AA73)</f>
        <v>22035</v>
      </c>
      <c r="AS73" s="34">
        <f>INDEX(COMM_Beacons!$AA$6:$AA$66,$AA73)</f>
        <v>3048170882</v>
      </c>
      <c r="AT73" s="34">
        <f>INDEX(COMM_Beacons!$AB$6:$AB$66,$AA73)</f>
        <v>1105712</v>
      </c>
      <c r="AU73" s="36">
        <f>IF(AA73&lt;=1,"",INDEX(COMM_Counter_Deltas!$J$6:$J$65,AA73-1))</f>
        <v>9.4</v>
      </c>
      <c r="AV73" s="35">
        <f>IF(AA73&lt;=1,"",INDEX(COMM_Counter_Deltas!$B$6:$B$65,AA73-1))</f>
        <v>44589.743275462963</v>
      </c>
      <c r="AW73" s="35">
        <f>IF(AA73&lt;=1,"",INDEX(COMM_Counter_Deltas!$C$6:$C$65,AA73-1))</f>
        <v>44589.743506944447</v>
      </c>
      <c r="AX73" s="34" t="b">
        <v>1</v>
      </c>
      <c r="AY73" s="34">
        <v>9</v>
      </c>
      <c r="AZ73" s="34">
        <f>INDEX(OMNI_Normalized!$N$6:$N$18,MATCH(L73,OMNI_Normalized!$C$6:$C$18,0))</f>
        <v>50007</v>
      </c>
      <c r="BA73" s="37">
        <f>INDEX(OMNI_Normalized!$O$6:$O$18,MATCH(L73,OMNI_Normalized!$C$6:$C$18,0))</f>
        <v>1.96</v>
      </c>
      <c r="BB73" s="34">
        <f>INDEX(OMNI_Normalized!$H$6:$H$18,MATCH(L73,OMNI_Normalized!$C$6:$C$18,0))</f>
        <v>100</v>
      </c>
      <c r="BC73" s="34">
        <f>INDEX(OMNI_Normalized!$F$6:$F$18,MATCH(L73,OMNI_Normalized!$C$6:$C$18,0))</f>
        <v>51</v>
      </c>
      <c r="BD73" s="34">
        <f>INDEX(OMNI_Normalized!$G$6:$G$18,MATCH(L73,OMNI_Normalized!$C$6:$C$18,0))</f>
        <v>51</v>
      </c>
    </row>
    <row r="74" spans="1:56" ht="24" customHeight="1" x14ac:dyDescent="0.2">
      <c r="A74" s="7">
        <v>69</v>
      </c>
      <c r="B74" s="7">
        <v>80</v>
      </c>
      <c r="C74" s="25">
        <f>Join_Audit!C85</f>
        <v>44589.743784722217</v>
      </c>
      <c r="D74" s="12">
        <f>Join_Audit!E85</f>
        <v>494</v>
      </c>
      <c r="E74" s="12">
        <f>Join_Audit!F85</f>
        <v>1356</v>
      </c>
      <c r="F74" s="12">
        <f>Join_Audit!G85</f>
        <v>0</v>
      </c>
      <c r="G74" s="12" t="str">
        <f>Join_Audit!I85</f>
        <v>CADC0873</v>
      </c>
      <c r="H74" s="12">
        <f>Join_Audit!J85</f>
        <v>-2.98944E-5</v>
      </c>
      <c r="I74" s="25">
        <f>Join_Audit!L85</f>
        <v>44589.743738425917</v>
      </c>
      <c r="J74" s="12">
        <f>Join_Audit!O85</f>
        <v>4</v>
      </c>
      <c r="K74" s="12">
        <f>INDEX(COMM_Beacons!$D$6:$D$66,AA74)</f>
        <v>121</v>
      </c>
      <c r="L74" s="25">
        <f>Join_Audit!R85</f>
        <v>44589.743750000001</v>
      </c>
      <c r="M74" s="12">
        <f>OMNI_Normalized!J15</f>
        <v>6.4</v>
      </c>
      <c r="N74" s="12">
        <f>OMNI_Normalized!K15</f>
        <v>-1.77</v>
      </c>
      <c r="O74" s="12">
        <f>OMNI_Normalized!L15</f>
        <v>420.7</v>
      </c>
      <c r="P74" s="12">
        <f>OMNI_Normalized!M15</f>
        <v>5.28</v>
      </c>
      <c r="Q74" s="12">
        <f>OMNI_Normalized!P15</f>
        <v>63</v>
      </c>
      <c r="R74" s="12">
        <f>OMNI_Normalized!Q15</f>
        <v>2</v>
      </c>
      <c r="S74" s="14">
        <f>Settings!$B$28</f>
        <v>100</v>
      </c>
      <c r="T74" s="14">
        <f>Settings!$B$29</f>
        <v>0.02</v>
      </c>
      <c r="U74" s="14">
        <f>Settings!$B$12</f>
        <v>300</v>
      </c>
      <c r="V74" s="14">
        <f>Settings!$B$25</f>
        <v>0.25</v>
      </c>
      <c r="W74" s="14">
        <f>Settings!$B$21</f>
        <v>4</v>
      </c>
      <c r="X74" s="14">
        <f>Settings!$B$24</f>
        <v>12</v>
      </c>
      <c r="Y74" s="12" t="str">
        <f>Join_Audit!S85</f>
        <v>ACCEPT</v>
      </c>
      <c r="Z74" s="12" t="s">
        <v>857</v>
      </c>
      <c r="AA74" s="34">
        <v>43</v>
      </c>
      <c r="AB74" s="34" t="str">
        <f>INDEX(COMM_Beacons!$E$6:$E$66,AA74)</f>
        <v>CRC32C_VERIFIED</v>
      </c>
      <c r="AC74" s="34">
        <f>INDEX(COMM_Beacons!$K$6:$K$66,$AA74)</f>
        <v>368</v>
      </c>
      <c r="AD74" s="34">
        <f>INDEX(COMM_Beacons!$L$6:$L$66,$AA74)</f>
        <v>368</v>
      </c>
      <c r="AE74" s="34">
        <f>INDEX(COMM_Beacons!$M$6:$M$66,$AA74)</f>
        <v>-83</v>
      </c>
      <c r="AF74" s="34">
        <f>INDEX(COMM_Beacons!$N$6:$N$66,$AA74)</f>
        <v>257</v>
      </c>
      <c r="AG74" s="34">
        <f>INDEX(COMM_Beacons!$O$6:$O$66,$AA74)</f>
        <v>33470</v>
      </c>
      <c r="AH74" s="34">
        <f>INDEX(COMM_Beacons!$P$6:$P$66,$AA74)</f>
        <v>11</v>
      </c>
      <c r="AI74" s="34">
        <f>INDEX(COMM_Beacons!$Q$6:$Q$66,$AA74)</f>
        <v>4390825</v>
      </c>
      <c r="AJ74" s="34">
        <f>INDEX(COMM_Beacons!$R$6:$R$66,$AA74)</f>
        <v>110</v>
      </c>
      <c r="AK74" s="34">
        <f>INDEX(COMM_Beacons!$S$6:$S$66,$AA74)</f>
        <v>2</v>
      </c>
      <c r="AL74" s="34">
        <f>INDEX(COMM_Beacons!$T$6:$T$66,$AA74)</f>
        <v>1126</v>
      </c>
      <c r="AM74" s="34">
        <f>INDEX(COMM_Beacons!$U$6:$U$66,$AA74)</f>
        <v>256</v>
      </c>
      <c r="AN74" s="34">
        <f>INDEX(COMM_Beacons!$V$6:$V$66,$AA74)</f>
        <v>1035520017</v>
      </c>
      <c r="AO74" s="34">
        <f>INDEX(COMM_Beacons!$W$6:$W$66,$AA74)</f>
        <v>-111</v>
      </c>
      <c r="AP74" s="34">
        <f>INDEX(COMM_Beacons!$X$6:$X$66,$AA74)</f>
        <v>1</v>
      </c>
      <c r="AQ74" s="34">
        <f>INDEX(COMM_Beacons!$Y$6:$Y$66,$AA74)</f>
        <v>17475786</v>
      </c>
      <c r="AR74" s="34">
        <f>INDEX(COMM_Beacons!$Z$6:$Z$66,$AA74)</f>
        <v>22035</v>
      </c>
      <c r="AS74" s="34">
        <f>INDEX(COMM_Beacons!$AA$6:$AA$66,$AA74)</f>
        <v>3048171070</v>
      </c>
      <c r="AT74" s="34">
        <f>INDEX(COMM_Beacons!$AB$6:$AB$66,$AA74)</f>
        <v>1105712</v>
      </c>
      <c r="AU74" s="36">
        <f>IF(AA74&lt;=1,"",INDEX(COMM_Counter_Deltas!$J$6:$J$65,AA74-1))</f>
        <v>9.4</v>
      </c>
      <c r="AV74" s="35">
        <f>IF(AA74&lt;=1,"",INDEX(COMM_Counter_Deltas!$B$6:$B$65,AA74-1))</f>
        <v>44589.743506944447</v>
      </c>
      <c r="AW74" s="35">
        <f>IF(AA74&lt;=1,"",INDEX(COMM_Counter_Deltas!$C$6:$C$65,AA74-1))</f>
        <v>44589.743738425917</v>
      </c>
      <c r="AX74" s="34" t="b">
        <v>1</v>
      </c>
      <c r="AY74" s="34">
        <v>4</v>
      </c>
      <c r="AZ74" s="34">
        <f>INDEX(OMNI_Normalized!$N$6:$N$18,MATCH(L74,OMNI_Normalized!$C$6:$C$18,0))</f>
        <v>44695</v>
      </c>
      <c r="BA74" s="37">
        <f>INDEX(OMNI_Normalized!$O$6:$O$18,MATCH(L74,OMNI_Normalized!$C$6:$C$18,0))</f>
        <v>1.87</v>
      </c>
      <c r="BB74" s="34">
        <f>INDEX(OMNI_Normalized!$H$6:$H$18,MATCH(L74,OMNI_Normalized!$C$6:$C$18,0))</f>
        <v>100</v>
      </c>
      <c r="BC74" s="34">
        <f>INDEX(OMNI_Normalized!$F$6:$F$18,MATCH(L74,OMNI_Normalized!$C$6:$C$18,0))</f>
        <v>51</v>
      </c>
      <c r="BD74" s="34">
        <f>INDEX(OMNI_Normalized!$G$6:$G$18,MATCH(L74,OMNI_Normalized!$C$6:$C$18,0))</f>
        <v>51</v>
      </c>
    </row>
    <row r="75" spans="1:56" ht="24" customHeight="1" x14ac:dyDescent="0.2">
      <c r="A75" s="7">
        <v>70</v>
      </c>
      <c r="B75" s="7">
        <v>81</v>
      </c>
      <c r="C75" s="25">
        <f>Join_Audit!C86</f>
        <v>44589.743842592587</v>
      </c>
      <c r="D75" s="12">
        <f>Join_Audit!E86</f>
        <v>499</v>
      </c>
      <c r="E75" s="12">
        <f>Join_Audit!F86</f>
        <v>1356</v>
      </c>
      <c r="F75" s="12">
        <f>Join_Audit!G86</f>
        <v>0</v>
      </c>
      <c r="G75" s="12" t="str">
        <f>Join_Audit!I86</f>
        <v>CADC0873</v>
      </c>
      <c r="H75" s="12">
        <f>Join_Audit!J86</f>
        <v>-2.6431299999999999E-5</v>
      </c>
      <c r="I75" s="25">
        <f>Join_Audit!L86</f>
        <v>44589.743738425917</v>
      </c>
      <c r="J75" s="12">
        <f>Join_Audit!O86</f>
        <v>9</v>
      </c>
      <c r="K75" s="12">
        <f>INDEX(COMM_Beacons!$D$6:$D$66,AA75)</f>
        <v>121</v>
      </c>
      <c r="L75" s="25">
        <f>Join_Audit!R86</f>
        <v>44589.743750000001</v>
      </c>
      <c r="M75" s="12">
        <f>OMNI_Normalized!J15</f>
        <v>6.4</v>
      </c>
      <c r="N75" s="12">
        <f>OMNI_Normalized!K15</f>
        <v>-1.77</v>
      </c>
      <c r="O75" s="12">
        <f>OMNI_Normalized!L15</f>
        <v>420.7</v>
      </c>
      <c r="P75" s="12">
        <f>OMNI_Normalized!M15</f>
        <v>5.28</v>
      </c>
      <c r="Q75" s="12">
        <f>OMNI_Normalized!P15</f>
        <v>63</v>
      </c>
      <c r="R75" s="12">
        <f>OMNI_Normalized!Q15</f>
        <v>2</v>
      </c>
      <c r="S75" s="14">
        <f>Settings!$B$28</f>
        <v>100</v>
      </c>
      <c r="T75" s="14">
        <f>Settings!$B$29</f>
        <v>0.02</v>
      </c>
      <c r="U75" s="14">
        <f>Settings!$B$12</f>
        <v>300</v>
      </c>
      <c r="V75" s="14">
        <f>Settings!$B$25</f>
        <v>0.25</v>
      </c>
      <c r="W75" s="14">
        <f>Settings!$B$21</f>
        <v>4</v>
      </c>
      <c r="X75" s="14">
        <f>Settings!$B$24</f>
        <v>12</v>
      </c>
      <c r="Y75" s="12" t="str">
        <f>Join_Audit!S86</f>
        <v>ACCEPT</v>
      </c>
      <c r="Z75" s="12" t="s">
        <v>857</v>
      </c>
      <c r="AA75" s="34">
        <v>43</v>
      </c>
      <c r="AB75" s="34" t="str">
        <f>INDEX(COMM_Beacons!$E$6:$E$66,AA75)</f>
        <v>CRC32C_VERIFIED</v>
      </c>
      <c r="AC75" s="34">
        <f>INDEX(COMM_Beacons!$K$6:$K$66,$AA75)</f>
        <v>368</v>
      </c>
      <c r="AD75" s="34">
        <f>INDEX(COMM_Beacons!$L$6:$L$66,$AA75)</f>
        <v>368</v>
      </c>
      <c r="AE75" s="34">
        <f>INDEX(COMM_Beacons!$M$6:$M$66,$AA75)</f>
        <v>-83</v>
      </c>
      <c r="AF75" s="34">
        <f>INDEX(COMM_Beacons!$N$6:$N$66,$AA75)</f>
        <v>257</v>
      </c>
      <c r="AG75" s="34">
        <f>INDEX(COMM_Beacons!$O$6:$O$66,$AA75)</f>
        <v>33470</v>
      </c>
      <c r="AH75" s="34">
        <f>INDEX(COMM_Beacons!$P$6:$P$66,$AA75)</f>
        <v>11</v>
      </c>
      <c r="AI75" s="34">
        <f>INDEX(COMM_Beacons!$Q$6:$Q$66,$AA75)</f>
        <v>4390825</v>
      </c>
      <c r="AJ75" s="34">
        <f>INDEX(COMM_Beacons!$R$6:$R$66,$AA75)</f>
        <v>110</v>
      </c>
      <c r="AK75" s="34">
        <f>INDEX(COMM_Beacons!$S$6:$S$66,$AA75)</f>
        <v>2</v>
      </c>
      <c r="AL75" s="34">
        <f>INDEX(COMM_Beacons!$T$6:$T$66,$AA75)</f>
        <v>1126</v>
      </c>
      <c r="AM75" s="34">
        <f>INDEX(COMM_Beacons!$U$6:$U$66,$AA75)</f>
        <v>256</v>
      </c>
      <c r="AN75" s="34">
        <f>INDEX(COMM_Beacons!$V$6:$V$66,$AA75)</f>
        <v>1035520017</v>
      </c>
      <c r="AO75" s="34">
        <f>INDEX(COMM_Beacons!$W$6:$W$66,$AA75)</f>
        <v>-111</v>
      </c>
      <c r="AP75" s="34">
        <f>INDEX(COMM_Beacons!$X$6:$X$66,$AA75)</f>
        <v>1</v>
      </c>
      <c r="AQ75" s="34">
        <f>INDEX(COMM_Beacons!$Y$6:$Y$66,$AA75)</f>
        <v>17475786</v>
      </c>
      <c r="AR75" s="34">
        <f>INDEX(COMM_Beacons!$Z$6:$Z$66,$AA75)</f>
        <v>22035</v>
      </c>
      <c r="AS75" s="34">
        <f>INDEX(COMM_Beacons!$AA$6:$AA$66,$AA75)</f>
        <v>3048171070</v>
      </c>
      <c r="AT75" s="34">
        <f>INDEX(COMM_Beacons!$AB$6:$AB$66,$AA75)</f>
        <v>1105712</v>
      </c>
      <c r="AU75" s="36">
        <f>IF(AA75&lt;=1,"",INDEX(COMM_Counter_Deltas!$J$6:$J$65,AA75-1))</f>
        <v>9.4</v>
      </c>
      <c r="AV75" s="35">
        <f>IF(AA75&lt;=1,"",INDEX(COMM_Counter_Deltas!$B$6:$B$65,AA75-1))</f>
        <v>44589.743506944447</v>
      </c>
      <c r="AW75" s="35">
        <f>IF(AA75&lt;=1,"",INDEX(COMM_Counter_Deltas!$C$6:$C$65,AA75-1))</f>
        <v>44589.743738425917</v>
      </c>
      <c r="AX75" s="34" t="b">
        <v>1</v>
      </c>
      <c r="AY75" s="34">
        <v>9</v>
      </c>
      <c r="AZ75" s="34">
        <f>INDEX(OMNI_Normalized!$N$6:$N$18,MATCH(L75,OMNI_Normalized!$C$6:$C$18,0))</f>
        <v>44695</v>
      </c>
      <c r="BA75" s="37">
        <f>INDEX(OMNI_Normalized!$O$6:$O$18,MATCH(L75,OMNI_Normalized!$C$6:$C$18,0))</f>
        <v>1.87</v>
      </c>
      <c r="BB75" s="34">
        <f>INDEX(OMNI_Normalized!$H$6:$H$18,MATCH(L75,OMNI_Normalized!$C$6:$C$18,0))</f>
        <v>100</v>
      </c>
      <c r="BC75" s="34">
        <f>INDEX(OMNI_Normalized!$F$6:$F$18,MATCH(L75,OMNI_Normalized!$C$6:$C$18,0))</f>
        <v>51</v>
      </c>
      <c r="BD75" s="34">
        <f>INDEX(OMNI_Normalized!$G$6:$G$18,MATCH(L75,OMNI_Normalized!$C$6:$C$18,0))</f>
        <v>51</v>
      </c>
    </row>
    <row r="76" spans="1:56" ht="24" customHeight="1" x14ac:dyDescent="0.2">
      <c r="A76" s="7">
        <v>71</v>
      </c>
      <c r="B76" s="7">
        <v>82</v>
      </c>
      <c r="C76" s="25">
        <f>Join_Audit!C87</f>
        <v>44589.743900462963</v>
      </c>
      <c r="D76" s="12">
        <f>Join_Audit!E87</f>
        <v>504</v>
      </c>
      <c r="E76" s="12">
        <f>Join_Audit!F87</f>
        <v>1356</v>
      </c>
      <c r="F76" s="12">
        <f>Join_Audit!G87</f>
        <v>0</v>
      </c>
      <c r="G76" s="12" t="str">
        <f>Join_Audit!I87</f>
        <v>CADC0873</v>
      </c>
      <c r="H76" s="12">
        <f>Join_Audit!J87</f>
        <v>-2.0276400000000001E-5</v>
      </c>
      <c r="I76" s="25">
        <f>Join_Audit!L87</f>
        <v>44589.743854166663</v>
      </c>
      <c r="J76" s="12">
        <f>Join_Audit!O87</f>
        <v>4</v>
      </c>
      <c r="K76" s="12">
        <f>INDEX(COMM_Beacons!$D$6:$D$66,AA76)</f>
        <v>120</v>
      </c>
      <c r="L76" s="25">
        <f>Join_Audit!R87</f>
        <v>44589.743750000001</v>
      </c>
      <c r="M76" s="12">
        <f>OMNI_Normalized!J15</f>
        <v>6.4</v>
      </c>
      <c r="N76" s="12">
        <f>OMNI_Normalized!K15</f>
        <v>-1.77</v>
      </c>
      <c r="O76" s="12">
        <f>OMNI_Normalized!L15</f>
        <v>420.7</v>
      </c>
      <c r="P76" s="12">
        <f>OMNI_Normalized!M15</f>
        <v>5.28</v>
      </c>
      <c r="Q76" s="12">
        <f>OMNI_Normalized!P15</f>
        <v>63</v>
      </c>
      <c r="R76" s="12">
        <f>OMNI_Normalized!Q15</f>
        <v>2</v>
      </c>
      <c r="S76" s="14">
        <f>Settings!$B$28</f>
        <v>100</v>
      </c>
      <c r="T76" s="14">
        <f>Settings!$B$29</f>
        <v>0.02</v>
      </c>
      <c r="U76" s="14">
        <f>Settings!$B$12</f>
        <v>300</v>
      </c>
      <c r="V76" s="14">
        <f>Settings!$B$25</f>
        <v>0.25</v>
      </c>
      <c r="W76" s="14">
        <f>Settings!$B$21</f>
        <v>4</v>
      </c>
      <c r="X76" s="14">
        <f>Settings!$B$24</f>
        <v>12</v>
      </c>
      <c r="Y76" s="12" t="str">
        <f>Join_Audit!S87</f>
        <v>ACCEPT</v>
      </c>
      <c r="Z76" s="12" t="s">
        <v>857</v>
      </c>
      <c r="AA76" s="34">
        <v>44</v>
      </c>
      <c r="AB76" s="34" t="str">
        <f>INDEX(COMM_Beacons!$E$6:$E$66,AA76)</f>
        <v>CRC32C_VERIFIED</v>
      </c>
      <c r="AC76" s="34">
        <f>INDEX(COMM_Beacons!$K$6:$K$66,$AA76)</f>
        <v>367</v>
      </c>
      <c r="AD76" s="34">
        <f>INDEX(COMM_Beacons!$L$6:$L$66,$AA76)</f>
        <v>368</v>
      </c>
      <c r="AE76" s="34">
        <f>INDEX(COMM_Beacons!$M$6:$M$66,$AA76)</f>
        <v>-83</v>
      </c>
      <c r="AF76" s="34">
        <f>INDEX(COMM_Beacons!$N$6:$N$66,$AA76)</f>
        <v>257</v>
      </c>
      <c r="AG76" s="34">
        <f>INDEX(COMM_Beacons!$O$6:$O$66,$AA76)</f>
        <v>33471</v>
      </c>
      <c r="AH76" s="34">
        <f>INDEX(COMM_Beacons!$P$6:$P$66,$AA76)</f>
        <v>11</v>
      </c>
      <c r="AI76" s="34">
        <f>INDEX(COMM_Beacons!$Q$6:$Q$66,$AA76)</f>
        <v>4390919</v>
      </c>
      <c r="AJ76" s="34">
        <f>INDEX(COMM_Beacons!$R$6:$R$66,$AA76)</f>
        <v>110</v>
      </c>
      <c r="AK76" s="34">
        <f>INDEX(COMM_Beacons!$S$6:$S$66,$AA76)</f>
        <v>2</v>
      </c>
      <c r="AL76" s="34">
        <f>INDEX(COMM_Beacons!$T$6:$T$66,$AA76)</f>
        <v>1126</v>
      </c>
      <c r="AM76" s="34">
        <f>INDEX(COMM_Beacons!$U$6:$U$66,$AA76)</f>
        <v>256</v>
      </c>
      <c r="AN76" s="34">
        <f>INDEX(COMM_Beacons!$V$6:$V$66,$AA76)</f>
        <v>1035520017</v>
      </c>
      <c r="AO76" s="34">
        <f>INDEX(COMM_Beacons!$W$6:$W$66,$AA76)</f>
        <v>-105</v>
      </c>
      <c r="AP76" s="34">
        <f>INDEX(COMM_Beacons!$X$6:$X$66,$AA76)</f>
        <v>1</v>
      </c>
      <c r="AQ76" s="34">
        <f>INDEX(COMM_Beacons!$Y$6:$Y$66,$AA76)</f>
        <v>17475787</v>
      </c>
      <c r="AR76" s="34">
        <f>INDEX(COMM_Beacons!$Z$6:$Z$66,$AA76)</f>
        <v>22035</v>
      </c>
      <c r="AS76" s="34">
        <f>INDEX(COMM_Beacons!$AA$6:$AA$66,$AA76)</f>
        <v>3048171164</v>
      </c>
      <c r="AT76" s="34">
        <f>INDEX(COMM_Beacons!$AB$6:$AB$66,$AA76)</f>
        <v>1105712</v>
      </c>
      <c r="AU76" s="36">
        <f>IF(AA76&lt;=1,"",INDEX(COMM_Counter_Deltas!$J$6:$J$65,AA76-1))</f>
        <v>9.4</v>
      </c>
      <c r="AV76" s="35">
        <f>IF(AA76&lt;=1,"",INDEX(COMM_Counter_Deltas!$B$6:$B$65,AA76-1))</f>
        <v>44589.743738425917</v>
      </c>
      <c r="AW76" s="35">
        <f>IF(AA76&lt;=1,"",INDEX(COMM_Counter_Deltas!$C$6:$C$65,AA76-1))</f>
        <v>44589.743854166663</v>
      </c>
      <c r="AX76" s="34" t="b">
        <v>1</v>
      </c>
      <c r="AY76" s="34">
        <v>4</v>
      </c>
      <c r="AZ76" s="34">
        <f>INDEX(OMNI_Normalized!$N$6:$N$18,MATCH(L76,OMNI_Normalized!$C$6:$C$18,0))</f>
        <v>44695</v>
      </c>
      <c r="BA76" s="37">
        <f>INDEX(OMNI_Normalized!$O$6:$O$18,MATCH(L76,OMNI_Normalized!$C$6:$C$18,0))</f>
        <v>1.87</v>
      </c>
      <c r="BB76" s="34">
        <f>INDEX(OMNI_Normalized!$H$6:$H$18,MATCH(L76,OMNI_Normalized!$C$6:$C$18,0))</f>
        <v>100</v>
      </c>
      <c r="BC76" s="34">
        <f>INDEX(OMNI_Normalized!$F$6:$F$18,MATCH(L76,OMNI_Normalized!$C$6:$C$18,0))</f>
        <v>51</v>
      </c>
      <c r="BD76" s="34">
        <f>INDEX(OMNI_Normalized!$G$6:$G$18,MATCH(L76,OMNI_Normalized!$C$6:$C$18,0))</f>
        <v>51</v>
      </c>
    </row>
    <row r="77" spans="1:56" ht="24" customHeight="1" x14ac:dyDescent="0.2">
      <c r="A77" s="7">
        <v>72</v>
      </c>
      <c r="B77" s="7">
        <v>83</v>
      </c>
      <c r="C77" s="25">
        <f>Join_Audit!C88</f>
        <v>44589.743958333333</v>
      </c>
      <c r="D77" s="12">
        <f>Join_Audit!E88</f>
        <v>509</v>
      </c>
      <c r="E77" s="12">
        <f>Join_Audit!F88</f>
        <v>1356</v>
      </c>
      <c r="F77" s="12">
        <f>Join_Audit!G88</f>
        <v>0</v>
      </c>
      <c r="G77" s="12" t="str">
        <f>Join_Audit!I88</f>
        <v>CADC0873</v>
      </c>
      <c r="H77" s="12">
        <f>Join_Audit!J88</f>
        <v>-1.13796E-5</v>
      </c>
      <c r="I77" s="25">
        <f>Join_Audit!L88</f>
        <v>44589.743854166663</v>
      </c>
      <c r="J77" s="12">
        <f>Join_Audit!O88</f>
        <v>9</v>
      </c>
      <c r="K77" s="12">
        <f>INDEX(COMM_Beacons!$D$6:$D$66,AA77)</f>
        <v>120</v>
      </c>
      <c r="L77" s="25">
        <f>Join_Audit!R88</f>
        <v>44589.743750000001</v>
      </c>
      <c r="M77" s="12">
        <f>OMNI_Normalized!J15</f>
        <v>6.4</v>
      </c>
      <c r="N77" s="12">
        <f>OMNI_Normalized!K15</f>
        <v>-1.77</v>
      </c>
      <c r="O77" s="12">
        <f>OMNI_Normalized!L15</f>
        <v>420.7</v>
      </c>
      <c r="P77" s="12">
        <f>OMNI_Normalized!M15</f>
        <v>5.28</v>
      </c>
      <c r="Q77" s="12">
        <f>OMNI_Normalized!P15</f>
        <v>63</v>
      </c>
      <c r="R77" s="12">
        <f>OMNI_Normalized!Q15</f>
        <v>2</v>
      </c>
      <c r="S77" s="14">
        <f>Settings!$B$28</f>
        <v>100</v>
      </c>
      <c r="T77" s="14">
        <f>Settings!$B$29</f>
        <v>0.02</v>
      </c>
      <c r="U77" s="14">
        <f>Settings!$B$12</f>
        <v>300</v>
      </c>
      <c r="V77" s="14">
        <f>Settings!$B$25</f>
        <v>0.25</v>
      </c>
      <c r="W77" s="14">
        <f>Settings!$B$21</f>
        <v>4</v>
      </c>
      <c r="X77" s="14">
        <f>Settings!$B$24</f>
        <v>12</v>
      </c>
      <c r="Y77" s="12" t="str">
        <f>Join_Audit!S88</f>
        <v>ACCEPT</v>
      </c>
      <c r="Z77" s="12" t="s">
        <v>857</v>
      </c>
      <c r="AA77" s="34">
        <v>44</v>
      </c>
      <c r="AB77" s="34" t="str">
        <f>INDEX(COMM_Beacons!$E$6:$E$66,AA77)</f>
        <v>CRC32C_VERIFIED</v>
      </c>
      <c r="AC77" s="34">
        <f>INDEX(COMM_Beacons!$K$6:$K$66,$AA77)</f>
        <v>367</v>
      </c>
      <c r="AD77" s="34">
        <f>INDEX(COMM_Beacons!$L$6:$L$66,$AA77)</f>
        <v>368</v>
      </c>
      <c r="AE77" s="34">
        <f>INDEX(COMM_Beacons!$M$6:$M$66,$AA77)</f>
        <v>-83</v>
      </c>
      <c r="AF77" s="34">
        <f>INDEX(COMM_Beacons!$N$6:$N$66,$AA77)</f>
        <v>257</v>
      </c>
      <c r="AG77" s="34">
        <f>INDEX(COMM_Beacons!$O$6:$O$66,$AA77)</f>
        <v>33471</v>
      </c>
      <c r="AH77" s="34">
        <f>INDEX(COMM_Beacons!$P$6:$P$66,$AA77)</f>
        <v>11</v>
      </c>
      <c r="AI77" s="34">
        <f>INDEX(COMM_Beacons!$Q$6:$Q$66,$AA77)</f>
        <v>4390919</v>
      </c>
      <c r="AJ77" s="34">
        <f>INDEX(COMM_Beacons!$R$6:$R$66,$AA77)</f>
        <v>110</v>
      </c>
      <c r="AK77" s="34">
        <f>INDEX(COMM_Beacons!$S$6:$S$66,$AA77)</f>
        <v>2</v>
      </c>
      <c r="AL77" s="34">
        <f>INDEX(COMM_Beacons!$T$6:$T$66,$AA77)</f>
        <v>1126</v>
      </c>
      <c r="AM77" s="34">
        <f>INDEX(COMM_Beacons!$U$6:$U$66,$AA77)</f>
        <v>256</v>
      </c>
      <c r="AN77" s="34">
        <f>INDEX(COMM_Beacons!$V$6:$V$66,$AA77)</f>
        <v>1035520017</v>
      </c>
      <c r="AO77" s="34">
        <f>INDEX(COMM_Beacons!$W$6:$W$66,$AA77)</f>
        <v>-105</v>
      </c>
      <c r="AP77" s="34">
        <f>INDEX(COMM_Beacons!$X$6:$X$66,$AA77)</f>
        <v>1</v>
      </c>
      <c r="AQ77" s="34">
        <f>INDEX(COMM_Beacons!$Y$6:$Y$66,$AA77)</f>
        <v>17475787</v>
      </c>
      <c r="AR77" s="34">
        <f>INDEX(COMM_Beacons!$Z$6:$Z$66,$AA77)</f>
        <v>22035</v>
      </c>
      <c r="AS77" s="34">
        <f>INDEX(COMM_Beacons!$AA$6:$AA$66,$AA77)</f>
        <v>3048171164</v>
      </c>
      <c r="AT77" s="34">
        <f>INDEX(COMM_Beacons!$AB$6:$AB$66,$AA77)</f>
        <v>1105712</v>
      </c>
      <c r="AU77" s="36">
        <f>IF(AA77&lt;=1,"",INDEX(COMM_Counter_Deltas!$J$6:$J$65,AA77-1))</f>
        <v>9.4</v>
      </c>
      <c r="AV77" s="35">
        <f>IF(AA77&lt;=1,"",INDEX(COMM_Counter_Deltas!$B$6:$B$65,AA77-1))</f>
        <v>44589.743738425917</v>
      </c>
      <c r="AW77" s="35">
        <f>IF(AA77&lt;=1,"",INDEX(COMM_Counter_Deltas!$C$6:$C$65,AA77-1))</f>
        <v>44589.743854166663</v>
      </c>
      <c r="AX77" s="34" t="b">
        <v>1</v>
      </c>
      <c r="AY77" s="34">
        <v>9</v>
      </c>
      <c r="AZ77" s="34">
        <f>INDEX(OMNI_Normalized!$N$6:$N$18,MATCH(L77,OMNI_Normalized!$C$6:$C$18,0))</f>
        <v>44695</v>
      </c>
      <c r="BA77" s="37">
        <f>INDEX(OMNI_Normalized!$O$6:$O$18,MATCH(L77,OMNI_Normalized!$C$6:$C$18,0))</f>
        <v>1.87</v>
      </c>
      <c r="BB77" s="34">
        <f>INDEX(OMNI_Normalized!$H$6:$H$18,MATCH(L77,OMNI_Normalized!$C$6:$C$18,0))</f>
        <v>100</v>
      </c>
      <c r="BC77" s="34">
        <f>INDEX(OMNI_Normalized!$F$6:$F$18,MATCH(L77,OMNI_Normalized!$C$6:$C$18,0))</f>
        <v>51</v>
      </c>
      <c r="BD77" s="34">
        <f>INDEX(OMNI_Normalized!$G$6:$G$18,MATCH(L77,OMNI_Normalized!$C$6:$C$18,0))</f>
        <v>51</v>
      </c>
    </row>
    <row r="78" spans="1:56" ht="24" customHeight="1" x14ac:dyDescent="0.2">
      <c r="A78" s="7">
        <v>73</v>
      </c>
      <c r="B78" s="7">
        <v>84</v>
      </c>
      <c r="C78" s="25">
        <f>Join_Audit!C89</f>
        <v>44589.744016203702</v>
      </c>
      <c r="D78" s="12">
        <f>Join_Audit!E89</f>
        <v>514</v>
      </c>
      <c r="E78" s="12">
        <f>Join_Audit!F89</f>
        <v>1356</v>
      </c>
      <c r="F78" s="12">
        <f>Join_Audit!G89</f>
        <v>0</v>
      </c>
      <c r="G78" s="12" t="str">
        <f>Join_Audit!I89</f>
        <v>CADC0873</v>
      </c>
      <c r="H78" s="12">
        <f>Join_Audit!J89</f>
        <v>-8.1215599999999998E-7</v>
      </c>
      <c r="I78" s="25">
        <f>Join_Audit!L89</f>
        <v>44589.743969907409</v>
      </c>
      <c r="J78" s="12">
        <f>Join_Audit!O89</f>
        <v>4</v>
      </c>
      <c r="K78" s="12">
        <f>INDEX(COMM_Beacons!$D$6:$D$66,AA78)</f>
        <v>119</v>
      </c>
      <c r="L78" s="25">
        <f>Join_Audit!R89</f>
        <v>44589.743750000001</v>
      </c>
      <c r="M78" s="12">
        <f>OMNI_Normalized!J15</f>
        <v>6.4</v>
      </c>
      <c r="N78" s="12">
        <f>OMNI_Normalized!K15</f>
        <v>-1.77</v>
      </c>
      <c r="O78" s="12">
        <f>OMNI_Normalized!L15</f>
        <v>420.7</v>
      </c>
      <c r="P78" s="12">
        <f>OMNI_Normalized!M15</f>
        <v>5.28</v>
      </c>
      <c r="Q78" s="12">
        <f>OMNI_Normalized!P15</f>
        <v>63</v>
      </c>
      <c r="R78" s="12">
        <f>OMNI_Normalized!Q15</f>
        <v>2</v>
      </c>
      <c r="S78" s="14">
        <f>Settings!$B$28</f>
        <v>100</v>
      </c>
      <c r="T78" s="14">
        <f>Settings!$B$29</f>
        <v>0.02</v>
      </c>
      <c r="U78" s="14">
        <f>Settings!$B$12</f>
        <v>300</v>
      </c>
      <c r="V78" s="14">
        <f>Settings!$B$25</f>
        <v>0.25</v>
      </c>
      <c r="W78" s="14">
        <f>Settings!$B$21</f>
        <v>4</v>
      </c>
      <c r="X78" s="14">
        <f>Settings!$B$24</f>
        <v>12</v>
      </c>
      <c r="Y78" s="12" t="str">
        <f>Join_Audit!S89</f>
        <v>ACCEPT</v>
      </c>
      <c r="Z78" s="12" t="s">
        <v>857</v>
      </c>
      <c r="AA78" s="34">
        <v>45</v>
      </c>
      <c r="AB78" s="34" t="str">
        <f>INDEX(COMM_Beacons!$E$6:$E$66,AA78)</f>
        <v>CRC32C_VERIFIED</v>
      </c>
      <c r="AC78" s="34">
        <f>INDEX(COMM_Beacons!$K$6:$K$66,$AA78)</f>
        <v>367</v>
      </c>
      <c r="AD78" s="34">
        <f>INDEX(COMM_Beacons!$L$6:$L$66,$AA78)</f>
        <v>368</v>
      </c>
      <c r="AE78" s="34">
        <f>INDEX(COMM_Beacons!$M$6:$M$66,$AA78)</f>
        <v>-83</v>
      </c>
      <c r="AF78" s="34">
        <f>INDEX(COMM_Beacons!$N$6:$N$66,$AA78)</f>
        <v>257</v>
      </c>
      <c r="AG78" s="34">
        <f>INDEX(COMM_Beacons!$O$6:$O$66,$AA78)</f>
        <v>33472</v>
      </c>
      <c r="AH78" s="34">
        <f>INDEX(COMM_Beacons!$P$6:$P$66,$AA78)</f>
        <v>11</v>
      </c>
      <c r="AI78" s="34">
        <f>INDEX(COMM_Beacons!$Q$6:$Q$66,$AA78)</f>
        <v>4391013</v>
      </c>
      <c r="AJ78" s="34">
        <f>INDEX(COMM_Beacons!$R$6:$R$66,$AA78)</f>
        <v>110</v>
      </c>
      <c r="AK78" s="34">
        <f>INDEX(COMM_Beacons!$S$6:$S$66,$AA78)</f>
        <v>2</v>
      </c>
      <c r="AL78" s="34">
        <f>INDEX(COMM_Beacons!$T$6:$T$66,$AA78)</f>
        <v>1126</v>
      </c>
      <c r="AM78" s="34">
        <f>INDEX(COMM_Beacons!$U$6:$U$66,$AA78)</f>
        <v>256</v>
      </c>
      <c r="AN78" s="34">
        <f>INDEX(COMM_Beacons!$V$6:$V$66,$AA78)</f>
        <v>1035520017</v>
      </c>
      <c r="AO78" s="34">
        <f>INDEX(COMM_Beacons!$W$6:$W$66,$AA78)</f>
        <v>-89</v>
      </c>
      <c r="AP78" s="34">
        <f>INDEX(COMM_Beacons!$X$6:$X$66,$AA78)</f>
        <v>1</v>
      </c>
      <c r="AQ78" s="34">
        <f>INDEX(COMM_Beacons!$Y$6:$Y$66,$AA78)</f>
        <v>17475788</v>
      </c>
      <c r="AR78" s="34">
        <f>INDEX(COMM_Beacons!$Z$6:$Z$66,$AA78)</f>
        <v>22035</v>
      </c>
      <c r="AS78" s="34">
        <f>INDEX(COMM_Beacons!$AA$6:$AA$66,$AA78)</f>
        <v>3048171258</v>
      </c>
      <c r="AT78" s="34">
        <f>INDEX(COMM_Beacons!$AB$6:$AB$66,$AA78)</f>
        <v>1105712</v>
      </c>
      <c r="AU78" s="36">
        <f>IF(AA78&lt;=1,"",INDEX(COMM_Counter_Deltas!$J$6:$J$65,AA78-1))</f>
        <v>9.4</v>
      </c>
      <c r="AV78" s="35">
        <f>IF(AA78&lt;=1,"",INDEX(COMM_Counter_Deltas!$B$6:$B$65,AA78-1))</f>
        <v>44589.743854166663</v>
      </c>
      <c r="AW78" s="35">
        <f>IF(AA78&lt;=1,"",INDEX(COMM_Counter_Deltas!$C$6:$C$65,AA78-1))</f>
        <v>44589.743969907409</v>
      </c>
      <c r="AX78" s="34" t="b">
        <v>1</v>
      </c>
      <c r="AY78" s="34">
        <v>4</v>
      </c>
      <c r="AZ78" s="34">
        <f>INDEX(OMNI_Normalized!$N$6:$N$18,MATCH(L78,OMNI_Normalized!$C$6:$C$18,0))</f>
        <v>44695</v>
      </c>
      <c r="BA78" s="37">
        <f>INDEX(OMNI_Normalized!$O$6:$O$18,MATCH(L78,OMNI_Normalized!$C$6:$C$18,0))</f>
        <v>1.87</v>
      </c>
      <c r="BB78" s="34">
        <f>INDEX(OMNI_Normalized!$H$6:$H$18,MATCH(L78,OMNI_Normalized!$C$6:$C$18,0))</f>
        <v>100</v>
      </c>
      <c r="BC78" s="34">
        <f>INDEX(OMNI_Normalized!$F$6:$F$18,MATCH(L78,OMNI_Normalized!$C$6:$C$18,0))</f>
        <v>51</v>
      </c>
      <c r="BD78" s="34">
        <f>INDEX(OMNI_Normalized!$G$6:$G$18,MATCH(L78,OMNI_Normalized!$C$6:$C$18,0))</f>
        <v>51</v>
      </c>
    </row>
    <row r="79" spans="1:56" ht="24" customHeight="1" x14ac:dyDescent="0.2">
      <c r="A79" s="7">
        <v>74</v>
      </c>
      <c r="B79" s="7">
        <v>85</v>
      </c>
      <c r="C79" s="25">
        <f>Join_Audit!C90</f>
        <v>44589.744074074071</v>
      </c>
      <c r="D79" s="12">
        <f>Join_Audit!E90</f>
        <v>519</v>
      </c>
      <c r="E79" s="12">
        <f>Join_Audit!F90</f>
        <v>1356</v>
      </c>
      <c r="F79" s="12">
        <f>Join_Audit!G90</f>
        <v>0</v>
      </c>
      <c r="G79" s="12" t="str">
        <f>Join_Audit!I90</f>
        <v>CADC0873</v>
      </c>
      <c r="H79" s="12">
        <f>Join_Audit!J90</f>
        <v>9.8520199999999996E-6</v>
      </c>
      <c r="I79" s="25">
        <f>Join_Audit!L90</f>
        <v>44589.743969907409</v>
      </c>
      <c r="J79" s="12">
        <f>Join_Audit!O90</f>
        <v>9</v>
      </c>
      <c r="K79" s="12">
        <f>INDEX(COMM_Beacons!$D$6:$D$66,AA79)</f>
        <v>119</v>
      </c>
      <c r="L79" s="25">
        <f>Join_Audit!R90</f>
        <v>44589.743750000001</v>
      </c>
      <c r="M79" s="12">
        <f>OMNI_Normalized!J15</f>
        <v>6.4</v>
      </c>
      <c r="N79" s="12">
        <f>OMNI_Normalized!K15</f>
        <v>-1.77</v>
      </c>
      <c r="O79" s="12">
        <f>OMNI_Normalized!L15</f>
        <v>420.7</v>
      </c>
      <c r="P79" s="12">
        <f>OMNI_Normalized!M15</f>
        <v>5.28</v>
      </c>
      <c r="Q79" s="12">
        <f>OMNI_Normalized!P15</f>
        <v>63</v>
      </c>
      <c r="R79" s="12">
        <f>OMNI_Normalized!Q15</f>
        <v>2</v>
      </c>
      <c r="S79" s="14">
        <f>Settings!$B$28</f>
        <v>100</v>
      </c>
      <c r="T79" s="14">
        <f>Settings!$B$29</f>
        <v>0.02</v>
      </c>
      <c r="U79" s="14">
        <f>Settings!$B$12</f>
        <v>300</v>
      </c>
      <c r="V79" s="14">
        <f>Settings!$B$25</f>
        <v>0.25</v>
      </c>
      <c r="W79" s="14">
        <f>Settings!$B$21</f>
        <v>4</v>
      </c>
      <c r="X79" s="14">
        <f>Settings!$B$24</f>
        <v>12</v>
      </c>
      <c r="Y79" s="12" t="str">
        <f>Join_Audit!S90</f>
        <v>ACCEPT</v>
      </c>
      <c r="Z79" s="12" t="s">
        <v>857</v>
      </c>
      <c r="AA79" s="34">
        <v>45</v>
      </c>
      <c r="AB79" s="34" t="str">
        <f>INDEX(COMM_Beacons!$E$6:$E$66,AA79)</f>
        <v>CRC32C_VERIFIED</v>
      </c>
      <c r="AC79" s="34">
        <f>INDEX(COMM_Beacons!$K$6:$K$66,$AA79)</f>
        <v>367</v>
      </c>
      <c r="AD79" s="34">
        <f>INDEX(COMM_Beacons!$L$6:$L$66,$AA79)</f>
        <v>368</v>
      </c>
      <c r="AE79" s="34">
        <f>INDEX(COMM_Beacons!$M$6:$M$66,$AA79)</f>
        <v>-83</v>
      </c>
      <c r="AF79" s="34">
        <f>INDEX(COMM_Beacons!$N$6:$N$66,$AA79)</f>
        <v>257</v>
      </c>
      <c r="AG79" s="34">
        <f>INDEX(COMM_Beacons!$O$6:$O$66,$AA79)</f>
        <v>33472</v>
      </c>
      <c r="AH79" s="34">
        <f>INDEX(COMM_Beacons!$P$6:$P$66,$AA79)</f>
        <v>11</v>
      </c>
      <c r="AI79" s="34">
        <f>INDEX(COMM_Beacons!$Q$6:$Q$66,$AA79)</f>
        <v>4391013</v>
      </c>
      <c r="AJ79" s="34">
        <f>INDEX(COMM_Beacons!$R$6:$R$66,$AA79)</f>
        <v>110</v>
      </c>
      <c r="AK79" s="34">
        <f>INDEX(COMM_Beacons!$S$6:$S$66,$AA79)</f>
        <v>2</v>
      </c>
      <c r="AL79" s="34">
        <f>INDEX(COMM_Beacons!$T$6:$T$66,$AA79)</f>
        <v>1126</v>
      </c>
      <c r="AM79" s="34">
        <f>INDEX(COMM_Beacons!$U$6:$U$66,$AA79)</f>
        <v>256</v>
      </c>
      <c r="AN79" s="34">
        <f>INDEX(COMM_Beacons!$V$6:$V$66,$AA79)</f>
        <v>1035520017</v>
      </c>
      <c r="AO79" s="34">
        <f>INDEX(COMM_Beacons!$W$6:$W$66,$AA79)</f>
        <v>-89</v>
      </c>
      <c r="AP79" s="34">
        <f>INDEX(COMM_Beacons!$X$6:$X$66,$AA79)</f>
        <v>1</v>
      </c>
      <c r="AQ79" s="34">
        <f>INDEX(COMM_Beacons!$Y$6:$Y$66,$AA79)</f>
        <v>17475788</v>
      </c>
      <c r="AR79" s="34">
        <f>INDEX(COMM_Beacons!$Z$6:$Z$66,$AA79)</f>
        <v>22035</v>
      </c>
      <c r="AS79" s="34">
        <f>INDEX(COMM_Beacons!$AA$6:$AA$66,$AA79)</f>
        <v>3048171258</v>
      </c>
      <c r="AT79" s="34">
        <f>INDEX(COMM_Beacons!$AB$6:$AB$66,$AA79)</f>
        <v>1105712</v>
      </c>
      <c r="AU79" s="36">
        <f>IF(AA79&lt;=1,"",INDEX(COMM_Counter_Deltas!$J$6:$J$65,AA79-1))</f>
        <v>9.4</v>
      </c>
      <c r="AV79" s="35">
        <f>IF(AA79&lt;=1,"",INDEX(COMM_Counter_Deltas!$B$6:$B$65,AA79-1))</f>
        <v>44589.743854166663</v>
      </c>
      <c r="AW79" s="35">
        <f>IF(AA79&lt;=1,"",INDEX(COMM_Counter_Deltas!$C$6:$C$65,AA79-1))</f>
        <v>44589.743969907409</v>
      </c>
      <c r="AX79" s="34" t="b">
        <v>1</v>
      </c>
      <c r="AY79" s="34">
        <v>9</v>
      </c>
      <c r="AZ79" s="34">
        <f>INDEX(OMNI_Normalized!$N$6:$N$18,MATCH(L79,OMNI_Normalized!$C$6:$C$18,0))</f>
        <v>44695</v>
      </c>
      <c r="BA79" s="37">
        <f>INDEX(OMNI_Normalized!$O$6:$O$18,MATCH(L79,OMNI_Normalized!$C$6:$C$18,0))</f>
        <v>1.87</v>
      </c>
      <c r="BB79" s="34">
        <f>INDEX(OMNI_Normalized!$H$6:$H$18,MATCH(L79,OMNI_Normalized!$C$6:$C$18,0))</f>
        <v>100</v>
      </c>
      <c r="BC79" s="34">
        <f>INDEX(OMNI_Normalized!$F$6:$F$18,MATCH(L79,OMNI_Normalized!$C$6:$C$18,0))</f>
        <v>51</v>
      </c>
      <c r="BD79" s="34">
        <f>INDEX(OMNI_Normalized!$G$6:$G$18,MATCH(L79,OMNI_Normalized!$C$6:$C$18,0))</f>
        <v>51</v>
      </c>
    </row>
    <row r="80" spans="1:56" ht="24" customHeight="1" x14ac:dyDescent="0.2">
      <c r="A80" s="7">
        <v>75</v>
      </c>
      <c r="B80" s="7">
        <v>86</v>
      </c>
      <c r="C80" s="25">
        <f>Join_Audit!C91</f>
        <v>44589.744131944448</v>
      </c>
      <c r="D80" s="12">
        <f>Join_Audit!E91</f>
        <v>524</v>
      </c>
      <c r="E80" s="12">
        <f>Join_Audit!F91</f>
        <v>1356</v>
      </c>
      <c r="F80" s="12">
        <f>Join_Audit!G91</f>
        <v>0</v>
      </c>
      <c r="G80" s="12" t="str">
        <f>Join_Audit!I91</f>
        <v>CADC0873</v>
      </c>
      <c r="H80" s="12">
        <f>Join_Audit!J91</f>
        <v>1.7787100000000001E-5</v>
      </c>
      <c r="I80" s="25">
        <f>Join_Audit!L91</f>
        <v>44589.744085648148</v>
      </c>
      <c r="J80" s="12">
        <f>Join_Audit!O91</f>
        <v>4</v>
      </c>
      <c r="K80" s="12">
        <f>INDEX(COMM_Beacons!$D$6:$D$66,AA80)</f>
        <v>118</v>
      </c>
      <c r="L80" s="25">
        <f>Join_Audit!R91</f>
        <v>44589.743750000001</v>
      </c>
      <c r="M80" s="12">
        <f>OMNI_Normalized!J15</f>
        <v>6.4</v>
      </c>
      <c r="N80" s="12">
        <f>OMNI_Normalized!K15</f>
        <v>-1.77</v>
      </c>
      <c r="O80" s="12">
        <f>OMNI_Normalized!L15</f>
        <v>420.7</v>
      </c>
      <c r="P80" s="12">
        <f>OMNI_Normalized!M15</f>
        <v>5.28</v>
      </c>
      <c r="Q80" s="12">
        <f>OMNI_Normalized!P15</f>
        <v>63</v>
      </c>
      <c r="R80" s="12">
        <f>OMNI_Normalized!Q15</f>
        <v>2</v>
      </c>
      <c r="S80" s="14">
        <f>Settings!$B$28</f>
        <v>100</v>
      </c>
      <c r="T80" s="14">
        <f>Settings!$B$29</f>
        <v>0.02</v>
      </c>
      <c r="U80" s="14">
        <f>Settings!$B$12</f>
        <v>300</v>
      </c>
      <c r="V80" s="14">
        <f>Settings!$B$25</f>
        <v>0.25</v>
      </c>
      <c r="W80" s="14">
        <f>Settings!$B$21</f>
        <v>4</v>
      </c>
      <c r="X80" s="14">
        <f>Settings!$B$24</f>
        <v>12</v>
      </c>
      <c r="Y80" s="12" t="str">
        <f>Join_Audit!S91</f>
        <v>ACCEPT</v>
      </c>
      <c r="Z80" s="12" t="s">
        <v>857</v>
      </c>
      <c r="AA80" s="34">
        <v>46</v>
      </c>
      <c r="AB80" s="34" t="str">
        <f>INDEX(COMM_Beacons!$E$6:$E$66,AA80)</f>
        <v>CRC32C_VERIFIED</v>
      </c>
      <c r="AC80" s="34">
        <f>INDEX(COMM_Beacons!$K$6:$K$66,$AA80)</f>
        <v>367</v>
      </c>
      <c r="AD80" s="34">
        <f>INDEX(COMM_Beacons!$L$6:$L$66,$AA80)</f>
        <v>368</v>
      </c>
      <c r="AE80" s="34">
        <f>INDEX(COMM_Beacons!$M$6:$M$66,$AA80)</f>
        <v>-83</v>
      </c>
      <c r="AF80" s="34">
        <f>INDEX(COMM_Beacons!$N$6:$N$66,$AA80)</f>
        <v>257</v>
      </c>
      <c r="AG80" s="34">
        <f>INDEX(COMM_Beacons!$O$6:$O$66,$AA80)</f>
        <v>33473</v>
      </c>
      <c r="AH80" s="34">
        <f>INDEX(COMM_Beacons!$P$6:$P$66,$AA80)</f>
        <v>11</v>
      </c>
      <c r="AI80" s="34">
        <f>INDEX(COMM_Beacons!$Q$6:$Q$66,$AA80)</f>
        <v>4391107</v>
      </c>
      <c r="AJ80" s="34">
        <f>INDEX(COMM_Beacons!$R$6:$R$66,$AA80)</f>
        <v>110</v>
      </c>
      <c r="AK80" s="34">
        <f>INDEX(COMM_Beacons!$S$6:$S$66,$AA80)</f>
        <v>2</v>
      </c>
      <c r="AL80" s="34">
        <f>INDEX(COMM_Beacons!$T$6:$T$66,$AA80)</f>
        <v>1126</v>
      </c>
      <c r="AM80" s="34">
        <f>INDEX(COMM_Beacons!$U$6:$U$66,$AA80)</f>
        <v>256</v>
      </c>
      <c r="AN80" s="34">
        <f>INDEX(COMM_Beacons!$V$6:$V$66,$AA80)</f>
        <v>1035520017</v>
      </c>
      <c r="AO80" s="34">
        <f>INDEX(COMM_Beacons!$W$6:$W$66,$AA80)</f>
        <v>-109</v>
      </c>
      <c r="AP80" s="34">
        <f>INDEX(COMM_Beacons!$X$6:$X$66,$AA80)</f>
        <v>1</v>
      </c>
      <c r="AQ80" s="34">
        <f>INDEX(COMM_Beacons!$Y$6:$Y$66,$AA80)</f>
        <v>17475789</v>
      </c>
      <c r="AR80" s="34">
        <f>INDEX(COMM_Beacons!$Z$6:$Z$66,$AA80)</f>
        <v>22035</v>
      </c>
      <c r="AS80" s="34">
        <f>INDEX(COMM_Beacons!$AA$6:$AA$66,$AA80)</f>
        <v>3048171352</v>
      </c>
      <c r="AT80" s="34">
        <f>INDEX(COMM_Beacons!$AB$6:$AB$66,$AA80)</f>
        <v>1105712</v>
      </c>
      <c r="AU80" s="36">
        <f>IF(AA80&lt;=1,"",INDEX(COMM_Counter_Deltas!$J$6:$J$65,AA80-1))</f>
        <v>9.4</v>
      </c>
      <c r="AV80" s="35">
        <f>IF(AA80&lt;=1,"",INDEX(COMM_Counter_Deltas!$B$6:$B$65,AA80-1))</f>
        <v>44589.743969907409</v>
      </c>
      <c r="AW80" s="35">
        <f>IF(AA80&lt;=1,"",INDEX(COMM_Counter_Deltas!$C$6:$C$65,AA80-1))</f>
        <v>44589.744085648148</v>
      </c>
      <c r="AX80" s="34" t="b">
        <v>1</v>
      </c>
      <c r="AY80" s="34">
        <v>4</v>
      </c>
      <c r="AZ80" s="34">
        <f>INDEX(OMNI_Normalized!$N$6:$N$18,MATCH(L80,OMNI_Normalized!$C$6:$C$18,0))</f>
        <v>44695</v>
      </c>
      <c r="BA80" s="37">
        <f>INDEX(OMNI_Normalized!$O$6:$O$18,MATCH(L80,OMNI_Normalized!$C$6:$C$18,0))</f>
        <v>1.87</v>
      </c>
      <c r="BB80" s="34">
        <f>INDEX(OMNI_Normalized!$H$6:$H$18,MATCH(L80,OMNI_Normalized!$C$6:$C$18,0))</f>
        <v>100</v>
      </c>
      <c r="BC80" s="34">
        <f>INDEX(OMNI_Normalized!$F$6:$F$18,MATCH(L80,OMNI_Normalized!$C$6:$C$18,0))</f>
        <v>51</v>
      </c>
      <c r="BD80" s="34">
        <f>INDEX(OMNI_Normalized!$G$6:$G$18,MATCH(L80,OMNI_Normalized!$C$6:$C$18,0))</f>
        <v>51</v>
      </c>
    </row>
    <row r="81" spans="1:56" ht="24" customHeight="1" x14ac:dyDescent="0.2">
      <c r="A81" s="7">
        <v>76</v>
      </c>
      <c r="B81" s="7">
        <v>87</v>
      </c>
      <c r="C81" s="25">
        <f>Join_Audit!C92</f>
        <v>44589.744189814817</v>
      </c>
      <c r="D81" s="12">
        <f>Join_Audit!E92</f>
        <v>529</v>
      </c>
      <c r="E81" s="12">
        <f>Join_Audit!F92</f>
        <v>1356</v>
      </c>
      <c r="F81" s="12">
        <f>Join_Audit!G92</f>
        <v>0</v>
      </c>
      <c r="G81" s="12" t="str">
        <f>Join_Audit!I92</f>
        <v>CADC0873</v>
      </c>
      <c r="H81" s="12">
        <f>Join_Audit!J92</f>
        <v>2.4209599999999999E-5</v>
      </c>
      <c r="I81" s="25">
        <f>Join_Audit!L92</f>
        <v>44589.744085648148</v>
      </c>
      <c r="J81" s="12">
        <f>Join_Audit!O92</f>
        <v>9</v>
      </c>
      <c r="K81" s="12">
        <f>INDEX(COMM_Beacons!$D$6:$D$66,AA81)</f>
        <v>118</v>
      </c>
      <c r="L81" s="25">
        <f>Join_Audit!R92</f>
        <v>44589.743750000001</v>
      </c>
      <c r="M81" s="12">
        <f>OMNI_Normalized!J15</f>
        <v>6.4</v>
      </c>
      <c r="N81" s="12">
        <f>OMNI_Normalized!K15</f>
        <v>-1.77</v>
      </c>
      <c r="O81" s="12">
        <f>OMNI_Normalized!L15</f>
        <v>420.7</v>
      </c>
      <c r="P81" s="12">
        <f>OMNI_Normalized!M15</f>
        <v>5.28</v>
      </c>
      <c r="Q81" s="12">
        <f>OMNI_Normalized!P15</f>
        <v>63</v>
      </c>
      <c r="R81" s="12">
        <f>OMNI_Normalized!Q15</f>
        <v>2</v>
      </c>
      <c r="S81" s="14">
        <f>Settings!$B$28</f>
        <v>100</v>
      </c>
      <c r="T81" s="14">
        <f>Settings!$B$29</f>
        <v>0.02</v>
      </c>
      <c r="U81" s="14">
        <f>Settings!$B$12</f>
        <v>300</v>
      </c>
      <c r="V81" s="14">
        <f>Settings!$B$25</f>
        <v>0.25</v>
      </c>
      <c r="W81" s="14">
        <f>Settings!$B$21</f>
        <v>4</v>
      </c>
      <c r="X81" s="14">
        <f>Settings!$B$24</f>
        <v>12</v>
      </c>
      <c r="Y81" s="12" t="str">
        <f>Join_Audit!S92</f>
        <v>ACCEPT</v>
      </c>
      <c r="Z81" s="12" t="s">
        <v>857</v>
      </c>
      <c r="AA81" s="34">
        <v>46</v>
      </c>
      <c r="AB81" s="34" t="str">
        <f>INDEX(COMM_Beacons!$E$6:$E$66,AA81)</f>
        <v>CRC32C_VERIFIED</v>
      </c>
      <c r="AC81" s="34">
        <f>INDEX(COMM_Beacons!$K$6:$K$66,$AA81)</f>
        <v>367</v>
      </c>
      <c r="AD81" s="34">
        <f>INDEX(COMM_Beacons!$L$6:$L$66,$AA81)</f>
        <v>368</v>
      </c>
      <c r="AE81" s="34">
        <f>INDEX(COMM_Beacons!$M$6:$M$66,$AA81)</f>
        <v>-83</v>
      </c>
      <c r="AF81" s="34">
        <f>INDEX(COMM_Beacons!$N$6:$N$66,$AA81)</f>
        <v>257</v>
      </c>
      <c r="AG81" s="34">
        <f>INDEX(COMM_Beacons!$O$6:$O$66,$AA81)</f>
        <v>33473</v>
      </c>
      <c r="AH81" s="34">
        <f>INDEX(COMM_Beacons!$P$6:$P$66,$AA81)</f>
        <v>11</v>
      </c>
      <c r="AI81" s="34">
        <f>INDEX(COMM_Beacons!$Q$6:$Q$66,$AA81)</f>
        <v>4391107</v>
      </c>
      <c r="AJ81" s="34">
        <f>INDEX(COMM_Beacons!$R$6:$R$66,$AA81)</f>
        <v>110</v>
      </c>
      <c r="AK81" s="34">
        <f>INDEX(COMM_Beacons!$S$6:$S$66,$AA81)</f>
        <v>2</v>
      </c>
      <c r="AL81" s="34">
        <f>INDEX(COMM_Beacons!$T$6:$T$66,$AA81)</f>
        <v>1126</v>
      </c>
      <c r="AM81" s="34">
        <f>INDEX(COMM_Beacons!$U$6:$U$66,$AA81)</f>
        <v>256</v>
      </c>
      <c r="AN81" s="34">
        <f>INDEX(COMM_Beacons!$V$6:$V$66,$AA81)</f>
        <v>1035520017</v>
      </c>
      <c r="AO81" s="34">
        <f>INDEX(COMM_Beacons!$W$6:$W$66,$AA81)</f>
        <v>-109</v>
      </c>
      <c r="AP81" s="34">
        <f>INDEX(COMM_Beacons!$X$6:$X$66,$AA81)</f>
        <v>1</v>
      </c>
      <c r="AQ81" s="34">
        <f>INDEX(COMM_Beacons!$Y$6:$Y$66,$AA81)</f>
        <v>17475789</v>
      </c>
      <c r="AR81" s="34">
        <f>INDEX(COMM_Beacons!$Z$6:$Z$66,$AA81)</f>
        <v>22035</v>
      </c>
      <c r="AS81" s="34">
        <f>INDEX(COMM_Beacons!$AA$6:$AA$66,$AA81)</f>
        <v>3048171352</v>
      </c>
      <c r="AT81" s="34">
        <f>INDEX(COMM_Beacons!$AB$6:$AB$66,$AA81)</f>
        <v>1105712</v>
      </c>
      <c r="AU81" s="36">
        <f>IF(AA81&lt;=1,"",INDEX(COMM_Counter_Deltas!$J$6:$J$65,AA81-1))</f>
        <v>9.4</v>
      </c>
      <c r="AV81" s="35">
        <f>IF(AA81&lt;=1,"",INDEX(COMM_Counter_Deltas!$B$6:$B$65,AA81-1))</f>
        <v>44589.743969907409</v>
      </c>
      <c r="AW81" s="35">
        <f>IF(AA81&lt;=1,"",INDEX(COMM_Counter_Deltas!$C$6:$C$65,AA81-1))</f>
        <v>44589.744085648148</v>
      </c>
      <c r="AX81" s="34" t="b">
        <v>1</v>
      </c>
      <c r="AY81" s="34">
        <v>9</v>
      </c>
      <c r="AZ81" s="34">
        <f>INDEX(OMNI_Normalized!$N$6:$N$18,MATCH(L81,OMNI_Normalized!$C$6:$C$18,0))</f>
        <v>44695</v>
      </c>
      <c r="BA81" s="37">
        <f>INDEX(OMNI_Normalized!$O$6:$O$18,MATCH(L81,OMNI_Normalized!$C$6:$C$18,0))</f>
        <v>1.87</v>
      </c>
      <c r="BB81" s="34">
        <f>INDEX(OMNI_Normalized!$H$6:$H$18,MATCH(L81,OMNI_Normalized!$C$6:$C$18,0))</f>
        <v>100</v>
      </c>
      <c r="BC81" s="34">
        <f>INDEX(OMNI_Normalized!$F$6:$F$18,MATCH(L81,OMNI_Normalized!$C$6:$C$18,0))</f>
        <v>51</v>
      </c>
      <c r="BD81" s="34">
        <f>INDEX(OMNI_Normalized!$G$6:$G$18,MATCH(L81,OMNI_Normalized!$C$6:$C$18,0))</f>
        <v>51</v>
      </c>
    </row>
    <row r="82" spans="1:56" ht="24" customHeight="1" x14ac:dyDescent="0.2">
      <c r="A82" s="7">
        <v>77</v>
      </c>
      <c r="B82" s="7">
        <v>88</v>
      </c>
      <c r="C82" s="25">
        <f>Join_Audit!C93</f>
        <v>44589.744247685187</v>
      </c>
      <c r="D82" s="12">
        <f>Join_Audit!E93</f>
        <v>534</v>
      </c>
      <c r="E82" s="12">
        <f>Join_Audit!F93</f>
        <v>1356</v>
      </c>
      <c r="F82" s="12">
        <f>Join_Audit!G93</f>
        <v>0</v>
      </c>
      <c r="G82" s="12" t="str">
        <f>Join_Audit!I93</f>
        <v>CADC0873</v>
      </c>
      <c r="H82" s="12">
        <f>Join_Audit!J93</f>
        <v>2.9748699999999999E-5</v>
      </c>
      <c r="I82" s="25">
        <f>Join_Audit!L93</f>
        <v>44589.744201388887</v>
      </c>
      <c r="J82" s="12">
        <f>Join_Audit!O93</f>
        <v>4</v>
      </c>
      <c r="K82" s="12">
        <f>INDEX(COMM_Beacons!$D$6:$D$66,AA82)</f>
        <v>117</v>
      </c>
      <c r="L82" s="25">
        <f>Join_Audit!R93</f>
        <v>44589.743750000001</v>
      </c>
      <c r="M82" s="12">
        <f>OMNI_Normalized!J15</f>
        <v>6.4</v>
      </c>
      <c r="N82" s="12">
        <f>OMNI_Normalized!K15</f>
        <v>-1.77</v>
      </c>
      <c r="O82" s="12">
        <f>OMNI_Normalized!L15</f>
        <v>420.7</v>
      </c>
      <c r="P82" s="12">
        <f>OMNI_Normalized!M15</f>
        <v>5.28</v>
      </c>
      <c r="Q82" s="12">
        <f>OMNI_Normalized!P15</f>
        <v>63</v>
      </c>
      <c r="R82" s="12">
        <f>OMNI_Normalized!Q15</f>
        <v>2</v>
      </c>
      <c r="S82" s="14">
        <f>Settings!$B$28</f>
        <v>100</v>
      </c>
      <c r="T82" s="14">
        <f>Settings!$B$29</f>
        <v>0.02</v>
      </c>
      <c r="U82" s="14">
        <f>Settings!$B$12</f>
        <v>300</v>
      </c>
      <c r="V82" s="14">
        <f>Settings!$B$25</f>
        <v>0.25</v>
      </c>
      <c r="W82" s="14">
        <f>Settings!$B$21</f>
        <v>4</v>
      </c>
      <c r="X82" s="14">
        <f>Settings!$B$24</f>
        <v>12</v>
      </c>
      <c r="Y82" s="12" t="str">
        <f>Join_Audit!S93</f>
        <v>ACCEPT</v>
      </c>
      <c r="Z82" s="12" t="s">
        <v>857</v>
      </c>
      <c r="AA82" s="34">
        <v>47</v>
      </c>
      <c r="AB82" s="34" t="str">
        <f>INDEX(COMM_Beacons!$E$6:$E$66,AA82)</f>
        <v>CRC32C_VERIFIED</v>
      </c>
      <c r="AC82" s="34">
        <f>INDEX(COMM_Beacons!$K$6:$K$66,$AA82)</f>
        <v>367</v>
      </c>
      <c r="AD82" s="34">
        <f>INDEX(COMM_Beacons!$L$6:$L$66,$AA82)</f>
        <v>368</v>
      </c>
      <c r="AE82" s="34">
        <f>INDEX(COMM_Beacons!$M$6:$M$66,$AA82)</f>
        <v>-83</v>
      </c>
      <c r="AF82" s="34">
        <f>INDEX(COMM_Beacons!$N$6:$N$66,$AA82)</f>
        <v>257</v>
      </c>
      <c r="AG82" s="34">
        <f>INDEX(COMM_Beacons!$O$6:$O$66,$AA82)</f>
        <v>33474</v>
      </c>
      <c r="AH82" s="34">
        <f>INDEX(COMM_Beacons!$P$6:$P$66,$AA82)</f>
        <v>11</v>
      </c>
      <c r="AI82" s="34">
        <f>INDEX(COMM_Beacons!$Q$6:$Q$66,$AA82)</f>
        <v>4391201</v>
      </c>
      <c r="AJ82" s="34">
        <f>INDEX(COMM_Beacons!$R$6:$R$66,$AA82)</f>
        <v>110</v>
      </c>
      <c r="AK82" s="34">
        <f>INDEX(COMM_Beacons!$S$6:$S$66,$AA82)</f>
        <v>2</v>
      </c>
      <c r="AL82" s="34">
        <f>INDEX(COMM_Beacons!$T$6:$T$66,$AA82)</f>
        <v>1126</v>
      </c>
      <c r="AM82" s="34">
        <f>INDEX(COMM_Beacons!$U$6:$U$66,$AA82)</f>
        <v>256</v>
      </c>
      <c r="AN82" s="34">
        <f>INDEX(COMM_Beacons!$V$6:$V$66,$AA82)</f>
        <v>1035520017</v>
      </c>
      <c r="AO82" s="34">
        <f>INDEX(COMM_Beacons!$W$6:$W$66,$AA82)</f>
        <v>-91</v>
      </c>
      <c r="AP82" s="34">
        <f>INDEX(COMM_Beacons!$X$6:$X$66,$AA82)</f>
        <v>1</v>
      </c>
      <c r="AQ82" s="34">
        <f>INDEX(COMM_Beacons!$Y$6:$Y$66,$AA82)</f>
        <v>17475790</v>
      </c>
      <c r="AR82" s="34">
        <f>INDEX(COMM_Beacons!$Z$6:$Z$66,$AA82)</f>
        <v>22035</v>
      </c>
      <c r="AS82" s="34">
        <f>INDEX(COMM_Beacons!$AA$6:$AA$66,$AA82)</f>
        <v>3048171446</v>
      </c>
      <c r="AT82" s="34">
        <f>INDEX(COMM_Beacons!$AB$6:$AB$66,$AA82)</f>
        <v>1105712</v>
      </c>
      <c r="AU82" s="36">
        <f>IF(AA82&lt;=1,"",INDEX(COMM_Counter_Deltas!$J$6:$J$65,AA82-1))</f>
        <v>9.4</v>
      </c>
      <c r="AV82" s="35">
        <f>IF(AA82&lt;=1,"",INDEX(COMM_Counter_Deltas!$B$6:$B$65,AA82-1))</f>
        <v>44589.744085648148</v>
      </c>
      <c r="AW82" s="35">
        <f>IF(AA82&lt;=1,"",INDEX(COMM_Counter_Deltas!$C$6:$C$65,AA82-1))</f>
        <v>44589.744201388887</v>
      </c>
      <c r="AX82" s="34" t="b">
        <v>1</v>
      </c>
      <c r="AY82" s="34">
        <v>4</v>
      </c>
      <c r="AZ82" s="34">
        <f>INDEX(OMNI_Normalized!$N$6:$N$18,MATCH(L82,OMNI_Normalized!$C$6:$C$18,0))</f>
        <v>44695</v>
      </c>
      <c r="BA82" s="37">
        <f>INDEX(OMNI_Normalized!$O$6:$O$18,MATCH(L82,OMNI_Normalized!$C$6:$C$18,0))</f>
        <v>1.87</v>
      </c>
      <c r="BB82" s="34">
        <f>INDEX(OMNI_Normalized!$H$6:$H$18,MATCH(L82,OMNI_Normalized!$C$6:$C$18,0))</f>
        <v>100</v>
      </c>
      <c r="BC82" s="34">
        <f>INDEX(OMNI_Normalized!$F$6:$F$18,MATCH(L82,OMNI_Normalized!$C$6:$C$18,0))</f>
        <v>51</v>
      </c>
      <c r="BD82" s="34">
        <f>INDEX(OMNI_Normalized!$G$6:$G$18,MATCH(L82,OMNI_Normalized!$C$6:$C$18,0))</f>
        <v>51</v>
      </c>
    </row>
    <row r="83" spans="1:56" ht="24" customHeight="1" x14ac:dyDescent="0.2">
      <c r="A83" s="7">
        <v>78</v>
      </c>
      <c r="B83" s="7">
        <v>89</v>
      </c>
      <c r="C83" s="25">
        <f>Join_Audit!C94</f>
        <v>44589.744305555563</v>
      </c>
      <c r="D83" s="12">
        <f>Join_Audit!E94</f>
        <v>539</v>
      </c>
      <c r="E83" s="12">
        <f>Join_Audit!F94</f>
        <v>1356</v>
      </c>
      <c r="F83" s="12">
        <f>Join_Audit!G94</f>
        <v>0</v>
      </c>
      <c r="G83" s="12" t="str">
        <f>Join_Audit!I94</f>
        <v>CADC0873</v>
      </c>
      <c r="H83" s="12">
        <f>Join_Audit!J94</f>
        <v>3.2350300000000001E-5</v>
      </c>
      <c r="I83" s="25">
        <f>Join_Audit!L94</f>
        <v>44589.744201388887</v>
      </c>
      <c r="J83" s="12">
        <f>Join_Audit!O94</f>
        <v>9</v>
      </c>
      <c r="K83" s="12">
        <f>INDEX(COMM_Beacons!$D$6:$D$66,AA83)</f>
        <v>117</v>
      </c>
      <c r="L83" s="25">
        <f>Join_Audit!R94</f>
        <v>44589.743750000001</v>
      </c>
      <c r="M83" s="12">
        <f>OMNI_Normalized!J15</f>
        <v>6.4</v>
      </c>
      <c r="N83" s="12">
        <f>OMNI_Normalized!K15</f>
        <v>-1.77</v>
      </c>
      <c r="O83" s="12">
        <f>OMNI_Normalized!L15</f>
        <v>420.7</v>
      </c>
      <c r="P83" s="12">
        <f>OMNI_Normalized!M15</f>
        <v>5.28</v>
      </c>
      <c r="Q83" s="12">
        <f>OMNI_Normalized!P15</f>
        <v>63</v>
      </c>
      <c r="R83" s="12">
        <f>OMNI_Normalized!Q15</f>
        <v>2</v>
      </c>
      <c r="S83" s="14">
        <f>Settings!$B$28</f>
        <v>100</v>
      </c>
      <c r="T83" s="14">
        <f>Settings!$B$29</f>
        <v>0.02</v>
      </c>
      <c r="U83" s="14">
        <f>Settings!$B$12</f>
        <v>300</v>
      </c>
      <c r="V83" s="14">
        <f>Settings!$B$25</f>
        <v>0.25</v>
      </c>
      <c r="W83" s="14">
        <f>Settings!$B$21</f>
        <v>4</v>
      </c>
      <c r="X83" s="14">
        <f>Settings!$B$24</f>
        <v>12</v>
      </c>
      <c r="Y83" s="12" t="str">
        <f>Join_Audit!S94</f>
        <v>ACCEPT</v>
      </c>
      <c r="Z83" s="12" t="s">
        <v>857</v>
      </c>
      <c r="AA83" s="34">
        <v>47</v>
      </c>
      <c r="AB83" s="34" t="str">
        <f>INDEX(COMM_Beacons!$E$6:$E$66,AA83)</f>
        <v>CRC32C_VERIFIED</v>
      </c>
      <c r="AC83" s="34">
        <f>INDEX(COMM_Beacons!$K$6:$K$66,$AA83)</f>
        <v>367</v>
      </c>
      <c r="AD83" s="34">
        <f>INDEX(COMM_Beacons!$L$6:$L$66,$AA83)</f>
        <v>368</v>
      </c>
      <c r="AE83" s="34">
        <f>INDEX(COMM_Beacons!$M$6:$M$66,$AA83)</f>
        <v>-83</v>
      </c>
      <c r="AF83" s="34">
        <f>INDEX(COMM_Beacons!$N$6:$N$66,$AA83)</f>
        <v>257</v>
      </c>
      <c r="AG83" s="34">
        <f>INDEX(COMM_Beacons!$O$6:$O$66,$AA83)</f>
        <v>33474</v>
      </c>
      <c r="AH83" s="34">
        <f>INDEX(COMM_Beacons!$P$6:$P$66,$AA83)</f>
        <v>11</v>
      </c>
      <c r="AI83" s="34">
        <f>INDEX(COMM_Beacons!$Q$6:$Q$66,$AA83)</f>
        <v>4391201</v>
      </c>
      <c r="AJ83" s="34">
        <f>INDEX(COMM_Beacons!$R$6:$R$66,$AA83)</f>
        <v>110</v>
      </c>
      <c r="AK83" s="34">
        <f>INDEX(COMM_Beacons!$S$6:$S$66,$AA83)</f>
        <v>2</v>
      </c>
      <c r="AL83" s="34">
        <f>INDEX(COMM_Beacons!$T$6:$T$66,$AA83)</f>
        <v>1126</v>
      </c>
      <c r="AM83" s="34">
        <f>INDEX(COMM_Beacons!$U$6:$U$66,$AA83)</f>
        <v>256</v>
      </c>
      <c r="AN83" s="34">
        <f>INDEX(COMM_Beacons!$V$6:$V$66,$AA83)</f>
        <v>1035520017</v>
      </c>
      <c r="AO83" s="34">
        <f>INDEX(COMM_Beacons!$W$6:$W$66,$AA83)</f>
        <v>-91</v>
      </c>
      <c r="AP83" s="34">
        <f>INDEX(COMM_Beacons!$X$6:$X$66,$AA83)</f>
        <v>1</v>
      </c>
      <c r="AQ83" s="34">
        <f>INDEX(COMM_Beacons!$Y$6:$Y$66,$AA83)</f>
        <v>17475790</v>
      </c>
      <c r="AR83" s="34">
        <f>INDEX(COMM_Beacons!$Z$6:$Z$66,$AA83)</f>
        <v>22035</v>
      </c>
      <c r="AS83" s="34">
        <f>INDEX(COMM_Beacons!$AA$6:$AA$66,$AA83)</f>
        <v>3048171446</v>
      </c>
      <c r="AT83" s="34">
        <f>INDEX(COMM_Beacons!$AB$6:$AB$66,$AA83)</f>
        <v>1105712</v>
      </c>
      <c r="AU83" s="36">
        <f>IF(AA83&lt;=1,"",INDEX(COMM_Counter_Deltas!$J$6:$J$65,AA83-1))</f>
        <v>9.4</v>
      </c>
      <c r="AV83" s="35">
        <f>IF(AA83&lt;=1,"",INDEX(COMM_Counter_Deltas!$B$6:$B$65,AA83-1))</f>
        <v>44589.744085648148</v>
      </c>
      <c r="AW83" s="35">
        <f>IF(AA83&lt;=1,"",INDEX(COMM_Counter_Deltas!$C$6:$C$65,AA83-1))</f>
        <v>44589.744201388887</v>
      </c>
      <c r="AX83" s="34" t="b">
        <v>1</v>
      </c>
      <c r="AY83" s="34">
        <v>9</v>
      </c>
      <c r="AZ83" s="34">
        <f>INDEX(OMNI_Normalized!$N$6:$N$18,MATCH(L83,OMNI_Normalized!$C$6:$C$18,0))</f>
        <v>44695</v>
      </c>
      <c r="BA83" s="37">
        <f>INDEX(OMNI_Normalized!$O$6:$O$18,MATCH(L83,OMNI_Normalized!$C$6:$C$18,0))</f>
        <v>1.87</v>
      </c>
      <c r="BB83" s="34">
        <f>INDEX(OMNI_Normalized!$H$6:$H$18,MATCH(L83,OMNI_Normalized!$C$6:$C$18,0))</f>
        <v>100</v>
      </c>
      <c r="BC83" s="34">
        <f>INDEX(OMNI_Normalized!$F$6:$F$18,MATCH(L83,OMNI_Normalized!$C$6:$C$18,0))</f>
        <v>51</v>
      </c>
      <c r="BD83" s="34">
        <f>INDEX(OMNI_Normalized!$G$6:$G$18,MATCH(L83,OMNI_Normalized!$C$6:$C$18,0))</f>
        <v>51</v>
      </c>
    </row>
    <row r="84" spans="1:56" ht="24" customHeight="1" x14ac:dyDescent="0.2">
      <c r="A84" s="7">
        <v>79</v>
      </c>
      <c r="B84" s="7">
        <v>90</v>
      </c>
      <c r="C84" s="25">
        <f>Join_Audit!C95</f>
        <v>44589.744363425933</v>
      </c>
      <c r="D84" s="12">
        <f>Join_Audit!E95</f>
        <v>544</v>
      </c>
      <c r="E84" s="12">
        <f>Join_Audit!F95</f>
        <v>1356</v>
      </c>
      <c r="F84" s="12">
        <f>Join_Audit!G95</f>
        <v>0</v>
      </c>
      <c r="G84" s="12" t="str">
        <f>Join_Audit!I95</f>
        <v>CADC0873</v>
      </c>
      <c r="H84" s="12">
        <f>Join_Audit!J95</f>
        <v>3.2880699999999998E-5</v>
      </c>
      <c r="I84" s="25">
        <f>Join_Audit!L95</f>
        <v>44589.744317129633</v>
      </c>
      <c r="J84" s="12">
        <f>Join_Audit!O95</f>
        <v>4</v>
      </c>
      <c r="K84" s="12">
        <f>INDEX(COMM_Beacons!$D$6:$D$66,AA84)</f>
        <v>116</v>
      </c>
      <c r="L84" s="25">
        <f>Join_Audit!R95</f>
        <v>44589.743750000001</v>
      </c>
      <c r="M84" s="12">
        <f>OMNI_Normalized!J15</f>
        <v>6.4</v>
      </c>
      <c r="N84" s="12">
        <f>OMNI_Normalized!K15</f>
        <v>-1.77</v>
      </c>
      <c r="O84" s="12">
        <f>OMNI_Normalized!L15</f>
        <v>420.7</v>
      </c>
      <c r="P84" s="12">
        <f>OMNI_Normalized!M15</f>
        <v>5.28</v>
      </c>
      <c r="Q84" s="12">
        <f>OMNI_Normalized!P15</f>
        <v>63</v>
      </c>
      <c r="R84" s="12">
        <f>OMNI_Normalized!Q15</f>
        <v>2</v>
      </c>
      <c r="S84" s="14">
        <f>Settings!$B$28</f>
        <v>100</v>
      </c>
      <c r="T84" s="14">
        <f>Settings!$B$29</f>
        <v>0.02</v>
      </c>
      <c r="U84" s="14">
        <f>Settings!$B$12</f>
        <v>300</v>
      </c>
      <c r="V84" s="14">
        <f>Settings!$B$25</f>
        <v>0.25</v>
      </c>
      <c r="W84" s="14">
        <f>Settings!$B$21</f>
        <v>4</v>
      </c>
      <c r="X84" s="14">
        <f>Settings!$B$24</f>
        <v>12</v>
      </c>
      <c r="Y84" s="12" t="str">
        <f>Join_Audit!S95</f>
        <v>ACCEPT</v>
      </c>
      <c r="Z84" s="12" t="s">
        <v>857</v>
      </c>
      <c r="AA84" s="34">
        <v>48</v>
      </c>
      <c r="AB84" s="34" t="str">
        <f>INDEX(COMM_Beacons!$E$6:$E$66,AA84)</f>
        <v>CRC32C_VERIFIED</v>
      </c>
      <c r="AC84" s="34">
        <f>INDEX(COMM_Beacons!$K$6:$K$66,$AA84)</f>
        <v>367</v>
      </c>
      <c r="AD84" s="34">
        <f>INDEX(COMM_Beacons!$L$6:$L$66,$AA84)</f>
        <v>368</v>
      </c>
      <c r="AE84" s="34">
        <f>INDEX(COMM_Beacons!$M$6:$M$66,$AA84)</f>
        <v>-83</v>
      </c>
      <c r="AF84" s="34">
        <f>INDEX(COMM_Beacons!$N$6:$N$66,$AA84)</f>
        <v>257</v>
      </c>
      <c r="AG84" s="34">
        <f>INDEX(COMM_Beacons!$O$6:$O$66,$AA84)</f>
        <v>33475</v>
      </c>
      <c r="AH84" s="34">
        <f>INDEX(COMM_Beacons!$P$6:$P$66,$AA84)</f>
        <v>11</v>
      </c>
      <c r="AI84" s="34">
        <f>INDEX(COMM_Beacons!$Q$6:$Q$66,$AA84)</f>
        <v>4391295</v>
      </c>
      <c r="AJ84" s="34">
        <f>INDEX(COMM_Beacons!$R$6:$R$66,$AA84)</f>
        <v>110</v>
      </c>
      <c r="AK84" s="34">
        <f>INDEX(COMM_Beacons!$S$6:$S$66,$AA84)</f>
        <v>2</v>
      </c>
      <c r="AL84" s="34">
        <f>INDEX(COMM_Beacons!$T$6:$T$66,$AA84)</f>
        <v>1126</v>
      </c>
      <c r="AM84" s="34">
        <f>INDEX(COMM_Beacons!$U$6:$U$66,$AA84)</f>
        <v>256</v>
      </c>
      <c r="AN84" s="34">
        <f>INDEX(COMM_Beacons!$V$6:$V$66,$AA84)</f>
        <v>1035520017</v>
      </c>
      <c r="AO84" s="34">
        <f>INDEX(COMM_Beacons!$W$6:$W$66,$AA84)</f>
        <v>-109</v>
      </c>
      <c r="AP84" s="34">
        <f>INDEX(COMM_Beacons!$X$6:$X$66,$AA84)</f>
        <v>1</v>
      </c>
      <c r="AQ84" s="34">
        <f>INDEX(COMM_Beacons!$Y$6:$Y$66,$AA84)</f>
        <v>17475791</v>
      </c>
      <c r="AR84" s="34">
        <f>INDEX(COMM_Beacons!$Z$6:$Z$66,$AA84)</f>
        <v>22035</v>
      </c>
      <c r="AS84" s="34">
        <f>INDEX(COMM_Beacons!$AA$6:$AA$66,$AA84)</f>
        <v>3048171540</v>
      </c>
      <c r="AT84" s="34">
        <f>INDEX(COMM_Beacons!$AB$6:$AB$66,$AA84)</f>
        <v>1105712</v>
      </c>
      <c r="AU84" s="36">
        <f>IF(AA84&lt;=1,"",INDEX(COMM_Counter_Deltas!$J$6:$J$65,AA84-1))</f>
        <v>9.4</v>
      </c>
      <c r="AV84" s="35">
        <f>IF(AA84&lt;=1,"",INDEX(COMM_Counter_Deltas!$B$6:$B$65,AA84-1))</f>
        <v>44589.744201388887</v>
      </c>
      <c r="AW84" s="35">
        <f>IF(AA84&lt;=1,"",INDEX(COMM_Counter_Deltas!$C$6:$C$65,AA84-1))</f>
        <v>44589.744317129633</v>
      </c>
      <c r="AX84" s="34" t="b">
        <v>1</v>
      </c>
      <c r="AY84" s="34">
        <v>4</v>
      </c>
      <c r="AZ84" s="34">
        <f>INDEX(OMNI_Normalized!$N$6:$N$18,MATCH(L84,OMNI_Normalized!$C$6:$C$18,0))</f>
        <v>44695</v>
      </c>
      <c r="BA84" s="37">
        <f>INDEX(OMNI_Normalized!$O$6:$O$18,MATCH(L84,OMNI_Normalized!$C$6:$C$18,0))</f>
        <v>1.87</v>
      </c>
      <c r="BB84" s="34">
        <f>INDEX(OMNI_Normalized!$H$6:$H$18,MATCH(L84,OMNI_Normalized!$C$6:$C$18,0))</f>
        <v>100</v>
      </c>
      <c r="BC84" s="34">
        <f>INDEX(OMNI_Normalized!$F$6:$F$18,MATCH(L84,OMNI_Normalized!$C$6:$C$18,0))</f>
        <v>51</v>
      </c>
      <c r="BD84" s="34">
        <f>INDEX(OMNI_Normalized!$G$6:$G$18,MATCH(L84,OMNI_Normalized!$C$6:$C$18,0))</f>
        <v>51</v>
      </c>
    </row>
    <row r="85" spans="1:56" ht="24" customHeight="1" x14ac:dyDescent="0.2">
      <c r="A85" s="7">
        <v>80</v>
      </c>
      <c r="B85" s="7">
        <v>91</v>
      </c>
      <c r="C85" s="25">
        <f>Join_Audit!C96</f>
        <v>44589.744421296287</v>
      </c>
      <c r="D85" s="12">
        <f>Join_Audit!E96</f>
        <v>549</v>
      </c>
      <c r="E85" s="12">
        <f>Join_Audit!F96</f>
        <v>1356</v>
      </c>
      <c r="F85" s="12">
        <f>Join_Audit!G96</f>
        <v>0</v>
      </c>
      <c r="G85" s="12" t="str">
        <f>Join_Audit!I96</f>
        <v>CADC0873</v>
      </c>
      <c r="H85" s="12">
        <f>Join_Audit!J96</f>
        <v>3.1065899999999997E-5</v>
      </c>
      <c r="I85" s="25">
        <f>Join_Audit!L96</f>
        <v>44589.744317129633</v>
      </c>
      <c r="J85" s="12">
        <f>Join_Audit!O96</f>
        <v>9</v>
      </c>
      <c r="K85" s="12">
        <f>INDEX(COMM_Beacons!$D$6:$D$66,AA85)</f>
        <v>116</v>
      </c>
      <c r="L85" s="25">
        <f>Join_Audit!R96</f>
        <v>44589.743750000001</v>
      </c>
      <c r="M85" s="12">
        <f>OMNI_Normalized!J15</f>
        <v>6.4</v>
      </c>
      <c r="N85" s="12">
        <f>OMNI_Normalized!K15</f>
        <v>-1.77</v>
      </c>
      <c r="O85" s="12">
        <f>OMNI_Normalized!L15</f>
        <v>420.7</v>
      </c>
      <c r="P85" s="12">
        <f>OMNI_Normalized!M15</f>
        <v>5.28</v>
      </c>
      <c r="Q85" s="12">
        <f>OMNI_Normalized!P15</f>
        <v>63</v>
      </c>
      <c r="R85" s="12">
        <f>OMNI_Normalized!Q15</f>
        <v>2</v>
      </c>
      <c r="S85" s="14">
        <f>Settings!$B$28</f>
        <v>100</v>
      </c>
      <c r="T85" s="14">
        <f>Settings!$B$29</f>
        <v>0.02</v>
      </c>
      <c r="U85" s="14">
        <f>Settings!$B$12</f>
        <v>300</v>
      </c>
      <c r="V85" s="14">
        <f>Settings!$B$25</f>
        <v>0.25</v>
      </c>
      <c r="W85" s="14">
        <f>Settings!$B$21</f>
        <v>4</v>
      </c>
      <c r="X85" s="14">
        <f>Settings!$B$24</f>
        <v>12</v>
      </c>
      <c r="Y85" s="12" t="str">
        <f>Join_Audit!S96</f>
        <v>ACCEPT</v>
      </c>
      <c r="Z85" s="12" t="s">
        <v>857</v>
      </c>
      <c r="AA85" s="34">
        <v>48</v>
      </c>
      <c r="AB85" s="34" t="str">
        <f>INDEX(COMM_Beacons!$E$6:$E$66,AA85)</f>
        <v>CRC32C_VERIFIED</v>
      </c>
      <c r="AC85" s="34">
        <f>INDEX(COMM_Beacons!$K$6:$K$66,$AA85)</f>
        <v>367</v>
      </c>
      <c r="AD85" s="34">
        <f>INDEX(COMM_Beacons!$L$6:$L$66,$AA85)</f>
        <v>368</v>
      </c>
      <c r="AE85" s="34">
        <f>INDEX(COMM_Beacons!$M$6:$M$66,$AA85)</f>
        <v>-83</v>
      </c>
      <c r="AF85" s="34">
        <f>INDEX(COMM_Beacons!$N$6:$N$66,$AA85)</f>
        <v>257</v>
      </c>
      <c r="AG85" s="34">
        <f>INDEX(COMM_Beacons!$O$6:$O$66,$AA85)</f>
        <v>33475</v>
      </c>
      <c r="AH85" s="34">
        <f>INDEX(COMM_Beacons!$P$6:$P$66,$AA85)</f>
        <v>11</v>
      </c>
      <c r="AI85" s="34">
        <f>INDEX(COMM_Beacons!$Q$6:$Q$66,$AA85)</f>
        <v>4391295</v>
      </c>
      <c r="AJ85" s="34">
        <f>INDEX(COMM_Beacons!$R$6:$R$66,$AA85)</f>
        <v>110</v>
      </c>
      <c r="AK85" s="34">
        <f>INDEX(COMM_Beacons!$S$6:$S$66,$AA85)</f>
        <v>2</v>
      </c>
      <c r="AL85" s="34">
        <f>INDEX(COMM_Beacons!$T$6:$T$66,$AA85)</f>
        <v>1126</v>
      </c>
      <c r="AM85" s="34">
        <f>INDEX(COMM_Beacons!$U$6:$U$66,$AA85)</f>
        <v>256</v>
      </c>
      <c r="AN85" s="34">
        <f>INDEX(COMM_Beacons!$V$6:$V$66,$AA85)</f>
        <v>1035520017</v>
      </c>
      <c r="AO85" s="34">
        <f>INDEX(COMM_Beacons!$W$6:$W$66,$AA85)</f>
        <v>-109</v>
      </c>
      <c r="AP85" s="34">
        <f>INDEX(COMM_Beacons!$X$6:$X$66,$AA85)</f>
        <v>1</v>
      </c>
      <c r="AQ85" s="34">
        <f>INDEX(COMM_Beacons!$Y$6:$Y$66,$AA85)</f>
        <v>17475791</v>
      </c>
      <c r="AR85" s="34">
        <f>INDEX(COMM_Beacons!$Z$6:$Z$66,$AA85)</f>
        <v>22035</v>
      </c>
      <c r="AS85" s="34">
        <f>INDEX(COMM_Beacons!$AA$6:$AA$66,$AA85)</f>
        <v>3048171540</v>
      </c>
      <c r="AT85" s="34">
        <f>INDEX(COMM_Beacons!$AB$6:$AB$66,$AA85)</f>
        <v>1105712</v>
      </c>
      <c r="AU85" s="36">
        <f>IF(AA85&lt;=1,"",INDEX(COMM_Counter_Deltas!$J$6:$J$65,AA85-1))</f>
        <v>9.4</v>
      </c>
      <c r="AV85" s="35">
        <f>IF(AA85&lt;=1,"",INDEX(COMM_Counter_Deltas!$B$6:$B$65,AA85-1))</f>
        <v>44589.744201388887</v>
      </c>
      <c r="AW85" s="35">
        <f>IF(AA85&lt;=1,"",INDEX(COMM_Counter_Deltas!$C$6:$C$65,AA85-1))</f>
        <v>44589.744317129633</v>
      </c>
      <c r="AX85" s="34" t="b">
        <v>1</v>
      </c>
      <c r="AY85" s="34">
        <v>9</v>
      </c>
      <c r="AZ85" s="34">
        <f>INDEX(OMNI_Normalized!$N$6:$N$18,MATCH(L85,OMNI_Normalized!$C$6:$C$18,0))</f>
        <v>44695</v>
      </c>
      <c r="BA85" s="37">
        <f>INDEX(OMNI_Normalized!$O$6:$O$18,MATCH(L85,OMNI_Normalized!$C$6:$C$18,0))</f>
        <v>1.87</v>
      </c>
      <c r="BB85" s="34">
        <f>INDEX(OMNI_Normalized!$H$6:$H$18,MATCH(L85,OMNI_Normalized!$C$6:$C$18,0))</f>
        <v>100</v>
      </c>
      <c r="BC85" s="34">
        <f>INDEX(OMNI_Normalized!$F$6:$F$18,MATCH(L85,OMNI_Normalized!$C$6:$C$18,0))</f>
        <v>51</v>
      </c>
      <c r="BD85" s="34">
        <f>INDEX(OMNI_Normalized!$G$6:$G$18,MATCH(L85,OMNI_Normalized!$C$6:$C$18,0))</f>
        <v>51</v>
      </c>
    </row>
    <row r="86" spans="1:56" ht="24" customHeight="1" x14ac:dyDescent="0.2">
      <c r="A86" s="7">
        <v>81</v>
      </c>
      <c r="B86" s="7">
        <v>92</v>
      </c>
      <c r="C86" s="25">
        <f>Join_Audit!C97</f>
        <v>44589.744479166657</v>
      </c>
      <c r="D86" s="12">
        <f>Join_Audit!E97</f>
        <v>554</v>
      </c>
      <c r="E86" s="12">
        <f>Join_Audit!F97</f>
        <v>1356</v>
      </c>
      <c r="F86" s="12">
        <f>Join_Audit!G97</f>
        <v>0</v>
      </c>
      <c r="G86" s="12" t="str">
        <f>Join_Audit!I97</f>
        <v>CADC0873</v>
      </c>
      <c r="H86" s="12">
        <f>Join_Audit!J97</f>
        <v>2.60302E-5</v>
      </c>
      <c r="I86" s="25">
        <f>Join_Audit!L97</f>
        <v>44589.744432870371</v>
      </c>
      <c r="J86" s="12">
        <f>Join_Audit!O97</f>
        <v>4</v>
      </c>
      <c r="K86" s="12">
        <f>INDEX(COMM_Beacons!$D$6:$D$66,AA86)</f>
        <v>115</v>
      </c>
      <c r="L86" s="25">
        <f>Join_Audit!R97</f>
        <v>44589.744444444441</v>
      </c>
      <c r="M86" s="12">
        <f>OMNI_Normalized!J16</f>
        <v>6.39</v>
      </c>
      <c r="N86" s="12">
        <f>OMNI_Normalized!K16</f>
        <v>-1.43</v>
      </c>
      <c r="O86" s="12">
        <f>OMNI_Normalized!L16</f>
        <v>420.7</v>
      </c>
      <c r="P86" s="12">
        <f>OMNI_Normalized!M16</f>
        <v>5.23</v>
      </c>
      <c r="Q86" s="12">
        <f>OMNI_Normalized!P16</f>
        <v>65</v>
      </c>
      <c r="R86" s="12">
        <f>OMNI_Normalized!Q16</f>
        <v>2</v>
      </c>
      <c r="S86" s="14">
        <f>Settings!$B$28</f>
        <v>100</v>
      </c>
      <c r="T86" s="14">
        <f>Settings!$B$29</f>
        <v>0.02</v>
      </c>
      <c r="U86" s="14">
        <f>Settings!$B$12</f>
        <v>300</v>
      </c>
      <c r="V86" s="14">
        <f>Settings!$B$25</f>
        <v>0.25</v>
      </c>
      <c r="W86" s="14">
        <f>Settings!$B$21</f>
        <v>4</v>
      </c>
      <c r="X86" s="14">
        <f>Settings!$B$24</f>
        <v>12</v>
      </c>
      <c r="Y86" s="12" t="str">
        <f>Join_Audit!S97</f>
        <v>ACCEPT</v>
      </c>
      <c r="Z86" s="12" t="s">
        <v>857</v>
      </c>
      <c r="AA86" s="34">
        <v>49</v>
      </c>
      <c r="AB86" s="34" t="str">
        <f>INDEX(COMM_Beacons!$E$6:$E$66,AA86)</f>
        <v>CRC32C_VERIFIED</v>
      </c>
      <c r="AC86" s="34">
        <f>INDEX(COMM_Beacons!$K$6:$K$66,$AA86)</f>
        <v>367</v>
      </c>
      <c r="AD86" s="34">
        <f>INDEX(COMM_Beacons!$L$6:$L$66,$AA86)</f>
        <v>368</v>
      </c>
      <c r="AE86" s="34">
        <f>INDEX(COMM_Beacons!$M$6:$M$66,$AA86)</f>
        <v>-83</v>
      </c>
      <c r="AF86" s="34">
        <f>INDEX(COMM_Beacons!$N$6:$N$66,$AA86)</f>
        <v>257</v>
      </c>
      <c r="AG86" s="34">
        <f>INDEX(COMM_Beacons!$O$6:$O$66,$AA86)</f>
        <v>33476</v>
      </c>
      <c r="AH86" s="34">
        <f>INDEX(COMM_Beacons!$P$6:$P$66,$AA86)</f>
        <v>11</v>
      </c>
      <c r="AI86" s="34">
        <f>INDEX(COMM_Beacons!$Q$6:$Q$66,$AA86)</f>
        <v>4391389</v>
      </c>
      <c r="AJ86" s="34">
        <f>INDEX(COMM_Beacons!$R$6:$R$66,$AA86)</f>
        <v>110</v>
      </c>
      <c r="AK86" s="34">
        <f>INDEX(COMM_Beacons!$S$6:$S$66,$AA86)</f>
        <v>2</v>
      </c>
      <c r="AL86" s="34">
        <f>INDEX(COMM_Beacons!$T$6:$T$66,$AA86)</f>
        <v>1126</v>
      </c>
      <c r="AM86" s="34">
        <f>INDEX(COMM_Beacons!$U$6:$U$66,$AA86)</f>
        <v>256</v>
      </c>
      <c r="AN86" s="34">
        <f>INDEX(COMM_Beacons!$V$6:$V$66,$AA86)</f>
        <v>1035520017</v>
      </c>
      <c r="AO86" s="34">
        <f>INDEX(COMM_Beacons!$W$6:$W$66,$AA86)</f>
        <v>-111</v>
      </c>
      <c r="AP86" s="34">
        <f>INDEX(COMM_Beacons!$X$6:$X$66,$AA86)</f>
        <v>1</v>
      </c>
      <c r="AQ86" s="34">
        <f>INDEX(COMM_Beacons!$Y$6:$Y$66,$AA86)</f>
        <v>17475792</v>
      </c>
      <c r="AR86" s="34">
        <f>INDEX(COMM_Beacons!$Z$6:$Z$66,$AA86)</f>
        <v>22035</v>
      </c>
      <c r="AS86" s="34">
        <f>INDEX(COMM_Beacons!$AA$6:$AA$66,$AA86)</f>
        <v>3048171634</v>
      </c>
      <c r="AT86" s="34">
        <f>INDEX(COMM_Beacons!$AB$6:$AB$66,$AA86)</f>
        <v>1105712</v>
      </c>
      <c r="AU86" s="36">
        <f>IF(AA86&lt;=1,"",INDEX(COMM_Counter_Deltas!$J$6:$J$65,AA86-1))</f>
        <v>9.4</v>
      </c>
      <c r="AV86" s="35">
        <f>IF(AA86&lt;=1,"",INDEX(COMM_Counter_Deltas!$B$6:$B$65,AA86-1))</f>
        <v>44589.744317129633</v>
      </c>
      <c r="AW86" s="35">
        <f>IF(AA86&lt;=1,"",INDEX(COMM_Counter_Deltas!$C$6:$C$65,AA86-1))</f>
        <v>44589.744432870371</v>
      </c>
      <c r="AX86" s="34" t="b">
        <v>1</v>
      </c>
      <c r="AY86" s="34">
        <v>4</v>
      </c>
      <c r="AZ86" s="34">
        <f>INDEX(OMNI_Normalized!$N$6:$N$18,MATCH(L86,OMNI_Normalized!$C$6:$C$18,0))</f>
        <v>43616</v>
      </c>
      <c r="BA86" s="37">
        <f>INDEX(OMNI_Normalized!$O$6:$O$18,MATCH(L86,OMNI_Normalized!$C$6:$C$18,0))</f>
        <v>1.85</v>
      </c>
      <c r="BB86" s="34">
        <f>INDEX(OMNI_Normalized!$H$6:$H$18,MATCH(L86,OMNI_Normalized!$C$6:$C$18,0))</f>
        <v>100</v>
      </c>
      <c r="BC86" s="34">
        <f>INDEX(OMNI_Normalized!$F$6:$F$18,MATCH(L86,OMNI_Normalized!$C$6:$C$18,0))</f>
        <v>51</v>
      </c>
      <c r="BD86" s="34">
        <f>INDEX(OMNI_Normalized!$G$6:$G$18,MATCH(L86,OMNI_Normalized!$C$6:$C$18,0))</f>
        <v>51</v>
      </c>
    </row>
    <row r="87" spans="1:56" ht="24" customHeight="1" x14ac:dyDescent="0.2">
      <c r="A87" s="7">
        <v>82</v>
      </c>
      <c r="B87" s="7">
        <v>93</v>
      </c>
      <c r="C87" s="25">
        <f>Join_Audit!C98</f>
        <v>44589.744537037041</v>
      </c>
      <c r="D87" s="12">
        <f>Join_Audit!E98</f>
        <v>559</v>
      </c>
      <c r="E87" s="12">
        <f>Join_Audit!F98</f>
        <v>1356</v>
      </c>
      <c r="F87" s="12">
        <f>Join_Audit!G98</f>
        <v>0</v>
      </c>
      <c r="G87" s="12" t="str">
        <f>Join_Audit!I98</f>
        <v>CADC0873</v>
      </c>
      <c r="H87" s="12">
        <f>Join_Audit!J98</f>
        <v>2.1146799999999999E-5</v>
      </c>
      <c r="I87" s="25">
        <f>Join_Audit!L98</f>
        <v>44589.744432870371</v>
      </c>
      <c r="J87" s="12">
        <f>Join_Audit!O98</f>
        <v>9</v>
      </c>
      <c r="K87" s="12">
        <f>INDEX(COMM_Beacons!$D$6:$D$66,AA87)</f>
        <v>115</v>
      </c>
      <c r="L87" s="25">
        <f>Join_Audit!R98</f>
        <v>44589.744444444441</v>
      </c>
      <c r="M87" s="12">
        <f>OMNI_Normalized!J16</f>
        <v>6.39</v>
      </c>
      <c r="N87" s="12">
        <f>OMNI_Normalized!K16</f>
        <v>-1.43</v>
      </c>
      <c r="O87" s="12">
        <f>OMNI_Normalized!L16</f>
        <v>420.7</v>
      </c>
      <c r="P87" s="12">
        <f>OMNI_Normalized!M16</f>
        <v>5.23</v>
      </c>
      <c r="Q87" s="12">
        <f>OMNI_Normalized!P16</f>
        <v>65</v>
      </c>
      <c r="R87" s="12">
        <f>OMNI_Normalized!Q16</f>
        <v>2</v>
      </c>
      <c r="S87" s="14">
        <f>Settings!$B$28</f>
        <v>100</v>
      </c>
      <c r="T87" s="14">
        <f>Settings!$B$29</f>
        <v>0.02</v>
      </c>
      <c r="U87" s="14">
        <f>Settings!$B$12</f>
        <v>300</v>
      </c>
      <c r="V87" s="14">
        <f>Settings!$B$25</f>
        <v>0.25</v>
      </c>
      <c r="W87" s="14">
        <f>Settings!$B$21</f>
        <v>4</v>
      </c>
      <c r="X87" s="14">
        <f>Settings!$B$24</f>
        <v>12</v>
      </c>
      <c r="Y87" s="12" t="str">
        <f>Join_Audit!S98</f>
        <v>ACCEPT</v>
      </c>
      <c r="Z87" s="12" t="s">
        <v>857</v>
      </c>
      <c r="AA87" s="34">
        <v>49</v>
      </c>
      <c r="AB87" s="34" t="str">
        <f>INDEX(COMM_Beacons!$E$6:$E$66,AA87)</f>
        <v>CRC32C_VERIFIED</v>
      </c>
      <c r="AC87" s="34">
        <f>INDEX(COMM_Beacons!$K$6:$K$66,$AA87)</f>
        <v>367</v>
      </c>
      <c r="AD87" s="34">
        <f>INDEX(COMM_Beacons!$L$6:$L$66,$AA87)</f>
        <v>368</v>
      </c>
      <c r="AE87" s="34">
        <f>INDEX(COMM_Beacons!$M$6:$M$66,$AA87)</f>
        <v>-83</v>
      </c>
      <c r="AF87" s="34">
        <f>INDEX(COMM_Beacons!$N$6:$N$66,$AA87)</f>
        <v>257</v>
      </c>
      <c r="AG87" s="34">
        <f>INDEX(COMM_Beacons!$O$6:$O$66,$AA87)</f>
        <v>33476</v>
      </c>
      <c r="AH87" s="34">
        <f>INDEX(COMM_Beacons!$P$6:$P$66,$AA87)</f>
        <v>11</v>
      </c>
      <c r="AI87" s="34">
        <f>INDEX(COMM_Beacons!$Q$6:$Q$66,$AA87)</f>
        <v>4391389</v>
      </c>
      <c r="AJ87" s="34">
        <f>INDEX(COMM_Beacons!$R$6:$R$66,$AA87)</f>
        <v>110</v>
      </c>
      <c r="AK87" s="34">
        <f>INDEX(COMM_Beacons!$S$6:$S$66,$AA87)</f>
        <v>2</v>
      </c>
      <c r="AL87" s="34">
        <f>INDEX(COMM_Beacons!$T$6:$T$66,$AA87)</f>
        <v>1126</v>
      </c>
      <c r="AM87" s="34">
        <f>INDEX(COMM_Beacons!$U$6:$U$66,$AA87)</f>
        <v>256</v>
      </c>
      <c r="AN87" s="34">
        <f>INDEX(COMM_Beacons!$V$6:$V$66,$AA87)</f>
        <v>1035520017</v>
      </c>
      <c r="AO87" s="34">
        <f>INDEX(COMM_Beacons!$W$6:$W$66,$AA87)</f>
        <v>-111</v>
      </c>
      <c r="AP87" s="34">
        <f>INDEX(COMM_Beacons!$X$6:$X$66,$AA87)</f>
        <v>1</v>
      </c>
      <c r="AQ87" s="34">
        <f>INDEX(COMM_Beacons!$Y$6:$Y$66,$AA87)</f>
        <v>17475792</v>
      </c>
      <c r="AR87" s="34">
        <f>INDEX(COMM_Beacons!$Z$6:$Z$66,$AA87)</f>
        <v>22035</v>
      </c>
      <c r="AS87" s="34">
        <f>INDEX(COMM_Beacons!$AA$6:$AA$66,$AA87)</f>
        <v>3048171634</v>
      </c>
      <c r="AT87" s="34">
        <f>INDEX(COMM_Beacons!$AB$6:$AB$66,$AA87)</f>
        <v>1105712</v>
      </c>
      <c r="AU87" s="36">
        <f>IF(AA87&lt;=1,"",INDEX(COMM_Counter_Deltas!$J$6:$J$65,AA87-1))</f>
        <v>9.4</v>
      </c>
      <c r="AV87" s="35">
        <f>IF(AA87&lt;=1,"",INDEX(COMM_Counter_Deltas!$B$6:$B$65,AA87-1))</f>
        <v>44589.744317129633</v>
      </c>
      <c r="AW87" s="35">
        <f>IF(AA87&lt;=1,"",INDEX(COMM_Counter_Deltas!$C$6:$C$65,AA87-1))</f>
        <v>44589.744432870371</v>
      </c>
      <c r="AX87" s="34" t="b">
        <v>1</v>
      </c>
      <c r="AY87" s="34">
        <v>9</v>
      </c>
      <c r="AZ87" s="34">
        <f>INDEX(OMNI_Normalized!$N$6:$N$18,MATCH(L87,OMNI_Normalized!$C$6:$C$18,0))</f>
        <v>43616</v>
      </c>
      <c r="BA87" s="37">
        <f>INDEX(OMNI_Normalized!$O$6:$O$18,MATCH(L87,OMNI_Normalized!$C$6:$C$18,0))</f>
        <v>1.85</v>
      </c>
      <c r="BB87" s="34">
        <f>INDEX(OMNI_Normalized!$H$6:$H$18,MATCH(L87,OMNI_Normalized!$C$6:$C$18,0))</f>
        <v>100</v>
      </c>
      <c r="BC87" s="34">
        <f>INDEX(OMNI_Normalized!$F$6:$F$18,MATCH(L87,OMNI_Normalized!$C$6:$C$18,0))</f>
        <v>51</v>
      </c>
      <c r="BD87" s="34">
        <f>INDEX(OMNI_Normalized!$G$6:$G$18,MATCH(L87,OMNI_Normalized!$C$6:$C$18,0))</f>
        <v>51</v>
      </c>
    </row>
    <row r="88" spans="1:56" ht="24" customHeight="1" x14ac:dyDescent="0.2">
      <c r="A88" s="7">
        <v>83</v>
      </c>
      <c r="B88" s="7">
        <v>94</v>
      </c>
      <c r="C88" s="25">
        <f>Join_Audit!C99</f>
        <v>44589.74459490741</v>
      </c>
      <c r="D88" s="12">
        <f>Join_Audit!E99</f>
        <v>564</v>
      </c>
      <c r="E88" s="12">
        <f>Join_Audit!F99</f>
        <v>1356</v>
      </c>
      <c r="F88" s="12">
        <f>Join_Audit!G99</f>
        <v>0</v>
      </c>
      <c r="G88" s="12" t="str">
        <f>Join_Audit!I99</f>
        <v>CADC0873</v>
      </c>
      <c r="H88" s="12">
        <f>Join_Audit!J99</f>
        <v>1.3602699999999999E-5</v>
      </c>
      <c r="I88" s="25">
        <f>Join_Audit!L99</f>
        <v>44589.74454861111</v>
      </c>
      <c r="J88" s="12">
        <f>Join_Audit!O99</f>
        <v>4</v>
      </c>
      <c r="K88" s="12">
        <f>INDEX(COMM_Beacons!$D$6:$D$66,AA88)</f>
        <v>114</v>
      </c>
      <c r="L88" s="25">
        <f>Join_Audit!R99</f>
        <v>44589.744444444441</v>
      </c>
      <c r="M88" s="12">
        <f>OMNI_Normalized!J16</f>
        <v>6.39</v>
      </c>
      <c r="N88" s="12">
        <f>OMNI_Normalized!K16</f>
        <v>-1.43</v>
      </c>
      <c r="O88" s="12">
        <f>OMNI_Normalized!L16</f>
        <v>420.7</v>
      </c>
      <c r="P88" s="12">
        <f>OMNI_Normalized!M16</f>
        <v>5.23</v>
      </c>
      <c r="Q88" s="12">
        <f>OMNI_Normalized!P16</f>
        <v>65</v>
      </c>
      <c r="R88" s="12">
        <f>OMNI_Normalized!Q16</f>
        <v>2</v>
      </c>
      <c r="S88" s="14">
        <f>Settings!$B$28</f>
        <v>100</v>
      </c>
      <c r="T88" s="14">
        <f>Settings!$B$29</f>
        <v>0.02</v>
      </c>
      <c r="U88" s="14">
        <f>Settings!$B$12</f>
        <v>300</v>
      </c>
      <c r="V88" s="14">
        <f>Settings!$B$25</f>
        <v>0.25</v>
      </c>
      <c r="W88" s="14">
        <f>Settings!$B$21</f>
        <v>4</v>
      </c>
      <c r="X88" s="14">
        <f>Settings!$B$24</f>
        <v>12</v>
      </c>
      <c r="Y88" s="12" t="str">
        <f>Join_Audit!S99</f>
        <v>ACCEPT</v>
      </c>
      <c r="Z88" s="12" t="s">
        <v>857</v>
      </c>
      <c r="AA88" s="34">
        <v>50</v>
      </c>
      <c r="AB88" s="34" t="str">
        <f>INDEX(COMM_Beacons!$E$6:$E$66,AA88)</f>
        <v>CRC32C_VERIFIED</v>
      </c>
      <c r="AC88" s="34">
        <f>INDEX(COMM_Beacons!$K$6:$K$66,$AA88)</f>
        <v>367</v>
      </c>
      <c r="AD88" s="34">
        <f>INDEX(COMM_Beacons!$L$6:$L$66,$AA88)</f>
        <v>368</v>
      </c>
      <c r="AE88" s="34">
        <f>INDEX(COMM_Beacons!$M$6:$M$66,$AA88)</f>
        <v>-83</v>
      </c>
      <c r="AF88" s="34">
        <f>INDEX(COMM_Beacons!$N$6:$N$66,$AA88)</f>
        <v>257</v>
      </c>
      <c r="AG88" s="34">
        <f>INDEX(COMM_Beacons!$O$6:$O$66,$AA88)</f>
        <v>33477</v>
      </c>
      <c r="AH88" s="34">
        <f>INDEX(COMM_Beacons!$P$6:$P$66,$AA88)</f>
        <v>11</v>
      </c>
      <c r="AI88" s="34">
        <f>INDEX(COMM_Beacons!$Q$6:$Q$66,$AA88)</f>
        <v>4391483</v>
      </c>
      <c r="AJ88" s="34">
        <f>INDEX(COMM_Beacons!$R$6:$R$66,$AA88)</f>
        <v>110</v>
      </c>
      <c r="AK88" s="34">
        <f>INDEX(COMM_Beacons!$S$6:$S$66,$AA88)</f>
        <v>2</v>
      </c>
      <c r="AL88" s="34">
        <f>INDEX(COMM_Beacons!$T$6:$T$66,$AA88)</f>
        <v>1126</v>
      </c>
      <c r="AM88" s="34">
        <f>INDEX(COMM_Beacons!$U$6:$U$66,$AA88)</f>
        <v>256</v>
      </c>
      <c r="AN88" s="34">
        <f>INDEX(COMM_Beacons!$V$6:$V$66,$AA88)</f>
        <v>1035520017</v>
      </c>
      <c r="AO88" s="34">
        <f>INDEX(COMM_Beacons!$W$6:$W$66,$AA88)</f>
        <v>-111</v>
      </c>
      <c r="AP88" s="34">
        <f>INDEX(COMM_Beacons!$X$6:$X$66,$AA88)</f>
        <v>1</v>
      </c>
      <c r="AQ88" s="34">
        <f>INDEX(COMM_Beacons!$Y$6:$Y$66,$AA88)</f>
        <v>17475793</v>
      </c>
      <c r="AR88" s="34">
        <f>INDEX(COMM_Beacons!$Z$6:$Z$66,$AA88)</f>
        <v>22035</v>
      </c>
      <c r="AS88" s="34">
        <f>INDEX(COMM_Beacons!$AA$6:$AA$66,$AA88)</f>
        <v>3048171728</v>
      </c>
      <c r="AT88" s="34">
        <f>INDEX(COMM_Beacons!$AB$6:$AB$66,$AA88)</f>
        <v>1105712</v>
      </c>
      <c r="AU88" s="36">
        <f>IF(AA88&lt;=1,"",INDEX(COMM_Counter_Deltas!$J$6:$J$65,AA88-1))</f>
        <v>9.4</v>
      </c>
      <c r="AV88" s="35">
        <f>IF(AA88&lt;=1,"",INDEX(COMM_Counter_Deltas!$B$6:$B$65,AA88-1))</f>
        <v>44589.744432870371</v>
      </c>
      <c r="AW88" s="35">
        <f>IF(AA88&lt;=1,"",INDEX(COMM_Counter_Deltas!$C$6:$C$65,AA88-1))</f>
        <v>44589.74454861111</v>
      </c>
      <c r="AX88" s="34" t="b">
        <v>1</v>
      </c>
      <c r="AY88" s="34">
        <v>4</v>
      </c>
      <c r="AZ88" s="34">
        <f>INDEX(OMNI_Normalized!$N$6:$N$18,MATCH(L88,OMNI_Normalized!$C$6:$C$18,0))</f>
        <v>43616</v>
      </c>
      <c r="BA88" s="37">
        <f>INDEX(OMNI_Normalized!$O$6:$O$18,MATCH(L88,OMNI_Normalized!$C$6:$C$18,0))</f>
        <v>1.85</v>
      </c>
      <c r="BB88" s="34">
        <f>INDEX(OMNI_Normalized!$H$6:$H$18,MATCH(L88,OMNI_Normalized!$C$6:$C$18,0))</f>
        <v>100</v>
      </c>
      <c r="BC88" s="34">
        <f>INDEX(OMNI_Normalized!$F$6:$F$18,MATCH(L88,OMNI_Normalized!$C$6:$C$18,0))</f>
        <v>51</v>
      </c>
      <c r="BD88" s="34">
        <f>INDEX(OMNI_Normalized!$G$6:$G$18,MATCH(L88,OMNI_Normalized!$C$6:$C$18,0))</f>
        <v>51</v>
      </c>
    </row>
    <row r="89" spans="1:56" ht="24" customHeight="1" x14ac:dyDescent="0.2">
      <c r="A89" s="7">
        <v>84</v>
      </c>
      <c r="B89" s="7">
        <v>95</v>
      </c>
      <c r="C89" s="25">
        <f>Join_Audit!C100</f>
        <v>44589.744652777779</v>
      </c>
      <c r="D89" s="12">
        <f>Join_Audit!E100</f>
        <v>569</v>
      </c>
      <c r="E89" s="12">
        <f>Join_Audit!F100</f>
        <v>1356</v>
      </c>
      <c r="F89" s="12">
        <f>Join_Audit!G100</f>
        <v>0</v>
      </c>
      <c r="G89" s="12" t="str">
        <f>Join_Audit!I100</f>
        <v>CADC0873</v>
      </c>
      <c r="H89" s="12">
        <f>Join_Audit!J100</f>
        <v>4.5659900000000001E-6</v>
      </c>
      <c r="I89" s="25">
        <f>Join_Audit!L100</f>
        <v>44589.74454861111</v>
      </c>
      <c r="J89" s="12">
        <f>Join_Audit!O100</f>
        <v>9</v>
      </c>
      <c r="K89" s="12">
        <f>INDEX(COMM_Beacons!$D$6:$D$66,AA89)</f>
        <v>114</v>
      </c>
      <c r="L89" s="25">
        <f>Join_Audit!R100</f>
        <v>44589.744444444441</v>
      </c>
      <c r="M89" s="12">
        <f>OMNI_Normalized!J16</f>
        <v>6.39</v>
      </c>
      <c r="N89" s="12">
        <f>OMNI_Normalized!K16</f>
        <v>-1.43</v>
      </c>
      <c r="O89" s="12">
        <f>OMNI_Normalized!L16</f>
        <v>420.7</v>
      </c>
      <c r="P89" s="12">
        <f>OMNI_Normalized!M16</f>
        <v>5.23</v>
      </c>
      <c r="Q89" s="12">
        <f>OMNI_Normalized!P16</f>
        <v>65</v>
      </c>
      <c r="R89" s="12">
        <f>OMNI_Normalized!Q16</f>
        <v>2</v>
      </c>
      <c r="S89" s="14">
        <f>Settings!$B$28</f>
        <v>100</v>
      </c>
      <c r="T89" s="14">
        <f>Settings!$B$29</f>
        <v>0.02</v>
      </c>
      <c r="U89" s="14">
        <f>Settings!$B$12</f>
        <v>300</v>
      </c>
      <c r="V89" s="14">
        <f>Settings!$B$25</f>
        <v>0.25</v>
      </c>
      <c r="W89" s="14">
        <f>Settings!$B$21</f>
        <v>4</v>
      </c>
      <c r="X89" s="14">
        <f>Settings!$B$24</f>
        <v>12</v>
      </c>
      <c r="Y89" s="12" t="str">
        <f>Join_Audit!S100</f>
        <v>ACCEPT</v>
      </c>
      <c r="Z89" s="12" t="s">
        <v>857</v>
      </c>
      <c r="AA89" s="34">
        <v>50</v>
      </c>
      <c r="AB89" s="34" t="str">
        <f>INDEX(COMM_Beacons!$E$6:$E$66,AA89)</f>
        <v>CRC32C_VERIFIED</v>
      </c>
      <c r="AC89" s="34">
        <f>INDEX(COMM_Beacons!$K$6:$K$66,$AA89)</f>
        <v>367</v>
      </c>
      <c r="AD89" s="34">
        <f>INDEX(COMM_Beacons!$L$6:$L$66,$AA89)</f>
        <v>368</v>
      </c>
      <c r="AE89" s="34">
        <f>INDEX(COMM_Beacons!$M$6:$M$66,$AA89)</f>
        <v>-83</v>
      </c>
      <c r="AF89" s="34">
        <f>INDEX(COMM_Beacons!$N$6:$N$66,$AA89)</f>
        <v>257</v>
      </c>
      <c r="AG89" s="34">
        <f>INDEX(COMM_Beacons!$O$6:$O$66,$AA89)</f>
        <v>33477</v>
      </c>
      <c r="AH89" s="34">
        <f>INDEX(COMM_Beacons!$P$6:$P$66,$AA89)</f>
        <v>11</v>
      </c>
      <c r="AI89" s="34">
        <f>INDEX(COMM_Beacons!$Q$6:$Q$66,$AA89)</f>
        <v>4391483</v>
      </c>
      <c r="AJ89" s="34">
        <f>INDEX(COMM_Beacons!$R$6:$R$66,$AA89)</f>
        <v>110</v>
      </c>
      <c r="AK89" s="34">
        <f>INDEX(COMM_Beacons!$S$6:$S$66,$AA89)</f>
        <v>2</v>
      </c>
      <c r="AL89" s="34">
        <f>INDEX(COMM_Beacons!$T$6:$T$66,$AA89)</f>
        <v>1126</v>
      </c>
      <c r="AM89" s="34">
        <f>INDEX(COMM_Beacons!$U$6:$U$66,$AA89)</f>
        <v>256</v>
      </c>
      <c r="AN89" s="34">
        <f>INDEX(COMM_Beacons!$V$6:$V$66,$AA89)</f>
        <v>1035520017</v>
      </c>
      <c r="AO89" s="34">
        <f>INDEX(COMM_Beacons!$W$6:$W$66,$AA89)</f>
        <v>-111</v>
      </c>
      <c r="AP89" s="34">
        <f>INDEX(COMM_Beacons!$X$6:$X$66,$AA89)</f>
        <v>1</v>
      </c>
      <c r="AQ89" s="34">
        <f>INDEX(COMM_Beacons!$Y$6:$Y$66,$AA89)</f>
        <v>17475793</v>
      </c>
      <c r="AR89" s="34">
        <f>INDEX(COMM_Beacons!$Z$6:$Z$66,$AA89)</f>
        <v>22035</v>
      </c>
      <c r="AS89" s="34">
        <f>INDEX(COMM_Beacons!$AA$6:$AA$66,$AA89)</f>
        <v>3048171728</v>
      </c>
      <c r="AT89" s="34">
        <f>INDEX(COMM_Beacons!$AB$6:$AB$66,$AA89)</f>
        <v>1105712</v>
      </c>
      <c r="AU89" s="36">
        <f>IF(AA89&lt;=1,"",INDEX(COMM_Counter_Deltas!$J$6:$J$65,AA89-1))</f>
        <v>9.4</v>
      </c>
      <c r="AV89" s="35">
        <f>IF(AA89&lt;=1,"",INDEX(COMM_Counter_Deltas!$B$6:$B$65,AA89-1))</f>
        <v>44589.744432870371</v>
      </c>
      <c r="AW89" s="35">
        <f>IF(AA89&lt;=1,"",INDEX(COMM_Counter_Deltas!$C$6:$C$65,AA89-1))</f>
        <v>44589.74454861111</v>
      </c>
      <c r="AX89" s="34" t="b">
        <v>1</v>
      </c>
      <c r="AY89" s="34">
        <v>9</v>
      </c>
      <c r="AZ89" s="34">
        <f>INDEX(OMNI_Normalized!$N$6:$N$18,MATCH(L89,OMNI_Normalized!$C$6:$C$18,0))</f>
        <v>43616</v>
      </c>
      <c r="BA89" s="37">
        <f>INDEX(OMNI_Normalized!$O$6:$O$18,MATCH(L89,OMNI_Normalized!$C$6:$C$18,0))</f>
        <v>1.85</v>
      </c>
      <c r="BB89" s="34">
        <f>INDEX(OMNI_Normalized!$H$6:$H$18,MATCH(L89,OMNI_Normalized!$C$6:$C$18,0))</f>
        <v>100</v>
      </c>
      <c r="BC89" s="34">
        <f>INDEX(OMNI_Normalized!$F$6:$F$18,MATCH(L89,OMNI_Normalized!$C$6:$C$18,0))</f>
        <v>51</v>
      </c>
      <c r="BD89" s="34">
        <f>INDEX(OMNI_Normalized!$G$6:$G$18,MATCH(L89,OMNI_Normalized!$C$6:$C$18,0))</f>
        <v>51</v>
      </c>
    </row>
    <row r="90" spans="1:56" ht="24" customHeight="1" x14ac:dyDescent="0.2">
      <c r="A90" s="7">
        <v>85</v>
      </c>
      <c r="B90" s="7">
        <v>96</v>
      </c>
      <c r="C90" s="25">
        <f>Join_Audit!C101</f>
        <v>44589.744710648149</v>
      </c>
      <c r="D90" s="12">
        <f>Join_Audit!E101</f>
        <v>574</v>
      </c>
      <c r="E90" s="12">
        <f>Join_Audit!F101</f>
        <v>1356</v>
      </c>
      <c r="F90" s="12">
        <f>Join_Audit!G101</f>
        <v>0</v>
      </c>
      <c r="G90" s="12" t="str">
        <f>Join_Audit!I101</f>
        <v>CADC0873</v>
      </c>
      <c r="H90" s="12">
        <f>Join_Audit!J101</f>
        <v>-5.2256999999999998E-6</v>
      </c>
      <c r="I90" s="25">
        <f>Join_Audit!L101</f>
        <v>44589.744664351849</v>
      </c>
      <c r="J90" s="12">
        <f>Join_Audit!O101</f>
        <v>4</v>
      </c>
      <c r="K90" s="12">
        <f>INDEX(COMM_Beacons!$D$6:$D$66,AA90)</f>
        <v>113</v>
      </c>
      <c r="L90" s="25">
        <f>Join_Audit!R101</f>
        <v>44589.744444444441</v>
      </c>
      <c r="M90" s="12">
        <f>OMNI_Normalized!J16</f>
        <v>6.39</v>
      </c>
      <c r="N90" s="12">
        <f>OMNI_Normalized!K16</f>
        <v>-1.43</v>
      </c>
      <c r="O90" s="12">
        <f>OMNI_Normalized!L16</f>
        <v>420.7</v>
      </c>
      <c r="P90" s="12">
        <f>OMNI_Normalized!M16</f>
        <v>5.23</v>
      </c>
      <c r="Q90" s="12">
        <f>OMNI_Normalized!P16</f>
        <v>65</v>
      </c>
      <c r="R90" s="12">
        <f>OMNI_Normalized!Q16</f>
        <v>2</v>
      </c>
      <c r="S90" s="14">
        <f>Settings!$B$28</f>
        <v>100</v>
      </c>
      <c r="T90" s="14">
        <f>Settings!$B$29</f>
        <v>0.02</v>
      </c>
      <c r="U90" s="14">
        <f>Settings!$B$12</f>
        <v>300</v>
      </c>
      <c r="V90" s="14">
        <f>Settings!$B$25</f>
        <v>0.25</v>
      </c>
      <c r="W90" s="14">
        <f>Settings!$B$21</f>
        <v>4</v>
      </c>
      <c r="X90" s="14">
        <f>Settings!$B$24</f>
        <v>12</v>
      </c>
      <c r="Y90" s="12" t="str">
        <f>Join_Audit!S101</f>
        <v>ACCEPT</v>
      </c>
      <c r="Z90" s="12" t="s">
        <v>857</v>
      </c>
      <c r="AA90" s="34">
        <v>51</v>
      </c>
      <c r="AB90" s="34" t="str">
        <f>INDEX(COMM_Beacons!$E$6:$E$66,AA90)</f>
        <v>CRC32C_VERIFIED</v>
      </c>
      <c r="AC90" s="34">
        <f>INDEX(COMM_Beacons!$K$6:$K$66,$AA90)</f>
        <v>367</v>
      </c>
      <c r="AD90" s="34">
        <f>INDEX(COMM_Beacons!$L$6:$L$66,$AA90)</f>
        <v>368</v>
      </c>
      <c r="AE90" s="34">
        <f>INDEX(COMM_Beacons!$M$6:$M$66,$AA90)</f>
        <v>-83</v>
      </c>
      <c r="AF90" s="34">
        <f>INDEX(COMM_Beacons!$N$6:$N$66,$AA90)</f>
        <v>257</v>
      </c>
      <c r="AG90" s="34">
        <f>INDEX(COMM_Beacons!$O$6:$O$66,$AA90)</f>
        <v>33478</v>
      </c>
      <c r="AH90" s="34">
        <f>INDEX(COMM_Beacons!$P$6:$P$66,$AA90)</f>
        <v>11</v>
      </c>
      <c r="AI90" s="34">
        <f>INDEX(COMM_Beacons!$Q$6:$Q$66,$AA90)</f>
        <v>4391577</v>
      </c>
      <c r="AJ90" s="34">
        <f>INDEX(COMM_Beacons!$R$6:$R$66,$AA90)</f>
        <v>110</v>
      </c>
      <c r="AK90" s="34">
        <f>INDEX(COMM_Beacons!$S$6:$S$66,$AA90)</f>
        <v>2</v>
      </c>
      <c r="AL90" s="34">
        <f>INDEX(COMM_Beacons!$T$6:$T$66,$AA90)</f>
        <v>1126</v>
      </c>
      <c r="AM90" s="34">
        <f>INDEX(COMM_Beacons!$U$6:$U$66,$AA90)</f>
        <v>256</v>
      </c>
      <c r="AN90" s="34">
        <f>INDEX(COMM_Beacons!$V$6:$V$66,$AA90)</f>
        <v>1035520017</v>
      </c>
      <c r="AO90" s="34">
        <f>INDEX(COMM_Beacons!$W$6:$W$66,$AA90)</f>
        <v>-102</v>
      </c>
      <c r="AP90" s="34">
        <f>INDEX(COMM_Beacons!$X$6:$X$66,$AA90)</f>
        <v>1</v>
      </c>
      <c r="AQ90" s="34">
        <f>INDEX(COMM_Beacons!$Y$6:$Y$66,$AA90)</f>
        <v>17475794</v>
      </c>
      <c r="AR90" s="34">
        <f>INDEX(COMM_Beacons!$Z$6:$Z$66,$AA90)</f>
        <v>22035</v>
      </c>
      <c r="AS90" s="34">
        <f>INDEX(COMM_Beacons!$AA$6:$AA$66,$AA90)</f>
        <v>3048171822</v>
      </c>
      <c r="AT90" s="34">
        <f>INDEX(COMM_Beacons!$AB$6:$AB$66,$AA90)</f>
        <v>1105712</v>
      </c>
      <c r="AU90" s="36">
        <f>IF(AA90&lt;=1,"",INDEX(COMM_Counter_Deltas!$J$6:$J$65,AA90-1))</f>
        <v>9.4</v>
      </c>
      <c r="AV90" s="35">
        <f>IF(AA90&lt;=1,"",INDEX(COMM_Counter_Deltas!$B$6:$B$65,AA90-1))</f>
        <v>44589.74454861111</v>
      </c>
      <c r="AW90" s="35">
        <f>IF(AA90&lt;=1,"",INDEX(COMM_Counter_Deltas!$C$6:$C$65,AA90-1))</f>
        <v>44589.744664351849</v>
      </c>
      <c r="AX90" s="34" t="b">
        <v>1</v>
      </c>
      <c r="AY90" s="34">
        <v>4</v>
      </c>
      <c r="AZ90" s="34">
        <f>INDEX(OMNI_Normalized!$N$6:$N$18,MATCH(L90,OMNI_Normalized!$C$6:$C$18,0))</f>
        <v>43616</v>
      </c>
      <c r="BA90" s="37">
        <f>INDEX(OMNI_Normalized!$O$6:$O$18,MATCH(L90,OMNI_Normalized!$C$6:$C$18,0))</f>
        <v>1.85</v>
      </c>
      <c r="BB90" s="34">
        <f>INDEX(OMNI_Normalized!$H$6:$H$18,MATCH(L90,OMNI_Normalized!$C$6:$C$18,0))</f>
        <v>100</v>
      </c>
      <c r="BC90" s="34">
        <f>INDEX(OMNI_Normalized!$F$6:$F$18,MATCH(L90,OMNI_Normalized!$C$6:$C$18,0))</f>
        <v>51</v>
      </c>
      <c r="BD90" s="34">
        <f>INDEX(OMNI_Normalized!$G$6:$G$18,MATCH(L90,OMNI_Normalized!$C$6:$C$18,0))</f>
        <v>51</v>
      </c>
    </row>
    <row r="91" spans="1:56" ht="24" customHeight="1" x14ac:dyDescent="0.2">
      <c r="A91" s="7">
        <v>86</v>
      </c>
      <c r="B91" s="7">
        <v>97</v>
      </c>
      <c r="C91" s="25">
        <f>Join_Audit!C102</f>
        <v>44589.744768518518</v>
      </c>
      <c r="D91" s="12">
        <f>Join_Audit!E102</f>
        <v>579</v>
      </c>
      <c r="E91" s="12">
        <f>Join_Audit!F102</f>
        <v>1356</v>
      </c>
      <c r="F91" s="12">
        <f>Join_Audit!G102</f>
        <v>0</v>
      </c>
      <c r="G91" s="12" t="str">
        <f>Join_Audit!I102</f>
        <v>CADC0873</v>
      </c>
      <c r="H91" s="12">
        <f>Join_Audit!J102</f>
        <v>-1.52075E-5</v>
      </c>
      <c r="I91" s="25">
        <f>Join_Audit!L102</f>
        <v>44589.744664351849</v>
      </c>
      <c r="J91" s="12">
        <f>Join_Audit!O102</f>
        <v>9</v>
      </c>
      <c r="K91" s="12">
        <f>INDEX(COMM_Beacons!$D$6:$D$66,AA91)</f>
        <v>113</v>
      </c>
      <c r="L91" s="25">
        <f>Join_Audit!R102</f>
        <v>44589.744444444441</v>
      </c>
      <c r="M91" s="12">
        <f>OMNI_Normalized!J16</f>
        <v>6.39</v>
      </c>
      <c r="N91" s="12">
        <f>OMNI_Normalized!K16</f>
        <v>-1.43</v>
      </c>
      <c r="O91" s="12">
        <f>OMNI_Normalized!L16</f>
        <v>420.7</v>
      </c>
      <c r="P91" s="12">
        <f>OMNI_Normalized!M16</f>
        <v>5.23</v>
      </c>
      <c r="Q91" s="12">
        <f>OMNI_Normalized!P16</f>
        <v>65</v>
      </c>
      <c r="R91" s="12">
        <f>OMNI_Normalized!Q16</f>
        <v>2</v>
      </c>
      <c r="S91" s="14">
        <f>Settings!$B$28</f>
        <v>100</v>
      </c>
      <c r="T91" s="14">
        <f>Settings!$B$29</f>
        <v>0.02</v>
      </c>
      <c r="U91" s="14">
        <f>Settings!$B$12</f>
        <v>300</v>
      </c>
      <c r="V91" s="14">
        <f>Settings!$B$25</f>
        <v>0.25</v>
      </c>
      <c r="W91" s="14">
        <f>Settings!$B$21</f>
        <v>4</v>
      </c>
      <c r="X91" s="14">
        <f>Settings!$B$24</f>
        <v>12</v>
      </c>
      <c r="Y91" s="12" t="str">
        <f>Join_Audit!S102</f>
        <v>ACCEPT</v>
      </c>
      <c r="Z91" s="12" t="s">
        <v>857</v>
      </c>
      <c r="AA91" s="34">
        <v>51</v>
      </c>
      <c r="AB91" s="34" t="str">
        <f>INDEX(COMM_Beacons!$E$6:$E$66,AA91)</f>
        <v>CRC32C_VERIFIED</v>
      </c>
      <c r="AC91" s="34">
        <f>INDEX(COMM_Beacons!$K$6:$K$66,$AA91)</f>
        <v>367</v>
      </c>
      <c r="AD91" s="34">
        <f>INDEX(COMM_Beacons!$L$6:$L$66,$AA91)</f>
        <v>368</v>
      </c>
      <c r="AE91" s="34">
        <f>INDEX(COMM_Beacons!$M$6:$M$66,$AA91)</f>
        <v>-83</v>
      </c>
      <c r="AF91" s="34">
        <f>INDEX(COMM_Beacons!$N$6:$N$66,$AA91)</f>
        <v>257</v>
      </c>
      <c r="AG91" s="34">
        <f>INDEX(COMM_Beacons!$O$6:$O$66,$AA91)</f>
        <v>33478</v>
      </c>
      <c r="AH91" s="34">
        <f>INDEX(COMM_Beacons!$P$6:$P$66,$AA91)</f>
        <v>11</v>
      </c>
      <c r="AI91" s="34">
        <f>INDEX(COMM_Beacons!$Q$6:$Q$66,$AA91)</f>
        <v>4391577</v>
      </c>
      <c r="AJ91" s="34">
        <f>INDEX(COMM_Beacons!$R$6:$R$66,$AA91)</f>
        <v>110</v>
      </c>
      <c r="AK91" s="34">
        <f>INDEX(COMM_Beacons!$S$6:$S$66,$AA91)</f>
        <v>2</v>
      </c>
      <c r="AL91" s="34">
        <f>INDEX(COMM_Beacons!$T$6:$T$66,$AA91)</f>
        <v>1126</v>
      </c>
      <c r="AM91" s="34">
        <f>INDEX(COMM_Beacons!$U$6:$U$66,$AA91)</f>
        <v>256</v>
      </c>
      <c r="AN91" s="34">
        <f>INDEX(COMM_Beacons!$V$6:$V$66,$AA91)</f>
        <v>1035520017</v>
      </c>
      <c r="AO91" s="34">
        <f>INDEX(COMM_Beacons!$W$6:$W$66,$AA91)</f>
        <v>-102</v>
      </c>
      <c r="AP91" s="34">
        <f>INDEX(COMM_Beacons!$X$6:$X$66,$AA91)</f>
        <v>1</v>
      </c>
      <c r="AQ91" s="34">
        <f>INDEX(COMM_Beacons!$Y$6:$Y$66,$AA91)</f>
        <v>17475794</v>
      </c>
      <c r="AR91" s="34">
        <f>INDEX(COMM_Beacons!$Z$6:$Z$66,$AA91)</f>
        <v>22035</v>
      </c>
      <c r="AS91" s="34">
        <f>INDEX(COMM_Beacons!$AA$6:$AA$66,$AA91)</f>
        <v>3048171822</v>
      </c>
      <c r="AT91" s="34">
        <f>INDEX(COMM_Beacons!$AB$6:$AB$66,$AA91)</f>
        <v>1105712</v>
      </c>
      <c r="AU91" s="36">
        <f>IF(AA91&lt;=1,"",INDEX(COMM_Counter_Deltas!$J$6:$J$65,AA91-1))</f>
        <v>9.4</v>
      </c>
      <c r="AV91" s="35">
        <f>IF(AA91&lt;=1,"",INDEX(COMM_Counter_Deltas!$B$6:$B$65,AA91-1))</f>
        <v>44589.74454861111</v>
      </c>
      <c r="AW91" s="35">
        <f>IF(AA91&lt;=1,"",INDEX(COMM_Counter_Deltas!$C$6:$C$65,AA91-1))</f>
        <v>44589.744664351849</v>
      </c>
      <c r="AX91" s="34" t="b">
        <v>1</v>
      </c>
      <c r="AY91" s="34">
        <v>9</v>
      </c>
      <c r="AZ91" s="34">
        <f>INDEX(OMNI_Normalized!$N$6:$N$18,MATCH(L91,OMNI_Normalized!$C$6:$C$18,0))</f>
        <v>43616</v>
      </c>
      <c r="BA91" s="37">
        <f>INDEX(OMNI_Normalized!$O$6:$O$18,MATCH(L91,OMNI_Normalized!$C$6:$C$18,0))</f>
        <v>1.85</v>
      </c>
      <c r="BB91" s="34">
        <f>INDEX(OMNI_Normalized!$H$6:$H$18,MATCH(L91,OMNI_Normalized!$C$6:$C$18,0))</f>
        <v>100</v>
      </c>
      <c r="BC91" s="34">
        <f>INDEX(OMNI_Normalized!$F$6:$F$18,MATCH(L91,OMNI_Normalized!$C$6:$C$18,0))</f>
        <v>51</v>
      </c>
      <c r="BD91" s="34">
        <f>INDEX(OMNI_Normalized!$G$6:$G$18,MATCH(L91,OMNI_Normalized!$C$6:$C$18,0))</f>
        <v>51</v>
      </c>
    </row>
    <row r="92" spans="1:56" ht="24" customHeight="1" x14ac:dyDescent="0.2">
      <c r="A92" s="7">
        <v>87</v>
      </c>
      <c r="B92" s="7">
        <v>98</v>
      </c>
      <c r="C92" s="25">
        <f>Join_Audit!C103</f>
        <v>44589.744826388887</v>
      </c>
      <c r="D92" s="12">
        <f>Join_Audit!E103</f>
        <v>584</v>
      </c>
      <c r="E92" s="12">
        <f>Join_Audit!F103</f>
        <v>1356</v>
      </c>
      <c r="F92" s="12">
        <f>Join_Audit!G103</f>
        <v>0</v>
      </c>
      <c r="G92" s="12" t="str">
        <f>Join_Audit!I103</f>
        <v>CADC0873</v>
      </c>
      <c r="H92" s="12">
        <f>Join_Audit!J103</f>
        <v>-2.2823399999999999E-5</v>
      </c>
      <c r="I92" s="25">
        <f>Join_Audit!L103</f>
        <v>44589.744780092587</v>
      </c>
      <c r="J92" s="12">
        <f>Join_Audit!O103</f>
        <v>4</v>
      </c>
      <c r="K92" s="12">
        <f>INDEX(COMM_Beacons!$D$6:$D$66,AA92)</f>
        <v>112</v>
      </c>
      <c r="L92" s="25">
        <f>Join_Audit!R103</f>
        <v>44589.744444444441</v>
      </c>
      <c r="M92" s="12">
        <f>OMNI_Normalized!J16</f>
        <v>6.39</v>
      </c>
      <c r="N92" s="12">
        <f>OMNI_Normalized!K16</f>
        <v>-1.43</v>
      </c>
      <c r="O92" s="12">
        <f>OMNI_Normalized!L16</f>
        <v>420.7</v>
      </c>
      <c r="P92" s="12">
        <f>OMNI_Normalized!M16</f>
        <v>5.23</v>
      </c>
      <c r="Q92" s="12">
        <f>OMNI_Normalized!P16</f>
        <v>65</v>
      </c>
      <c r="R92" s="12">
        <f>OMNI_Normalized!Q16</f>
        <v>2</v>
      </c>
      <c r="S92" s="14">
        <f>Settings!$B$28</f>
        <v>100</v>
      </c>
      <c r="T92" s="14">
        <f>Settings!$B$29</f>
        <v>0.02</v>
      </c>
      <c r="U92" s="14">
        <f>Settings!$B$12</f>
        <v>300</v>
      </c>
      <c r="V92" s="14">
        <f>Settings!$B$25</f>
        <v>0.25</v>
      </c>
      <c r="W92" s="14">
        <f>Settings!$B$21</f>
        <v>4</v>
      </c>
      <c r="X92" s="14">
        <f>Settings!$B$24</f>
        <v>12</v>
      </c>
      <c r="Y92" s="12" t="str">
        <f>Join_Audit!S103</f>
        <v>ACCEPT</v>
      </c>
      <c r="Z92" s="12" t="s">
        <v>857</v>
      </c>
      <c r="AA92" s="34">
        <v>52</v>
      </c>
      <c r="AB92" s="34" t="str">
        <f>INDEX(COMM_Beacons!$E$6:$E$66,AA92)</f>
        <v>CRC32C_VERIFIED</v>
      </c>
      <c r="AC92" s="34">
        <f>INDEX(COMM_Beacons!$K$6:$K$66,$AA92)</f>
        <v>367</v>
      </c>
      <c r="AD92" s="34">
        <f>INDEX(COMM_Beacons!$L$6:$L$66,$AA92)</f>
        <v>368</v>
      </c>
      <c r="AE92" s="34">
        <f>INDEX(COMM_Beacons!$M$6:$M$66,$AA92)</f>
        <v>-83</v>
      </c>
      <c r="AF92" s="34">
        <f>INDEX(COMM_Beacons!$N$6:$N$66,$AA92)</f>
        <v>257</v>
      </c>
      <c r="AG92" s="34">
        <f>INDEX(COMM_Beacons!$O$6:$O$66,$AA92)</f>
        <v>33479</v>
      </c>
      <c r="AH92" s="34">
        <f>INDEX(COMM_Beacons!$P$6:$P$66,$AA92)</f>
        <v>11</v>
      </c>
      <c r="AI92" s="34">
        <f>INDEX(COMM_Beacons!$Q$6:$Q$66,$AA92)</f>
        <v>4391671</v>
      </c>
      <c r="AJ92" s="34">
        <f>INDEX(COMM_Beacons!$R$6:$R$66,$AA92)</f>
        <v>110</v>
      </c>
      <c r="AK92" s="34">
        <f>INDEX(COMM_Beacons!$S$6:$S$66,$AA92)</f>
        <v>2</v>
      </c>
      <c r="AL92" s="34">
        <f>INDEX(COMM_Beacons!$T$6:$T$66,$AA92)</f>
        <v>1126</v>
      </c>
      <c r="AM92" s="34">
        <f>INDEX(COMM_Beacons!$U$6:$U$66,$AA92)</f>
        <v>256</v>
      </c>
      <c r="AN92" s="34">
        <f>INDEX(COMM_Beacons!$V$6:$V$66,$AA92)</f>
        <v>1035520017</v>
      </c>
      <c r="AO92" s="34">
        <f>INDEX(COMM_Beacons!$W$6:$W$66,$AA92)</f>
        <v>-112</v>
      </c>
      <c r="AP92" s="34">
        <f>INDEX(COMM_Beacons!$X$6:$X$66,$AA92)</f>
        <v>1</v>
      </c>
      <c r="AQ92" s="34">
        <f>INDEX(COMM_Beacons!$Y$6:$Y$66,$AA92)</f>
        <v>17475795</v>
      </c>
      <c r="AR92" s="34">
        <f>INDEX(COMM_Beacons!$Z$6:$Z$66,$AA92)</f>
        <v>22035</v>
      </c>
      <c r="AS92" s="34">
        <f>INDEX(COMM_Beacons!$AA$6:$AA$66,$AA92)</f>
        <v>3048171916</v>
      </c>
      <c r="AT92" s="34">
        <f>INDEX(COMM_Beacons!$AB$6:$AB$66,$AA92)</f>
        <v>1105712</v>
      </c>
      <c r="AU92" s="36">
        <f>IF(AA92&lt;=1,"",INDEX(COMM_Counter_Deltas!$J$6:$J$65,AA92-1))</f>
        <v>9.4</v>
      </c>
      <c r="AV92" s="35">
        <f>IF(AA92&lt;=1,"",INDEX(COMM_Counter_Deltas!$B$6:$B$65,AA92-1))</f>
        <v>44589.744664351849</v>
      </c>
      <c r="AW92" s="35">
        <f>IF(AA92&lt;=1,"",INDEX(COMM_Counter_Deltas!$C$6:$C$65,AA92-1))</f>
        <v>44589.744780092587</v>
      </c>
      <c r="AX92" s="34" t="b">
        <v>1</v>
      </c>
      <c r="AY92" s="34">
        <v>4</v>
      </c>
      <c r="AZ92" s="34">
        <f>INDEX(OMNI_Normalized!$N$6:$N$18,MATCH(L92,OMNI_Normalized!$C$6:$C$18,0))</f>
        <v>43616</v>
      </c>
      <c r="BA92" s="37">
        <f>INDEX(OMNI_Normalized!$O$6:$O$18,MATCH(L92,OMNI_Normalized!$C$6:$C$18,0))</f>
        <v>1.85</v>
      </c>
      <c r="BB92" s="34">
        <f>INDEX(OMNI_Normalized!$H$6:$H$18,MATCH(L92,OMNI_Normalized!$C$6:$C$18,0))</f>
        <v>100</v>
      </c>
      <c r="BC92" s="34">
        <f>INDEX(OMNI_Normalized!$F$6:$F$18,MATCH(L92,OMNI_Normalized!$C$6:$C$18,0))</f>
        <v>51</v>
      </c>
      <c r="BD92" s="34">
        <f>INDEX(OMNI_Normalized!$G$6:$G$18,MATCH(L92,OMNI_Normalized!$C$6:$C$18,0))</f>
        <v>51</v>
      </c>
    </row>
    <row r="93" spans="1:56" ht="24" customHeight="1" x14ac:dyDescent="0.2">
      <c r="A93" s="7">
        <v>88</v>
      </c>
      <c r="B93" s="7">
        <v>99</v>
      </c>
      <c r="C93" s="25">
        <f>Join_Audit!C104</f>
        <v>44589.744884259257</v>
      </c>
      <c r="D93" s="12">
        <f>Join_Audit!E104</f>
        <v>589</v>
      </c>
      <c r="E93" s="12">
        <f>Join_Audit!F104</f>
        <v>1356</v>
      </c>
      <c r="F93" s="12">
        <f>Join_Audit!G104</f>
        <v>0</v>
      </c>
      <c r="G93" s="12" t="str">
        <f>Join_Audit!I104</f>
        <v>CADC0873</v>
      </c>
      <c r="H93" s="12">
        <f>Join_Audit!J104</f>
        <v>-2.72367E-5</v>
      </c>
      <c r="I93" s="25">
        <f>Join_Audit!L104</f>
        <v>44589.744780092587</v>
      </c>
      <c r="J93" s="12">
        <f>Join_Audit!O104</f>
        <v>9</v>
      </c>
      <c r="K93" s="12">
        <f>INDEX(COMM_Beacons!$D$6:$D$66,AA93)</f>
        <v>112</v>
      </c>
      <c r="L93" s="25">
        <f>Join_Audit!R104</f>
        <v>44589.744444444441</v>
      </c>
      <c r="M93" s="12">
        <f>OMNI_Normalized!J16</f>
        <v>6.39</v>
      </c>
      <c r="N93" s="12">
        <f>OMNI_Normalized!K16</f>
        <v>-1.43</v>
      </c>
      <c r="O93" s="12">
        <f>OMNI_Normalized!L16</f>
        <v>420.7</v>
      </c>
      <c r="P93" s="12">
        <f>OMNI_Normalized!M16</f>
        <v>5.23</v>
      </c>
      <c r="Q93" s="12">
        <f>OMNI_Normalized!P16</f>
        <v>65</v>
      </c>
      <c r="R93" s="12">
        <f>OMNI_Normalized!Q16</f>
        <v>2</v>
      </c>
      <c r="S93" s="14">
        <f>Settings!$B$28</f>
        <v>100</v>
      </c>
      <c r="T93" s="14">
        <f>Settings!$B$29</f>
        <v>0.02</v>
      </c>
      <c r="U93" s="14">
        <f>Settings!$B$12</f>
        <v>300</v>
      </c>
      <c r="V93" s="14">
        <f>Settings!$B$25</f>
        <v>0.25</v>
      </c>
      <c r="W93" s="14">
        <f>Settings!$B$21</f>
        <v>4</v>
      </c>
      <c r="X93" s="14">
        <f>Settings!$B$24</f>
        <v>12</v>
      </c>
      <c r="Y93" s="12" t="str">
        <f>Join_Audit!S104</f>
        <v>ACCEPT</v>
      </c>
      <c r="Z93" s="12" t="s">
        <v>857</v>
      </c>
      <c r="AA93" s="34">
        <v>52</v>
      </c>
      <c r="AB93" s="34" t="str">
        <f>INDEX(COMM_Beacons!$E$6:$E$66,AA93)</f>
        <v>CRC32C_VERIFIED</v>
      </c>
      <c r="AC93" s="34">
        <f>INDEX(COMM_Beacons!$K$6:$K$66,$AA93)</f>
        <v>367</v>
      </c>
      <c r="AD93" s="34">
        <f>INDEX(COMM_Beacons!$L$6:$L$66,$AA93)</f>
        <v>368</v>
      </c>
      <c r="AE93" s="34">
        <f>INDEX(COMM_Beacons!$M$6:$M$66,$AA93)</f>
        <v>-83</v>
      </c>
      <c r="AF93" s="34">
        <f>INDEX(COMM_Beacons!$N$6:$N$66,$AA93)</f>
        <v>257</v>
      </c>
      <c r="AG93" s="34">
        <f>INDEX(COMM_Beacons!$O$6:$O$66,$AA93)</f>
        <v>33479</v>
      </c>
      <c r="AH93" s="34">
        <f>INDEX(COMM_Beacons!$P$6:$P$66,$AA93)</f>
        <v>11</v>
      </c>
      <c r="AI93" s="34">
        <f>INDEX(COMM_Beacons!$Q$6:$Q$66,$AA93)</f>
        <v>4391671</v>
      </c>
      <c r="AJ93" s="34">
        <f>INDEX(COMM_Beacons!$R$6:$R$66,$AA93)</f>
        <v>110</v>
      </c>
      <c r="AK93" s="34">
        <f>INDEX(COMM_Beacons!$S$6:$S$66,$AA93)</f>
        <v>2</v>
      </c>
      <c r="AL93" s="34">
        <f>INDEX(COMM_Beacons!$T$6:$T$66,$AA93)</f>
        <v>1126</v>
      </c>
      <c r="AM93" s="34">
        <f>INDEX(COMM_Beacons!$U$6:$U$66,$AA93)</f>
        <v>256</v>
      </c>
      <c r="AN93" s="34">
        <f>INDEX(COMM_Beacons!$V$6:$V$66,$AA93)</f>
        <v>1035520017</v>
      </c>
      <c r="AO93" s="34">
        <f>INDEX(COMM_Beacons!$W$6:$W$66,$AA93)</f>
        <v>-112</v>
      </c>
      <c r="AP93" s="34">
        <f>INDEX(COMM_Beacons!$X$6:$X$66,$AA93)</f>
        <v>1</v>
      </c>
      <c r="AQ93" s="34">
        <f>INDEX(COMM_Beacons!$Y$6:$Y$66,$AA93)</f>
        <v>17475795</v>
      </c>
      <c r="AR93" s="34">
        <f>INDEX(COMM_Beacons!$Z$6:$Z$66,$AA93)</f>
        <v>22035</v>
      </c>
      <c r="AS93" s="34">
        <f>INDEX(COMM_Beacons!$AA$6:$AA$66,$AA93)</f>
        <v>3048171916</v>
      </c>
      <c r="AT93" s="34">
        <f>INDEX(COMM_Beacons!$AB$6:$AB$66,$AA93)</f>
        <v>1105712</v>
      </c>
      <c r="AU93" s="36">
        <f>IF(AA93&lt;=1,"",INDEX(COMM_Counter_Deltas!$J$6:$J$65,AA93-1))</f>
        <v>9.4</v>
      </c>
      <c r="AV93" s="35">
        <f>IF(AA93&lt;=1,"",INDEX(COMM_Counter_Deltas!$B$6:$B$65,AA93-1))</f>
        <v>44589.744664351849</v>
      </c>
      <c r="AW93" s="35">
        <f>IF(AA93&lt;=1,"",INDEX(COMM_Counter_Deltas!$C$6:$C$65,AA93-1))</f>
        <v>44589.744780092587</v>
      </c>
      <c r="AX93" s="34" t="b">
        <v>1</v>
      </c>
      <c r="AY93" s="34">
        <v>9</v>
      </c>
      <c r="AZ93" s="34">
        <f>INDEX(OMNI_Normalized!$N$6:$N$18,MATCH(L93,OMNI_Normalized!$C$6:$C$18,0))</f>
        <v>43616</v>
      </c>
      <c r="BA93" s="37">
        <f>INDEX(OMNI_Normalized!$O$6:$O$18,MATCH(L93,OMNI_Normalized!$C$6:$C$18,0))</f>
        <v>1.85</v>
      </c>
      <c r="BB93" s="34">
        <f>INDEX(OMNI_Normalized!$H$6:$H$18,MATCH(L93,OMNI_Normalized!$C$6:$C$18,0))</f>
        <v>100</v>
      </c>
      <c r="BC93" s="34">
        <f>INDEX(OMNI_Normalized!$F$6:$F$18,MATCH(L93,OMNI_Normalized!$C$6:$C$18,0))</f>
        <v>51</v>
      </c>
      <c r="BD93" s="34">
        <f>INDEX(OMNI_Normalized!$G$6:$G$18,MATCH(L93,OMNI_Normalized!$C$6:$C$18,0))</f>
        <v>51</v>
      </c>
    </row>
    <row r="94" spans="1:56" ht="24" customHeight="1" x14ac:dyDescent="0.2">
      <c r="A94" s="7">
        <v>89</v>
      </c>
      <c r="B94" s="7">
        <v>100</v>
      </c>
      <c r="C94" s="25">
        <f>Join_Audit!C105</f>
        <v>44589.744942129633</v>
      </c>
      <c r="D94" s="12">
        <f>Join_Audit!E105</f>
        <v>594</v>
      </c>
      <c r="E94" s="12">
        <f>Join_Audit!F105</f>
        <v>1356</v>
      </c>
      <c r="F94" s="12">
        <f>Join_Audit!G105</f>
        <v>0</v>
      </c>
      <c r="G94" s="12" t="str">
        <f>Join_Audit!I105</f>
        <v>CADC0873</v>
      </c>
      <c r="H94" s="12">
        <f>Join_Audit!J105</f>
        <v>-2.99254E-5</v>
      </c>
      <c r="I94" s="25">
        <f>Join_Audit!L105</f>
        <v>44589.744895833333</v>
      </c>
      <c r="J94" s="12">
        <f>Join_Audit!O105</f>
        <v>4</v>
      </c>
      <c r="K94" s="12">
        <f>INDEX(COMM_Beacons!$D$6:$D$66,AA94)</f>
        <v>111</v>
      </c>
      <c r="L94" s="25">
        <f>Join_Audit!R105</f>
        <v>44589.744444444441</v>
      </c>
      <c r="M94" s="12">
        <f>OMNI_Normalized!J16</f>
        <v>6.39</v>
      </c>
      <c r="N94" s="12">
        <f>OMNI_Normalized!K16</f>
        <v>-1.43</v>
      </c>
      <c r="O94" s="12">
        <f>OMNI_Normalized!L16</f>
        <v>420.7</v>
      </c>
      <c r="P94" s="12">
        <f>OMNI_Normalized!M16</f>
        <v>5.23</v>
      </c>
      <c r="Q94" s="12">
        <f>OMNI_Normalized!P16</f>
        <v>65</v>
      </c>
      <c r="R94" s="12">
        <f>OMNI_Normalized!Q16</f>
        <v>2</v>
      </c>
      <c r="S94" s="14">
        <f>Settings!$B$28</f>
        <v>100</v>
      </c>
      <c r="T94" s="14">
        <f>Settings!$B$29</f>
        <v>0.02</v>
      </c>
      <c r="U94" s="14">
        <f>Settings!$B$12</f>
        <v>300</v>
      </c>
      <c r="V94" s="14">
        <f>Settings!$B$25</f>
        <v>0.25</v>
      </c>
      <c r="W94" s="14">
        <f>Settings!$B$21</f>
        <v>4</v>
      </c>
      <c r="X94" s="14">
        <f>Settings!$B$24</f>
        <v>12</v>
      </c>
      <c r="Y94" s="12" t="str">
        <f>Join_Audit!S105</f>
        <v>ACCEPT</v>
      </c>
      <c r="Z94" s="12" t="s">
        <v>857</v>
      </c>
      <c r="AA94" s="34">
        <v>53</v>
      </c>
      <c r="AB94" s="34" t="str">
        <f>INDEX(COMM_Beacons!$E$6:$E$66,AA94)</f>
        <v>CRC32C_VERIFIED</v>
      </c>
      <c r="AC94" s="34">
        <f>INDEX(COMM_Beacons!$K$6:$K$66,$AA94)</f>
        <v>367</v>
      </c>
      <c r="AD94" s="34">
        <f>INDEX(COMM_Beacons!$L$6:$L$66,$AA94)</f>
        <v>368</v>
      </c>
      <c r="AE94" s="34">
        <f>INDEX(COMM_Beacons!$M$6:$M$66,$AA94)</f>
        <v>-83</v>
      </c>
      <c r="AF94" s="34">
        <f>INDEX(COMM_Beacons!$N$6:$N$66,$AA94)</f>
        <v>257</v>
      </c>
      <c r="AG94" s="34">
        <f>INDEX(COMM_Beacons!$O$6:$O$66,$AA94)</f>
        <v>33480</v>
      </c>
      <c r="AH94" s="34">
        <f>INDEX(COMM_Beacons!$P$6:$P$66,$AA94)</f>
        <v>11</v>
      </c>
      <c r="AI94" s="34">
        <f>INDEX(COMM_Beacons!$Q$6:$Q$66,$AA94)</f>
        <v>4391765</v>
      </c>
      <c r="AJ94" s="34">
        <f>INDEX(COMM_Beacons!$R$6:$R$66,$AA94)</f>
        <v>110</v>
      </c>
      <c r="AK94" s="34">
        <f>INDEX(COMM_Beacons!$S$6:$S$66,$AA94)</f>
        <v>2</v>
      </c>
      <c r="AL94" s="34">
        <f>INDEX(COMM_Beacons!$T$6:$T$66,$AA94)</f>
        <v>1126</v>
      </c>
      <c r="AM94" s="34">
        <f>INDEX(COMM_Beacons!$U$6:$U$66,$AA94)</f>
        <v>256</v>
      </c>
      <c r="AN94" s="34">
        <f>INDEX(COMM_Beacons!$V$6:$V$66,$AA94)</f>
        <v>1035520017</v>
      </c>
      <c r="AO94" s="34">
        <f>INDEX(COMM_Beacons!$W$6:$W$66,$AA94)</f>
        <v>-111</v>
      </c>
      <c r="AP94" s="34">
        <f>INDEX(COMM_Beacons!$X$6:$X$66,$AA94)</f>
        <v>1</v>
      </c>
      <c r="AQ94" s="34">
        <f>INDEX(COMM_Beacons!$Y$6:$Y$66,$AA94)</f>
        <v>17475796</v>
      </c>
      <c r="AR94" s="34">
        <f>INDEX(COMM_Beacons!$Z$6:$Z$66,$AA94)</f>
        <v>22035</v>
      </c>
      <c r="AS94" s="34">
        <f>INDEX(COMM_Beacons!$AA$6:$AA$66,$AA94)</f>
        <v>3048172010</v>
      </c>
      <c r="AT94" s="34">
        <f>INDEX(COMM_Beacons!$AB$6:$AB$66,$AA94)</f>
        <v>1105712</v>
      </c>
      <c r="AU94" s="36">
        <f>IF(AA94&lt;=1,"",INDEX(COMM_Counter_Deltas!$J$6:$J$65,AA94-1))</f>
        <v>9.4</v>
      </c>
      <c r="AV94" s="35">
        <f>IF(AA94&lt;=1,"",INDEX(COMM_Counter_Deltas!$B$6:$B$65,AA94-1))</f>
        <v>44589.744780092587</v>
      </c>
      <c r="AW94" s="35">
        <f>IF(AA94&lt;=1,"",INDEX(COMM_Counter_Deltas!$C$6:$C$65,AA94-1))</f>
        <v>44589.744895833333</v>
      </c>
      <c r="AX94" s="34" t="b">
        <v>1</v>
      </c>
      <c r="AY94" s="34">
        <v>4</v>
      </c>
      <c r="AZ94" s="34">
        <f>INDEX(OMNI_Normalized!$N$6:$N$18,MATCH(L94,OMNI_Normalized!$C$6:$C$18,0))</f>
        <v>43616</v>
      </c>
      <c r="BA94" s="37">
        <f>INDEX(OMNI_Normalized!$O$6:$O$18,MATCH(L94,OMNI_Normalized!$C$6:$C$18,0))</f>
        <v>1.85</v>
      </c>
      <c r="BB94" s="34">
        <f>INDEX(OMNI_Normalized!$H$6:$H$18,MATCH(L94,OMNI_Normalized!$C$6:$C$18,0))</f>
        <v>100</v>
      </c>
      <c r="BC94" s="34">
        <f>INDEX(OMNI_Normalized!$F$6:$F$18,MATCH(L94,OMNI_Normalized!$C$6:$C$18,0))</f>
        <v>51</v>
      </c>
      <c r="BD94" s="34">
        <f>INDEX(OMNI_Normalized!$G$6:$G$18,MATCH(L94,OMNI_Normalized!$C$6:$C$18,0))</f>
        <v>51</v>
      </c>
    </row>
    <row r="95" spans="1:56" ht="24" customHeight="1" x14ac:dyDescent="0.2">
      <c r="A95" s="7">
        <v>90</v>
      </c>
      <c r="B95" s="7">
        <v>101</v>
      </c>
      <c r="C95" s="25">
        <f>Join_Audit!C106</f>
        <v>44589.745000000003</v>
      </c>
      <c r="D95" s="12">
        <f>Join_Audit!E106</f>
        <v>599</v>
      </c>
      <c r="E95" s="12">
        <f>Join_Audit!F106</f>
        <v>1357</v>
      </c>
      <c r="F95" s="12">
        <f>Join_Audit!G106</f>
        <v>1</v>
      </c>
      <c r="G95" s="12" t="str">
        <f>Join_Audit!I106</f>
        <v>CADC0873</v>
      </c>
      <c r="H95" s="12">
        <f>Join_Audit!J106</f>
        <v>-2.9238200000000001E-5</v>
      </c>
      <c r="I95" s="25">
        <f>Join_Audit!L106</f>
        <v>44589.744895833333</v>
      </c>
      <c r="J95" s="12">
        <f>Join_Audit!O106</f>
        <v>9</v>
      </c>
      <c r="K95" s="12">
        <f>INDEX(COMM_Beacons!$D$6:$D$66,AA95)</f>
        <v>111</v>
      </c>
      <c r="L95" s="25">
        <f>Join_Audit!R106</f>
        <v>44589.744444444441</v>
      </c>
      <c r="M95" s="12">
        <f>OMNI_Normalized!J16</f>
        <v>6.39</v>
      </c>
      <c r="N95" s="12">
        <f>OMNI_Normalized!K16</f>
        <v>-1.43</v>
      </c>
      <c r="O95" s="12">
        <f>OMNI_Normalized!L16</f>
        <v>420.7</v>
      </c>
      <c r="P95" s="12">
        <f>OMNI_Normalized!M16</f>
        <v>5.23</v>
      </c>
      <c r="Q95" s="12">
        <f>OMNI_Normalized!P16</f>
        <v>65</v>
      </c>
      <c r="R95" s="12">
        <f>OMNI_Normalized!Q16</f>
        <v>2</v>
      </c>
      <c r="S95" s="14">
        <f>Settings!$B$28</f>
        <v>100</v>
      </c>
      <c r="T95" s="14">
        <f>Settings!$B$29</f>
        <v>0.02</v>
      </c>
      <c r="U95" s="14">
        <f>Settings!$B$12</f>
        <v>300</v>
      </c>
      <c r="V95" s="14">
        <f>Settings!$B$25</f>
        <v>0.25</v>
      </c>
      <c r="W95" s="14">
        <f>Settings!$B$21</f>
        <v>4</v>
      </c>
      <c r="X95" s="14">
        <f>Settings!$B$24</f>
        <v>12</v>
      </c>
      <c r="Y95" s="12" t="str">
        <f>Join_Audit!S106</f>
        <v>ACCEPT</v>
      </c>
      <c r="Z95" s="12" t="s">
        <v>857</v>
      </c>
      <c r="AA95" s="34">
        <v>53</v>
      </c>
      <c r="AB95" s="34" t="str">
        <f>INDEX(COMM_Beacons!$E$6:$E$66,AA95)</f>
        <v>CRC32C_VERIFIED</v>
      </c>
      <c r="AC95" s="34">
        <f>INDEX(COMM_Beacons!$K$6:$K$66,$AA95)</f>
        <v>367</v>
      </c>
      <c r="AD95" s="34">
        <f>INDEX(COMM_Beacons!$L$6:$L$66,$AA95)</f>
        <v>368</v>
      </c>
      <c r="AE95" s="34">
        <f>INDEX(COMM_Beacons!$M$6:$M$66,$AA95)</f>
        <v>-83</v>
      </c>
      <c r="AF95" s="34">
        <f>INDEX(COMM_Beacons!$N$6:$N$66,$AA95)</f>
        <v>257</v>
      </c>
      <c r="AG95" s="34">
        <f>INDEX(COMM_Beacons!$O$6:$O$66,$AA95)</f>
        <v>33480</v>
      </c>
      <c r="AH95" s="34">
        <f>INDEX(COMM_Beacons!$P$6:$P$66,$AA95)</f>
        <v>11</v>
      </c>
      <c r="AI95" s="34">
        <f>INDEX(COMM_Beacons!$Q$6:$Q$66,$AA95)</f>
        <v>4391765</v>
      </c>
      <c r="AJ95" s="34">
        <f>INDEX(COMM_Beacons!$R$6:$R$66,$AA95)</f>
        <v>110</v>
      </c>
      <c r="AK95" s="34">
        <f>INDEX(COMM_Beacons!$S$6:$S$66,$AA95)</f>
        <v>2</v>
      </c>
      <c r="AL95" s="34">
        <f>INDEX(COMM_Beacons!$T$6:$T$66,$AA95)</f>
        <v>1126</v>
      </c>
      <c r="AM95" s="34">
        <f>INDEX(COMM_Beacons!$U$6:$U$66,$AA95)</f>
        <v>256</v>
      </c>
      <c r="AN95" s="34">
        <f>INDEX(COMM_Beacons!$V$6:$V$66,$AA95)</f>
        <v>1035520017</v>
      </c>
      <c r="AO95" s="34">
        <f>INDEX(COMM_Beacons!$W$6:$W$66,$AA95)</f>
        <v>-111</v>
      </c>
      <c r="AP95" s="34">
        <f>INDEX(COMM_Beacons!$X$6:$X$66,$AA95)</f>
        <v>1</v>
      </c>
      <c r="AQ95" s="34">
        <f>INDEX(COMM_Beacons!$Y$6:$Y$66,$AA95)</f>
        <v>17475796</v>
      </c>
      <c r="AR95" s="34">
        <f>INDEX(COMM_Beacons!$Z$6:$Z$66,$AA95)</f>
        <v>22035</v>
      </c>
      <c r="AS95" s="34">
        <f>INDEX(COMM_Beacons!$AA$6:$AA$66,$AA95)</f>
        <v>3048172010</v>
      </c>
      <c r="AT95" s="34">
        <f>INDEX(COMM_Beacons!$AB$6:$AB$66,$AA95)</f>
        <v>1105712</v>
      </c>
      <c r="AU95" s="36">
        <f>IF(AA95&lt;=1,"",INDEX(COMM_Counter_Deltas!$J$6:$J$65,AA95-1))</f>
        <v>9.4</v>
      </c>
      <c r="AV95" s="35">
        <f>IF(AA95&lt;=1,"",INDEX(COMM_Counter_Deltas!$B$6:$B$65,AA95-1))</f>
        <v>44589.744780092587</v>
      </c>
      <c r="AW95" s="35">
        <f>IF(AA95&lt;=1,"",INDEX(COMM_Counter_Deltas!$C$6:$C$65,AA95-1))</f>
        <v>44589.744895833333</v>
      </c>
      <c r="AX95" s="34" t="b">
        <v>1</v>
      </c>
      <c r="AY95" s="34">
        <v>9</v>
      </c>
      <c r="AZ95" s="34">
        <f>INDEX(OMNI_Normalized!$N$6:$N$18,MATCH(L95,OMNI_Normalized!$C$6:$C$18,0))</f>
        <v>43616</v>
      </c>
      <c r="BA95" s="37">
        <f>INDEX(OMNI_Normalized!$O$6:$O$18,MATCH(L95,OMNI_Normalized!$C$6:$C$18,0))</f>
        <v>1.85</v>
      </c>
      <c r="BB95" s="34">
        <f>INDEX(OMNI_Normalized!$H$6:$H$18,MATCH(L95,OMNI_Normalized!$C$6:$C$18,0))</f>
        <v>100</v>
      </c>
      <c r="BC95" s="34">
        <f>INDEX(OMNI_Normalized!$F$6:$F$18,MATCH(L95,OMNI_Normalized!$C$6:$C$18,0))</f>
        <v>51</v>
      </c>
      <c r="BD95" s="34">
        <f>INDEX(OMNI_Normalized!$G$6:$G$18,MATCH(L95,OMNI_Normalized!$C$6:$C$18,0))</f>
        <v>51</v>
      </c>
    </row>
    <row r="96" spans="1:56" ht="24" customHeight="1" x14ac:dyDescent="0.2">
      <c r="A96" s="7">
        <v>91</v>
      </c>
      <c r="B96" s="7">
        <v>102</v>
      </c>
      <c r="C96" s="25">
        <f>Join_Audit!C107</f>
        <v>44589.745057870372</v>
      </c>
      <c r="D96" s="12">
        <f>Join_Audit!E107</f>
        <v>604</v>
      </c>
      <c r="E96" s="12">
        <f>Join_Audit!F107</f>
        <v>1357</v>
      </c>
      <c r="F96" s="12">
        <f>Join_Audit!G107</f>
        <v>1</v>
      </c>
      <c r="G96" s="12" t="str">
        <f>Join_Audit!I107</f>
        <v>CADC0873</v>
      </c>
      <c r="H96" s="12">
        <f>Join_Audit!J107</f>
        <v>-2.5530399999999999E-5</v>
      </c>
      <c r="I96" s="25">
        <f>Join_Audit!L107</f>
        <v>44589.745011574072</v>
      </c>
      <c r="J96" s="12">
        <f>Join_Audit!O107</f>
        <v>4</v>
      </c>
      <c r="K96" s="12">
        <f>INDEX(COMM_Beacons!$D$6:$D$66,AA96)</f>
        <v>110</v>
      </c>
      <c r="L96" s="25">
        <f>Join_Audit!R107</f>
        <v>44589.744444444441</v>
      </c>
      <c r="M96" s="12">
        <f>OMNI_Normalized!J16</f>
        <v>6.39</v>
      </c>
      <c r="N96" s="12">
        <f>OMNI_Normalized!K16</f>
        <v>-1.43</v>
      </c>
      <c r="O96" s="12">
        <f>OMNI_Normalized!L16</f>
        <v>420.7</v>
      </c>
      <c r="P96" s="12">
        <f>OMNI_Normalized!M16</f>
        <v>5.23</v>
      </c>
      <c r="Q96" s="12">
        <f>OMNI_Normalized!P16</f>
        <v>65</v>
      </c>
      <c r="R96" s="12">
        <f>OMNI_Normalized!Q16</f>
        <v>2</v>
      </c>
      <c r="S96" s="14">
        <f>Settings!$B$28</f>
        <v>100</v>
      </c>
      <c r="T96" s="14">
        <f>Settings!$B$29</f>
        <v>0.02</v>
      </c>
      <c r="U96" s="14">
        <f>Settings!$B$12</f>
        <v>300</v>
      </c>
      <c r="V96" s="14">
        <f>Settings!$B$25</f>
        <v>0.25</v>
      </c>
      <c r="W96" s="14">
        <f>Settings!$B$21</f>
        <v>4</v>
      </c>
      <c r="X96" s="14">
        <f>Settings!$B$24</f>
        <v>12</v>
      </c>
      <c r="Y96" s="12" t="str">
        <f>Join_Audit!S107</f>
        <v>ACCEPT</v>
      </c>
      <c r="Z96" s="12" t="s">
        <v>857</v>
      </c>
      <c r="AA96" s="34">
        <v>54</v>
      </c>
      <c r="AB96" s="34" t="str">
        <f>INDEX(COMM_Beacons!$E$6:$E$66,AA96)</f>
        <v>CRC32C_VERIFIED</v>
      </c>
      <c r="AC96" s="34">
        <f>INDEX(COMM_Beacons!$K$6:$K$66,$AA96)</f>
        <v>366</v>
      </c>
      <c r="AD96" s="34">
        <f>INDEX(COMM_Beacons!$L$6:$L$66,$AA96)</f>
        <v>368</v>
      </c>
      <c r="AE96" s="34">
        <f>INDEX(COMM_Beacons!$M$6:$M$66,$AA96)</f>
        <v>-83</v>
      </c>
      <c r="AF96" s="34">
        <f>INDEX(COMM_Beacons!$N$6:$N$66,$AA96)</f>
        <v>257</v>
      </c>
      <c r="AG96" s="34">
        <f>INDEX(COMM_Beacons!$O$6:$O$66,$AA96)</f>
        <v>33481</v>
      </c>
      <c r="AH96" s="34">
        <f>INDEX(COMM_Beacons!$P$6:$P$66,$AA96)</f>
        <v>11</v>
      </c>
      <c r="AI96" s="34">
        <f>INDEX(COMM_Beacons!$Q$6:$Q$66,$AA96)</f>
        <v>4391859</v>
      </c>
      <c r="AJ96" s="34">
        <f>INDEX(COMM_Beacons!$R$6:$R$66,$AA96)</f>
        <v>110</v>
      </c>
      <c r="AK96" s="34">
        <f>INDEX(COMM_Beacons!$S$6:$S$66,$AA96)</f>
        <v>2</v>
      </c>
      <c r="AL96" s="34">
        <f>INDEX(COMM_Beacons!$T$6:$T$66,$AA96)</f>
        <v>1126</v>
      </c>
      <c r="AM96" s="34">
        <f>INDEX(COMM_Beacons!$U$6:$U$66,$AA96)</f>
        <v>256</v>
      </c>
      <c r="AN96" s="34">
        <f>INDEX(COMM_Beacons!$V$6:$V$66,$AA96)</f>
        <v>1035520017</v>
      </c>
      <c r="AO96" s="34">
        <f>INDEX(COMM_Beacons!$W$6:$W$66,$AA96)</f>
        <v>-111</v>
      </c>
      <c r="AP96" s="34">
        <f>INDEX(COMM_Beacons!$X$6:$X$66,$AA96)</f>
        <v>1</v>
      </c>
      <c r="AQ96" s="34">
        <f>INDEX(COMM_Beacons!$Y$6:$Y$66,$AA96)</f>
        <v>17475797</v>
      </c>
      <c r="AR96" s="34">
        <f>INDEX(COMM_Beacons!$Z$6:$Z$66,$AA96)</f>
        <v>22035</v>
      </c>
      <c r="AS96" s="34">
        <f>INDEX(COMM_Beacons!$AA$6:$AA$66,$AA96)</f>
        <v>3048172104</v>
      </c>
      <c r="AT96" s="34">
        <f>INDEX(COMM_Beacons!$AB$6:$AB$66,$AA96)</f>
        <v>1105712</v>
      </c>
      <c r="AU96" s="36">
        <f>IF(AA96&lt;=1,"",INDEX(COMM_Counter_Deltas!$J$6:$J$65,AA96-1))</f>
        <v>9.4</v>
      </c>
      <c r="AV96" s="35">
        <f>IF(AA96&lt;=1,"",INDEX(COMM_Counter_Deltas!$B$6:$B$65,AA96-1))</f>
        <v>44589.744895833333</v>
      </c>
      <c r="AW96" s="35">
        <f>IF(AA96&lt;=1,"",INDEX(COMM_Counter_Deltas!$C$6:$C$65,AA96-1))</f>
        <v>44589.745011574072</v>
      </c>
      <c r="AX96" s="34" t="b">
        <v>1</v>
      </c>
      <c r="AY96" s="34">
        <v>4</v>
      </c>
      <c r="AZ96" s="34">
        <f>INDEX(OMNI_Normalized!$N$6:$N$18,MATCH(L96,OMNI_Normalized!$C$6:$C$18,0))</f>
        <v>43616</v>
      </c>
      <c r="BA96" s="37">
        <f>INDEX(OMNI_Normalized!$O$6:$O$18,MATCH(L96,OMNI_Normalized!$C$6:$C$18,0))</f>
        <v>1.85</v>
      </c>
      <c r="BB96" s="34">
        <f>INDEX(OMNI_Normalized!$H$6:$H$18,MATCH(L96,OMNI_Normalized!$C$6:$C$18,0))</f>
        <v>100</v>
      </c>
      <c r="BC96" s="34">
        <f>INDEX(OMNI_Normalized!$F$6:$F$18,MATCH(L96,OMNI_Normalized!$C$6:$C$18,0))</f>
        <v>51</v>
      </c>
      <c r="BD96" s="34">
        <f>INDEX(OMNI_Normalized!$G$6:$G$18,MATCH(L96,OMNI_Normalized!$C$6:$C$18,0))</f>
        <v>51</v>
      </c>
    </row>
    <row r="97" spans="1:56" ht="24" customHeight="1" x14ac:dyDescent="0.2">
      <c r="A97" s="7">
        <v>92</v>
      </c>
      <c r="B97" s="7">
        <v>103</v>
      </c>
      <c r="C97" s="25">
        <f>Join_Audit!C108</f>
        <v>44589.745115740741</v>
      </c>
      <c r="D97" s="12">
        <f>Join_Audit!E108</f>
        <v>609</v>
      </c>
      <c r="E97" s="12">
        <f>Join_Audit!F108</f>
        <v>1357</v>
      </c>
      <c r="F97" s="12">
        <f>Join_Audit!G108</f>
        <v>1</v>
      </c>
      <c r="G97" s="12" t="str">
        <f>Join_Audit!I108</f>
        <v>CADC0873</v>
      </c>
      <c r="H97" s="12">
        <f>Join_Audit!J108</f>
        <v>-1.8904699999999999E-5</v>
      </c>
      <c r="I97" s="25">
        <f>Join_Audit!L108</f>
        <v>44589.745011574072</v>
      </c>
      <c r="J97" s="12">
        <f>Join_Audit!O108</f>
        <v>9</v>
      </c>
      <c r="K97" s="12">
        <f>INDEX(COMM_Beacons!$D$6:$D$66,AA97)</f>
        <v>110</v>
      </c>
      <c r="L97" s="25">
        <f>Join_Audit!R108</f>
        <v>44589.744444444441</v>
      </c>
      <c r="M97" s="12">
        <f>OMNI_Normalized!J16</f>
        <v>6.39</v>
      </c>
      <c r="N97" s="12">
        <f>OMNI_Normalized!K16</f>
        <v>-1.43</v>
      </c>
      <c r="O97" s="12">
        <f>OMNI_Normalized!L16</f>
        <v>420.7</v>
      </c>
      <c r="P97" s="12">
        <f>OMNI_Normalized!M16</f>
        <v>5.23</v>
      </c>
      <c r="Q97" s="12">
        <f>OMNI_Normalized!P16</f>
        <v>65</v>
      </c>
      <c r="R97" s="12">
        <f>OMNI_Normalized!Q16</f>
        <v>2</v>
      </c>
      <c r="S97" s="14">
        <f>Settings!$B$28</f>
        <v>100</v>
      </c>
      <c r="T97" s="14">
        <f>Settings!$B$29</f>
        <v>0.02</v>
      </c>
      <c r="U97" s="14">
        <f>Settings!$B$12</f>
        <v>300</v>
      </c>
      <c r="V97" s="14">
        <f>Settings!$B$25</f>
        <v>0.25</v>
      </c>
      <c r="W97" s="14">
        <f>Settings!$B$21</f>
        <v>4</v>
      </c>
      <c r="X97" s="14">
        <f>Settings!$B$24</f>
        <v>12</v>
      </c>
      <c r="Y97" s="12" t="str">
        <f>Join_Audit!S108</f>
        <v>ACCEPT</v>
      </c>
      <c r="Z97" s="12" t="s">
        <v>857</v>
      </c>
      <c r="AA97" s="34">
        <v>54</v>
      </c>
      <c r="AB97" s="34" t="str">
        <f>INDEX(COMM_Beacons!$E$6:$E$66,AA97)</f>
        <v>CRC32C_VERIFIED</v>
      </c>
      <c r="AC97" s="34">
        <f>INDEX(COMM_Beacons!$K$6:$K$66,$AA97)</f>
        <v>366</v>
      </c>
      <c r="AD97" s="34">
        <f>INDEX(COMM_Beacons!$L$6:$L$66,$AA97)</f>
        <v>368</v>
      </c>
      <c r="AE97" s="34">
        <f>INDEX(COMM_Beacons!$M$6:$M$66,$AA97)</f>
        <v>-83</v>
      </c>
      <c r="AF97" s="34">
        <f>INDEX(COMM_Beacons!$N$6:$N$66,$AA97)</f>
        <v>257</v>
      </c>
      <c r="AG97" s="34">
        <f>INDEX(COMM_Beacons!$O$6:$O$66,$AA97)</f>
        <v>33481</v>
      </c>
      <c r="AH97" s="34">
        <f>INDEX(COMM_Beacons!$P$6:$P$66,$AA97)</f>
        <v>11</v>
      </c>
      <c r="AI97" s="34">
        <f>INDEX(COMM_Beacons!$Q$6:$Q$66,$AA97)</f>
        <v>4391859</v>
      </c>
      <c r="AJ97" s="34">
        <f>INDEX(COMM_Beacons!$R$6:$R$66,$AA97)</f>
        <v>110</v>
      </c>
      <c r="AK97" s="34">
        <f>INDEX(COMM_Beacons!$S$6:$S$66,$AA97)</f>
        <v>2</v>
      </c>
      <c r="AL97" s="34">
        <f>INDEX(COMM_Beacons!$T$6:$T$66,$AA97)</f>
        <v>1126</v>
      </c>
      <c r="AM97" s="34">
        <f>INDEX(COMM_Beacons!$U$6:$U$66,$AA97)</f>
        <v>256</v>
      </c>
      <c r="AN97" s="34">
        <f>INDEX(COMM_Beacons!$V$6:$V$66,$AA97)</f>
        <v>1035520017</v>
      </c>
      <c r="AO97" s="34">
        <f>INDEX(COMM_Beacons!$W$6:$W$66,$AA97)</f>
        <v>-111</v>
      </c>
      <c r="AP97" s="34">
        <f>INDEX(COMM_Beacons!$X$6:$X$66,$AA97)</f>
        <v>1</v>
      </c>
      <c r="AQ97" s="34">
        <f>INDEX(COMM_Beacons!$Y$6:$Y$66,$AA97)</f>
        <v>17475797</v>
      </c>
      <c r="AR97" s="34">
        <f>INDEX(COMM_Beacons!$Z$6:$Z$66,$AA97)</f>
        <v>22035</v>
      </c>
      <c r="AS97" s="34">
        <f>INDEX(COMM_Beacons!$AA$6:$AA$66,$AA97)</f>
        <v>3048172104</v>
      </c>
      <c r="AT97" s="34">
        <f>INDEX(COMM_Beacons!$AB$6:$AB$66,$AA97)</f>
        <v>1105712</v>
      </c>
      <c r="AU97" s="36">
        <f>IF(AA97&lt;=1,"",INDEX(COMM_Counter_Deltas!$J$6:$J$65,AA97-1))</f>
        <v>9.4</v>
      </c>
      <c r="AV97" s="35">
        <f>IF(AA97&lt;=1,"",INDEX(COMM_Counter_Deltas!$B$6:$B$65,AA97-1))</f>
        <v>44589.744895833333</v>
      </c>
      <c r="AW97" s="35">
        <f>IF(AA97&lt;=1,"",INDEX(COMM_Counter_Deltas!$C$6:$C$65,AA97-1))</f>
        <v>44589.745011574072</v>
      </c>
      <c r="AX97" s="34" t="b">
        <v>1</v>
      </c>
      <c r="AY97" s="34">
        <v>9</v>
      </c>
      <c r="AZ97" s="34">
        <f>INDEX(OMNI_Normalized!$N$6:$N$18,MATCH(L97,OMNI_Normalized!$C$6:$C$18,0))</f>
        <v>43616</v>
      </c>
      <c r="BA97" s="37">
        <f>INDEX(OMNI_Normalized!$O$6:$O$18,MATCH(L97,OMNI_Normalized!$C$6:$C$18,0))</f>
        <v>1.85</v>
      </c>
      <c r="BB97" s="34">
        <f>INDEX(OMNI_Normalized!$H$6:$H$18,MATCH(L97,OMNI_Normalized!$C$6:$C$18,0))</f>
        <v>100</v>
      </c>
      <c r="BC97" s="34">
        <f>INDEX(OMNI_Normalized!$F$6:$F$18,MATCH(L97,OMNI_Normalized!$C$6:$C$18,0))</f>
        <v>51</v>
      </c>
      <c r="BD97" s="34">
        <f>INDEX(OMNI_Normalized!$G$6:$G$18,MATCH(L97,OMNI_Normalized!$C$6:$C$18,0))</f>
        <v>51</v>
      </c>
    </row>
    <row r="98" spans="1:56" ht="24" customHeight="1" x14ac:dyDescent="0.2">
      <c r="A98" s="7">
        <v>93</v>
      </c>
      <c r="B98" s="7">
        <v>104</v>
      </c>
      <c r="C98" s="25">
        <f>Join_Audit!C109</f>
        <v>44589.745173611111</v>
      </c>
      <c r="D98" s="12">
        <f>Join_Audit!E109</f>
        <v>614</v>
      </c>
      <c r="E98" s="12">
        <f>Join_Audit!F109</f>
        <v>1357</v>
      </c>
      <c r="F98" s="12">
        <f>Join_Audit!G109</f>
        <v>1</v>
      </c>
      <c r="G98" s="12" t="str">
        <f>Join_Audit!I109</f>
        <v>CADC0873</v>
      </c>
      <c r="H98" s="12">
        <f>Join_Audit!J109</f>
        <v>-9.9715200000000007E-6</v>
      </c>
      <c r="I98" s="25">
        <f>Join_Audit!L109</f>
        <v>44589.745127314818</v>
      </c>
      <c r="J98" s="12">
        <f>Join_Audit!O109</f>
        <v>4</v>
      </c>
      <c r="K98" s="12">
        <f>INDEX(COMM_Beacons!$D$6:$D$66,AA98)</f>
        <v>109</v>
      </c>
      <c r="L98" s="25">
        <f>Join_Audit!R109</f>
        <v>44589.745138888888</v>
      </c>
      <c r="M98" s="12">
        <f>OMNI_Normalized!J17</f>
        <v>6.31</v>
      </c>
      <c r="N98" s="12">
        <f>OMNI_Normalized!K17</f>
        <v>-1.26</v>
      </c>
      <c r="O98" s="12">
        <f>OMNI_Normalized!L17</f>
        <v>419.5</v>
      </c>
      <c r="P98" s="12">
        <f>OMNI_Normalized!M17</f>
        <v>5.19</v>
      </c>
      <c r="Q98" s="12">
        <f>OMNI_Normalized!P17</f>
        <v>63</v>
      </c>
      <c r="R98" s="12">
        <f>OMNI_Normalized!Q17</f>
        <v>2</v>
      </c>
      <c r="S98" s="14">
        <f>Settings!$B$28</f>
        <v>100</v>
      </c>
      <c r="T98" s="14">
        <f>Settings!$B$29</f>
        <v>0.02</v>
      </c>
      <c r="U98" s="14">
        <f>Settings!$B$12</f>
        <v>300</v>
      </c>
      <c r="V98" s="14">
        <f>Settings!$B$25</f>
        <v>0.25</v>
      </c>
      <c r="W98" s="14">
        <f>Settings!$B$21</f>
        <v>4</v>
      </c>
      <c r="X98" s="14">
        <f>Settings!$B$24</f>
        <v>12</v>
      </c>
      <c r="Y98" s="12" t="str">
        <f>Join_Audit!S109</f>
        <v>ACCEPT</v>
      </c>
      <c r="Z98" s="12" t="s">
        <v>857</v>
      </c>
      <c r="AA98" s="34">
        <v>55</v>
      </c>
      <c r="AB98" s="34" t="str">
        <f>INDEX(COMM_Beacons!$E$6:$E$66,AA98)</f>
        <v>CRC32C_VERIFIED</v>
      </c>
      <c r="AC98" s="34">
        <f>INDEX(COMM_Beacons!$K$6:$K$66,$AA98)</f>
        <v>366</v>
      </c>
      <c r="AD98" s="34">
        <f>INDEX(COMM_Beacons!$L$6:$L$66,$AA98)</f>
        <v>368</v>
      </c>
      <c r="AE98" s="34">
        <f>INDEX(COMM_Beacons!$M$6:$M$66,$AA98)</f>
        <v>-83</v>
      </c>
      <c r="AF98" s="34">
        <f>INDEX(COMM_Beacons!$N$6:$N$66,$AA98)</f>
        <v>257</v>
      </c>
      <c r="AG98" s="34">
        <f>INDEX(COMM_Beacons!$O$6:$O$66,$AA98)</f>
        <v>33482</v>
      </c>
      <c r="AH98" s="34">
        <f>INDEX(COMM_Beacons!$P$6:$P$66,$AA98)</f>
        <v>11</v>
      </c>
      <c r="AI98" s="34">
        <f>INDEX(COMM_Beacons!$Q$6:$Q$66,$AA98)</f>
        <v>4391953</v>
      </c>
      <c r="AJ98" s="34">
        <f>INDEX(COMM_Beacons!$R$6:$R$66,$AA98)</f>
        <v>110</v>
      </c>
      <c r="AK98" s="34">
        <f>INDEX(COMM_Beacons!$S$6:$S$66,$AA98)</f>
        <v>2</v>
      </c>
      <c r="AL98" s="34">
        <f>INDEX(COMM_Beacons!$T$6:$T$66,$AA98)</f>
        <v>1126</v>
      </c>
      <c r="AM98" s="34">
        <f>INDEX(COMM_Beacons!$U$6:$U$66,$AA98)</f>
        <v>256</v>
      </c>
      <c r="AN98" s="34">
        <f>INDEX(COMM_Beacons!$V$6:$V$66,$AA98)</f>
        <v>1035520017</v>
      </c>
      <c r="AO98" s="34">
        <f>INDEX(COMM_Beacons!$W$6:$W$66,$AA98)</f>
        <v>-112</v>
      </c>
      <c r="AP98" s="34">
        <f>INDEX(COMM_Beacons!$X$6:$X$66,$AA98)</f>
        <v>1</v>
      </c>
      <c r="AQ98" s="34">
        <f>INDEX(COMM_Beacons!$Y$6:$Y$66,$AA98)</f>
        <v>17475798</v>
      </c>
      <c r="AR98" s="34">
        <f>INDEX(COMM_Beacons!$Z$6:$Z$66,$AA98)</f>
        <v>22035</v>
      </c>
      <c r="AS98" s="34">
        <f>INDEX(COMM_Beacons!$AA$6:$AA$66,$AA98)</f>
        <v>3048172198</v>
      </c>
      <c r="AT98" s="34">
        <f>INDEX(COMM_Beacons!$AB$6:$AB$66,$AA98)</f>
        <v>1105712</v>
      </c>
      <c r="AU98" s="36">
        <f>IF(AA98&lt;=1,"",INDEX(COMM_Counter_Deltas!$J$6:$J$65,AA98-1))</f>
        <v>9.4</v>
      </c>
      <c r="AV98" s="35">
        <f>IF(AA98&lt;=1,"",INDEX(COMM_Counter_Deltas!$B$6:$B$65,AA98-1))</f>
        <v>44589.745011574072</v>
      </c>
      <c r="AW98" s="35">
        <f>IF(AA98&lt;=1,"",INDEX(COMM_Counter_Deltas!$C$6:$C$65,AA98-1))</f>
        <v>44589.745127314818</v>
      </c>
      <c r="AX98" s="34" t="b">
        <v>1</v>
      </c>
      <c r="AY98" s="34">
        <v>4</v>
      </c>
      <c r="AZ98" s="34">
        <f>INDEX(OMNI_Normalized!$N$6:$N$18,MATCH(L98,OMNI_Normalized!$C$6:$C$18,0))</f>
        <v>47782</v>
      </c>
      <c r="BA98" s="37">
        <f>INDEX(OMNI_Normalized!$O$6:$O$18,MATCH(L98,OMNI_Normalized!$C$6:$C$18,0))</f>
        <v>1.83</v>
      </c>
      <c r="BB98" s="34">
        <f>INDEX(OMNI_Normalized!$H$6:$H$18,MATCH(L98,OMNI_Normalized!$C$6:$C$18,0))</f>
        <v>100</v>
      </c>
      <c r="BC98" s="34">
        <f>INDEX(OMNI_Normalized!$F$6:$F$18,MATCH(L98,OMNI_Normalized!$C$6:$C$18,0))</f>
        <v>51</v>
      </c>
      <c r="BD98" s="34">
        <f>INDEX(OMNI_Normalized!$G$6:$G$18,MATCH(L98,OMNI_Normalized!$C$6:$C$18,0))</f>
        <v>51</v>
      </c>
    </row>
    <row r="99" spans="1:56" ht="24" customHeight="1" x14ac:dyDescent="0.2">
      <c r="A99" s="7">
        <v>94</v>
      </c>
      <c r="B99" s="7">
        <v>105</v>
      </c>
      <c r="C99" s="25">
        <f>Join_Audit!C110</f>
        <v>44589.74523148148</v>
      </c>
      <c r="D99" s="12">
        <f>Join_Audit!E110</f>
        <v>619</v>
      </c>
      <c r="E99" s="12">
        <f>Join_Audit!F110</f>
        <v>1357</v>
      </c>
      <c r="F99" s="12">
        <f>Join_Audit!G110</f>
        <v>1</v>
      </c>
      <c r="G99" s="12" t="str">
        <f>Join_Audit!I110</f>
        <v>CADC0873</v>
      </c>
      <c r="H99" s="12">
        <f>Join_Audit!J110</f>
        <v>-7.3643800000000005E-7</v>
      </c>
      <c r="I99" s="25">
        <f>Join_Audit!L110</f>
        <v>44589.745127314818</v>
      </c>
      <c r="J99" s="12">
        <f>Join_Audit!O110</f>
        <v>9</v>
      </c>
      <c r="K99" s="12">
        <f>INDEX(COMM_Beacons!$D$6:$D$66,AA99)</f>
        <v>109</v>
      </c>
      <c r="L99" s="25">
        <f>Join_Audit!R110</f>
        <v>44589.745138888888</v>
      </c>
      <c r="M99" s="12">
        <f>OMNI_Normalized!J17</f>
        <v>6.31</v>
      </c>
      <c r="N99" s="12">
        <f>OMNI_Normalized!K17</f>
        <v>-1.26</v>
      </c>
      <c r="O99" s="12">
        <f>OMNI_Normalized!L17</f>
        <v>419.5</v>
      </c>
      <c r="P99" s="12">
        <f>OMNI_Normalized!M17</f>
        <v>5.19</v>
      </c>
      <c r="Q99" s="12">
        <f>OMNI_Normalized!P17</f>
        <v>63</v>
      </c>
      <c r="R99" s="12">
        <f>OMNI_Normalized!Q17</f>
        <v>2</v>
      </c>
      <c r="S99" s="14">
        <f>Settings!$B$28</f>
        <v>100</v>
      </c>
      <c r="T99" s="14">
        <f>Settings!$B$29</f>
        <v>0.02</v>
      </c>
      <c r="U99" s="14">
        <f>Settings!$B$12</f>
        <v>300</v>
      </c>
      <c r="V99" s="14">
        <f>Settings!$B$25</f>
        <v>0.25</v>
      </c>
      <c r="W99" s="14">
        <f>Settings!$B$21</f>
        <v>4</v>
      </c>
      <c r="X99" s="14">
        <f>Settings!$B$24</f>
        <v>12</v>
      </c>
      <c r="Y99" s="12" t="str">
        <f>Join_Audit!S110</f>
        <v>ACCEPT</v>
      </c>
      <c r="Z99" s="12" t="s">
        <v>857</v>
      </c>
      <c r="AA99" s="34">
        <v>55</v>
      </c>
      <c r="AB99" s="34" t="str">
        <f>INDEX(COMM_Beacons!$E$6:$E$66,AA99)</f>
        <v>CRC32C_VERIFIED</v>
      </c>
      <c r="AC99" s="34">
        <f>INDEX(COMM_Beacons!$K$6:$K$66,$AA99)</f>
        <v>366</v>
      </c>
      <c r="AD99" s="34">
        <f>INDEX(COMM_Beacons!$L$6:$L$66,$AA99)</f>
        <v>368</v>
      </c>
      <c r="AE99" s="34">
        <f>INDEX(COMM_Beacons!$M$6:$M$66,$AA99)</f>
        <v>-83</v>
      </c>
      <c r="AF99" s="34">
        <f>INDEX(COMM_Beacons!$N$6:$N$66,$AA99)</f>
        <v>257</v>
      </c>
      <c r="AG99" s="34">
        <f>INDEX(COMM_Beacons!$O$6:$O$66,$AA99)</f>
        <v>33482</v>
      </c>
      <c r="AH99" s="34">
        <f>INDEX(COMM_Beacons!$P$6:$P$66,$AA99)</f>
        <v>11</v>
      </c>
      <c r="AI99" s="34">
        <f>INDEX(COMM_Beacons!$Q$6:$Q$66,$AA99)</f>
        <v>4391953</v>
      </c>
      <c r="AJ99" s="34">
        <f>INDEX(COMM_Beacons!$R$6:$R$66,$AA99)</f>
        <v>110</v>
      </c>
      <c r="AK99" s="34">
        <f>INDEX(COMM_Beacons!$S$6:$S$66,$AA99)</f>
        <v>2</v>
      </c>
      <c r="AL99" s="34">
        <f>INDEX(COMM_Beacons!$T$6:$T$66,$AA99)</f>
        <v>1126</v>
      </c>
      <c r="AM99" s="34">
        <f>INDEX(COMM_Beacons!$U$6:$U$66,$AA99)</f>
        <v>256</v>
      </c>
      <c r="AN99" s="34">
        <f>INDEX(COMM_Beacons!$V$6:$V$66,$AA99)</f>
        <v>1035520017</v>
      </c>
      <c r="AO99" s="34">
        <f>INDEX(COMM_Beacons!$W$6:$W$66,$AA99)</f>
        <v>-112</v>
      </c>
      <c r="AP99" s="34">
        <f>INDEX(COMM_Beacons!$X$6:$X$66,$AA99)</f>
        <v>1</v>
      </c>
      <c r="AQ99" s="34">
        <f>INDEX(COMM_Beacons!$Y$6:$Y$66,$AA99)</f>
        <v>17475798</v>
      </c>
      <c r="AR99" s="34">
        <f>INDEX(COMM_Beacons!$Z$6:$Z$66,$AA99)</f>
        <v>22035</v>
      </c>
      <c r="AS99" s="34">
        <f>INDEX(COMM_Beacons!$AA$6:$AA$66,$AA99)</f>
        <v>3048172198</v>
      </c>
      <c r="AT99" s="34">
        <f>INDEX(COMM_Beacons!$AB$6:$AB$66,$AA99)</f>
        <v>1105712</v>
      </c>
      <c r="AU99" s="36">
        <f>IF(AA99&lt;=1,"",INDEX(COMM_Counter_Deltas!$J$6:$J$65,AA99-1))</f>
        <v>9.4</v>
      </c>
      <c r="AV99" s="35">
        <f>IF(AA99&lt;=1,"",INDEX(COMM_Counter_Deltas!$B$6:$B$65,AA99-1))</f>
        <v>44589.745011574072</v>
      </c>
      <c r="AW99" s="35">
        <f>IF(AA99&lt;=1,"",INDEX(COMM_Counter_Deltas!$C$6:$C$65,AA99-1))</f>
        <v>44589.745127314818</v>
      </c>
      <c r="AX99" s="34" t="b">
        <v>1</v>
      </c>
      <c r="AY99" s="34">
        <v>9</v>
      </c>
      <c r="AZ99" s="34">
        <f>INDEX(OMNI_Normalized!$N$6:$N$18,MATCH(L99,OMNI_Normalized!$C$6:$C$18,0))</f>
        <v>47782</v>
      </c>
      <c r="BA99" s="37">
        <f>INDEX(OMNI_Normalized!$O$6:$O$18,MATCH(L99,OMNI_Normalized!$C$6:$C$18,0))</f>
        <v>1.83</v>
      </c>
      <c r="BB99" s="34">
        <f>INDEX(OMNI_Normalized!$H$6:$H$18,MATCH(L99,OMNI_Normalized!$C$6:$C$18,0))</f>
        <v>100</v>
      </c>
      <c r="BC99" s="34">
        <f>INDEX(OMNI_Normalized!$F$6:$F$18,MATCH(L99,OMNI_Normalized!$C$6:$C$18,0))</f>
        <v>51</v>
      </c>
      <c r="BD99" s="34">
        <f>INDEX(OMNI_Normalized!$G$6:$G$18,MATCH(L99,OMNI_Normalized!$C$6:$C$18,0))</f>
        <v>51</v>
      </c>
    </row>
    <row r="100" spans="1:56" ht="24" customHeight="1" x14ac:dyDescent="0.2">
      <c r="A100" s="7">
        <v>95</v>
      </c>
      <c r="B100" s="7">
        <v>106</v>
      </c>
      <c r="C100" s="25">
        <f>Join_Audit!C111</f>
        <v>44589.745289351849</v>
      </c>
      <c r="D100" s="12">
        <f>Join_Audit!E111</f>
        <v>624</v>
      </c>
      <c r="E100" s="12">
        <f>Join_Audit!F111</f>
        <v>1357</v>
      </c>
      <c r="F100" s="12">
        <f>Join_Audit!G111</f>
        <v>1</v>
      </c>
      <c r="G100" s="12" t="str">
        <f>Join_Audit!I111</f>
        <v>CADC0873</v>
      </c>
      <c r="H100" s="12">
        <f>Join_Audit!J111</f>
        <v>7.0153700000000002E-6</v>
      </c>
      <c r="I100" s="25">
        <f>Join_Audit!L111</f>
        <v>44589.745254629634</v>
      </c>
      <c r="J100" s="12">
        <f>Join_Audit!O111</f>
        <v>3</v>
      </c>
      <c r="K100" s="12">
        <f>INDEX(COMM_Beacons!$D$6:$D$66,AA100)</f>
        <v>108</v>
      </c>
      <c r="L100" s="25">
        <f>Join_Audit!R111</f>
        <v>44589.745138888888</v>
      </c>
      <c r="M100" s="12">
        <f>OMNI_Normalized!J17</f>
        <v>6.31</v>
      </c>
      <c r="N100" s="12">
        <f>OMNI_Normalized!K17</f>
        <v>-1.26</v>
      </c>
      <c r="O100" s="12">
        <f>OMNI_Normalized!L17</f>
        <v>419.5</v>
      </c>
      <c r="P100" s="12">
        <f>OMNI_Normalized!M17</f>
        <v>5.19</v>
      </c>
      <c r="Q100" s="12">
        <f>OMNI_Normalized!P17</f>
        <v>63</v>
      </c>
      <c r="R100" s="12">
        <f>OMNI_Normalized!Q17</f>
        <v>2</v>
      </c>
      <c r="S100" s="14">
        <f>Settings!$B$28</f>
        <v>100</v>
      </c>
      <c r="T100" s="14">
        <f>Settings!$B$29</f>
        <v>0.02</v>
      </c>
      <c r="U100" s="14">
        <f>Settings!$B$12</f>
        <v>300</v>
      </c>
      <c r="V100" s="14">
        <f>Settings!$B$25</f>
        <v>0.25</v>
      </c>
      <c r="W100" s="14">
        <f>Settings!$B$21</f>
        <v>4</v>
      </c>
      <c r="X100" s="14">
        <f>Settings!$B$24</f>
        <v>12</v>
      </c>
      <c r="Y100" s="12" t="str">
        <f>Join_Audit!S111</f>
        <v>ACCEPT</v>
      </c>
      <c r="Z100" s="12" t="s">
        <v>857</v>
      </c>
      <c r="AA100" s="34">
        <v>56</v>
      </c>
      <c r="AB100" s="34" t="str">
        <f>INDEX(COMM_Beacons!$E$6:$E$66,AA100)</f>
        <v>CRC32C_VERIFIED</v>
      </c>
      <c r="AC100" s="34">
        <f>INDEX(COMM_Beacons!$K$6:$K$66,$AA100)</f>
        <v>366</v>
      </c>
      <c r="AD100" s="34">
        <f>INDEX(COMM_Beacons!$L$6:$L$66,$AA100)</f>
        <v>368</v>
      </c>
      <c r="AE100" s="34">
        <f>INDEX(COMM_Beacons!$M$6:$M$66,$AA100)</f>
        <v>-83</v>
      </c>
      <c r="AF100" s="34">
        <f>INDEX(COMM_Beacons!$N$6:$N$66,$AA100)</f>
        <v>257</v>
      </c>
      <c r="AG100" s="34">
        <f>INDEX(COMM_Beacons!$O$6:$O$66,$AA100)</f>
        <v>33483</v>
      </c>
      <c r="AH100" s="34">
        <f>INDEX(COMM_Beacons!$P$6:$P$66,$AA100)</f>
        <v>11</v>
      </c>
      <c r="AI100" s="34">
        <f>INDEX(COMM_Beacons!$Q$6:$Q$66,$AA100)</f>
        <v>4392047</v>
      </c>
      <c r="AJ100" s="34">
        <f>INDEX(COMM_Beacons!$R$6:$R$66,$AA100)</f>
        <v>110</v>
      </c>
      <c r="AK100" s="34">
        <f>INDEX(COMM_Beacons!$S$6:$S$66,$AA100)</f>
        <v>2</v>
      </c>
      <c r="AL100" s="34">
        <f>INDEX(COMM_Beacons!$T$6:$T$66,$AA100)</f>
        <v>1126</v>
      </c>
      <c r="AM100" s="34">
        <f>INDEX(COMM_Beacons!$U$6:$U$66,$AA100)</f>
        <v>256</v>
      </c>
      <c r="AN100" s="34">
        <f>INDEX(COMM_Beacons!$V$6:$V$66,$AA100)</f>
        <v>1035520017</v>
      </c>
      <c r="AO100" s="34">
        <f>INDEX(COMM_Beacons!$W$6:$W$66,$AA100)</f>
        <v>-114</v>
      </c>
      <c r="AP100" s="34">
        <f>INDEX(COMM_Beacons!$X$6:$X$66,$AA100)</f>
        <v>1</v>
      </c>
      <c r="AQ100" s="34">
        <f>INDEX(COMM_Beacons!$Y$6:$Y$66,$AA100)</f>
        <v>17475799</v>
      </c>
      <c r="AR100" s="34">
        <f>INDEX(COMM_Beacons!$Z$6:$Z$66,$AA100)</f>
        <v>22035</v>
      </c>
      <c r="AS100" s="34">
        <f>INDEX(COMM_Beacons!$AA$6:$AA$66,$AA100)</f>
        <v>3048172292</v>
      </c>
      <c r="AT100" s="34">
        <f>INDEX(COMM_Beacons!$AB$6:$AB$66,$AA100)</f>
        <v>1105712</v>
      </c>
      <c r="AU100" s="36">
        <f>IF(AA100&lt;=1,"",INDEX(COMM_Counter_Deltas!$J$6:$J$65,AA100-1))</f>
        <v>8.545454545454545</v>
      </c>
      <c r="AV100" s="35">
        <f>IF(AA100&lt;=1,"",INDEX(COMM_Counter_Deltas!$B$6:$B$65,AA100-1))</f>
        <v>44589.745127314818</v>
      </c>
      <c r="AW100" s="35">
        <f>IF(AA100&lt;=1,"",INDEX(COMM_Counter_Deltas!$C$6:$C$65,AA100-1))</f>
        <v>44589.745254629634</v>
      </c>
      <c r="AX100" s="34" t="b">
        <v>1</v>
      </c>
      <c r="AY100" s="34">
        <v>3</v>
      </c>
      <c r="AZ100" s="34">
        <f>INDEX(OMNI_Normalized!$N$6:$N$18,MATCH(L100,OMNI_Normalized!$C$6:$C$18,0))</f>
        <v>47782</v>
      </c>
      <c r="BA100" s="37">
        <f>INDEX(OMNI_Normalized!$O$6:$O$18,MATCH(L100,OMNI_Normalized!$C$6:$C$18,0))</f>
        <v>1.83</v>
      </c>
      <c r="BB100" s="34">
        <f>INDEX(OMNI_Normalized!$H$6:$H$18,MATCH(L100,OMNI_Normalized!$C$6:$C$18,0))</f>
        <v>100</v>
      </c>
      <c r="BC100" s="34">
        <f>INDEX(OMNI_Normalized!$F$6:$F$18,MATCH(L100,OMNI_Normalized!$C$6:$C$18,0))</f>
        <v>51</v>
      </c>
      <c r="BD100" s="34">
        <f>INDEX(OMNI_Normalized!$G$6:$G$18,MATCH(L100,OMNI_Normalized!$C$6:$C$18,0))</f>
        <v>51</v>
      </c>
    </row>
    <row r="101" spans="1:56" ht="24" customHeight="1" x14ac:dyDescent="0.2">
      <c r="A101" s="7">
        <v>96</v>
      </c>
      <c r="B101" s="7">
        <v>107</v>
      </c>
      <c r="C101" s="25">
        <f>Join_Audit!C112</f>
        <v>44589.745347222219</v>
      </c>
      <c r="D101" s="12">
        <f>Join_Audit!E112</f>
        <v>629</v>
      </c>
      <c r="E101" s="12">
        <f>Join_Audit!F112</f>
        <v>1357</v>
      </c>
      <c r="F101" s="12">
        <f>Join_Audit!G112</f>
        <v>1</v>
      </c>
      <c r="G101" s="12" t="str">
        <f>Join_Audit!I112</f>
        <v>CADC0873</v>
      </c>
      <c r="H101" s="12">
        <f>Join_Audit!J112</f>
        <v>1.50251E-5</v>
      </c>
      <c r="I101" s="25">
        <f>Join_Audit!L112</f>
        <v>44589.745254629634</v>
      </c>
      <c r="J101" s="12">
        <f>Join_Audit!O112</f>
        <v>8</v>
      </c>
      <c r="K101" s="12">
        <f>INDEX(COMM_Beacons!$D$6:$D$66,AA101)</f>
        <v>108</v>
      </c>
      <c r="L101" s="25">
        <f>Join_Audit!R112</f>
        <v>44589.745138888888</v>
      </c>
      <c r="M101" s="12">
        <f>OMNI_Normalized!J17</f>
        <v>6.31</v>
      </c>
      <c r="N101" s="12">
        <f>OMNI_Normalized!K17</f>
        <v>-1.26</v>
      </c>
      <c r="O101" s="12">
        <f>OMNI_Normalized!L17</f>
        <v>419.5</v>
      </c>
      <c r="P101" s="12">
        <f>OMNI_Normalized!M17</f>
        <v>5.19</v>
      </c>
      <c r="Q101" s="12">
        <f>OMNI_Normalized!P17</f>
        <v>63</v>
      </c>
      <c r="R101" s="12">
        <f>OMNI_Normalized!Q17</f>
        <v>2</v>
      </c>
      <c r="S101" s="14">
        <f>Settings!$B$28</f>
        <v>100</v>
      </c>
      <c r="T101" s="14">
        <f>Settings!$B$29</f>
        <v>0.02</v>
      </c>
      <c r="U101" s="14">
        <f>Settings!$B$12</f>
        <v>300</v>
      </c>
      <c r="V101" s="14">
        <f>Settings!$B$25</f>
        <v>0.25</v>
      </c>
      <c r="W101" s="14">
        <f>Settings!$B$21</f>
        <v>4</v>
      </c>
      <c r="X101" s="14">
        <f>Settings!$B$24</f>
        <v>12</v>
      </c>
      <c r="Y101" s="12" t="str">
        <f>Join_Audit!S112</f>
        <v>ACCEPT</v>
      </c>
      <c r="Z101" s="12" t="s">
        <v>857</v>
      </c>
      <c r="AA101" s="34">
        <v>56</v>
      </c>
      <c r="AB101" s="34" t="str">
        <f>INDEX(COMM_Beacons!$E$6:$E$66,AA101)</f>
        <v>CRC32C_VERIFIED</v>
      </c>
      <c r="AC101" s="34">
        <f>INDEX(COMM_Beacons!$K$6:$K$66,$AA101)</f>
        <v>366</v>
      </c>
      <c r="AD101" s="34">
        <f>INDEX(COMM_Beacons!$L$6:$L$66,$AA101)</f>
        <v>368</v>
      </c>
      <c r="AE101" s="34">
        <f>INDEX(COMM_Beacons!$M$6:$M$66,$AA101)</f>
        <v>-83</v>
      </c>
      <c r="AF101" s="34">
        <f>INDEX(COMM_Beacons!$N$6:$N$66,$AA101)</f>
        <v>257</v>
      </c>
      <c r="AG101" s="34">
        <f>INDEX(COMM_Beacons!$O$6:$O$66,$AA101)</f>
        <v>33483</v>
      </c>
      <c r="AH101" s="34">
        <f>INDEX(COMM_Beacons!$P$6:$P$66,$AA101)</f>
        <v>11</v>
      </c>
      <c r="AI101" s="34">
        <f>INDEX(COMM_Beacons!$Q$6:$Q$66,$AA101)</f>
        <v>4392047</v>
      </c>
      <c r="AJ101" s="34">
        <f>INDEX(COMM_Beacons!$R$6:$R$66,$AA101)</f>
        <v>110</v>
      </c>
      <c r="AK101" s="34">
        <f>INDEX(COMM_Beacons!$S$6:$S$66,$AA101)</f>
        <v>2</v>
      </c>
      <c r="AL101" s="34">
        <f>INDEX(COMM_Beacons!$T$6:$T$66,$AA101)</f>
        <v>1126</v>
      </c>
      <c r="AM101" s="34">
        <f>INDEX(COMM_Beacons!$U$6:$U$66,$AA101)</f>
        <v>256</v>
      </c>
      <c r="AN101" s="34">
        <f>INDEX(COMM_Beacons!$V$6:$V$66,$AA101)</f>
        <v>1035520017</v>
      </c>
      <c r="AO101" s="34">
        <f>INDEX(COMM_Beacons!$W$6:$W$66,$AA101)</f>
        <v>-114</v>
      </c>
      <c r="AP101" s="34">
        <f>INDEX(COMM_Beacons!$X$6:$X$66,$AA101)</f>
        <v>1</v>
      </c>
      <c r="AQ101" s="34">
        <f>INDEX(COMM_Beacons!$Y$6:$Y$66,$AA101)</f>
        <v>17475799</v>
      </c>
      <c r="AR101" s="34">
        <f>INDEX(COMM_Beacons!$Z$6:$Z$66,$AA101)</f>
        <v>22035</v>
      </c>
      <c r="AS101" s="34">
        <f>INDEX(COMM_Beacons!$AA$6:$AA$66,$AA101)</f>
        <v>3048172292</v>
      </c>
      <c r="AT101" s="34">
        <f>INDEX(COMM_Beacons!$AB$6:$AB$66,$AA101)</f>
        <v>1105712</v>
      </c>
      <c r="AU101" s="36">
        <f>IF(AA101&lt;=1,"",INDEX(COMM_Counter_Deltas!$J$6:$J$65,AA101-1))</f>
        <v>8.545454545454545</v>
      </c>
      <c r="AV101" s="35">
        <f>IF(AA101&lt;=1,"",INDEX(COMM_Counter_Deltas!$B$6:$B$65,AA101-1))</f>
        <v>44589.745127314818</v>
      </c>
      <c r="AW101" s="35">
        <f>IF(AA101&lt;=1,"",INDEX(COMM_Counter_Deltas!$C$6:$C$65,AA101-1))</f>
        <v>44589.745254629634</v>
      </c>
      <c r="AX101" s="34" t="b">
        <v>1</v>
      </c>
      <c r="AY101" s="34">
        <v>8</v>
      </c>
      <c r="AZ101" s="34">
        <f>INDEX(OMNI_Normalized!$N$6:$N$18,MATCH(L101,OMNI_Normalized!$C$6:$C$18,0))</f>
        <v>47782</v>
      </c>
      <c r="BA101" s="37">
        <f>INDEX(OMNI_Normalized!$O$6:$O$18,MATCH(L101,OMNI_Normalized!$C$6:$C$18,0))</f>
        <v>1.83</v>
      </c>
      <c r="BB101" s="34">
        <f>INDEX(OMNI_Normalized!$H$6:$H$18,MATCH(L101,OMNI_Normalized!$C$6:$C$18,0))</f>
        <v>100</v>
      </c>
      <c r="BC101" s="34">
        <f>INDEX(OMNI_Normalized!$F$6:$F$18,MATCH(L101,OMNI_Normalized!$C$6:$C$18,0))</f>
        <v>51</v>
      </c>
      <c r="BD101" s="34">
        <f>INDEX(OMNI_Normalized!$G$6:$G$18,MATCH(L101,OMNI_Normalized!$C$6:$C$18,0))</f>
        <v>51</v>
      </c>
    </row>
    <row r="102" spans="1:56" ht="24" customHeight="1" x14ac:dyDescent="0.2">
      <c r="A102" s="7">
        <v>97</v>
      </c>
      <c r="B102" s="7">
        <v>108</v>
      </c>
      <c r="C102" s="25">
        <f>Join_Audit!C113</f>
        <v>44589.745405092603</v>
      </c>
      <c r="D102" s="12">
        <f>Join_Audit!E113</f>
        <v>634</v>
      </c>
      <c r="E102" s="12">
        <f>Join_Audit!F113</f>
        <v>1357</v>
      </c>
      <c r="F102" s="12">
        <f>Join_Audit!G113</f>
        <v>1</v>
      </c>
      <c r="G102" s="12" t="str">
        <f>Join_Audit!I113</f>
        <v>CADC0873</v>
      </c>
      <c r="H102" s="12">
        <f>Join_Audit!J113</f>
        <v>2.08706E-5</v>
      </c>
      <c r="I102" s="25">
        <f>Join_Audit!L113</f>
        <v>44589.745358796303</v>
      </c>
      <c r="J102" s="12">
        <f>Join_Audit!O113</f>
        <v>4</v>
      </c>
      <c r="K102" s="12">
        <f>INDEX(COMM_Beacons!$D$6:$D$66,AA102)</f>
        <v>107</v>
      </c>
      <c r="L102" s="25">
        <f>Join_Audit!R113</f>
        <v>44589.745138888888</v>
      </c>
      <c r="M102" s="12">
        <f>OMNI_Normalized!J17</f>
        <v>6.31</v>
      </c>
      <c r="N102" s="12">
        <f>OMNI_Normalized!K17</f>
        <v>-1.26</v>
      </c>
      <c r="O102" s="12">
        <f>OMNI_Normalized!L17</f>
        <v>419.5</v>
      </c>
      <c r="P102" s="12">
        <f>OMNI_Normalized!M17</f>
        <v>5.19</v>
      </c>
      <c r="Q102" s="12">
        <f>OMNI_Normalized!P17</f>
        <v>63</v>
      </c>
      <c r="R102" s="12">
        <f>OMNI_Normalized!Q17</f>
        <v>2</v>
      </c>
      <c r="S102" s="14">
        <f>Settings!$B$28</f>
        <v>100</v>
      </c>
      <c r="T102" s="14">
        <f>Settings!$B$29</f>
        <v>0.02</v>
      </c>
      <c r="U102" s="14">
        <f>Settings!$B$12</f>
        <v>300</v>
      </c>
      <c r="V102" s="14">
        <f>Settings!$B$25</f>
        <v>0.25</v>
      </c>
      <c r="W102" s="14">
        <f>Settings!$B$21</f>
        <v>4</v>
      </c>
      <c r="X102" s="14">
        <f>Settings!$B$24</f>
        <v>12</v>
      </c>
      <c r="Y102" s="12" t="str">
        <f>Join_Audit!S113</f>
        <v>ACCEPT</v>
      </c>
      <c r="Z102" s="12" t="s">
        <v>857</v>
      </c>
      <c r="AA102" s="34">
        <v>57</v>
      </c>
      <c r="AB102" s="34" t="str">
        <f>INDEX(COMM_Beacons!$E$6:$E$66,AA102)</f>
        <v>CRC32C_VERIFIED</v>
      </c>
      <c r="AC102" s="34">
        <f>INDEX(COMM_Beacons!$K$6:$K$66,$AA102)</f>
        <v>367</v>
      </c>
      <c r="AD102" s="34">
        <f>INDEX(COMM_Beacons!$L$6:$L$66,$AA102)</f>
        <v>370</v>
      </c>
      <c r="AE102" s="34">
        <f>INDEX(COMM_Beacons!$M$6:$M$66,$AA102)</f>
        <v>-83</v>
      </c>
      <c r="AF102" s="34">
        <f>INDEX(COMM_Beacons!$N$6:$N$66,$AA102)</f>
        <v>257</v>
      </c>
      <c r="AG102" s="34">
        <f>INDEX(COMM_Beacons!$O$6:$O$66,$AA102)</f>
        <v>33484</v>
      </c>
      <c r="AH102" s="34">
        <f>INDEX(COMM_Beacons!$P$6:$P$66,$AA102)</f>
        <v>11</v>
      </c>
      <c r="AI102" s="34">
        <f>INDEX(COMM_Beacons!$Q$6:$Q$66,$AA102)</f>
        <v>4392141</v>
      </c>
      <c r="AJ102" s="34">
        <f>INDEX(COMM_Beacons!$R$6:$R$66,$AA102)</f>
        <v>110</v>
      </c>
      <c r="AK102" s="34">
        <f>INDEX(COMM_Beacons!$S$6:$S$66,$AA102)</f>
        <v>2</v>
      </c>
      <c r="AL102" s="34">
        <f>INDEX(COMM_Beacons!$T$6:$T$66,$AA102)</f>
        <v>1126</v>
      </c>
      <c r="AM102" s="34">
        <f>INDEX(COMM_Beacons!$U$6:$U$66,$AA102)</f>
        <v>256</v>
      </c>
      <c r="AN102" s="34">
        <f>INDEX(COMM_Beacons!$V$6:$V$66,$AA102)</f>
        <v>1035520017</v>
      </c>
      <c r="AO102" s="34">
        <f>INDEX(COMM_Beacons!$W$6:$W$66,$AA102)</f>
        <v>-113</v>
      </c>
      <c r="AP102" s="34">
        <f>INDEX(COMM_Beacons!$X$6:$X$66,$AA102)</f>
        <v>1</v>
      </c>
      <c r="AQ102" s="34">
        <f>INDEX(COMM_Beacons!$Y$6:$Y$66,$AA102)</f>
        <v>17475800</v>
      </c>
      <c r="AR102" s="34">
        <f>INDEX(COMM_Beacons!$Z$6:$Z$66,$AA102)</f>
        <v>22035</v>
      </c>
      <c r="AS102" s="34">
        <f>INDEX(COMM_Beacons!$AA$6:$AA$66,$AA102)</f>
        <v>3048172386</v>
      </c>
      <c r="AT102" s="34">
        <f>INDEX(COMM_Beacons!$AB$6:$AB$66,$AA102)</f>
        <v>1105712</v>
      </c>
      <c r="AU102" s="36">
        <f>IF(AA102&lt;=1,"",INDEX(COMM_Counter_Deltas!$J$6:$J$65,AA102-1))</f>
        <v>10.444444444444445</v>
      </c>
      <c r="AV102" s="35">
        <f>IF(AA102&lt;=1,"",INDEX(COMM_Counter_Deltas!$B$6:$B$65,AA102-1))</f>
        <v>44589.745254629634</v>
      </c>
      <c r="AW102" s="35">
        <f>IF(AA102&lt;=1,"",INDEX(COMM_Counter_Deltas!$C$6:$C$65,AA102-1))</f>
        <v>44589.745358796303</v>
      </c>
      <c r="AX102" s="34" t="b">
        <v>1</v>
      </c>
      <c r="AY102" s="34">
        <v>4</v>
      </c>
      <c r="AZ102" s="34">
        <f>INDEX(OMNI_Normalized!$N$6:$N$18,MATCH(L102,OMNI_Normalized!$C$6:$C$18,0))</f>
        <v>47782</v>
      </c>
      <c r="BA102" s="37">
        <f>INDEX(OMNI_Normalized!$O$6:$O$18,MATCH(L102,OMNI_Normalized!$C$6:$C$18,0))</f>
        <v>1.83</v>
      </c>
      <c r="BB102" s="34">
        <f>INDEX(OMNI_Normalized!$H$6:$H$18,MATCH(L102,OMNI_Normalized!$C$6:$C$18,0))</f>
        <v>100</v>
      </c>
      <c r="BC102" s="34">
        <f>INDEX(OMNI_Normalized!$F$6:$F$18,MATCH(L102,OMNI_Normalized!$C$6:$C$18,0))</f>
        <v>51</v>
      </c>
      <c r="BD102" s="34">
        <f>INDEX(OMNI_Normalized!$G$6:$G$18,MATCH(L102,OMNI_Normalized!$C$6:$C$18,0))</f>
        <v>51</v>
      </c>
    </row>
    <row r="103" spans="1:56" ht="24" customHeight="1" x14ac:dyDescent="0.2">
      <c r="A103" s="7">
        <v>98</v>
      </c>
      <c r="B103" s="7">
        <v>109</v>
      </c>
      <c r="C103" s="25">
        <f>Join_Audit!C114</f>
        <v>44589.745462962957</v>
      </c>
      <c r="D103" s="12">
        <f>Join_Audit!E114</f>
        <v>639</v>
      </c>
      <c r="E103" s="12">
        <f>Join_Audit!F114</f>
        <v>1357</v>
      </c>
      <c r="F103" s="12">
        <f>Join_Audit!G114</f>
        <v>1</v>
      </c>
      <c r="G103" s="12" t="str">
        <f>Join_Audit!I114</f>
        <v>CADC0873</v>
      </c>
      <c r="H103" s="12">
        <f>Join_Audit!J114</f>
        <v>2.5888500000000001E-5</v>
      </c>
      <c r="I103" s="25">
        <f>Join_Audit!L114</f>
        <v>44589.745358796303</v>
      </c>
      <c r="J103" s="12">
        <f>Join_Audit!O114</f>
        <v>9</v>
      </c>
      <c r="K103" s="12">
        <f>INDEX(COMM_Beacons!$D$6:$D$66,AA103)</f>
        <v>107</v>
      </c>
      <c r="L103" s="25">
        <f>Join_Audit!R114</f>
        <v>44589.745138888888</v>
      </c>
      <c r="M103" s="12">
        <f>OMNI_Normalized!J17</f>
        <v>6.31</v>
      </c>
      <c r="N103" s="12">
        <f>OMNI_Normalized!K17</f>
        <v>-1.26</v>
      </c>
      <c r="O103" s="12">
        <f>OMNI_Normalized!L17</f>
        <v>419.5</v>
      </c>
      <c r="P103" s="12">
        <f>OMNI_Normalized!M17</f>
        <v>5.19</v>
      </c>
      <c r="Q103" s="12">
        <f>OMNI_Normalized!P17</f>
        <v>63</v>
      </c>
      <c r="R103" s="12">
        <f>OMNI_Normalized!Q17</f>
        <v>2</v>
      </c>
      <c r="S103" s="14">
        <f>Settings!$B$28</f>
        <v>100</v>
      </c>
      <c r="T103" s="14">
        <f>Settings!$B$29</f>
        <v>0.02</v>
      </c>
      <c r="U103" s="14">
        <f>Settings!$B$12</f>
        <v>300</v>
      </c>
      <c r="V103" s="14">
        <f>Settings!$B$25</f>
        <v>0.25</v>
      </c>
      <c r="W103" s="14">
        <f>Settings!$B$21</f>
        <v>4</v>
      </c>
      <c r="X103" s="14">
        <f>Settings!$B$24</f>
        <v>12</v>
      </c>
      <c r="Y103" s="12" t="str">
        <f>Join_Audit!S114</f>
        <v>ACCEPT</v>
      </c>
      <c r="Z103" s="12" t="s">
        <v>857</v>
      </c>
      <c r="AA103" s="34">
        <v>57</v>
      </c>
      <c r="AB103" s="34" t="str">
        <f>INDEX(COMM_Beacons!$E$6:$E$66,AA103)</f>
        <v>CRC32C_VERIFIED</v>
      </c>
      <c r="AC103" s="34">
        <f>INDEX(COMM_Beacons!$K$6:$K$66,$AA103)</f>
        <v>367</v>
      </c>
      <c r="AD103" s="34">
        <f>INDEX(COMM_Beacons!$L$6:$L$66,$AA103)</f>
        <v>370</v>
      </c>
      <c r="AE103" s="34">
        <f>INDEX(COMM_Beacons!$M$6:$M$66,$AA103)</f>
        <v>-83</v>
      </c>
      <c r="AF103" s="34">
        <f>INDEX(COMM_Beacons!$N$6:$N$66,$AA103)</f>
        <v>257</v>
      </c>
      <c r="AG103" s="34">
        <f>INDEX(COMM_Beacons!$O$6:$O$66,$AA103)</f>
        <v>33484</v>
      </c>
      <c r="AH103" s="34">
        <f>INDEX(COMM_Beacons!$P$6:$P$66,$AA103)</f>
        <v>11</v>
      </c>
      <c r="AI103" s="34">
        <f>INDEX(COMM_Beacons!$Q$6:$Q$66,$AA103)</f>
        <v>4392141</v>
      </c>
      <c r="AJ103" s="34">
        <f>INDEX(COMM_Beacons!$R$6:$R$66,$AA103)</f>
        <v>110</v>
      </c>
      <c r="AK103" s="34">
        <f>INDEX(COMM_Beacons!$S$6:$S$66,$AA103)</f>
        <v>2</v>
      </c>
      <c r="AL103" s="34">
        <f>INDEX(COMM_Beacons!$T$6:$T$66,$AA103)</f>
        <v>1126</v>
      </c>
      <c r="AM103" s="34">
        <f>INDEX(COMM_Beacons!$U$6:$U$66,$AA103)</f>
        <v>256</v>
      </c>
      <c r="AN103" s="34">
        <f>INDEX(COMM_Beacons!$V$6:$V$66,$AA103)</f>
        <v>1035520017</v>
      </c>
      <c r="AO103" s="34">
        <f>INDEX(COMM_Beacons!$W$6:$W$66,$AA103)</f>
        <v>-113</v>
      </c>
      <c r="AP103" s="34">
        <f>INDEX(COMM_Beacons!$X$6:$X$66,$AA103)</f>
        <v>1</v>
      </c>
      <c r="AQ103" s="34">
        <f>INDEX(COMM_Beacons!$Y$6:$Y$66,$AA103)</f>
        <v>17475800</v>
      </c>
      <c r="AR103" s="34">
        <f>INDEX(COMM_Beacons!$Z$6:$Z$66,$AA103)</f>
        <v>22035</v>
      </c>
      <c r="AS103" s="34">
        <f>INDEX(COMM_Beacons!$AA$6:$AA$66,$AA103)</f>
        <v>3048172386</v>
      </c>
      <c r="AT103" s="34">
        <f>INDEX(COMM_Beacons!$AB$6:$AB$66,$AA103)</f>
        <v>1105712</v>
      </c>
      <c r="AU103" s="36">
        <f>IF(AA103&lt;=1,"",INDEX(COMM_Counter_Deltas!$J$6:$J$65,AA103-1))</f>
        <v>10.444444444444445</v>
      </c>
      <c r="AV103" s="35">
        <f>IF(AA103&lt;=1,"",INDEX(COMM_Counter_Deltas!$B$6:$B$65,AA103-1))</f>
        <v>44589.745254629634</v>
      </c>
      <c r="AW103" s="35">
        <f>IF(AA103&lt;=1,"",INDEX(COMM_Counter_Deltas!$C$6:$C$65,AA103-1))</f>
        <v>44589.745358796303</v>
      </c>
      <c r="AX103" s="34" t="b">
        <v>1</v>
      </c>
      <c r="AY103" s="34">
        <v>9</v>
      </c>
      <c r="AZ103" s="34">
        <f>INDEX(OMNI_Normalized!$N$6:$N$18,MATCH(L103,OMNI_Normalized!$C$6:$C$18,0))</f>
        <v>47782</v>
      </c>
      <c r="BA103" s="37">
        <f>INDEX(OMNI_Normalized!$O$6:$O$18,MATCH(L103,OMNI_Normalized!$C$6:$C$18,0))</f>
        <v>1.83</v>
      </c>
      <c r="BB103" s="34">
        <f>INDEX(OMNI_Normalized!$H$6:$H$18,MATCH(L103,OMNI_Normalized!$C$6:$C$18,0))</f>
        <v>100</v>
      </c>
      <c r="BC103" s="34">
        <f>INDEX(OMNI_Normalized!$F$6:$F$18,MATCH(L103,OMNI_Normalized!$C$6:$C$18,0))</f>
        <v>51</v>
      </c>
      <c r="BD103" s="34">
        <f>INDEX(OMNI_Normalized!$G$6:$G$18,MATCH(L103,OMNI_Normalized!$C$6:$C$18,0))</f>
        <v>51</v>
      </c>
    </row>
    <row r="104" spans="1:56" ht="24" customHeight="1" x14ac:dyDescent="0.2">
      <c r="A104" s="7">
        <v>99</v>
      </c>
      <c r="B104" s="7">
        <v>110</v>
      </c>
      <c r="C104" s="25">
        <f>Join_Audit!C115</f>
        <v>44589.745983796303</v>
      </c>
      <c r="D104" s="12">
        <f>Join_Audit!E115</f>
        <v>684</v>
      </c>
      <c r="E104" s="12">
        <f>Join_Audit!F115</f>
        <v>1357</v>
      </c>
      <c r="F104" s="12">
        <f>Join_Audit!G115</f>
        <v>1</v>
      </c>
      <c r="G104" s="12" t="str">
        <f>Join_Audit!I115</f>
        <v>CADC0873</v>
      </c>
      <c r="H104" s="12">
        <f>Join_Audit!J115</f>
        <v>-1.3835999999999999E-5</v>
      </c>
      <c r="I104" s="25">
        <f>Join_Audit!L115</f>
        <v>44589.745937500003</v>
      </c>
      <c r="J104" s="12">
        <f>Join_Audit!O115</f>
        <v>4</v>
      </c>
      <c r="K104" s="12">
        <f>INDEX(COMM_Beacons!$D$6:$D$66,AA104)</f>
        <v>104</v>
      </c>
      <c r="L104" s="25">
        <f>Join_Audit!R115</f>
        <v>44589.745833333327</v>
      </c>
      <c r="M104" s="12">
        <f>OMNI_Normalized!J18</f>
        <v>6.28</v>
      </c>
      <c r="N104" s="12">
        <f>OMNI_Normalized!K18</f>
        <v>-1.88</v>
      </c>
      <c r="O104" s="12">
        <f>OMNI_Normalized!L18</f>
        <v>419.4</v>
      </c>
      <c r="P104" s="12">
        <f>OMNI_Normalized!M18</f>
        <v>5.2</v>
      </c>
      <c r="Q104" s="12">
        <f>OMNI_Normalized!P18</f>
        <v>64</v>
      </c>
      <c r="R104" s="12">
        <f>OMNI_Normalized!Q18</f>
        <v>2</v>
      </c>
      <c r="S104" s="14">
        <f>Settings!$B$28</f>
        <v>100</v>
      </c>
      <c r="T104" s="14">
        <f>Settings!$B$29</f>
        <v>0.02</v>
      </c>
      <c r="U104" s="14">
        <f>Settings!$B$12</f>
        <v>300</v>
      </c>
      <c r="V104" s="14">
        <f>Settings!$B$25</f>
        <v>0.25</v>
      </c>
      <c r="W104" s="14">
        <f>Settings!$B$21</f>
        <v>4</v>
      </c>
      <c r="X104" s="14">
        <f>Settings!$B$24</f>
        <v>12</v>
      </c>
      <c r="Y104" s="12" t="str">
        <f>Join_Audit!S115</f>
        <v>ACCEPT</v>
      </c>
      <c r="Z104" s="12" t="s">
        <v>857</v>
      </c>
      <c r="AA104" s="34">
        <v>60</v>
      </c>
      <c r="AB104" s="34" t="str">
        <f>INDEX(COMM_Beacons!$E$6:$E$66,AA104)</f>
        <v>CRC32C_VERIFIED</v>
      </c>
      <c r="AC104" s="34">
        <f>INDEX(COMM_Beacons!$K$6:$K$66,$AA104)</f>
        <v>367</v>
      </c>
      <c r="AD104" s="34">
        <f>INDEX(COMM_Beacons!$L$6:$L$66,$AA104)</f>
        <v>369</v>
      </c>
      <c r="AE104" s="34">
        <f>INDEX(COMM_Beacons!$M$6:$M$66,$AA104)</f>
        <v>-83</v>
      </c>
      <c r="AF104" s="34">
        <f>INDEX(COMM_Beacons!$N$6:$N$66,$AA104)</f>
        <v>257</v>
      </c>
      <c r="AG104" s="34">
        <f>INDEX(COMM_Beacons!$O$6:$O$66,$AA104)</f>
        <v>33489</v>
      </c>
      <c r="AH104" s="34">
        <f>INDEX(COMM_Beacons!$P$6:$P$66,$AA104)</f>
        <v>11</v>
      </c>
      <c r="AI104" s="34">
        <f>INDEX(COMM_Beacons!$Q$6:$Q$66,$AA104)</f>
        <v>4392611</v>
      </c>
      <c r="AJ104" s="34">
        <f>INDEX(COMM_Beacons!$R$6:$R$66,$AA104)</f>
        <v>110</v>
      </c>
      <c r="AK104" s="34">
        <f>INDEX(COMM_Beacons!$S$6:$S$66,$AA104)</f>
        <v>2</v>
      </c>
      <c r="AL104" s="34">
        <f>INDEX(COMM_Beacons!$T$6:$T$66,$AA104)</f>
        <v>1126</v>
      </c>
      <c r="AM104" s="34">
        <f>INDEX(COMM_Beacons!$U$6:$U$66,$AA104)</f>
        <v>256</v>
      </c>
      <c r="AN104" s="34">
        <f>INDEX(COMM_Beacons!$V$6:$V$66,$AA104)</f>
        <v>1035520017</v>
      </c>
      <c r="AO104" s="34">
        <f>INDEX(COMM_Beacons!$W$6:$W$66,$AA104)</f>
        <v>-107</v>
      </c>
      <c r="AP104" s="34">
        <f>INDEX(COMM_Beacons!$X$6:$X$66,$AA104)</f>
        <v>1</v>
      </c>
      <c r="AQ104" s="34">
        <f>INDEX(COMM_Beacons!$Y$6:$Y$66,$AA104)</f>
        <v>17475805</v>
      </c>
      <c r="AR104" s="34">
        <f>INDEX(COMM_Beacons!$Z$6:$Z$66,$AA104)</f>
        <v>22035</v>
      </c>
      <c r="AS104" s="34">
        <f>INDEX(COMM_Beacons!$AA$6:$AA$66,$AA104)</f>
        <v>3048172856</v>
      </c>
      <c r="AT104" s="34">
        <f>INDEX(COMM_Beacons!$AB$6:$AB$66,$AA104)</f>
        <v>1105712</v>
      </c>
      <c r="AU104" s="36">
        <f>IF(AA104&lt;=1,"",INDEX(COMM_Counter_Deltas!$J$6:$J$65,AA104-1))</f>
        <v>9.4</v>
      </c>
      <c r="AV104" s="35">
        <f>IF(AA104&lt;=1,"",INDEX(COMM_Counter_Deltas!$B$6:$B$65,AA104-1))</f>
        <v>44589.745821759258</v>
      </c>
      <c r="AW104" s="35">
        <f>IF(AA104&lt;=1,"",INDEX(COMM_Counter_Deltas!$C$6:$C$65,AA104-1))</f>
        <v>44589.745937500003</v>
      </c>
      <c r="AX104" s="34" t="b">
        <v>1</v>
      </c>
      <c r="AY104" s="34">
        <v>4</v>
      </c>
      <c r="AZ104" s="34">
        <f>INDEX(OMNI_Normalized!$N$6:$N$18,MATCH(L104,OMNI_Normalized!$C$6:$C$18,0))</f>
        <v>47772</v>
      </c>
      <c r="BA104" s="37">
        <f>INDEX(OMNI_Normalized!$O$6:$O$18,MATCH(L104,OMNI_Normalized!$C$6:$C$18,0))</f>
        <v>1.83</v>
      </c>
      <c r="BB104" s="34">
        <f>INDEX(OMNI_Normalized!$H$6:$H$18,MATCH(L104,OMNI_Normalized!$C$6:$C$18,0))</f>
        <v>100</v>
      </c>
      <c r="BC104" s="34">
        <f>INDEX(OMNI_Normalized!$F$6:$F$18,MATCH(L104,OMNI_Normalized!$C$6:$C$18,0))</f>
        <v>51</v>
      </c>
      <c r="BD104" s="34">
        <f>INDEX(OMNI_Normalized!$G$6:$G$18,MATCH(L104,OMNI_Normalized!$C$6:$C$18,0))</f>
        <v>51</v>
      </c>
    </row>
    <row r="105" spans="1:56" ht="24" customHeight="1" x14ac:dyDescent="0.2">
      <c r="A105" s="7">
        <v>100</v>
      </c>
      <c r="B105" s="7">
        <v>111</v>
      </c>
      <c r="C105" s="25">
        <f>Join_Audit!C116</f>
        <v>44589.746041666673</v>
      </c>
      <c r="D105" s="12">
        <f>Join_Audit!E116</f>
        <v>689</v>
      </c>
      <c r="E105" s="12">
        <f>Join_Audit!F116</f>
        <v>1357</v>
      </c>
      <c r="F105" s="12">
        <f>Join_Audit!G116</f>
        <v>1</v>
      </c>
      <c r="G105" s="12" t="str">
        <f>Join_Audit!I116</f>
        <v>CADC0873</v>
      </c>
      <c r="H105" s="12">
        <f>Join_Audit!J116</f>
        <v>-2.0225600000000002E-5</v>
      </c>
      <c r="I105" s="25">
        <f>Join_Audit!L116</f>
        <v>44589.745937500003</v>
      </c>
      <c r="J105" s="12">
        <f>Join_Audit!O116</f>
        <v>9</v>
      </c>
      <c r="K105" s="12">
        <f>INDEX(COMM_Beacons!$D$6:$D$66,AA105)</f>
        <v>104</v>
      </c>
      <c r="L105" s="25">
        <f>Join_Audit!R116</f>
        <v>44589.745833333327</v>
      </c>
      <c r="M105" s="12">
        <f>OMNI_Normalized!J18</f>
        <v>6.28</v>
      </c>
      <c r="N105" s="12">
        <f>OMNI_Normalized!K18</f>
        <v>-1.88</v>
      </c>
      <c r="O105" s="12">
        <f>OMNI_Normalized!L18</f>
        <v>419.4</v>
      </c>
      <c r="P105" s="12">
        <f>OMNI_Normalized!M18</f>
        <v>5.2</v>
      </c>
      <c r="Q105" s="12">
        <f>OMNI_Normalized!P18</f>
        <v>64</v>
      </c>
      <c r="R105" s="12">
        <f>OMNI_Normalized!Q18</f>
        <v>2</v>
      </c>
      <c r="S105" s="14">
        <f>Settings!$B$28</f>
        <v>100</v>
      </c>
      <c r="T105" s="14">
        <f>Settings!$B$29</f>
        <v>0.02</v>
      </c>
      <c r="U105" s="14">
        <f>Settings!$B$12</f>
        <v>300</v>
      </c>
      <c r="V105" s="14">
        <f>Settings!$B$25</f>
        <v>0.25</v>
      </c>
      <c r="W105" s="14">
        <f>Settings!$B$21</f>
        <v>4</v>
      </c>
      <c r="X105" s="14">
        <f>Settings!$B$24</f>
        <v>12</v>
      </c>
      <c r="Y105" s="12" t="str">
        <f>Join_Audit!S116</f>
        <v>ACCEPT</v>
      </c>
      <c r="Z105" s="12" t="s">
        <v>857</v>
      </c>
      <c r="AA105" s="34">
        <v>60</v>
      </c>
      <c r="AB105" s="34" t="str">
        <f>INDEX(COMM_Beacons!$E$6:$E$66,AA105)</f>
        <v>CRC32C_VERIFIED</v>
      </c>
      <c r="AC105" s="34">
        <f>INDEX(COMM_Beacons!$K$6:$K$66,$AA105)</f>
        <v>367</v>
      </c>
      <c r="AD105" s="34">
        <f>INDEX(COMM_Beacons!$L$6:$L$66,$AA105)</f>
        <v>369</v>
      </c>
      <c r="AE105" s="34">
        <f>INDEX(COMM_Beacons!$M$6:$M$66,$AA105)</f>
        <v>-83</v>
      </c>
      <c r="AF105" s="34">
        <f>INDEX(COMM_Beacons!$N$6:$N$66,$AA105)</f>
        <v>257</v>
      </c>
      <c r="AG105" s="34">
        <f>INDEX(COMM_Beacons!$O$6:$O$66,$AA105)</f>
        <v>33489</v>
      </c>
      <c r="AH105" s="34">
        <f>INDEX(COMM_Beacons!$P$6:$P$66,$AA105)</f>
        <v>11</v>
      </c>
      <c r="AI105" s="34">
        <f>INDEX(COMM_Beacons!$Q$6:$Q$66,$AA105)</f>
        <v>4392611</v>
      </c>
      <c r="AJ105" s="34">
        <f>INDEX(COMM_Beacons!$R$6:$R$66,$AA105)</f>
        <v>110</v>
      </c>
      <c r="AK105" s="34">
        <f>INDEX(COMM_Beacons!$S$6:$S$66,$AA105)</f>
        <v>2</v>
      </c>
      <c r="AL105" s="34">
        <f>INDEX(COMM_Beacons!$T$6:$T$66,$AA105)</f>
        <v>1126</v>
      </c>
      <c r="AM105" s="34">
        <f>INDEX(COMM_Beacons!$U$6:$U$66,$AA105)</f>
        <v>256</v>
      </c>
      <c r="AN105" s="34">
        <f>INDEX(COMM_Beacons!$V$6:$V$66,$AA105)</f>
        <v>1035520017</v>
      </c>
      <c r="AO105" s="34">
        <f>INDEX(COMM_Beacons!$W$6:$W$66,$AA105)</f>
        <v>-107</v>
      </c>
      <c r="AP105" s="34">
        <f>INDEX(COMM_Beacons!$X$6:$X$66,$AA105)</f>
        <v>1</v>
      </c>
      <c r="AQ105" s="34">
        <f>INDEX(COMM_Beacons!$Y$6:$Y$66,$AA105)</f>
        <v>17475805</v>
      </c>
      <c r="AR105" s="34">
        <f>INDEX(COMM_Beacons!$Z$6:$Z$66,$AA105)</f>
        <v>22035</v>
      </c>
      <c r="AS105" s="34">
        <f>INDEX(COMM_Beacons!$AA$6:$AA$66,$AA105)</f>
        <v>3048172856</v>
      </c>
      <c r="AT105" s="34">
        <f>INDEX(COMM_Beacons!$AB$6:$AB$66,$AA105)</f>
        <v>1105712</v>
      </c>
      <c r="AU105" s="36">
        <f>IF(AA105&lt;=1,"",INDEX(COMM_Counter_Deltas!$J$6:$J$65,AA105-1))</f>
        <v>9.4</v>
      </c>
      <c r="AV105" s="35">
        <f>IF(AA105&lt;=1,"",INDEX(COMM_Counter_Deltas!$B$6:$B$65,AA105-1))</f>
        <v>44589.745821759258</v>
      </c>
      <c r="AW105" s="35">
        <f>IF(AA105&lt;=1,"",INDEX(COMM_Counter_Deltas!$C$6:$C$65,AA105-1))</f>
        <v>44589.745937500003</v>
      </c>
      <c r="AX105" s="34" t="b">
        <v>1</v>
      </c>
      <c r="AY105" s="34">
        <v>9</v>
      </c>
      <c r="AZ105" s="34">
        <f>INDEX(OMNI_Normalized!$N$6:$N$18,MATCH(L105,OMNI_Normalized!$C$6:$C$18,0))</f>
        <v>47772</v>
      </c>
      <c r="BA105" s="37">
        <f>INDEX(OMNI_Normalized!$O$6:$O$18,MATCH(L105,OMNI_Normalized!$C$6:$C$18,0))</f>
        <v>1.83</v>
      </c>
      <c r="BB105" s="34">
        <f>INDEX(OMNI_Normalized!$H$6:$H$18,MATCH(L105,OMNI_Normalized!$C$6:$C$18,0))</f>
        <v>100</v>
      </c>
      <c r="BC105" s="34">
        <f>INDEX(OMNI_Normalized!$F$6:$F$18,MATCH(L105,OMNI_Normalized!$C$6:$C$18,0))</f>
        <v>51</v>
      </c>
      <c r="BD105" s="34">
        <f>INDEX(OMNI_Normalized!$G$6:$G$18,MATCH(L105,OMNI_Normalized!$C$6:$C$18,0))</f>
        <v>51</v>
      </c>
    </row>
  </sheetData>
  <mergeCells count="2">
    <mergeCell ref="A1:Z1"/>
    <mergeCell ref="A2:Z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030A0"/>
  </sheetPr>
  <dimension ref="A1:L18"/>
  <sheetViews>
    <sheetView topLeftCell="F1" workbookViewId="0">
      <selection activeCell="Y25" sqref="Y25"/>
    </sheetView>
  </sheetViews>
  <sheetFormatPr defaultRowHeight="15" x14ac:dyDescent="0.2"/>
  <cols>
    <col min="1" max="1" width="16.94921875" customWidth="1"/>
    <col min="2" max="2" width="27.98046875" customWidth="1"/>
    <col min="3" max="12" width="16.94921875" customWidth="1"/>
  </cols>
  <sheetData>
    <row r="1" spans="1:12" ht="33.950000000000003" customHeight="1" x14ac:dyDescent="0.3">
      <c r="A1" s="101" t="s">
        <v>858</v>
      </c>
      <c r="B1" s="80"/>
      <c r="C1" s="80"/>
      <c r="D1" s="80"/>
      <c r="E1" s="80"/>
      <c r="F1" s="80"/>
      <c r="G1" s="80"/>
      <c r="H1" s="80"/>
      <c r="I1" s="80"/>
      <c r="J1" s="80"/>
      <c r="K1" s="80"/>
      <c r="L1" s="80"/>
    </row>
    <row r="2" spans="1:12" ht="23.1" customHeight="1" x14ac:dyDescent="0.2">
      <c r="A2" s="102" t="s">
        <v>859</v>
      </c>
      <c r="B2" s="80"/>
      <c r="C2" s="80"/>
      <c r="D2" s="80"/>
      <c r="E2" s="80"/>
      <c r="F2" s="80"/>
      <c r="G2" s="80"/>
      <c r="H2" s="80"/>
      <c r="I2" s="80"/>
      <c r="J2" s="80"/>
      <c r="K2" s="80"/>
      <c r="L2" s="80"/>
    </row>
    <row r="3" spans="1:12" ht="23.1" customHeight="1" x14ac:dyDescent="0.2">
      <c r="A3" s="80"/>
      <c r="B3" s="80"/>
      <c r="C3" s="80"/>
      <c r="D3" s="80"/>
      <c r="E3" s="80"/>
      <c r="F3" s="80"/>
      <c r="G3" s="80"/>
      <c r="H3" s="80"/>
      <c r="I3" s="80"/>
      <c r="J3" s="80"/>
      <c r="K3" s="80"/>
      <c r="L3" s="80"/>
    </row>
    <row r="4" spans="1:12" x14ac:dyDescent="0.2">
      <c r="A4" s="1"/>
      <c r="B4" s="1"/>
      <c r="C4" s="1"/>
      <c r="D4" s="1"/>
      <c r="E4" s="1"/>
      <c r="F4" s="1"/>
      <c r="G4" s="1"/>
      <c r="H4" s="1"/>
      <c r="I4" s="1"/>
      <c r="J4" s="1"/>
      <c r="K4" s="1"/>
      <c r="L4" s="1"/>
    </row>
    <row r="5" spans="1:12" ht="42" customHeight="1" x14ac:dyDescent="0.2">
      <c r="A5" s="5" t="s">
        <v>764</v>
      </c>
      <c r="B5" s="5" t="s">
        <v>860</v>
      </c>
      <c r="C5" s="5" t="s">
        <v>861</v>
      </c>
      <c r="D5" s="5" t="s">
        <v>862</v>
      </c>
      <c r="E5" s="5" t="s">
        <v>863</v>
      </c>
      <c r="F5" s="5" t="s">
        <v>864</v>
      </c>
      <c r="G5" s="5" t="s">
        <v>865</v>
      </c>
      <c r="H5" s="5" t="s">
        <v>866</v>
      </c>
      <c r="I5" s="5" t="s">
        <v>867</v>
      </c>
      <c r="J5" s="5" t="s">
        <v>816</v>
      </c>
      <c r="K5" s="5" t="s">
        <v>818</v>
      </c>
      <c r="L5" s="5" t="s">
        <v>819</v>
      </c>
    </row>
    <row r="6" spans="1:12" ht="21.95" customHeight="1" x14ac:dyDescent="0.2">
      <c r="A6" s="23" t="s">
        <v>868</v>
      </c>
      <c r="B6" s="24">
        <v>44589.737500000003</v>
      </c>
      <c r="C6" s="7">
        <v>2</v>
      </c>
      <c r="D6" s="7">
        <v>2</v>
      </c>
      <c r="E6" s="7">
        <v>1</v>
      </c>
      <c r="F6" s="7">
        <v>1</v>
      </c>
      <c r="G6" s="7">
        <v>1</v>
      </c>
      <c r="H6" s="7">
        <v>6.41</v>
      </c>
      <c r="I6" s="7">
        <v>-1.1499999999999999</v>
      </c>
      <c r="J6" s="7">
        <v>419.9</v>
      </c>
      <c r="K6" s="7">
        <v>96</v>
      </c>
      <c r="L6" s="7">
        <v>1</v>
      </c>
    </row>
    <row r="7" spans="1:12" ht="21.95" customHeight="1" x14ac:dyDescent="0.2">
      <c r="A7" s="23" t="s">
        <v>869</v>
      </c>
      <c r="B7" s="24">
        <v>44589.738194444442</v>
      </c>
      <c r="C7" s="7">
        <v>12</v>
      </c>
      <c r="D7" s="7">
        <v>6</v>
      </c>
      <c r="E7" s="7">
        <v>3</v>
      </c>
      <c r="F7" s="7">
        <v>3</v>
      </c>
      <c r="G7" s="7">
        <v>1</v>
      </c>
      <c r="H7" s="7">
        <v>6.27</v>
      </c>
      <c r="I7" s="7">
        <v>-1.74</v>
      </c>
      <c r="J7" s="7">
        <v>420.2</v>
      </c>
      <c r="K7" s="7">
        <v>103</v>
      </c>
      <c r="L7" s="7">
        <v>1</v>
      </c>
    </row>
    <row r="8" spans="1:12" ht="21.95" customHeight="1" x14ac:dyDescent="0.2">
      <c r="A8" s="23" t="s">
        <v>870</v>
      </c>
      <c r="B8" s="24">
        <v>44589.738888888889</v>
      </c>
      <c r="C8" s="7">
        <v>1</v>
      </c>
      <c r="D8" s="7">
        <v>0</v>
      </c>
      <c r="E8" s="7">
        <v>7</v>
      </c>
      <c r="F8" s="7">
        <v>5</v>
      </c>
      <c r="G8" s="7">
        <v>1</v>
      </c>
      <c r="H8" s="7">
        <v>6.25</v>
      </c>
      <c r="I8" s="7">
        <v>-1.72</v>
      </c>
      <c r="J8" s="7">
        <v>420.3</v>
      </c>
      <c r="K8" s="7">
        <v>108</v>
      </c>
      <c r="L8" s="7">
        <v>1</v>
      </c>
    </row>
    <row r="9" spans="1:12" ht="21.95" customHeight="1" x14ac:dyDescent="0.2">
      <c r="A9" s="23" t="s">
        <v>871</v>
      </c>
      <c r="B9" s="24">
        <v>44589.739583333343</v>
      </c>
      <c r="C9" s="7">
        <v>4</v>
      </c>
      <c r="D9" s="7">
        <v>4</v>
      </c>
      <c r="E9" s="7">
        <v>13</v>
      </c>
      <c r="F9" s="7">
        <v>6</v>
      </c>
      <c r="G9" s="7">
        <v>1</v>
      </c>
      <c r="H9" s="7">
        <v>6.25</v>
      </c>
      <c r="I9" s="7">
        <v>-2.11</v>
      </c>
      <c r="J9" s="7">
        <v>419.5</v>
      </c>
      <c r="K9" s="7">
        <v>100</v>
      </c>
      <c r="L9" s="7">
        <v>1</v>
      </c>
    </row>
    <row r="10" spans="1:12" ht="21.95" customHeight="1" x14ac:dyDescent="0.2">
      <c r="A10" s="23" t="s">
        <v>872</v>
      </c>
      <c r="B10" s="24">
        <v>44589.740277777782</v>
      </c>
      <c r="C10" s="7">
        <v>12</v>
      </c>
      <c r="D10" s="7">
        <v>12</v>
      </c>
      <c r="E10" s="7">
        <v>14</v>
      </c>
      <c r="F10" s="7">
        <v>6</v>
      </c>
      <c r="G10" s="7">
        <v>1</v>
      </c>
      <c r="H10" s="7">
        <v>6.19</v>
      </c>
      <c r="I10" s="7">
        <v>-2.12</v>
      </c>
      <c r="J10" s="7">
        <v>419.5</v>
      </c>
      <c r="K10" s="7">
        <v>89</v>
      </c>
      <c r="L10" s="7">
        <v>1</v>
      </c>
    </row>
    <row r="11" spans="1:12" ht="21.95" customHeight="1" x14ac:dyDescent="0.2">
      <c r="A11" s="23" t="s">
        <v>873</v>
      </c>
      <c r="B11" s="24">
        <v>44589.740972222222</v>
      </c>
      <c r="C11" s="7">
        <v>12</v>
      </c>
      <c r="D11" s="7">
        <v>12</v>
      </c>
      <c r="E11" s="7">
        <v>17</v>
      </c>
      <c r="F11" s="7">
        <v>6</v>
      </c>
      <c r="G11" s="7">
        <v>1</v>
      </c>
      <c r="H11" s="7">
        <v>6.4</v>
      </c>
      <c r="I11" s="7">
        <v>-1.67</v>
      </c>
      <c r="J11" s="7">
        <v>417.8</v>
      </c>
      <c r="K11" s="7">
        <v>72</v>
      </c>
      <c r="L11" s="7">
        <v>1</v>
      </c>
    </row>
    <row r="12" spans="1:12" ht="21.95" customHeight="1" x14ac:dyDescent="0.2">
      <c r="A12" s="23" t="s">
        <v>874</v>
      </c>
      <c r="B12" s="24">
        <v>44589.741666666669</v>
      </c>
      <c r="C12" s="7">
        <v>12</v>
      </c>
      <c r="D12" s="7">
        <v>12</v>
      </c>
      <c r="E12" s="7">
        <v>13</v>
      </c>
      <c r="F12" s="7">
        <v>6</v>
      </c>
      <c r="G12" s="7">
        <v>1</v>
      </c>
      <c r="H12" s="7">
        <v>6.43</v>
      </c>
      <c r="I12" s="7">
        <v>-1.3</v>
      </c>
      <c r="J12" s="7">
        <v>418.9</v>
      </c>
      <c r="K12" s="7">
        <v>70</v>
      </c>
      <c r="L12" s="7">
        <v>1</v>
      </c>
    </row>
    <row r="13" spans="1:12" ht="21.95" customHeight="1" x14ac:dyDescent="0.2">
      <c r="A13" s="23" t="s">
        <v>875</v>
      </c>
      <c r="B13" s="24">
        <v>44589.742361111108</v>
      </c>
      <c r="C13" s="7">
        <v>12</v>
      </c>
      <c r="D13" s="7">
        <v>12</v>
      </c>
      <c r="E13" s="7">
        <v>11</v>
      </c>
      <c r="F13" s="7">
        <v>6</v>
      </c>
      <c r="G13" s="7">
        <v>1</v>
      </c>
      <c r="H13" s="7">
        <v>6.4</v>
      </c>
      <c r="I13" s="7">
        <v>-1.21</v>
      </c>
      <c r="J13" s="7">
        <v>420.5</v>
      </c>
      <c r="K13" s="7">
        <v>82</v>
      </c>
      <c r="L13" s="7">
        <v>2</v>
      </c>
    </row>
    <row r="14" spans="1:12" ht="21.95" customHeight="1" x14ac:dyDescent="0.2">
      <c r="A14" s="23" t="s">
        <v>876</v>
      </c>
      <c r="B14" s="24">
        <v>44589.743055555547</v>
      </c>
      <c r="C14" s="7">
        <v>12</v>
      </c>
      <c r="D14" s="7">
        <v>8</v>
      </c>
      <c r="E14" s="7">
        <v>4</v>
      </c>
      <c r="F14" s="7">
        <v>4</v>
      </c>
      <c r="G14" s="7">
        <v>1</v>
      </c>
      <c r="H14" s="7">
        <v>6.36</v>
      </c>
      <c r="I14" s="7">
        <v>-1.17</v>
      </c>
      <c r="J14" s="7">
        <v>420.9</v>
      </c>
      <c r="K14" s="7">
        <v>81</v>
      </c>
      <c r="L14" s="7">
        <v>2</v>
      </c>
    </row>
    <row r="15" spans="1:12" ht="21.95" customHeight="1" x14ac:dyDescent="0.2">
      <c r="A15" s="23" t="s">
        <v>877</v>
      </c>
      <c r="B15" s="24">
        <v>44589.743750000001</v>
      </c>
      <c r="C15" s="7">
        <v>12</v>
      </c>
      <c r="D15" s="7">
        <v>12</v>
      </c>
      <c r="E15" s="7">
        <v>6</v>
      </c>
      <c r="F15" s="7">
        <v>6</v>
      </c>
      <c r="G15" s="7">
        <v>1</v>
      </c>
      <c r="H15" s="7">
        <v>6.4</v>
      </c>
      <c r="I15" s="7">
        <v>-1.77</v>
      </c>
      <c r="J15" s="7">
        <v>420.7</v>
      </c>
      <c r="K15" s="7">
        <v>63</v>
      </c>
      <c r="L15" s="7">
        <v>2</v>
      </c>
    </row>
    <row r="16" spans="1:12" ht="21.95" customHeight="1" x14ac:dyDescent="0.2">
      <c r="A16" s="23" t="s">
        <v>878</v>
      </c>
      <c r="B16" s="24">
        <v>44589.744444444441</v>
      </c>
      <c r="C16" s="7">
        <v>12</v>
      </c>
      <c r="D16" s="7">
        <v>12</v>
      </c>
      <c r="E16" s="7">
        <v>6</v>
      </c>
      <c r="F16" s="7">
        <v>6</v>
      </c>
      <c r="G16" s="7">
        <v>1</v>
      </c>
      <c r="H16" s="7">
        <v>6.39</v>
      </c>
      <c r="I16" s="7">
        <v>-1.43</v>
      </c>
      <c r="J16" s="7">
        <v>420.7</v>
      </c>
      <c r="K16" s="7">
        <v>65</v>
      </c>
      <c r="L16" s="7">
        <v>2</v>
      </c>
    </row>
    <row r="17" spans="1:12" ht="21.95" customHeight="1" x14ac:dyDescent="0.2">
      <c r="A17" s="23" t="s">
        <v>879</v>
      </c>
      <c r="B17" s="24">
        <v>44589.745138888888</v>
      </c>
      <c r="C17" s="7">
        <v>6</v>
      </c>
      <c r="D17" s="7">
        <v>6</v>
      </c>
      <c r="E17" s="7">
        <v>4</v>
      </c>
      <c r="F17" s="7">
        <v>4</v>
      </c>
      <c r="G17" s="7">
        <v>1</v>
      </c>
      <c r="H17" s="7">
        <v>6.31</v>
      </c>
      <c r="I17" s="7">
        <v>-1.26</v>
      </c>
      <c r="J17" s="7">
        <v>419.5</v>
      </c>
      <c r="K17" s="7">
        <v>63</v>
      </c>
      <c r="L17" s="7">
        <v>2</v>
      </c>
    </row>
    <row r="18" spans="1:12" ht="21.95" customHeight="1" x14ac:dyDescent="0.2">
      <c r="A18" s="23" t="s">
        <v>880</v>
      </c>
      <c r="B18" s="24">
        <v>44589.745833333327</v>
      </c>
      <c r="C18" s="7">
        <v>2</v>
      </c>
      <c r="D18" s="7">
        <v>2</v>
      </c>
      <c r="E18" s="7">
        <v>2</v>
      </c>
      <c r="F18" s="7">
        <v>2</v>
      </c>
      <c r="G18" s="7">
        <v>1</v>
      </c>
      <c r="H18" s="7">
        <v>6.28</v>
      </c>
      <c r="I18" s="7">
        <v>-1.88</v>
      </c>
      <c r="J18" s="7">
        <v>419.4</v>
      </c>
      <c r="K18" s="7">
        <v>64</v>
      </c>
      <c r="L18" s="7">
        <v>2</v>
      </c>
    </row>
  </sheetData>
  <mergeCells count="2">
    <mergeCell ref="A1:L1"/>
    <mergeCell ref="A2:L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sheetPr>
  <dimension ref="A1:F22"/>
  <sheetViews>
    <sheetView workbookViewId="0">
      <selection sqref="A1:F1"/>
    </sheetView>
  </sheetViews>
  <sheetFormatPr defaultRowHeight="15" x14ac:dyDescent="0.2"/>
  <cols>
    <col min="1" max="1" width="25.9609375" customWidth="1"/>
    <col min="2" max="6" width="43.046875" customWidth="1"/>
  </cols>
  <sheetData>
    <row r="1" spans="1:6" ht="33.950000000000003" customHeight="1" x14ac:dyDescent="0.3">
      <c r="A1" s="101" t="s">
        <v>881</v>
      </c>
      <c r="B1" s="80"/>
      <c r="C1" s="80"/>
      <c r="D1" s="80"/>
      <c r="E1" s="80"/>
      <c r="F1" s="80"/>
    </row>
    <row r="2" spans="1:6" ht="23.1" customHeight="1" x14ac:dyDescent="0.2">
      <c r="A2" s="102" t="s">
        <v>882</v>
      </c>
      <c r="B2" s="80"/>
      <c r="C2" s="80"/>
      <c r="D2" s="80"/>
      <c r="E2" s="80"/>
      <c r="F2" s="80"/>
    </row>
    <row r="3" spans="1:6" ht="23.1" customHeight="1" x14ac:dyDescent="0.2">
      <c r="A3" s="80"/>
      <c r="B3" s="80"/>
      <c r="C3" s="80"/>
      <c r="D3" s="80"/>
      <c r="E3" s="80"/>
      <c r="F3" s="80"/>
    </row>
    <row r="4" spans="1:6" x14ac:dyDescent="0.2">
      <c r="A4" s="1"/>
      <c r="B4" s="1"/>
      <c r="C4" s="1"/>
      <c r="D4" s="1"/>
      <c r="E4" s="1"/>
      <c r="F4" s="1"/>
    </row>
    <row r="5" spans="1:6" ht="42" customHeight="1" x14ac:dyDescent="0.2">
      <c r="A5" s="5" t="s">
        <v>4</v>
      </c>
      <c r="B5" s="5" t="s">
        <v>883</v>
      </c>
      <c r="C5" s="5" t="s">
        <v>884</v>
      </c>
      <c r="D5" s="5" t="s">
        <v>885</v>
      </c>
      <c r="E5" s="5" t="s">
        <v>886</v>
      </c>
      <c r="F5" s="5" t="s">
        <v>887</v>
      </c>
    </row>
    <row r="6" spans="1:6" ht="81.95" customHeight="1" x14ac:dyDescent="0.2">
      <c r="A6" s="8" t="s">
        <v>888</v>
      </c>
      <c r="B6" s="8" t="s">
        <v>889</v>
      </c>
      <c r="C6" s="8" t="s">
        <v>890</v>
      </c>
      <c r="D6" s="8" t="s">
        <v>891</v>
      </c>
      <c r="E6" s="8" t="s">
        <v>892</v>
      </c>
      <c r="F6" s="8" t="s">
        <v>893</v>
      </c>
    </row>
    <row r="7" spans="1:6" ht="81.95" customHeight="1" x14ac:dyDescent="0.2">
      <c r="A7" s="8" t="s">
        <v>888</v>
      </c>
      <c r="B7" s="8" t="s">
        <v>894</v>
      </c>
      <c r="C7" s="8" t="s">
        <v>895</v>
      </c>
      <c r="D7" s="8" t="s">
        <v>896</v>
      </c>
      <c r="E7" s="8" t="s">
        <v>897</v>
      </c>
      <c r="F7" s="8" t="s">
        <v>898</v>
      </c>
    </row>
    <row r="8" spans="1:6" ht="81.95" customHeight="1" x14ac:dyDescent="0.2">
      <c r="A8" s="8" t="s">
        <v>13</v>
      </c>
      <c r="B8" s="8" t="s">
        <v>899</v>
      </c>
      <c r="C8" s="8" t="s">
        <v>900</v>
      </c>
      <c r="D8" s="8" t="s">
        <v>901</v>
      </c>
      <c r="E8" s="8" t="s">
        <v>902</v>
      </c>
      <c r="F8" s="8" t="s">
        <v>903</v>
      </c>
    </row>
    <row r="9" spans="1:6" ht="81.95" customHeight="1" x14ac:dyDescent="0.2">
      <c r="A9" s="8" t="s">
        <v>13</v>
      </c>
      <c r="B9" s="8" t="s">
        <v>904</v>
      </c>
      <c r="C9" s="8" t="s">
        <v>905</v>
      </c>
      <c r="D9" s="8" t="s">
        <v>906</v>
      </c>
      <c r="E9" s="8" t="s">
        <v>907</v>
      </c>
      <c r="F9" s="8" t="s">
        <v>908</v>
      </c>
    </row>
    <row r="10" spans="1:6" ht="81.95" customHeight="1" x14ac:dyDescent="0.2">
      <c r="A10" s="8" t="s">
        <v>13</v>
      </c>
      <c r="B10" s="8" t="s">
        <v>909</v>
      </c>
      <c r="C10" s="8" t="s">
        <v>910</v>
      </c>
      <c r="D10" s="8" t="s">
        <v>911</v>
      </c>
      <c r="E10" s="8" t="s">
        <v>912</v>
      </c>
      <c r="F10" s="8" t="s">
        <v>913</v>
      </c>
    </row>
    <row r="11" spans="1:6" ht="81.95" customHeight="1" x14ac:dyDescent="0.2">
      <c r="A11" s="8" t="s">
        <v>13</v>
      </c>
      <c r="B11" s="8" t="s">
        <v>914</v>
      </c>
      <c r="C11" s="8" t="s">
        <v>910</v>
      </c>
      <c r="D11" s="8" t="s">
        <v>915</v>
      </c>
      <c r="E11" s="8" t="s">
        <v>916</v>
      </c>
      <c r="F11" s="8" t="s">
        <v>917</v>
      </c>
    </row>
    <row r="12" spans="1:6" ht="81.95" customHeight="1" x14ac:dyDescent="0.2">
      <c r="A12" s="8" t="s">
        <v>13</v>
      </c>
      <c r="B12" s="8" t="s">
        <v>918</v>
      </c>
      <c r="C12" s="8" t="s">
        <v>910</v>
      </c>
      <c r="D12" s="8" t="s">
        <v>919</v>
      </c>
      <c r="E12" s="8" t="s">
        <v>920</v>
      </c>
      <c r="F12" s="8" t="s">
        <v>921</v>
      </c>
    </row>
    <row r="13" spans="1:6" ht="81.95" customHeight="1" x14ac:dyDescent="0.2">
      <c r="A13" s="8" t="s">
        <v>17</v>
      </c>
      <c r="B13" s="8" t="s">
        <v>922</v>
      </c>
      <c r="C13" s="8" t="s">
        <v>923</v>
      </c>
      <c r="D13" s="8" t="s">
        <v>924</v>
      </c>
      <c r="E13" s="8" t="s">
        <v>925</v>
      </c>
      <c r="F13" s="8" t="s">
        <v>926</v>
      </c>
    </row>
    <row r="14" spans="1:6" ht="81.95" customHeight="1" x14ac:dyDescent="0.2">
      <c r="A14" s="8" t="s">
        <v>17</v>
      </c>
      <c r="B14" s="8" t="s">
        <v>927</v>
      </c>
      <c r="C14" s="8" t="s">
        <v>928</v>
      </c>
      <c r="D14" s="8" t="s">
        <v>929</v>
      </c>
      <c r="E14" s="8" t="s">
        <v>930</v>
      </c>
      <c r="F14" s="8" t="s">
        <v>931</v>
      </c>
    </row>
    <row r="15" spans="1:6" ht="81.95" customHeight="1" x14ac:dyDescent="0.2">
      <c r="A15" s="8" t="s">
        <v>932</v>
      </c>
      <c r="B15" s="8" t="s">
        <v>933</v>
      </c>
      <c r="C15" s="8" t="s">
        <v>934</v>
      </c>
      <c r="D15" s="8" t="s">
        <v>935</v>
      </c>
      <c r="E15" s="8" t="s">
        <v>936</v>
      </c>
      <c r="F15" s="8" t="s">
        <v>937</v>
      </c>
    </row>
    <row r="16" spans="1:6" ht="81.95" customHeight="1" x14ac:dyDescent="0.2">
      <c r="A16" s="8" t="s">
        <v>938</v>
      </c>
      <c r="B16" s="8" t="s">
        <v>939</v>
      </c>
      <c r="C16" s="8" t="s">
        <v>65</v>
      </c>
      <c r="D16" s="8" t="s">
        <v>940</v>
      </c>
      <c r="E16" s="8" t="s">
        <v>941</v>
      </c>
      <c r="F16" s="8" t="s">
        <v>942</v>
      </c>
    </row>
    <row r="17" spans="1:6" ht="81.95" customHeight="1" x14ac:dyDescent="0.2">
      <c r="A17" s="8" t="s">
        <v>938</v>
      </c>
      <c r="B17" s="8" t="s">
        <v>943</v>
      </c>
      <c r="C17" s="8" t="s">
        <v>65</v>
      </c>
      <c r="D17" s="8" t="s">
        <v>944</v>
      </c>
      <c r="E17" s="8" t="s">
        <v>945</v>
      </c>
      <c r="F17" s="8" t="s">
        <v>946</v>
      </c>
    </row>
    <row r="18" spans="1:6" ht="81.95" customHeight="1" x14ac:dyDescent="0.2">
      <c r="A18" s="8" t="s">
        <v>938</v>
      </c>
      <c r="B18" s="8" t="s">
        <v>947</v>
      </c>
      <c r="C18" s="8" t="s">
        <v>948</v>
      </c>
      <c r="D18" s="8" t="s">
        <v>949</v>
      </c>
      <c r="E18" s="8" t="s">
        <v>950</v>
      </c>
      <c r="F18" s="8" t="s">
        <v>951</v>
      </c>
    </row>
    <row r="19" spans="1:6" ht="81.95" customHeight="1" x14ac:dyDescent="0.2">
      <c r="A19" s="8" t="s">
        <v>952</v>
      </c>
      <c r="B19" s="8" t="s">
        <v>953</v>
      </c>
      <c r="C19" s="8" t="s">
        <v>954</v>
      </c>
      <c r="D19" s="8" t="s">
        <v>955</v>
      </c>
      <c r="E19" s="8" t="s">
        <v>956</v>
      </c>
      <c r="F19" s="8" t="s">
        <v>957</v>
      </c>
    </row>
    <row r="20" spans="1:6" ht="78" customHeight="1" x14ac:dyDescent="0.2">
      <c r="A20" s="9" t="s">
        <v>13</v>
      </c>
      <c r="B20" s="9" t="s">
        <v>958</v>
      </c>
      <c r="C20" s="9" t="s">
        <v>52</v>
      </c>
      <c r="D20" s="9" t="s">
        <v>959</v>
      </c>
      <c r="E20" s="9" t="s">
        <v>960</v>
      </c>
      <c r="F20" s="9" t="s">
        <v>961</v>
      </c>
    </row>
    <row r="21" spans="1:6" ht="78" customHeight="1" x14ac:dyDescent="0.2">
      <c r="A21" s="9" t="s">
        <v>962</v>
      </c>
      <c r="B21" s="9" t="s">
        <v>963</v>
      </c>
      <c r="C21" s="9" t="s">
        <v>964</v>
      </c>
      <c r="D21" s="9" t="s">
        <v>965</v>
      </c>
      <c r="E21" s="9" t="s">
        <v>966</v>
      </c>
      <c r="F21" s="9" t="s">
        <v>967</v>
      </c>
    </row>
    <row r="22" spans="1:6" ht="78" customHeight="1" x14ac:dyDescent="0.2">
      <c r="A22" s="9" t="s">
        <v>968</v>
      </c>
      <c r="B22" s="9" t="s">
        <v>969</v>
      </c>
      <c r="C22" s="9" t="s">
        <v>970</v>
      </c>
      <c r="D22" s="9" t="s">
        <v>971</v>
      </c>
      <c r="E22" s="9" t="s">
        <v>972</v>
      </c>
      <c r="F22" s="9" t="s">
        <v>973</v>
      </c>
    </row>
  </sheetData>
  <mergeCells count="2">
    <mergeCell ref="A1:F1"/>
    <mergeCell ref="A2:F3"/>
  </mergeCells>
  <conditionalFormatting sqref="C6:D19">
    <cfRule type="expression" dxfId="2" priority="1">
      <formula>LEFT(D6,4)="HOLD"</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sheetPr>
  <dimension ref="A1:F29"/>
  <sheetViews>
    <sheetView workbookViewId="0">
      <selection sqref="A1:F1"/>
    </sheetView>
  </sheetViews>
  <sheetFormatPr defaultRowHeight="15" x14ac:dyDescent="0.2"/>
  <cols>
    <col min="1" max="1" width="23.9453125" customWidth="1"/>
    <col min="2" max="2" width="37.93359375" customWidth="1"/>
    <col min="3" max="5" width="23.9453125" customWidth="1"/>
    <col min="6" max="6" width="99.0078125" customWidth="1"/>
  </cols>
  <sheetData>
    <row r="1" spans="1:6" ht="33.950000000000003" customHeight="1" x14ac:dyDescent="0.3">
      <c r="A1" s="101" t="s">
        <v>974</v>
      </c>
      <c r="B1" s="80"/>
      <c r="C1" s="80"/>
      <c r="D1" s="80"/>
      <c r="E1" s="80"/>
      <c r="F1" s="80"/>
    </row>
    <row r="2" spans="1:6" ht="23.1" customHeight="1" x14ac:dyDescent="0.2">
      <c r="A2" s="102" t="s">
        <v>975</v>
      </c>
      <c r="B2" s="80"/>
      <c r="C2" s="80"/>
      <c r="D2" s="80"/>
      <c r="E2" s="80"/>
      <c r="F2" s="80"/>
    </row>
    <row r="3" spans="1:6" ht="23.1" customHeight="1" x14ac:dyDescent="0.2">
      <c r="A3" s="80"/>
      <c r="B3" s="80"/>
      <c r="C3" s="80"/>
      <c r="D3" s="80"/>
      <c r="E3" s="80"/>
      <c r="F3" s="80"/>
    </row>
    <row r="4" spans="1:6" x14ac:dyDescent="0.2">
      <c r="A4" s="1"/>
      <c r="B4" s="1"/>
      <c r="C4" s="1"/>
      <c r="D4" s="1"/>
      <c r="E4" s="1"/>
      <c r="F4" s="1"/>
    </row>
    <row r="5" spans="1:6" ht="42" customHeight="1" x14ac:dyDescent="0.2">
      <c r="A5" s="5" t="s">
        <v>976</v>
      </c>
      <c r="B5" s="5" t="s">
        <v>337</v>
      </c>
      <c r="C5" s="5" t="s">
        <v>977</v>
      </c>
      <c r="D5" s="5" t="s">
        <v>978</v>
      </c>
      <c r="E5" s="5" t="s">
        <v>979</v>
      </c>
      <c r="F5" s="5" t="s">
        <v>389</v>
      </c>
    </row>
    <row r="6" spans="1:6" ht="45" customHeight="1" x14ac:dyDescent="0.2">
      <c r="A6" s="8" t="s">
        <v>980</v>
      </c>
      <c r="B6" s="8" t="s">
        <v>981</v>
      </c>
      <c r="C6" s="16">
        <v>4.5474735088646412E-13</v>
      </c>
      <c r="D6" s="16">
        <v>9.9999999999999995E-7</v>
      </c>
      <c r="E6" s="8" t="s">
        <v>576</v>
      </c>
      <c r="F6" s="8" t="s">
        <v>982</v>
      </c>
    </row>
    <row r="7" spans="1:6" ht="45" customHeight="1" x14ac:dyDescent="0.2">
      <c r="A7" s="8" t="s">
        <v>983</v>
      </c>
      <c r="B7" s="8" t="s">
        <v>984</v>
      </c>
      <c r="C7" s="16">
        <v>4.5474735088646412E-13</v>
      </c>
      <c r="D7" s="16">
        <v>9.9999999999999995E-7</v>
      </c>
      <c r="E7" s="8" t="s">
        <v>576</v>
      </c>
      <c r="F7" s="8" t="s">
        <v>985</v>
      </c>
    </row>
    <row r="8" spans="1:6" ht="45" customHeight="1" x14ac:dyDescent="0.2">
      <c r="A8" s="8" t="s">
        <v>986</v>
      </c>
      <c r="B8" s="8" t="s">
        <v>987</v>
      </c>
      <c r="C8" s="16">
        <v>2.2737367544323211E-13</v>
      </c>
      <c r="D8" s="16">
        <v>9.9999999999999995E-7</v>
      </c>
      <c r="E8" s="8" t="s">
        <v>576</v>
      </c>
      <c r="F8" s="8" t="s">
        <v>988</v>
      </c>
    </row>
    <row r="9" spans="1:6" ht="45" customHeight="1" x14ac:dyDescent="0.2">
      <c r="A9" s="8" t="s">
        <v>989</v>
      </c>
      <c r="B9" s="8" t="s">
        <v>162</v>
      </c>
      <c r="C9" s="16">
        <v>9.0949470177292824E-13</v>
      </c>
      <c r="D9" s="16">
        <v>9.9999999999999995E-7</v>
      </c>
      <c r="E9" s="8" t="s">
        <v>576</v>
      </c>
      <c r="F9" s="8" t="s">
        <v>990</v>
      </c>
    </row>
    <row r="10" spans="1:6" ht="45" customHeight="1" x14ac:dyDescent="0.2">
      <c r="A10" s="8" t="s">
        <v>991</v>
      </c>
      <c r="B10" s="8" t="s">
        <v>992</v>
      </c>
      <c r="C10" s="16">
        <v>1.8189894035458561E-12</v>
      </c>
      <c r="D10" s="16">
        <v>9.9999999999999995E-7</v>
      </c>
      <c r="E10" s="8" t="s">
        <v>576</v>
      </c>
      <c r="F10" s="8" t="s">
        <v>993</v>
      </c>
    </row>
    <row r="11" spans="1:6" ht="45" customHeight="1" x14ac:dyDescent="0.2">
      <c r="A11" s="8" t="s">
        <v>994</v>
      </c>
      <c r="B11" s="8" t="s">
        <v>995</v>
      </c>
      <c r="C11" s="16">
        <v>0</v>
      </c>
      <c r="D11" s="16">
        <v>0</v>
      </c>
      <c r="E11" s="8" t="s">
        <v>576</v>
      </c>
      <c r="F11" s="8" t="s">
        <v>996</v>
      </c>
    </row>
    <row r="12" spans="1:6" ht="45" customHeight="1" x14ac:dyDescent="0.2">
      <c r="A12" s="8" t="s">
        <v>997</v>
      </c>
      <c r="B12" s="8" t="s">
        <v>998</v>
      </c>
      <c r="C12" s="16">
        <v>5</v>
      </c>
      <c r="D12" s="16">
        <v>5</v>
      </c>
      <c r="E12" s="8" t="s">
        <v>576</v>
      </c>
      <c r="F12" s="8" t="s">
        <v>999</v>
      </c>
    </row>
    <row r="13" spans="1:6" ht="45" customHeight="1" x14ac:dyDescent="0.2">
      <c r="A13" s="8" t="s">
        <v>1000</v>
      </c>
      <c r="B13" s="8" t="s">
        <v>1001</v>
      </c>
      <c r="C13" s="16">
        <v>0</v>
      </c>
      <c r="D13" s="16">
        <v>0</v>
      </c>
      <c r="E13" s="8" t="s">
        <v>576</v>
      </c>
      <c r="F13" s="8" t="s">
        <v>1002</v>
      </c>
    </row>
    <row r="14" spans="1:6" ht="45" customHeight="1" x14ac:dyDescent="0.2">
      <c r="A14" s="8" t="s">
        <v>1003</v>
      </c>
      <c r="B14" s="8" t="s">
        <v>1004</v>
      </c>
      <c r="C14" s="16">
        <v>4.5794985581437686E-9</v>
      </c>
      <c r="D14" s="16">
        <v>9.9999999999999995E-7</v>
      </c>
      <c r="E14" s="8" t="s">
        <v>576</v>
      </c>
      <c r="F14" s="8" t="s">
        <v>1005</v>
      </c>
    </row>
    <row r="15" spans="1:6" ht="45" customHeight="1" x14ac:dyDescent="0.2">
      <c r="A15" s="8" t="s">
        <v>1006</v>
      </c>
      <c r="B15" s="8" t="s">
        <v>1007</v>
      </c>
      <c r="C15" s="8">
        <v>9</v>
      </c>
      <c r="D15" s="8">
        <v>10</v>
      </c>
      <c r="E15" s="8" t="s">
        <v>576</v>
      </c>
      <c r="F15" s="8" t="s">
        <v>1008</v>
      </c>
    </row>
    <row r="16" spans="1:6" ht="45" customHeight="1" x14ac:dyDescent="0.2">
      <c r="A16" s="8" t="s">
        <v>1009</v>
      </c>
      <c r="B16" s="8" t="s">
        <v>1010</v>
      </c>
      <c r="C16" s="8">
        <v>0</v>
      </c>
      <c r="D16" s="8">
        <v>0</v>
      </c>
      <c r="E16" s="8" t="s">
        <v>1011</v>
      </c>
      <c r="F16" s="8" t="s">
        <v>1012</v>
      </c>
    </row>
    <row r="17" spans="1:6" ht="45" customHeight="1" x14ac:dyDescent="0.2">
      <c r="A17" s="8" t="s">
        <v>1013</v>
      </c>
      <c r="B17" s="8" t="s">
        <v>1014</v>
      </c>
      <c r="C17" s="8">
        <v>0</v>
      </c>
      <c r="D17" s="8">
        <v>0</v>
      </c>
      <c r="E17" s="8" t="s">
        <v>576</v>
      </c>
      <c r="F17" s="8" t="s">
        <v>1015</v>
      </c>
    </row>
    <row r="18" spans="1:6" ht="45" customHeight="1" x14ac:dyDescent="0.2">
      <c r="A18" s="8" t="s">
        <v>1016</v>
      </c>
      <c r="B18" s="8" t="s">
        <v>1017</v>
      </c>
      <c r="C18" s="8">
        <v>0</v>
      </c>
      <c r="D18" s="8">
        <v>0</v>
      </c>
      <c r="E18" s="8" t="s">
        <v>503</v>
      </c>
      <c r="F18" s="8" t="s">
        <v>1018</v>
      </c>
    </row>
    <row r="19" spans="1:6" ht="45" customHeight="1" x14ac:dyDescent="0.2">
      <c r="A19" s="8" t="s">
        <v>1019</v>
      </c>
      <c r="B19" s="8" t="s">
        <v>1020</v>
      </c>
      <c r="C19" s="8">
        <v>18</v>
      </c>
      <c r="D19" s="8">
        <v>18</v>
      </c>
      <c r="E19" s="8" t="s">
        <v>1021</v>
      </c>
      <c r="F19" s="8" t="s">
        <v>1022</v>
      </c>
    </row>
    <row r="20" spans="1:6" ht="45" customHeight="1" x14ac:dyDescent="0.2">
      <c r="A20" s="8" t="s">
        <v>1023</v>
      </c>
      <c r="B20" s="8" t="s">
        <v>1024</v>
      </c>
      <c r="C20" s="8">
        <v>0</v>
      </c>
      <c r="D20" s="8">
        <v>0</v>
      </c>
      <c r="E20" s="8" t="s">
        <v>1025</v>
      </c>
      <c r="F20" s="8" t="s">
        <v>1026</v>
      </c>
    </row>
    <row r="21" spans="1:6" ht="45" customHeight="1" x14ac:dyDescent="0.2">
      <c r="A21" s="8" t="s">
        <v>1027</v>
      </c>
      <c r="B21" s="8" t="s">
        <v>1028</v>
      </c>
      <c r="C21" s="8">
        <f>COUNTIF(Join_Audit!S6:S116,"ACCEPT")</f>
        <v>100</v>
      </c>
      <c r="D21" s="8">
        <v>100</v>
      </c>
      <c r="E21" s="8" t="str">
        <f>IF(AND(C21=D21,Settings!B8=D21,COUNTIF(ACE_Input!Y6:Y105,"ACCEPT")=D21),"PASS","REBUILD / HOLD")</f>
        <v>PASS</v>
      </c>
      <c r="F21" s="8" t="s">
        <v>1029</v>
      </c>
    </row>
    <row r="22" spans="1:6" ht="45" customHeight="1" x14ac:dyDescent="0.2">
      <c r="A22" s="8" t="s">
        <v>1030</v>
      </c>
      <c r="B22" s="8" t="s">
        <v>1031</v>
      </c>
      <c r="C22" s="8">
        <f>Settings!B9</f>
        <v>10</v>
      </c>
      <c r="D22" s="8">
        <v>10</v>
      </c>
      <c r="E22" s="8" t="str">
        <f>IF(C22=D22,"PASS","REBUILD / HOLD")</f>
        <v>PASS</v>
      </c>
      <c r="F22" s="8" t="s">
        <v>1032</v>
      </c>
    </row>
    <row r="24" spans="1:6" x14ac:dyDescent="0.2">
      <c r="A24" s="33" t="s">
        <v>1033</v>
      </c>
      <c r="B24" s="33" t="s">
        <v>1034</v>
      </c>
      <c r="C24" s="33" t="s">
        <v>1035</v>
      </c>
      <c r="D24" s="33" t="s">
        <v>1036</v>
      </c>
      <c r="E24" s="33" t="s">
        <v>979</v>
      </c>
      <c r="F24" s="33" t="s">
        <v>535</v>
      </c>
    </row>
    <row r="25" spans="1:6" ht="56.1" customHeight="1" x14ac:dyDescent="0.2">
      <c r="A25" s="9" t="s">
        <v>1037</v>
      </c>
      <c r="B25" s="9" t="s">
        <v>1038</v>
      </c>
      <c r="C25" s="9">
        <v>28</v>
      </c>
      <c r="D25" s="9">
        <v>28</v>
      </c>
      <c r="E25" s="9" t="s">
        <v>576</v>
      </c>
      <c r="F25" s="9" t="s">
        <v>1039</v>
      </c>
    </row>
    <row r="26" spans="1:6" ht="56.1" customHeight="1" x14ac:dyDescent="0.2">
      <c r="A26" s="9" t="s">
        <v>1040</v>
      </c>
      <c r="B26" s="9" t="s">
        <v>1041</v>
      </c>
      <c r="C26" s="9">
        <v>100</v>
      </c>
      <c r="D26" s="9">
        <v>100</v>
      </c>
      <c r="E26" s="9" t="s">
        <v>576</v>
      </c>
      <c r="F26" s="9" t="s">
        <v>1042</v>
      </c>
    </row>
    <row r="27" spans="1:6" ht="56.1" customHeight="1" x14ac:dyDescent="0.2">
      <c r="A27" s="9" t="s">
        <v>1043</v>
      </c>
      <c r="B27" s="9" t="s">
        <v>1044</v>
      </c>
      <c r="C27" s="9">
        <v>5</v>
      </c>
      <c r="D27" s="9">
        <v>5</v>
      </c>
      <c r="E27" s="9" t="s">
        <v>576</v>
      </c>
      <c r="F27" s="9" t="s">
        <v>1045</v>
      </c>
    </row>
    <row r="28" spans="1:6" ht="56.1" customHeight="1" x14ac:dyDescent="0.2">
      <c r="A28" s="9" t="s">
        <v>1046</v>
      </c>
      <c r="B28" s="9" t="s">
        <v>1047</v>
      </c>
      <c r="C28" s="9">
        <v>4.5474735088646412E-13</v>
      </c>
      <c r="D28" s="9">
        <v>9.9999999999999995E-7</v>
      </c>
      <c r="E28" s="9" t="s">
        <v>576</v>
      </c>
      <c r="F28" s="9" t="s">
        <v>1048</v>
      </c>
    </row>
    <row r="29" spans="1:6" ht="56.1" customHeight="1" x14ac:dyDescent="0.2">
      <c r="A29" s="9" t="s">
        <v>1049</v>
      </c>
      <c r="B29" s="9" t="s">
        <v>1050</v>
      </c>
      <c r="C29" s="9">
        <v>0</v>
      </c>
      <c r="D29" s="9">
        <v>0</v>
      </c>
      <c r="E29" s="9" t="s">
        <v>576</v>
      </c>
      <c r="F29" s="9" t="s">
        <v>1051</v>
      </c>
    </row>
  </sheetData>
  <mergeCells count="2">
    <mergeCell ref="A1:F1"/>
    <mergeCell ref="A2:F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T5005"/>
  <sheetViews>
    <sheetView workbookViewId="0">
      <selection sqref="A1:T1"/>
    </sheetView>
  </sheetViews>
  <sheetFormatPr defaultRowHeight="15" x14ac:dyDescent="0.2"/>
  <cols>
    <col min="1" max="20" width="20.04296875" customWidth="1"/>
  </cols>
  <sheetData>
    <row r="1" spans="1:20" ht="33.950000000000003" customHeight="1" x14ac:dyDescent="0.3">
      <c r="A1" s="101" t="s">
        <v>1052</v>
      </c>
      <c r="B1" s="80"/>
      <c r="C1" s="80"/>
      <c r="D1" s="80"/>
      <c r="E1" s="80"/>
      <c r="F1" s="80"/>
      <c r="G1" s="80"/>
      <c r="H1" s="80"/>
      <c r="I1" s="80"/>
      <c r="J1" s="80"/>
      <c r="K1" s="80"/>
      <c r="L1" s="80"/>
      <c r="M1" s="80"/>
      <c r="N1" s="80"/>
      <c r="O1" s="80"/>
      <c r="P1" s="80"/>
      <c r="Q1" s="80"/>
      <c r="R1" s="80"/>
      <c r="S1" s="80"/>
      <c r="T1" s="80"/>
    </row>
    <row r="2" spans="1:20" ht="23.1" customHeight="1" x14ac:dyDescent="0.2">
      <c r="A2" s="102" t="s">
        <v>1053</v>
      </c>
      <c r="B2" s="80"/>
      <c r="C2" s="80"/>
      <c r="D2" s="80"/>
      <c r="E2" s="80"/>
      <c r="F2" s="80"/>
      <c r="G2" s="80"/>
      <c r="H2" s="80"/>
      <c r="I2" s="80"/>
      <c r="J2" s="80"/>
      <c r="K2" s="80"/>
      <c r="L2" s="80"/>
      <c r="M2" s="80"/>
      <c r="N2" s="80"/>
      <c r="O2" s="80"/>
      <c r="P2" s="80"/>
      <c r="Q2" s="80"/>
      <c r="R2" s="80"/>
      <c r="S2" s="80"/>
      <c r="T2" s="80"/>
    </row>
    <row r="3" spans="1:20" ht="23.1" customHeight="1" x14ac:dyDescent="0.2">
      <c r="A3" s="80"/>
      <c r="B3" s="80"/>
      <c r="C3" s="80"/>
      <c r="D3" s="80"/>
      <c r="E3" s="80"/>
      <c r="F3" s="80"/>
      <c r="G3" s="80"/>
      <c r="H3" s="80"/>
      <c r="I3" s="80"/>
      <c r="J3" s="80"/>
      <c r="K3" s="80"/>
      <c r="L3" s="80"/>
      <c r="M3" s="80"/>
      <c r="N3" s="80"/>
      <c r="O3" s="80"/>
      <c r="P3" s="80"/>
      <c r="Q3" s="80"/>
      <c r="R3" s="80"/>
      <c r="S3" s="80"/>
      <c r="T3" s="80"/>
    </row>
    <row r="4" spans="1:20" x14ac:dyDescent="0.2">
      <c r="A4" s="1"/>
      <c r="B4" s="1"/>
      <c r="C4" s="1"/>
      <c r="D4" s="1"/>
      <c r="E4" s="1"/>
      <c r="F4" s="1"/>
      <c r="G4" s="1"/>
      <c r="H4" s="1"/>
      <c r="I4" s="1"/>
      <c r="J4" s="1"/>
      <c r="K4" s="1"/>
      <c r="L4" s="1"/>
      <c r="M4" s="1"/>
      <c r="N4" s="1"/>
      <c r="O4" s="1"/>
      <c r="P4" s="1"/>
      <c r="Q4" s="1"/>
      <c r="R4" s="1"/>
      <c r="S4" s="1"/>
      <c r="T4" s="1"/>
    </row>
    <row r="5" spans="1:20" ht="42" customHeight="1" x14ac:dyDescent="0.2">
      <c r="A5" s="5" t="s">
        <v>1054</v>
      </c>
      <c r="B5" s="5" t="s">
        <v>232</v>
      </c>
      <c r="C5" s="5" t="s">
        <v>1055</v>
      </c>
      <c r="D5" s="5" t="s">
        <v>1056</v>
      </c>
      <c r="E5" s="5" t="s">
        <v>1057</v>
      </c>
      <c r="F5" s="5" t="s">
        <v>1058</v>
      </c>
      <c r="G5" s="5" t="s">
        <v>1059</v>
      </c>
      <c r="H5" s="5" t="s">
        <v>1060</v>
      </c>
      <c r="I5" s="5" t="s">
        <v>1061</v>
      </c>
      <c r="J5" s="5" t="s">
        <v>1062</v>
      </c>
      <c r="K5" s="5" t="s">
        <v>1063</v>
      </c>
      <c r="L5" s="5" t="s">
        <v>1064</v>
      </c>
      <c r="M5" s="5" t="s">
        <v>1065</v>
      </c>
      <c r="N5" s="5" t="s">
        <v>1066</v>
      </c>
      <c r="O5" s="5" t="s">
        <v>1067</v>
      </c>
      <c r="P5" s="5" t="s">
        <v>1068</v>
      </c>
      <c r="Q5" s="5" t="s">
        <v>1069</v>
      </c>
      <c r="R5" s="5" t="s">
        <v>1070</v>
      </c>
      <c r="S5" s="5" t="s">
        <v>1071</v>
      </c>
      <c r="T5" s="5" t="s">
        <v>1072</v>
      </c>
    </row>
    <row r="6" spans="1:20" ht="21.95" customHeight="1" x14ac:dyDescent="0.2">
      <c r="A6" s="7" t="s">
        <v>127</v>
      </c>
      <c r="B6" s="7">
        <v>1</v>
      </c>
      <c r="C6" s="7">
        <v>100</v>
      </c>
      <c r="D6" s="17">
        <v>378.99</v>
      </c>
      <c r="E6" s="17">
        <v>1067.6433833916301</v>
      </c>
      <c r="F6" s="17">
        <v>198.22801333318381</v>
      </c>
      <c r="G6" s="18">
        <v>0.1</v>
      </c>
      <c r="H6" s="18">
        <v>0.45</v>
      </c>
      <c r="I6" s="18">
        <v>0.45</v>
      </c>
      <c r="J6" s="18">
        <v>1</v>
      </c>
      <c r="K6" s="17">
        <v>1040.1120000000001</v>
      </c>
      <c r="L6" s="17">
        <v>181.67386315829199</v>
      </c>
      <c r="M6" s="17">
        <v>1034.3912</v>
      </c>
      <c r="N6" s="17">
        <v>5.7208000000000148</v>
      </c>
      <c r="O6" s="17">
        <v>0</v>
      </c>
      <c r="P6" s="17">
        <v>166.84094220594631</v>
      </c>
      <c r="Q6" s="17">
        <v>13.66023040160904</v>
      </c>
      <c r="R6" s="17">
        <v>1.172690550736605</v>
      </c>
      <c r="S6" s="17">
        <v>1446.6333833916301</v>
      </c>
      <c r="T6" s="17">
        <v>577.21801333318376</v>
      </c>
    </row>
    <row r="7" spans="1:20" ht="21.95" customHeight="1" x14ac:dyDescent="0.2">
      <c r="A7" s="7" t="s">
        <v>127</v>
      </c>
      <c r="B7" s="7">
        <v>2</v>
      </c>
      <c r="C7" s="7">
        <v>100</v>
      </c>
      <c r="D7" s="17">
        <v>378.99</v>
      </c>
      <c r="E7" s="17">
        <v>1068.511751303485</v>
      </c>
      <c r="F7" s="17">
        <v>352.61342856228498</v>
      </c>
      <c r="G7" s="18">
        <v>0.09</v>
      </c>
      <c r="H7" s="18">
        <v>0.15</v>
      </c>
      <c r="I7" s="18">
        <v>0.46</v>
      </c>
      <c r="J7" s="18">
        <v>1</v>
      </c>
      <c r="K7" s="17">
        <v>1040.1920725815189</v>
      </c>
      <c r="L7" s="17">
        <v>333.69439239638632</v>
      </c>
      <c r="M7" s="17">
        <v>1034.3912</v>
      </c>
      <c r="N7" s="17">
        <v>5.7208000000000148</v>
      </c>
      <c r="O7" s="17">
        <v>8.0072581519367816E-2</v>
      </c>
      <c r="P7" s="17">
        <v>319.13614995665478</v>
      </c>
      <c r="Q7" s="17">
        <v>13.308003350896771</v>
      </c>
      <c r="R7" s="17">
        <v>1.2502390888347661</v>
      </c>
      <c r="S7" s="17">
        <v>1447.501751303485</v>
      </c>
      <c r="T7" s="17">
        <v>731.60342856228499</v>
      </c>
    </row>
    <row r="8" spans="1:20" ht="21.95" customHeight="1" x14ac:dyDescent="0.2">
      <c r="A8" s="7" t="s">
        <v>127</v>
      </c>
      <c r="B8" s="7">
        <v>3</v>
      </c>
      <c r="C8" s="7">
        <v>100</v>
      </c>
      <c r="D8" s="17">
        <v>378.99</v>
      </c>
      <c r="E8" s="17">
        <v>1067.4277896530721</v>
      </c>
      <c r="F8" s="17">
        <v>223.26075087729919</v>
      </c>
      <c r="G8" s="18">
        <v>0.11</v>
      </c>
      <c r="H8" s="18">
        <v>0.38</v>
      </c>
      <c r="I8" s="18">
        <v>0.46</v>
      </c>
      <c r="J8" s="18">
        <v>1</v>
      </c>
      <c r="K8" s="17">
        <v>1040.1120000000001</v>
      </c>
      <c r="L8" s="17">
        <v>207.35338191808171</v>
      </c>
      <c r="M8" s="17">
        <v>1034.3912</v>
      </c>
      <c r="N8" s="17">
        <v>5.7208000000000148</v>
      </c>
      <c r="O8" s="17">
        <v>0</v>
      </c>
      <c r="P8" s="17">
        <v>189.38676120086259</v>
      </c>
      <c r="Q8" s="17">
        <v>16.871886440705339</v>
      </c>
      <c r="R8" s="17">
        <v>1.0947342765137851</v>
      </c>
      <c r="S8" s="17">
        <v>1446.4177896530721</v>
      </c>
      <c r="T8" s="17">
        <v>602.2507508772992</v>
      </c>
    </row>
    <row r="9" spans="1:20" ht="21.95" customHeight="1" x14ac:dyDescent="0.2">
      <c r="A9" s="7" t="s">
        <v>127</v>
      </c>
      <c r="B9" s="7">
        <v>4</v>
      </c>
      <c r="C9" s="7">
        <v>100</v>
      </c>
      <c r="D9" s="17">
        <v>378.99</v>
      </c>
      <c r="E9" s="17">
        <v>1068.075732594692</v>
      </c>
      <c r="F9" s="17">
        <v>359.96748868884288</v>
      </c>
      <c r="G9" s="18">
        <v>0.11</v>
      </c>
      <c r="H9" s="18">
        <v>0.24</v>
      </c>
      <c r="I9" s="18">
        <v>0.46</v>
      </c>
      <c r="J9" s="18">
        <v>1</v>
      </c>
      <c r="K9" s="17">
        <v>1040.1120000000001</v>
      </c>
      <c r="L9" s="17">
        <v>342.1162909047647</v>
      </c>
      <c r="M9" s="17">
        <v>1034.3912</v>
      </c>
      <c r="N9" s="17">
        <v>5.7208000000000148</v>
      </c>
      <c r="O9" s="17">
        <v>0</v>
      </c>
      <c r="P9" s="17">
        <v>328.68530136359198</v>
      </c>
      <c r="Q9" s="17">
        <v>12.23745450250437</v>
      </c>
      <c r="R9" s="17">
        <v>1.1935350386682799</v>
      </c>
      <c r="S9" s="17">
        <v>1447.065732594692</v>
      </c>
      <c r="T9" s="17">
        <v>738.95748868884289</v>
      </c>
    </row>
    <row r="10" spans="1:20" ht="21.95" customHeight="1" x14ac:dyDescent="0.2">
      <c r="A10" s="7" t="s">
        <v>127</v>
      </c>
      <c r="B10" s="7">
        <v>5</v>
      </c>
      <c r="C10" s="7">
        <v>100</v>
      </c>
      <c r="D10" s="17">
        <v>378.99</v>
      </c>
      <c r="E10" s="17">
        <v>1067.6202941527599</v>
      </c>
      <c r="F10" s="17">
        <v>276.19405429161918</v>
      </c>
      <c r="G10" s="18">
        <v>0.11</v>
      </c>
      <c r="H10" s="18">
        <v>0.27</v>
      </c>
      <c r="I10" s="18">
        <v>0.46</v>
      </c>
      <c r="J10" s="18">
        <v>1</v>
      </c>
      <c r="K10" s="17">
        <v>1040.1120000000001</v>
      </c>
      <c r="L10" s="17">
        <v>259.70917183333921</v>
      </c>
      <c r="M10" s="17">
        <v>1034.3912</v>
      </c>
      <c r="N10" s="17">
        <v>5.7208000000000148</v>
      </c>
      <c r="O10" s="17">
        <v>0</v>
      </c>
      <c r="P10" s="17">
        <v>232.4067410239532</v>
      </c>
      <c r="Q10" s="17">
        <v>26.044598453294491</v>
      </c>
      <c r="R10" s="17">
        <v>1.257832356091477</v>
      </c>
      <c r="S10" s="17">
        <v>1446.6102941527599</v>
      </c>
      <c r="T10" s="17">
        <v>655.1840542916193</v>
      </c>
    </row>
    <row r="11" spans="1:20" ht="21.95" customHeight="1" x14ac:dyDescent="0.2">
      <c r="A11" s="7" t="s">
        <v>127</v>
      </c>
      <c r="B11" s="7">
        <v>6</v>
      </c>
      <c r="C11" s="7">
        <v>100</v>
      </c>
      <c r="D11" s="17">
        <v>378.99</v>
      </c>
      <c r="E11" s="17">
        <v>1068.075493591939</v>
      </c>
      <c r="F11" s="17">
        <v>313.94226085717759</v>
      </c>
      <c r="G11" s="18">
        <v>0.11</v>
      </c>
      <c r="H11" s="18">
        <v>0.2</v>
      </c>
      <c r="I11" s="18">
        <v>0.46</v>
      </c>
      <c r="J11" s="18">
        <v>1</v>
      </c>
      <c r="K11" s="17">
        <v>1040.1120000000001</v>
      </c>
      <c r="L11" s="17">
        <v>296.09178008135888</v>
      </c>
      <c r="M11" s="17">
        <v>1034.3912</v>
      </c>
      <c r="N11" s="17">
        <v>5.7208000000000148</v>
      </c>
      <c r="O11" s="17">
        <v>0</v>
      </c>
      <c r="P11" s="17">
        <v>277.97005939005152</v>
      </c>
      <c r="Q11" s="17">
        <v>16.91760962493715</v>
      </c>
      <c r="R11" s="17">
        <v>1.204111066370293</v>
      </c>
      <c r="S11" s="17">
        <v>1447.065493591939</v>
      </c>
      <c r="T11" s="17">
        <v>692.93226085717765</v>
      </c>
    </row>
    <row r="12" spans="1:20" ht="21.95" customHeight="1" x14ac:dyDescent="0.2">
      <c r="A12" s="7" t="s">
        <v>127</v>
      </c>
      <c r="B12" s="7">
        <v>7</v>
      </c>
      <c r="C12" s="7">
        <v>100</v>
      </c>
      <c r="D12" s="17">
        <v>378.99</v>
      </c>
      <c r="E12" s="17">
        <v>1067.3533305521939</v>
      </c>
      <c r="F12" s="17">
        <v>231.14909302216711</v>
      </c>
      <c r="G12" s="18">
        <v>0.11</v>
      </c>
      <c r="H12" s="18">
        <v>0.36</v>
      </c>
      <c r="I12" s="18">
        <v>0.46</v>
      </c>
      <c r="J12" s="18">
        <v>1</v>
      </c>
      <c r="K12" s="17">
        <v>1040.1120000000001</v>
      </c>
      <c r="L12" s="17">
        <v>215.46510136558541</v>
      </c>
      <c r="M12" s="17">
        <v>1034.3912</v>
      </c>
      <c r="N12" s="17">
        <v>5.7208000000000148</v>
      </c>
      <c r="O12" s="17">
        <v>0</v>
      </c>
      <c r="P12" s="17">
        <v>181.28572238404811</v>
      </c>
      <c r="Q12" s="17">
        <v>32.921973065060421</v>
      </c>
      <c r="R12" s="17">
        <v>1.257405916476926</v>
      </c>
      <c r="S12" s="17">
        <v>1446.3433305521939</v>
      </c>
      <c r="T12" s="17">
        <v>610.13909302216712</v>
      </c>
    </row>
    <row r="13" spans="1:20" ht="21.95" customHeight="1" x14ac:dyDescent="0.2">
      <c r="A13" s="7" t="s">
        <v>127</v>
      </c>
      <c r="B13" s="7">
        <v>8</v>
      </c>
      <c r="C13" s="7">
        <v>100</v>
      </c>
      <c r="D13" s="17">
        <v>378.99</v>
      </c>
      <c r="E13" s="17">
        <v>1067.467064774559</v>
      </c>
      <c r="F13" s="17">
        <v>201.60895713134741</v>
      </c>
      <c r="G13" s="18">
        <v>0.11</v>
      </c>
      <c r="H13" s="18">
        <v>0.37</v>
      </c>
      <c r="I13" s="18">
        <v>0.46</v>
      </c>
      <c r="J13" s="18">
        <v>1</v>
      </c>
      <c r="K13" s="17">
        <v>1040.1120000000001</v>
      </c>
      <c r="L13" s="17">
        <v>185.5837628076699</v>
      </c>
      <c r="M13" s="17">
        <v>1034.3912</v>
      </c>
      <c r="N13" s="17">
        <v>5.7208000000000148</v>
      </c>
      <c r="O13" s="17">
        <v>0</v>
      </c>
      <c r="P13" s="17">
        <v>168.42955547900209</v>
      </c>
      <c r="Q13" s="17">
        <v>15.93482635375922</v>
      </c>
      <c r="R13" s="17">
        <v>1.2193809749085609</v>
      </c>
      <c r="S13" s="17">
        <v>1446.4570647745591</v>
      </c>
      <c r="T13" s="17">
        <v>580.59895713134733</v>
      </c>
    </row>
    <row r="14" spans="1:20" ht="21.95" customHeight="1" x14ac:dyDescent="0.2">
      <c r="A14" s="7" t="s">
        <v>127</v>
      </c>
      <c r="B14" s="7">
        <v>9</v>
      </c>
      <c r="C14" s="7">
        <v>100</v>
      </c>
      <c r="D14" s="17">
        <v>378.99</v>
      </c>
      <c r="E14" s="17">
        <v>1068.479039180711</v>
      </c>
      <c r="F14" s="17">
        <v>356.57528637722629</v>
      </c>
      <c r="G14" s="18">
        <v>0.11</v>
      </c>
      <c r="H14" s="18">
        <v>0.24</v>
      </c>
      <c r="I14" s="18">
        <v>0.46</v>
      </c>
      <c r="J14" s="18">
        <v>1</v>
      </c>
      <c r="K14" s="17">
        <v>1040.1120000000001</v>
      </c>
      <c r="L14" s="17">
        <v>337.51416883509393</v>
      </c>
      <c r="M14" s="17">
        <v>1034.3912</v>
      </c>
      <c r="N14" s="17">
        <v>5.7208000000000148</v>
      </c>
      <c r="O14" s="17">
        <v>0</v>
      </c>
      <c r="P14" s="17">
        <v>319.27485130234572</v>
      </c>
      <c r="Q14" s="17">
        <v>15.854117155888799</v>
      </c>
      <c r="R14" s="17">
        <v>2.385200376859355</v>
      </c>
      <c r="S14" s="17">
        <v>1447.469039180711</v>
      </c>
      <c r="T14" s="17">
        <v>735.56528637722636</v>
      </c>
    </row>
    <row r="15" spans="1:20" ht="21.95" customHeight="1" x14ac:dyDescent="0.2">
      <c r="A15" s="7" t="s">
        <v>127</v>
      </c>
      <c r="B15" s="7">
        <v>10</v>
      </c>
      <c r="C15" s="7">
        <v>100</v>
      </c>
      <c r="D15" s="17">
        <v>378.99</v>
      </c>
      <c r="E15" s="17">
        <v>1067.9126934257611</v>
      </c>
      <c r="F15" s="17">
        <v>288.26820512834291</v>
      </c>
      <c r="G15" s="18">
        <v>0.11</v>
      </c>
      <c r="H15" s="18">
        <v>0.24</v>
      </c>
      <c r="I15" s="18">
        <v>0.46</v>
      </c>
      <c r="J15" s="18">
        <v>1</v>
      </c>
      <c r="K15" s="17">
        <v>1040.1120000000001</v>
      </c>
      <c r="L15" s="17">
        <v>270.90612485106021</v>
      </c>
      <c r="M15" s="17">
        <v>1034.3912</v>
      </c>
      <c r="N15" s="17">
        <v>5.7208000000000148</v>
      </c>
      <c r="O15" s="17">
        <v>0</v>
      </c>
      <c r="P15" s="17">
        <v>254.85587352585341</v>
      </c>
      <c r="Q15" s="17">
        <v>14.890227267999281</v>
      </c>
      <c r="R15" s="17">
        <v>1.16002405720756</v>
      </c>
      <c r="S15" s="17">
        <v>1446.9026934257611</v>
      </c>
      <c r="T15" s="17">
        <v>667.25820512834287</v>
      </c>
    </row>
    <row r="16" spans="1:20" ht="21.95" customHeight="1" x14ac:dyDescent="0.2">
      <c r="A16" s="7" t="s">
        <v>129</v>
      </c>
      <c r="B16" s="7">
        <v>1</v>
      </c>
      <c r="C16" s="7">
        <v>100</v>
      </c>
      <c r="D16" s="17">
        <v>378.99</v>
      </c>
      <c r="E16" s="17">
        <v>14.978960349081261</v>
      </c>
      <c r="F16" s="17">
        <v>183.5357112039872</v>
      </c>
      <c r="G16" s="18">
        <v>0.97</v>
      </c>
      <c r="H16" s="18">
        <v>0.45</v>
      </c>
      <c r="I16" s="18">
        <v>1</v>
      </c>
      <c r="J16" s="18">
        <v>1</v>
      </c>
      <c r="K16" s="17">
        <v>11.36757695745065</v>
      </c>
      <c r="L16" s="17">
        <v>172.96156102909549</v>
      </c>
      <c r="M16" s="17">
        <v>7.4350000000000103</v>
      </c>
      <c r="N16" s="17">
        <v>1.1599999999999999</v>
      </c>
      <c r="O16" s="17">
        <v>2.772576957450644</v>
      </c>
      <c r="P16" s="17">
        <v>166.84094220594631</v>
      </c>
      <c r="Q16" s="17">
        <v>4.9479282724125344</v>
      </c>
      <c r="R16" s="17">
        <v>1.172690550736605</v>
      </c>
      <c r="S16" s="17">
        <v>393.96896034908133</v>
      </c>
      <c r="T16" s="17">
        <v>562.52571120398727</v>
      </c>
    </row>
    <row r="17" spans="1:20" ht="21.95" customHeight="1" x14ac:dyDescent="0.2">
      <c r="A17" s="7" t="s">
        <v>129</v>
      </c>
      <c r="B17" s="7">
        <v>2</v>
      </c>
      <c r="C17" s="7">
        <v>100</v>
      </c>
      <c r="D17" s="17">
        <v>378.99</v>
      </c>
      <c r="E17" s="17">
        <v>18.383722618064269</v>
      </c>
      <c r="F17" s="17">
        <v>337.85387795862238</v>
      </c>
      <c r="G17" s="18">
        <v>0.98</v>
      </c>
      <c r="H17" s="18">
        <v>0.15</v>
      </c>
      <c r="I17" s="18">
        <v>1</v>
      </c>
      <c r="J17" s="18">
        <v>1</v>
      </c>
      <c r="K17" s="17">
        <v>13.984043896098029</v>
      </c>
      <c r="L17" s="17">
        <v>324.91484179272368</v>
      </c>
      <c r="M17" s="17">
        <v>7.4350000000000103</v>
      </c>
      <c r="N17" s="17">
        <v>1.1599999999999999</v>
      </c>
      <c r="O17" s="17">
        <v>5.3890438960980172</v>
      </c>
      <c r="P17" s="17">
        <v>319.13614995665478</v>
      </c>
      <c r="Q17" s="17">
        <v>4.7148382772200286</v>
      </c>
      <c r="R17" s="17">
        <v>1.0638535588489251</v>
      </c>
      <c r="S17" s="17">
        <v>397.37372261806428</v>
      </c>
      <c r="T17" s="17">
        <v>716.84387795862244</v>
      </c>
    </row>
    <row r="18" spans="1:20" ht="21.95" customHeight="1" x14ac:dyDescent="0.2">
      <c r="A18" s="7" t="s">
        <v>129</v>
      </c>
      <c r="B18" s="7">
        <v>3</v>
      </c>
      <c r="C18" s="7">
        <v>100</v>
      </c>
      <c r="D18" s="17">
        <v>378.99</v>
      </c>
      <c r="E18" s="17">
        <v>15.323725062119641</v>
      </c>
      <c r="F18" s="17">
        <v>205.0388562734924</v>
      </c>
      <c r="G18" s="18">
        <v>1</v>
      </c>
      <c r="H18" s="18">
        <v>0.38</v>
      </c>
      <c r="I18" s="18">
        <v>1</v>
      </c>
      <c r="J18" s="18">
        <v>1</v>
      </c>
      <c r="K18" s="17">
        <v>11.92793540904713</v>
      </c>
      <c r="L18" s="17">
        <v>195.11148731427491</v>
      </c>
      <c r="M18" s="17">
        <v>7.4350000000000103</v>
      </c>
      <c r="N18" s="17">
        <v>1.1599999999999999</v>
      </c>
      <c r="O18" s="17">
        <v>3.332935409047121</v>
      </c>
      <c r="P18" s="17">
        <v>189.38676120086259</v>
      </c>
      <c r="Q18" s="17">
        <v>4.6299918368984896</v>
      </c>
      <c r="R18" s="17">
        <v>1.0947342765137851</v>
      </c>
      <c r="S18" s="17">
        <v>394.31372506211972</v>
      </c>
      <c r="T18" s="17">
        <v>584.02885627349235</v>
      </c>
    </row>
    <row r="19" spans="1:20" ht="21.95" customHeight="1" x14ac:dyDescent="0.2">
      <c r="A19" s="7" t="s">
        <v>129</v>
      </c>
      <c r="B19" s="7">
        <v>4</v>
      </c>
      <c r="C19" s="7">
        <v>100</v>
      </c>
      <c r="D19" s="17">
        <v>378.99</v>
      </c>
      <c r="E19" s="17">
        <v>17.636978400103221</v>
      </c>
      <c r="F19" s="17">
        <v>348.10387398619088</v>
      </c>
      <c r="G19" s="18">
        <v>0.99</v>
      </c>
      <c r="H19" s="18">
        <v>0.25</v>
      </c>
      <c r="I19" s="18">
        <v>1</v>
      </c>
      <c r="J19" s="18">
        <v>1</v>
      </c>
      <c r="K19" s="17">
        <v>13.59324580541047</v>
      </c>
      <c r="L19" s="17">
        <v>336.23267620211283</v>
      </c>
      <c r="M19" s="17">
        <v>7.4350000000000103</v>
      </c>
      <c r="N19" s="17">
        <v>1.1599999999999999</v>
      </c>
      <c r="O19" s="17">
        <v>4.998245805410459</v>
      </c>
      <c r="P19" s="17">
        <v>328.68530136359198</v>
      </c>
      <c r="Q19" s="17">
        <v>6.3538397998524383</v>
      </c>
      <c r="R19" s="17">
        <v>1.1935350386682799</v>
      </c>
      <c r="S19" s="17">
        <v>396.62697840010321</v>
      </c>
      <c r="T19" s="17">
        <v>727.09387398619094</v>
      </c>
    </row>
    <row r="20" spans="1:20" ht="21.95" customHeight="1" x14ac:dyDescent="0.2">
      <c r="A20" s="7" t="s">
        <v>129</v>
      </c>
      <c r="B20" s="7">
        <v>5</v>
      </c>
      <c r="C20" s="7">
        <v>100</v>
      </c>
      <c r="D20" s="17">
        <v>378.99</v>
      </c>
      <c r="E20" s="17">
        <v>15.2890920843749</v>
      </c>
      <c r="F20" s="17">
        <v>248.6518206629994</v>
      </c>
      <c r="G20" s="18">
        <v>0.99</v>
      </c>
      <c r="H20" s="18">
        <v>0.28999999999999998</v>
      </c>
      <c r="I20" s="18">
        <v>1</v>
      </c>
      <c r="J20" s="18">
        <v>1</v>
      </c>
      <c r="K20" s="17">
        <v>11.70079793161484</v>
      </c>
      <c r="L20" s="17">
        <v>238.14693820471931</v>
      </c>
      <c r="M20" s="17">
        <v>7.4350000000000103</v>
      </c>
      <c r="N20" s="17">
        <v>1.1599999999999999</v>
      </c>
      <c r="O20" s="17">
        <v>3.1057979316148332</v>
      </c>
      <c r="P20" s="17">
        <v>232.4067410239532</v>
      </c>
      <c r="Q20" s="17">
        <v>4.6057981933804237</v>
      </c>
      <c r="R20" s="17">
        <v>1.1343989873857321</v>
      </c>
      <c r="S20" s="17">
        <v>394.27909208437489</v>
      </c>
      <c r="T20" s="17">
        <v>627.64182066299941</v>
      </c>
    </row>
    <row r="21" spans="1:20" ht="21.95" customHeight="1" x14ac:dyDescent="0.2">
      <c r="A21" s="7" t="s">
        <v>129</v>
      </c>
      <c r="B21" s="7">
        <v>6</v>
      </c>
      <c r="C21" s="7">
        <v>100</v>
      </c>
      <c r="D21" s="17">
        <v>378.99</v>
      </c>
      <c r="E21" s="17">
        <v>15.74700272511209</v>
      </c>
      <c r="F21" s="17">
        <v>296.42673861998082</v>
      </c>
      <c r="G21" s="18">
        <v>1</v>
      </c>
      <c r="H21" s="18">
        <v>0.26</v>
      </c>
      <c r="I21" s="18">
        <v>1</v>
      </c>
      <c r="J21" s="18">
        <v>1</v>
      </c>
      <c r="K21" s="17">
        <v>11.70350913317251</v>
      </c>
      <c r="L21" s="17">
        <v>284.55625784416219</v>
      </c>
      <c r="M21" s="17">
        <v>7.4350000000000103</v>
      </c>
      <c r="N21" s="17">
        <v>1.1599999999999999</v>
      </c>
      <c r="O21" s="17">
        <v>3.1085091331725012</v>
      </c>
      <c r="P21" s="17">
        <v>277.97005939005152</v>
      </c>
      <c r="Q21" s="17">
        <v>5.5475114337717146</v>
      </c>
      <c r="R21" s="17">
        <v>1.038687020338972</v>
      </c>
      <c r="S21" s="17">
        <v>394.73700272511212</v>
      </c>
      <c r="T21" s="17">
        <v>675.41673861998083</v>
      </c>
    </row>
    <row r="22" spans="1:20" ht="21.95" customHeight="1" x14ac:dyDescent="0.2">
      <c r="A22" s="7" t="s">
        <v>129</v>
      </c>
      <c r="B22" s="7">
        <v>7</v>
      </c>
      <c r="C22" s="7">
        <v>100</v>
      </c>
      <c r="D22" s="17">
        <v>378.99</v>
      </c>
      <c r="E22" s="17">
        <v>13.834084424951721</v>
      </c>
      <c r="F22" s="17">
        <v>199.56678283184769</v>
      </c>
      <c r="G22" s="18">
        <v>1</v>
      </c>
      <c r="H22" s="18">
        <v>0.36</v>
      </c>
      <c r="I22" s="18">
        <v>1</v>
      </c>
      <c r="J22" s="18">
        <v>1</v>
      </c>
      <c r="K22" s="17">
        <v>10.51275387275782</v>
      </c>
      <c r="L22" s="17">
        <v>189.8627911752661</v>
      </c>
      <c r="M22" s="17">
        <v>7.4350000000000103</v>
      </c>
      <c r="N22" s="17">
        <v>1.1599999999999999</v>
      </c>
      <c r="O22" s="17">
        <v>1.917753872757807</v>
      </c>
      <c r="P22" s="17">
        <v>181.28572238404811</v>
      </c>
      <c r="Q22" s="17">
        <v>7.3892112839833306</v>
      </c>
      <c r="R22" s="17">
        <v>1.1878575072346611</v>
      </c>
      <c r="S22" s="17">
        <v>392.82408442495171</v>
      </c>
      <c r="T22" s="17">
        <v>578.55678283184773</v>
      </c>
    </row>
    <row r="23" spans="1:20" ht="21.95" customHeight="1" x14ac:dyDescent="0.2">
      <c r="A23" s="7" t="s">
        <v>129</v>
      </c>
      <c r="B23" s="7">
        <v>8</v>
      </c>
      <c r="C23" s="7">
        <v>100</v>
      </c>
      <c r="D23" s="17">
        <v>378.99</v>
      </c>
      <c r="E23" s="17">
        <v>15.89681128899363</v>
      </c>
      <c r="F23" s="17">
        <v>186.73490500299189</v>
      </c>
      <c r="G23" s="18">
        <v>1</v>
      </c>
      <c r="H23" s="18">
        <v>0.38</v>
      </c>
      <c r="I23" s="18">
        <v>1</v>
      </c>
      <c r="J23" s="18">
        <v>1</v>
      </c>
      <c r="K23" s="17">
        <v>12.46174651443445</v>
      </c>
      <c r="L23" s="17">
        <v>176.68971067931449</v>
      </c>
      <c r="M23" s="17">
        <v>7.4350000000000103</v>
      </c>
      <c r="N23" s="17">
        <v>1.1599999999999999</v>
      </c>
      <c r="O23" s="17">
        <v>3.8667465144344408</v>
      </c>
      <c r="P23" s="17">
        <v>168.42955547900209</v>
      </c>
      <c r="Q23" s="17">
        <v>7.0763241302729467</v>
      </c>
      <c r="R23" s="17">
        <v>1.1838310700393979</v>
      </c>
      <c r="S23" s="17">
        <v>394.88681128899361</v>
      </c>
      <c r="T23" s="17">
        <v>565.72490500299193</v>
      </c>
    </row>
    <row r="24" spans="1:20" ht="21.95" customHeight="1" x14ac:dyDescent="0.2">
      <c r="A24" s="7" t="s">
        <v>129</v>
      </c>
      <c r="B24" s="7">
        <v>9</v>
      </c>
      <c r="C24" s="7">
        <v>100</v>
      </c>
      <c r="D24" s="17">
        <v>378.99</v>
      </c>
      <c r="E24" s="17">
        <v>19.127598458593379</v>
      </c>
      <c r="F24" s="17">
        <v>344.14743978159282</v>
      </c>
      <c r="G24" s="18">
        <v>0.93</v>
      </c>
      <c r="H24" s="18">
        <v>0.24</v>
      </c>
      <c r="I24" s="18">
        <v>1</v>
      </c>
      <c r="J24" s="18">
        <v>1</v>
      </c>
      <c r="K24" s="17">
        <v>14.680559277882541</v>
      </c>
      <c r="L24" s="17">
        <v>331.06632223946031</v>
      </c>
      <c r="M24" s="17">
        <v>7.4350000000000103</v>
      </c>
      <c r="N24" s="17">
        <v>1.1599999999999999</v>
      </c>
      <c r="O24" s="17">
        <v>6.0855592778825249</v>
      </c>
      <c r="P24" s="17">
        <v>319.27485130234572</v>
      </c>
      <c r="Q24" s="17">
        <v>9.5751349648399682</v>
      </c>
      <c r="R24" s="17">
        <v>2.2163359722745981</v>
      </c>
      <c r="S24" s="17">
        <v>398.11759845859342</v>
      </c>
      <c r="T24" s="17">
        <v>723.13743978159278</v>
      </c>
    </row>
    <row r="25" spans="1:20" ht="21.95" customHeight="1" x14ac:dyDescent="0.2">
      <c r="A25" s="7" t="s">
        <v>129</v>
      </c>
      <c r="B25" s="7">
        <v>10</v>
      </c>
      <c r="C25" s="7">
        <v>100</v>
      </c>
      <c r="D25" s="17">
        <v>378.99</v>
      </c>
      <c r="E25" s="17">
        <v>15.53456332517859</v>
      </c>
      <c r="F25" s="17">
        <v>274.29376520068013</v>
      </c>
      <c r="G25" s="18">
        <v>0.96</v>
      </c>
      <c r="H25" s="18">
        <v>0.26</v>
      </c>
      <c r="I25" s="18">
        <v>1</v>
      </c>
      <c r="J25" s="18">
        <v>1</v>
      </c>
      <c r="K25" s="17">
        <v>11.65386989941768</v>
      </c>
      <c r="L25" s="17">
        <v>262.9116849233975</v>
      </c>
      <c r="M25" s="17">
        <v>7.4350000000000103</v>
      </c>
      <c r="N25" s="17">
        <v>1.1599999999999999</v>
      </c>
      <c r="O25" s="17">
        <v>3.0588698994176711</v>
      </c>
      <c r="P25" s="17">
        <v>254.85587352585341</v>
      </c>
      <c r="Q25" s="17">
        <v>6.8957873403365593</v>
      </c>
      <c r="R25" s="17">
        <v>1.16002405720756</v>
      </c>
      <c r="S25" s="17">
        <v>394.52456332517858</v>
      </c>
      <c r="T25" s="17">
        <v>653.28376520068014</v>
      </c>
    </row>
    <row r="26" spans="1:20" ht="21.95" customHeight="1" x14ac:dyDescent="0.2">
      <c r="A26" s="7" t="s">
        <v>131</v>
      </c>
      <c r="B26" s="7">
        <v>1</v>
      </c>
      <c r="C26" s="7">
        <v>100</v>
      </c>
      <c r="D26" s="17">
        <v>378.99</v>
      </c>
      <c r="E26" s="17">
        <v>1067.6433833916301</v>
      </c>
      <c r="F26" s="17">
        <v>1066.542859489344</v>
      </c>
      <c r="G26" s="18">
        <v>0.1</v>
      </c>
      <c r="H26" s="18">
        <v>0.1</v>
      </c>
      <c r="I26" s="18">
        <v>0.45</v>
      </c>
      <c r="J26" s="18">
        <v>0.46</v>
      </c>
      <c r="K26" s="17">
        <v>1040.1120000000001</v>
      </c>
      <c r="L26" s="17">
        <v>1031.988709314453</v>
      </c>
      <c r="M26" s="17">
        <v>1034.3912</v>
      </c>
      <c r="N26" s="17">
        <v>5.7208000000000148</v>
      </c>
      <c r="O26" s="17">
        <v>0</v>
      </c>
      <c r="P26" s="17">
        <v>166.84094220594631</v>
      </c>
      <c r="Q26" s="17">
        <v>859.52741958722913</v>
      </c>
      <c r="R26" s="17">
        <v>5.6203475212773197</v>
      </c>
      <c r="S26" s="17">
        <v>1446.6333833916301</v>
      </c>
      <c r="T26" s="17">
        <v>1445.532859489344</v>
      </c>
    </row>
    <row r="27" spans="1:20" ht="21.95" customHeight="1" x14ac:dyDescent="0.2">
      <c r="A27" s="7" t="s">
        <v>131</v>
      </c>
      <c r="B27" s="7">
        <v>2</v>
      </c>
      <c r="C27" s="7">
        <v>100</v>
      </c>
      <c r="D27" s="17">
        <v>378.99</v>
      </c>
      <c r="E27" s="17">
        <v>1068.511751303485</v>
      </c>
      <c r="F27" s="17">
        <v>1068.670582505725</v>
      </c>
      <c r="G27" s="18">
        <v>0.09</v>
      </c>
      <c r="H27" s="18">
        <v>0.08</v>
      </c>
      <c r="I27" s="18">
        <v>0.46</v>
      </c>
      <c r="J27" s="18">
        <v>0.46</v>
      </c>
      <c r="K27" s="17">
        <v>1040.1920725815189</v>
      </c>
      <c r="L27" s="17">
        <v>1031.7515463398261</v>
      </c>
      <c r="M27" s="17">
        <v>1034.3912</v>
      </c>
      <c r="N27" s="17">
        <v>5.7208000000000148</v>
      </c>
      <c r="O27" s="17">
        <v>8.0072581519367816E-2</v>
      </c>
      <c r="P27" s="17">
        <v>319.13614995665478</v>
      </c>
      <c r="Q27" s="17">
        <v>707.10760001699077</v>
      </c>
      <c r="R27" s="17">
        <v>5.5077963661805924</v>
      </c>
      <c r="S27" s="17">
        <v>1447.501751303485</v>
      </c>
      <c r="T27" s="17">
        <v>1447.660582505725</v>
      </c>
    </row>
    <row r="28" spans="1:20" ht="21.95" customHeight="1" x14ac:dyDescent="0.2">
      <c r="A28" s="7" t="s">
        <v>131</v>
      </c>
      <c r="B28" s="7">
        <v>3</v>
      </c>
      <c r="C28" s="7">
        <v>100</v>
      </c>
      <c r="D28" s="17">
        <v>378.99</v>
      </c>
      <c r="E28" s="17">
        <v>1067.4277896530721</v>
      </c>
      <c r="F28" s="17">
        <v>1068.126796387754</v>
      </c>
      <c r="G28" s="18">
        <v>0.11</v>
      </c>
      <c r="H28" s="18">
        <v>0.09</v>
      </c>
      <c r="I28" s="18">
        <v>0.46</v>
      </c>
      <c r="J28" s="18">
        <v>0.46</v>
      </c>
      <c r="K28" s="17">
        <v>1040.1120000000001</v>
      </c>
      <c r="L28" s="17">
        <v>1034.2194274285359</v>
      </c>
      <c r="M28" s="17">
        <v>1034.3912</v>
      </c>
      <c r="N28" s="17">
        <v>5.7208000000000148</v>
      </c>
      <c r="O28" s="17">
        <v>0</v>
      </c>
      <c r="P28" s="17">
        <v>189.38676120086259</v>
      </c>
      <c r="Q28" s="17">
        <v>839.28470326867443</v>
      </c>
      <c r="R28" s="17">
        <v>5.5479629589992898</v>
      </c>
      <c r="S28" s="17">
        <v>1446.4177896530721</v>
      </c>
      <c r="T28" s="17">
        <v>1447.116796387754</v>
      </c>
    </row>
    <row r="29" spans="1:20" ht="21.95" customHeight="1" x14ac:dyDescent="0.2">
      <c r="A29" s="7" t="s">
        <v>131</v>
      </c>
      <c r="B29" s="7">
        <v>4</v>
      </c>
      <c r="C29" s="7">
        <v>100</v>
      </c>
      <c r="D29" s="17">
        <v>378.99</v>
      </c>
      <c r="E29" s="17">
        <v>1068.075732594692</v>
      </c>
      <c r="F29" s="17">
        <v>1066.3907676943161</v>
      </c>
      <c r="G29" s="18">
        <v>0.11</v>
      </c>
      <c r="H29" s="18">
        <v>0.1</v>
      </c>
      <c r="I29" s="18">
        <v>0.46</v>
      </c>
      <c r="J29" s="18">
        <v>0.46</v>
      </c>
      <c r="K29" s="17">
        <v>1040.1120000000001</v>
      </c>
      <c r="L29" s="17">
        <v>1030.539569910238</v>
      </c>
      <c r="M29" s="17">
        <v>1034.3912</v>
      </c>
      <c r="N29" s="17">
        <v>5.7208000000000148</v>
      </c>
      <c r="O29" s="17">
        <v>0</v>
      </c>
      <c r="P29" s="17">
        <v>328.68530136359198</v>
      </c>
      <c r="Q29" s="17">
        <v>696.22758386724206</v>
      </c>
      <c r="R29" s="17">
        <v>5.6266846794035192</v>
      </c>
      <c r="S29" s="17">
        <v>1447.065732594692</v>
      </c>
      <c r="T29" s="17">
        <v>1445.3807676943161</v>
      </c>
    </row>
    <row r="30" spans="1:20" ht="21.95" customHeight="1" x14ac:dyDescent="0.2">
      <c r="A30" s="7" t="s">
        <v>131</v>
      </c>
      <c r="B30" s="7">
        <v>5</v>
      </c>
      <c r="C30" s="7">
        <v>100</v>
      </c>
      <c r="D30" s="17">
        <v>378.99</v>
      </c>
      <c r="E30" s="17">
        <v>1067.6202941527599</v>
      </c>
      <c r="F30" s="17">
        <v>1066.341804409622</v>
      </c>
      <c r="G30" s="18">
        <v>0.11</v>
      </c>
      <c r="H30" s="18">
        <v>0.1</v>
      </c>
      <c r="I30" s="18">
        <v>0.46</v>
      </c>
      <c r="J30" s="18">
        <v>0.46</v>
      </c>
      <c r="K30" s="17">
        <v>1040.1120000000001</v>
      </c>
      <c r="L30" s="17">
        <v>1031.856921951342</v>
      </c>
      <c r="M30" s="17">
        <v>1034.3912</v>
      </c>
      <c r="N30" s="17">
        <v>5.7208000000000148</v>
      </c>
      <c r="O30" s="17">
        <v>0</v>
      </c>
      <c r="P30" s="17">
        <v>232.4067410239532</v>
      </c>
      <c r="Q30" s="17">
        <v>793.82145611112287</v>
      </c>
      <c r="R30" s="17">
        <v>5.628724816265759</v>
      </c>
      <c r="S30" s="17">
        <v>1446.6102941527599</v>
      </c>
      <c r="T30" s="17">
        <v>1445.331804409622</v>
      </c>
    </row>
    <row r="31" spans="1:20" ht="21.95" customHeight="1" x14ac:dyDescent="0.2">
      <c r="A31" s="7" t="s">
        <v>131</v>
      </c>
      <c r="B31" s="7">
        <v>6</v>
      </c>
      <c r="C31" s="7">
        <v>100</v>
      </c>
      <c r="D31" s="17">
        <v>378.99</v>
      </c>
      <c r="E31" s="17">
        <v>1068.075493591939</v>
      </c>
      <c r="F31" s="17">
        <v>1066.2936596599679</v>
      </c>
      <c r="G31" s="18">
        <v>0.11</v>
      </c>
      <c r="H31" s="18">
        <v>0.1</v>
      </c>
      <c r="I31" s="18">
        <v>0.46</v>
      </c>
      <c r="J31" s="18">
        <v>0.46</v>
      </c>
      <c r="K31" s="17">
        <v>1040.1120000000001</v>
      </c>
      <c r="L31" s="17">
        <v>1030.4431788841489</v>
      </c>
      <c r="M31" s="17">
        <v>1034.3912</v>
      </c>
      <c r="N31" s="17">
        <v>5.7208000000000148</v>
      </c>
      <c r="O31" s="17">
        <v>0</v>
      </c>
      <c r="P31" s="17">
        <v>277.97005939005152</v>
      </c>
      <c r="Q31" s="17">
        <v>746.84238864659665</v>
      </c>
      <c r="R31" s="17">
        <v>5.6307308475013356</v>
      </c>
      <c r="S31" s="17">
        <v>1447.065493591939</v>
      </c>
      <c r="T31" s="17">
        <v>1445.283659659968</v>
      </c>
    </row>
    <row r="32" spans="1:20" ht="21.95" customHeight="1" x14ac:dyDescent="0.2">
      <c r="A32" s="7" t="s">
        <v>131</v>
      </c>
      <c r="B32" s="7">
        <v>7</v>
      </c>
      <c r="C32" s="7">
        <v>100</v>
      </c>
      <c r="D32" s="17">
        <v>378.99</v>
      </c>
      <c r="E32" s="17">
        <v>1067.3533305521939</v>
      </c>
      <c r="F32" s="17">
        <v>1094.4636572277441</v>
      </c>
      <c r="G32" s="18">
        <v>0.11</v>
      </c>
      <c r="H32" s="18">
        <v>0.08</v>
      </c>
      <c r="I32" s="18">
        <v>0.46</v>
      </c>
      <c r="J32" s="18">
        <v>0.45</v>
      </c>
      <c r="K32" s="17">
        <v>1040.1120000000001</v>
      </c>
      <c r="L32" s="17">
        <v>1060.779665571162</v>
      </c>
      <c r="M32" s="17">
        <v>1034.3912</v>
      </c>
      <c r="N32" s="17">
        <v>5.7208000000000148</v>
      </c>
      <c r="O32" s="17">
        <v>0</v>
      </c>
      <c r="P32" s="17">
        <v>181.28572238404811</v>
      </c>
      <c r="Q32" s="17">
        <v>873.80691414722526</v>
      </c>
      <c r="R32" s="17">
        <v>5.687029039889115</v>
      </c>
      <c r="S32" s="17">
        <v>1446.3433305521939</v>
      </c>
      <c r="T32" s="17">
        <v>1473.4536572277441</v>
      </c>
    </row>
    <row r="33" spans="1:20" ht="21.95" customHeight="1" x14ac:dyDescent="0.2">
      <c r="A33" s="7" t="s">
        <v>131</v>
      </c>
      <c r="B33" s="7">
        <v>8</v>
      </c>
      <c r="C33" s="7">
        <v>100</v>
      </c>
      <c r="D33" s="17">
        <v>378.99</v>
      </c>
      <c r="E33" s="17">
        <v>1067.467064774559</v>
      </c>
      <c r="F33" s="17">
        <v>1067.0271507375339</v>
      </c>
      <c r="G33" s="18">
        <v>0.11</v>
      </c>
      <c r="H33" s="18">
        <v>0.1</v>
      </c>
      <c r="I33" s="18">
        <v>0.46</v>
      </c>
      <c r="J33" s="18">
        <v>0.46</v>
      </c>
      <c r="K33" s="17">
        <v>1040.1120000000001</v>
      </c>
      <c r="L33" s="17">
        <v>1033.001956413857</v>
      </c>
      <c r="M33" s="17">
        <v>1034.3912</v>
      </c>
      <c r="N33" s="17">
        <v>5.7208000000000148</v>
      </c>
      <c r="O33" s="17">
        <v>0</v>
      </c>
      <c r="P33" s="17">
        <v>168.42955547900209</v>
      </c>
      <c r="Q33" s="17">
        <v>858.97536642519719</v>
      </c>
      <c r="R33" s="17">
        <v>5.5970345096574041</v>
      </c>
      <c r="S33" s="17">
        <v>1446.4570647745591</v>
      </c>
      <c r="T33" s="17">
        <v>1446.0171507375339</v>
      </c>
    </row>
    <row r="34" spans="1:20" ht="21.95" customHeight="1" x14ac:dyDescent="0.2">
      <c r="A34" s="7" t="s">
        <v>131</v>
      </c>
      <c r="B34" s="7">
        <v>9</v>
      </c>
      <c r="C34" s="7">
        <v>100</v>
      </c>
      <c r="D34" s="17">
        <v>378.99</v>
      </c>
      <c r="E34" s="17">
        <v>1068.479039180711</v>
      </c>
      <c r="F34" s="17">
        <v>1066.8686590377149</v>
      </c>
      <c r="G34" s="18">
        <v>0.11</v>
      </c>
      <c r="H34" s="18">
        <v>0.1</v>
      </c>
      <c r="I34" s="18">
        <v>0.46</v>
      </c>
      <c r="J34" s="18">
        <v>0.46</v>
      </c>
      <c r="K34" s="17">
        <v>1040.1120000000001</v>
      </c>
      <c r="L34" s="17">
        <v>1029.8075414955831</v>
      </c>
      <c r="M34" s="17">
        <v>1034.3912</v>
      </c>
      <c r="N34" s="17">
        <v>5.7208000000000148</v>
      </c>
      <c r="O34" s="17">
        <v>0</v>
      </c>
      <c r="P34" s="17">
        <v>319.27485130234572</v>
      </c>
      <c r="Q34" s="17">
        <v>704.92721255377285</v>
      </c>
      <c r="R34" s="17">
        <v>5.605477639464282</v>
      </c>
      <c r="S34" s="17">
        <v>1447.469039180711</v>
      </c>
      <c r="T34" s="17">
        <v>1445.8586590377149</v>
      </c>
    </row>
    <row r="35" spans="1:20" ht="21.95" customHeight="1" x14ac:dyDescent="0.2">
      <c r="A35" s="7" t="s">
        <v>131</v>
      </c>
      <c r="B35" s="7">
        <v>10</v>
      </c>
      <c r="C35" s="7">
        <v>100</v>
      </c>
      <c r="D35" s="17">
        <v>378.99</v>
      </c>
      <c r="E35" s="17">
        <v>1067.9126934257611</v>
      </c>
      <c r="F35" s="17">
        <v>1092.387614294207</v>
      </c>
      <c r="G35" s="18">
        <v>0.11</v>
      </c>
      <c r="H35" s="18">
        <v>0.09</v>
      </c>
      <c r="I35" s="18">
        <v>0.46</v>
      </c>
      <c r="J35" s="18">
        <v>0.45</v>
      </c>
      <c r="K35" s="17">
        <v>1040.1120000000001</v>
      </c>
      <c r="L35" s="17">
        <v>1057.025534016924</v>
      </c>
      <c r="M35" s="17">
        <v>1034.3912</v>
      </c>
      <c r="N35" s="17">
        <v>5.7208000000000148</v>
      </c>
      <c r="O35" s="17">
        <v>0</v>
      </c>
      <c r="P35" s="17">
        <v>254.85587352585341</v>
      </c>
      <c r="Q35" s="17">
        <v>796.43402707171128</v>
      </c>
      <c r="R35" s="17">
        <v>5.7356334193592717</v>
      </c>
      <c r="S35" s="17">
        <v>1446.9026934257611</v>
      </c>
      <c r="T35" s="17">
        <v>1471.377614294207</v>
      </c>
    </row>
    <row r="36" spans="1:20" ht="21.95" customHeight="1" x14ac:dyDescent="0.2">
      <c r="A36" s="7" t="s">
        <v>133</v>
      </c>
      <c r="B36" s="7">
        <v>1</v>
      </c>
      <c r="C36" s="7">
        <v>100</v>
      </c>
      <c r="D36" s="17">
        <v>378.99</v>
      </c>
      <c r="E36" s="17">
        <v>1067.6433833916301</v>
      </c>
      <c r="F36" s="17">
        <v>2034.173354524497</v>
      </c>
      <c r="G36" s="18">
        <v>0.1</v>
      </c>
      <c r="H36" s="18">
        <v>0.04</v>
      </c>
      <c r="I36" s="18">
        <v>0.45</v>
      </c>
      <c r="J36" s="18">
        <v>0.31</v>
      </c>
      <c r="K36" s="17">
        <v>1040.1120000000001</v>
      </c>
      <c r="L36" s="17">
        <v>1975.482603650039</v>
      </c>
      <c r="M36" s="17">
        <v>1034.3912</v>
      </c>
      <c r="N36" s="17">
        <v>5.7208000000000148</v>
      </c>
      <c r="O36" s="17">
        <v>0</v>
      </c>
      <c r="P36" s="17">
        <v>1956.2510402981741</v>
      </c>
      <c r="Q36" s="17">
        <v>12.85210798659676</v>
      </c>
      <c r="R36" s="17">
        <v>6.3794553652680914</v>
      </c>
      <c r="S36" s="17">
        <v>1446.6333833916301</v>
      </c>
      <c r="T36" s="17">
        <v>2413.1633545244972</v>
      </c>
    </row>
    <row r="37" spans="1:20" ht="21.95" customHeight="1" x14ac:dyDescent="0.2">
      <c r="A37" s="7" t="s">
        <v>133</v>
      </c>
      <c r="B37" s="7">
        <v>2</v>
      </c>
      <c r="C37" s="7">
        <v>100</v>
      </c>
      <c r="D37" s="17">
        <v>378.99</v>
      </c>
      <c r="E37" s="17">
        <v>1068.511751303485</v>
      </c>
      <c r="F37" s="17">
        <v>3093.0399507073189</v>
      </c>
      <c r="G37" s="18">
        <v>0.09</v>
      </c>
      <c r="H37" s="18">
        <v>0.02</v>
      </c>
      <c r="I37" s="18">
        <v>0.46</v>
      </c>
      <c r="J37" s="18">
        <v>0.12</v>
      </c>
      <c r="K37" s="17">
        <v>1040.1920725815189</v>
      </c>
      <c r="L37" s="17">
        <v>3022.5247698778248</v>
      </c>
      <c r="M37" s="17">
        <v>1034.3912</v>
      </c>
      <c r="N37" s="17">
        <v>5.7208000000000148</v>
      </c>
      <c r="O37" s="17">
        <v>8.0072581519367816E-2</v>
      </c>
      <c r="P37" s="17">
        <v>3012.0642061574849</v>
      </c>
      <c r="Q37" s="17">
        <v>5.5670434588535533</v>
      </c>
      <c r="R37" s="17">
        <v>4.8935202614868869</v>
      </c>
      <c r="S37" s="17">
        <v>1447.501751303485</v>
      </c>
      <c r="T37" s="17">
        <v>3472.0299507073191</v>
      </c>
    </row>
    <row r="38" spans="1:20" ht="21.95" customHeight="1" x14ac:dyDescent="0.2">
      <c r="A38" s="7" t="s">
        <v>133</v>
      </c>
      <c r="B38" s="7">
        <v>3</v>
      </c>
      <c r="C38" s="7">
        <v>100</v>
      </c>
      <c r="D38" s="17">
        <v>378.99</v>
      </c>
      <c r="E38" s="17">
        <v>1067.4277896530721</v>
      </c>
      <c r="F38" s="17">
        <v>2125.5662633150532</v>
      </c>
      <c r="G38" s="18">
        <v>0.11</v>
      </c>
      <c r="H38" s="18">
        <v>0.02</v>
      </c>
      <c r="I38" s="18">
        <v>0.46</v>
      </c>
      <c r="J38" s="18">
        <v>0.25</v>
      </c>
      <c r="K38" s="17">
        <v>1040.1120000000001</v>
      </c>
      <c r="L38" s="17">
        <v>2070.1094185189659</v>
      </c>
      <c r="M38" s="17">
        <v>1034.3912</v>
      </c>
      <c r="N38" s="17">
        <v>5.7208000000000148</v>
      </c>
      <c r="O38" s="17">
        <v>0</v>
      </c>
      <c r="P38" s="17">
        <v>2053.3012501172252</v>
      </c>
      <c r="Q38" s="17">
        <v>10.21299506740476</v>
      </c>
      <c r="R38" s="17">
        <v>6.5951733343360157</v>
      </c>
      <c r="S38" s="17">
        <v>1446.4177896530721</v>
      </c>
      <c r="T38" s="17">
        <v>2504.556263315053</v>
      </c>
    </row>
    <row r="39" spans="1:20" ht="21.95" customHeight="1" x14ac:dyDescent="0.2">
      <c r="A39" s="7" t="s">
        <v>133</v>
      </c>
      <c r="B39" s="7">
        <v>4</v>
      </c>
      <c r="C39" s="7">
        <v>100</v>
      </c>
      <c r="D39" s="17">
        <v>378.99</v>
      </c>
      <c r="E39" s="17">
        <v>1068.075732594692</v>
      </c>
      <c r="F39" s="17">
        <v>2773.0700466753342</v>
      </c>
      <c r="G39" s="18">
        <v>0.11</v>
      </c>
      <c r="H39" s="18">
        <v>0.04</v>
      </c>
      <c r="I39" s="18">
        <v>0.46</v>
      </c>
      <c r="J39" s="18">
        <v>0.2</v>
      </c>
      <c r="K39" s="17">
        <v>1040.1120000000001</v>
      </c>
      <c r="L39" s="17">
        <v>2707.8940577549429</v>
      </c>
      <c r="M39" s="17">
        <v>1034.3912</v>
      </c>
      <c r="N39" s="17">
        <v>5.7208000000000148</v>
      </c>
      <c r="O39" s="17">
        <v>0</v>
      </c>
      <c r="P39" s="17">
        <v>2693.058231154379</v>
      </c>
      <c r="Q39" s="17">
        <v>7.5919758980387533</v>
      </c>
      <c r="R39" s="17">
        <v>7.2438507025254157</v>
      </c>
      <c r="S39" s="17">
        <v>1447.065732594692</v>
      </c>
      <c r="T39" s="17">
        <v>3152.060046675334</v>
      </c>
    </row>
    <row r="40" spans="1:20" ht="21.95" customHeight="1" x14ac:dyDescent="0.2">
      <c r="A40" s="7" t="s">
        <v>133</v>
      </c>
      <c r="B40" s="7">
        <v>5</v>
      </c>
      <c r="C40" s="7">
        <v>100</v>
      </c>
      <c r="D40" s="17">
        <v>378.99</v>
      </c>
      <c r="E40" s="17">
        <v>1067.6202941527599</v>
      </c>
      <c r="F40" s="17">
        <v>2182.2897622768019</v>
      </c>
      <c r="G40" s="18">
        <v>0.11</v>
      </c>
      <c r="H40" s="18">
        <v>0.03</v>
      </c>
      <c r="I40" s="18">
        <v>0.46</v>
      </c>
      <c r="J40" s="18">
        <v>0.26</v>
      </c>
      <c r="K40" s="17">
        <v>1040.1120000000001</v>
      </c>
      <c r="L40" s="17">
        <v>2123.9453499854021</v>
      </c>
      <c r="M40" s="17">
        <v>1034.3912</v>
      </c>
      <c r="N40" s="17">
        <v>5.7208000000000148</v>
      </c>
      <c r="O40" s="17">
        <v>0</v>
      </c>
      <c r="P40" s="17">
        <v>2115.053301003451</v>
      </c>
      <c r="Q40" s="17">
        <v>4.4594483863298349</v>
      </c>
      <c r="R40" s="17">
        <v>4.4326005956204106</v>
      </c>
      <c r="S40" s="17">
        <v>1446.6102941527599</v>
      </c>
      <c r="T40" s="17">
        <v>2561.279762276803</v>
      </c>
    </row>
    <row r="41" spans="1:20" ht="21.95" customHeight="1" x14ac:dyDescent="0.2">
      <c r="A41" s="7" t="s">
        <v>133</v>
      </c>
      <c r="B41" s="7">
        <v>6</v>
      </c>
      <c r="C41" s="7">
        <v>100</v>
      </c>
      <c r="D41" s="17">
        <v>378.99</v>
      </c>
      <c r="E41" s="17">
        <v>1068.075493591939</v>
      </c>
      <c r="F41" s="17">
        <v>2545.8348198343829</v>
      </c>
      <c r="G41" s="18">
        <v>0.11</v>
      </c>
      <c r="H41" s="18">
        <v>0.03</v>
      </c>
      <c r="I41" s="18">
        <v>0.46</v>
      </c>
      <c r="J41" s="18">
        <v>0.18</v>
      </c>
      <c r="K41" s="17">
        <v>1040.1120000000001</v>
      </c>
      <c r="L41" s="17">
        <v>2480.6624159552889</v>
      </c>
      <c r="M41" s="17">
        <v>1034.3912</v>
      </c>
      <c r="N41" s="17">
        <v>5.7208000000000148</v>
      </c>
      <c r="O41" s="17">
        <v>0</v>
      </c>
      <c r="P41" s="17">
        <v>2465.3333258101629</v>
      </c>
      <c r="Q41" s="17">
        <v>7.7356722352893863</v>
      </c>
      <c r="R41" s="17">
        <v>7.5934179098361856</v>
      </c>
      <c r="S41" s="17">
        <v>1447.065493591939</v>
      </c>
      <c r="T41" s="17">
        <v>2924.8248198343831</v>
      </c>
    </row>
    <row r="42" spans="1:20" ht="21.95" customHeight="1" x14ac:dyDescent="0.2">
      <c r="A42" s="7" t="s">
        <v>133</v>
      </c>
      <c r="B42" s="7">
        <v>7</v>
      </c>
      <c r="C42" s="7">
        <v>100</v>
      </c>
      <c r="D42" s="17">
        <v>378.99</v>
      </c>
      <c r="E42" s="17">
        <v>1067.3533305521939</v>
      </c>
      <c r="F42" s="17">
        <v>2039.8666709908789</v>
      </c>
      <c r="G42" s="18">
        <v>0.11</v>
      </c>
      <c r="H42" s="18">
        <v>0.01</v>
      </c>
      <c r="I42" s="18">
        <v>0.46</v>
      </c>
      <c r="J42" s="18">
        <v>0.21</v>
      </c>
      <c r="K42" s="17">
        <v>1040.1120000000001</v>
      </c>
      <c r="L42" s="17">
        <v>1985.526712707971</v>
      </c>
      <c r="M42" s="17">
        <v>1034.3912</v>
      </c>
      <c r="N42" s="17">
        <v>5.7208000000000148</v>
      </c>
      <c r="O42" s="17">
        <v>0</v>
      </c>
      <c r="P42" s="17">
        <v>1973.8468962742429</v>
      </c>
      <c r="Q42" s="17">
        <v>7.6586196738532486</v>
      </c>
      <c r="R42" s="17">
        <v>4.0211967598740239</v>
      </c>
      <c r="S42" s="17">
        <v>1446.3433305521939</v>
      </c>
      <c r="T42" s="17">
        <v>2418.8566709908791</v>
      </c>
    </row>
    <row r="43" spans="1:20" ht="21.95" customHeight="1" x14ac:dyDescent="0.2">
      <c r="A43" s="7" t="s">
        <v>133</v>
      </c>
      <c r="B43" s="7">
        <v>8</v>
      </c>
      <c r="C43" s="7">
        <v>100</v>
      </c>
      <c r="D43" s="17">
        <v>378.99</v>
      </c>
      <c r="E43" s="17">
        <v>1067.467064774559</v>
      </c>
      <c r="F43" s="17">
        <v>1961.0173693920019</v>
      </c>
      <c r="G43" s="18">
        <v>0.11</v>
      </c>
      <c r="H43" s="18">
        <v>0.02</v>
      </c>
      <c r="I43" s="18">
        <v>0.46</v>
      </c>
      <c r="J43" s="18">
        <v>0.3</v>
      </c>
      <c r="K43" s="17">
        <v>1040.1120000000001</v>
      </c>
      <c r="L43" s="17">
        <v>1904.9713977736139</v>
      </c>
      <c r="M43" s="17">
        <v>1034.3912</v>
      </c>
      <c r="N43" s="17">
        <v>5.7208000000000148</v>
      </c>
      <c r="O43" s="17">
        <v>0</v>
      </c>
      <c r="P43" s="17">
        <v>1897.1783870550621</v>
      </c>
      <c r="Q43" s="17">
        <v>4.7527230515310306</v>
      </c>
      <c r="R43" s="17">
        <v>3.040287667021198</v>
      </c>
      <c r="S43" s="17">
        <v>1446.4570647745591</v>
      </c>
      <c r="T43" s="17">
        <v>2340.0073693920021</v>
      </c>
    </row>
    <row r="44" spans="1:20" ht="21.95" customHeight="1" x14ac:dyDescent="0.2">
      <c r="A44" s="7" t="s">
        <v>133</v>
      </c>
      <c r="B44" s="7">
        <v>9</v>
      </c>
      <c r="C44" s="7">
        <v>100</v>
      </c>
      <c r="D44" s="17">
        <v>378.99</v>
      </c>
      <c r="E44" s="17">
        <v>1068.479039180711</v>
      </c>
      <c r="F44" s="17">
        <v>2778.991723879908</v>
      </c>
      <c r="G44" s="18">
        <v>0.11</v>
      </c>
      <c r="H44" s="18">
        <v>0.01</v>
      </c>
      <c r="I44" s="18">
        <v>0.46</v>
      </c>
      <c r="J44" s="18">
        <v>0.21</v>
      </c>
      <c r="K44" s="17">
        <v>1040.1120000000001</v>
      </c>
      <c r="L44" s="17">
        <v>2707.7661361692449</v>
      </c>
      <c r="M44" s="17">
        <v>1034.3912</v>
      </c>
      <c r="N44" s="17">
        <v>5.7208000000000148</v>
      </c>
      <c r="O44" s="17">
        <v>0</v>
      </c>
      <c r="P44" s="17">
        <v>2698.7812421921039</v>
      </c>
      <c r="Q44" s="17">
        <v>2.6231140003383091</v>
      </c>
      <c r="R44" s="17">
        <v>6.361779976803164</v>
      </c>
      <c r="S44" s="17">
        <v>1447.469039180711</v>
      </c>
      <c r="T44" s="17">
        <v>3157.9817238799078</v>
      </c>
    </row>
    <row r="45" spans="1:20" ht="21.95" customHeight="1" x14ac:dyDescent="0.2">
      <c r="A45" s="7" t="s">
        <v>133</v>
      </c>
      <c r="B45" s="7">
        <v>10</v>
      </c>
      <c r="C45" s="7">
        <v>100</v>
      </c>
      <c r="D45" s="17">
        <v>378.99</v>
      </c>
      <c r="E45" s="17">
        <v>1067.9126934257611</v>
      </c>
      <c r="F45" s="17">
        <v>2429.5805111200152</v>
      </c>
      <c r="G45" s="18">
        <v>0.11</v>
      </c>
      <c r="H45" s="18">
        <v>0.03</v>
      </c>
      <c r="I45" s="18">
        <v>0.46</v>
      </c>
      <c r="J45" s="18">
        <v>0.2</v>
      </c>
      <c r="K45" s="17">
        <v>1040.1120000000001</v>
      </c>
      <c r="L45" s="17">
        <v>2366.850109733602</v>
      </c>
      <c r="M45" s="17">
        <v>1034.3912</v>
      </c>
      <c r="N45" s="17">
        <v>5.7208000000000148</v>
      </c>
      <c r="O45" s="17">
        <v>0</v>
      </c>
      <c r="P45" s="17">
        <v>2351.435729856174</v>
      </c>
      <c r="Q45" s="17">
        <v>7.3437318554288034</v>
      </c>
      <c r="R45" s="17">
        <v>8.0706480219984833</v>
      </c>
      <c r="S45" s="17">
        <v>1446.9026934257611</v>
      </c>
      <c r="T45" s="17">
        <v>2808.570511120015</v>
      </c>
    </row>
    <row r="46" spans="1:20" ht="21.95" customHeight="1" x14ac:dyDescent="0.2">
      <c r="A46" s="7" t="s">
        <v>135</v>
      </c>
      <c r="B46" s="7">
        <v>1</v>
      </c>
      <c r="C46" s="7">
        <v>100</v>
      </c>
      <c r="D46" s="17">
        <v>378.99</v>
      </c>
      <c r="E46" s="17">
        <v>1064.1320000000001</v>
      </c>
      <c r="F46" s="17">
        <v>1064.1320000000001</v>
      </c>
      <c r="G46" s="18">
        <v>0.11</v>
      </c>
      <c r="H46" s="18">
        <v>0.11</v>
      </c>
      <c r="I46" s="18">
        <v>0.46</v>
      </c>
      <c r="J46" s="18">
        <v>0.46</v>
      </c>
      <c r="K46" s="17">
        <v>1040.1120000000001</v>
      </c>
      <c r="L46" s="17">
        <v>1040.1120000000001</v>
      </c>
      <c r="M46" s="17">
        <v>1034.3912</v>
      </c>
      <c r="N46" s="17">
        <v>5.7208000000000148</v>
      </c>
      <c r="O46" s="17">
        <v>0</v>
      </c>
      <c r="P46" s="17">
        <v>0</v>
      </c>
      <c r="Q46" s="17">
        <v>1034.3912</v>
      </c>
      <c r="R46" s="17">
        <v>5.7208000000000148</v>
      </c>
      <c r="S46" s="17">
        <v>1443.1220000000001</v>
      </c>
      <c r="T46" s="17">
        <v>1443.1220000000001</v>
      </c>
    </row>
    <row r="47" spans="1:20" ht="21.95" customHeight="1" x14ac:dyDescent="0.2">
      <c r="A47" s="7" t="s">
        <v>135</v>
      </c>
      <c r="B47" s="7">
        <v>2</v>
      </c>
      <c r="C47" s="7">
        <v>100</v>
      </c>
      <c r="D47" s="17">
        <v>378.99</v>
      </c>
      <c r="E47" s="17">
        <v>1064.1320000000001</v>
      </c>
      <c r="F47" s="17">
        <v>1064.1320000000001</v>
      </c>
      <c r="G47" s="18">
        <v>0.11</v>
      </c>
      <c r="H47" s="18">
        <v>0.11</v>
      </c>
      <c r="I47" s="18">
        <v>0.46</v>
      </c>
      <c r="J47" s="18">
        <v>0.46</v>
      </c>
      <c r="K47" s="17">
        <v>1040.1120000000001</v>
      </c>
      <c r="L47" s="17">
        <v>1040.1120000000001</v>
      </c>
      <c r="M47" s="17">
        <v>1034.3912</v>
      </c>
      <c r="N47" s="17">
        <v>5.7208000000000148</v>
      </c>
      <c r="O47" s="17">
        <v>0</v>
      </c>
      <c r="P47" s="17">
        <v>0</v>
      </c>
      <c r="Q47" s="17">
        <v>1034.3912</v>
      </c>
      <c r="R47" s="17">
        <v>5.7208000000000148</v>
      </c>
      <c r="S47" s="17">
        <v>1443.1220000000001</v>
      </c>
      <c r="T47" s="17">
        <v>1443.1220000000001</v>
      </c>
    </row>
    <row r="48" spans="1:20" ht="21.95" customHeight="1" x14ac:dyDescent="0.2">
      <c r="A48" s="7" t="s">
        <v>135</v>
      </c>
      <c r="B48" s="7">
        <v>3</v>
      </c>
      <c r="C48" s="7">
        <v>100</v>
      </c>
      <c r="D48" s="17">
        <v>378.99</v>
      </c>
      <c r="E48" s="17">
        <v>1064.1320000000001</v>
      </c>
      <c r="F48" s="17">
        <v>1064.1320000000001</v>
      </c>
      <c r="G48" s="18">
        <v>0.11</v>
      </c>
      <c r="H48" s="18">
        <v>0.11</v>
      </c>
      <c r="I48" s="18">
        <v>0.46</v>
      </c>
      <c r="J48" s="18">
        <v>0.46</v>
      </c>
      <c r="K48" s="17">
        <v>1040.1120000000001</v>
      </c>
      <c r="L48" s="17">
        <v>1040.1120000000001</v>
      </c>
      <c r="M48" s="17">
        <v>1034.3912</v>
      </c>
      <c r="N48" s="17">
        <v>5.7208000000000148</v>
      </c>
      <c r="O48" s="17">
        <v>0</v>
      </c>
      <c r="P48" s="17">
        <v>0</v>
      </c>
      <c r="Q48" s="17">
        <v>1034.3912</v>
      </c>
      <c r="R48" s="17">
        <v>5.7208000000000148</v>
      </c>
      <c r="S48" s="17">
        <v>1443.1220000000001</v>
      </c>
      <c r="T48" s="17">
        <v>1443.1220000000001</v>
      </c>
    </row>
    <row r="49" spans="1:20" ht="21.95" customHeight="1" x14ac:dyDescent="0.2">
      <c r="A49" s="7" t="s">
        <v>135</v>
      </c>
      <c r="B49" s="7">
        <v>4</v>
      </c>
      <c r="C49" s="7">
        <v>100</v>
      </c>
      <c r="D49" s="17">
        <v>378.99</v>
      </c>
      <c r="E49" s="17">
        <v>1064.1320000000001</v>
      </c>
      <c r="F49" s="17">
        <v>1064.1320000000001</v>
      </c>
      <c r="G49" s="18">
        <v>0.11</v>
      </c>
      <c r="H49" s="18">
        <v>0.11</v>
      </c>
      <c r="I49" s="18">
        <v>0.46</v>
      </c>
      <c r="J49" s="18">
        <v>0.46</v>
      </c>
      <c r="K49" s="17">
        <v>1040.1120000000001</v>
      </c>
      <c r="L49" s="17">
        <v>1040.1120000000001</v>
      </c>
      <c r="M49" s="17">
        <v>1034.3912</v>
      </c>
      <c r="N49" s="17">
        <v>5.7208000000000148</v>
      </c>
      <c r="O49" s="17">
        <v>0</v>
      </c>
      <c r="P49" s="17">
        <v>0</v>
      </c>
      <c r="Q49" s="17">
        <v>1034.3912</v>
      </c>
      <c r="R49" s="17">
        <v>5.7208000000000148</v>
      </c>
      <c r="S49" s="17">
        <v>1443.1220000000001</v>
      </c>
      <c r="T49" s="17">
        <v>1443.1220000000001</v>
      </c>
    </row>
    <row r="50" spans="1:20" ht="21.95" customHeight="1" x14ac:dyDescent="0.2">
      <c r="A50" s="7" t="s">
        <v>135</v>
      </c>
      <c r="B50" s="7">
        <v>5</v>
      </c>
      <c r="C50" s="7">
        <v>100</v>
      </c>
      <c r="D50" s="17">
        <v>378.99</v>
      </c>
      <c r="E50" s="17">
        <v>1064.1320000000001</v>
      </c>
      <c r="F50" s="17">
        <v>1064.1320000000001</v>
      </c>
      <c r="G50" s="18">
        <v>0.11</v>
      </c>
      <c r="H50" s="18">
        <v>0.11</v>
      </c>
      <c r="I50" s="18">
        <v>0.46</v>
      </c>
      <c r="J50" s="18">
        <v>0.46</v>
      </c>
      <c r="K50" s="17">
        <v>1040.1120000000001</v>
      </c>
      <c r="L50" s="17">
        <v>1040.1120000000001</v>
      </c>
      <c r="M50" s="17">
        <v>1034.3912</v>
      </c>
      <c r="N50" s="17">
        <v>5.7208000000000148</v>
      </c>
      <c r="O50" s="17">
        <v>0</v>
      </c>
      <c r="P50" s="17">
        <v>0</v>
      </c>
      <c r="Q50" s="17">
        <v>1034.3912</v>
      </c>
      <c r="R50" s="17">
        <v>5.7208000000000148</v>
      </c>
      <c r="S50" s="17">
        <v>1443.1220000000001</v>
      </c>
      <c r="T50" s="17">
        <v>1443.1220000000001</v>
      </c>
    </row>
    <row r="51" spans="1:20" ht="21.95" customHeight="1" x14ac:dyDescent="0.2">
      <c r="A51" s="7" t="s">
        <v>135</v>
      </c>
      <c r="B51" s="7">
        <v>6</v>
      </c>
      <c r="C51" s="7">
        <v>100</v>
      </c>
      <c r="D51" s="17">
        <v>378.99</v>
      </c>
      <c r="E51" s="17">
        <v>1064.1320000000001</v>
      </c>
      <c r="F51" s="17">
        <v>1064.1320000000001</v>
      </c>
      <c r="G51" s="18">
        <v>0.11</v>
      </c>
      <c r="H51" s="18">
        <v>0.11</v>
      </c>
      <c r="I51" s="18">
        <v>0.46</v>
      </c>
      <c r="J51" s="18">
        <v>0.46</v>
      </c>
      <c r="K51" s="17">
        <v>1040.1120000000001</v>
      </c>
      <c r="L51" s="17">
        <v>1040.1120000000001</v>
      </c>
      <c r="M51" s="17">
        <v>1034.3912</v>
      </c>
      <c r="N51" s="17">
        <v>5.7208000000000148</v>
      </c>
      <c r="O51" s="17">
        <v>0</v>
      </c>
      <c r="P51" s="17">
        <v>0</v>
      </c>
      <c r="Q51" s="17">
        <v>1034.3912</v>
      </c>
      <c r="R51" s="17">
        <v>5.7208000000000148</v>
      </c>
      <c r="S51" s="17">
        <v>1443.1220000000001</v>
      </c>
      <c r="T51" s="17">
        <v>1443.1220000000001</v>
      </c>
    </row>
    <row r="52" spans="1:20" ht="21.95" customHeight="1" x14ac:dyDescent="0.2">
      <c r="A52" s="7" t="s">
        <v>135</v>
      </c>
      <c r="B52" s="7">
        <v>7</v>
      </c>
      <c r="C52" s="7">
        <v>100</v>
      </c>
      <c r="D52" s="17">
        <v>378.99</v>
      </c>
      <c r="E52" s="17">
        <v>1064.1320000000001</v>
      </c>
      <c r="F52" s="17">
        <v>1064.1320000000001</v>
      </c>
      <c r="G52" s="18">
        <v>0.11</v>
      </c>
      <c r="H52" s="18">
        <v>0.11</v>
      </c>
      <c r="I52" s="18">
        <v>0.46</v>
      </c>
      <c r="J52" s="18">
        <v>0.46</v>
      </c>
      <c r="K52" s="17">
        <v>1040.1120000000001</v>
      </c>
      <c r="L52" s="17">
        <v>1040.1120000000001</v>
      </c>
      <c r="M52" s="17">
        <v>1034.3912</v>
      </c>
      <c r="N52" s="17">
        <v>5.7208000000000148</v>
      </c>
      <c r="O52" s="17">
        <v>0</v>
      </c>
      <c r="P52" s="17">
        <v>0</v>
      </c>
      <c r="Q52" s="17">
        <v>1034.3912</v>
      </c>
      <c r="R52" s="17">
        <v>5.7208000000000148</v>
      </c>
      <c r="S52" s="17">
        <v>1443.1220000000001</v>
      </c>
      <c r="T52" s="17">
        <v>1443.1220000000001</v>
      </c>
    </row>
    <row r="53" spans="1:20" ht="21.95" customHeight="1" x14ac:dyDescent="0.2">
      <c r="A53" s="7" t="s">
        <v>135</v>
      </c>
      <c r="B53" s="7">
        <v>8</v>
      </c>
      <c r="C53" s="7">
        <v>100</v>
      </c>
      <c r="D53" s="17">
        <v>378.99</v>
      </c>
      <c r="E53" s="17">
        <v>1064.1320000000001</v>
      </c>
      <c r="F53" s="17">
        <v>1064.1320000000001</v>
      </c>
      <c r="G53" s="18">
        <v>0.11</v>
      </c>
      <c r="H53" s="18">
        <v>0.11</v>
      </c>
      <c r="I53" s="18">
        <v>0.46</v>
      </c>
      <c r="J53" s="18">
        <v>0.46</v>
      </c>
      <c r="K53" s="17">
        <v>1040.1120000000001</v>
      </c>
      <c r="L53" s="17">
        <v>1040.1120000000001</v>
      </c>
      <c r="M53" s="17">
        <v>1034.3912</v>
      </c>
      <c r="N53" s="17">
        <v>5.7208000000000148</v>
      </c>
      <c r="O53" s="17">
        <v>0</v>
      </c>
      <c r="P53" s="17">
        <v>0</v>
      </c>
      <c r="Q53" s="17">
        <v>1034.3912</v>
      </c>
      <c r="R53" s="17">
        <v>5.7208000000000148</v>
      </c>
      <c r="S53" s="17">
        <v>1443.1220000000001</v>
      </c>
      <c r="T53" s="17">
        <v>1443.1220000000001</v>
      </c>
    </row>
    <row r="54" spans="1:20" ht="21.95" customHeight="1" x14ac:dyDescent="0.2">
      <c r="A54" s="7" t="s">
        <v>135</v>
      </c>
      <c r="B54" s="7">
        <v>9</v>
      </c>
      <c r="C54" s="7">
        <v>100</v>
      </c>
      <c r="D54" s="17">
        <v>378.99</v>
      </c>
      <c r="E54" s="17">
        <v>1064.1320000000001</v>
      </c>
      <c r="F54" s="17">
        <v>1064.1320000000001</v>
      </c>
      <c r="G54" s="18">
        <v>0.11</v>
      </c>
      <c r="H54" s="18">
        <v>0.11</v>
      </c>
      <c r="I54" s="18">
        <v>0.46</v>
      </c>
      <c r="J54" s="18">
        <v>0.46</v>
      </c>
      <c r="K54" s="17">
        <v>1040.1120000000001</v>
      </c>
      <c r="L54" s="17">
        <v>1040.1120000000001</v>
      </c>
      <c r="M54" s="17">
        <v>1034.3912</v>
      </c>
      <c r="N54" s="17">
        <v>5.7208000000000148</v>
      </c>
      <c r="O54" s="17">
        <v>0</v>
      </c>
      <c r="P54" s="17">
        <v>0</v>
      </c>
      <c r="Q54" s="17">
        <v>1034.3912</v>
      </c>
      <c r="R54" s="17">
        <v>5.7208000000000148</v>
      </c>
      <c r="S54" s="17">
        <v>1443.1220000000001</v>
      </c>
      <c r="T54" s="17">
        <v>1443.1220000000001</v>
      </c>
    </row>
    <row r="55" spans="1:20" ht="21.95" customHeight="1" x14ac:dyDescent="0.2">
      <c r="A55" s="7" t="s">
        <v>135</v>
      </c>
      <c r="B55" s="7">
        <v>10</v>
      </c>
      <c r="C55" s="7">
        <v>100</v>
      </c>
      <c r="D55" s="17">
        <v>378.99</v>
      </c>
      <c r="E55" s="17">
        <v>1064.1320000000001</v>
      </c>
      <c r="F55" s="17">
        <v>1064.1320000000001</v>
      </c>
      <c r="G55" s="18">
        <v>0.11</v>
      </c>
      <c r="H55" s="18">
        <v>0.11</v>
      </c>
      <c r="I55" s="18">
        <v>0.46</v>
      </c>
      <c r="J55" s="18">
        <v>0.46</v>
      </c>
      <c r="K55" s="17">
        <v>1040.1120000000001</v>
      </c>
      <c r="L55" s="17">
        <v>1040.1120000000001</v>
      </c>
      <c r="M55" s="17">
        <v>1034.3912</v>
      </c>
      <c r="N55" s="17">
        <v>5.7208000000000148</v>
      </c>
      <c r="O55" s="17">
        <v>0</v>
      </c>
      <c r="P55" s="17">
        <v>0</v>
      </c>
      <c r="Q55" s="17">
        <v>1034.3912</v>
      </c>
      <c r="R55" s="17">
        <v>5.7208000000000148</v>
      </c>
      <c r="S55" s="17">
        <v>1443.1220000000001</v>
      </c>
      <c r="T55" s="17">
        <v>1443.1220000000001</v>
      </c>
    </row>
    <row r="56" spans="1:20" x14ac:dyDescent="0.2">
      <c r="D56" s="6"/>
      <c r="E56" s="6"/>
      <c r="F56" s="6"/>
      <c r="G56" s="19"/>
      <c r="H56" s="19"/>
      <c r="I56" s="19"/>
      <c r="J56" s="19"/>
      <c r="K56" s="6"/>
      <c r="L56" s="6"/>
      <c r="M56" s="6"/>
      <c r="N56" s="6"/>
      <c r="O56" s="6"/>
      <c r="P56" s="6"/>
      <c r="Q56" s="6"/>
      <c r="R56" s="6"/>
      <c r="S56" s="6"/>
      <c r="T56" s="6"/>
    </row>
    <row r="57" spans="1:20" x14ac:dyDescent="0.2">
      <c r="D57" s="6"/>
      <c r="E57" s="6"/>
      <c r="F57" s="6"/>
      <c r="G57" s="19"/>
      <c r="H57" s="19"/>
      <c r="I57" s="19"/>
      <c r="J57" s="19"/>
      <c r="K57" s="6"/>
      <c r="L57" s="6"/>
      <c r="M57" s="6"/>
      <c r="N57" s="6"/>
      <c r="O57" s="6"/>
      <c r="P57" s="6"/>
      <c r="Q57" s="6"/>
      <c r="R57" s="6"/>
      <c r="S57" s="6"/>
      <c r="T57" s="6"/>
    </row>
    <row r="58" spans="1:20" x14ac:dyDescent="0.2">
      <c r="D58" s="6"/>
      <c r="E58" s="6"/>
      <c r="F58" s="6"/>
      <c r="G58" s="19"/>
      <c r="H58" s="19"/>
      <c r="I58" s="19"/>
      <c r="J58" s="19"/>
      <c r="K58" s="6"/>
      <c r="L58" s="6"/>
      <c r="M58" s="6"/>
      <c r="N58" s="6"/>
      <c r="O58" s="6"/>
      <c r="P58" s="6"/>
      <c r="Q58" s="6"/>
      <c r="R58" s="6"/>
      <c r="S58" s="6"/>
      <c r="T58" s="6"/>
    </row>
    <row r="59" spans="1:20" x14ac:dyDescent="0.2">
      <c r="D59" s="6"/>
      <c r="E59" s="6"/>
      <c r="F59" s="6"/>
      <c r="G59" s="19"/>
      <c r="H59" s="19"/>
      <c r="I59" s="19"/>
      <c r="J59" s="19"/>
      <c r="K59" s="6"/>
      <c r="L59" s="6"/>
      <c r="M59" s="6"/>
      <c r="N59" s="6"/>
      <c r="O59" s="6"/>
      <c r="P59" s="6"/>
      <c r="Q59" s="6"/>
      <c r="R59" s="6"/>
      <c r="S59" s="6"/>
      <c r="T59" s="6"/>
    </row>
    <row r="60" spans="1:20" x14ac:dyDescent="0.2">
      <c r="D60" s="6"/>
      <c r="E60" s="6"/>
      <c r="F60" s="6"/>
      <c r="G60" s="19"/>
      <c r="H60" s="19"/>
      <c r="I60" s="19"/>
      <c r="J60" s="19"/>
      <c r="K60" s="6"/>
      <c r="L60" s="6"/>
      <c r="M60" s="6"/>
      <c r="N60" s="6"/>
      <c r="O60" s="6"/>
      <c r="P60" s="6"/>
      <c r="Q60" s="6"/>
      <c r="R60" s="6"/>
      <c r="S60" s="6"/>
      <c r="T60" s="6"/>
    </row>
    <row r="61" spans="1:20" x14ac:dyDescent="0.2">
      <c r="D61" s="6"/>
      <c r="E61" s="6"/>
      <c r="F61" s="6"/>
      <c r="G61" s="19"/>
      <c r="H61" s="19"/>
      <c r="I61" s="19"/>
      <c r="J61" s="19"/>
      <c r="K61" s="6"/>
      <c r="L61" s="6"/>
      <c r="M61" s="6"/>
      <c r="N61" s="6"/>
      <c r="O61" s="6"/>
      <c r="P61" s="6"/>
      <c r="Q61" s="6"/>
      <c r="R61" s="6"/>
      <c r="S61" s="6"/>
      <c r="T61" s="6"/>
    </row>
    <row r="62" spans="1:20" x14ac:dyDescent="0.2">
      <c r="D62" s="6"/>
      <c r="E62" s="6"/>
      <c r="F62" s="6"/>
      <c r="G62" s="19"/>
      <c r="H62" s="19"/>
      <c r="I62" s="19"/>
      <c r="J62" s="19"/>
      <c r="K62" s="6"/>
      <c r="L62" s="6"/>
      <c r="M62" s="6"/>
      <c r="N62" s="6"/>
      <c r="O62" s="6"/>
      <c r="P62" s="6"/>
      <c r="Q62" s="6"/>
      <c r="R62" s="6"/>
      <c r="S62" s="6"/>
      <c r="T62" s="6"/>
    </row>
    <row r="63" spans="1:20" x14ac:dyDescent="0.2">
      <c r="D63" s="6"/>
      <c r="E63" s="6"/>
      <c r="F63" s="6"/>
      <c r="G63" s="19"/>
      <c r="H63" s="19"/>
      <c r="I63" s="19"/>
      <c r="J63" s="19"/>
      <c r="K63" s="6"/>
      <c r="L63" s="6"/>
      <c r="M63" s="6"/>
      <c r="N63" s="6"/>
      <c r="O63" s="6"/>
      <c r="P63" s="6"/>
      <c r="Q63" s="6"/>
      <c r="R63" s="6"/>
      <c r="S63" s="6"/>
      <c r="T63" s="6"/>
    </row>
    <row r="64" spans="1:20" x14ac:dyDescent="0.2">
      <c r="D64" s="6"/>
      <c r="E64" s="6"/>
      <c r="F64" s="6"/>
      <c r="G64" s="19"/>
      <c r="H64" s="19"/>
      <c r="I64" s="19"/>
      <c r="J64" s="19"/>
      <c r="K64" s="6"/>
      <c r="L64" s="6"/>
      <c r="M64" s="6"/>
      <c r="N64" s="6"/>
      <c r="O64" s="6"/>
      <c r="P64" s="6"/>
      <c r="Q64" s="6"/>
      <c r="R64" s="6"/>
      <c r="S64" s="6"/>
      <c r="T64" s="6"/>
    </row>
    <row r="65" spans="4:20" x14ac:dyDescent="0.2">
      <c r="D65" s="6"/>
      <c r="E65" s="6"/>
      <c r="F65" s="6"/>
      <c r="G65" s="19"/>
      <c r="H65" s="19"/>
      <c r="I65" s="19"/>
      <c r="J65" s="19"/>
      <c r="K65" s="6"/>
      <c r="L65" s="6"/>
      <c r="M65" s="6"/>
      <c r="N65" s="6"/>
      <c r="O65" s="6"/>
      <c r="P65" s="6"/>
      <c r="Q65" s="6"/>
      <c r="R65" s="6"/>
      <c r="S65" s="6"/>
      <c r="T65" s="6"/>
    </row>
    <row r="66" spans="4:20" x14ac:dyDescent="0.2">
      <c r="D66" s="6"/>
      <c r="E66" s="6"/>
      <c r="F66" s="6"/>
      <c r="G66" s="19"/>
      <c r="H66" s="19"/>
      <c r="I66" s="19"/>
      <c r="J66" s="19"/>
      <c r="K66" s="6"/>
      <c r="L66" s="6"/>
      <c r="M66" s="6"/>
      <c r="N66" s="6"/>
      <c r="O66" s="6"/>
      <c r="P66" s="6"/>
      <c r="Q66" s="6"/>
      <c r="R66" s="6"/>
      <c r="S66" s="6"/>
      <c r="T66" s="6"/>
    </row>
    <row r="67" spans="4:20" x14ac:dyDescent="0.2">
      <c r="D67" s="6"/>
      <c r="E67" s="6"/>
      <c r="F67" s="6"/>
      <c r="G67" s="19"/>
      <c r="H67" s="19"/>
      <c r="I67" s="19"/>
      <c r="J67" s="19"/>
      <c r="K67" s="6"/>
      <c r="L67" s="6"/>
      <c r="M67" s="6"/>
      <c r="N67" s="6"/>
      <c r="O67" s="6"/>
      <c r="P67" s="6"/>
      <c r="Q67" s="6"/>
      <c r="R67" s="6"/>
      <c r="S67" s="6"/>
      <c r="T67" s="6"/>
    </row>
    <row r="68" spans="4:20" x14ac:dyDescent="0.2">
      <c r="D68" s="6"/>
      <c r="E68" s="6"/>
      <c r="F68" s="6"/>
      <c r="G68" s="19"/>
      <c r="H68" s="19"/>
      <c r="I68" s="19"/>
      <c r="J68" s="19"/>
      <c r="K68" s="6"/>
      <c r="L68" s="6"/>
      <c r="M68" s="6"/>
      <c r="N68" s="6"/>
      <c r="O68" s="6"/>
      <c r="P68" s="6"/>
      <c r="Q68" s="6"/>
      <c r="R68" s="6"/>
      <c r="S68" s="6"/>
      <c r="T68" s="6"/>
    </row>
    <row r="69" spans="4:20" x14ac:dyDescent="0.2">
      <c r="D69" s="6"/>
      <c r="E69" s="6"/>
      <c r="F69" s="6"/>
      <c r="G69" s="19"/>
      <c r="H69" s="19"/>
      <c r="I69" s="19"/>
      <c r="J69" s="19"/>
      <c r="K69" s="6"/>
      <c r="L69" s="6"/>
      <c r="M69" s="6"/>
      <c r="N69" s="6"/>
      <c r="O69" s="6"/>
      <c r="P69" s="6"/>
      <c r="Q69" s="6"/>
      <c r="R69" s="6"/>
      <c r="S69" s="6"/>
      <c r="T69" s="6"/>
    </row>
    <row r="70" spans="4:20" x14ac:dyDescent="0.2">
      <c r="D70" s="6"/>
      <c r="E70" s="6"/>
      <c r="F70" s="6"/>
      <c r="G70" s="19"/>
      <c r="H70" s="19"/>
      <c r="I70" s="19"/>
      <c r="J70" s="19"/>
      <c r="K70" s="6"/>
      <c r="L70" s="6"/>
      <c r="M70" s="6"/>
      <c r="N70" s="6"/>
      <c r="O70" s="6"/>
      <c r="P70" s="6"/>
      <c r="Q70" s="6"/>
      <c r="R70" s="6"/>
      <c r="S70" s="6"/>
      <c r="T70" s="6"/>
    </row>
    <row r="71" spans="4:20" x14ac:dyDescent="0.2">
      <c r="D71" s="6"/>
      <c r="E71" s="6"/>
      <c r="F71" s="6"/>
      <c r="G71" s="19"/>
      <c r="H71" s="19"/>
      <c r="I71" s="19"/>
      <c r="J71" s="19"/>
      <c r="K71" s="6"/>
      <c r="L71" s="6"/>
      <c r="M71" s="6"/>
      <c r="N71" s="6"/>
      <c r="O71" s="6"/>
      <c r="P71" s="6"/>
      <c r="Q71" s="6"/>
      <c r="R71" s="6"/>
      <c r="S71" s="6"/>
      <c r="T71" s="6"/>
    </row>
    <row r="72" spans="4:20" x14ac:dyDescent="0.2">
      <c r="D72" s="6"/>
      <c r="E72" s="6"/>
      <c r="F72" s="6"/>
      <c r="G72" s="19"/>
      <c r="H72" s="19"/>
      <c r="I72" s="19"/>
      <c r="J72" s="19"/>
      <c r="K72" s="6"/>
      <c r="L72" s="6"/>
      <c r="M72" s="6"/>
      <c r="N72" s="6"/>
      <c r="O72" s="6"/>
      <c r="P72" s="6"/>
      <c r="Q72" s="6"/>
      <c r="R72" s="6"/>
      <c r="S72" s="6"/>
      <c r="T72" s="6"/>
    </row>
    <row r="73" spans="4:20" x14ac:dyDescent="0.2">
      <c r="D73" s="6"/>
      <c r="E73" s="6"/>
      <c r="F73" s="6"/>
      <c r="G73" s="19"/>
      <c r="H73" s="19"/>
      <c r="I73" s="19"/>
      <c r="J73" s="19"/>
      <c r="K73" s="6"/>
      <c r="L73" s="6"/>
      <c r="M73" s="6"/>
      <c r="N73" s="6"/>
      <c r="O73" s="6"/>
      <c r="P73" s="6"/>
      <c r="Q73" s="6"/>
      <c r="R73" s="6"/>
      <c r="S73" s="6"/>
      <c r="T73" s="6"/>
    </row>
    <row r="74" spans="4:20" x14ac:dyDescent="0.2">
      <c r="D74" s="6"/>
      <c r="E74" s="6"/>
      <c r="F74" s="6"/>
      <c r="G74" s="19"/>
      <c r="H74" s="19"/>
      <c r="I74" s="19"/>
      <c r="J74" s="19"/>
      <c r="K74" s="6"/>
      <c r="L74" s="6"/>
      <c r="M74" s="6"/>
      <c r="N74" s="6"/>
      <c r="O74" s="6"/>
      <c r="P74" s="6"/>
      <c r="Q74" s="6"/>
      <c r="R74" s="6"/>
      <c r="S74" s="6"/>
      <c r="T74" s="6"/>
    </row>
    <row r="75" spans="4:20" x14ac:dyDescent="0.2">
      <c r="D75" s="6"/>
      <c r="E75" s="6"/>
      <c r="F75" s="6"/>
      <c r="G75" s="19"/>
      <c r="H75" s="19"/>
      <c r="I75" s="19"/>
      <c r="J75" s="19"/>
      <c r="K75" s="6"/>
      <c r="L75" s="6"/>
      <c r="M75" s="6"/>
      <c r="N75" s="6"/>
      <c r="O75" s="6"/>
      <c r="P75" s="6"/>
      <c r="Q75" s="6"/>
      <c r="R75" s="6"/>
      <c r="S75" s="6"/>
      <c r="T75" s="6"/>
    </row>
    <row r="76" spans="4:20" x14ac:dyDescent="0.2">
      <c r="D76" s="6"/>
      <c r="E76" s="6"/>
      <c r="F76" s="6"/>
      <c r="G76" s="19"/>
      <c r="H76" s="19"/>
      <c r="I76" s="19"/>
      <c r="J76" s="19"/>
      <c r="K76" s="6"/>
      <c r="L76" s="6"/>
      <c r="M76" s="6"/>
      <c r="N76" s="6"/>
      <c r="O76" s="6"/>
      <c r="P76" s="6"/>
      <c r="Q76" s="6"/>
      <c r="R76" s="6"/>
      <c r="S76" s="6"/>
      <c r="T76" s="6"/>
    </row>
    <row r="77" spans="4:20" x14ac:dyDescent="0.2">
      <c r="D77" s="6"/>
      <c r="E77" s="6"/>
      <c r="F77" s="6"/>
      <c r="G77" s="19"/>
      <c r="H77" s="19"/>
      <c r="I77" s="19"/>
      <c r="J77" s="19"/>
      <c r="K77" s="6"/>
      <c r="L77" s="6"/>
      <c r="M77" s="6"/>
      <c r="N77" s="6"/>
      <c r="O77" s="6"/>
      <c r="P77" s="6"/>
      <c r="Q77" s="6"/>
      <c r="R77" s="6"/>
      <c r="S77" s="6"/>
      <c r="T77" s="6"/>
    </row>
    <row r="78" spans="4:20" x14ac:dyDescent="0.2">
      <c r="D78" s="6"/>
      <c r="E78" s="6"/>
      <c r="F78" s="6"/>
      <c r="G78" s="19"/>
      <c r="H78" s="19"/>
      <c r="I78" s="19"/>
      <c r="J78" s="19"/>
      <c r="K78" s="6"/>
      <c r="L78" s="6"/>
      <c r="M78" s="6"/>
      <c r="N78" s="6"/>
      <c r="O78" s="6"/>
      <c r="P78" s="6"/>
      <c r="Q78" s="6"/>
      <c r="R78" s="6"/>
      <c r="S78" s="6"/>
      <c r="T78" s="6"/>
    </row>
    <row r="79" spans="4:20" x14ac:dyDescent="0.2">
      <c r="D79" s="6"/>
      <c r="E79" s="6"/>
      <c r="F79" s="6"/>
      <c r="G79" s="19"/>
      <c r="H79" s="19"/>
      <c r="I79" s="19"/>
      <c r="J79" s="19"/>
      <c r="K79" s="6"/>
      <c r="L79" s="6"/>
      <c r="M79" s="6"/>
      <c r="N79" s="6"/>
      <c r="O79" s="6"/>
      <c r="P79" s="6"/>
      <c r="Q79" s="6"/>
      <c r="R79" s="6"/>
      <c r="S79" s="6"/>
      <c r="T79" s="6"/>
    </row>
    <row r="80" spans="4:20" x14ac:dyDescent="0.2">
      <c r="D80" s="6"/>
      <c r="E80" s="6"/>
      <c r="F80" s="6"/>
      <c r="G80" s="19"/>
      <c r="H80" s="19"/>
      <c r="I80" s="19"/>
      <c r="J80" s="19"/>
      <c r="K80" s="6"/>
      <c r="L80" s="6"/>
      <c r="M80" s="6"/>
      <c r="N80" s="6"/>
      <c r="O80" s="6"/>
      <c r="P80" s="6"/>
      <c r="Q80" s="6"/>
      <c r="R80" s="6"/>
      <c r="S80" s="6"/>
      <c r="T80" s="6"/>
    </row>
    <row r="81" spans="4:20" x14ac:dyDescent="0.2">
      <c r="D81" s="6"/>
      <c r="E81" s="6"/>
      <c r="F81" s="6"/>
      <c r="G81" s="19"/>
      <c r="H81" s="19"/>
      <c r="I81" s="19"/>
      <c r="J81" s="19"/>
      <c r="K81" s="6"/>
      <c r="L81" s="6"/>
      <c r="M81" s="6"/>
      <c r="N81" s="6"/>
      <c r="O81" s="6"/>
      <c r="P81" s="6"/>
      <c r="Q81" s="6"/>
      <c r="R81" s="6"/>
      <c r="S81" s="6"/>
      <c r="T81" s="6"/>
    </row>
    <row r="82" spans="4:20" x14ac:dyDescent="0.2">
      <c r="D82" s="6"/>
      <c r="E82" s="6"/>
      <c r="F82" s="6"/>
      <c r="G82" s="19"/>
      <c r="H82" s="19"/>
      <c r="I82" s="19"/>
      <c r="J82" s="19"/>
      <c r="K82" s="6"/>
      <c r="L82" s="6"/>
      <c r="M82" s="6"/>
      <c r="N82" s="6"/>
      <c r="O82" s="6"/>
      <c r="P82" s="6"/>
      <c r="Q82" s="6"/>
      <c r="R82" s="6"/>
      <c r="S82" s="6"/>
      <c r="T82" s="6"/>
    </row>
    <row r="83" spans="4:20" x14ac:dyDescent="0.2">
      <c r="D83" s="6"/>
      <c r="E83" s="6"/>
      <c r="F83" s="6"/>
      <c r="G83" s="19"/>
      <c r="H83" s="19"/>
      <c r="I83" s="19"/>
      <c r="J83" s="19"/>
      <c r="K83" s="6"/>
      <c r="L83" s="6"/>
      <c r="M83" s="6"/>
      <c r="N83" s="6"/>
      <c r="O83" s="6"/>
      <c r="P83" s="6"/>
      <c r="Q83" s="6"/>
      <c r="R83" s="6"/>
      <c r="S83" s="6"/>
      <c r="T83" s="6"/>
    </row>
    <row r="84" spans="4:20" x14ac:dyDescent="0.2">
      <c r="D84" s="6"/>
      <c r="E84" s="6"/>
      <c r="F84" s="6"/>
      <c r="G84" s="19"/>
      <c r="H84" s="19"/>
      <c r="I84" s="19"/>
      <c r="J84" s="19"/>
      <c r="K84" s="6"/>
      <c r="L84" s="6"/>
      <c r="M84" s="6"/>
      <c r="N84" s="6"/>
      <c r="O84" s="6"/>
      <c r="P84" s="6"/>
      <c r="Q84" s="6"/>
      <c r="R84" s="6"/>
      <c r="S84" s="6"/>
      <c r="T84" s="6"/>
    </row>
    <row r="85" spans="4:20" x14ac:dyDescent="0.2">
      <c r="D85" s="6"/>
      <c r="E85" s="6"/>
      <c r="F85" s="6"/>
      <c r="G85" s="19"/>
      <c r="H85" s="19"/>
      <c r="I85" s="19"/>
      <c r="J85" s="19"/>
      <c r="K85" s="6"/>
      <c r="L85" s="6"/>
      <c r="M85" s="6"/>
      <c r="N85" s="6"/>
      <c r="O85" s="6"/>
      <c r="P85" s="6"/>
      <c r="Q85" s="6"/>
      <c r="R85" s="6"/>
      <c r="S85" s="6"/>
      <c r="T85" s="6"/>
    </row>
    <row r="86" spans="4:20" x14ac:dyDescent="0.2">
      <c r="D86" s="6"/>
      <c r="E86" s="6"/>
      <c r="F86" s="6"/>
      <c r="G86" s="19"/>
      <c r="H86" s="19"/>
      <c r="I86" s="19"/>
      <c r="J86" s="19"/>
      <c r="K86" s="6"/>
      <c r="L86" s="6"/>
      <c r="M86" s="6"/>
      <c r="N86" s="6"/>
      <c r="O86" s="6"/>
      <c r="P86" s="6"/>
      <c r="Q86" s="6"/>
      <c r="R86" s="6"/>
      <c r="S86" s="6"/>
      <c r="T86" s="6"/>
    </row>
    <row r="87" spans="4:20" x14ac:dyDescent="0.2">
      <c r="D87" s="6"/>
      <c r="E87" s="6"/>
      <c r="F87" s="6"/>
      <c r="G87" s="19"/>
      <c r="H87" s="19"/>
      <c r="I87" s="19"/>
      <c r="J87" s="19"/>
      <c r="K87" s="6"/>
      <c r="L87" s="6"/>
      <c r="M87" s="6"/>
      <c r="N87" s="6"/>
      <c r="O87" s="6"/>
      <c r="P87" s="6"/>
      <c r="Q87" s="6"/>
      <c r="R87" s="6"/>
      <c r="S87" s="6"/>
      <c r="T87" s="6"/>
    </row>
    <row r="88" spans="4:20" x14ac:dyDescent="0.2">
      <c r="D88" s="6"/>
      <c r="E88" s="6"/>
      <c r="F88" s="6"/>
      <c r="G88" s="19"/>
      <c r="H88" s="19"/>
      <c r="I88" s="19"/>
      <c r="J88" s="19"/>
      <c r="K88" s="6"/>
      <c r="L88" s="6"/>
      <c r="M88" s="6"/>
      <c r="N88" s="6"/>
      <c r="O88" s="6"/>
      <c r="P88" s="6"/>
      <c r="Q88" s="6"/>
      <c r="R88" s="6"/>
      <c r="S88" s="6"/>
      <c r="T88" s="6"/>
    </row>
    <row r="89" spans="4:20" x14ac:dyDescent="0.2">
      <c r="D89" s="6"/>
      <c r="E89" s="6"/>
      <c r="F89" s="6"/>
      <c r="G89" s="19"/>
      <c r="H89" s="19"/>
      <c r="I89" s="19"/>
      <c r="J89" s="19"/>
      <c r="K89" s="6"/>
      <c r="L89" s="6"/>
      <c r="M89" s="6"/>
      <c r="N89" s="6"/>
      <c r="O89" s="6"/>
      <c r="P89" s="6"/>
      <c r="Q89" s="6"/>
      <c r="R89" s="6"/>
      <c r="S89" s="6"/>
      <c r="T89" s="6"/>
    </row>
    <row r="90" spans="4:20" x14ac:dyDescent="0.2">
      <c r="D90" s="6"/>
      <c r="E90" s="6"/>
      <c r="F90" s="6"/>
      <c r="G90" s="19"/>
      <c r="H90" s="19"/>
      <c r="I90" s="19"/>
      <c r="J90" s="19"/>
      <c r="K90" s="6"/>
      <c r="L90" s="6"/>
      <c r="M90" s="6"/>
      <c r="N90" s="6"/>
      <c r="O90" s="6"/>
      <c r="P90" s="6"/>
      <c r="Q90" s="6"/>
      <c r="R90" s="6"/>
      <c r="S90" s="6"/>
      <c r="T90" s="6"/>
    </row>
    <row r="91" spans="4:20" x14ac:dyDescent="0.2">
      <c r="D91" s="6"/>
      <c r="E91" s="6"/>
      <c r="F91" s="6"/>
      <c r="G91" s="19"/>
      <c r="H91" s="19"/>
      <c r="I91" s="19"/>
      <c r="J91" s="19"/>
      <c r="K91" s="6"/>
      <c r="L91" s="6"/>
      <c r="M91" s="6"/>
      <c r="N91" s="6"/>
      <c r="O91" s="6"/>
      <c r="P91" s="6"/>
      <c r="Q91" s="6"/>
      <c r="R91" s="6"/>
      <c r="S91" s="6"/>
      <c r="T91" s="6"/>
    </row>
    <row r="92" spans="4:20" x14ac:dyDescent="0.2">
      <c r="D92" s="6"/>
      <c r="E92" s="6"/>
      <c r="F92" s="6"/>
      <c r="G92" s="19"/>
      <c r="H92" s="19"/>
      <c r="I92" s="19"/>
      <c r="J92" s="19"/>
      <c r="K92" s="6"/>
      <c r="L92" s="6"/>
      <c r="M92" s="6"/>
      <c r="N92" s="6"/>
      <c r="O92" s="6"/>
      <c r="P92" s="6"/>
      <c r="Q92" s="6"/>
      <c r="R92" s="6"/>
      <c r="S92" s="6"/>
      <c r="T92" s="6"/>
    </row>
    <row r="93" spans="4:20" x14ac:dyDescent="0.2">
      <c r="D93" s="6"/>
      <c r="E93" s="6"/>
      <c r="F93" s="6"/>
      <c r="G93" s="19"/>
      <c r="H93" s="19"/>
      <c r="I93" s="19"/>
      <c r="J93" s="19"/>
      <c r="K93" s="6"/>
      <c r="L93" s="6"/>
      <c r="M93" s="6"/>
      <c r="N93" s="6"/>
      <c r="O93" s="6"/>
      <c r="P93" s="6"/>
      <c r="Q93" s="6"/>
      <c r="R93" s="6"/>
      <c r="S93" s="6"/>
      <c r="T93" s="6"/>
    </row>
    <row r="94" spans="4:20" x14ac:dyDescent="0.2">
      <c r="D94" s="6"/>
      <c r="E94" s="6"/>
      <c r="F94" s="6"/>
      <c r="G94" s="19"/>
      <c r="H94" s="19"/>
      <c r="I94" s="19"/>
      <c r="J94" s="19"/>
      <c r="K94" s="6"/>
      <c r="L94" s="6"/>
      <c r="M94" s="6"/>
      <c r="N94" s="6"/>
      <c r="O94" s="6"/>
      <c r="P94" s="6"/>
      <c r="Q94" s="6"/>
      <c r="R94" s="6"/>
      <c r="S94" s="6"/>
      <c r="T94" s="6"/>
    </row>
    <row r="95" spans="4:20" x14ac:dyDescent="0.2">
      <c r="D95" s="6"/>
      <c r="E95" s="6"/>
      <c r="F95" s="6"/>
      <c r="G95" s="19"/>
      <c r="H95" s="19"/>
      <c r="I95" s="19"/>
      <c r="J95" s="19"/>
      <c r="K95" s="6"/>
      <c r="L95" s="6"/>
      <c r="M95" s="6"/>
      <c r="N95" s="6"/>
      <c r="O95" s="6"/>
      <c r="P95" s="6"/>
      <c r="Q95" s="6"/>
      <c r="R95" s="6"/>
      <c r="S95" s="6"/>
      <c r="T95" s="6"/>
    </row>
    <row r="96" spans="4:20" x14ac:dyDescent="0.2">
      <c r="D96" s="6"/>
      <c r="E96" s="6"/>
      <c r="F96" s="6"/>
      <c r="G96" s="19"/>
      <c r="H96" s="19"/>
      <c r="I96" s="19"/>
      <c r="J96" s="19"/>
      <c r="K96" s="6"/>
      <c r="L96" s="6"/>
      <c r="M96" s="6"/>
      <c r="N96" s="6"/>
      <c r="O96" s="6"/>
      <c r="P96" s="6"/>
      <c r="Q96" s="6"/>
      <c r="R96" s="6"/>
      <c r="S96" s="6"/>
      <c r="T96" s="6"/>
    </row>
    <row r="97" spans="4:20" x14ac:dyDescent="0.2">
      <c r="D97" s="6"/>
      <c r="E97" s="6"/>
      <c r="F97" s="6"/>
      <c r="G97" s="19"/>
      <c r="H97" s="19"/>
      <c r="I97" s="19"/>
      <c r="J97" s="19"/>
      <c r="K97" s="6"/>
      <c r="L97" s="6"/>
      <c r="M97" s="6"/>
      <c r="N97" s="6"/>
      <c r="O97" s="6"/>
      <c r="P97" s="6"/>
      <c r="Q97" s="6"/>
      <c r="R97" s="6"/>
      <c r="S97" s="6"/>
      <c r="T97" s="6"/>
    </row>
    <row r="98" spans="4:20" x14ac:dyDescent="0.2">
      <c r="D98" s="6"/>
      <c r="E98" s="6"/>
      <c r="F98" s="6"/>
      <c r="G98" s="19"/>
      <c r="H98" s="19"/>
      <c r="I98" s="19"/>
      <c r="J98" s="19"/>
      <c r="K98" s="6"/>
      <c r="L98" s="6"/>
      <c r="M98" s="6"/>
      <c r="N98" s="6"/>
      <c r="O98" s="6"/>
      <c r="P98" s="6"/>
      <c r="Q98" s="6"/>
      <c r="R98" s="6"/>
      <c r="S98" s="6"/>
      <c r="T98" s="6"/>
    </row>
    <row r="99" spans="4:20" x14ac:dyDescent="0.2">
      <c r="D99" s="6"/>
      <c r="E99" s="6"/>
      <c r="F99" s="6"/>
      <c r="G99" s="19"/>
      <c r="H99" s="19"/>
      <c r="I99" s="19"/>
      <c r="J99" s="19"/>
      <c r="K99" s="6"/>
      <c r="L99" s="6"/>
      <c r="M99" s="6"/>
      <c r="N99" s="6"/>
      <c r="O99" s="6"/>
      <c r="P99" s="6"/>
      <c r="Q99" s="6"/>
      <c r="R99" s="6"/>
      <c r="S99" s="6"/>
      <c r="T99" s="6"/>
    </row>
    <row r="100" spans="4:20" x14ac:dyDescent="0.2">
      <c r="D100" s="6"/>
      <c r="E100" s="6"/>
      <c r="F100" s="6"/>
      <c r="G100" s="19"/>
      <c r="H100" s="19"/>
      <c r="I100" s="19"/>
      <c r="J100" s="19"/>
      <c r="K100" s="6"/>
      <c r="L100" s="6"/>
      <c r="M100" s="6"/>
      <c r="N100" s="6"/>
      <c r="O100" s="6"/>
      <c r="P100" s="6"/>
      <c r="Q100" s="6"/>
      <c r="R100" s="6"/>
      <c r="S100" s="6"/>
      <c r="T100" s="6"/>
    </row>
    <row r="101" spans="4:20" x14ac:dyDescent="0.2">
      <c r="D101" s="6"/>
      <c r="E101" s="6"/>
      <c r="F101" s="6"/>
      <c r="G101" s="19"/>
      <c r="H101" s="19"/>
      <c r="I101" s="19"/>
      <c r="J101" s="19"/>
      <c r="K101" s="6"/>
      <c r="L101" s="6"/>
      <c r="M101" s="6"/>
      <c r="N101" s="6"/>
      <c r="O101" s="6"/>
      <c r="P101" s="6"/>
      <c r="Q101" s="6"/>
      <c r="R101" s="6"/>
      <c r="S101" s="6"/>
      <c r="T101" s="6"/>
    </row>
    <row r="102" spans="4:20" x14ac:dyDescent="0.2">
      <c r="D102" s="6"/>
      <c r="E102" s="6"/>
      <c r="F102" s="6"/>
      <c r="G102" s="19"/>
      <c r="H102" s="19"/>
      <c r="I102" s="19"/>
      <c r="J102" s="19"/>
      <c r="K102" s="6"/>
      <c r="L102" s="6"/>
      <c r="M102" s="6"/>
      <c r="N102" s="6"/>
      <c r="O102" s="6"/>
      <c r="P102" s="6"/>
      <c r="Q102" s="6"/>
      <c r="R102" s="6"/>
      <c r="S102" s="6"/>
      <c r="T102" s="6"/>
    </row>
    <row r="103" spans="4:20" x14ac:dyDescent="0.2">
      <c r="D103" s="6"/>
      <c r="E103" s="6"/>
      <c r="F103" s="6"/>
      <c r="G103" s="19"/>
      <c r="H103" s="19"/>
      <c r="I103" s="19"/>
      <c r="J103" s="19"/>
      <c r="K103" s="6"/>
      <c r="L103" s="6"/>
      <c r="M103" s="6"/>
      <c r="N103" s="6"/>
      <c r="O103" s="6"/>
      <c r="P103" s="6"/>
      <c r="Q103" s="6"/>
      <c r="R103" s="6"/>
      <c r="S103" s="6"/>
      <c r="T103" s="6"/>
    </row>
    <row r="104" spans="4:20" x14ac:dyDescent="0.2">
      <c r="D104" s="6"/>
      <c r="E104" s="6"/>
      <c r="F104" s="6"/>
      <c r="G104" s="19"/>
      <c r="H104" s="19"/>
      <c r="I104" s="19"/>
      <c r="J104" s="19"/>
      <c r="K104" s="6"/>
      <c r="L104" s="6"/>
      <c r="M104" s="6"/>
      <c r="N104" s="6"/>
      <c r="O104" s="6"/>
      <c r="P104" s="6"/>
      <c r="Q104" s="6"/>
      <c r="R104" s="6"/>
      <c r="S104" s="6"/>
      <c r="T104" s="6"/>
    </row>
    <row r="105" spans="4:20" x14ac:dyDescent="0.2">
      <c r="D105" s="6"/>
      <c r="E105" s="6"/>
      <c r="F105" s="6"/>
      <c r="G105" s="19"/>
      <c r="H105" s="19"/>
      <c r="I105" s="19"/>
      <c r="J105" s="19"/>
      <c r="K105" s="6"/>
      <c r="L105" s="6"/>
      <c r="M105" s="6"/>
      <c r="N105" s="6"/>
      <c r="O105" s="6"/>
      <c r="P105" s="6"/>
      <c r="Q105" s="6"/>
      <c r="R105" s="6"/>
      <c r="S105" s="6"/>
      <c r="T105" s="6"/>
    </row>
    <row r="106" spans="4:20" x14ac:dyDescent="0.2">
      <c r="D106" s="6"/>
      <c r="E106" s="6"/>
      <c r="F106" s="6"/>
      <c r="G106" s="19"/>
      <c r="H106" s="19"/>
      <c r="I106" s="19"/>
      <c r="J106" s="19"/>
      <c r="K106" s="6"/>
      <c r="L106" s="6"/>
      <c r="M106" s="6"/>
      <c r="N106" s="6"/>
      <c r="O106" s="6"/>
      <c r="P106" s="6"/>
      <c r="Q106" s="6"/>
      <c r="R106" s="6"/>
      <c r="S106" s="6"/>
      <c r="T106" s="6"/>
    </row>
    <row r="107" spans="4:20" x14ac:dyDescent="0.2">
      <c r="D107" s="6"/>
      <c r="E107" s="6"/>
      <c r="F107" s="6"/>
      <c r="G107" s="19"/>
      <c r="H107" s="19"/>
      <c r="I107" s="19"/>
      <c r="J107" s="19"/>
      <c r="K107" s="6"/>
      <c r="L107" s="6"/>
      <c r="M107" s="6"/>
      <c r="N107" s="6"/>
      <c r="O107" s="6"/>
      <c r="P107" s="6"/>
      <c r="Q107" s="6"/>
      <c r="R107" s="6"/>
      <c r="S107" s="6"/>
      <c r="T107" s="6"/>
    </row>
    <row r="108" spans="4:20" x14ac:dyDescent="0.2">
      <c r="D108" s="6"/>
      <c r="E108" s="6"/>
      <c r="F108" s="6"/>
      <c r="G108" s="19"/>
      <c r="H108" s="19"/>
      <c r="I108" s="19"/>
      <c r="J108" s="19"/>
      <c r="K108" s="6"/>
      <c r="L108" s="6"/>
      <c r="M108" s="6"/>
      <c r="N108" s="6"/>
      <c r="O108" s="6"/>
      <c r="P108" s="6"/>
      <c r="Q108" s="6"/>
      <c r="R108" s="6"/>
      <c r="S108" s="6"/>
      <c r="T108" s="6"/>
    </row>
    <row r="109" spans="4:20" x14ac:dyDescent="0.2">
      <c r="D109" s="6"/>
      <c r="E109" s="6"/>
      <c r="F109" s="6"/>
      <c r="G109" s="19"/>
      <c r="H109" s="19"/>
      <c r="I109" s="19"/>
      <c r="J109" s="19"/>
      <c r="K109" s="6"/>
      <c r="L109" s="6"/>
      <c r="M109" s="6"/>
      <c r="N109" s="6"/>
      <c r="O109" s="6"/>
      <c r="P109" s="6"/>
      <c r="Q109" s="6"/>
      <c r="R109" s="6"/>
      <c r="S109" s="6"/>
      <c r="T109" s="6"/>
    </row>
    <row r="110" spans="4:20" x14ac:dyDescent="0.2">
      <c r="D110" s="6"/>
      <c r="E110" s="6"/>
      <c r="F110" s="6"/>
      <c r="G110" s="19"/>
      <c r="H110" s="19"/>
      <c r="I110" s="19"/>
      <c r="J110" s="19"/>
      <c r="K110" s="6"/>
      <c r="L110" s="6"/>
      <c r="M110" s="6"/>
      <c r="N110" s="6"/>
      <c r="O110" s="6"/>
      <c r="P110" s="6"/>
      <c r="Q110" s="6"/>
      <c r="R110" s="6"/>
      <c r="S110" s="6"/>
      <c r="T110" s="6"/>
    </row>
    <row r="111" spans="4:20" x14ac:dyDescent="0.2">
      <c r="D111" s="6"/>
      <c r="E111" s="6"/>
      <c r="F111" s="6"/>
      <c r="G111" s="19"/>
      <c r="H111" s="19"/>
      <c r="I111" s="19"/>
      <c r="J111" s="19"/>
      <c r="K111" s="6"/>
      <c r="L111" s="6"/>
      <c r="M111" s="6"/>
      <c r="N111" s="6"/>
      <c r="O111" s="6"/>
      <c r="P111" s="6"/>
      <c r="Q111" s="6"/>
      <c r="R111" s="6"/>
      <c r="S111" s="6"/>
      <c r="T111" s="6"/>
    </row>
    <row r="112" spans="4:20" x14ac:dyDescent="0.2">
      <c r="D112" s="6"/>
      <c r="E112" s="6"/>
      <c r="F112" s="6"/>
      <c r="G112" s="19"/>
      <c r="H112" s="19"/>
      <c r="I112" s="19"/>
      <c r="J112" s="19"/>
      <c r="K112" s="6"/>
      <c r="L112" s="6"/>
      <c r="M112" s="6"/>
      <c r="N112" s="6"/>
      <c r="O112" s="6"/>
      <c r="P112" s="6"/>
      <c r="Q112" s="6"/>
      <c r="R112" s="6"/>
      <c r="S112" s="6"/>
      <c r="T112" s="6"/>
    </row>
    <row r="113" spans="4:20" x14ac:dyDescent="0.2">
      <c r="D113" s="6"/>
      <c r="E113" s="6"/>
      <c r="F113" s="6"/>
      <c r="G113" s="19"/>
      <c r="H113" s="19"/>
      <c r="I113" s="19"/>
      <c r="J113" s="19"/>
      <c r="K113" s="6"/>
      <c r="L113" s="6"/>
      <c r="M113" s="6"/>
      <c r="N113" s="6"/>
      <c r="O113" s="6"/>
      <c r="P113" s="6"/>
      <c r="Q113" s="6"/>
      <c r="R113" s="6"/>
      <c r="S113" s="6"/>
      <c r="T113" s="6"/>
    </row>
    <row r="114" spans="4:20" x14ac:dyDescent="0.2">
      <c r="D114" s="6"/>
      <c r="E114" s="6"/>
      <c r="F114" s="6"/>
      <c r="G114" s="19"/>
      <c r="H114" s="19"/>
      <c r="I114" s="19"/>
      <c r="J114" s="19"/>
      <c r="K114" s="6"/>
      <c r="L114" s="6"/>
      <c r="M114" s="6"/>
      <c r="N114" s="6"/>
      <c r="O114" s="6"/>
      <c r="P114" s="6"/>
      <c r="Q114" s="6"/>
      <c r="R114" s="6"/>
      <c r="S114" s="6"/>
      <c r="T114" s="6"/>
    </row>
    <row r="115" spans="4:20" x14ac:dyDescent="0.2">
      <c r="D115" s="6"/>
      <c r="E115" s="6"/>
      <c r="F115" s="6"/>
      <c r="G115" s="19"/>
      <c r="H115" s="19"/>
      <c r="I115" s="19"/>
      <c r="J115" s="19"/>
      <c r="K115" s="6"/>
      <c r="L115" s="6"/>
      <c r="M115" s="6"/>
      <c r="N115" s="6"/>
      <c r="O115" s="6"/>
      <c r="P115" s="6"/>
      <c r="Q115" s="6"/>
      <c r="R115" s="6"/>
      <c r="S115" s="6"/>
      <c r="T115" s="6"/>
    </row>
    <row r="116" spans="4:20" x14ac:dyDescent="0.2">
      <c r="D116" s="6"/>
      <c r="E116" s="6"/>
      <c r="F116" s="6"/>
      <c r="G116" s="19"/>
      <c r="H116" s="19"/>
      <c r="I116" s="19"/>
      <c r="J116" s="19"/>
      <c r="K116" s="6"/>
      <c r="L116" s="6"/>
      <c r="M116" s="6"/>
      <c r="N116" s="6"/>
      <c r="O116" s="6"/>
      <c r="P116" s="6"/>
      <c r="Q116" s="6"/>
      <c r="R116" s="6"/>
      <c r="S116" s="6"/>
      <c r="T116" s="6"/>
    </row>
    <row r="117" spans="4:20" x14ac:dyDescent="0.2">
      <c r="D117" s="6"/>
      <c r="E117" s="6"/>
      <c r="F117" s="6"/>
      <c r="G117" s="19"/>
      <c r="H117" s="19"/>
      <c r="I117" s="19"/>
      <c r="J117" s="19"/>
      <c r="K117" s="6"/>
      <c r="L117" s="6"/>
      <c r="M117" s="6"/>
      <c r="N117" s="6"/>
      <c r="O117" s="6"/>
      <c r="P117" s="6"/>
      <c r="Q117" s="6"/>
      <c r="R117" s="6"/>
      <c r="S117" s="6"/>
      <c r="T117" s="6"/>
    </row>
    <row r="118" spans="4:20" x14ac:dyDescent="0.2">
      <c r="D118" s="6"/>
      <c r="E118" s="6"/>
      <c r="F118" s="6"/>
      <c r="G118" s="19"/>
      <c r="H118" s="19"/>
      <c r="I118" s="19"/>
      <c r="J118" s="19"/>
      <c r="K118" s="6"/>
      <c r="L118" s="6"/>
      <c r="M118" s="6"/>
      <c r="N118" s="6"/>
      <c r="O118" s="6"/>
      <c r="P118" s="6"/>
      <c r="Q118" s="6"/>
      <c r="R118" s="6"/>
      <c r="S118" s="6"/>
      <c r="T118" s="6"/>
    </row>
    <row r="119" spans="4:20" x14ac:dyDescent="0.2">
      <c r="D119" s="6"/>
      <c r="E119" s="6"/>
      <c r="F119" s="6"/>
      <c r="G119" s="19"/>
      <c r="H119" s="19"/>
      <c r="I119" s="19"/>
      <c r="J119" s="19"/>
      <c r="K119" s="6"/>
      <c r="L119" s="6"/>
      <c r="M119" s="6"/>
      <c r="N119" s="6"/>
      <c r="O119" s="6"/>
      <c r="P119" s="6"/>
      <c r="Q119" s="6"/>
      <c r="R119" s="6"/>
      <c r="S119" s="6"/>
      <c r="T119" s="6"/>
    </row>
    <row r="120" spans="4:20" x14ac:dyDescent="0.2">
      <c r="D120" s="6"/>
      <c r="E120" s="6"/>
      <c r="F120" s="6"/>
      <c r="G120" s="19"/>
      <c r="H120" s="19"/>
      <c r="I120" s="19"/>
      <c r="J120" s="19"/>
      <c r="K120" s="6"/>
      <c r="L120" s="6"/>
      <c r="M120" s="6"/>
      <c r="N120" s="6"/>
      <c r="O120" s="6"/>
      <c r="P120" s="6"/>
      <c r="Q120" s="6"/>
      <c r="R120" s="6"/>
      <c r="S120" s="6"/>
      <c r="T120" s="6"/>
    </row>
    <row r="121" spans="4:20" x14ac:dyDescent="0.2">
      <c r="D121" s="6"/>
      <c r="E121" s="6"/>
      <c r="F121" s="6"/>
      <c r="G121" s="19"/>
      <c r="H121" s="19"/>
      <c r="I121" s="19"/>
      <c r="J121" s="19"/>
      <c r="K121" s="6"/>
      <c r="L121" s="6"/>
      <c r="M121" s="6"/>
      <c r="N121" s="6"/>
      <c r="O121" s="6"/>
      <c r="P121" s="6"/>
      <c r="Q121" s="6"/>
      <c r="R121" s="6"/>
      <c r="S121" s="6"/>
      <c r="T121" s="6"/>
    </row>
    <row r="122" spans="4:20" x14ac:dyDescent="0.2">
      <c r="D122" s="6"/>
      <c r="E122" s="6"/>
      <c r="F122" s="6"/>
      <c r="G122" s="19"/>
      <c r="H122" s="19"/>
      <c r="I122" s="19"/>
      <c r="J122" s="19"/>
      <c r="K122" s="6"/>
      <c r="L122" s="6"/>
      <c r="M122" s="6"/>
      <c r="N122" s="6"/>
      <c r="O122" s="6"/>
      <c r="P122" s="6"/>
      <c r="Q122" s="6"/>
      <c r="R122" s="6"/>
      <c r="S122" s="6"/>
      <c r="T122" s="6"/>
    </row>
    <row r="123" spans="4:20" x14ac:dyDescent="0.2">
      <c r="D123" s="6"/>
      <c r="E123" s="6"/>
      <c r="F123" s="6"/>
      <c r="G123" s="19"/>
      <c r="H123" s="19"/>
      <c r="I123" s="19"/>
      <c r="J123" s="19"/>
      <c r="K123" s="6"/>
      <c r="L123" s="6"/>
      <c r="M123" s="6"/>
      <c r="N123" s="6"/>
      <c r="O123" s="6"/>
      <c r="P123" s="6"/>
      <c r="Q123" s="6"/>
      <c r="R123" s="6"/>
      <c r="S123" s="6"/>
      <c r="T123" s="6"/>
    </row>
    <row r="124" spans="4:20" x14ac:dyDescent="0.2">
      <c r="D124" s="6"/>
      <c r="E124" s="6"/>
      <c r="F124" s="6"/>
      <c r="G124" s="19"/>
      <c r="H124" s="19"/>
      <c r="I124" s="19"/>
      <c r="J124" s="19"/>
      <c r="K124" s="6"/>
      <c r="L124" s="6"/>
      <c r="M124" s="6"/>
      <c r="N124" s="6"/>
      <c r="O124" s="6"/>
      <c r="P124" s="6"/>
      <c r="Q124" s="6"/>
      <c r="R124" s="6"/>
      <c r="S124" s="6"/>
      <c r="T124" s="6"/>
    </row>
    <row r="125" spans="4:20" x14ac:dyDescent="0.2">
      <c r="D125" s="6"/>
      <c r="E125" s="6"/>
      <c r="F125" s="6"/>
      <c r="G125" s="19"/>
      <c r="H125" s="19"/>
      <c r="I125" s="19"/>
      <c r="J125" s="19"/>
      <c r="K125" s="6"/>
      <c r="L125" s="6"/>
      <c r="M125" s="6"/>
      <c r="N125" s="6"/>
      <c r="O125" s="6"/>
      <c r="P125" s="6"/>
      <c r="Q125" s="6"/>
      <c r="R125" s="6"/>
      <c r="S125" s="6"/>
      <c r="T125" s="6"/>
    </row>
    <row r="126" spans="4:20" x14ac:dyDescent="0.2">
      <c r="D126" s="6"/>
      <c r="E126" s="6"/>
      <c r="F126" s="6"/>
      <c r="G126" s="19"/>
      <c r="H126" s="19"/>
      <c r="I126" s="19"/>
      <c r="J126" s="19"/>
      <c r="K126" s="6"/>
      <c r="L126" s="6"/>
      <c r="M126" s="6"/>
      <c r="N126" s="6"/>
      <c r="O126" s="6"/>
      <c r="P126" s="6"/>
      <c r="Q126" s="6"/>
      <c r="R126" s="6"/>
      <c r="S126" s="6"/>
      <c r="T126" s="6"/>
    </row>
    <row r="127" spans="4:20" x14ac:dyDescent="0.2">
      <c r="D127" s="6"/>
      <c r="E127" s="6"/>
      <c r="F127" s="6"/>
      <c r="G127" s="19"/>
      <c r="H127" s="19"/>
      <c r="I127" s="19"/>
      <c r="J127" s="19"/>
      <c r="K127" s="6"/>
      <c r="L127" s="6"/>
      <c r="M127" s="6"/>
      <c r="N127" s="6"/>
      <c r="O127" s="6"/>
      <c r="P127" s="6"/>
      <c r="Q127" s="6"/>
      <c r="R127" s="6"/>
      <c r="S127" s="6"/>
      <c r="T127" s="6"/>
    </row>
    <row r="128" spans="4:20" x14ac:dyDescent="0.2">
      <c r="D128" s="6"/>
      <c r="E128" s="6"/>
      <c r="F128" s="6"/>
      <c r="G128" s="19"/>
      <c r="H128" s="19"/>
      <c r="I128" s="19"/>
      <c r="J128" s="19"/>
      <c r="K128" s="6"/>
      <c r="L128" s="6"/>
      <c r="M128" s="6"/>
      <c r="N128" s="6"/>
      <c r="O128" s="6"/>
      <c r="P128" s="6"/>
      <c r="Q128" s="6"/>
      <c r="R128" s="6"/>
      <c r="S128" s="6"/>
      <c r="T128" s="6"/>
    </row>
    <row r="129" spans="4:20" x14ac:dyDescent="0.2">
      <c r="D129" s="6"/>
      <c r="E129" s="6"/>
      <c r="F129" s="6"/>
      <c r="G129" s="19"/>
      <c r="H129" s="19"/>
      <c r="I129" s="19"/>
      <c r="J129" s="19"/>
      <c r="K129" s="6"/>
      <c r="L129" s="6"/>
      <c r="M129" s="6"/>
      <c r="N129" s="6"/>
      <c r="O129" s="6"/>
      <c r="P129" s="6"/>
      <c r="Q129" s="6"/>
      <c r="R129" s="6"/>
      <c r="S129" s="6"/>
      <c r="T129" s="6"/>
    </row>
    <row r="130" spans="4:20" x14ac:dyDescent="0.2">
      <c r="D130" s="6"/>
      <c r="E130" s="6"/>
      <c r="F130" s="6"/>
      <c r="G130" s="19"/>
      <c r="H130" s="19"/>
      <c r="I130" s="19"/>
      <c r="J130" s="19"/>
      <c r="K130" s="6"/>
      <c r="L130" s="6"/>
      <c r="M130" s="6"/>
      <c r="N130" s="6"/>
      <c r="O130" s="6"/>
      <c r="P130" s="6"/>
      <c r="Q130" s="6"/>
      <c r="R130" s="6"/>
      <c r="S130" s="6"/>
      <c r="T130" s="6"/>
    </row>
    <row r="131" spans="4:20" x14ac:dyDescent="0.2">
      <c r="D131" s="6"/>
      <c r="E131" s="6"/>
      <c r="F131" s="6"/>
      <c r="G131" s="19"/>
      <c r="H131" s="19"/>
      <c r="I131" s="19"/>
      <c r="J131" s="19"/>
      <c r="K131" s="6"/>
      <c r="L131" s="6"/>
      <c r="M131" s="6"/>
      <c r="N131" s="6"/>
      <c r="O131" s="6"/>
      <c r="P131" s="6"/>
      <c r="Q131" s="6"/>
      <c r="R131" s="6"/>
      <c r="S131" s="6"/>
      <c r="T131" s="6"/>
    </row>
    <row r="132" spans="4:20" x14ac:dyDescent="0.2">
      <c r="D132" s="6"/>
      <c r="E132" s="6"/>
      <c r="F132" s="6"/>
      <c r="G132" s="19"/>
      <c r="H132" s="19"/>
      <c r="I132" s="19"/>
      <c r="J132" s="19"/>
      <c r="K132" s="6"/>
      <c r="L132" s="6"/>
      <c r="M132" s="6"/>
      <c r="N132" s="6"/>
      <c r="O132" s="6"/>
      <c r="P132" s="6"/>
      <c r="Q132" s="6"/>
      <c r="R132" s="6"/>
      <c r="S132" s="6"/>
      <c r="T132" s="6"/>
    </row>
    <row r="133" spans="4:20" x14ac:dyDescent="0.2">
      <c r="D133" s="6"/>
      <c r="E133" s="6"/>
      <c r="F133" s="6"/>
      <c r="G133" s="19"/>
      <c r="H133" s="19"/>
      <c r="I133" s="19"/>
      <c r="J133" s="19"/>
      <c r="K133" s="6"/>
      <c r="L133" s="6"/>
      <c r="M133" s="6"/>
      <c r="N133" s="6"/>
      <c r="O133" s="6"/>
      <c r="P133" s="6"/>
      <c r="Q133" s="6"/>
      <c r="R133" s="6"/>
      <c r="S133" s="6"/>
      <c r="T133" s="6"/>
    </row>
    <row r="134" spans="4:20" x14ac:dyDescent="0.2">
      <c r="D134" s="6"/>
      <c r="E134" s="6"/>
      <c r="F134" s="6"/>
      <c r="G134" s="19"/>
      <c r="H134" s="19"/>
      <c r="I134" s="19"/>
      <c r="J134" s="19"/>
      <c r="K134" s="6"/>
      <c r="L134" s="6"/>
      <c r="M134" s="6"/>
      <c r="N134" s="6"/>
      <c r="O134" s="6"/>
      <c r="P134" s="6"/>
      <c r="Q134" s="6"/>
      <c r="R134" s="6"/>
      <c r="S134" s="6"/>
      <c r="T134" s="6"/>
    </row>
    <row r="135" spans="4:20" x14ac:dyDescent="0.2">
      <c r="D135" s="6"/>
      <c r="E135" s="6"/>
      <c r="F135" s="6"/>
      <c r="G135" s="19"/>
      <c r="H135" s="19"/>
      <c r="I135" s="19"/>
      <c r="J135" s="19"/>
      <c r="K135" s="6"/>
      <c r="L135" s="6"/>
      <c r="M135" s="6"/>
      <c r="N135" s="6"/>
      <c r="O135" s="6"/>
      <c r="P135" s="6"/>
      <c r="Q135" s="6"/>
      <c r="R135" s="6"/>
      <c r="S135" s="6"/>
      <c r="T135" s="6"/>
    </row>
    <row r="136" spans="4:20" x14ac:dyDescent="0.2">
      <c r="D136" s="6"/>
      <c r="E136" s="6"/>
      <c r="F136" s="6"/>
      <c r="G136" s="19"/>
      <c r="H136" s="19"/>
      <c r="I136" s="19"/>
      <c r="J136" s="19"/>
      <c r="K136" s="6"/>
      <c r="L136" s="6"/>
      <c r="M136" s="6"/>
      <c r="N136" s="6"/>
      <c r="O136" s="6"/>
      <c r="P136" s="6"/>
      <c r="Q136" s="6"/>
      <c r="R136" s="6"/>
      <c r="S136" s="6"/>
      <c r="T136" s="6"/>
    </row>
    <row r="137" spans="4:20" x14ac:dyDescent="0.2">
      <c r="D137" s="6"/>
      <c r="E137" s="6"/>
      <c r="F137" s="6"/>
      <c r="G137" s="19"/>
      <c r="H137" s="19"/>
      <c r="I137" s="19"/>
      <c r="J137" s="19"/>
      <c r="K137" s="6"/>
      <c r="L137" s="6"/>
      <c r="M137" s="6"/>
      <c r="N137" s="6"/>
      <c r="O137" s="6"/>
      <c r="P137" s="6"/>
      <c r="Q137" s="6"/>
      <c r="R137" s="6"/>
      <c r="S137" s="6"/>
      <c r="T137" s="6"/>
    </row>
    <row r="138" spans="4:20" x14ac:dyDescent="0.2">
      <c r="D138" s="6"/>
      <c r="E138" s="6"/>
      <c r="F138" s="6"/>
      <c r="G138" s="19"/>
      <c r="H138" s="19"/>
      <c r="I138" s="19"/>
      <c r="J138" s="19"/>
      <c r="K138" s="6"/>
      <c r="L138" s="6"/>
      <c r="M138" s="6"/>
      <c r="N138" s="6"/>
      <c r="O138" s="6"/>
      <c r="P138" s="6"/>
      <c r="Q138" s="6"/>
      <c r="R138" s="6"/>
      <c r="S138" s="6"/>
      <c r="T138" s="6"/>
    </row>
    <row r="139" spans="4:20" x14ac:dyDescent="0.2">
      <c r="D139" s="6"/>
      <c r="E139" s="6"/>
      <c r="F139" s="6"/>
      <c r="G139" s="19"/>
      <c r="H139" s="19"/>
      <c r="I139" s="19"/>
      <c r="J139" s="19"/>
      <c r="K139" s="6"/>
      <c r="L139" s="6"/>
      <c r="M139" s="6"/>
      <c r="N139" s="6"/>
      <c r="O139" s="6"/>
      <c r="P139" s="6"/>
      <c r="Q139" s="6"/>
      <c r="R139" s="6"/>
      <c r="S139" s="6"/>
      <c r="T139" s="6"/>
    </row>
    <row r="140" spans="4:20" x14ac:dyDescent="0.2">
      <c r="D140" s="6"/>
      <c r="E140" s="6"/>
      <c r="F140" s="6"/>
      <c r="G140" s="19"/>
      <c r="H140" s="19"/>
      <c r="I140" s="19"/>
      <c r="J140" s="19"/>
      <c r="K140" s="6"/>
      <c r="L140" s="6"/>
      <c r="M140" s="6"/>
      <c r="N140" s="6"/>
      <c r="O140" s="6"/>
      <c r="P140" s="6"/>
      <c r="Q140" s="6"/>
      <c r="R140" s="6"/>
      <c r="S140" s="6"/>
      <c r="T140" s="6"/>
    </row>
    <row r="141" spans="4:20" x14ac:dyDescent="0.2">
      <c r="D141" s="6"/>
      <c r="E141" s="6"/>
      <c r="F141" s="6"/>
      <c r="G141" s="19"/>
      <c r="H141" s="19"/>
      <c r="I141" s="19"/>
      <c r="J141" s="19"/>
      <c r="K141" s="6"/>
      <c r="L141" s="6"/>
      <c r="M141" s="6"/>
      <c r="N141" s="6"/>
      <c r="O141" s="6"/>
      <c r="P141" s="6"/>
      <c r="Q141" s="6"/>
      <c r="R141" s="6"/>
      <c r="S141" s="6"/>
      <c r="T141" s="6"/>
    </row>
    <row r="142" spans="4:20" x14ac:dyDescent="0.2">
      <c r="D142" s="6"/>
      <c r="E142" s="6"/>
      <c r="F142" s="6"/>
      <c r="G142" s="19"/>
      <c r="H142" s="19"/>
      <c r="I142" s="19"/>
      <c r="J142" s="19"/>
      <c r="K142" s="6"/>
      <c r="L142" s="6"/>
      <c r="M142" s="6"/>
      <c r="N142" s="6"/>
      <c r="O142" s="6"/>
      <c r="P142" s="6"/>
      <c r="Q142" s="6"/>
      <c r="R142" s="6"/>
      <c r="S142" s="6"/>
      <c r="T142" s="6"/>
    </row>
    <row r="143" spans="4:20" x14ac:dyDescent="0.2">
      <c r="D143" s="6"/>
      <c r="E143" s="6"/>
      <c r="F143" s="6"/>
      <c r="G143" s="19"/>
      <c r="H143" s="19"/>
      <c r="I143" s="19"/>
      <c r="J143" s="19"/>
      <c r="K143" s="6"/>
      <c r="L143" s="6"/>
      <c r="M143" s="6"/>
      <c r="N143" s="6"/>
      <c r="O143" s="6"/>
      <c r="P143" s="6"/>
      <c r="Q143" s="6"/>
      <c r="R143" s="6"/>
      <c r="S143" s="6"/>
      <c r="T143" s="6"/>
    </row>
    <row r="144" spans="4:20" x14ac:dyDescent="0.2">
      <c r="D144" s="6"/>
      <c r="E144" s="6"/>
      <c r="F144" s="6"/>
      <c r="G144" s="19"/>
      <c r="H144" s="19"/>
      <c r="I144" s="19"/>
      <c r="J144" s="19"/>
      <c r="K144" s="6"/>
      <c r="L144" s="6"/>
      <c r="M144" s="6"/>
      <c r="N144" s="6"/>
      <c r="O144" s="6"/>
      <c r="P144" s="6"/>
      <c r="Q144" s="6"/>
      <c r="R144" s="6"/>
      <c r="S144" s="6"/>
      <c r="T144" s="6"/>
    </row>
    <row r="145" spans="4:20" x14ac:dyDescent="0.2">
      <c r="D145" s="6"/>
      <c r="E145" s="6"/>
      <c r="F145" s="6"/>
      <c r="G145" s="19"/>
      <c r="H145" s="19"/>
      <c r="I145" s="19"/>
      <c r="J145" s="19"/>
      <c r="K145" s="6"/>
      <c r="L145" s="6"/>
      <c r="M145" s="6"/>
      <c r="N145" s="6"/>
      <c r="O145" s="6"/>
      <c r="P145" s="6"/>
      <c r="Q145" s="6"/>
      <c r="R145" s="6"/>
      <c r="S145" s="6"/>
      <c r="T145" s="6"/>
    </row>
    <row r="146" spans="4:20" x14ac:dyDescent="0.2">
      <c r="D146" s="6"/>
      <c r="E146" s="6"/>
      <c r="F146" s="6"/>
      <c r="G146" s="19"/>
      <c r="H146" s="19"/>
      <c r="I146" s="19"/>
      <c r="J146" s="19"/>
      <c r="K146" s="6"/>
      <c r="L146" s="6"/>
      <c r="M146" s="6"/>
      <c r="N146" s="6"/>
      <c r="O146" s="6"/>
      <c r="P146" s="6"/>
      <c r="Q146" s="6"/>
      <c r="R146" s="6"/>
      <c r="S146" s="6"/>
      <c r="T146" s="6"/>
    </row>
    <row r="147" spans="4:20" x14ac:dyDescent="0.2">
      <c r="D147" s="6"/>
      <c r="E147" s="6"/>
      <c r="F147" s="6"/>
      <c r="G147" s="19"/>
      <c r="H147" s="19"/>
      <c r="I147" s="19"/>
      <c r="J147" s="19"/>
      <c r="K147" s="6"/>
      <c r="L147" s="6"/>
      <c r="M147" s="6"/>
      <c r="N147" s="6"/>
      <c r="O147" s="6"/>
      <c r="P147" s="6"/>
      <c r="Q147" s="6"/>
      <c r="R147" s="6"/>
      <c r="S147" s="6"/>
      <c r="T147" s="6"/>
    </row>
    <row r="148" spans="4:20" x14ac:dyDescent="0.2">
      <c r="D148" s="6"/>
      <c r="E148" s="6"/>
      <c r="F148" s="6"/>
      <c r="G148" s="19"/>
      <c r="H148" s="19"/>
      <c r="I148" s="19"/>
      <c r="J148" s="19"/>
      <c r="K148" s="6"/>
      <c r="L148" s="6"/>
      <c r="M148" s="6"/>
      <c r="N148" s="6"/>
      <c r="O148" s="6"/>
      <c r="P148" s="6"/>
      <c r="Q148" s="6"/>
      <c r="R148" s="6"/>
      <c r="S148" s="6"/>
      <c r="T148" s="6"/>
    </row>
    <row r="149" spans="4:20" x14ac:dyDescent="0.2">
      <c r="D149" s="6"/>
      <c r="E149" s="6"/>
      <c r="F149" s="6"/>
      <c r="G149" s="19"/>
      <c r="H149" s="19"/>
      <c r="I149" s="19"/>
      <c r="J149" s="19"/>
      <c r="K149" s="6"/>
      <c r="L149" s="6"/>
      <c r="M149" s="6"/>
      <c r="N149" s="6"/>
      <c r="O149" s="6"/>
      <c r="P149" s="6"/>
      <c r="Q149" s="6"/>
      <c r="R149" s="6"/>
      <c r="S149" s="6"/>
      <c r="T149" s="6"/>
    </row>
    <row r="150" spans="4:20" x14ac:dyDescent="0.2">
      <c r="D150" s="6"/>
      <c r="E150" s="6"/>
      <c r="F150" s="6"/>
      <c r="G150" s="19"/>
      <c r="H150" s="19"/>
      <c r="I150" s="19"/>
      <c r="J150" s="19"/>
      <c r="K150" s="6"/>
      <c r="L150" s="6"/>
      <c r="M150" s="6"/>
      <c r="N150" s="6"/>
      <c r="O150" s="6"/>
      <c r="P150" s="6"/>
      <c r="Q150" s="6"/>
      <c r="R150" s="6"/>
      <c r="S150" s="6"/>
      <c r="T150" s="6"/>
    </row>
    <row r="151" spans="4:20" x14ac:dyDescent="0.2">
      <c r="D151" s="6"/>
      <c r="E151" s="6"/>
      <c r="F151" s="6"/>
      <c r="G151" s="19"/>
      <c r="H151" s="19"/>
      <c r="I151" s="19"/>
      <c r="J151" s="19"/>
      <c r="K151" s="6"/>
      <c r="L151" s="6"/>
      <c r="M151" s="6"/>
      <c r="N151" s="6"/>
      <c r="O151" s="6"/>
      <c r="P151" s="6"/>
      <c r="Q151" s="6"/>
      <c r="R151" s="6"/>
      <c r="S151" s="6"/>
      <c r="T151" s="6"/>
    </row>
    <row r="152" spans="4:20" x14ac:dyDescent="0.2">
      <c r="D152" s="6"/>
      <c r="E152" s="6"/>
      <c r="F152" s="6"/>
      <c r="G152" s="19"/>
      <c r="H152" s="19"/>
      <c r="I152" s="19"/>
      <c r="J152" s="19"/>
      <c r="K152" s="6"/>
      <c r="L152" s="6"/>
      <c r="M152" s="6"/>
      <c r="N152" s="6"/>
      <c r="O152" s="6"/>
      <c r="P152" s="6"/>
      <c r="Q152" s="6"/>
      <c r="R152" s="6"/>
      <c r="S152" s="6"/>
      <c r="T152" s="6"/>
    </row>
    <row r="153" spans="4:20" x14ac:dyDescent="0.2">
      <c r="D153" s="6"/>
      <c r="E153" s="6"/>
      <c r="F153" s="6"/>
      <c r="G153" s="19"/>
      <c r="H153" s="19"/>
      <c r="I153" s="19"/>
      <c r="J153" s="19"/>
      <c r="K153" s="6"/>
      <c r="L153" s="6"/>
      <c r="M153" s="6"/>
      <c r="N153" s="6"/>
      <c r="O153" s="6"/>
      <c r="P153" s="6"/>
      <c r="Q153" s="6"/>
      <c r="R153" s="6"/>
      <c r="S153" s="6"/>
      <c r="T153" s="6"/>
    </row>
    <row r="154" spans="4:20" x14ac:dyDescent="0.2">
      <c r="D154" s="6"/>
      <c r="E154" s="6"/>
      <c r="F154" s="6"/>
      <c r="G154" s="19"/>
      <c r="H154" s="19"/>
      <c r="I154" s="19"/>
      <c r="J154" s="19"/>
      <c r="K154" s="6"/>
      <c r="L154" s="6"/>
      <c r="M154" s="6"/>
      <c r="N154" s="6"/>
      <c r="O154" s="6"/>
      <c r="P154" s="6"/>
      <c r="Q154" s="6"/>
      <c r="R154" s="6"/>
      <c r="S154" s="6"/>
      <c r="T154" s="6"/>
    </row>
    <row r="155" spans="4:20" x14ac:dyDescent="0.2">
      <c r="D155" s="6"/>
      <c r="E155" s="6"/>
      <c r="F155" s="6"/>
      <c r="G155" s="19"/>
      <c r="H155" s="19"/>
      <c r="I155" s="19"/>
      <c r="J155" s="19"/>
      <c r="K155" s="6"/>
      <c r="L155" s="6"/>
      <c r="M155" s="6"/>
      <c r="N155" s="6"/>
      <c r="O155" s="6"/>
      <c r="P155" s="6"/>
      <c r="Q155" s="6"/>
      <c r="R155" s="6"/>
      <c r="S155" s="6"/>
      <c r="T155" s="6"/>
    </row>
    <row r="156" spans="4:20" x14ac:dyDescent="0.2">
      <c r="D156" s="6"/>
      <c r="E156" s="6"/>
      <c r="F156" s="6"/>
      <c r="G156" s="19"/>
      <c r="H156" s="19"/>
      <c r="I156" s="19"/>
      <c r="J156" s="19"/>
      <c r="K156" s="6"/>
      <c r="L156" s="6"/>
      <c r="M156" s="6"/>
      <c r="N156" s="6"/>
      <c r="O156" s="6"/>
      <c r="P156" s="6"/>
      <c r="Q156" s="6"/>
      <c r="R156" s="6"/>
      <c r="S156" s="6"/>
      <c r="T156" s="6"/>
    </row>
    <row r="157" spans="4:20" x14ac:dyDescent="0.2">
      <c r="D157" s="6"/>
      <c r="E157" s="6"/>
      <c r="F157" s="6"/>
      <c r="G157" s="19"/>
      <c r="H157" s="19"/>
      <c r="I157" s="19"/>
      <c r="J157" s="19"/>
      <c r="K157" s="6"/>
      <c r="L157" s="6"/>
      <c r="M157" s="6"/>
      <c r="N157" s="6"/>
      <c r="O157" s="6"/>
      <c r="P157" s="6"/>
      <c r="Q157" s="6"/>
      <c r="R157" s="6"/>
      <c r="S157" s="6"/>
      <c r="T157" s="6"/>
    </row>
    <row r="158" spans="4:20" x14ac:dyDescent="0.2">
      <c r="D158" s="6"/>
      <c r="E158" s="6"/>
      <c r="F158" s="6"/>
      <c r="G158" s="19"/>
      <c r="H158" s="19"/>
      <c r="I158" s="19"/>
      <c r="J158" s="19"/>
      <c r="K158" s="6"/>
      <c r="L158" s="6"/>
      <c r="M158" s="6"/>
      <c r="N158" s="6"/>
      <c r="O158" s="6"/>
      <c r="P158" s="6"/>
      <c r="Q158" s="6"/>
      <c r="R158" s="6"/>
      <c r="S158" s="6"/>
      <c r="T158" s="6"/>
    </row>
    <row r="159" spans="4:20" x14ac:dyDescent="0.2">
      <c r="D159" s="6"/>
      <c r="E159" s="6"/>
      <c r="F159" s="6"/>
      <c r="G159" s="19"/>
      <c r="H159" s="19"/>
      <c r="I159" s="19"/>
      <c r="J159" s="19"/>
      <c r="K159" s="6"/>
      <c r="L159" s="6"/>
      <c r="M159" s="6"/>
      <c r="N159" s="6"/>
      <c r="O159" s="6"/>
      <c r="P159" s="6"/>
      <c r="Q159" s="6"/>
      <c r="R159" s="6"/>
      <c r="S159" s="6"/>
      <c r="T159" s="6"/>
    </row>
    <row r="160" spans="4:20" x14ac:dyDescent="0.2">
      <c r="D160" s="6"/>
      <c r="E160" s="6"/>
      <c r="F160" s="6"/>
      <c r="G160" s="19"/>
      <c r="H160" s="19"/>
      <c r="I160" s="19"/>
      <c r="J160" s="19"/>
      <c r="K160" s="6"/>
      <c r="L160" s="6"/>
      <c r="M160" s="6"/>
      <c r="N160" s="6"/>
      <c r="O160" s="6"/>
      <c r="P160" s="6"/>
      <c r="Q160" s="6"/>
      <c r="R160" s="6"/>
      <c r="S160" s="6"/>
      <c r="T160" s="6"/>
    </row>
    <row r="161" spans="4:20" x14ac:dyDescent="0.2">
      <c r="D161" s="6"/>
      <c r="E161" s="6"/>
      <c r="F161" s="6"/>
      <c r="G161" s="19"/>
      <c r="H161" s="19"/>
      <c r="I161" s="19"/>
      <c r="J161" s="19"/>
      <c r="K161" s="6"/>
      <c r="L161" s="6"/>
      <c r="M161" s="6"/>
      <c r="N161" s="6"/>
      <c r="O161" s="6"/>
      <c r="P161" s="6"/>
      <c r="Q161" s="6"/>
      <c r="R161" s="6"/>
      <c r="S161" s="6"/>
      <c r="T161" s="6"/>
    </row>
    <row r="162" spans="4:20" x14ac:dyDescent="0.2">
      <c r="D162" s="6"/>
      <c r="E162" s="6"/>
      <c r="F162" s="6"/>
      <c r="G162" s="19"/>
      <c r="H162" s="19"/>
      <c r="I162" s="19"/>
      <c r="J162" s="19"/>
      <c r="K162" s="6"/>
      <c r="L162" s="6"/>
      <c r="M162" s="6"/>
      <c r="N162" s="6"/>
      <c r="O162" s="6"/>
      <c r="P162" s="6"/>
      <c r="Q162" s="6"/>
      <c r="R162" s="6"/>
      <c r="S162" s="6"/>
      <c r="T162" s="6"/>
    </row>
    <row r="163" spans="4:20" x14ac:dyDescent="0.2">
      <c r="D163" s="6"/>
      <c r="E163" s="6"/>
      <c r="F163" s="6"/>
      <c r="G163" s="19"/>
      <c r="H163" s="19"/>
      <c r="I163" s="19"/>
      <c r="J163" s="19"/>
      <c r="K163" s="6"/>
      <c r="L163" s="6"/>
      <c r="M163" s="6"/>
      <c r="N163" s="6"/>
      <c r="O163" s="6"/>
      <c r="P163" s="6"/>
      <c r="Q163" s="6"/>
      <c r="R163" s="6"/>
      <c r="S163" s="6"/>
      <c r="T163" s="6"/>
    </row>
    <row r="164" spans="4:20" x14ac:dyDescent="0.2">
      <c r="D164" s="6"/>
      <c r="E164" s="6"/>
      <c r="F164" s="6"/>
      <c r="G164" s="19"/>
      <c r="H164" s="19"/>
      <c r="I164" s="19"/>
      <c r="J164" s="19"/>
      <c r="K164" s="6"/>
      <c r="L164" s="6"/>
      <c r="M164" s="6"/>
      <c r="N164" s="6"/>
      <c r="O164" s="6"/>
      <c r="P164" s="6"/>
      <c r="Q164" s="6"/>
      <c r="R164" s="6"/>
      <c r="S164" s="6"/>
      <c r="T164" s="6"/>
    </row>
    <row r="165" spans="4:20" x14ac:dyDescent="0.2">
      <c r="D165" s="6"/>
      <c r="E165" s="6"/>
      <c r="F165" s="6"/>
      <c r="G165" s="19"/>
      <c r="H165" s="19"/>
      <c r="I165" s="19"/>
      <c r="J165" s="19"/>
      <c r="K165" s="6"/>
      <c r="L165" s="6"/>
      <c r="M165" s="6"/>
      <c r="N165" s="6"/>
      <c r="O165" s="6"/>
      <c r="P165" s="6"/>
      <c r="Q165" s="6"/>
      <c r="R165" s="6"/>
      <c r="S165" s="6"/>
      <c r="T165" s="6"/>
    </row>
    <row r="166" spans="4:20" x14ac:dyDescent="0.2">
      <c r="D166" s="6"/>
      <c r="E166" s="6"/>
      <c r="F166" s="6"/>
      <c r="G166" s="19"/>
      <c r="H166" s="19"/>
      <c r="I166" s="19"/>
      <c r="J166" s="19"/>
      <c r="K166" s="6"/>
      <c r="L166" s="6"/>
      <c r="M166" s="6"/>
      <c r="N166" s="6"/>
      <c r="O166" s="6"/>
      <c r="P166" s="6"/>
      <c r="Q166" s="6"/>
      <c r="R166" s="6"/>
      <c r="S166" s="6"/>
      <c r="T166" s="6"/>
    </row>
    <row r="167" spans="4:20" x14ac:dyDescent="0.2">
      <c r="D167" s="6"/>
      <c r="E167" s="6"/>
      <c r="F167" s="6"/>
      <c r="G167" s="19"/>
      <c r="H167" s="19"/>
      <c r="I167" s="19"/>
      <c r="J167" s="19"/>
      <c r="K167" s="6"/>
      <c r="L167" s="6"/>
      <c r="M167" s="6"/>
      <c r="N167" s="6"/>
      <c r="O167" s="6"/>
      <c r="P167" s="6"/>
      <c r="Q167" s="6"/>
      <c r="R167" s="6"/>
      <c r="S167" s="6"/>
      <c r="T167" s="6"/>
    </row>
    <row r="168" spans="4:20" x14ac:dyDescent="0.2">
      <c r="D168" s="6"/>
      <c r="E168" s="6"/>
      <c r="F168" s="6"/>
      <c r="G168" s="19"/>
      <c r="H168" s="19"/>
      <c r="I168" s="19"/>
      <c r="J168" s="19"/>
      <c r="K168" s="6"/>
      <c r="L168" s="6"/>
      <c r="M168" s="6"/>
      <c r="N168" s="6"/>
      <c r="O168" s="6"/>
      <c r="P168" s="6"/>
      <c r="Q168" s="6"/>
      <c r="R168" s="6"/>
      <c r="S168" s="6"/>
      <c r="T168" s="6"/>
    </row>
    <row r="169" spans="4:20" x14ac:dyDescent="0.2">
      <c r="D169" s="6"/>
      <c r="E169" s="6"/>
      <c r="F169" s="6"/>
      <c r="G169" s="19"/>
      <c r="H169" s="19"/>
      <c r="I169" s="19"/>
      <c r="J169" s="19"/>
      <c r="K169" s="6"/>
      <c r="L169" s="6"/>
      <c r="M169" s="6"/>
      <c r="N169" s="6"/>
      <c r="O169" s="6"/>
      <c r="P169" s="6"/>
      <c r="Q169" s="6"/>
      <c r="R169" s="6"/>
      <c r="S169" s="6"/>
      <c r="T169" s="6"/>
    </row>
    <row r="170" spans="4:20" x14ac:dyDescent="0.2">
      <c r="D170" s="6"/>
      <c r="E170" s="6"/>
      <c r="F170" s="6"/>
      <c r="G170" s="19"/>
      <c r="H170" s="19"/>
      <c r="I170" s="19"/>
      <c r="J170" s="19"/>
      <c r="K170" s="6"/>
      <c r="L170" s="6"/>
      <c r="M170" s="6"/>
      <c r="N170" s="6"/>
      <c r="O170" s="6"/>
      <c r="P170" s="6"/>
      <c r="Q170" s="6"/>
      <c r="R170" s="6"/>
      <c r="S170" s="6"/>
      <c r="T170" s="6"/>
    </row>
    <row r="171" spans="4:20" x14ac:dyDescent="0.2">
      <c r="D171" s="6"/>
      <c r="E171" s="6"/>
      <c r="F171" s="6"/>
      <c r="G171" s="19"/>
      <c r="H171" s="19"/>
      <c r="I171" s="19"/>
      <c r="J171" s="19"/>
      <c r="K171" s="6"/>
      <c r="L171" s="6"/>
      <c r="M171" s="6"/>
      <c r="N171" s="6"/>
      <c r="O171" s="6"/>
      <c r="P171" s="6"/>
      <c r="Q171" s="6"/>
      <c r="R171" s="6"/>
      <c r="S171" s="6"/>
      <c r="T171" s="6"/>
    </row>
    <row r="172" spans="4:20" x14ac:dyDescent="0.2">
      <c r="D172" s="6"/>
      <c r="E172" s="6"/>
      <c r="F172" s="6"/>
      <c r="G172" s="19"/>
      <c r="H172" s="19"/>
      <c r="I172" s="19"/>
      <c r="J172" s="19"/>
      <c r="K172" s="6"/>
      <c r="L172" s="6"/>
      <c r="M172" s="6"/>
      <c r="N172" s="6"/>
      <c r="O172" s="6"/>
      <c r="P172" s="6"/>
      <c r="Q172" s="6"/>
      <c r="R172" s="6"/>
      <c r="S172" s="6"/>
      <c r="T172" s="6"/>
    </row>
    <row r="173" spans="4:20" x14ac:dyDescent="0.2">
      <c r="D173" s="6"/>
      <c r="E173" s="6"/>
      <c r="F173" s="6"/>
      <c r="G173" s="19"/>
      <c r="H173" s="19"/>
      <c r="I173" s="19"/>
      <c r="J173" s="19"/>
      <c r="K173" s="6"/>
      <c r="L173" s="6"/>
      <c r="M173" s="6"/>
      <c r="N173" s="6"/>
      <c r="O173" s="6"/>
      <c r="P173" s="6"/>
      <c r="Q173" s="6"/>
      <c r="R173" s="6"/>
      <c r="S173" s="6"/>
      <c r="T173" s="6"/>
    </row>
    <row r="174" spans="4:20" x14ac:dyDescent="0.2">
      <c r="D174" s="6"/>
      <c r="E174" s="6"/>
      <c r="F174" s="6"/>
      <c r="G174" s="19"/>
      <c r="H174" s="19"/>
      <c r="I174" s="19"/>
      <c r="J174" s="19"/>
      <c r="K174" s="6"/>
      <c r="L174" s="6"/>
      <c r="M174" s="6"/>
      <c r="N174" s="6"/>
      <c r="O174" s="6"/>
      <c r="P174" s="6"/>
      <c r="Q174" s="6"/>
      <c r="R174" s="6"/>
      <c r="S174" s="6"/>
      <c r="T174" s="6"/>
    </row>
    <row r="175" spans="4:20" x14ac:dyDescent="0.2">
      <c r="D175" s="6"/>
      <c r="E175" s="6"/>
      <c r="F175" s="6"/>
      <c r="G175" s="19"/>
      <c r="H175" s="19"/>
      <c r="I175" s="19"/>
      <c r="J175" s="19"/>
      <c r="K175" s="6"/>
      <c r="L175" s="6"/>
      <c r="M175" s="6"/>
      <c r="N175" s="6"/>
      <c r="O175" s="6"/>
      <c r="P175" s="6"/>
      <c r="Q175" s="6"/>
      <c r="R175" s="6"/>
      <c r="S175" s="6"/>
      <c r="T175" s="6"/>
    </row>
    <row r="176" spans="4:20" x14ac:dyDescent="0.2">
      <c r="D176" s="6"/>
      <c r="E176" s="6"/>
      <c r="F176" s="6"/>
      <c r="G176" s="19"/>
      <c r="H176" s="19"/>
      <c r="I176" s="19"/>
      <c r="J176" s="19"/>
      <c r="K176" s="6"/>
      <c r="L176" s="6"/>
      <c r="M176" s="6"/>
      <c r="N176" s="6"/>
      <c r="O176" s="6"/>
      <c r="P176" s="6"/>
      <c r="Q176" s="6"/>
      <c r="R176" s="6"/>
      <c r="S176" s="6"/>
      <c r="T176" s="6"/>
    </row>
    <row r="177" spans="4:20" x14ac:dyDescent="0.2">
      <c r="D177" s="6"/>
      <c r="E177" s="6"/>
      <c r="F177" s="6"/>
      <c r="G177" s="19"/>
      <c r="H177" s="19"/>
      <c r="I177" s="19"/>
      <c r="J177" s="19"/>
      <c r="K177" s="6"/>
      <c r="L177" s="6"/>
      <c r="M177" s="6"/>
      <c r="N177" s="6"/>
      <c r="O177" s="6"/>
      <c r="P177" s="6"/>
      <c r="Q177" s="6"/>
      <c r="R177" s="6"/>
      <c r="S177" s="6"/>
      <c r="T177" s="6"/>
    </row>
    <row r="178" spans="4:20" x14ac:dyDescent="0.2">
      <c r="D178" s="6"/>
      <c r="E178" s="6"/>
      <c r="F178" s="6"/>
      <c r="G178" s="19"/>
      <c r="H178" s="19"/>
      <c r="I178" s="19"/>
      <c r="J178" s="19"/>
      <c r="K178" s="6"/>
      <c r="L178" s="6"/>
      <c r="M178" s="6"/>
      <c r="N178" s="6"/>
      <c r="O178" s="6"/>
      <c r="P178" s="6"/>
      <c r="Q178" s="6"/>
      <c r="R178" s="6"/>
      <c r="S178" s="6"/>
      <c r="T178" s="6"/>
    </row>
    <row r="179" spans="4:20" x14ac:dyDescent="0.2">
      <c r="D179" s="6"/>
      <c r="E179" s="6"/>
      <c r="F179" s="6"/>
      <c r="G179" s="19"/>
      <c r="H179" s="19"/>
      <c r="I179" s="19"/>
      <c r="J179" s="19"/>
      <c r="K179" s="6"/>
      <c r="L179" s="6"/>
      <c r="M179" s="6"/>
      <c r="N179" s="6"/>
      <c r="O179" s="6"/>
      <c r="P179" s="6"/>
      <c r="Q179" s="6"/>
      <c r="R179" s="6"/>
      <c r="S179" s="6"/>
      <c r="T179" s="6"/>
    </row>
    <row r="180" spans="4:20" x14ac:dyDescent="0.2">
      <c r="D180" s="6"/>
      <c r="E180" s="6"/>
      <c r="F180" s="6"/>
      <c r="G180" s="19"/>
      <c r="H180" s="19"/>
      <c r="I180" s="19"/>
      <c r="J180" s="19"/>
      <c r="K180" s="6"/>
      <c r="L180" s="6"/>
      <c r="M180" s="6"/>
      <c r="N180" s="6"/>
      <c r="O180" s="6"/>
      <c r="P180" s="6"/>
      <c r="Q180" s="6"/>
      <c r="R180" s="6"/>
      <c r="S180" s="6"/>
      <c r="T180" s="6"/>
    </row>
    <row r="181" spans="4:20" x14ac:dyDescent="0.2">
      <c r="D181" s="6"/>
      <c r="E181" s="6"/>
      <c r="F181" s="6"/>
      <c r="G181" s="19"/>
      <c r="H181" s="19"/>
      <c r="I181" s="19"/>
      <c r="J181" s="19"/>
      <c r="K181" s="6"/>
      <c r="L181" s="6"/>
      <c r="M181" s="6"/>
      <c r="N181" s="6"/>
      <c r="O181" s="6"/>
      <c r="P181" s="6"/>
      <c r="Q181" s="6"/>
      <c r="R181" s="6"/>
      <c r="S181" s="6"/>
      <c r="T181" s="6"/>
    </row>
    <row r="182" spans="4:20" x14ac:dyDescent="0.2">
      <c r="D182" s="6"/>
      <c r="E182" s="6"/>
      <c r="F182" s="6"/>
      <c r="G182" s="19"/>
      <c r="H182" s="19"/>
      <c r="I182" s="19"/>
      <c r="J182" s="19"/>
      <c r="K182" s="6"/>
      <c r="L182" s="6"/>
      <c r="M182" s="6"/>
      <c r="N182" s="6"/>
      <c r="O182" s="6"/>
      <c r="P182" s="6"/>
      <c r="Q182" s="6"/>
      <c r="R182" s="6"/>
      <c r="S182" s="6"/>
      <c r="T182" s="6"/>
    </row>
    <row r="183" spans="4:20" x14ac:dyDescent="0.2">
      <c r="D183" s="6"/>
      <c r="E183" s="6"/>
      <c r="F183" s="6"/>
      <c r="G183" s="19"/>
      <c r="H183" s="19"/>
      <c r="I183" s="19"/>
      <c r="J183" s="19"/>
      <c r="K183" s="6"/>
      <c r="L183" s="6"/>
      <c r="M183" s="6"/>
      <c r="N183" s="6"/>
      <c r="O183" s="6"/>
      <c r="P183" s="6"/>
      <c r="Q183" s="6"/>
      <c r="R183" s="6"/>
      <c r="S183" s="6"/>
      <c r="T183" s="6"/>
    </row>
    <row r="184" spans="4:20" x14ac:dyDescent="0.2">
      <c r="D184" s="6"/>
      <c r="E184" s="6"/>
      <c r="F184" s="6"/>
      <c r="G184" s="19"/>
      <c r="H184" s="19"/>
      <c r="I184" s="19"/>
      <c r="J184" s="19"/>
      <c r="K184" s="6"/>
      <c r="L184" s="6"/>
      <c r="M184" s="6"/>
      <c r="N184" s="6"/>
      <c r="O184" s="6"/>
      <c r="P184" s="6"/>
      <c r="Q184" s="6"/>
      <c r="R184" s="6"/>
      <c r="S184" s="6"/>
      <c r="T184" s="6"/>
    </row>
    <row r="185" spans="4:20" x14ac:dyDescent="0.2">
      <c r="D185" s="6"/>
      <c r="E185" s="6"/>
      <c r="F185" s="6"/>
      <c r="G185" s="19"/>
      <c r="H185" s="19"/>
      <c r="I185" s="19"/>
      <c r="J185" s="19"/>
      <c r="K185" s="6"/>
      <c r="L185" s="6"/>
      <c r="M185" s="6"/>
      <c r="N185" s="6"/>
      <c r="O185" s="6"/>
      <c r="P185" s="6"/>
      <c r="Q185" s="6"/>
      <c r="R185" s="6"/>
      <c r="S185" s="6"/>
      <c r="T185" s="6"/>
    </row>
    <row r="186" spans="4:20" x14ac:dyDescent="0.2">
      <c r="D186" s="6"/>
      <c r="E186" s="6"/>
      <c r="F186" s="6"/>
      <c r="G186" s="19"/>
      <c r="H186" s="19"/>
      <c r="I186" s="19"/>
      <c r="J186" s="19"/>
      <c r="K186" s="6"/>
      <c r="L186" s="6"/>
      <c r="M186" s="6"/>
      <c r="N186" s="6"/>
      <c r="O186" s="6"/>
      <c r="P186" s="6"/>
      <c r="Q186" s="6"/>
      <c r="R186" s="6"/>
      <c r="S186" s="6"/>
      <c r="T186" s="6"/>
    </row>
    <row r="187" spans="4:20" x14ac:dyDescent="0.2">
      <c r="D187" s="6"/>
      <c r="E187" s="6"/>
      <c r="F187" s="6"/>
      <c r="G187" s="19"/>
      <c r="H187" s="19"/>
      <c r="I187" s="19"/>
      <c r="J187" s="19"/>
      <c r="K187" s="6"/>
      <c r="L187" s="6"/>
      <c r="M187" s="6"/>
      <c r="N187" s="6"/>
      <c r="O187" s="6"/>
      <c r="P187" s="6"/>
      <c r="Q187" s="6"/>
      <c r="R187" s="6"/>
      <c r="S187" s="6"/>
      <c r="T187" s="6"/>
    </row>
    <row r="188" spans="4:20" x14ac:dyDescent="0.2">
      <c r="D188" s="6"/>
      <c r="E188" s="6"/>
      <c r="F188" s="6"/>
      <c r="G188" s="19"/>
      <c r="H188" s="19"/>
      <c r="I188" s="19"/>
      <c r="J188" s="19"/>
      <c r="K188" s="6"/>
      <c r="L188" s="6"/>
      <c r="M188" s="6"/>
      <c r="N188" s="6"/>
      <c r="O188" s="6"/>
      <c r="P188" s="6"/>
      <c r="Q188" s="6"/>
      <c r="R188" s="6"/>
      <c r="S188" s="6"/>
      <c r="T188" s="6"/>
    </row>
    <row r="189" spans="4:20" x14ac:dyDescent="0.2">
      <c r="D189" s="6"/>
      <c r="E189" s="6"/>
      <c r="F189" s="6"/>
      <c r="G189" s="19"/>
      <c r="H189" s="19"/>
      <c r="I189" s="19"/>
      <c r="J189" s="19"/>
      <c r="K189" s="6"/>
      <c r="L189" s="6"/>
      <c r="M189" s="6"/>
      <c r="N189" s="6"/>
      <c r="O189" s="6"/>
      <c r="P189" s="6"/>
      <c r="Q189" s="6"/>
      <c r="R189" s="6"/>
      <c r="S189" s="6"/>
      <c r="T189" s="6"/>
    </row>
    <row r="190" spans="4:20" x14ac:dyDescent="0.2">
      <c r="D190" s="6"/>
      <c r="E190" s="6"/>
      <c r="F190" s="6"/>
      <c r="G190" s="19"/>
      <c r="H190" s="19"/>
      <c r="I190" s="19"/>
      <c r="J190" s="19"/>
      <c r="K190" s="6"/>
      <c r="L190" s="6"/>
      <c r="M190" s="6"/>
      <c r="N190" s="6"/>
      <c r="O190" s="6"/>
      <c r="P190" s="6"/>
      <c r="Q190" s="6"/>
      <c r="R190" s="6"/>
      <c r="S190" s="6"/>
      <c r="T190" s="6"/>
    </row>
    <row r="191" spans="4:20" x14ac:dyDescent="0.2">
      <c r="D191" s="6"/>
      <c r="E191" s="6"/>
      <c r="F191" s="6"/>
      <c r="G191" s="19"/>
      <c r="H191" s="19"/>
      <c r="I191" s="19"/>
      <c r="J191" s="19"/>
      <c r="K191" s="6"/>
      <c r="L191" s="6"/>
      <c r="M191" s="6"/>
      <c r="N191" s="6"/>
      <c r="O191" s="6"/>
      <c r="P191" s="6"/>
      <c r="Q191" s="6"/>
      <c r="R191" s="6"/>
      <c r="S191" s="6"/>
      <c r="T191" s="6"/>
    </row>
    <row r="192" spans="4:20" x14ac:dyDescent="0.2">
      <c r="D192" s="6"/>
      <c r="E192" s="6"/>
      <c r="F192" s="6"/>
      <c r="G192" s="19"/>
      <c r="H192" s="19"/>
      <c r="I192" s="19"/>
      <c r="J192" s="19"/>
      <c r="K192" s="6"/>
      <c r="L192" s="6"/>
      <c r="M192" s="6"/>
      <c r="N192" s="6"/>
      <c r="O192" s="6"/>
      <c r="P192" s="6"/>
      <c r="Q192" s="6"/>
      <c r="R192" s="6"/>
      <c r="S192" s="6"/>
      <c r="T192" s="6"/>
    </row>
    <row r="193" spans="4:20" x14ac:dyDescent="0.2">
      <c r="D193" s="6"/>
      <c r="E193" s="6"/>
      <c r="F193" s="6"/>
      <c r="G193" s="19"/>
      <c r="H193" s="19"/>
      <c r="I193" s="19"/>
      <c r="J193" s="19"/>
      <c r="K193" s="6"/>
      <c r="L193" s="6"/>
      <c r="M193" s="6"/>
      <c r="N193" s="6"/>
      <c r="O193" s="6"/>
      <c r="P193" s="6"/>
      <c r="Q193" s="6"/>
      <c r="R193" s="6"/>
      <c r="S193" s="6"/>
      <c r="T193" s="6"/>
    </row>
    <row r="194" spans="4:20" x14ac:dyDescent="0.2">
      <c r="D194" s="6"/>
      <c r="E194" s="6"/>
      <c r="F194" s="6"/>
      <c r="G194" s="19"/>
      <c r="H194" s="19"/>
      <c r="I194" s="19"/>
      <c r="J194" s="19"/>
      <c r="K194" s="6"/>
      <c r="L194" s="6"/>
      <c r="M194" s="6"/>
      <c r="N194" s="6"/>
      <c r="O194" s="6"/>
      <c r="P194" s="6"/>
      <c r="Q194" s="6"/>
      <c r="R194" s="6"/>
      <c r="S194" s="6"/>
      <c r="T194" s="6"/>
    </row>
    <row r="195" spans="4:20" x14ac:dyDescent="0.2">
      <c r="D195" s="6"/>
      <c r="E195" s="6"/>
      <c r="F195" s="6"/>
      <c r="G195" s="19"/>
      <c r="H195" s="19"/>
      <c r="I195" s="19"/>
      <c r="J195" s="19"/>
      <c r="K195" s="6"/>
      <c r="L195" s="6"/>
      <c r="M195" s="6"/>
      <c r="N195" s="6"/>
      <c r="O195" s="6"/>
      <c r="P195" s="6"/>
      <c r="Q195" s="6"/>
      <c r="R195" s="6"/>
      <c r="S195" s="6"/>
      <c r="T195" s="6"/>
    </row>
    <row r="196" spans="4:20" x14ac:dyDescent="0.2">
      <c r="D196" s="6"/>
      <c r="E196" s="6"/>
      <c r="F196" s="6"/>
      <c r="G196" s="19"/>
      <c r="H196" s="19"/>
      <c r="I196" s="19"/>
      <c r="J196" s="19"/>
      <c r="K196" s="6"/>
      <c r="L196" s="6"/>
      <c r="M196" s="6"/>
      <c r="N196" s="6"/>
      <c r="O196" s="6"/>
      <c r="P196" s="6"/>
      <c r="Q196" s="6"/>
      <c r="R196" s="6"/>
      <c r="S196" s="6"/>
      <c r="T196" s="6"/>
    </row>
    <row r="197" spans="4:20" x14ac:dyDescent="0.2">
      <c r="D197" s="6"/>
      <c r="E197" s="6"/>
      <c r="F197" s="6"/>
      <c r="G197" s="19"/>
      <c r="H197" s="19"/>
      <c r="I197" s="19"/>
      <c r="J197" s="19"/>
      <c r="K197" s="6"/>
      <c r="L197" s="6"/>
      <c r="M197" s="6"/>
      <c r="N197" s="6"/>
      <c r="O197" s="6"/>
      <c r="P197" s="6"/>
      <c r="Q197" s="6"/>
      <c r="R197" s="6"/>
      <c r="S197" s="6"/>
      <c r="T197" s="6"/>
    </row>
    <row r="198" spans="4:20" x14ac:dyDescent="0.2">
      <c r="D198" s="6"/>
      <c r="E198" s="6"/>
      <c r="F198" s="6"/>
      <c r="G198" s="19"/>
      <c r="H198" s="19"/>
      <c r="I198" s="19"/>
      <c r="J198" s="19"/>
      <c r="K198" s="6"/>
      <c r="L198" s="6"/>
      <c r="M198" s="6"/>
      <c r="N198" s="6"/>
      <c r="O198" s="6"/>
      <c r="P198" s="6"/>
      <c r="Q198" s="6"/>
      <c r="R198" s="6"/>
      <c r="S198" s="6"/>
      <c r="T198" s="6"/>
    </row>
    <row r="199" spans="4:20" x14ac:dyDescent="0.2">
      <c r="D199" s="6"/>
      <c r="E199" s="6"/>
      <c r="F199" s="6"/>
      <c r="G199" s="19"/>
      <c r="H199" s="19"/>
      <c r="I199" s="19"/>
      <c r="J199" s="19"/>
      <c r="K199" s="6"/>
      <c r="L199" s="6"/>
      <c r="M199" s="6"/>
      <c r="N199" s="6"/>
      <c r="O199" s="6"/>
      <c r="P199" s="6"/>
      <c r="Q199" s="6"/>
      <c r="R199" s="6"/>
      <c r="S199" s="6"/>
      <c r="T199" s="6"/>
    </row>
    <row r="200" spans="4:20" x14ac:dyDescent="0.2">
      <c r="D200" s="6"/>
      <c r="E200" s="6"/>
      <c r="F200" s="6"/>
      <c r="G200" s="19"/>
      <c r="H200" s="19"/>
      <c r="I200" s="19"/>
      <c r="J200" s="19"/>
      <c r="K200" s="6"/>
      <c r="L200" s="6"/>
      <c r="M200" s="6"/>
      <c r="N200" s="6"/>
      <c r="O200" s="6"/>
      <c r="P200" s="6"/>
      <c r="Q200" s="6"/>
      <c r="R200" s="6"/>
      <c r="S200" s="6"/>
      <c r="T200" s="6"/>
    </row>
    <row r="201" spans="4:20" x14ac:dyDescent="0.2">
      <c r="D201" s="6"/>
      <c r="E201" s="6"/>
      <c r="F201" s="6"/>
      <c r="G201" s="19"/>
      <c r="H201" s="19"/>
      <c r="I201" s="19"/>
      <c r="J201" s="19"/>
      <c r="K201" s="6"/>
      <c r="L201" s="6"/>
      <c r="M201" s="6"/>
      <c r="N201" s="6"/>
      <c r="O201" s="6"/>
      <c r="P201" s="6"/>
      <c r="Q201" s="6"/>
      <c r="R201" s="6"/>
      <c r="S201" s="6"/>
      <c r="T201" s="6"/>
    </row>
    <row r="202" spans="4:20" x14ac:dyDescent="0.2">
      <c r="D202" s="6"/>
      <c r="E202" s="6"/>
      <c r="F202" s="6"/>
      <c r="G202" s="19"/>
      <c r="H202" s="19"/>
      <c r="I202" s="19"/>
      <c r="J202" s="19"/>
      <c r="K202" s="6"/>
      <c r="L202" s="6"/>
      <c r="M202" s="6"/>
      <c r="N202" s="6"/>
      <c r="O202" s="6"/>
      <c r="P202" s="6"/>
      <c r="Q202" s="6"/>
      <c r="R202" s="6"/>
      <c r="S202" s="6"/>
      <c r="T202" s="6"/>
    </row>
    <row r="203" spans="4:20" x14ac:dyDescent="0.2">
      <c r="D203" s="6"/>
      <c r="E203" s="6"/>
      <c r="F203" s="6"/>
      <c r="G203" s="19"/>
      <c r="H203" s="19"/>
      <c r="I203" s="19"/>
      <c r="J203" s="19"/>
      <c r="K203" s="6"/>
      <c r="L203" s="6"/>
      <c r="M203" s="6"/>
      <c r="N203" s="6"/>
      <c r="O203" s="6"/>
      <c r="P203" s="6"/>
      <c r="Q203" s="6"/>
      <c r="R203" s="6"/>
      <c r="S203" s="6"/>
      <c r="T203" s="6"/>
    </row>
    <row r="204" spans="4:20" x14ac:dyDescent="0.2">
      <c r="D204" s="6"/>
      <c r="E204" s="6"/>
      <c r="F204" s="6"/>
      <c r="G204" s="19"/>
      <c r="H204" s="19"/>
      <c r="I204" s="19"/>
      <c r="J204" s="19"/>
      <c r="K204" s="6"/>
      <c r="L204" s="6"/>
      <c r="M204" s="6"/>
      <c r="N204" s="6"/>
      <c r="O204" s="6"/>
      <c r="P204" s="6"/>
      <c r="Q204" s="6"/>
      <c r="R204" s="6"/>
      <c r="S204" s="6"/>
      <c r="T204" s="6"/>
    </row>
    <row r="205" spans="4:20" x14ac:dyDescent="0.2">
      <c r="D205" s="6"/>
      <c r="E205" s="6"/>
      <c r="F205" s="6"/>
      <c r="G205" s="19"/>
      <c r="H205" s="19"/>
      <c r="I205" s="19"/>
      <c r="J205" s="19"/>
      <c r="K205" s="6"/>
      <c r="L205" s="6"/>
      <c r="M205" s="6"/>
      <c r="N205" s="6"/>
      <c r="O205" s="6"/>
      <c r="P205" s="6"/>
      <c r="Q205" s="6"/>
      <c r="R205" s="6"/>
      <c r="S205" s="6"/>
      <c r="T205" s="6"/>
    </row>
    <row r="206" spans="4:20" x14ac:dyDescent="0.2">
      <c r="D206" s="6"/>
      <c r="E206" s="6"/>
      <c r="F206" s="6"/>
      <c r="G206" s="19"/>
      <c r="H206" s="19"/>
      <c r="I206" s="19"/>
      <c r="J206" s="19"/>
      <c r="K206" s="6"/>
      <c r="L206" s="6"/>
      <c r="M206" s="6"/>
      <c r="N206" s="6"/>
      <c r="O206" s="6"/>
      <c r="P206" s="6"/>
      <c r="Q206" s="6"/>
      <c r="R206" s="6"/>
      <c r="S206" s="6"/>
      <c r="T206" s="6"/>
    </row>
    <row r="207" spans="4:20" x14ac:dyDescent="0.2">
      <c r="D207" s="6"/>
      <c r="E207" s="6"/>
      <c r="F207" s="6"/>
      <c r="G207" s="19"/>
      <c r="H207" s="19"/>
      <c r="I207" s="19"/>
      <c r="J207" s="19"/>
      <c r="K207" s="6"/>
      <c r="L207" s="6"/>
      <c r="M207" s="6"/>
      <c r="N207" s="6"/>
      <c r="O207" s="6"/>
      <c r="P207" s="6"/>
      <c r="Q207" s="6"/>
      <c r="R207" s="6"/>
      <c r="S207" s="6"/>
      <c r="T207" s="6"/>
    </row>
    <row r="208" spans="4:20" x14ac:dyDescent="0.2">
      <c r="D208" s="6"/>
      <c r="E208" s="6"/>
      <c r="F208" s="6"/>
      <c r="G208" s="19"/>
      <c r="H208" s="19"/>
      <c r="I208" s="19"/>
      <c r="J208" s="19"/>
      <c r="K208" s="6"/>
      <c r="L208" s="6"/>
      <c r="M208" s="6"/>
      <c r="N208" s="6"/>
      <c r="O208" s="6"/>
      <c r="P208" s="6"/>
      <c r="Q208" s="6"/>
      <c r="R208" s="6"/>
      <c r="S208" s="6"/>
      <c r="T208" s="6"/>
    </row>
    <row r="209" spans="4:20" x14ac:dyDescent="0.2">
      <c r="D209" s="6"/>
      <c r="E209" s="6"/>
      <c r="F209" s="6"/>
      <c r="G209" s="19"/>
      <c r="H209" s="19"/>
      <c r="I209" s="19"/>
      <c r="J209" s="19"/>
      <c r="K209" s="6"/>
      <c r="L209" s="6"/>
      <c r="M209" s="6"/>
      <c r="N209" s="6"/>
      <c r="O209" s="6"/>
      <c r="P209" s="6"/>
      <c r="Q209" s="6"/>
      <c r="R209" s="6"/>
      <c r="S209" s="6"/>
      <c r="T209" s="6"/>
    </row>
    <row r="210" spans="4:20" x14ac:dyDescent="0.2">
      <c r="D210" s="6"/>
      <c r="E210" s="6"/>
      <c r="F210" s="6"/>
      <c r="G210" s="19"/>
      <c r="H210" s="19"/>
      <c r="I210" s="19"/>
      <c r="J210" s="19"/>
      <c r="K210" s="6"/>
      <c r="L210" s="6"/>
      <c r="M210" s="6"/>
      <c r="N210" s="6"/>
      <c r="O210" s="6"/>
      <c r="P210" s="6"/>
      <c r="Q210" s="6"/>
      <c r="R210" s="6"/>
      <c r="S210" s="6"/>
      <c r="T210" s="6"/>
    </row>
    <row r="211" spans="4:20" x14ac:dyDescent="0.2">
      <c r="D211" s="6"/>
      <c r="E211" s="6"/>
      <c r="F211" s="6"/>
      <c r="G211" s="19"/>
      <c r="H211" s="19"/>
      <c r="I211" s="19"/>
      <c r="J211" s="19"/>
      <c r="K211" s="6"/>
      <c r="L211" s="6"/>
      <c r="M211" s="6"/>
      <c r="N211" s="6"/>
      <c r="O211" s="6"/>
      <c r="P211" s="6"/>
      <c r="Q211" s="6"/>
      <c r="R211" s="6"/>
      <c r="S211" s="6"/>
      <c r="T211" s="6"/>
    </row>
    <row r="212" spans="4:20" x14ac:dyDescent="0.2">
      <c r="D212" s="6"/>
      <c r="E212" s="6"/>
      <c r="F212" s="6"/>
      <c r="G212" s="19"/>
      <c r="H212" s="19"/>
      <c r="I212" s="19"/>
      <c r="J212" s="19"/>
      <c r="K212" s="6"/>
      <c r="L212" s="6"/>
      <c r="M212" s="6"/>
      <c r="N212" s="6"/>
      <c r="O212" s="6"/>
      <c r="P212" s="6"/>
      <c r="Q212" s="6"/>
      <c r="R212" s="6"/>
      <c r="S212" s="6"/>
      <c r="T212" s="6"/>
    </row>
    <row r="213" spans="4:20" x14ac:dyDescent="0.2">
      <c r="D213" s="6"/>
      <c r="E213" s="6"/>
      <c r="F213" s="6"/>
      <c r="G213" s="19"/>
      <c r="H213" s="19"/>
      <c r="I213" s="19"/>
      <c r="J213" s="19"/>
      <c r="K213" s="6"/>
      <c r="L213" s="6"/>
      <c r="M213" s="6"/>
      <c r="N213" s="6"/>
      <c r="O213" s="6"/>
      <c r="P213" s="6"/>
      <c r="Q213" s="6"/>
      <c r="R213" s="6"/>
      <c r="S213" s="6"/>
      <c r="T213" s="6"/>
    </row>
    <row r="214" spans="4:20" x14ac:dyDescent="0.2">
      <c r="D214" s="6"/>
      <c r="E214" s="6"/>
      <c r="F214" s="6"/>
      <c r="G214" s="19"/>
      <c r="H214" s="19"/>
      <c r="I214" s="19"/>
      <c r="J214" s="19"/>
      <c r="K214" s="6"/>
      <c r="L214" s="6"/>
      <c r="M214" s="6"/>
      <c r="N214" s="6"/>
      <c r="O214" s="6"/>
      <c r="P214" s="6"/>
      <c r="Q214" s="6"/>
      <c r="R214" s="6"/>
      <c r="S214" s="6"/>
      <c r="T214" s="6"/>
    </row>
    <row r="215" spans="4:20" x14ac:dyDescent="0.2">
      <c r="D215" s="6"/>
      <c r="E215" s="6"/>
      <c r="F215" s="6"/>
      <c r="G215" s="19"/>
      <c r="H215" s="19"/>
      <c r="I215" s="19"/>
      <c r="J215" s="19"/>
      <c r="K215" s="6"/>
      <c r="L215" s="6"/>
      <c r="M215" s="6"/>
      <c r="N215" s="6"/>
      <c r="O215" s="6"/>
      <c r="P215" s="6"/>
      <c r="Q215" s="6"/>
      <c r="R215" s="6"/>
      <c r="S215" s="6"/>
      <c r="T215" s="6"/>
    </row>
    <row r="216" spans="4:20" x14ac:dyDescent="0.2">
      <c r="D216" s="6"/>
      <c r="E216" s="6"/>
      <c r="F216" s="6"/>
      <c r="G216" s="19"/>
      <c r="H216" s="19"/>
      <c r="I216" s="19"/>
      <c r="J216" s="19"/>
      <c r="K216" s="6"/>
      <c r="L216" s="6"/>
      <c r="M216" s="6"/>
      <c r="N216" s="6"/>
      <c r="O216" s="6"/>
      <c r="P216" s="6"/>
      <c r="Q216" s="6"/>
      <c r="R216" s="6"/>
      <c r="S216" s="6"/>
      <c r="T216" s="6"/>
    </row>
    <row r="217" spans="4:20" x14ac:dyDescent="0.2">
      <c r="D217" s="6"/>
      <c r="E217" s="6"/>
      <c r="F217" s="6"/>
      <c r="G217" s="19"/>
      <c r="H217" s="19"/>
      <c r="I217" s="19"/>
      <c r="J217" s="19"/>
      <c r="K217" s="6"/>
      <c r="L217" s="6"/>
      <c r="M217" s="6"/>
      <c r="N217" s="6"/>
      <c r="O217" s="6"/>
      <c r="P217" s="6"/>
      <c r="Q217" s="6"/>
      <c r="R217" s="6"/>
      <c r="S217" s="6"/>
      <c r="T217" s="6"/>
    </row>
    <row r="218" spans="4:20" x14ac:dyDescent="0.2">
      <c r="D218" s="6"/>
      <c r="E218" s="6"/>
      <c r="F218" s="6"/>
      <c r="G218" s="19"/>
      <c r="H218" s="19"/>
      <c r="I218" s="19"/>
      <c r="J218" s="19"/>
      <c r="K218" s="6"/>
      <c r="L218" s="6"/>
      <c r="M218" s="6"/>
      <c r="N218" s="6"/>
      <c r="O218" s="6"/>
      <c r="P218" s="6"/>
      <c r="Q218" s="6"/>
      <c r="R218" s="6"/>
      <c r="S218" s="6"/>
      <c r="T218" s="6"/>
    </row>
    <row r="219" spans="4:20" x14ac:dyDescent="0.2">
      <c r="D219" s="6"/>
      <c r="E219" s="6"/>
      <c r="F219" s="6"/>
      <c r="G219" s="19"/>
      <c r="H219" s="19"/>
      <c r="I219" s="19"/>
      <c r="J219" s="19"/>
      <c r="K219" s="6"/>
      <c r="L219" s="6"/>
      <c r="M219" s="6"/>
      <c r="N219" s="6"/>
      <c r="O219" s="6"/>
      <c r="P219" s="6"/>
      <c r="Q219" s="6"/>
      <c r="R219" s="6"/>
      <c r="S219" s="6"/>
      <c r="T219" s="6"/>
    </row>
    <row r="220" spans="4:20" x14ac:dyDescent="0.2">
      <c r="D220" s="6"/>
      <c r="E220" s="6"/>
      <c r="F220" s="6"/>
      <c r="G220" s="19"/>
      <c r="H220" s="19"/>
      <c r="I220" s="19"/>
      <c r="J220" s="19"/>
      <c r="K220" s="6"/>
      <c r="L220" s="6"/>
      <c r="M220" s="6"/>
      <c r="N220" s="6"/>
      <c r="O220" s="6"/>
      <c r="P220" s="6"/>
      <c r="Q220" s="6"/>
      <c r="R220" s="6"/>
      <c r="S220" s="6"/>
      <c r="T220" s="6"/>
    </row>
    <row r="221" spans="4:20" x14ac:dyDescent="0.2">
      <c r="D221" s="6"/>
      <c r="E221" s="6"/>
      <c r="F221" s="6"/>
      <c r="G221" s="19"/>
      <c r="H221" s="19"/>
      <c r="I221" s="19"/>
      <c r="J221" s="19"/>
      <c r="K221" s="6"/>
      <c r="L221" s="6"/>
      <c r="M221" s="6"/>
      <c r="N221" s="6"/>
      <c r="O221" s="6"/>
      <c r="P221" s="6"/>
      <c r="Q221" s="6"/>
      <c r="R221" s="6"/>
      <c r="S221" s="6"/>
      <c r="T221" s="6"/>
    </row>
    <row r="222" spans="4:20" x14ac:dyDescent="0.2">
      <c r="D222" s="6"/>
      <c r="E222" s="6"/>
      <c r="F222" s="6"/>
      <c r="G222" s="19"/>
      <c r="H222" s="19"/>
      <c r="I222" s="19"/>
      <c r="J222" s="19"/>
      <c r="K222" s="6"/>
      <c r="L222" s="6"/>
      <c r="M222" s="6"/>
      <c r="N222" s="6"/>
      <c r="O222" s="6"/>
      <c r="P222" s="6"/>
      <c r="Q222" s="6"/>
      <c r="R222" s="6"/>
      <c r="S222" s="6"/>
      <c r="T222" s="6"/>
    </row>
    <row r="223" spans="4:20" x14ac:dyDescent="0.2">
      <c r="D223" s="6"/>
      <c r="E223" s="6"/>
      <c r="F223" s="6"/>
      <c r="G223" s="19"/>
      <c r="H223" s="19"/>
      <c r="I223" s="19"/>
      <c r="J223" s="19"/>
      <c r="K223" s="6"/>
      <c r="L223" s="6"/>
      <c r="M223" s="6"/>
      <c r="N223" s="6"/>
      <c r="O223" s="6"/>
      <c r="P223" s="6"/>
      <c r="Q223" s="6"/>
      <c r="R223" s="6"/>
      <c r="S223" s="6"/>
      <c r="T223" s="6"/>
    </row>
    <row r="224" spans="4:20" x14ac:dyDescent="0.2">
      <c r="D224" s="6"/>
      <c r="E224" s="6"/>
      <c r="F224" s="6"/>
      <c r="G224" s="19"/>
      <c r="H224" s="19"/>
      <c r="I224" s="19"/>
      <c r="J224" s="19"/>
      <c r="K224" s="6"/>
      <c r="L224" s="6"/>
      <c r="M224" s="6"/>
      <c r="N224" s="6"/>
      <c r="O224" s="6"/>
      <c r="P224" s="6"/>
      <c r="Q224" s="6"/>
      <c r="R224" s="6"/>
      <c r="S224" s="6"/>
      <c r="T224" s="6"/>
    </row>
    <row r="225" spans="4:20" x14ac:dyDescent="0.2">
      <c r="D225" s="6"/>
      <c r="E225" s="6"/>
      <c r="F225" s="6"/>
      <c r="G225" s="19"/>
      <c r="H225" s="19"/>
      <c r="I225" s="19"/>
      <c r="J225" s="19"/>
      <c r="K225" s="6"/>
      <c r="L225" s="6"/>
      <c r="M225" s="6"/>
      <c r="N225" s="6"/>
      <c r="O225" s="6"/>
      <c r="P225" s="6"/>
      <c r="Q225" s="6"/>
      <c r="R225" s="6"/>
      <c r="S225" s="6"/>
      <c r="T225" s="6"/>
    </row>
    <row r="226" spans="4:20" x14ac:dyDescent="0.2">
      <c r="D226" s="6"/>
      <c r="E226" s="6"/>
      <c r="F226" s="6"/>
      <c r="G226" s="19"/>
      <c r="H226" s="19"/>
      <c r="I226" s="19"/>
      <c r="J226" s="19"/>
      <c r="K226" s="6"/>
      <c r="L226" s="6"/>
      <c r="M226" s="6"/>
      <c r="N226" s="6"/>
      <c r="O226" s="6"/>
      <c r="P226" s="6"/>
      <c r="Q226" s="6"/>
      <c r="R226" s="6"/>
      <c r="S226" s="6"/>
      <c r="T226" s="6"/>
    </row>
    <row r="227" spans="4:20" x14ac:dyDescent="0.2">
      <c r="D227" s="6"/>
      <c r="E227" s="6"/>
      <c r="F227" s="6"/>
      <c r="G227" s="19"/>
      <c r="H227" s="19"/>
      <c r="I227" s="19"/>
      <c r="J227" s="19"/>
      <c r="K227" s="6"/>
      <c r="L227" s="6"/>
      <c r="M227" s="6"/>
      <c r="N227" s="6"/>
      <c r="O227" s="6"/>
      <c r="P227" s="6"/>
      <c r="Q227" s="6"/>
      <c r="R227" s="6"/>
      <c r="S227" s="6"/>
      <c r="T227" s="6"/>
    </row>
    <row r="228" spans="4:20" x14ac:dyDescent="0.2">
      <c r="D228" s="6"/>
      <c r="E228" s="6"/>
      <c r="F228" s="6"/>
      <c r="G228" s="19"/>
      <c r="H228" s="19"/>
      <c r="I228" s="19"/>
      <c r="J228" s="19"/>
      <c r="K228" s="6"/>
      <c r="L228" s="6"/>
      <c r="M228" s="6"/>
      <c r="N228" s="6"/>
      <c r="O228" s="6"/>
      <c r="P228" s="6"/>
      <c r="Q228" s="6"/>
      <c r="R228" s="6"/>
      <c r="S228" s="6"/>
      <c r="T228" s="6"/>
    </row>
    <row r="229" spans="4:20" x14ac:dyDescent="0.2">
      <c r="D229" s="6"/>
      <c r="E229" s="6"/>
      <c r="F229" s="6"/>
      <c r="G229" s="19"/>
      <c r="H229" s="19"/>
      <c r="I229" s="19"/>
      <c r="J229" s="19"/>
      <c r="K229" s="6"/>
      <c r="L229" s="6"/>
      <c r="M229" s="6"/>
      <c r="N229" s="6"/>
      <c r="O229" s="6"/>
      <c r="P229" s="6"/>
      <c r="Q229" s="6"/>
      <c r="R229" s="6"/>
      <c r="S229" s="6"/>
      <c r="T229" s="6"/>
    </row>
    <row r="230" spans="4:20" x14ac:dyDescent="0.2">
      <c r="D230" s="6"/>
      <c r="E230" s="6"/>
      <c r="F230" s="6"/>
      <c r="G230" s="19"/>
      <c r="H230" s="19"/>
      <c r="I230" s="19"/>
      <c r="J230" s="19"/>
      <c r="K230" s="6"/>
      <c r="L230" s="6"/>
      <c r="M230" s="6"/>
      <c r="N230" s="6"/>
      <c r="O230" s="6"/>
      <c r="P230" s="6"/>
      <c r="Q230" s="6"/>
      <c r="R230" s="6"/>
      <c r="S230" s="6"/>
      <c r="T230" s="6"/>
    </row>
    <row r="231" spans="4:20" x14ac:dyDescent="0.2">
      <c r="D231" s="6"/>
      <c r="E231" s="6"/>
      <c r="F231" s="6"/>
      <c r="G231" s="19"/>
      <c r="H231" s="19"/>
      <c r="I231" s="19"/>
      <c r="J231" s="19"/>
      <c r="K231" s="6"/>
      <c r="L231" s="6"/>
      <c r="M231" s="6"/>
      <c r="N231" s="6"/>
      <c r="O231" s="6"/>
      <c r="P231" s="6"/>
      <c r="Q231" s="6"/>
      <c r="R231" s="6"/>
      <c r="S231" s="6"/>
      <c r="T231" s="6"/>
    </row>
    <row r="232" spans="4:20" x14ac:dyDescent="0.2">
      <c r="D232" s="6"/>
      <c r="E232" s="6"/>
      <c r="F232" s="6"/>
      <c r="G232" s="19"/>
      <c r="H232" s="19"/>
      <c r="I232" s="19"/>
      <c r="J232" s="19"/>
      <c r="K232" s="6"/>
      <c r="L232" s="6"/>
      <c r="M232" s="6"/>
      <c r="N232" s="6"/>
      <c r="O232" s="6"/>
      <c r="P232" s="6"/>
      <c r="Q232" s="6"/>
      <c r="R232" s="6"/>
      <c r="S232" s="6"/>
      <c r="T232" s="6"/>
    </row>
    <row r="233" spans="4:20" x14ac:dyDescent="0.2">
      <c r="D233" s="6"/>
      <c r="E233" s="6"/>
      <c r="F233" s="6"/>
      <c r="G233" s="19"/>
      <c r="H233" s="19"/>
      <c r="I233" s="19"/>
      <c r="J233" s="19"/>
      <c r="K233" s="6"/>
      <c r="L233" s="6"/>
      <c r="M233" s="6"/>
      <c r="N233" s="6"/>
      <c r="O233" s="6"/>
      <c r="P233" s="6"/>
      <c r="Q233" s="6"/>
      <c r="R233" s="6"/>
      <c r="S233" s="6"/>
      <c r="T233" s="6"/>
    </row>
    <row r="234" spans="4:20" x14ac:dyDescent="0.2">
      <c r="D234" s="6"/>
      <c r="E234" s="6"/>
      <c r="F234" s="6"/>
      <c r="G234" s="19"/>
      <c r="H234" s="19"/>
      <c r="I234" s="19"/>
      <c r="J234" s="19"/>
      <c r="K234" s="6"/>
      <c r="L234" s="6"/>
      <c r="M234" s="6"/>
      <c r="N234" s="6"/>
      <c r="O234" s="6"/>
      <c r="P234" s="6"/>
      <c r="Q234" s="6"/>
      <c r="R234" s="6"/>
      <c r="S234" s="6"/>
      <c r="T234" s="6"/>
    </row>
    <row r="235" spans="4:20" x14ac:dyDescent="0.2">
      <c r="D235" s="6"/>
      <c r="E235" s="6"/>
      <c r="F235" s="6"/>
      <c r="G235" s="19"/>
      <c r="H235" s="19"/>
      <c r="I235" s="19"/>
      <c r="J235" s="19"/>
      <c r="K235" s="6"/>
      <c r="L235" s="6"/>
      <c r="M235" s="6"/>
      <c r="N235" s="6"/>
      <c r="O235" s="6"/>
      <c r="P235" s="6"/>
      <c r="Q235" s="6"/>
      <c r="R235" s="6"/>
      <c r="S235" s="6"/>
      <c r="T235" s="6"/>
    </row>
    <row r="236" spans="4:20" x14ac:dyDescent="0.2">
      <c r="D236" s="6"/>
      <c r="E236" s="6"/>
      <c r="F236" s="6"/>
      <c r="G236" s="19"/>
      <c r="H236" s="19"/>
      <c r="I236" s="19"/>
      <c r="J236" s="19"/>
      <c r="K236" s="6"/>
      <c r="L236" s="6"/>
      <c r="M236" s="6"/>
      <c r="N236" s="6"/>
      <c r="O236" s="6"/>
      <c r="P236" s="6"/>
      <c r="Q236" s="6"/>
      <c r="R236" s="6"/>
      <c r="S236" s="6"/>
      <c r="T236" s="6"/>
    </row>
    <row r="237" spans="4:20" x14ac:dyDescent="0.2">
      <c r="D237" s="6"/>
      <c r="E237" s="6"/>
      <c r="F237" s="6"/>
      <c r="G237" s="19"/>
      <c r="H237" s="19"/>
      <c r="I237" s="19"/>
      <c r="J237" s="19"/>
      <c r="K237" s="6"/>
      <c r="L237" s="6"/>
      <c r="M237" s="6"/>
      <c r="N237" s="6"/>
      <c r="O237" s="6"/>
      <c r="P237" s="6"/>
      <c r="Q237" s="6"/>
      <c r="R237" s="6"/>
      <c r="S237" s="6"/>
      <c r="T237" s="6"/>
    </row>
    <row r="238" spans="4:20" x14ac:dyDescent="0.2">
      <c r="D238" s="6"/>
      <c r="E238" s="6"/>
      <c r="F238" s="6"/>
      <c r="G238" s="19"/>
      <c r="H238" s="19"/>
      <c r="I238" s="19"/>
      <c r="J238" s="19"/>
      <c r="K238" s="6"/>
      <c r="L238" s="6"/>
      <c r="M238" s="6"/>
      <c r="N238" s="6"/>
      <c r="O238" s="6"/>
      <c r="P238" s="6"/>
      <c r="Q238" s="6"/>
      <c r="R238" s="6"/>
      <c r="S238" s="6"/>
      <c r="T238" s="6"/>
    </row>
    <row r="239" spans="4:20" x14ac:dyDescent="0.2">
      <c r="D239" s="6"/>
      <c r="E239" s="6"/>
      <c r="F239" s="6"/>
      <c r="G239" s="19"/>
      <c r="H239" s="19"/>
      <c r="I239" s="19"/>
      <c r="J239" s="19"/>
      <c r="K239" s="6"/>
      <c r="L239" s="6"/>
      <c r="M239" s="6"/>
      <c r="N239" s="6"/>
      <c r="O239" s="6"/>
      <c r="P239" s="6"/>
      <c r="Q239" s="6"/>
      <c r="R239" s="6"/>
      <c r="S239" s="6"/>
      <c r="T239" s="6"/>
    </row>
    <row r="240" spans="4:20" x14ac:dyDescent="0.2">
      <c r="D240" s="6"/>
      <c r="E240" s="6"/>
      <c r="F240" s="6"/>
      <c r="G240" s="19"/>
      <c r="H240" s="19"/>
      <c r="I240" s="19"/>
      <c r="J240" s="19"/>
      <c r="K240" s="6"/>
      <c r="L240" s="6"/>
      <c r="M240" s="6"/>
      <c r="N240" s="6"/>
      <c r="O240" s="6"/>
      <c r="P240" s="6"/>
      <c r="Q240" s="6"/>
      <c r="R240" s="6"/>
      <c r="S240" s="6"/>
      <c r="T240" s="6"/>
    </row>
    <row r="241" spans="4:20" x14ac:dyDescent="0.2">
      <c r="D241" s="6"/>
      <c r="E241" s="6"/>
      <c r="F241" s="6"/>
      <c r="G241" s="19"/>
      <c r="H241" s="19"/>
      <c r="I241" s="19"/>
      <c r="J241" s="19"/>
      <c r="K241" s="6"/>
      <c r="L241" s="6"/>
      <c r="M241" s="6"/>
      <c r="N241" s="6"/>
      <c r="O241" s="6"/>
      <c r="P241" s="6"/>
      <c r="Q241" s="6"/>
      <c r="R241" s="6"/>
      <c r="S241" s="6"/>
      <c r="T241" s="6"/>
    </row>
    <row r="242" spans="4:20" x14ac:dyDescent="0.2">
      <c r="D242" s="6"/>
      <c r="E242" s="6"/>
      <c r="F242" s="6"/>
      <c r="G242" s="19"/>
      <c r="H242" s="19"/>
      <c r="I242" s="19"/>
      <c r="J242" s="19"/>
      <c r="K242" s="6"/>
      <c r="L242" s="6"/>
      <c r="M242" s="6"/>
      <c r="N242" s="6"/>
      <c r="O242" s="6"/>
      <c r="P242" s="6"/>
      <c r="Q242" s="6"/>
      <c r="R242" s="6"/>
      <c r="S242" s="6"/>
      <c r="T242" s="6"/>
    </row>
    <row r="243" spans="4:20" x14ac:dyDescent="0.2">
      <c r="D243" s="6"/>
      <c r="E243" s="6"/>
      <c r="F243" s="6"/>
      <c r="G243" s="19"/>
      <c r="H243" s="19"/>
      <c r="I243" s="19"/>
      <c r="J243" s="19"/>
      <c r="K243" s="6"/>
      <c r="L243" s="6"/>
      <c r="M243" s="6"/>
      <c r="N243" s="6"/>
      <c r="O243" s="6"/>
      <c r="P243" s="6"/>
      <c r="Q243" s="6"/>
      <c r="R243" s="6"/>
      <c r="S243" s="6"/>
      <c r="T243" s="6"/>
    </row>
    <row r="244" spans="4:20" x14ac:dyDescent="0.2">
      <c r="D244" s="6"/>
      <c r="E244" s="6"/>
      <c r="F244" s="6"/>
      <c r="G244" s="19"/>
      <c r="H244" s="19"/>
      <c r="I244" s="19"/>
      <c r="J244" s="19"/>
      <c r="K244" s="6"/>
      <c r="L244" s="6"/>
      <c r="M244" s="6"/>
      <c r="N244" s="6"/>
      <c r="O244" s="6"/>
      <c r="P244" s="6"/>
      <c r="Q244" s="6"/>
      <c r="R244" s="6"/>
      <c r="S244" s="6"/>
      <c r="T244" s="6"/>
    </row>
    <row r="245" spans="4:20" x14ac:dyDescent="0.2">
      <c r="D245" s="6"/>
      <c r="E245" s="6"/>
      <c r="F245" s="6"/>
      <c r="G245" s="19"/>
      <c r="H245" s="19"/>
      <c r="I245" s="19"/>
      <c r="J245" s="19"/>
      <c r="K245" s="6"/>
      <c r="L245" s="6"/>
      <c r="M245" s="6"/>
      <c r="N245" s="6"/>
      <c r="O245" s="6"/>
      <c r="P245" s="6"/>
      <c r="Q245" s="6"/>
      <c r="R245" s="6"/>
      <c r="S245" s="6"/>
      <c r="T245" s="6"/>
    </row>
    <row r="246" spans="4:20" x14ac:dyDescent="0.2">
      <c r="D246" s="6"/>
      <c r="E246" s="6"/>
      <c r="F246" s="6"/>
      <c r="G246" s="19"/>
      <c r="H246" s="19"/>
      <c r="I246" s="19"/>
      <c r="J246" s="19"/>
      <c r="K246" s="6"/>
      <c r="L246" s="6"/>
      <c r="M246" s="6"/>
      <c r="N246" s="6"/>
      <c r="O246" s="6"/>
      <c r="P246" s="6"/>
      <c r="Q246" s="6"/>
      <c r="R246" s="6"/>
      <c r="S246" s="6"/>
      <c r="T246" s="6"/>
    </row>
    <row r="247" spans="4:20" x14ac:dyDescent="0.2">
      <c r="D247" s="6"/>
      <c r="E247" s="6"/>
      <c r="F247" s="6"/>
      <c r="G247" s="19"/>
      <c r="H247" s="19"/>
      <c r="I247" s="19"/>
      <c r="J247" s="19"/>
      <c r="K247" s="6"/>
      <c r="L247" s="6"/>
      <c r="M247" s="6"/>
      <c r="N247" s="6"/>
      <c r="O247" s="6"/>
      <c r="P247" s="6"/>
      <c r="Q247" s="6"/>
      <c r="R247" s="6"/>
      <c r="S247" s="6"/>
      <c r="T247" s="6"/>
    </row>
    <row r="248" spans="4:20" x14ac:dyDescent="0.2">
      <c r="D248" s="6"/>
      <c r="E248" s="6"/>
      <c r="F248" s="6"/>
      <c r="G248" s="19"/>
      <c r="H248" s="19"/>
      <c r="I248" s="19"/>
      <c r="J248" s="19"/>
      <c r="K248" s="6"/>
      <c r="L248" s="6"/>
      <c r="M248" s="6"/>
      <c r="N248" s="6"/>
      <c r="O248" s="6"/>
      <c r="P248" s="6"/>
      <c r="Q248" s="6"/>
      <c r="R248" s="6"/>
      <c r="S248" s="6"/>
      <c r="T248" s="6"/>
    </row>
    <row r="249" spans="4:20" x14ac:dyDescent="0.2">
      <c r="D249" s="6"/>
      <c r="E249" s="6"/>
      <c r="F249" s="6"/>
      <c r="G249" s="19"/>
      <c r="H249" s="19"/>
      <c r="I249" s="19"/>
      <c r="J249" s="19"/>
      <c r="K249" s="6"/>
      <c r="L249" s="6"/>
      <c r="M249" s="6"/>
      <c r="N249" s="6"/>
      <c r="O249" s="6"/>
      <c r="P249" s="6"/>
      <c r="Q249" s="6"/>
      <c r="R249" s="6"/>
      <c r="S249" s="6"/>
      <c r="T249" s="6"/>
    </row>
    <row r="250" spans="4:20" x14ac:dyDescent="0.2">
      <c r="D250" s="6"/>
      <c r="E250" s="6"/>
      <c r="F250" s="6"/>
      <c r="G250" s="19"/>
      <c r="H250" s="19"/>
      <c r="I250" s="19"/>
      <c r="J250" s="19"/>
      <c r="K250" s="6"/>
      <c r="L250" s="6"/>
      <c r="M250" s="6"/>
      <c r="N250" s="6"/>
      <c r="O250" s="6"/>
      <c r="P250" s="6"/>
      <c r="Q250" s="6"/>
      <c r="R250" s="6"/>
      <c r="S250" s="6"/>
      <c r="T250" s="6"/>
    </row>
    <row r="251" spans="4:20" x14ac:dyDescent="0.2">
      <c r="D251" s="6"/>
      <c r="E251" s="6"/>
      <c r="F251" s="6"/>
      <c r="G251" s="19"/>
      <c r="H251" s="19"/>
      <c r="I251" s="19"/>
      <c r="J251" s="19"/>
      <c r="K251" s="6"/>
      <c r="L251" s="6"/>
      <c r="M251" s="6"/>
      <c r="N251" s="6"/>
      <c r="O251" s="6"/>
      <c r="P251" s="6"/>
      <c r="Q251" s="6"/>
      <c r="R251" s="6"/>
      <c r="S251" s="6"/>
      <c r="T251" s="6"/>
    </row>
    <row r="252" spans="4:20" x14ac:dyDescent="0.2">
      <c r="D252" s="6"/>
      <c r="E252" s="6"/>
      <c r="F252" s="6"/>
      <c r="G252" s="19"/>
      <c r="H252" s="19"/>
      <c r="I252" s="19"/>
      <c r="J252" s="19"/>
      <c r="K252" s="6"/>
      <c r="L252" s="6"/>
      <c r="M252" s="6"/>
      <c r="N252" s="6"/>
      <c r="O252" s="6"/>
      <c r="P252" s="6"/>
      <c r="Q252" s="6"/>
      <c r="R252" s="6"/>
      <c r="S252" s="6"/>
      <c r="T252" s="6"/>
    </row>
    <row r="253" spans="4:20" x14ac:dyDescent="0.2">
      <c r="D253" s="6"/>
      <c r="E253" s="6"/>
      <c r="F253" s="6"/>
      <c r="G253" s="19"/>
      <c r="H253" s="19"/>
      <c r="I253" s="19"/>
      <c r="J253" s="19"/>
      <c r="K253" s="6"/>
      <c r="L253" s="6"/>
      <c r="M253" s="6"/>
      <c r="N253" s="6"/>
      <c r="O253" s="6"/>
      <c r="P253" s="6"/>
      <c r="Q253" s="6"/>
      <c r="R253" s="6"/>
      <c r="S253" s="6"/>
      <c r="T253" s="6"/>
    </row>
    <row r="254" spans="4:20" x14ac:dyDescent="0.2">
      <c r="D254" s="6"/>
      <c r="E254" s="6"/>
      <c r="F254" s="6"/>
      <c r="G254" s="19"/>
      <c r="H254" s="19"/>
      <c r="I254" s="19"/>
      <c r="J254" s="19"/>
      <c r="K254" s="6"/>
      <c r="L254" s="6"/>
      <c r="M254" s="6"/>
      <c r="N254" s="6"/>
      <c r="O254" s="6"/>
      <c r="P254" s="6"/>
      <c r="Q254" s="6"/>
      <c r="R254" s="6"/>
      <c r="S254" s="6"/>
      <c r="T254" s="6"/>
    </row>
    <row r="255" spans="4:20" x14ac:dyDescent="0.2">
      <c r="D255" s="6"/>
      <c r="E255" s="6"/>
      <c r="F255" s="6"/>
      <c r="G255" s="19"/>
      <c r="H255" s="19"/>
      <c r="I255" s="19"/>
      <c r="J255" s="19"/>
      <c r="K255" s="6"/>
      <c r="L255" s="6"/>
      <c r="M255" s="6"/>
      <c r="N255" s="6"/>
      <c r="O255" s="6"/>
      <c r="P255" s="6"/>
      <c r="Q255" s="6"/>
      <c r="R255" s="6"/>
      <c r="S255" s="6"/>
      <c r="T255" s="6"/>
    </row>
    <row r="256" spans="4:20" x14ac:dyDescent="0.2">
      <c r="D256" s="6"/>
      <c r="E256" s="6"/>
      <c r="F256" s="6"/>
      <c r="G256" s="19"/>
      <c r="H256" s="19"/>
      <c r="I256" s="19"/>
      <c r="J256" s="19"/>
      <c r="K256" s="6"/>
      <c r="L256" s="6"/>
      <c r="M256" s="6"/>
      <c r="N256" s="6"/>
      <c r="O256" s="6"/>
      <c r="P256" s="6"/>
      <c r="Q256" s="6"/>
      <c r="R256" s="6"/>
      <c r="S256" s="6"/>
      <c r="T256" s="6"/>
    </row>
    <row r="257" spans="4:20" x14ac:dyDescent="0.2">
      <c r="D257" s="6"/>
      <c r="E257" s="6"/>
      <c r="F257" s="6"/>
      <c r="G257" s="19"/>
      <c r="H257" s="19"/>
      <c r="I257" s="19"/>
      <c r="J257" s="19"/>
      <c r="K257" s="6"/>
      <c r="L257" s="6"/>
      <c r="M257" s="6"/>
      <c r="N257" s="6"/>
      <c r="O257" s="6"/>
      <c r="P257" s="6"/>
      <c r="Q257" s="6"/>
      <c r="R257" s="6"/>
      <c r="S257" s="6"/>
      <c r="T257" s="6"/>
    </row>
    <row r="258" spans="4:20" x14ac:dyDescent="0.2">
      <c r="D258" s="6"/>
      <c r="E258" s="6"/>
      <c r="F258" s="6"/>
      <c r="G258" s="19"/>
      <c r="H258" s="19"/>
      <c r="I258" s="19"/>
      <c r="J258" s="19"/>
      <c r="K258" s="6"/>
      <c r="L258" s="6"/>
      <c r="M258" s="6"/>
      <c r="N258" s="6"/>
      <c r="O258" s="6"/>
      <c r="P258" s="6"/>
      <c r="Q258" s="6"/>
      <c r="R258" s="6"/>
      <c r="S258" s="6"/>
      <c r="T258" s="6"/>
    </row>
    <row r="259" spans="4:20" x14ac:dyDescent="0.2">
      <c r="D259" s="6"/>
      <c r="E259" s="6"/>
      <c r="F259" s="6"/>
      <c r="G259" s="19"/>
      <c r="H259" s="19"/>
      <c r="I259" s="19"/>
      <c r="J259" s="19"/>
      <c r="K259" s="6"/>
      <c r="L259" s="6"/>
      <c r="M259" s="6"/>
      <c r="N259" s="6"/>
      <c r="O259" s="6"/>
      <c r="P259" s="6"/>
      <c r="Q259" s="6"/>
      <c r="R259" s="6"/>
      <c r="S259" s="6"/>
      <c r="T259" s="6"/>
    </row>
    <row r="260" spans="4:20" x14ac:dyDescent="0.2">
      <c r="D260" s="6"/>
      <c r="E260" s="6"/>
      <c r="F260" s="6"/>
      <c r="G260" s="19"/>
      <c r="H260" s="19"/>
      <c r="I260" s="19"/>
      <c r="J260" s="19"/>
      <c r="K260" s="6"/>
      <c r="L260" s="6"/>
      <c r="M260" s="6"/>
      <c r="N260" s="6"/>
      <c r="O260" s="6"/>
      <c r="P260" s="6"/>
      <c r="Q260" s="6"/>
      <c r="R260" s="6"/>
      <c r="S260" s="6"/>
      <c r="T260" s="6"/>
    </row>
    <row r="261" spans="4:20" x14ac:dyDescent="0.2">
      <c r="D261" s="6"/>
      <c r="E261" s="6"/>
      <c r="F261" s="6"/>
      <c r="G261" s="19"/>
      <c r="H261" s="19"/>
      <c r="I261" s="19"/>
      <c r="J261" s="19"/>
      <c r="K261" s="6"/>
      <c r="L261" s="6"/>
      <c r="M261" s="6"/>
      <c r="N261" s="6"/>
      <c r="O261" s="6"/>
      <c r="P261" s="6"/>
      <c r="Q261" s="6"/>
      <c r="R261" s="6"/>
      <c r="S261" s="6"/>
      <c r="T261" s="6"/>
    </row>
    <row r="262" spans="4:20" x14ac:dyDescent="0.2">
      <c r="D262" s="6"/>
      <c r="E262" s="6"/>
      <c r="F262" s="6"/>
      <c r="G262" s="19"/>
      <c r="H262" s="19"/>
      <c r="I262" s="19"/>
      <c r="J262" s="19"/>
      <c r="K262" s="6"/>
      <c r="L262" s="6"/>
      <c r="M262" s="6"/>
      <c r="N262" s="6"/>
      <c r="O262" s="6"/>
      <c r="P262" s="6"/>
      <c r="Q262" s="6"/>
      <c r="R262" s="6"/>
      <c r="S262" s="6"/>
      <c r="T262" s="6"/>
    </row>
    <row r="263" spans="4:20" x14ac:dyDescent="0.2">
      <c r="D263" s="6"/>
      <c r="E263" s="6"/>
      <c r="F263" s="6"/>
      <c r="G263" s="19"/>
      <c r="H263" s="19"/>
      <c r="I263" s="19"/>
      <c r="J263" s="19"/>
      <c r="K263" s="6"/>
      <c r="L263" s="6"/>
      <c r="M263" s="6"/>
      <c r="N263" s="6"/>
      <c r="O263" s="6"/>
      <c r="P263" s="6"/>
      <c r="Q263" s="6"/>
      <c r="R263" s="6"/>
      <c r="S263" s="6"/>
      <c r="T263" s="6"/>
    </row>
    <row r="264" spans="4:20" x14ac:dyDescent="0.2">
      <c r="D264" s="6"/>
      <c r="E264" s="6"/>
      <c r="F264" s="6"/>
      <c r="G264" s="19"/>
      <c r="H264" s="19"/>
      <c r="I264" s="19"/>
      <c r="J264" s="19"/>
      <c r="K264" s="6"/>
      <c r="L264" s="6"/>
      <c r="M264" s="6"/>
      <c r="N264" s="6"/>
      <c r="O264" s="6"/>
      <c r="P264" s="6"/>
      <c r="Q264" s="6"/>
      <c r="R264" s="6"/>
      <c r="S264" s="6"/>
      <c r="T264" s="6"/>
    </row>
    <row r="265" spans="4:20" x14ac:dyDescent="0.2">
      <c r="D265" s="6"/>
      <c r="E265" s="6"/>
      <c r="F265" s="6"/>
      <c r="G265" s="19"/>
      <c r="H265" s="19"/>
      <c r="I265" s="19"/>
      <c r="J265" s="19"/>
      <c r="K265" s="6"/>
      <c r="L265" s="6"/>
      <c r="M265" s="6"/>
      <c r="N265" s="6"/>
      <c r="O265" s="6"/>
      <c r="P265" s="6"/>
      <c r="Q265" s="6"/>
      <c r="R265" s="6"/>
      <c r="S265" s="6"/>
      <c r="T265" s="6"/>
    </row>
    <row r="266" spans="4:20" x14ac:dyDescent="0.2">
      <c r="D266" s="6"/>
      <c r="E266" s="6"/>
      <c r="F266" s="6"/>
      <c r="G266" s="19"/>
      <c r="H266" s="19"/>
      <c r="I266" s="19"/>
      <c r="J266" s="19"/>
      <c r="K266" s="6"/>
      <c r="L266" s="6"/>
      <c r="M266" s="6"/>
      <c r="N266" s="6"/>
      <c r="O266" s="6"/>
      <c r="P266" s="6"/>
      <c r="Q266" s="6"/>
      <c r="R266" s="6"/>
      <c r="S266" s="6"/>
      <c r="T266" s="6"/>
    </row>
    <row r="267" spans="4:20" x14ac:dyDescent="0.2">
      <c r="D267" s="6"/>
      <c r="E267" s="6"/>
      <c r="F267" s="6"/>
      <c r="G267" s="19"/>
      <c r="H267" s="19"/>
      <c r="I267" s="19"/>
      <c r="J267" s="19"/>
      <c r="K267" s="6"/>
      <c r="L267" s="6"/>
      <c r="M267" s="6"/>
      <c r="N267" s="6"/>
      <c r="O267" s="6"/>
      <c r="P267" s="6"/>
      <c r="Q267" s="6"/>
      <c r="R267" s="6"/>
      <c r="S267" s="6"/>
      <c r="T267" s="6"/>
    </row>
    <row r="268" spans="4:20" x14ac:dyDescent="0.2">
      <c r="D268" s="6"/>
      <c r="E268" s="6"/>
      <c r="F268" s="6"/>
      <c r="G268" s="19"/>
      <c r="H268" s="19"/>
      <c r="I268" s="19"/>
      <c r="J268" s="19"/>
      <c r="K268" s="6"/>
      <c r="L268" s="6"/>
      <c r="M268" s="6"/>
      <c r="N268" s="6"/>
      <c r="O268" s="6"/>
      <c r="P268" s="6"/>
      <c r="Q268" s="6"/>
      <c r="R268" s="6"/>
      <c r="S268" s="6"/>
      <c r="T268" s="6"/>
    </row>
    <row r="269" spans="4:20" x14ac:dyDescent="0.2">
      <c r="D269" s="6"/>
      <c r="E269" s="6"/>
      <c r="F269" s="6"/>
      <c r="G269" s="19"/>
      <c r="H269" s="19"/>
      <c r="I269" s="19"/>
      <c r="J269" s="19"/>
      <c r="K269" s="6"/>
      <c r="L269" s="6"/>
      <c r="M269" s="6"/>
      <c r="N269" s="6"/>
      <c r="O269" s="6"/>
      <c r="P269" s="6"/>
      <c r="Q269" s="6"/>
      <c r="R269" s="6"/>
      <c r="S269" s="6"/>
      <c r="T269" s="6"/>
    </row>
    <row r="270" spans="4:20" x14ac:dyDescent="0.2">
      <c r="D270" s="6"/>
      <c r="E270" s="6"/>
      <c r="F270" s="6"/>
      <c r="G270" s="19"/>
      <c r="H270" s="19"/>
      <c r="I270" s="19"/>
      <c r="J270" s="19"/>
      <c r="K270" s="6"/>
      <c r="L270" s="6"/>
      <c r="M270" s="6"/>
      <c r="N270" s="6"/>
      <c r="O270" s="6"/>
      <c r="P270" s="6"/>
      <c r="Q270" s="6"/>
      <c r="R270" s="6"/>
      <c r="S270" s="6"/>
      <c r="T270" s="6"/>
    </row>
    <row r="271" spans="4:20" x14ac:dyDescent="0.2">
      <c r="D271" s="6"/>
      <c r="E271" s="6"/>
      <c r="F271" s="6"/>
      <c r="G271" s="19"/>
      <c r="H271" s="19"/>
      <c r="I271" s="19"/>
      <c r="J271" s="19"/>
      <c r="K271" s="6"/>
      <c r="L271" s="6"/>
      <c r="M271" s="6"/>
      <c r="N271" s="6"/>
      <c r="O271" s="6"/>
      <c r="P271" s="6"/>
      <c r="Q271" s="6"/>
      <c r="R271" s="6"/>
      <c r="S271" s="6"/>
      <c r="T271" s="6"/>
    </row>
    <row r="272" spans="4:20" x14ac:dyDescent="0.2">
      <c r="D272" s="6"/>
      <c r="E272" s="6"/>
      <c r="F272" s="6"/>
      <c r="G272" s="19"/>
      <c r="H272" s="19"/>
      <c r="I272" s="19"/>
      <c r="J272" s="19"/>
      <c r="K272" s="6"/>
      <c r="L272" s="6"/>
      <c r="M272" s="6"/>
      <c r="N272" s="6"/>
      <c r="O272" s="6"/>
      <c r="P272" s="6"/>
      <c r="Q272" s="6"/>
      <c r="R272" s="6"/>
      <c r="S272" s="6"/>
      <c r="T272" s="6"/>
    </row>
    <row r="273" spans="4:20" x14ac:dyDescent="0.2">
      <c r="D273" s="6"/>
      <c r="E273" s="6"/>
      <c r="F273" s="6"/>
      <c r="G273" s="19"/>
      <c r="H273" s="19"/>
      <c r="I273" s="19"/>
      <c r="J273" s="19"/>
      <c r="K273" s="6"/>
      <c r="L273" s="6"/>
      <c r="M273" s="6"/>
      <c r="N273" s="6"/>
      <c r="O273" s="6"/>
      <c r="P273" s="6"/>
      <c r="Q273" s="6"/>
      <c r="R273" s="6"/>
      <c r="S273" s="6"/>
      <c r="T273" s="6"/>
    </row>
    <row r="274" spans="4:20" x14ac:dyDescent="0.2">
      <c r="D274" s="6"/>
      <c r="E274" s="6"/>
      <c r="F274" s="6"/>
      <c r="G274" s="19"/>
      <c r="H274" s="19"/>
      <c r="I274" s="19"/>
      <c r="J274" s="19"/>
      <c r="K274" s="6"/>
      <c r="L274" s="6"/>
      <c r="M274" s="6"/>
      <c r="N274" s="6"/>
      <c r="O274" s="6"/>
      <c r="P274" s="6"/>
      <c r="Q274" s="6"/>
      <c r="R274" s="6"/>
      <c r="S274" s="6"/>
      <c r="T274" s="6"/>
    </row>
    <row r="275" spans="4:20" x14ac:dyDescent="0.2">
      <c r="D275" s="6"/>
      <c r="E275" s="6"/>
      <c r="F275" s="6"/>
      <c r="G275" s="19"/>
      <c r="H275" s="19"/>
      <c r="I275" s="19"/>
      <c r="J275" s="19"/>
      <c r="K275" s="6"/>
      <c r="L275" s="6"/>
      <c r="M275" s="6"/>
      <c r="N275" s="6"/>
      <c r="O275" s="6"/>
      <c r="P275" s="6"/>
      <c r="Q275" s="6"/>
      <c r="R275" s="6"/>
      <c r="S275" s="6"/>
      <c r="T275" s="6"/>
    </row>
    <row r="276" spans="4:20" x14ac:dyDescent="0.2">
      <c r="D276" s="6"/>
      <c r="E276" s="6"/>
      <c r="F276" s="6"/>
      <c r="G276" s="19"/>
      <c r="H276" s="19"/>
      <c r="I276" s="19"/>
      <c r="J276" s="19"/>
      <c r="K276" s="6"/>
      <c r="L276" s="6"/>
      <c r="M276" s="6"/>
      <c r="N276" s="6"/>
      <c r="O276" s="6"/>
      <c r="P276" s="6"/>
      <c r="Q276" s="6"/>
      <c r="R276" s="6"/>
      <c r="S276" s="6"/>
      <c r="T276" s="6"/>
    </row>
    <row r="277" spans="4:20" x14ac:dyDescent="0.2">
      <c r="D277" s="6"/>
      <c r="E277" s="6"/>
      <c r="F277" s="6"/>
      <c r="G277" s="19"/>
      <c r="H277" s="19"/>
      <c r="I277" s="19"/>
      <c r="J277" s="19"/>
      <c r="K277" s="6"/>
      <c r="L277" s="6"/>
      <c r="M277" s="6"/>
      <c r="N277" s="6"/>
      <c r="O277" s="6"/>
      <c r="P277" s="6"/>
      <c r="Q277" s="6"/>
      <c r="R277" s="6"/>
      <c r="S277" s="6"/>
      <c r="T277" s="6"/>
    </row>
    <row r="278" spans="4:20" x14ac:dyDescent="0.2">
      <c r="D278" s="6"/>
      <c r="E278" s="6"/>
      <c r="F278" s="6"/>
      <c r="G278" s="19"/>
      <c r="H278" s="19"/>
      <c r="I278" s="19"/>
      <c r="J278" s="19"/>
      <c r="K278" s="6"/>
      <c r="L278" s="6"/>
      <c r="M278" s="6"/>
      <c r="N278" s="6"/>
      <c r="O278" s="6"/>
      <c r="P278" s="6"/>
      <c r="Q278" s="6"/>
      <c r="R278" s="6"/>
      <c r="S278" s="6"/>
      <c r="T278" s="6"/>
    </row>
    <row r="279" spans="4:20" x14ac:dyDescent="0.2">
      <c r="D279" s="6"/>
      <c r="E279" s="6"/>
      <c r="F279" s="6"/>
      <c r="G279" s="19"/>
      <c r="H279" s="19"/>
      <c r="I279" s="19"/>
      <c r="J279" s="19"/>
      <c r="K279" s="6"/>
      <c r="L279" s="6"/>
      <c r="M279" s="6"/>
      <c r="N279" s="6"/>
      <c r="O279" s="6"/>
      <c r="P279" s="6"/>
      <c r="Q279" s="6"/>
      <c r="R279" s="6"/>
      <c r="S279" s="6"/>
      <c r="T279" s="6"/>
    </row>
    <row r="280" spans="4:20" x14ac:dyDescent="0.2">
      <c r="D280" s="6"/>
      <c r="E280" s="6"/>
      <c r="F280" s="6"/>
      <c r="G280" s="19"/>
      <c r="H280" s="19"/>
      <c r="I280" s="19"/>
      <c r="J280" s="19"/>
      <c r="K280" s="6"/>
      <c r="L280" s="6"/>
      <c r="M280" s="6"/>
      <c r="N280" s="6"/>
      <c r="O280" s="6"/>
      <c r="P280" s="6"/>
      <c r="Q280" s="6"/>
      <c r="R280" s="6"/>
      <c r="S280" s="6"/>
      <c r="T280" s="6"/>
    </row>
    <row r="281" spans="4:20" x14ac:dyDescent="0.2">
      <c r="D281" s="6"/>
      <c r="E281" s="6"/>
      <c r="F281" s="6"/>
      <c r="G281" s="19"/>
      <c r="H281" s="19"/>
      <c r="I281" s="19"/>
      <c r="J281" s="19"/>
      <c r="K281" s="6"/>
      <c r="L281" s="6"/>
      <c r="M281" s="6"/>
      <c r="N281" s="6"/>
      <c r="O281" s="6"/>
      <c r="P281" s="6"/>
      <c r="Q281" s="6"/>
      <c r="R281" s="6"/>
      <c r="S281" s="6"/>
      <c r="T281" s="6"/>
    </row>
    <row r="282" spans="4:20" x14ac:dyDescent="0.2">
      <c r="D282" s="6"/>
      <c r="E282" s="6"/>
      <c r="F282" s="6"/>
      <c r="G282" s="19"/>
      <c r="H282" s="19"/>
      <c r="I282" s="19"/>
      <c r="J282" s="19"/>
      <c r="K282" s="6"/>
      <c r="L282" s="6"/>
      <c r="M282" s="6"/>
      <c r="N282" s="6"/>
      <c r="O282" s="6"/>
      <c r="P282" s="6"/>
      <c r="Q282" s="6"/>
      <c r="R282" s="6"/>
      <c r="S282" s="6"/>
      <c r="T282" s="6"/>
    </row>
    <row r="283" spans="4:20" x14ac:dyDescent="0.2">
      <c r="D283" s="6"/>
      <c r="E283" s="6"/>
      <c r="F283" s="6"/>
      <c r="G283" s="19"/>
      <c r="H283" s="19"/>
      <c r="I283" s="19"/>
      <c r="J283" s="19"/>
      <c r="K283" s="6"/>
      <c r="L283" s="6"/>
      <c r="M283" s="6"/>
      <c r="N283" s="6"/>
      <c r="O283" s="6"/>
      <c r="P283" s="6"/>
      <c r="Q283" s="6"/>
      <c r="R283" s="6"/>
      <c r="S283" s="6"/>
      <c r="T283" s="6"/>
    </row>
    <row r="284" spans="4:20" x14ac:dyDescent="0.2">
      <c r="D284" s="6"/>
      <c r="E284" s="6"/>
      <c r="F284" s="6"/>
      <c r="G284" s="19"/>
      <c r="H284" s="19"/>
      <c r="I284" s="19"/>
      <c r="J284" s="19"/>
      <c r="K284" s="6"/>
      <c r="L284" s="6"/>
      <c r="M284" s="6"/>
      <c r="N284" s="6"/>
      <c r="O284" s="6"/>
      <c r="P284" s="6"/>
      <c r="Q284" s="6"/>
      <c r="R284" s="6"/>
      <c r="S284" s="6"/>
      <c r="T284" s="6"/>
    </row>
    <row r="285" spans="4:20" x14ac:dyDescent="0.2">
      <c r="D285" s="6"/>
      <c r="E285" s="6"/>
      <c r="F285" s="6"/>
      <c r="G285" s="19"/>
      <c r="H285" s="19"/>
      <c r="I285" s="19"/>
      <c r="J285" s="19"/>
      <c r="K285" s="6"/>
      <c r="L285" s="6"/>
      <c r="M285" s="6"/>
      <c r="N285" s="6"/>
      <c r="O285" s="6"/>
      <c r="P285" s="6"/>
      <c r="Q285" s="6"/>
      <c r="R285" s="6"/>
      <c r="S285" s="6"/>
      <c r="T285" s="6"/>
    </row>
    <row r="286" spans="4:20" x14ac:dyDescent="0.2">
      <c r="D286" s="6"/>
      <c r="E286" s="6"/>
      <c r="F286" s="6"/>
      <c r="G286" s="19"/>
      <c r="H286" s="19"/>
      <c r="I286" s="19"/>
      <c r="J286" s="19"/>
      <c r="K286" s="6"/>
      <c r="L286" s="6"/>
      <c r="M286" s="6"/>
      <c r="N286" s="6"/>
      <c r="O286" s="6"/>
      <c r="P286" s="6"/>
      <c r="Q286" s="6"/>
      <c r="R286" s="6"/>
      <c r="S286" s="6"/>
      <c r="T286" s="6"/>
    </row>
    <row r="287" spans="4:20" x14ac:dyDescent="0.2">
      <c r="D287" s="6"/>
      <c r="E287" s="6"/>
      <c r="F287" s="6"/>
      <c r="G287" s="19"/>
      <c r="H287" s="19"/>
      <c r="I287" s="19"/>
      <c r="J287" s="19"/>
      <c r="K287" s="6"/>
      <c r="L287" s="6"/>
      <c r="M287" s="6"/>
      <c r="N287" s="6"/>
      <c r="O287" s="6"/>
      <c r="P287" s="6"/>
      <c r="Q287" s="6"/>
      <c r="R287" s="6"/>
      <c r="S287" s="6"/>
      <c r="T287" s="6"/>
    </row>
    <row r="288" spans="4:20" x14ac:dyDescent="0.2">
      <c r="D288" s="6"/>
      <c r="E288" s="6"/>
      <c r="F288" s="6"/>
      <c r="G288" s="19"/>
      <c r="H288" s="19"/>
      <c r="I288" s="19"/>
      <c r="J288" s="19"/>
      <c r="K288" s="6"/>
      <c r="L288" s="6"/>
      <c r="M288" s="6"/>
      <c r="N288" s="6"/>
      <c r="O288" s="6"/>
      <c r="P288" s="6"/>
      <c r="Q288" s="6"/>
      <c r="R288" s="6"/>
      <c r="S288" s="6"/>
      <c r="T288" s="6"/>
    </row>
    <row r="289" spans="4:20" x14ac:dyDescent="0.2">
      <c r="D289" s="6"/>
      <c r="E289" s="6"/>
      <c r="F289" s="6"/>
      <c r="G289" s="19"/>
      <c r="H289" s="19"/>
      <c r="I289" s="19"/>
      <c r="J289" s="19"/>
      <c r="K289" s="6"/>
      <c r="L289" s="6"/>
      <c r="M289" s="6"/>
      <c r="N289" s="6"/>
      <c r="O289" s="6"/>
      <c r="P289" s="6"/>
      <c r="Q289" s="6"/>
      <c r="R289" s="6"/>
      <c r="S289" s="6"/>
      <c r="T289" s="6"/>
    </row>
    <row r="290" spans="4:20" x14ac:dyDescent="0.2">
      <c r="D290" s="6"/>
      <c r="E290" s="6"/>
      <c r="F290" s="6"/>
      <c r="G290" s="19"/>
      <c r="H290" s="19"/>
      <c r="I290" s="19"/>
      <c r="J290" s="19"/>
      <c r="K290" s="6"/>
      <c r="L290" s="6"/>
      <c r="M290" s="6"/>
      <c r="N290" s="6"/>
      <c r="O290" s="6"/>
      <c r="P290" s="6"/>
      <c r="Q290" s="6"/>
      <c r="R290" s="6"/>
      <c r="S290" s="6"/>
      <c r="T290" s="6"/>
    </row>
    <row r="291" spans="4:20" x14ac:dyDescent="0.2">
      <c r="D291" s="6"/>
      <c r="E291" s="6"/>
      <c r="F291" s="6"/>
      <c r="G291" s="19"/>
      <c r="H291" s="19"/>
      <c r="I291" s="19"/>
      <c r="J291" s="19"/>
      <c r="K291" s="6"/>
      <c r="L291" s="6"/>
      <c r="M291" s="6"/>
      <c r="N291" s="6"/>
      <c r="O291" s="6"/>
      <c r="P291" s="6"/>
      <c r="Q291" s="6"/>
      <c r="R291" s="6"/>
      <c r="S291" s="6"/>
      <c r="T291" s="6"/>
    </row>
    <row r="292" spans="4:20" x14ac:dyDescent="0.2">
      <c r="D292" s="6"/>
      <c r="E292" s="6"/>
      <c r="F292" s="6"/>
      <c r="G292" s="19"/>
      <c r="H292" s="19"/>
      <c r="I292" s="19"/>
      <c r="J292" s="19"/>
      <c r="K292" s="6"/>
      <c r="L292" s="6"/>
      <c r="M292" s="6"/>
      <c r="N292" s="6"/>
      <c r="O292" s="6"/>
      <c r="P292" s="6"/>
      <c r="Q292" s="6"/>
      <c r="R292" s="6"/>
      <c r="S292" s="6"/>
      <c r="T292" s="6"/>
    </row>
    <row r="293" spans="4:20" x14ac:dyDescent="0.2">
      <c r="D293" s="6"/>
      <c r="E293" s="6"/>
      <c r="F293" s="6"/>
      <c r="G293" s="19"/>
      <c r="H293" s="19"/>
      <c r="I293" s="19"/>
      <c r="J293" s="19"/>
      <c r="K293" s="6"/>
      <c r="L293" s="6"/>
      <c r="M293" s="6"/>
      <c r="N293" s="6"/>
      <c r="O293" s="6"/>
      <c r="P293" s="6"/>
      <c r="Q293" s="6"/>
      <c r="R293" s="6"/>
      <c r="S293" s="6"/>
      <c r="T293" s="6"/>
    </row>
    <row r="294" spans="4:20" x14ac:dyDescent="0.2">
      <c r="D294" s="6"/>
      <c r="E294" s="6"/>
      <c r="F294" s="6"/>
      <c r="G294" s="19"/>
      <c r="H294" s="19"/>
      <c r="I294" s="19"/>
      <c r="J294" s="19"/>
      <c r="K294" s="6"/>
      <c r="L294" s="6"/>
      <c r="M294" s="6"/>
      <c r="N294" s="6"/>
      <c r="O294" s="6"/>
      <c r="P294" s="6"/>
      <c r="Q294" s="6"/>
      <c r="R294" s="6"/>
      <c r="S294" s="6"/>
      <c r="T294" s="6"/>
    </row>
    <row r="295" spans="4:20" x14ac:dyDescent="0.2">
      <c r="D295" s="6"/>
      <c r="E295" s="6"/>
      <c r="F295" s="6"/>
      <c r="G295" s="19"/>
      <c r="H295" s="19"/>
      <c r="I295" s="19"/>
      <c r="J295" s="19"/>
      <c r="K295" s="6"/>
      <c r="L295" s="6"/>
      <c r="M295" s="6"/>
      <c r="N295" s="6"/>
      <c r="O295" s="6"/>
      <c r="P295" s="6"/>
      <c r="Q295" s="6"/>
      <c r="R295" s="6"/>
      <c r="S295" s="6"/>
      <c r="T295" s="6"/>
    </row>
    <row r="296" spans="4:20" x14ac:dyDescent="0.2">
      <c r="D296" s="6"/>
      <c r="E296" s="6"/>
      <c r="F296" s="6"/>
      <c r="G296" s="19"/>
      <c r="H296" s="19"/>
      <c r="I296" s="19"/>
      <c r="J296" s="19"/>
      <c r="K296" s="6"/>
      <c r="L296" s="6"/>
      <c r="M296" s="6"/>
      <c r="N296" s="6"/>
      <c r="O296" s="6"/>
      <c r="P296" s="6"/>
      <c r="Q296" s="6"/>
      <c r="R296" s="6"/>
      <c r="S296" s="6"/>
      <c r="T296" s="6"/>
    </row>
    <row r="297" spans="4:20" x14ac:dyDescent="0.2">
      <c r="D297" s="6"/>
      <c r="E297" s="6"/>
      <c r="F297" s="6"/>
      <c r="G297" s="19"/>
      <c r="H297" s="19"/>
      <c r="I297" s="19"/>
      <c r="J297" s="19"/>
      <c r="K297" s="6"/>
      <c r="L297" s="6"/>
      <c r="M297" s="6"/>
      <c r="N297" s="6"/>
      <c r="O297" s="6"/>
      <c r="P297" s="6"/>
      <c r="Q297" s="6"/>
      <c r="R297" s="6"/>
      <c r="S297" s="6"/>
      <c r="T297" s="6"/>
    </row>
    <row r="298" spans="4:20" x14ac:dyDescent="0.2">
      <c r="D298" s="6"/>
      <c r="E298" s="6"/>
      <c r="F298" s="6"/>
      <c r="G298" s="19"/>
      <c r="H298" s="19"/>
      <c r="I298" s="19"/>
      <c r="J298" s="19"/>
      <c r="K298" s="6"/>
      <c r="L298" s="6"/>
      <c r="M298" s="6"/>
      <c r="N298" s="6"/>
      <c r="O298" s="6"/>
      <c r="P298" s="6"/>
      <c r="Q298" s="6"/>
      <c r="R298" s="6"/>
      <c r="S298" s="6"/>
      <c r="T298" s="6"/>
    </row>
    <row r="299" spans="4:20" x14ac:dyDescent="0.2">
      <c r="D299" s="6"/>
      <c r="E299" s="6"/>
      <c r="F299" s="6"/>
      <c r="G299" s="19"/>
      <c r="H299" s="19"/>
      <c r="I299" s="19"/>
      <c r="J299" s="19"/>
      <c r="K299" s="6"/>
      <c r="L299" s="6"/>
      <c r="M299" s="6"/>
      <c r="N299" s="6"/>
      <c r="O299" s="6"/>
      <c r="P299" s="6"/>
      <c r="Q299" s="6"/>
      <c r="R299" s="6"/>
      <c r="S299" s="6"/>
      <c r="T299" s="6"/>
    </row>
    <row r="300" spans="4:20" x14ac:dyDescent="0.2">
      <c r="D300" s="6"/>
      <c r="E300" s="6"/>
      <c r="F300" s="6"/>
      <c r="G300" s="19"/>
      <c r="H300" s="19"/>
      <c r="I300" s="19"/>
      <c r="J300" s="19"/>
      <c r="K300" s="6"/>
      <c r="L300" s="6"/>
      <c r="M300" s="6"/>
      <c r="N300" s="6"/>
      <c r="O300" s="6"/>
      <c r="P300" s="6"/>
      <c r="Q300" s="6"/>
      <c r="R300" s="6"/>
      <c r="S300" s="6"/>
      <c r="T300" s="6"/>
    </row>
    <row r="301" spans="4:20" x14ac:dyDescent="0.2">
      <c r="D301" s="6"/>
      <c r="E301" s="6"/>
      <c r="F301" s="6"/>
      <c r="G301" s="19"/>
      <c r="H301" s="19"/>
      <c r="I301" s="19"/>
      <c r="J301" s="19"/>
      <c r="K301" s="6"/>
      <c r="L301" s="6"/>
      <c r="M301" s="6"/>
      <c r="N301" s="6"/>
      <c r="O301" s="6"/>
      <c r="P301" s="6"/>
      <c r="Q301" s="6"/>
      <c r="R301" s="6"/>
      <c r="S301" s="6"/>
      <c r="T301" s="6"/>
    </row>
    <row r="302" spans="4:20" x14ac:dyDescent="0.2">
      <c r="D302" s="6"/>
      <c r="E302" s="6"/>
      <c r="F302" s="6"/>
      <c r="G302" s="19"/>
      <c r="H302" s="19"/>
      <c r="I302" s="19"/>
      <c r="J302" s="19"/>
      <c r="K302" s="6"/>
      <c r="L302" s="6"/>
      <c r="M302" s="6"/>
      <c r="N302" s="6"/>
      <c r="O302" s="6"/>
      <c r="P302" s="6"/>
      <c r="Q302" s="6"/>
      <c r="R302" s="6"/>
      <c r="S302" s="6"/>
      <c r="T302" s="6"/>
    </row>
    <row r="303" spans="4:20" x14ac:dyDescent="0.2">
      <c r="D303" s="6"/>
      <c r="E303" s="6"/>
      <c r="F303" s="6"/>
      <c r="G303" s="19"/>
      <c r="H303" s="19"/>
      <c r="I303" s="19"/>
      <c r="J303" s="19"/>
      <c r="K303" s="6"/>
      <c r="L303" s="6"/>
      <c r="M303" s="6"/>
      <c r="N303" s="6"/>
      <c r="O303" s="6"/>
      <c r="P303" s="6"/>
      <c r="Q303" s="6"/>
      <c r="R303" s="6"/>
      <c r="S303" s="6"/>
      <c r="T303" s="6"/>
    </row>
    <row r="304" spans="4:20" x14ac:dyDescent="0.2">
      <c r="D304" s="6"/>
      <c r="E304" s="6"/>
      <c r="F304" s="6"/>
      <c r="G304" s="19"/>
      <c r="H304" s="19"/>
      <c r="I304" s="19"/>
      <c r="J304" s="19"/>
      <c r="K304" s="6"/>
      <c r="L304" s="6"/>
      <c r="M304" s="6"/>
      <c r="N304" s="6"/>
      <c r="O304" s="6"/>
      <c r="P304" s="6"/>
      <c r="Q304" s="6"/>
      <c r="R304" s="6"/>
      <c r="S304" s="6"/>
      <c r="T304" s="6"/>
    </row>
    <row r="305" spans="4:20" x14ac:dyDescent="0.2">
      <c r="D305" s="6"/>
      <c r="E305" s="6"/>
      <c r="F305" s="6"/>
      <c r="G305" s="19"/>
      <c r="H305" s="19"/>
      <c r="I305" s="19"/>
      <c r="J305" s="19"/>
      <c r="K305" s="6"/>
      <c r="L305" s="6"/>
      <c r="M305" s="6"/>
      <c r="N305" s="6"/>
      <c r="O305" s="6"/>
      <c r="P305" s="6"/>
      <c r="Q305" s="6"/>
      <c r="R305" s="6"/>
      <c r="S305" s="6"/>
      <c r="T305" s="6"/>
    </row>
    <row r="306" spans="4:20" x14ac:dyDescent="0.2">
      <c r="D306" s="6"/>
      <c r="E306" s="6"/>
      <c r="F306" s="6"/>
      <c r="G306" s="19"/>
      <c r="H306" s="19"/>
      <c r="I306" s="19"/>
      <c r="J306" s="19"/>
      <c r="K306" s="6"/>
      <c r="L306" s="6"/>
      <c r="M306" s="6"/>
      <c r="N306" s="6"/>
      <c r="O306" s="6"/>
      <c r="P306" s="6"/>
      <c r="Q306" s="6"/>
      <c r="R306" s="6"/>
      <c r="S306" s="6"/>
      <c r="T306" s="6"/>
    </row>
    <row r="307" spans="4:20" x14ac:dyDescent="0.2">
      <c r="D307" s="6"/>
      <c r="E307" s="6"/>
      <c r="F307" s="6"/>
      <c r="G307" s="19"/>
      <c r="H307" s="19"/>
      <c r="I307" s="19"/>
      <c r="J307" s="19"/>
      <c r="K307" s="6"/>
      <c r="L307" s="6"/>
      <c r="M307" s="6"/>
      <c r="N307" s="6"/>
      <c r="O307" s="6"/>
      <c r="P307" s="6"/>
      <c r="Q307" s="6"/>
      <c r="R307" s="6"/>
      <c r="S307" s="6"/>
      <c r="T307" s="6"/>
    </row>
    <row r="308" spans="4:20" x14ac:dyDescent="0.2">
      <c r="D308" s="6"/>
      <c r="E308" s="6"/>
      <c r="F308" s="6"/>
      <c r="G308" s="19"/>
      <c r="H308" s="19"/>
      <c r="I308" s="19"/>
      <c r="J308" s="19"/>
      <c r="K308" s="6"/>
      <c r="L308" s="6"/>
      <c r="M308" s="6"/>
      <c r="N308" s="6"/>
      <c r="O308" s="6"/>
      <c r="P308" s="6"/>
      <c r="Q308" s="6"/>
      <c r="R308" s="6"/>
      <c r="S308" s="6"/>
      <c r="T308" s="6"/>
    </row>
    <row r="309" spans="4:20" x14ac:dyDescent="0.2">
      <c r="D309" s="6"/>
      <c r="E309" s="6"/>
      <c r="F309" s="6"/>
      <c r="G309" s="19"/>
      <c r="H309" s="19"/>
      <c r="I309" s="19"/>
      <c r="J309" s="19"/>
      <c r="K309" s="6"/>
      <c r="L309" s="6"/>
      <c r="M309" s="6"/>
      <c r="N309" s="6"/>
      <c r="O309" s="6"/>
      <c r="P309" s="6"/>
      <c r="Q309" s="6"/>
      <c r="R309" s="6"/>
      <c r="S309" s="6"/>
      <c r="T309" s="6"/>
    </row>
    <row r="310" spans="4:20" x14ac:dyDescent="0.2">
      <c r="D310" s="6"/>
      <c r="E310" s="6"/>
      <c r="F310" s="6"/>
      <c r="G310" s="19"/>
      <c r="H310" s="19"/>
      <c r="I310" s="19"/>
      <c r="J310" s="19"/>
      <c r="K310" s="6"/>
      <c r="L310" s="6"/>
      <c r="M310" s="6"/>
      <c r="N310" s="6"/>
      <c r="O310" s="6"/>
      <c r="P310" s="6"/>
      <c r="Q310" s="6"/>
      <c r="R310" s="6"/>
      <c r="S310" s="6"/>
      <c r="T310" s="6"/>
    </row>
    <row r="311" spans="4:20" x14ac:dyDescent="0.2">
      <c r="D311" s="6"/>
      <c r="E311" s="6"/>
      <c r="F311" s="6"/>
      <c r="G311" s="19"/>
      <c r="H311" s="19"/>
      <c r="I311" s="19"/>
      <c r="J311" s="19"/>
      <c r="K311" s="6"/>
      <c r="L311" s="6"/>
      <c r="M311" s="6"/>
      <c r="N311" s="6"/>
      <c r="O311" s="6"/>
      <c r="P311" s="6"/>
      <c r="Q311" s="6"/>
      <c r="R311" s="6"/>
      <c r="S311" s="6"/>
      <c r="T311" s="6"/>
    </row>
    <row r="312" spans="4:20" x14ac:dyDescent="0.2">
      <c r="D312" s="6"/>
      <c r="E312" s="6"/>
      <c r="F312" s="6"/>
      <c r="G312" s="19"/>
      <c r="H312" s="19"/>
      <c r="I312" s="19"/>
      <c r="J312" s="19"/>
      <c r="K312" s="6"/>
      <c r="L312" s="6"/>
      <c r="M312" s="6"/>
      <c r="N312" s="6"/>
      <c r="O312" s="6"/>
      <c r="P312" s="6"/>
      <c r="Q312" s="6"/>
      <c r="R312" s="6"/>
      <c r="S312" s="6"/>
      <c r="T312" s="6"/>
    </row>
    <row r="313" spans="4:20" x14ac:dyDescent="0.2">
      <c r="D313" s="6"/>
      <c r="E313" s="6"/>
      <c r="F313" s="6"/>
      <c r="G313" s="19"/>
      <c r="H313" s="19"/>
      <c r="I313" s="19"/>
      <c r="J313" s="19"/>
      <c r="K313" s="6"/>
      <c r="L313" s="6"/>
      <c r="M313" s="6"/>
      <c r="N313" s="6"/>
      <c r="O313" s="6"/>
      <c r="P313" s="6"/>
      <c r="Q313" s="6"/>
      <c r="R313" s="6"/>
      <c r="S313" s="6"/>
      <c r="T313" s="6"/>
    </row>
    <row r="314" spans="4:20" x14ac:dyDescent="0.2">
      <c r="D314" s="6"/>
      <c r="E314" s="6"/>
      <c r="F314" s="6"/>
      <c r="G314" s="19"/>
      <c r="H314" s="19"/>
      <c r="I314" s="19"/>
      <c r="J314" s="19"/>
      <c r="K314" s="6"/>
      <c r="L314" s="6"/>
      <c r="M314" s="6"/>
      <c r="N314" s="6"/>
      <c r="O314" s="6"/>
      <c r="P314" s="6"/>
      <c r="Q314" s="6"/>
      <c r="R314" s="6"/>
      <c r="S314" s="6"/>
      <c r="T314" s="6"/>
    </row>
    <row r="315" spans="4:20" x14ac:dyDescent="0.2">
      <c r="D315" s="6"/>
      <c r="E315" s="6"/>
      <c r="F315" s="6"/>
      <c r="G315" s="19"/>
      <c r="H315" s="19"/>
      <c r="I315" s="19"/>
      <c r="J315" s="19"/>
      <c r="K315" s="6"/>
      <c r="L315" s="6"/>
      <c r="M315" s="6"/>
      <c r="N315" s="6"/>
      <c r="O315" s="6"/>
      <c r="P315" s="6"/>
      <c r="Q315" s="6"/>
      <c r="R315" s="6"/>
      <c r="S315" s="6"/>
      <c r="T315" s="6"/>
    </row>
    <row r="316" spans="4:20" x14ac:dyDescent="0.2">
      <c r="D316" s="6"/>
      <c r="E316" s="6"/>
      <c r="F316" s="6"/>
      <c r="G316" s="19"/>
      <c r="H316" s="19"/>
      <c r="I316" s="19"/>
      <c r="J316" s="19"/>
      <c r="K316" s="6"/>
      <c r="L316" s="6"/>
      <c r="M316" s="6"/>
      <c r="N316" s="6"/>
      <c r="O316" s="6"/>
      <c r="P316" s="6"/>
      <c r="Q316" s="6"/>
      <c r="R316" s="6"/>
      <c r="S316" s="6"/>
      <c r="T316" s="6"/>
    </row>
    <row r="317" spans="4:20" x14ac:dyDescent="0.2">
      <c r="D317" s="6"/>
      <c r="E317" s="6"/>
      <c r="F317" s="6"/>
      <c r="G317" s="19"/>
      <c r="H317" s="19"/>
      <c r="I317" s="19"/>
      <c r="J317" s="19"/>
      <c r="K317" s="6"/>
      <c r="L317" s="6"/>
      <c r="M317" s="6"/>
      <c r="N317" s="6"/>
      <c r="O317" s="6"/>
      <c r="P317" s="6"/>
      <c r="Q317" s="6"/>
      <c r="R317" s="6"/>
      <c r="S317" s="6"/>
      <c r="T317" s="6"/>
    </row>
    <row r="318" spans="4:20" x14ac:dyDescent="0.2">
      <c r="D318" s="6"/>
      <c r="E318" s="6"/>
      <c r="F318" s="6"/>
      <c r="G318" s="19"/>
      <c r="H318" s="19"/>
      <c r="I318" s="19"/>
      <c r="J318" s="19"/>
      <c r="K318" s="6"/>
      <c r="L318" s="6"/>
      <c r="M318" s="6"/>
      <c r="N318" s="6"/>
      <c r="O318" s="6"/>
      <c r="P318" s="6"/>
      <c r="Q318" s="6"/>
      <c r="R318" s="6"/>
      <c r="S318" s="6"/>
      <c r="T318" s="6"/>
    </row>
    <row r="319" spans="4:20" x14ac:dyDescent="0.2">
      <c r="D319" s="6"/>
      <c r="E319" s="6"/>
      <c r="F319" s="6"/>
      <c r="G319" s="19"/>
      <c r="H319" s="19"/>
      <c r="I319" s="19"/>
      <c r="J319" s="19"/>
      <c r="K319" s="6"/>
      <c r="L319" s="6"/>
      <c r="M319" s="6"/>
      <c r="N319" s="6"/>
      <c r="O319" s="6"/>
      <c r="P319" s="6"/>
      <c r="Q319" s="6"/>
      <c r="R319" s="6"/>
      <c r="S319" s="6"/>
      <c r="T319" s="6"/>
    </row>
    <row r="320" spans="4:20" x14ac:dyDescent="0.2">
      <c r="D320" s="6"/>
      <c r="E320" s="6"/>
      <c r="F320" s="6"/>
      <c r="G320" s="19"/>
      <c r="H320" s="19"/>
      <c r="I320" s="19"/>
      <c r="J320" s="19"/>
      <c r="K320" s="6"/>
      <c r="L320" s="6"/>
      <c r="M320" s="6"/>
      <c r="N320" s="6"/>
      <c r="O320" s="6"/>
      <c r="P320" s="6"/>
      <c r="Q320" s="6"/>
      <c r="R320" s="6"/>
      <c r="S320" s="6"/>
      <c r="T320" s="6"/>
    </row>
    <row r="321" spans="4:20" x14ac:dyDescent="0.2">
      <c r="D321" s="6"/>
      <c r="E321" s="6"/>
      <c r="F321" s="6"/>
      <c r="G321" s="19"/>
      <c r="H321" s="19"/>
      <c r="I321" s="19"/>
      <c r="J321" s="19"/>
      <c r="K321" s="6"/>
      <c r="L321" s="6"/>
      <c r="M321" s="6"/>
      <c r="N321" s="6"/>
      <c r="O321" s="6"/>
      <c r="P321" s="6"/>
      <c r="Q321" s="6"/>
      <c r="R321" s="6"/>
      <c r="S321" s="6"/>
      <c r="T321" s="6"/>
    </row>
    <row r="322" spans="4:20" x14ac:dyDescent="0.2">
      <c r="D322" s="6"/>
      <c r="E322" s="6"/>
      <c r="F322" s="6"/>
      <c r="G322" s="19"/>
      <c r="H322" s="19"/>
      <c r="I322" s="19"/>
      <c r="J322" s="19"/>
      <c r="K322" s="6"/>
      <c r="L322" s="6"/>
      <c r="M322" s="6"/>
      <c r="N322" s="6"/>
      <c r="O322" s="6"/>
      <c r="P322" s="6"/>
      <c r="Q322" s="6"/>
      <c r="R322" s="6"/>
      <c r="S322" s="6"/>
      <c r="T322" s="6"/>
    </row>
    <row r="323" spans="4:20" x14ac:dyDescent="0.2">
      <c r="D323" s="6"/>
      <c r="E323" s="6"/>
      <c r="F323" s="6"/>
      <c r="G323" s="19"/>
      <c r="H323" s="19"/>
      <c r="I323" s="19"/>
      <c r="J323" s="19"/>
      <c r="K323" s="6"/>
      <c r="L323" s="6"/>
      <c r="M323" s="6"/>
      <c r="N323" s="6"/>
      <c r="O323" s="6"/>
      <c r="P323" s="6"/>
      <c r="Q323" s="6"/>
      <c r="R323" s="6"/>
      <c r="S323" s="6"/>
      <c r="T323" s="6"/>
    </row>
    <row r="324" spans="4:20" x14ac:dyDescent="0.2">
      <c r="D324" s="6"/>
      <c r="E324" s="6"/>
      <c r="F324" s="6"/>
      <c r="G324" s="19"/>
      <c r="H324" s="19"/>
      <c r="I324" s="19"/>
      <c r="J324" s="19"/>
      <c r="K324" s="6"/>
      <c r="L324" s="6"/>
      <c r="M324" s="6"/>
      <c r="N324" s="6"/>
      <c r="O324" s="6"/>
      <c r="P324" s="6"/>
      <c r="Q324" s="6"/>
      <c r="R324" s="6"/>
      <c r="S324" s="6"/>
      <c r="T324" s="6"/>
    </row>
    <row r="325" spans="4:20" x14ac:dyDescent="0.2">
      <c r="D325" s="6"/>
      <c r="E325" s="6"/>
      <c r="F325" s="6"/>
      <c r="G325" s="19"/>
      <c r="H325" s="19"/>
      <c r="I325" s="19"/>
      <c r="J325" s="19"/>
      <c r="K325" s="6"/>
      <c r="L325" s="6"/>
      <c r="M325" s="6"/>
      <c r="N325" s="6"/>
      <c r="O325" s="6"/>
      <c r="P325" s="6"/>
      <c r="Q325" s="6"/>
      <c r="R325" s="6"/>
      <c r="S325" s="6"/>
      <c r="T325" s="6"/>
    </row>
    <row r="326" spans="4:20" x14ac:dyDescent="0.2">
      <c r="D326" s="6"/>
      <c r="E326" s="6"/>
      <c r="F326" s="6"/>
      <c r="G326" s="19"/>
      <c r="H326" s="19"/>
      <c r="I326" s="19"/>
      <c r="J326" s="19"/>
      <c r="K326" s="6"/>
      <c r="L326" s="6"/>
      <c r="M326" s="6"/>
      <c r="N326" s="6"/>
      <c r="O326" s="6"/>
      <c r="P326" s="6"/>
      <c r="Q326" s="6"/>
      <c r="R326" s="6"/>
      <c r="S326" s="6"/>
      <c r="T326" s="6"/>
    </row>
    <row r="327" spans="4:20" x14ac:dyDescent="0.2">
      <c r="D327" s="6"/>
      <c r="E327" s="6"/>
      <c r="F327" s="6"/>
      <c r="G327" s="19"/>
      <c r="H327" s="19"/>
      <c r="I327" s="19"/>
      <c r="J327" s="19"/>
      <c r="K327" s="6"/>
      <c r="L327" s="6"/>
      <c r="M327" s="6"/>
      <c r="N327" s="6"/>
      <c r="O327" s="6"/>
      <c r="P327" s="6"/>
      <c r="Q327" s="6"/>
      <c r="R327" s="6"/>
      <c r="S327" s="6"/>
      <c r="T327" s="6"/>
    </row>
    <row r="328" spans="4:20" x14ac:dyDescent="0.2">
      <c r="D328" s="6"/>
      <c r="E328" s="6"/>
      <c r="F328" s="6"/>
      <c r="G328" s="19"/>
      <c r="H328" s="19"/>
      <c r="I328" s="19"/>
      <c r="J328" s="19"/>
      <c r="K328" s="6"/>
      <c r="L328" s="6"/>
      <c r="M328" s="6"/>
      <c r="N328" s="6"/>
      <c r="O328" s="6"/>
      <c r="P328" s="6"/>
      <c r="Q328" s="6"/>
      <c r="R328" s="6"/>
      <c r="S328" s="6"/>
      <c r="T328" s="6"/>
    </row>
    <row r="329" spans="4:20" x14ac:dyDescent="0.2">
      <c r="D329" s="6"/>
      <c r="E329" s="6"/>
      <c r="F329" s="6"/>
      <c r="G329" s="19"/>
      <c r="H329" s="19"/>
      <c r="I329" s="19"/>
      <c r="J329" s="19"/>
      <c r="K329" s="6"/>
      <c r="L329" s="6"/>
      <c r="M329" s="6"/>
      <c r="N329" s="6"/>
      <c r="O329" s="6"/>
      <c r="P329" s="6"/>
      <c r="Q329" s="6"/>
      <c r="R329" s="6"/>
      <c r="S329" s="6"/>
      <c r="T329" s="6"/>
    </row>
    <row r="330" spans="4:20" x14ac:dyDescent="0.2">
      <c r="D330" s="6"/>
      <c r="E330" s="6"/>
      <c r="F330" s="6"/>
      <c r="G330" s="19"/>
      <c r="H330" s="19"/>
      <c r="I330" s="19"/>
      <c r="J330" s="19"/>
      <c r="K330" s="6"/>
      <c r="L330" s="6"/>
      <c r="M330" s="6"/>
      <c r="N330" s="6"/>
      <c r="O330" s="6"/>
      <c r="P330" s="6"/>
      <c r="Q330" s="6"/>
      <c r="R330" s="6"/>
      <c r="S330" s="6"/>
      <c r="T330" s="6"/>
    </row>
    <row r="331" spans="4:20" x14ac:dyDescent="0.2">
      <c r="D331" s="6"/>
      <c r="E331" s="6"/>
      <c r="F331" s="6"/>
      <c r="G331" s="19"/>
      <c r="H331" s="19"/>
      <c r="I331" s="19"/>
      <c r="J331" s="19"/>
      <c r="K331" s="6"/>
      <c r="L331" s="6"/>
      <c r="M331" s="6"/>
      <c r="N331" s="6"/>
      <c r="O331" s="6"/>
      <c r="P331" s="6"/>
      <c r="Q331" s="6"/>
      <c r="R331" s="6"/>
      <c r="S331" s="6"/>
      <c r="T331" s="6"/>
    </row>
    <row r="332" spans="4:20" x14ac:dyDescent="0.2">
      <c r="D332" s="6"/>
      <c r="E332" s="6"/>
      <c r="F332" s="6"/>
      <c r="G332" s="19"/>
      <c r="H332" s="19"/>
      <c r="I332" s="19"/>
      <c r="J332" s="19"/>
      <c r="K332" s="6"/>
      <c r="L332" s="6"/>
      <c r="M332" s="6"/>
      <c r="N332" s="6"/>
      <c r="O332" s="6"/>
      <c r="P332" s="6"/>
      <c r="Q332" s="6"/>
      <c r="R332" s="6"/>
      <c r="S332" s="6"/>
      <c r="T332" s="6"/>
    </row>
    <row r="333" spans="4:20" x14ac:dyDescent="0.2">
      <c r="D333" s="6"/>
      <c r="E333" s="6"/>
      <c r="F333" s="6"/>
      <c r="G333" s="19"/>
      <c r="H333" s="19"/>
      <c r="I333" s="19"/>
      <c r="J333" s="19"/>
      <c r="K333" s="6"/>
      <c r="L333" s="6"/>
      <c r="M333" s="6"/>
      <c r="N333" s="6"/>
      <c r="O333" s="6"/>
      <c r="P333" s="6"/>
      <c r="Q333" s="6"/>
      <c r="R333" s="6"/>
      <c r="S333" s="6"/>
      <c r="T333" s="6"/>
    </row>
    <row r="334" spans="4:20" x14ac:dyDescent="0.2">
      <c r="D334" s="6"/>
      <c r="E334" s="6"/>
      <c r="F334" s="6"/>
      <c r="G334" s="19"/>
      <c r="H334" s="19"/>
      <c r="I334" s="19"/>
      <c r="J334" s="19"/>
      <c r="K334" s="6"/>
      <c r="L334" s="6"/>
      <c r="M334" s="6"/>
      <c r="N334" s="6"/>
      <c r="O334" s="6"/>
      <c r="P334" s="6"/>
      <c r="Q334" s="6"/>
      <c r="R334" s="6"/>
      <c r="S334" s="6"/>
      <c r="T334" s="6"/>
    </row>
    <row r="335" spans="4:20" x14ac:dyDescent="0.2">
      <c r="D335" s="6"/>
      <c r="E335" s="6"/>
      <c r="F335" s="6"/>
      <c r="G335" s="19"/>
      <c r="H335" s="19"/>
      <c r="I335" s="19"/>
      <c r="J335" s="19"/>
      <c r="K335" s="6"/>
      <c r="L335" s="6"/>
      <c r="M335" s="6"/>
      <c r="N335" s="6"/>
      <c r="O335" s="6"/>
      <c r="P335" s="6"/>
      <c r="Q335" s="6"/>
      <c r="R335" s="6"/>
      <c r="S335" s="6"/>
      <c r="T335" s="6"/>
    </row>
    <row r="336" spans="4:20" x14ac:dyDescent="0.2">
      <c r="D336" s="6"/>
      <c r="E336" s="6"/>
      <c r="F336" s="6"/>
      <c r="G336" s="19"/>
      <c r="H336" s="19"/>
      <c r="I336" s="19"/>
      <c r="J336" s="19"/>
      <c r="K336" s="6"/>
      <c r="L336" s="6"/>
      <c r="M336" s="6"/>
      <c r="N336" s="6"/>
      <c r="O336" s="6"/>
      <c r="P336" s="6"/>
      <c r="Q336" s="6"/>
      <c r="R336" s="6"/>
      <c r="S336" s="6"/>
      <c r="T336" s="6"/>
    </row>
    <row r="337" spans="4:20" x14ac:dyDescent="0.2">
      <c r="D337" s="6"/>
      <c r="E337" s="6"/>
      <c r="F337" s="6"/>
      <c r="G337" s="19"/>
      <c r="H337" s="19"/>
      <c r="I337" s="19"/>
      <c r="J337" s="19"/>
      <c r="K337" s="6"/>
      <c r="L337" s="6"/>
      <c r="M337" s="6"/>
      <c r="N337" s="6"/>
      <c r="O337" s="6"/>
      <c r="P337" s="6"/>
      <c r="Q337" s="6"/>
      <c r="R337" s="6"/>
      <c r="S337" s="6"/>
      <c r="T337" s="6"/>
    </row>
    <row r="338" spans="4:20" x14ac:dyDescent="0.2">
      <c r="D338" s="6"/>
      <c r="E338" s="6"/>
      <c r="F338" s="6"/>
      <c r="G338" s="19"/>
      <c r="H338" s="19"/>
      <c r="I338" s="19"/>
      <c r="J338" s="19"/>
      <c r="K338" s="6"/>
      <c r="L338" s="6"/>
      <c r="M338" s="6"/>
      <c r="N338" s="6"/>
      <c r="O338" s="6"/>
      <c r="P338" s="6"/>
      <c r="Q338" s="6"/>
      <c r="R338" s="6"/>
      <c r="S338" s="6"/>
      <c r="T338" s="6"/>
    </row>
    <row r="339" spans="4:20" x14ac:dyDescent="0.2">
      <c r="D339" s="6"/>
      <c r="E339" s="6"/>
      <c r="F339" s="6"/>
      <c r="G339" s="19"/>
      <c r="H339" s="19"/>
      <c r="I339" s="19"/>
      <c r="J339" s="19"/>
      <c r="K339" s="6"/>
      <c r="L339" s="6"/>
      <c r="M339" s="6"/>
      <c r="N339" s="6"/>
      <c r="O339" s="6"/>
      <c r="P339" s="6"/>
      <c r="Q339" s="6"/>
      <c r="R339" s="6"/>
      <c r="S339" s="6"/>
      <c r="T339" s="6"/>
    </row>
    <row r="340" spans="4:20" x14ac:dyDescent="0.2">
      <c r="D340" s="6"/>
      <c r="E340" s="6"/>
      <c r="F340" s="6"/>
      <c r="G340" s="19"/>
      <c r="H340" s="19"/>
      <c r="I340" s="19"/>
      <c r="J340" s="19"/>
      <c r="K340" s="6"/>
      <c r="L340" s="6"/>
      <c r="M340" s="6"/>
      <c r="N340" s="6"/>
      <c r="O340" s="6"/>
      <c r="P340" s="6"/>
      <c r="Q340" s="6"/>
      <c r="R340" s="6"/>
      <c r="S340" s="6"/>
      <c r="T340" s="6"/>
    </row>
    <row r="341" spans="4:20" x14ac:dyDescent="0.2">
      <c r="D341" s="6"/>
      <c r="E341" s="6"/>
      <c r="F341" s="6"/>
      <c r="G341" s="19"/>
      <c r="H341" s="19"/>
      <c r="I341" s="19"/>
      <c r="J341" s="19"/>
      <c r="K341" s="6"/>
      <c r="L341" s="6"/>
      <c r="M341" s="6"/>
      <c r="N341" s="6"/>
      <c r="O341" s="6"/>
      <c r="P341" s="6"/>
      <c r="Q341" s="6"/>
      <c r="R341" s="6"/>
      <c r="S341" s="6"/>
      <c r="T341" s="6"/>
    </row>
    <row r="342" spans="4:20" x14ac:dyDescent="0.2">
      <c r="D342" s="6"/>
      <c r="E342" s="6"/>
      <c r="F342" s="6"/>
      <c r="G342" s="19"/>
      <c r="H342" s="19"/>
      <c r="I342" s="19"/>
      <c r="J342" s="19"/>
      <c r="K342" s="6"/>
      <c r="L342" s="6"/>
      <c r="M342" s="6"/>
      <c r="N342" s="6"/>
      <c r="O342" s="6"/>
      <c r="P342" s="6"/>
      <c r="Q342" s="6"/>
      <c r="R342" s="6"/>
      <c r="S342" s="6"/>
      <c r="T342" s="6"/>
    </row>
    <row r="343" spans="4:20" x14ac:dyDescent="0.2">
      <c r="D343" s="6"/>
      <c r="E343" s="6"/>
      <c r="F343" s="6"/>
      <c r="G343" s="19"/>
      <c r="H343" s="19"/>
      <c r="I343" s="19"/>
      <c r="J343" s="19"/>
      <c r="K343" s="6"/>
      <c r="L343" s="6"/>
      <c r="M343" s="6"/>
      <c r="N343" s="6"/>
      <c r="O343" s="6"/>
      <c r="P343" s="6"/>
      <c r="Q343" s="6"/>
      <c r="R343" s="6"/>
      <c r="S343" s="6"/>
      <c r="T343" s="6"/>
    </row>
    <row r="344" spans="4:20" x14ac:dyDescent="0.2">
      <c r="D344" s="6"/>
      <c r="E344" s="6"/>
      <c r="F344" s="6"/>
      <c r="G344" s="19"/>
      <c r="H344" s="19"/>
      <c r="I344" s="19"/>
      <c r="J344" s="19"/>
      <c r="K344" s="6"/>
      <c r="L344" s="6"/>
      <c r="M344" s="6"/>
      <c r="N344" s="6"/>
      <c r="O344" s="6"/>
      <c r="P344" s="6"/>
      <c r="Q344" s="6"/>
      <c r="R344" s="6"/>
      <c r="S344" s="6"/>
      <c r="T344" s="6"/>
    </row>
    <row r="345" spans="4:20" x14ac:dyDescent="0.2">
      <c r="D345" s="6"/>
      <c r="E345" s="6"/>
      <c r="F345" s="6"/>
      <c r="G345" s="19"/>
      <c r="H345" s="19"/>
      <c r="I345" s="19"/>
      <c r="J345" s="19"/>
      <c r="K345" s="6"/>
      <c r="L345" s="6"/>
      <c r="M345" s="6"/>
      <c r="N345" s="6"/>
      <c r="O345" s="6"/>
      <c r="P345" s="6"/>
      <c r="Q345" s="6"/>
      <c r="R345" s="6"/>
      <c r="S345" s="6"/>
      <c r="T345" s="6"/>
    </row>
    <row r="346" spans="4:20" x14ac:dyDescent="0.2">
      <c r="D346" s="6"/>
      <c r="E346" s="6"/>
      <c r="F346" s="6"/>
      <c r="G346" s="19"/>
      <c r="H346" s="19"/>
      <c r="I346" s="19"/>
      <c r="J346" s="19"/>
      <c r="K346" s="6"/>
      <c r="L346" s="6"/>
      <c r="M346" s="6"/>
      <c r="N346" s="6"/>
      <c r="O346" s="6"/>
      <c r="P346" s="6"/>
      <c r="Q346" s="6"/>
      <c r="R346" s="6"/>
      <c r="S346" s="6"/>
      <c r="T346" s="6"/>
    </row>
    <row r="347" spans="4:20" x14ac:dyDescent="0.2">
      <c r="D347" s="6"/>
      <c r="E347" s="6"/>
      <c r="F347" s="6"/>
      <c r="G347" s="19"/>
      <c r="H347" s="19"/>
      <c r="I347" s="19"/>
      <c r="J347" s="19"/>
      <c r="K347" s="6"/>
      <c r="L347" s="6"/>
      <c r="M347" s="6"/>
      <c r="N347" s="6"/>
      <c r="O347" s="6"/>
      <c r="P347" s="6"/>
      <c r="Q347" s="6"/>
      <c r="R347" s="6"/>
      <c r="S347" s="6"/>
      <c r="T347" s="6"/>
    </row>
    <row r="348" spans="4:20" x14ac:dyDescent="0.2">
      <c r="D348" s="6"/>
      <c r="E348" s="6"/>
      <c r="F348" s="6"/>
      <c r="G348" s="19"/>
      <c r="H348" s="19"/>
      <c r="I348" s="19"/>
      <c r="J348" s="19"/>
      <c r="K348" s="6"/>
      <c r="L348" s="6"/>
      <c r="M348" s="6"/>
      <c r="N348" s="6"/>
      <c r="O348" s="6"/>
      <c r="P348" s="6"/>
      <c r="Q348" s="6"/>
      <c r="R348" s="6"/>
      <c r="S348" s="6"/>
      <c r="T348" s="6"/>
    </row>
    <row r="349" spans="4:20" x14ac:dyDescent="0.2">
      <c r="D349" s="6"/>
      <c r="E349" s="6"/>
      <c r="F349" s="6"/>
      <c r="G349" s="19"/>
      <c r="H349" s="19"/>
      <c r="I349" s="19"/>
      <c r="J349" s="19"/>
      <c r="K349" s="6"/>
      <c r="L349" s="6"/>
      <c r="M349" s="6"/>
      <c r="N349" s="6"/>
      <c r="O349" s="6"/>
      <c r="P349" s="6"/>
      <c r="Q349" s="6"/>
      <c r="R349" s="6"/>
      <c r="S349" s="6"/>
      <c r="T349" s="6"/>
    </row>
    <row r="350" spans="4:20" x14ac:dyDescent="0.2">
      <c r="D350" s="6"/>
      <c r="E350" s="6"/>
      <c r="F350" s="6"/>
      <c r="G350" s="19"/>
      <c r="H350" s="19"/>
      <c r="I350" s="19"/>
      <c r="J350" s="19"/>
      <c r="K350" s="6"/>
      <c r="L350" s="6"/>
      <c r="M350" s="6"/>
      <c r="N350" s="6"/>
      <c r="O350" s="6"/>
      <c r="P350" s="6"/>
      <c r="Q350" s="6"/>
      <c r="R350" s="6"/>
      <c r="S350" s="6"/>
      <c r="T350" s="6"/>
    </row>
    <row r="351" spans="4:20" x14ac:dyDescent="0.2">
      <c r="D351" s="6"/>
      <c r="E351" s="6"/>
      <c r="F351" s="6"/>
      <c r="G351" s="19"/>
      <c r="H351" s="19"/>
      <c r="I351" s="19"/>
      <c r="J351" s="19"/>
      <c r="K351" s="6"/>
      <c r="L351" s="6"/>
      <c r="M351" s="6"/>
      <c r="N351" s="6"/>
      <c r="O351" s="6"/>
      <c r="P351" s="6"/>
      <c r="Q351" s="6"/>
      <c r="R351" s="6"/>
      <c r="S351" s="6"/>
      <c r="T351" s="6"/>
    </row>
    <row r="352" spans="4:20" x14ac:dyDescent="0.2">
      <c r="D352" s="6"/>
      <c r="E352" s="6"/>
      <c r="F352" s="6"/>
      <c r="G352" s="19"/>
      <c r="H352" s="19"/>
      <c r="I352" s="19"/>
      <c r="J352" s="19"/>
      <c r="K352" s="6"/>
      <c r="L352" s="6"/>
      <c r="M352" s="6"/>
      <c r="N352" s="6"/>
      <c r="O352" s="6"/>
      <c r="P352" s="6"/>
      <c r="Q352" s="6"/>
      <c r="R352" s="6"/>
      <c r="S352" s="6"/>
      <c r="T352" s="6"/>
    </row>
    <row r="353" spans="4:20" x14ac:dyDescent="0.2">
      <c r="D353" s="6"/>
      <c r="E353" s="6"/>
      <c r="F353" s="6"/>
      <c r="G353" s="19"/>
      <c r="H353" s="19"/>
      <c r="I353" s="19"/>
      <c r="J353" s="19"/>
      <c r="K353" s="6"/>
      <c r="L353" s="6"/>
      <c r="M353" s="6"/>
      <c r="N353" s="6"/>
      <c r="O353" s="6"/>
      <c r="P353" s="6"/>
      <c r="Q353" s="6"/>
      <c r="R353" s="6"/>
      <c r="S353" s="6"/>
      <c r="T353" s="6"/>
    </row>
    <row r="354" spans="4:20" x14ac:dyDescent="0.2">
      <c r="D354" s="6"/>
      <c r="E354" s="6"/>
      <c r="F354" s="6"/>
      <c r="G354" s="19"/>
      <c r="H354" s="19"/>
      <c r="I354" s="19"/>
      <c r="J354" s="19"/>
      <c r="K354" s="6"/>
      <c r="L354" s="6"/>
      <c r="M354" s="6"/>
      <c r="N354" s="6"/>
      <c r="O354" s="6"/>
      <c r="P354" s="6"/>
      <c r="Q354" s="6"/>
      <c r="R354" s="6"/>
      <c r="S354" s="6"/>
      <c r="T354" s="6"/>
    </row>
    <row r="355" spans="4:20" x14ac:dyDescent="0.2">
      <c r="D355" s="6"/>
      <c r="E355" s="6"/>
      <c r="F355" s="6"/>
      <c r="G355" s="19"/>
      <c r="H355" s="19"/>
      <c r="I355" s="19"/>
      <c r="J355" s="19"/>
      <c r="K355" s="6"/>
      <c r="L355" s="6"/>
      <c r="M355" s="6"/>
      <c r="N355" s="6"/>
      <c r="O355" s="6"/>
      <c r="P355" s="6"/>
      <c r="Q355" s="6"/>
      <c r="R355" s="6"/>
      <c r="S355" s="6"/>
      <c r="T355" s="6"/>
    </row>
    <row r="356" spans="4:20" x14ac:dyDescent="0.2">
      <c r="D356" s="6"/>
      <c r="E356" s="6"/>
      <c r="F356" s="6"/>
      <c r="G356" s="19"/>
      <c r="H356" s="19"/>
      <c r="I356" s="19"/>
      <c r="J356" s="19"/>
      <c r="K356" s="6"/>
      <c r="L356" s="6"/>
      <c r="M356" s="6"/>
      <c r="N356" s="6"/>
      <c r="O356" s="6"/>
      <c r="P356" s="6"/>
      <c r="Q356" s="6"/>
      <c r="R356" s="6"/>
      <c r="S356" s="6"/>
      <c r="T356" s="6"/>
    </row>
    <row r="357" spans="4:20" x14ac:dyDescent="0.2">
      <c r="D357" s="6"/>
      <c r="E357" s="6"/>
      <c r="F357" s="6"/>
      <c r="G357" s="19"/>
      <c r="H357" s="19"/>
      <c r="I357" s="19"/>
      <c r="J357" s="19"/>
      <c r="K357" s="6"/>
      <c r="L357" s="6"/>
      <c r="M357" s="6"/>
      <c r="N357" s="6"/>
      <c r="O357" s="6"/>
      <c r="P357" s="6"/>
      <c r="Q357" s="6"/>
      <c r="R357" s="6"/>
      <c r="S357" s="6"/>
      <c r="T357" s="6"/>
    </row>
    <row r="358" spans="4:20" x14ac:dyDescent="0.2">
      <c r="D358" s="6"/>
      <c r="E358" s="6"/>
      <c r="F358" s="6"/>
      <c r="G358" s="19"/>
      <c r="H358" s="19"/>
      <c r="I358" s="19"/>
      <c r="J358" s="19"/>
      <c r="K358" s="6"/>
      <c r="L358" s="6"/>
      <c r="M358" s="6"/>
      <c r="N358" s="6"/>
      <c r="O358" s="6"/>
      <c r="P358" s="6"/>
      <c r="Q358" s="6"/>
      <c r="R358" s="6"/>
      <c r="S358" s="6"/>
      <c r="T358" s="6"/>
    </row>
    <row r="359" spans="4:20" x14ac:dyDescent="0.2">
      <c r="D359" s="6"/>
      <c r="E359" s="6"/>
      <c r="F359" s="6"/>
      <c r="G359" s="19"/>
      <c r="H359" s="19"/>
      <c r="I359" s="19"/>
      <c r="J359" s="19"/>
      <c r="K359" s="6"/>
      <c r="L359" s="6"/>
      <c r="M359" s="6"/>
      <c r="N359" s="6"/>
      <c r="O359" s="6"/>
      <c r="P359" s="6"/>
      <c r="Q359" s="6"/>
      <c r="R359" s="6"/>
      <c r="S359" s="6"/>
      <c r="T359" s="6"/>
    </row>
    <row r="360" spans="4:20" x14ac:dyDescent="0.2">
      <c r="D360" s="6"/>
      <c r="E360" s="6"/>
      <c r="F360" s="6"/>
      <c r="G360" s="19"/>
      <c r="H360" s="19"/>
      <c r="I360" s="19"/>
      <c r="J360" s="19"/>
      <c r="K360" s="6"/>
      <c r="L360" s="6"/>
      <c r="M360" s="6"/>
      <c r="N360" s="6"/>
      <c r="O360" s="6"/>
      <c r="P360" s="6"/>
      <c r="Q360" s="6"/>
      <c r="R360" s="6"/>
      <c r="S360" s="6"/>
      <c r="T360" s="6"/>
    </row>
    <row r="361" spans="4:20" x14ac:dyDescent="0.2">
      <c r="D361" s="6"/>
      <c r="E361" s="6"/>
      <c r="F361" s="6"/>
      <c r="G361" s="19"/>
      <c r="H361" s="19"/>
      <c r="I361" s="19"/>
      <c r="J361" s="19"/>
      <c r="K361" s="6"/>
      <c r="L361" s="6"/>
      <c r="M361" s="6"/>
      <c r="N361" s="6"/>
      <c r="O361" s="6"/>
      <c r="P361" s="6"/>
      <c r="Q361" s="6"/>
      <c r="R361" s="6"/>
      <c r="S361" s="6"/>
      <c r="T361" s="6"/>
    </row>
    <row r="362" spans="4:20" x14ac:dyDescent="0.2">
      <c r="D362" s="6"/>
      <c r="E362" s="6"/>
      <c r="F362" s="6"/>
      <c r="G362" s="19"/>
      <c r="H362" s="19"/>
      <c r="I362" s="19"/>
      <c r="J362" s="19"/>
      <c r="K362" s="6"/>
      <c r="L362" s="6"/>
      <c r="M362" s="6"/>
      <c r="N362" s="6"/>
      <c r="O362" s="6"/>
      <c r="P362" s="6"/>
      <c r="Q362" s="6"/>
      <c r="R362" s="6"/>
      <c r="S362" s="6"/>
      <c r="T362" s="6"/>
    </row>
    <row r="363" spans="4:20" x14ac:dyDescent="0.2">
      <c r="D363" s="6"/>
      <c r="E363" s="6"/>
      <c r="F363" s="6"/>
      <c r="G363" s="19"/>
      <c r="H363" s="19"/>
      <c r="I363" s="19"/>
      <c r="J363" s="19"/>
      <c r="K363" s="6"/>
      <c r="L363" s="6"/>
      <c r="M363" s="6"/>
      <c r="N363" s="6"/>
      <c r="O363" s="6"/>
      <c r="P363" s="6"/>
      <c r="Q363" s="6"/>
      <c r="R363" s="6"/>
      <c r="S363" s="6"/>
      <c r="T363" s="6"/>
    </row>
    <row r="364" spans="4:20" x14ac:dyDescent="0.2">
      <c r="D364" s="6"/>
      <c r="E364" s="6"/>
      <c r="F364" s="6"/>
      <c r="G364" s="19"/>
      <c r="H364" s="19"/>
      <c r="I364" s="19"/>
      <c r="J364" s="19"/>
      <c r="K364" s="6"/>
      <c r="L364" s="6"/>
      <c r="M364" s="6"/>
      <c r="N364" s="6"/>
      <c r="O364" s="6"/>
      <c r="P364" s="6"/>
      <c r="Q364" s="6"/>
      <c r="R364" s="6"/>
      <c r="S364" s="6"/>
      <c r="T364" s="6"/>
    </row>
    <row r="365" spans="4:20" x14ac:dyDescent="0.2">
      <c r="D365" s="6"/>
      <c r="E365" s="6"/>
      <c r="F365" s="6"/>
      <c r="G365" s="19"/>
      <c r="H365" s="19"/>
      <c r="I365" s="19"/>
      <c r="J365" s="19"/>
      <c r="K365" s="6"/>
      <c r="L365" s="6"/>
      <c r="M365" s="6"/>
      <c r="N365" s="6"/>
      <c r="O365" s="6"/>
      <c r="P365" s="6"/>
      <c r="Q365" s="6"/>
      <c r="R365" s="6"/>
      <c r="S365" s="6"/>
      <c r="T365" s="6"/>
    </row>
    <row r="366" spans="4:20" x14ac:dyDescent="0.2">
      <c r="D366" s="6"/>
      <c r="E366" s="6"/>
      <c r="F366" s="6"/>
      <c r="G366" s="19"/>
      <c r="H366" s="19"/>
      <c r="I366" s="19"/>
      <c r="J366" s="19"/>
      <c r="K366" s="6"/>
      <c r="L366" s="6"/>
      <c r="M366" s="6"/>
      <c r="N366" s="6"/>
      <c r="O366" s="6"/>
      <c r="P366" s="6"/>
      <c r="Q366" s="6"/>
      <c r="R366" s="6"/>
      <c r="S366" s="6"/>
      <c r="T366" s="6"/>
    </row>
    <row r="367" spans="4:20" x14ac:dyDescent="0.2">
      <c r="D367" s="6"/>
      <c r="E367" s="6"/>
      <c r="F367" s="6"/>
      <c r="G367" s="19"/>
      <c r="H367" s="19"/>
      <c r="I367" s="19"/>
      <c r="J367" s="19"/>
      <c r="K367" s="6"/>
      <c r="L367" s="6"/>
      <c r="M367" s="6"/>
      <c r="N367" s="6"/>
      <c r="O367" s="6"/>
      <c r="P367" s="6"/>
      <c r="Q367" s="6"/>
      <c r="R367" s="6"/>
      <c r="S367" s="6"/>
      <c r="T367" s="6"/>
    </row>
    <row r="368" spans="4:20" x14ac:dyDescent="0.2">
      <c r="D368" s="6"/>
      <c r="E368" s="6"/>
      <c r="F368" s="6"/>
      <c r="G368" s="19"/>
      <c r="H368" s="19"/>
      <c r="I368" s="19"/>
      <c r="J368" s="19"/>
      <c r="K368" s="6"/>
      <c r="L368" s="6"/>
      <c r="M368" s="6"/>
      <c r="N368" s="6"/>
      <c r="O368" s="6"/>
      <c r="P368" s="6"/>
      <c r="Q368" s="6"/>
      <c r="R368" s="6"/>
      <c r="S368" s="6"/>
      <c r="T368" s="6"/>
    </row>
    <row r="369" spans="4:20" x14ac:dyDescent="0.2">
      <c r="D369" s="6"/>
      <c r="E369" s="6"/>
      <c r="F369" s="6"/>
      <c r="G369" s="19"/>
      <c r="H369" s="19"/>
      <c r="I369" s="19"/>
      <c r="J369" s="19"/>
      <c r="K369" s="6"/>
      <c r="L369" s="6"/>
      <c r="M369" s="6"/>
      <c r="N369" s="6"/>
      <c r="O369" s="6"/>
      <c r="P369" s="6"/>
      <c r="Q369" s="6"/>
      <c r="R369" s="6"/>
      <c r="S369" s="6"/>
      <c r="T369" s="6"/>
    </row>
    <row r="370" spans="4:20" x14ac:dyDescent="0.2">
      <c r="D370" s="6"/>
      <c r="E370" s="6"/>
      <c r="F370" s="6"/>
      <c r="G370" s="19"/>
      <c r="H370" s="19"/>
      <c r="I370" s="19"/>
      <c r="J370" s="19"/>
      <c r="K370" s="6"/>
      <c r="L370" s="6"/>
      <c r="M370" s="6"/>
      <c r="N370" s="6"/>
      <c r="O370" s="6"/>
      <c r="P370" s="6"/>
      <c r="Q370" s="6"/>
      <c r="R370" s="6"/>
      <c r="S370" s="6"/>
      <c r="T370" s="6"/>
    </row>
    <row r="371" spans="4:20" x14ac:dyDescent="0.2">
      <c r="D371" s="6"/>
      <c r="E371" s="6"/>
      <c r="F371" s="6"/>
      <c r="G371" s="19"/>
      <c r="H371" s="19"/>
      <c r="I371" s="19"/>
      <c r="J371" s="19"/>
      <c r="K371" s="6"/>
      <c r="L371" s="6"/>
      <c r="M371" s="6"/>
      <c r="N371" s="6"/>
      <c r="O371" s="6"/>
      <c r="P371" s="6"/>
      <c r="Q371" s="6"/>
      <c r="R371" s="6"/>
      <c r="S371" s="6"/>
      <c r="T371" s="6"/>
    </row>
    <row r="372" spans="4:20" x14ac:dyDescent="0.2">
      <c r="D372" s="6"/>
      <c r="E372" s="6"/>
      <c r="F372" s="6"/>
      <c r="G372" s="19"/>
      <c r="H372" s="19"/>
      <c r="I372" s="19"/>
      <c r="J372" s="19"/>
      <c r="K372" s="6"/>
      <c r="L372" s="6"/>
      <c r="M372" s="6"/>
      <c r="N372" s="6"/>
      <c r="O372" s="6"/>
      <c r="P372" s="6"/>
      <c r="Q372" s="6"/>
      <c r="R372" s="6"/>
      <c r="S372" s="6"/>
      <c r="T372" s="6"/>
    </row>
    <row r="373" spans="4:20" x14ac:dyDescent="0.2">
      <c r="D373" s="6"/>
      <c r="E373" s="6"/>
      <c r="F373" s="6"/>
      <c r="G373" s="19"/>
      <c r="H373" s="19"/>
      <c r="I373" s="19"/>
      <c r="J373" s="19"/>
      <c r="K373" s="6"/>
      <c r="L373" s="6"/>
      <c r="M373" s="6"/>
      <c r="N373" s="6"/>
      <c r="O373" s="6"/>
      <c r="P373" s="6"/>
      <c r="Q373" s="6"/>
      <c r="R373" s="6"/>
      <c r="S373" s="6"/>
      <c r="T373" s="6"/>
    </row>
    <row r="374" spans="4:20" x14ac:dyDescent="0.2">
      <c r="D374" s="6"/>
      <c r="E374" s="6"/>
      <c r="F374" s="6"/>
      <c r="G374" s="19"/>
      <c r="H374" s="19"/>
      <c r="I374" s="19"/>
      <c r="J374" s="19"/>
      <c r="K374" s="6"/>
      <c r="L374" s="6"/>
      <c r="M374" s="6"/>
      <c r="N374" s="6"/>
      <c r="O374" s="6"/>
      <c r="P374" s="6"/>
      <c r="Q374" s="6"/>
      <c r="R374" s="6"/>
      <c r="S374" s="6"/>
      <c r="T374" s="6"/>
    </row>
    <row r="375" spans="4:20" x14ac:dyDescent="0.2">
      <c r="D375" s="6"/>
      <c r="E375" s="6"/>
      <c r="F375" s="6"/>
      <c r="G375" s="19"/>
      <c r="H375" s="19"/>
      <c r="I375" s="19"/>
      <c r="J375" s="19"/>
      <c r="K375" s="6"/>
      <c r="L375" s="6"/>
      <c r="M375" s="6"/>
      <c r="N375" s="6"/>
      <c r="O375" s="6"/>
      <c r="P375" s="6"/>
      <c r="Q375" s="6"/>
      <c r="R375" s="6"/>
      <c r="S375" s="6"/>
      <c r="T375" s="6"/>
    </row>
    <row r="376" spans="4:20" x14ac:dyDescent="0.2">
      <c r="D376" s="6"/>
      <c r="E376" s="6"/>
      <c r="F376" s="6"/>
      <c r="G376" s="19"/>
      <c r="H376" s="19"/>
      <c r="I376" s="19"/>
      <c r="J376" s="19"/>
      <c r="K376" s="6"/>
      <c r="L376" s="6"/>
      <c r="M376" s="6"/>
      <c r="N376" s="6"/>
      <c r="O376" s="6"/>
      <c r="P376" s="6"/>
      <c r="Q376" s="6"/>
      <c r="R376" s="6"/>
      <c r="S376" s="6"/>
      <c r="T376" s="6"/>
    </row>
    <row r="377" spans="4:20" x14ac:dyDescent="0.2">
      <c r="D377" s="6"/>
      <c r="E377" s="6"/>
      <c r="F377" s="6"/>
      <c r="G377" s="19"/>
      <c r="H377" s="19"/>
      <c r="I377" s="19"/>
      <c r="J377" s="19"/>
      <c r="K377" s="6"/>
      <c r="L377" s="6"/>
      <c r="M377" s="6"/>
      <c r="N377" s="6"/>
      <c r="O377" s="6"/>
      <c r="P377" s="6"/>
      <c r="Q377" s="6"/>
      <c r="R377" s="6"/>
      <c r="S377" s="6"/>
      <c r="T377" s="6"/>
    </row>
    <row r="378" spans="4:20" x14ac:dyDescent="0.2">
      <c r="D378" s="6"/>
      <c r="E378" s="6"/>
      <c r="F378" s="6"/>
      <c r="G378" s="19"/>
      <c r="H378" s="19"/>
      <c r="I378" s="19"/>
      <c r="J378" s="19"/>
      <c r="K378" s="6"/>
      <c r="L378" s="6"/>
      <c r="M378" s="6"/>
      <c r="N378" s="6"/>
      <c r="O378" s="6"/>
      <c r="P378" s="6"/>
      <c r="Q378" s="6"/>
      <c r="R378" s="6"/>
      <c r="S378" s="6"/>
      <c r="T378" s="6"/>
    </row>
    <row r="379" spans="4:20" x14ac:dyDescent="0.2">
      <c r="D379" s="6"/>
      <c r="E379" s="6"/>
      <c r="F379" s="6"/>
      <c r="G379" s="19"/>
      <c r="H379" s="19"/>
      <c r="I379" s="19"/>
      <c r="J379" s="19"/>
      <c r="K379" s="6"/>
      <c r="L379" s="6"/>
      <c r="M379" s="6"/>
      <c r="N379" s="6"/>
      <c r="O379" s="6"/>
      <c r="P379" s="6"/>
      <c r="Q379" s="6"/>
      <c r="R379" s="6"/>
      <c r="S379" s="6"/>
      <c r="T379" s="6"/>
    </row>
    <row r="380" spans="4:20" x14ac:dyDescent="0.2">
      <c r="D380" s="6"/>
      <c r="E380" s="6"/>
      <c r="F380" s="6"/>
      <c r="G380" s="19"/>
      <c r="H380" s="19"/>
      <c r="I380" s="19"/>
      <c r="J380" s="19"/>
      <c r="K380" s="6"/>
      <c r="L380" s="6"/>
      <c r="M380" s="6"/>
      <c r="N380" s="6"/>
      <c r="O380" s="6"/>
      <c r="P380" s="6"/>
      <c r="Q380" s="6"/>
      <c r="R380" s="6"/>
      <c r="S380" s="6"/>
      <c r="T380" s="6"/>
    </row>
    <row r="381" spans="4:20" x14ac:dyDescent="0.2">
      <c r="D381" s="6"/>
      <c r="E381" s="6"/>
      <c r="F381" s="6"/>
      <c r="G381" s="19"/>
      <c r="H381" s="19"/>
      <c r="I381" s="19"/>
      <c r="J381" s="19"/>
      <c r="K381" s="6"/>
      <c r="L381" s="6"/>
      <c r="M381" s="6"/>
      <c r="N381" s="6"/>
      <c r="O381" s="6"/>
      <c r="P381" s="6"/>
      <c r="Q381" s="6"/>
      <c r="R381" s="6"/>
      <c r="S381" s="6"/>
      <c r="T381" s="6"/>
    </row>
    <row r="382" spans="4:20" x14ac:dyDescent="0.2">
      <c r="D382" s="6"/>
      <c r="E382" s="6"/>
      <c r="F382" s="6"/>
      <c r="G382" s="19"/>
      <c r="H382" s="19"/>
      <c r="I382" s="19"/>
      <c r="J382" s="19"/>
      <c r="K382" s="6"/>
      <c r="L382" s="6"/>
      <c r="M382" s="6"/>
      <c r="N382" s="6"/>
      <c r="O382" s="6"/>
      <c r="P382" s="6"/>
      <c r="Q382" s="6"/>
      <c r="R382" s="6"/>
      <c r="S382" s="6"/>
      <c r="T382" s="6"/>
    </row>
    <row r="383" spans="4:20" x14ac:dyDescent="0.2">
      <c r="D383" s="6"/>
      <c r="E383" s="6"/>
      <c r="F383" s="6"/>
      <c r="G383" s="19"/>
      <c r="H383" s="19"/>
      <c r="I383" s="19"/>
      <c r="J383" s="19"/>
      <c r="K383" s="6"/>
      <c r="L383" s="6"/>
      <c r="M383" s="6"/>
      <c r="N383" s="6"/>
      <c r="O383" s="6"/>
      <c r="P383" s="6"/>
      <c r="Q383" s="6"/>
      <c r="R383" s="6"/>
      <c r="S383" s="6"/>
      <c r="T383" s="6"/>
    </row>
    <row r="384" spans="4:20" x14ac:dyDescent="0.2">
      <c r="D384" s="6"/>
      <c r="E384" s="6"/>
      <c r="F384" s="6"/>
      <c r="G384" s="19"/>
      <c r="H384" s="19"/>
      <c r="I384" s="19"/>
      <c r="J384" s="19"/>
      <c r="K384" s="6"/>
      <c r="L384" s="6"/>
      <c r="M384" s="6"/>
      <c r="N384" s="6"/>
      <c r="O384" s="6"/>
      <c r="P384" s="6"/>
      <c r="Q384" s="6"/>
      <c r="R384" s="6"/>
      <c r="S384" s="6"/>
      <c r="T384" s="6"/>
    </row>
    <row r="385" spans="4:20" x14ac:dyDescent="0.2">
      <c r="D385" s="6"/>
      <c r="E385" s="6"/>
      <c r="F385" s="6"/>
      <c r="G385" s="19"/>
      <c r="H385" s="19"/>
      <c r="I385" s="19"/>
      <c r="J385" s="19"/>
      <c r="K385" s="6"/>
      <c r="L385" s="6"/>
      <c r="M385" s="6"/>
      <c r="N385" s="6"/>
      <c r="O385" s="6"/>
      <c r="P385" s="6"/>
      <c r="Q385" s="6"/>
      <c r="R385" s="6"/>
      <c r="S385" s="6"/>
      <c r="T385" s="6"/>
    </row>
    <row r="386" spans="4:20" x14ac:dyDescent="0.2">
      <c r="D386" s="6"/>
      <c r="E386" s="6"/>
      <c r="F386" s="6"/>
      <c r="G386" s="19"/>
      <c r="H386" s="19"/>
      <c r="I386" s="19"/>
      <c r="J386" s="19"/>
      <c r="K386" s="6"/>
      <c r="L386" s="6"/>
      <c r="M386" s="6"/>
      <c r="N386" s="6"/>
      <c r="O386" s="6"/>
      <c r="P386" s="6"/>
      <c r="Q386" s="6"/>
      <c r="R386" s="6"/>
      <c r="S386" s="6"/>
      <c r="T386" s="6"/>
    </row>
    <row r="387" spans="4:20" x14ac:dyDescent="0.2">
      <c r="D387" s="6"/>
      <c r="E387" s="6"/>
      <c r="F387" s="6"/>
      <c r="G387" s="19"/>
      <c r="H387" s="19"/>
      <c r="I387" s="19"/>
      <c r="J387" s="19"/>
      <c r="K387" s="6"/>
      <c r="L387" s="6"/>
      <c r="M387" s="6"/>
      <c r="N387" s="6"/>
      <c r="O387" s="6"/>
      <c r="P387" s="6"/>
      <c r="Q387" s="6"/>
      <c r="R387" s="6"/>
      <c r="S387" s="6"/>
      <c r="T387" s="6"/>
    </row>
    <row r="388" spans="4:20" x14ac:dyDescent="0.2">
      <c r="D388" s="6"/>
      <c r="E388" s="6"/>
      <c r="F388" s="6"/>
      <c r="G388" s="19"/>
      <c r="H388" s="19"/>
      <c r="I388" s="19"/>
      <c r="J388" s="19"/>
      <c r="K388" s="6"/>
      <c r="L388" s="6"/>
      <c r="M388" s="6"/>
      <c r="N388" s="6"/>
      <c r="O388" s="6"/>
      <c r="P388" s="6"/>
      <c r="Q388" s="6"/>
      <c r="R388" s="6"/>
      <c r="S388" s="6"/>
      <c r="T388" s="6"/>
    </row>
    <row r="389" spans="4:20" x14ac:dyDescent="0.2">
      <c r="D389" s="6"/>
      <c r="E389" s="6"/>
      <c r="F389" s="6"/>
      <c r="G389" s="19"/>
      <c r="H389" s="19"/>
      <c r="I389" s="19"/>
      <c r="J389" s="19"/>
      <c r="K389" s="6"/>
      <c r="L389" s="6"/>
      <c r="M389" s="6"/>
      <c r="N389" s="6"/>
      <c r="O389" s="6"/>
      <c r="P389" s="6"/>
      <c r="Q389" s="6"/>
      <c r="R389" s="6"/>
      <c r="S389" s="6"/>
      <c r="T389" s="6"/>
    </row>
    <row r="390" spans="4:20" x14ac:dyDescent="0.2">
      <c r="D390" s="6"/>
      <c r="E390" s="6"/>
      <c r="F390" s="6"/>
      <c r="G390" s="19"/>
      <c r="H390" s="19"/>
      <c r="I390" s="19"/>
      <c r="J390" s="19"/>
      <c r="K390" s="6"/>
      <c r="L390" s="6"/>
      <c r="M390" s="6"/>
      <c r="N390" s="6"/>
      <c r="O390" s="6"/>
      <c r="P390" s="6"/>
      <c r="Q390" s="6"/>
      <c r="R390" s="6"/>
      <c r="S390" s="6"/>
      <c r="T390" s="6"/>
    </row>
    <row r="391" spans="4:20" x14ac:dyDescent="0.2">
      <c r="D391" s="6"/>
      <c r="E391" s="6"/>
      <c r="F391" s="6"/>
      <c r="G391" s="19"/>
      <c r="H391" s="19"/>
      <c r="I391" s="19"/>
      <c r="J391" s="19"/>
      <c r="K391" s="6"/>
      <c r="L391" s="6"/>
      <c r="M391" s="6"/>
      <c r="N391" s="6"/>
      <c r="O391" s="6"/>
      <c r="P391" s="6"/>
      <c r="Q391" s="6"/>
      <c r="R391" s="6"/>
      <c r="S391" s="6"/>
      <c r="T391" s="6"/>
    </row>
    <row r="392" spans="4:20" x14ac:dyDescent="0.2">
      <c r="D392" s="6"/>
      <c r="E392" s="6"/>
      <c r="F392" s="6"/>
      <c r="G392" s="19"/>
      <c r="H392" s="19"/>
      <c r="I392" s="19"/>
      <c r="J392" s="19"/>
      <c r="K392" s="6"/>
      <c r="L392" s="6"/>
      <c r="M392" s="6"/>
      <c r="N392" s="6"/>
      <c r="O392" s="6"/>
      <c r="P392" s="6"/>
      <c r="Q392" s="6"/>
      <c r="R392" s="6"/>
      <c r="S392" s="6"/>
      <c r="T392" s="6"/>
    </row>
    <row r="393" spans="4:20" x14ac:dyDescent="0.2">
      <c r="D393" s="6"/>
      <c r="E393" s="6"/>
      <c r="F393" s="6"/>
      <c r="G393" s="19"/>
      <c r="H393" s="19"/>
      <c r="I393" s="19"/>
      <c r="J393" s="19"/>
      <c r="K393" s="6"/>
      <c r="L393" s="6"/>
      <c r="M393" s="6"/>
      <c r="N393" s="6"/>
      <c r="O393" s="6"/>
      <c r="P393" s="6"/>
      <c r="Q393" s="6"/>
      <c r="R393" s="6"/>
      <c r="S393" s="6"/>
      <c r="T393" s="6"/>
    </row>
    <row r="394" spans="4:20" x14ac:dyDescent="0.2">
      <c r="D394" s="6"/>
      <c r="E394" s="6"/>
      <c r="F394" s="6"/>
      <c r="G394" s="19"/>
      <c r="H394" s="19"/>
      <c r="I394" s="19"/>
      <c r="J394" s="19"/>
      <c r="K394" s="6"/>
      <c r="L394" s="6"/>
      <c r="M394" s="6"/>
      <c r="N394" s="6"/>
      <c r="O394" s="6"/>
      <c r="P394" s="6"/>
      <c r="Q394" s="6"/>
      <c r="R394" s="6"/>
      <c r="S394" s="6"/>
      <c r="T394" s="6"/>
    </row>
    <row r="395" spans="4:20" x14ac:dyDescent="0.2">
      <c r="D395" s="6"/>
      <c r="E395" s="6"/>
      <c r="F395" s="6"/>
      <c r="G395" s="19"/>
      <c r="H395" s="19"/>
      <c r="I395" s="19"/>
      <c r="J395" s="19"/>
      <c r="K395" s="6"/>
      <c r="L395" s="6"/>
      <c r="M395" s="6"/>
      <c r="N395" s="6"/>
      <c r="O395" s="6"/>
      <c r="P395" s="6"/>
      <c r="Q395" s="6"/>
      <c r="R395" s="6"/>
      <c r="S395" s="6"/>
      <c r="T395" s="6"/>
    </row>
    <row r="396" spans="4:20" x14ac:dyDescent="0.2">
      <c r="D396" s="6"/>
      <c r="E396" s="6"/>
      <c r="F396" s="6"/>
      <c r="G396" s="19"/>
      <c r="H396" s="19"/>
      <c r="I396" s="19"/>
      <c r="J396" s="19"/>
      <c r="K396" s="6"/>
      <c r="L396" s="6"/>
      <c r="M396" s="6"/>
      <c r="N396" s="6"/>
      <c r="O396" s="6"/>
      <c r="P396" s="6"/>
      <c r="Q396" s="6"/>
      <c r="R396" s="6"/>
      <c r="S396" s="6"/>
      <c r="T396" s="6"/>
    </row>
    <row r="397" spans="4:20" x14ac:dyDescent="0.2">
      <c r="D397" s="6"/>
      <c r="E397" s="6"/>
      <c r="F397" s="6"/>
      <c r="G397" s="19"/>
      <c r="H397" s="19"/>
      <c r="I397" s="19"/>
      <c r="J397" s="19"/>
      <c r="K397" s="6"/>
      <c r="L397" s="6"/>
      <c r="M397" s="6"/>
      <c r="N397" s="6"/>
      <c r="O397" s="6"/>
      <c r="P397" s="6"/>
      <c r="Q397" s="6"/>
      <c r="R397" s="6"/>
      <c r="S397" s="6"/>
      <c r="T397" s="6"/>
    </row>
    <row r="398" spans="4:20" x14ac:dyDescent="0.2">
      <c r="D398" s="6"/>
      <c r="E398" s="6"/>
      <c r="F398" s="6"/>
      <c r="G398" s="19"/>
      <c r="H398" s="19"/>
      <c r="I398" s="19"/>
      <c r="J398" s="19"/>
      <c r="K398" s="6"/>
      <c r="L398" s="6"/>
      <c r="M398" s="6"/>
      <c r="N398" s="6"/>
      <c r="O398" s="6"/>
      <c r="P398" s="6"/>
      <c r="Q398" s="6"/>
      <c r="R398" s="6"/>
      <c r="S398" s="6"/>
      <c r="T398" s="6"/>
    </row>
    <row r="399" spans="4:20" x14ac:dyDescent="0.2">
      <c r="D399" s="6"/>
      <c r="E399" s="6"/>
      <c r="F399" s="6"/>
      <c r="G399" s="19"/>
      <c r="H399" s="19"/>
      <c r="I399" s="19"/>
      <c r="J399" s="19"/>
      <c r="K399" s="6"/>
      <c r="L399" s="6"/>
      <c r="M399" s="6"/>
      <c r="N399" s="6"/>
      <c r="O399" s="6"/>
      <c r="P399" s="6"/>
      <c r="Q399" s="6"/>
      <c r="R399" s="6"/>
      <c r="S399" s="6"/>
      <c r="T399" s="6"/>
    </row>
    <row r="400" spans="4:20" x14ac:dyDescent="0.2">
      <c r="D400" s="6"/>
      <c r="E400" s="6"/>
      <c r="F400" s="6"/>
      <c r="G400" s="19"/>
      <c r="H400" s="19"/>
      <c r="I400" s="19"/>
      <c r="J400" s="19"/>
      <c r="K400" s="6"/>
      <c r="L400" s="6"/>
      <c r="M400" s="6"/>
      <c r="N400" s="6"/>
      <c r="O400" s="6"/>
      <c r="P400" s="6"/>
      <c r="Q400" s="6"/>
      <c r="R400" s="6"/>
      <c r="S400" s="6"/>
      <c r="T400" s="6"/>
    </row>
    <row r="401" spans="4:20" x14ac:dyDescent="0.2">
      <c r="D401" s="6"/>
      <c r="E401" s="6"/>
      <c r="F401" s="6"/>
      <c r="G401" s="19"/>
      <c r="H401" s="19"/>
      <c r="I401" s="19"/>
      <c r="J401" s="19"/>
      <c r="K401" s="6"/>
      <c r="L401" s="6"/>
      <c r="M401" s="6"/>
      <c r="N401" s="6"/>
      <c r="O401" s="6"/>
      <c r="P401" s="6"/>
      <c r="Q401" s="6"/>
      <c r="R401" s="6"/>
      <c r="S401" s="6"/>
      <c r="T401" s="6"/>
    </row>
    <row r="402" spans="4:20" x14ac:dyDescent="0.2">
      <c r="D402" s="6"/>
      <c r="E402" s="6"/>
      <c r="F402" s="6"/>
      <c r="G402" s="19"/>
      <c r="H402" s="19"/>
      <c r="I402" s="19"/>
      <c r="J402" s="19"/>
      <c r="K402" s="6"/>
      <c r="L402" s="6"/>
      <c r="M402" s="6"/>
      <c r="N402" s="6"/>
      <c r="O402" s="6"/>
      <c r="P402" s="6"/>
      <c r="Q402" s="6"/>
      <c r="R402" s="6"/>
      <c r="S402" s="6"/>
      <c r="T402" s="6"/>
    </row>
    <row r="403" spans="4:20" x14ac:dyDescent="0.2">
      <c r="D403" s="6"/>
      <c r="E403" s="6"/>
      <c r="F403" s="6"/>
      <c r="G403" s="19"/>
      <c r="H403" s="19"/>
      <c r="I403" s="19"/>
      <c r="J403" s="19"/>
      <c r="K403" s="6"/>
      <c r="L403" s="6"/>
      <c r="M403" s="6"/>
      <c r="N403" s="6"/>
      <c r="O403" s="6"/>
      <c r="P403" s="6"/>
      <c r="Q403" s="6"/>
      <c r="R403" s="6"/>
      <c r="S403" s="6"/>
      <c r="T403" s="6"/>
    </row>
    <row r="404" spans="4:20" x14ac:dyDescent="0.2">
      <c r="D404" s="6"/>
      <c r="E404" s="6"/>
      <c r="F404" s="6"/>
      <c r="G404" s="19"/>
      <c r="H404" s="19"/>
      <c r="I404" s="19"/>
      <c r="J404" s="19"/>
      <c r="K404" s="6"/>
      <c r="L404" s="6"/>
      <c r="M404" s="6"/>
      <c r="N404" s="6"/>
      <c r="O404" s="6"/>
      <c r="P404" s="6"/>
      <c r="Q404" s="6"/>
      <c r="R404" s="6"/>
      <c r="S404" s="6"/>
      <c r="T404" s="6"/>
    </row>
    <row r="405" spans="4:20" x14ac:dyDescent="0.2">
      <c r="D405" s="6"/>
      <c r="E405" s="6"/>
      <c r="F405" s="6"/>
      <c r="G405" s="19"/>
      <c r="H405" s="19"/>
      <c r="I405" s="19"/>
      <c r="J405" s="19"/>
      <c r="K405" s="6"/>
      <c r="L405" s="6"/>
      <c r="M405" s="6"/>
      <c r="N405" s="6"/>
      <c r="O405" s="6"/>
      <c r="P405" s="6"/>
      <c r="Q405" s="6"/>
      <c r="R405" s="6"/>
      <c r="S405" s="6"/>
      <c r="T405" s="6"/>
    </row>
    <row r="406" spans="4:20" x14ac:dyDescent="0.2">
      <c r="D406" s="6"/>
      <c r="E406" s="6"/>
      <c r="F406" s="6"/>
      <c r="G406" s="19"/>
      <c r="H406" s="19"/>
      <c r="I406" s="19"/>
      <c r="J406" s="19"/>
      <c r="K406" s="6"/>
      <c r="L406" s="6"/>
      <c r="M406" s="6"/>
      <c r="N406" s="6"/>
      <c r="O406" s="6"/>
      <c r="P406" s="6"/>
      <c r="Q406" s="6"/>
      <c r="R406" s="6"/>
      <c r="S406" s="6"/>
      <c r="T406" s="6"/>
    </row>
    <row r="407" spans="4:20" x14ac:dyDescent="0.2">
      <c r="D407" s="6"/>
      <c r="E407" s="6"/>
      <c r="F407" s="6"/>
      <c r="G407" s="19"/>
      <c r="H407" s="19"/>
      <c r="I407" s="19"/>
      <c r="J407" s="19"/>
      <c r="K407" s="6"/>
      <c r="L407" s="6"/>
      <c r="M407" s="6"/>
      <c r="N407" s="6"/>
      <c r="O407" s="6"/>
      <c r="P407" s="6"/>
      <c r="Q407" s="6"/>
      <c r="R407" s="6"/>
      <c r="S407" s="6"/>
      <c r="T407" s="6"/>
    </row>
    <row r="408" spans="4:20" x14ac:dyDescent="0.2">
      <c r="D408" s="6"/>
      <c r="E408" s="6"/>
      <c r="F408" s="6"/>
      <c r="G408" s="19"/>
      <c r="H408" s="19"/>
      <c r="I408" s="19"/>
      <c r="J408" s="19"/>
      <c r="K408" s="6"/>
      <c r="L408" s="6"/>
      <c r="M408" s="6"/>
      <c r="N408" s="6"/>
      <c r="O408" s="6"/>
      <c r="P408" s="6"/>
      <c r="Q408" s="6"/>
      <c r="R408" s="6"/>
      <c r="S408" s="6"/>
      <c r="T408" s="6"/>
    </row>
    <row r="409" spans="4:20" x14ac:dyDescent="0.2">
      <c r="D409" s="6"/>
      <c r="E409" s="6"/>
      <c r="F409" s="6"/>
      <c r="G409" s="19"/>
      <c r="H409" s="19"/>
      <c r="I409" s="19"/>
      <c r="J409" s="19"/>
      <c r="K409" s="6"/>
      <c r="L409" s="6"/>
      <c r="M409" s="6"/>
      <c r="N409" s="6"/>
      <c r="O409" s="6"/>
      <c r="P409" s="6"/>
      <c r="Q409" s="6"/>
      <c r="R409" s="6"/>
      <c r="S409" s="6"/>
      <c r="T409" s="6"/>
    </row>
    <row r="410" spans="4:20" x14ac:dyDescent="0.2">
      <c r="D410" s="6"/>
      <c r="E410" s="6"/>
      <c r="F410" s="6"/>
      <c r="G410" s="19"/>
      <c r="H410" s="19"/>
      <c r="I410" s="19"/>
      <c r="J410" s="19"/>
      <c r="K410" s="6"/>
      <c r="L410" s="6"/>
      <c r="M410" s="6"/>
      <c r="N410" s="6"/>
      <c r="O410" s="6"/>
      <c r="P410" s="6"/>
      <c r="Q410" s="6"/>
      <c r="R410" s="6"/>
      <c r="S410" s="6"/>
      <c r="T410" s="6"/>
    </row>
    <row r="411" spans="4:20" x14ac:dyDescent="0.2">
      <c r="D411" s="6"/>
      <c r="E411" s="6"/>
      <c r="F411" s="6"/>
      <c r="G411" s="19"/>
      <c r="H411" s="19"/>
      <c r="I411" s="19"/>
      <c r="J411" s="19"/>
      <c r="K411" s="6"/>
      <c r="L411" s="6"/>
      <c r="M411" s="6"/>
      <c r="N411" s="6"/>
      <c r="O411" s="6"/>
      <c r="P411" s="6"/>
      <c r="Q411" s="6"/>
      <c r="R411" s="6"/>
      <c r="S411" s="6"/>
      <c r="T411" s="6"/>
    </row>
    <row r="412" spans="4:20" x14ac:dyDescent="0.2">
      <c r="D412" s="6"/>
      <c r="E412" s="6"/>
      <c r="F412" s="6"/>
      <c r="G412" s="19"/>
      <c r="H412" s="19"/>
      <c r="I412" s="19"/>
      <c r="J412" s="19"/>
      <c r="K412" s="6"/>
      <c r="L412" s="6"/>
      <c r="M412" s="6"/>
      <c r="N412" s="6"/>
      <c r="O412" s="6"/>
      <c r="P412" s="6"/>
      <c r="Q412" s="6"/>
      <c r="R412" s="6"/>
      <c r="S412" s="6"/>
      <c r="T412" s="6"/>
    </row>
    <row r="413" spans="4:20" x14ac:dyDescent="0.2">
      <c r="D413" s="6"/>
      <c r="E413" s="6"/>
      <c r="F413" s="6"/>
      <c r="G413" s="19"/>
      <c r="H413" s="19"/>
      <c r="I413" s="19"/>
      <c r="J413" s="19"/>
      <c r="K413" s="6"/>
      <c r="L413" s="6"/>
      <c r="M413" s="6"/>
      <c r="N413" s="6"/>
      <c r="O413" s="6"/>
      <c r="P413" s="6"/>
      <c r="Q413" s="6"/>
      <c r="R413" s="6"/>
      <c r="S413" s="6"/>
      <c r="T413" s="6"/>
    </row>
    <row r="414" spans="4:20" x14ac:dyDescent="0.2">
      <c r="D414" s="6"/>
      <c r="E414" s="6"/>
      <c r="F414" s="6"/>
      <c r="G414" s="19"/>
      <c r="H414" s="19"/>
      <c r="I414" s="19"/>
      <c r="J414" s="19"/>
      <c r="K414" s="6"/>
      <c r="L414" s="6"/>
      <c r="M414" s="6"/>
      <c r="N414" s="6"/>
      <c r="O414" s="6"/>
      <c r="P414" s="6"/>
      <c r="Q414" s="6"/>
      <c r="R414" s="6"/>
      <c r="S414" s="6"/>
      <c r="T414" s="6"/>
    </row>
    <row r="415" spans="4:20" x14ac:dyDescent="0.2">
      <c r="D415" s="6"/>
      <c r="E415" s="6"/>
      <c r="F415" s="6"/>
      <c r="G415" s="19"/>
      <c r="H415" s="19"/>
      <c r="I415" s="19"/>
      <c r="J415" s="19"/>
      <c r="K415" s="6"/>
      <c r="L415" s="6"/>
      <c r="M415" s="6"/>
      <c r="N415" s="6"/>
      <c r="O415" s="6"/>
      <c r="P415" s="6"/>
      <c r="Q415" s="6"/>
      <c r="R415" s="6"/>
      <c r="S415" s="6"/>
      <c r="T415" s="6"/>
    </row>
    <row r="416" spans="4:20" x14ac:dyDescent="0.2">
      <c r="D416" s="6"/>
      <c r="E416" s="6"/>
      <c r="F416" s="6"/>
      <c r="G416" s="19"/>
      <c r="H416" s="19"/>
      <c r="I416" s="19"/>
      <c r="J416" s="19"/>
      <c r="K416" s="6"/>
      <c r="L416" s="6"/>
      <c r="M416" s="6"/>
      <c r="N416" s="6"/>
      <c r="O416" s="6"/>
      <c r="P416" s="6"/>
      <c r="Q416" s="6"/>
      <c r="R416" s="6"/>
      <c r="S416" s="6"/>
      <c r="T416" s="6"/>
    </row>
    <row r="417" spans="4:20" x14ac:dyDescent="0.2">
      <c r="D417" s="6"/>
      <c r="E417" s="6"/>
      <c r="F417" s="6"/>
      <c r="G417" s="19"/>
      <c r="H417" s="19"/>
      <c r="I417" s="19"/>
      <c r="J417" s="19"/>
      <c r="K417" s="6"/>
      <c r="L417" s="6"/>
      <c r="M417" s="6"/>
      <c r="N417" s="6"/>
      <c r="O417" s="6"/>
      <c r="P417" s="6"/>
      <c r="Q417" s="6"/>
      <c r="R417" s="6"/>
      <c r="S417" s="6"/>
      <c r="T417" s="6"/>
    </row>
    <row r="418" spans="4:20" x14ac:dyDescent="0.2">
      <c r="D418" s="6"/>
      <c r="E418" s="6"/>
      <c r="F418" s="6"/>
      <c r="G418" s="19"/>
      <c r="H418" s="19"/>
      <c r="I418" s="19"/>
      <c r="J418" s="19"/>
      <c r="K418" s="6"/>
      <c r="L418" s="6"/>
      <c r="M418" s="6"/>
      <c r="N418" s="6"/>
      <c r="O418" s="6"/>
      <c r="P418" s="6"/>
      <c r="Q418" s="6"/>
      <c r="R418" s="6"/>
      <c r="S418" s="6"/>
      <c r="T418" s="6"/>
    </row>
    <row r="419" spans="4:20" x14ac:dyDescent="0.2">
      <c r="D419" s="6"/>
      <c r="E419" s="6"/>
      <c r="F419" s="6"/>
      <c r="G419" s="19"/>
      <c r="H419" s="19"/>
      <c r="I419" s="19"/>
      <c r="J419" s="19"/>
      <c r="K419" s="6"/>
      <c r="L419" s="6"/>
      <c r="M419" s="6"/>
      <c r="N419" s="6"/>
      <c r="O419" s="6"/>
      <c r="P419" s="6"/>
      <c r="Q419" s="6"/>
      <c r="R419" s="6"/>
      <c r="S419" s="6"/>
      <c r="T419" s="6"/>
    </row>
    <row r="420" spans="4:20" x14ac:dyDescent="0.2">
      <c r="D420" s="6"/>
      <c r="E420" s="6"/>
      <c r="F420" s="6"/>
      <c r="G420" s="19"/>
      <c r="H420" s="19"/>
      <c r="I420" s="19"/>
      <c r="J420" s="19"/>
      <c r="K420" s="6"/>
      <c r="L420" s="6"/>
      <c r="M420" s="6"/>
      <c r="N420" s="6"/>
      <c r="O420" s="6"/>
      <c r="P420" s="6"/>
      <c r="Q420" s="6"/>
      <c r="R420" s="6"/>
      <c r="S420" s="6"/>
      <c r="T420" s="6"/>
    </row>
    <row r="421" spans="4:20" x14ac:dyDescent="0.2">
      <c r="D421" s="6"/>
      <c r="E421" s="6"/>
      <c r="F421" s="6"/>
      <c r="G421" s="19"/>
      <c r="H421" s="19"/>
      <c r="I421" s="19"/>
      <c r="J421" s="19"/>
      <c r="K421" s="6"/>
      <c r="L421" s="6"/>
      <c r="M421" s="6"/>
      <c r="N421" s="6"/>
      <c r="O421" s="6"/>
      <c r="P421" s="6"/>
      <c r="Q421" s="6"/>
      <c r="R421" s="6"/>
      <c r="S421" s="6"/>
      <c r="T421" s="6"/>
    </row>
    <row r="422" spans="4:20" x14ac:dyDescent="0.2">
      <c r="D422" s="6"/>
      <c r="E422" s="6"/>
      <c r="F422" s="6"/>
      <c r="G422" s="19"/>
      <c r="H422" s="19"/>
      <c r="I422" s="19"/>
      <c r="J422" s="19"/>
      <c r="K422" s="6"/>
      <c r="L422" s="6"/>
      <c r="M422" s="6"/>
      <c r="N422" s="6"/>
      <c r="O422" s="6"/>
      <c r="P422" s="6"/>
      <c r="Q422" s="6"/>
      <c r="R422" s="6"/>
      <c r="S422" s="6"/>
      <c r="T422" s="6"/>
    </row>
    <row r="423" spans="4:20" x14ac:dyDescent="0.2">
      <c r="D423" s="6"/>
      <c r="E423" s="6"/>
      <c r="F423" s="6"/>
      <c r="G423" s="19"/>
      <c r="H423" s="19"/>
      <c r="I423" s="19"/>
      <c r="J423" s="19"/>
      <c r="K423" s="6"/>
      <c r="L423" s="6"/>
      <c r="M423" s="6"/>
      <c r="N423" s="6"/>
      <c r="O423" s="6"/>
      <c r="P423" s="6"/>
      <c r="Q423" s="6"/>
      <c r="R423" s="6"/>
      <c r="S423" s="6"/>
      <c r="T423" s="6"/>
    </row>
    <row r="424" spans="4:20" x14ac:dyDescent="0.2">
      <c r="D424" s="6"/>
      <c r="E424" s="6"/>
      <c r="F424" s="6"/>
      <c r="G424" s="19"/>
      <c r="H424" s="19"/>
      <c r="I424" s="19"/>
      <c r="J424" s="19"/>
      <c r="K424" s="6"/>
      <c r="L424" s="6"/>
      <c r="M424" s="6"/>
      <c r="N424" s="6"/>
      <c r="O424" s="6"/>
      <c r="P424" s="6"/>
      <c r="Q424" s="6"/>
      <c r="R424" s="6"/>
      <c r="S424" s="6"/>
      <c r="T424" s="6"/>
    </row>
    <row r="425" spans="4:20" x14ac:dyDescent="0.2">
      <c r="D425" s="6"/>
      <c r="E425" s="6"/>
      <c r="F425" s="6"/>
      <c r="G425" s="19"/>
      <c r="H425" s="19"/>
      <c r="I425" s="19"/>
      <c r="J425" s="19"/>
      <c r="K425" s="6"/>
      <c r="L425" s="6"/>
      <c r="M425" s="6"/>
      <c r="N425" s="6"/>
      <c r="O425" s="6"/>
      <c r="P425" s="6"/>
      <c r="Q425" s="6"/>
      <c r="R425" s="6"/>
      <c r="S425" s="6"/>
      <c r="T425" s="6"/>
    </row>
    <row r="426" spans="4:20" x14ac:dyDescent="0.2">
      <c r="D426" s="6"/>
      <c r="E426" s="6"/>
      <c r="F426" s="6"/>
      <c r="G426" s="19"/>
      <c r="H426" s="19"/>
      <c r="I426" s="19"/>
      <c r="J426" s="19"/>
      <c r="K426" s="6"/>
      <c r="L426" s="6"/>
      <c r="M426" s="6"/>
      <c r="N426" s="6"/>
      <c r="O426" s="6"/>
      <c r="P426" s="6"/>
      <c r="Q426" s="6"/>
      <c r="R426" s="6"/>
      <c r="S426" s="6"/>
      <c r="T426" s="6"/>
    </row>
    <row r="427" spans="4:20" x14ac:dyDescent="0.2">
      <c r="D427" s="6"/>
      <c r="E427" s="6"/>
      <c r="F427" s="6"/>
      <c r="G427" s="19"/>
      <c r="H427" s="19"/>
      <c r="I427" s="19"/>
      <c r="J427" s="19"/>
      <c r="K427" s="6"/>
      <c r="L427" s="6"/>
      <c r="M427" s="6"/>
      <c r="N427" s="6"/>
      <c r="O427" s="6"/>
      <c r="P427" s="6"/>
      <c r="Q427" s="6"/>
      <c r="R427" s="6"/>
      <c r="S427" s="6"/>
      <c r="T427" s="6"/>
    </row>
    <row r="428" spans="4:20" x14ac:dyDescent="0.2">
      <c r="D428" s="6"/>
      <c r="E428" s="6"/>
      <c r="F428" s="6"/>
      <c r="G428" s="19"/>
      <c r="H428" s="19"/>
      <c r="I428" s="19"/>
      <c r="J428" s="19"/>
      <c r="K428" s="6"/>
      <c r="L428" s="6"/>
      <c r="M428" s="6"/>
      <c r="N428" s="6"/>
      <c r="O428" s="6"/>
      <c r="P428" s="6"/>
      <c r="Q428" s="6"/>
      <c r="R428" s="6"/>
      <c r="S428" s="6"/>
      <c r="T428" s="6"/>
    </row>
    <row r="429" spans="4:20" x14ac:dyDescent="0.2">
      <c r="D429" s="6"/>
      <c r="E429" s="6"/>
      <c r="F429" s="6"/>
      <c r="G429" s="19"/>
      <c r="H429" s="19"/>
      <c r="I429" s="19"/>
      <c r="J429" s="19"/>
      <c r="K429" s="6"/>
      <c r="L429" s="6"/>
      <c r="M429" s="6"/>
      <c r="N429" s="6"/>
      <c r="O429" s="6"/>
      <c r="P429" s="6"/>
      <c r="Q429" s="6"/>
      <c r="R429" s="6"/>
      <c r="S429" s="6"/>
      <c r="T429" s="6"/>
    </row>
    <row r="430" spans="4:20" x14ac:dyDescent="0.2">
      <c r="D430" s="6"/>
      <c r="E430" s="6"/>
      <c r="F430" s="6"/>
      <c r="G430" s="19"/>
      <c r="H430" s="19"/>
      <c r="I430" s="19"/>
      <c r="J430" s="19"/>
      <c r="K430" s="6"/>
      <c r="L430" s="6"/>
      <c r="M430" s="6"/>
      <c r="N430" s="6"/>
      <c r="O430" s="6"/>
      <c r="P430" s="6"/>
      <c r="Q430" s="6"/>
      <c r="R430" s="6"/>
      <c r="S430" s="6"/>
      <c r="T430" s="6"/>
    </row>
    <row r="431" spans="4:20" x14ac:dyDescent="0.2">
      <c r="D431" s="6"/>
      <c r="E431" s="6"/>
      <c r="F431" s="6"/>
      <c r="G431" s="19"/>
      <c r="H431" s="19"/>
      <c r="I431" s="19"/>
      <c r="J431" s="19"/>
      <c r="K431" s="6"/>
      <c r="L431" s="6"/>
      <c r="M431" s="6"/>
      <c r="N431" s="6"/>
      <c r="O431" s="6"/>
      <c r="P431" s="6"/>
      <c r="Q431" s="6"/>
      <c r="R431" s="6"/>
      <c r="S431" s="6"/>
      <c r="T431" s="6"/>
    </row>
    <row r="432" spans="4:20" x14ac:dyDescent="0.2">
      <c r="D432" s="6"/>
      <c r="E432" s="6"/>
      <c r="F432" s="6"/>
      <c r="G432" s="19"/>
      <c r="H432" s="19"/>
      <c r="I432" s="19"/>
      <c r="J432" s="19"/>
      <c r="K432" s="6"/>
      <c r="L432" s="6"/>
      <c r="M432" s="6"/>
      <c r="N432" s="6"/>
      <c r="O432" s="6"/>
      <c r="P432" s="6"/>
      <c r="Q432" s="6"/>
      <c r="R432" s="6"/>
      <c r="S432" s="6"/>
      <c r="T432" s="6"/>
    </row>
    <row r="433" spans="4:20" x14ac:dyDescent="0.2">
      <c r="D433" s="6"/>
      <c r="E433" s="6"/>
      <c r="F433" s="6"/>
      <c r="G433" s="19"/>
      <c r="H433" s="19"/>
      <c r="I433" s="19"/>
      <c r="J433" s="19"/>
      <c r="K433" s="6"/>
      <c r="L433" s="6"/>
      <c r="M433" s="6"/>
      <c r="N433" s="6"/>
      <c r="O433" s="6"/>
      <c r="P433" s="6"/>
      <c r="Q433" s="6"/>
      <c r="R433" s="6"/>
      <c r="S433" s="6"/>
      <c r="T433" s="6"/>
    </row>
    <row r="434" spans="4:20" x14ac:dyDescent="0.2">
      <c r="D434" s="6"/>
      <c r="E434" s="6"/>
      <c r="F434" s="6"/>
      <c r="G434" s="19"/>
      <c r="H434" s="19"/>
      <c r="I434" s="19"/>
      <c r="J434" s="19"/>
      <c r="K434" s="6"/>
      <c r="L434" s="6"/>
      <c r="M434" s="6"/>
      <c r="N434" s="6"/>
      <c r="O434" s="6"/>
      <c r="P434" s="6"/>
      <c r="Q434" s="6"/>
      <c r="R434" s="6"/>
      <c r="S434" s="6"/>
      <c r="T434" s="6"/>
    </row>
    <row r="435" spans="4:20" x14ac:dyDescent="0.2">
      <c r="D435" s="6"/>
      <c r="E435" s="6"/>
      <c r="F435" s="6"/>
      <c r="G435" s="19"/>
      <c r="H435" s="19"/>
      <c r="I435" s="19"/>
      <c r="J435" s="19"/>
      <c r="K435" s="6"/>
      <c r="L435" s="6"/>
      <c r="M435" s="6"/>
      <c r="N435" s="6"/>
      <c r="O435" s="6"/>
      <c r="P435" s="6"/>
      <c r="Q435" s="6"/>
      <c r="R435" s="6"/>
      <c r="S435" s="6"/>
      <c r="T435" s="6"/>
    </row>
    <row r="436" spans="4:20" x14ac:dyDescent="0.2">
      <c r="D436" s="6"/>
      <c r="E436" s="6"/>
      <c r="F436" s="6"/>
      <c r="G436" s="19"/>
      <c r="H436" s="19"/>
      <c r="I436" s="19"/>
      <c r="J436" s="19"/>
      <c r="K436" s="6"/>
      <c r="L436" s="6"/>
      <c r="M436" s="6"/>
      <c r="N436" s="6"/>
      <c r="O436" s="6"/>
      <c r="P436" s="6"/>
      <c r="Q436" s="6"/>
      <c r="R436" s="6"/>
      <c r="S436" s="6"/>
      <c r="T436" s="6"/>
    </row>
    <row r="437" spans="4:20" x14ac:dyDescent="0.2">
      <c r="D437" s="6"/>
      <c r="E437" s="6"/>
      <c r="F437" s="6"/>
      <c r="G437" s="19"/>
      <c r="H437" s="19"/>
      <c r="I437" s="19"/>
      <c r="J437" s="19"/>
      <c r="K437" s="6"/>
      <c r="L437" s="6"/>
      <c r="M437" s="6"/>
      <c r="N437" s="6"/>
      <c r="O437" s="6"/>
      <c r="P437" s="6"/>
      <c r="Q437" s="6"/>
      <c r="R437" s="6"/>
      <c r="S437" s="6"/>
      <c r="T437" s="6"/>
    </row>
    <row r="438" spans="4:20" x14ac:dyDescent="0.2">
      <c r="D438" s="6"/>
      <c r="E438" s="6"/>
      <c r="F438" s="6"/>
      <c r="G438" s="19"/>
      <c r="H438" s="19"/>
      <c r="I438" s="19"/>
      <c r="J438" s="19"/>
      <c r="K438" s="6"/>
      <c r="L438" s="6"/>
      <c r="M438" s="6"/>
      <c r="N438" s="6"/>
      <c r="O438" s="6"/>
      <c r="P438" s="6"/>
      <c r="Q438" s="6"/>
      <c r="R438" s="6"/>
      <c r="S438" s="6"/>
      <c r="T438" s="6"/>
    </row>
    <row r="439" spans="4:20" x14ac:dyDescent="0.2">
      <c r="D439" s="6"/>
      <c r="E439" s="6"/>
      <c r="F439" s="6"/>
      <c r="G439" s="19"/>
      <c r="H439" s="19"/>
      <c r="I439" s="19"/>
      <c r="J439" s="19"/>
      <c r="K439" s="6"/>
      <c r="L439" s="6"/>
      <c r="M439" s="6"/>
      <c r="N439" s="6"/>
      <c r="O439" s="6"/>
      <c r="P439" s="6"/>
      <c r="Q439" s="6"/>
      <c r="R439" s="6"/>
      <c r="S439" s="6"/>
      <c r="T439" s="6"/>
    </row>
    <row r="440" spans="4:20" x14ac:dyDescent="0.2">
      <c r="D440" s="6"/>
      <c r="E440" s="6"/>
      <c r="F440" s="6"/>
      <c r="G440" s="19"/>
      <c r="H440" s="19"/>
      <c r="I440" s="19"/>
      <c r="J440" s="19"/>
      <c r="K440" s="6"/>
      <c r="L440" s="6"/>
      <c r="M440" s="6"/>
      <c r="N440" s="6"/>
      <c r="O440" s="6"/>
      <c r="P440" s="6"/>
      <c r="Q440" s="6"/>
      <c r="R440" s="6"/>
      <c r="S440" s="6"/>
      <c r="T440" s="6"/>
    </row>
    <row r="441" spans="4:20" x14ac:dyDescent="0.2">
      <c r="D441" s="6"/>
      <c r="E441" s="6"/>
      <c r="F441" s="6"/>
      <c r="G441" s="19"/>
      <c r="H441" s="19"/>
      <c r="I441" s="19"/>
      <c r="J441" s="19"/>
      <c r="K441" s="6"/>
      <c r="L441" s="6"/>
      <c r="M441" s="6"/>
      <c r="N441" s="6"/>
      <c r="O441" s="6"/>
      <c r="P441" s="6"/>
      <c r="Q441" s="6"/>
      <c r="R441" s="6"/>
      <c r="S441" s="6"/>
      <c r="T441" s="6"/>
    </row>
    <row r="442" spans="4:20" x14ac:dyDescent="0.2">
      <c r="D442" s="6"/>
      <c r="E442" s="6"/>
      <c r="F442" s="6"/>
      <c r="G442" s="19"/>
      <c r="H442" s="19"/>
      <c r="I442" s="19"/>
      <c r="J442" s="19"/>
      <c r="K442" s="6"/>
      <c r="L442" s="6"/>
      <c r="M442" s="6"/>
      <c r="N442" s="6"/>
      <c r="O442" s="6"/>
      <c r="P442" s="6"/>
      <c r="Q442" s="6"/>
      <c r="R442" s="6"/>
      <c r="S442" s="6"/>
      <c r="T442" s="6"/>
    </row>
    <row r="443" spans="4:20" x14ac:dyDescent="0.2">
      <c r="D443" s="6"/>
      <c r="E443" s="6"/>
      <c r="F443" s="6"/>
      <c r="G443" s="19"/>
      <c r="H443" s="19"/>
      <c r="I443" s="19"/>
      <c r="J443" s="19"/>
      <c r="K443" s="6"/>
      <c r="L443" s="6"/>
      <c r="M443" s="6"/>
      <c r="N443" s="6"/>
      <c r="O443" s="6"/>
      <c r="P443" s="6"/>
      <c r="Q443" s="6"/>
      <c r="R443" s="6"/>
      <c r="S443" s="6"/>
      <c r="T443" s="6"/>
    </row>
    <row r="444" spans="4:20" x14ac:dyDescent="0.2">
      <c r="D444" s="6"/>
      <c r="E444" s="6"/>
      <c r="F444" s="6"/>
      <c r="G444" s="19"/>
      <c r="H444" s="19"/>
      <c r="I444" s="19"/>
      <c r="J444" s="19"/>
      <c r="K444" s="6"/>
      <c r="L444" s="6"/>
      <c r="M444" s="6"/>
      <c r="N444" s="6"/>
      <c r="O444" s="6"/>
      <c r="P444" s="6"/>
      <c r="Q444" s="6"/>
      <c r="R444" s="6"/>
      <c r="S444" s="6"/>
      <c r="T444" s="6"/>
    </row>
    <row r="445" spans="4:20" x14ac:dyDescent="0.2">
      <c r="D445" s="6"/>
      <c r="E445" s="6"/>
      <c r="F445" s="6"/>
      <c r="G445" s="19"/>
      <c r="H445" s="19"/>
      <c r="I445" s="19"/>
      <c r="J445" s="19"/>
      <c r="K445" s="6"/>
      <c r="L445" s="6"/>
      <c r="M445" s="6"/>
      <c r="N445" s="6"/>
      <c r="O445" s="6"/>
      <c r="P445" s="6"/>
      <c r="Q445" s="6"/>
      <c r="R445" s="6"/>
      <c r="S445" s="6"/>
      <c r="T445" s="6"/>
    </row>
    <row r="446" spans="4:20" x14ac:dyDescent="0.2">
      <c r="D446" s="6"/>
      <c r="E446" s="6"/>
      <c r="F446" s="6"/>
      <c r="G446" s="19"/>
      <c r="H446" s="19"/>
      <c r="I446" s="19"/>
      <c r="J446" s="19"/>
      <c r="K446" s="6"/>
      <c r="L446" s="6"/>
      <c r="M446" s="6"/>
      <c r="N446" s="6"/>
      <c r="O446" s="6"/>
      <c r="P446" s="6"/>
      <c r="Q446" s="6"/>
      <c r="R446" s="6"/>
      <c r="S446" s="6"/>
      <c r="T446" s="6"/>
    </row>
    <row r="447" spans="4:20" x14ac:dyDescent="0.2">
      <c r="D447" s="6"/>
      <c r="E447" s="6"/>
      <c r="F447" s="6"/>
      <c r="G447" s="19"/>
      <c r="H447" s="19"/>
      <c r="I447" s="19"/>
      <c r="J447" s="19"/>
      <c r="K447" s="6"/>
      <c r="L447" s="6"/>
      <c r="M447" s="6"/>
      <c r="N447" s="6"/>
      <c r="O447" s="6"/>
      <c r="P447" s="6"/>
      <c r="Q447" s="6"/>
      <c r="R447" s="6"/>
      <c r="S447" s="6"/>
      <c r="T447" s="6"/>
    </row>
    <row r="448" spans="4:20" x14ac:dyDescent="0.2">
      <c r="D448" s="6"/>
      <c r="E448" s="6"/>
      <c r="F448" s="6"/>
      <c r="G448" s="19"/>
      <c r="H448" s="19"/>
      <c r="I448" s="19"/>
      <c r="J448" s="19"/>
      <c r="K448" s="6"/>
      <c r="L448" s="6"/>
      <c r="M448" s="6"/>
      <c r="N448" s="6"/>
      <c r="O448" s="6"/>
      <c r="P448" s="6"/>
      <c r="Q448" s="6"/>
      <c r="R448" s="6"/>
      <c r="S448" s="6"/>
      <c r="T448" s="6"/>
    </row>
    <row r="449" spans="4:20" x14ac:dyDescent="0.2">
      <c r="D449" s="6"/>
      <c r="E449" s="6"/>
      <c r="F449" s="6"/>
      <c r="G449" s="19"/>
      <c r="H449" s="19"/>
      <c r="I449" s="19"/>
      <c r="J449" s="19"/>
      <c r="K449" s="6"/>
      <c r="L449" s="6"/>
      <c r="M449" s="6"/>
      <c r="N449" s="6"/>
      <c r="O449" s="6"/>
      <c r="P449" s="6"/>
      <c r="Q449" s="6"/>
      <c r="R449" s="6"/>
      <c r="S449" s="6"/>
      <c r="T449" s="6"/>
    </row>
    <row r="450" spans="4:20" x14ac:dyDescent="0.2">
      <c r="D450" s="6"/>
      <c r="E450" s="6"/>
      <c r="F450" s="6"/>
      <c r="G450" s="19"/>
      <c r="H450" s="19"/>
      <c r="I450" s="19"/>
      <c r="J450" s="19"/>
      <c r="K450" s="6"/>
      <c r="L450" s="6"/>
      <c r="M450" s="6"/>
      <c r="N450" s="6"/>
      <c r="O450" s="6"/>
      <c r="P450" s="6"/>
      <c r="Q450" s="6"/>
      <c r="R450" s="6"/>
      <c r="S450" s="6"/>
      <c r="T450" s="6"/>
    </row>
    <row r="451" spans="4:20" x14ac:dyDescent="0.2">
      <c r="D451" s="6"/>
      <c r="E451" s="6"/>
      <c r="F451" s="6"/>
      <c r="G451" s="19"/>
      <c r="H451" s="19"/>
      <c r="I451" s="19"/>
      <c r="J451" s="19"/>
      <c r="K451" s="6"/>
      <c r="L451" s="6"/>
      <c r="M451" s="6"/>
      <c r="N451" s="6"/>
      <c r="O451" s="6"/>
      <c r="P451" s="6"/>
      <c r="Q451" s="6"/>
      <c r="R451" s="6"/>
      <c r="S451" s="6"/>
      <c r="T451" s="6"/>
    </row>
    <row r="452" spans="4:20" x14ac:dyDescent="0.2">
      <c r="D452" s="6"/>
      <c r="E452" s="6"/>
      <c r="F452" s="6"/>
      <c r="G452" s="19"/>
      <c r="H452" s="19"/>
      <c r="I452" s="19"/>
      <c r="J452" s="19"/>
      <c r="K452" s="6"/>
      <c r="L452" s="6"/>
      <c r="M452" s="6"/>
      <c r="N452" s="6"/>
      <c r="O452" s="6"/>
      <c r="P452" s="6"/>
      <c r="Q452" s="6"/>
      <c r="R452" s="6"/>
      <c r="S452" s="6"/>
      <c r="T452" s="6"/>
    </row>
    <row r="453" spans="4:20" x14ac:dyDescent="0.2">
      <c r="D453" s="6"/>
      <c r="E453" s="6"/>
      <c r="F453" s="6"/>
      <c r="G453" s="19"/>
      <c r="H453" s="19"/>
      <c r="I453" s="19"/>
      <c r="J453" s="19"/>
      <c r="K453" s="6"/>
      <c r="L453" s="6"/>
      <c r="M453" s="6"/>
      <c r="N453" s="6"/>
      <c r="O453" s="6"/>
      <c r="P453" s="6"/>
      <c r="Q453" s="6"/>
      <c r="R453" s="6"/>
      <c r="S453" s="6"/>
      <c r="T453" s="6"/>
    </row>
    <row r="454" spans="4:20" x14ac:dyDescent="0.2">
      <c r="D454" s="6"/>
      <c r="E454" s="6"/>
      <c r="F454" s="6"/>
      <c r="G454" s="19"/>
      <c r="H454" s="19"/>
      <c r="I454" s="19"/>
      <c r="J454" s="19"/>
      <c r="K454" s="6"/>
      <c r="L454" s="6"/>
      <c r="M454" s="6"/>
      <c r="N454" s="6"/>
      <c r="O454" s="6"/>
      <c r="P454" s="6"/>
      <c r="Q454" s="6"/>
      <c r="R454" s="6"/>
      <c r="S454" s="6"/>
      <c r="T454" s="6"/>
    </row>
    <row r="455" spans="4:20" x14ac:dyDescent="0.2">
      <c r="D455" s="6"/>
      <c r="E455" s="6"/>
      <c r="F455" s="6"/>
      <c r="G455" s="19"/>
      <c r="H455" s="19"/>
      <c r="I455" s="19"/>
      <c r="J455" s="19"/>
      <c r="K455" s="6"/>
      <c r="L455" s="6"/>
      <c r="M455" s="6"/>
      <c r="N455" s="6"/>
      <c r="O455" s="6"/>
      <c r="P455" s="6"/>
      <c r="Q455" s="6"/>
      <c r="R455" s="6"/>
      <c r="S455" s="6"/>
      <c r="T455" s="6"/>
    </row>
    <row r="456" spans="4:20" x14ac:dyDescent="0.2">
      <c r="D456" s="6"/>
      <c r="E456" s="6"/>
      <c r="F456" s="6"/>
      <c r="G456" s="19"/>
      <c r="H456" s="19"/>
      <c r="I456" s="19"/>
      <c r="J456" s="19"/>
      <c r="K456" s="6"/>
      <c r="L456" s="6"/>
      <c r="M456" s="6"/>
      <c r="N456" s="6"/>
      <c r="O456" s="6"/>
      <c r="P456" s="6"/>
      <c r="Q456" s="6"/>
      <c r="R456" s="6"/>
      <c r="S456" s="6"/>
      <c r="T456" s="6"/>
    </row>
    <row r="457" spans="4:20" x14ac:dyDescent="0.2">
      <c r="D457" s="6"/>
      <c r="E457" s="6"/>
      <c r="F457" s="6"/>
      <c r="G457" s="19"/>
      <c r="H457" s="19"/>
      <c r="I457" s="19"/>
      <c r="J457" s="19"/>
      <c r="K457" s="6"/>
      <c r="L457" s="6"/>
      <c r="M457" s="6"/>
      <c r="N457" s="6"/>
      <c r="O457" s="6"/>
      <c r="P457" s="6"/>
      <c r="Q457" s="6"/>
      <c r="R457" s="6"/>
      <c r="S457" s="6"/>
      <c r="T457" s="6"/>
    </row>
    <row r="458" spans="4:20" x14ac:dyDescent="0.2">
      <c r="D458" s="6"/>
      <c r="E458" s="6"/>
      <c r="F458" s="6"/>
      <c r="G458" s="19"/>
      <c r="H458" s="19"/>
      <c r="I458" s="19"/>
      <c r="J458" s="19"/>
      <c r="K458" s="6"/>
      <c r="L458" s="6"/>
      <c r="M458" s="6"/>
      <c r="N458" s="6"/>
      <c r="O458" s="6"/>
      <c r="P458" s="6"/>
      <c r="Q458" s="6"/>
      <c r="R458" s="6"/>
      <c r="S458" s="6"/>
      <c r="T458" s="6"/>
    </row>
    <row r="459" spans="4:20" x14ac:dyDescent="0.2">
      <c r="D459" s="6"/>
      <c r="E459" s="6"/>
      <c r="F459" s="6"/>
      <c r="G459" s="19"/>
      <c r="H459" s="19"/>
      <c r="I459" s="19"/>
      <c r="J459" s="19"/>
      <c r="K459" s="6"/>
      <c r="L459" s="6"/>
      <c r="M459" s="6"/>
      <c r="N459" s="6"/>
      <c r="O459" s="6"/>
      <c r="P459" s="6"/>
      <c r="Q459" s="6"/>
      <c r="R459" s="6"/>
      <c r="S459" s="6"/>
      <c r="T459" s="6"/>
    </row>
    <row r="460" spans="4:20" x14ac:dyDescent="0.2">
      <c r="D460" s="6"/>
      <c r="E460" s="6"/>
      <c r="F460" s="6"/>
      <c r="G460" s="19"/>
      <c r="H460" s="19"/>
      <c r="I460" s="19"/>
      <c r="J460" s="19"/>
      <c r="K460" s="6"/>
      <c r="L460" s="6"/>
      <c r="M460" s="6"/>
      <c r="N460" s="6"/>
      <c r="O460" s="6"/>
      <c r="P460" s="6"/>
      <c r="Q460" s="6"/>
      <c r="R460" s="6"/>
      <c r="S460" s="6"/>
      <c r="T460" s="6"/>
    </row>
    <row r="461" spans="4:20" x14ac:dyDescent="0.2">
      <c r="D461" s="6"/>
      <c r="E461" s="6"/>
      <c r="F461" s="6"/>
      <c r="G461" s="19"/>
      <c r="H461" s="19"/>
      <c r="I461" s="19"/>
      <c r="J461" s="19"/>
      <c r="K461" s="6"/>
      <c r="L461" s="6"/>
      <c r="M461" s="6"/>
      <c r="N461" s="6"/>
      <c r="O461" s="6"/>
      <c r="P461" s="6"/>
      <c r="Q461" s="6"/>
      <c r="R461" s="6"/>
      <c r="S461" s="6"/>
      <c r="T461" s="6"/>
    </row>
    <row r="462" spans="4:20" x14ac:dyDescent="0.2">
      <c r="D462" s="6"/>
      <c r="E462" s="6"/>
      <c r="F462" s="6"/>
      <c r="G462" s="19"/>
      <c r="H462" s="19"/>
      <c r="I462" s="19"/>
      <c r="J462" s="19"/>
      <c r="K462" s="6"/>
      <c r="L462" s="6"/>
      <c r="M462" s="6"/>
      <c r="N462" s="6"/>
      <c r="O462" s="6"/>
      <c r="P462" s="6"/>
      <c r="Q462" s="6"/>
      <c r="R462" s="6"/>
      <c r="S462" s="6"/>
      <c r="T462" s="6"/>
    </row>
    <row r="463" spans="4:20" x14ac:dyDescent="0.2">
      <c r="D463" s="6"/>
      <c r="E463" s="6"/>
      <c r="F463" s="6"/>
      <c r="G463" s="19"/>
      <c r="H463" s="19"/>
      <c r="I463" s="19"/>
      <c r="J463" s="19"/>
      <c r="K463" s="6"/>
      <c r="L463" s="6"/>
      <c r="M463" s="6"/>
      <c r="N463" s="6"/>
      <c r="O463" s="6"/>
      <c r="P463" s="6"/>
      <c r="Q463" s="6"/>
      <c r="R463" s="6"/>
      <c r="S463" s="6"/>
      <c r="T463" s="6"/>
    </row>
    <row r="464" spans="4:20" x14ac:dyDescent="0.2">
      <c r="D464" s="6"/>
      <c r="E464" s="6"/>
      <c r="F464" s="6"/>
      <c r="G464" s="19"/>
      <c r="H464" s="19"/>
      <c r="I464" s="19"/>
      <c r="J464" s="19"/>
      <c r="K464" s="6"/>
      <c r="L464" s="6"/>
      <c r="M464" s="6"/>
      <c r="N464" s="6"/>
      <c r="O464" s="6"/>
      <c r="P464" s="6"/>
      <c r="Q464" s="6"/>
      <c r="R464" s="6"/>
      <c r="S464" s="6"/>
      <c r="T464" s="6"/>
    </row>
    <row r="465" spans="4:20" x14ac:dyDescent="0.2">
      <c r="D465" s="6"/>
      <c r="E465" s="6"/>
      <c r="F465" s="6"/>
      <c r="G465" s="19"/>
      <c r="H465" s="19"/>
      <c r="I465" s="19"/>
      <c r="J465" s="19"/>
      <c r="K465" s="6"/>
      <c r="L465" s="6"/>
      <c r="M465" s="6"/>
      <c r="N465" s="6"/>
      <c r="O465" s="6"/>
      <c r="P465" s="6"/>
      <c r="Q465" s="6"/>
      <c r="R465" s="6"/>
      <c r="S465" s="6"/>
      <c r="T465" s="6"/>
    </row>
    <row r="466" spans="4:20" x14ac:dyDescent="0.2">
      <c r="D466" s="6"/>
      <c r="E466" s="6"/>
      <c r="F466" s="6"/>
      <c r="G466" s="19"/>
      <c r="H466" s="19"/>
      <c r="I466" s="19"/>
      <c r="J466" s="19"/>
      <c r="K466" s="6"/>
      <c r="L466" s="6"/>
      <c r="M466" s="6"/>
      <c r="N466" s="6"/>
      <c r="O466" s="6"/>
      <c r="P466" s="6"/>
      <c r="Q466" s="6"/>
      <c r="R466" s="6"/>
      <c r="S466" s="6"/>
      <c r="T466" s="6"/>
    </row>
    <row r="467" spans="4:20" x14ac:dyDescent="0.2">
      <c r="D467" s="6"/>
      <c r="E467" s="6"/>
      <c r="F467" s="6"/>
      <c r="G467" s="19"/>
      <c r="H467" s="19"/>
      <c r="I467" s="19"/>
      <c r="J467" s="19"/>
      <c r="K467" s="6"/>
      <c r="L467" s="6"/>
      <c r="M467" s="6"/>
      <c r="N467" s="6"/>
      <c r="O467" s="6"/>
      <c r="P467" s="6"/>
      <c r="Q467" s="6"/>
      <c r="R467" s="6"/>
      <c r="S467" s="6"/>
      <c r="T467" s="6"/>
    </row>
    <row r="468" spans="4:20" x14ac:dyDescent="0.2">
      <c r="D468" s="6"/>
      <c r="E468" s="6"/>
      <c r="F468" s="6"/>
      <c r="G468" s="19"/>
      <c r="H468" s="19"/>
      <c r="I468" s="19"/>
      <c r="J468" s="19"/>
      <c r="K468" s="6"/>
      <c r="L468" s="6"/>
      <c r="M468" s="6"/>
      <c r="N468" s="6"/>
      <c r="O468" s="6"/>
      <c r="P468" s="6"/>
      <c r="Q468" s="6"/>
      <c r="R468" s="6"/>
      <c r="S468" s="6"/>
      <c r="T468" s="6"/>
    </row>
    <row r="469" spans="4:20" x14ac:dyDescent="0.2">
      <c r="D469" s="6"/>
      <c r="E469" s="6"/>
      <c r="F469" s="6"/>
      <c r="G469" s="19"/>
      <c r="H469" s="19"/>
      <c r="I469" s="19"/>
      <c r="J469" s="19"/>
      <c r="K469" s="6"/>
      <c r="L469" s="6"/>
      <c r="M469" s="6"/>
      <c r="N469" s="6"/>
      <c r="O469" s="6"/>
      <c r="P469" s="6"/>
      <c r="Q469" s="6"/>
      <c r="R469" s="6"/>
      <c r="S469" s="6"/>
      <c r="T469" s="6"/>
    </row>
    <row r="470" spans="4:20" x14ac:dyDescent="0.2">
      <c r="D470" s="6"/>
      <c r="E470" s="6"/>
      <c r="F470" s="6"/>
      <c r="G470" s="19"/>
      <c r="H470" s="19"/>
      <c r="I470" s="19"/>
      <c r="J470" s="19"/>
      <c r="K470" s="6"/>
      <c r="L470" s="6"/>
      <c r="M470" s="6"/>
      <c r="N470" s="6"/>
      <c r="O470" s="6"/>
      <c r="P470" s="6"/>
      <c r="Q470" s="6"/>
      <c r="R470" s="6"/>
      <c r="S470" s="6"/>
      <c r="T470" s="6"/>
    </row>
    <row r="471" spans="4:20" x14ac:dyDescent="0.2">
      <c r="D471" s="6"/>
      <c r="E471" s="6"/>
      <c r="F471" s="6"/>
      <c r="G471" s="19"/>
      <c r="H471" s="19"/>
      <c r="I471" s="19"/>
      <c r="J471" s="19"/>
      <c r="K471" s="6"/>
      <c r="L471" s="6"/>
      <c r="M471" s="6"/>
      <c r="N471" s="6"/>
      <c r="O471" s="6"/>
      <c r="P471" s="6"/>
      <c r="Q471" s="6"/>
      <c r="R471" s="6"/>
      <c r="S471" s="6"/>
      <c r="T471" s="6"/>
    </row>
    <row r="472" spans="4:20" x14ac:dyDescent="0.2">
      <c r="D472" s="6"/>
      <c r="E472" s="6"/>
      <c r="F472" s="6"/>
      <c r="G472" s="19"/>
      <c r="H472" s="19"/>
      <c r="I472" s="19"/>
      <c r="J472" s="19"/>
      <c r="K472" s="6"/>
      <c r="L472" s="6"/>
      <c r="M472" s="6"/>
      <c r="N472" s="6"/>
      <c r="O472" s="6"/>
      <c r="P472" s="6"/>
      <c r="Q472" s="6"/>
      <c r="R472" s="6"/>
      <c r="S472" s="6"/>
      <c r="T472" s="6"/>
    </row>
    <row r="473" spans="4:20" x14ac:dyDescent="0.2">
      <c r="D473" s="6"/>
      <c r="E473" s="6"/>
      <c r="F473" s="6"/>
      <c r="G473" s="19"/>
      <c r="H473" s="19"/>
      <c r="I473" s="19"/>
      <c r="J473" s="19"/>
      <c r="K473" s="6"/>
      <c r="L473" s="6"/>
      <c r="M473" s="6"/>
      <c r="N473" s="6"/>
      <c r="O473" s="6"/>
      <c r="P473" s="6"/>
      <c r="Q473" s="6"/>
      <c r="R473" s="6"/>
      <c r="S473" s="6"/>
      <c r="T473" s="6"/>
    </row>
    <row r="474" spans="4:20" x14ac:dyDescent="0.2">
      <c r="D474" s="6"/>
      <c r="E474" s="6"/>
      <c r="F474" s="6"/>
      <c r="G474" s="19"/>
      <c r="H474" s="19"/>
      <c r="I474" s="19"/>
      <c r="J474" s="19"/>
      <c r="K474" s="6"/>
      <c r="L474" s="6"/>
      <c r="M474" s="6"/>
      <c r="N474" s="6"/>
      <c r="O474" s="6"/>
      <c r="P474" s="6"/>
      <c r="Q474" s="6"/>
      <c r="R474" s="6"/>
      <c r="S474" s="6"/>
      <c r="T474" s="6"/>
    </row>
    <row r="475" spans="4:20" x14ac:dyDescent="0.2">
      <c r="D475" s="6"/>
      <c r="E475" s="6"/>
      <c r="F475" s="6"/>
      <c r="G475" s="19"/>
      <c r="H475" s="19"/>
      <c r="I475" s="19"/>
      <c r="J475" s="19"/>
      <c r="K475" s="6"/>
      <c r="L475" s="6"/>
      <c r="M475" s="6"/>
      <c r="N475" s="6"/>
      <c r="O475" s="6"/>
      <c r="P475" s="6"/>
      <c r="Q475" s="6"/>
      <c r="R475" s="6"/>
      <c r="S475" s="6"/>
      <c r="T475" s="6"/>
    </row>
    <row r="476" spans="4:20" x14ac:dyDescent="0.2">
      <c r="D476" s="6"/>
      <c r="E476" s="6"/>
      <c r="F476" s="6"/>
      <c r="G476" s="19"/>
      <c r="H476" s="19"/>
      <c r="I476" s="19"/>
      <c r="J476" s="19"/>
      <c r="K476" s="6"/>
      <c r="L476" s="6"/>
      <c r="M476" s="6"/>
      <c r="N476" s="6"/>
      <c r="O476" s="6"/>
      <c r="P476" s="6"/>
      <c r="Q476" s="6"/>
      <c r="R476" s="6"/>
      <c r="S476" s="6"/>
      <c r="T476" s="6"/>
    </row>
    <row r="477" spans="4:20" x14ac:dyDescent="0.2">
      <c r="D477" s="6"/>
      <c r="E477" s="6"/>
      <c r="F477" s="6"/>
      <c r="G477" s="19"/>
      <c r="H477" s="19"/>
      <c r="I477" s="19"/>
      <c r="J477" s="19"/>
      <c r="K477" s="6"/>
      <c r="L477" s="6"/>
      <c r="M477" s="6"/>
      <c r="N477" s="6"/>
      <c r="O477" s="6"/>
      <c r="P477" s="6"/>
      <c r="Q477" s="6"/>
      <c r="R477" s="6"/>
      <c r="S477" s="6"/>
      <c r="T477" s="6"/>
    </row>
    <row r="478" spans="4:20" x14ac:dyDescent="0.2">
      <c r="D478" s="6"/>
      <c r="E478" s="6"/>
      <c r="F478" s="6"/>
      <c r="G478" s="19"/>
      <c r="H478" s="19"/>
      <c r="I478" s="19"/>
      <c r="J478" s="19"/>
      <c r="K478" s="6"/>
      <c r="L478" s="6"/>
      <c r="M478" s="6"/>
      <c r="N478" s="6"/>
      <c r="O478" s="6"/>
      <c r="P478" s="6"/>
      <c r="Q478" s="6"/>
      <c r="R478" s="6"/>
      <c r="S478" s="6"/>
      <c r="T478" s="6"/>
    </row>
    <row r="479" spans="4:20" x14ac:dyDescent="0.2">
      <c r="D479" s="6"/>
      <c r="E479" s="6"/>
      <c r="F479" s="6"/>
      <c r="G479" s="19"/>
      <c r="H479" s="19"/>
      <c r="I479" s="19"/>
      <c r="J479" s="19"/>
      <c r="K479" s="6"/>
      <c r="L479" s="6"/>
      <c r="M479" s="6"/>
      <c r="N479" s="6"/>
      <c r="O479" s="6"/>
      <c r="P479" s="6"/>
      <c r="Q479" s="6"/>
      <c r="R479" s="6"/>
      <c r="S479" s="6"/>
      <c r="T479" s="6"/>
    </row>
    <row r="480" spans="4:20" x14ac:dyDescent="0.2">
      <c r="D480" s="6"/>
      <c r="E480" s="6"/>
      <c r="F480" s="6"/>
      <c r="G480" s="19"/>
      <c r="H480" s="19"/>
      <c r="I480" s="19"/>
      <c r="J480" s="19"/>
      <c r="K480" s="6"/>
      <c r="L480" s="6"/>
      <c r="M480" s="6"/>
      <c r="N480" s="6"/>
      <c r="O480" s="6"/>
      <c r="P480" s="6"/>
      <c r="Q480" s="6"/>
      <c r="R480" s="6"/>
      <c r="S480" s="6"/>
      <c r="T480" s="6"/>
    </row>
    <row r="481" spans="4:20" x14ac:dyDescent="0.2">
      <c r="D481" s="6"/>
      <c r="E481" s="6"/>
      <c r="F481" s="6"/>
      <c r="G481" s="19"/>
      <c r="H481" s="19"/>
      <c r="I481" s="19"/>
      <c r="J481" s="19"/>
      <c r="K481" s="6"/>
      <c r="L481" s="6"/>
      <c r="M481" s="6"/>
      <c r="N481" s="6"/>
      <c r="O481" s="6"/>
      <c r="P481" s="6"/>
      <c r="Q481" s="6"/>
      <c r="R481" s="6"/>
      <c r="S481" s="6"/>
      <c r="T481" s="6"/>
    </row>
    <row r="482" spans="4:20" x14ac:dyDescent="0.2">
      <c r="D482" s="6"/>
      <c r="E482" s="6"/>
      <c r="F482" s="6"/>
      <c r="G482" s="19"/>
      <c r="H482" s="19"/>
      <c r="I482" s="19"/>
      <c r="J482" s="19"/>
      <c r="K482" s="6"/>
      <c r="L482" s="6"/>
      <c r="M482" s="6"/>
      <c r="N482" s="6"/>
      <c r="O482" s="6"/>
      <c r="P482" s="6"/>
      <c r="Q482" s="6"/>
      <c r="R482" s="6"/>
      <c r="S482" s="6"/>
      <c r="T482" s="6"/>
    </row>
    <row r="483" spans="4:20" x14ac:dyDescent="0.2">
      <c r="D483" s="6"/>
      <c r="E483" s="6"/>
      <c r="F483" s="6"/>
      <c r="G483" s="19"/>
      <c r="H483" s="19"/>
      <c r="I483" s="19"/>
      <c r="J483" s="19"/>
      <c r="K483" s="6"/>
      <c r="L483" s="6"/>
      <c r="M483" s="6"/>
      <c r="N483" s="6"/>
      <c r="O483" s="6"/>
      <c r="P483" s="6"/>
      <c r="Q483" s="6"/>
      <c r="R483" s="6"/>
      <c r="S483" s="6"/>
      <c r="T483" s="6"/>
    </row>
    <row r="484" spans="4:20" x14ac:dyDescent="0.2">
      <c r="D484" s="6"/>
      <c r="E484" s="6"/>
      <c r="F484" s="6"/>
      <c r="G484" s="19"/>
      <c r="H484" s="19"/>
      <c r="I484" s="19"/>
      <c r="J484" s="19"/>
      <c r="K484" s="6"/>
      <c r="L484" s="6"/>
      <c r="M484" s="6"/>
      <c r="N484" s="6"/>
      <c r="O484" s="6"/>
      <c r="P484" s="6"/>
      <c r="Q484" s="6"/>
      <c r="R484" s="6"/>
      <c r="S484" s="6"/>
      <c r="T484" s="6"/>
    </row>
    <row r="485" spans="4:20" x14ac:dyDescent="0.2">
      <c r="D485" s="6"/>
      <c r="E485" s="6"/>
      <c r="F485" s="6"/>
      <c r="G485" s="19"/>
      <c r="H485" s="19"/>
      <c r="I485" s="19"/>
      <c r="J485" s="19"/>
      <c r="K485" s="6"/>
      <c r="L485" s="6"/>
      <c r="M485" s="6"/>
      <c r="N485" s="6"/>
      <c r="O485" s="6"/>
      <c r="P485" s="6"/>
      <c r="Q485" s="6"/>
      <c r="R485" s="6"/>
      <c r="S485" s="6"/>
      <c r="T485" s="6"/>
    </row>
    <row r="486" spans="4:20" x14ac:dyDescent="0.2">
      <c r="D486" s="6"/>
      <c r="E486" s="6"/>
      <c r="F486" s="6"/>
      <c r="G486" s="19"/>
      <c r="H486" s="19"/>
      <c r="I486" s="19"/>
      <c r="J486" s="19"/>
      <c r="K486" s="6"/>
      <c r="L486" s="6"/>
      <c r="M486" s="6"/>
      <c r="N486" s="6"/>
      <c r="O486" s="6"/>
      <c r="P486" s="6"/>
      <c r="Q486" s="6"/>
      <c r="R486" s="6"/>
      <c r="S486" s="6"/>
      <c r="T486" s="6"/>
    </row>
    <row r="487" spans="4:20" x14ac:dyDescent="0.2">
      <c r="D487" s="6"/>
      <c r="E487" s="6"/>
      <c r="F487" s="6"/>
      <c r="G487" s="19"/>
      <c r="H487" s="19"/>
      <c r="I487" s="19"/>
      <c r="J487" s="19"/>
      <c r="K487" s="6"/>
      <c r="L487" s="6"/>
      <c r="M487" s="6"/>
      <c r="N487" s="6"/>
      <c r="O487" s="6"/>
      <c r="P487" s="6"/>
      <c r="Q487" s="6"/>
      <c r="R487" s="6"/>
      <c r="S487" s="6"/>
      <c r="T487" s="6"/>
    </row>
    <row r="488" spans="4:20" x14ac:dyDescent="0.2">
      <c r="D488" s="6"/>
      <c r="E488" s="6"/>
      <c r="F488" s="6"/>
      <c r="G488" s="19"/>
      <c r="H488" s="19"/>
      <c r="I488" s="19"/>
      <c r="J488" s="19"/>
      <c r="K488" s="6"/>
      <c r="L488" s="6"/>
      <c r="M488" s="6"/>
      <c r="N488" s="6"/>
      <c r="O488" s="6"/>
      <c r="P488" s="6"/>
      <c r="Q488" s="6"/>
      <c r="R488" s="6"/>
      <c r="S488" s="6"/>
      <c r="T488" s="6"/>
    </row>
    <row r="489" spans="4:20" x14ac:dyDescent="0.2">
      <c r="D489" s="6"/>
      <c r="E489" s="6"/>
      <c r="F489" s="6"/>
      <c r="G489" s="19"/>
      <c r="H489" s="19"/>
      <c r="I489" s="19"/>
      <c r="J489" s="19"/>
      <c r="K489" s="6"/>
      <c r="L489" s="6"/>
      <c r="M489" s="6"/>
      <c r="N489" s="6"/>
      <c r="O489" s="6"/>
      <c r="P489" s="6"/>
      <c r="Q489" s="6"/>
      <c r="R489" s="6"/>
      <c r="S489" s="6"/>
      <c r="T489" s="6"/>
    </row>
    <row r="490" spans="4:20" x14ac:dyDescent="0.2">
      <c r="D490" s="6"/>
      <c r="E490" s="6"/>
      <c r="F490" s="6"/>
      <c r="G490" s="19"/>
      <c r="H490" s="19"/>
      <c r="I490" s="19"/>
      <c r="J490" s="19"/>
      <c r="K490" s="6"/>
      <c r="L490" s="6"/>
      <c r="M490" s="6"/>
      <c r="N490" s="6"/>
      <c r="O490" s="6"/>
      <c r="P490" s="6"/>
      <c r="Q490" s="6"/>
      <c r="R490" s="6"/>
      <c r="S490" s="6"/>
      <c r="T490" s="6"/>
    </row>
    <row r="491" spans="4:20" x14ac:dyDescent="0.2">
      <c r="D491" s="6"/>
      <c r="E491" s="6"/>
      <c r="F491" s="6"/>
      <c r="G491" s="19"/>
      <c r="H491" s="19"/>
      <c r="I491" s="19"/>
      <c r="J491" s="19"/>
      <c r="K491" s="6"/>
      <c r="L491" s="6"/>
      <c r="M491" s="6"/>
      <c r="N491" s="6"/>
      <c r="O491" s="6"/>
      <c r="P491" s="6"/>
      <c r="Q491" s="6"/>
      <c r="R491" s="6"/>
      <c r="S491" s="6"/>
      <c r="T491" s="6"/>
    </row>
    <row r="492" spans="4:20" x14ac:dyDescent="0.2">
      <c r="D492" s="6"/>
      <c r="E492" s="6"/>
      <c r="F492" s="6"/>
      <c r="G492" s="19"/>
      <c r="H492" s="19"/>
      <c r="I492" s="19"/>
      <c r="J492" s="19"/>
      <c r="K492" s="6"/>
      <c r="L492" s="6"/>
      <c r="M492" s="6"/>
      <c r="N492" s="6"/>
      <c r="O492" s="6"/>
      <c r="P492" s="6"/>
      <c r="Q492" s="6"/>
      <c r="R492" s="6"/>
      <c r="S492" s="6"/>
      <c r="T492" s="6"/>
    </row>
    <row r="493" spans="4:20" x14ac:dyDescent="0.2">
      <c r="D493" s="6"/>
      <c r="E493" s="6"/>
      <c r="F493" s="6"/>
      <c r="G493" s="19"/>
      <c r="H493" s="19"/>
      <c r="I493" s="19"/>
      <c r="J493" s="19"/>
      <c r="K493" s="6"/>
      <c r="L493" s="6"/>
      <c r="M493" s="6"/>
      <c r="N493" s="6"/>
      <c r="O493" s="6"/>
      <c r="P493" s="6"/>
      <c r="Q493" s="6"/>
      <c r="R493" s="6"/>
      <c r="S493" s="6"/>
      <c r="T493" s="6"/>
    </row>
    <row r="494" spans="4:20" x14ac:dyDescent="0.2">
      <c r="D494" s="6"/>
      <c r="E494" s="6"/>
      <c r="F494" s="6"/>
      <c r="G494" s="19"/>
      <c r="H494" s="19"/>
      <c r="I494" s="19"/>
      <c r="J494" s="19"/>
      <c r="K494" s="6"/>
      <c r="L494" s="6"/>
      <c r="M494" s="6"/>
      <c r="N494" s="6"/>
      <c r="O494" s="6"/>
      <c r="P494" s="6"/>
      <c r="Q494" s="6"/>
      <c r="R494" s="6"/>
      <c r="S494" s="6"/>
      <c r="T494" s="6"/>
    </row>
    <row r="495" spans="4:20" x14ac:dyDescent="0.2">
      <c r="D495" s="6"/>
      <c r="E495" s="6"/>
      <c r="F495" s="6"/>
      <c r="G495" s="19"/>
      <c r="H495" s="19"/>
      <c r="I495" s="19"/>
      <c r="J495" s="19"/>
      <c r="K495" s="6"/>
      <c r="L495" s="6"/>
      <c r="M495" s="6"/>
      <c r="N495" s="6"/>
      <c r="O495" s="6"/>
      <c r="P495" s="6"/>
      <c r="Q495" s="6"/>
      <c r="R495" s="6"/>
      <c r="S495" s="6"/>
      <c r="T495" s="6"/>
    </row>
    <row r="496" spans="4:20" x14ac:dyDescent="0.2">
      <c r="D496" s="6"/>
      <c r="E496" s="6"/>
      <c r="F496" s="6"/>
      <c r="G496" s="19"/>
      <c r="H496" s="19"/>
      <c r="I496" s="19"/>
      <c r="J496" s="19"/>
      <c r="K496" s="6"/>
      <c r="L496" s="6"/>
      <c r="M496" s="6"/>
      <c r="N496" s="6"/>
      <c r="O496" s="6"/>
      <c r="P496" s="6"/>
      <c r="Q496" s="6"/>
      <c r="R496" s="6"/>
      <c r="S496" s="6"/>
      <c r="T496" s="6"/>
    </row>
    <row r="497" spans="4:20" x14ac:dyDescent="0.2">
      <c r="D497" s="6"/>
      <c r="E497" s="6"/>
      <c r="F497" s="6"/>
      <c r="G497" s="19"/>
      <c r="H497" s="19"/>
      <c r="I497" s="19"/>
      <c r="J497" s="19"/>
      <c r="K497" s="6"/>
      <c r="L497" s="6"/>
      <c r="M497" s="6"/>
      <c r="N497" s="6"/>
      <c r="O497" s="6"/>
      <c r="P497" s="6"/>
      <c r="Q497" s="6"/>
      <c r="R497" s="6"/>
      <c r="S497" s="6"/>
      <c r="T497" s="6"/>
    </row>
    <row r="498" spans="4:20" x14ac:dyDescent="0.2">
      <c r="D498" s="6"/>
      <c r="E498" s="6"/>
      <c r="F498" s="6"/>
      <c r="G498" s="19"/>
      <c r="H498" s="19"/>
      <c r="I498" s="19"/>
      <c r="J498" s="19"/>
      <c r="K498" s="6"/>
      <c r="L498" s="6"/>
      <c r="M498" s="6"/>
      <c r="N498" s="6"/>
      <c r="O498" s="6"/>
      <c r="P498" s="6"/>
      <c r="Q498" s="6"/>
      <c r="R498" s="6"/>
      <c r="S498" s="6"/>
      <c r="T498" s="6"/>
    </row>
    <row r="499" spans="4:20" x14ac:dyDescent="0.2">
      <c r="D499" s="6"/>
      <c r="E499" s="6"/>
      <c r="F499" s="6"/>
      <c r="G499" s="19"/>
      <c r="H499" s="19"/>
      <c r="I499" s="19"/>
      <c r="J499" s="19"/>
      <c r="K499" s="6"/>
      <c r="L499" s="6"/>
      <c r="M499" s="6"/>
      <c r="N499" s="6"/>
      <c r="O499" s="6"/>
      <c r="P499" s="6"/>
      <c r="Q499" s="6"/>
      <c r="R499" s="6"/>
      <c r="S499" s="6"/>
      <c r="T499" s="6"/>
    </row>
    <row r="500" spans="4:20" x14ac:dyDescent="0.2">
      <c r="D500" s="6"/>
      <c r="E500" s="6"/>
      <c r="F500" s="6"/>
      <c r="G500" s="19"/>
      <c r="H500" s="19"/>
      <c r="I500" s="19"/>
      <c r="J500" s="19"/>
      <c r="K500" s="6"/>
      <c r="L500" s="6"/>
      <c r="M500" s="6"/>
      <c r="N500" s="6"/>
      <c r="O500" s="6"/>
      <c r="P500" s="6"/>
      <c r="Q500" s="6"/>
      <c r="R500" s="6"/>
      <c r="S500" s="6"/>
      <c r="T500" s="6"/>
    </row>
    <row r="501" spans="4:20" x14ac:dyDescent="0.2">
      <c r="D501" s="6"/>
      <c r="E501" s="6"/>
      <c r="F501" s="6"/>
      <c r="G501" s="19"/>
      <c r="H501" s="19"/>
      <c r="I501" s="19"/>
      <c r="J501" s="19"/>
      <c r="K501" s="6"/>
      <c r="L501" s="6"/>
      <c r="M501" s="6"/>
      <c r="N501" s="6"/>
      <c r="O501" s="6"/>
      <c r="P501" s="6"/>
      <c r="Q501" s="6"/>
      <c r="R501" s="6"/>
      <c r="S501" s="6"/>
      <c r="T501" s="6"/>
    </row>
    <row r="502" spans="4:20" x14ac:dyDescent="0.2">
      <c r="D502" s="6"/>
      <c r="E502" s="6"/>
      <c r="F502" s="6"/>
      <c r="G502" s="19"/>
      <c r="H502" s="19"/>
      <c r="I502" s="19"/>
      <c r="J502" s="19"/>
      <c r="K502" s="6"/>
      <c r="L502" s="6"/>
      <c r="M502" s="6"/>
      <c r="N502" s="6"/>
      <c r="O502" s="6"/>
      <c r="P502" s="6"/>
      <c r="Q502" s="6"/>
      <c r="R502" s="6"/>
      <c r="S502" s="6"/>
      <c r="T502" s="6"/>
    </row>
    <row r="503" spans="4:20" x14ac:dyDescent="0.2">
      <c r="D503" s="6"/>
      <c r="E503" s="6"/>
      <c r="F503" s="6"/>
      <c r="G503" s="19"/>
      <c r="H503" s="19"/>
      <c r="I503" s="19"/>
      <c r="J503" s="19"/>
      <c r="K503" s="6"/>
      <c r="L503" s="6"/>
      <c r="M503" s="6"/>
      <c r="N503" s="6"/>
      <c r="O503" s="6"/>
      <c r="P503" s="6"/>
      <c r="Q503" s="6"/>
      <c r="R503" s="6"/>
      <c r="S503" s="6"/>
      <c r="T503" s="6"/>
    </row>
    <row r="504" spans="4:20" x14ac:dyDescent="0.2">
      <c r="D504" s="6"/>
      <c r="E504" s="6"/>
      <c r="F504" s="6"/>
      <c r="G504" s="19"/>
      <c r="H504" s="19"/>
      <c r="I504" s="19"/>
      <c r="J504" s="19"/>
      <c r="K504" s="6"/>
      <c r="L504" s="6"/>
      <c r="M504" s="6"/>
      <c r="N504" s="6"/>
      <c r="O504" s="6"/>
      <c r="P504" s="6"/>
      <c r="Q504" s="6"/>
      <c r="R504" s="6"/>
      <c r="S504" s="6"/>
      <c r="T504" s="6"/>
    </row>
    <row r="505" spans="4:20" x14ac:dyDescent="0.2">
      <c r="D505" s="6"/>
      <c r="E505" s="6"/>
      <c r="F505" s="6"/>
      <c r="G505" s="19"/>
      <c r="H505" s="19"/>
      <c r="I505" s="19"/>
      <c r="J505" s="19"/>
      <c r="K505" s="6"/>
      <c r="L505" s="6"/>
      <c r="M505" s="6"/>
      <c r="N505" s="6"/>
      <c r="O505" s="6"/>
      <c r="P505" s="6"/>
      <c r="Q505" s="6"/>
      <c r="R505" s="6"/>
      <c r="S505" s="6"/>
      <c r="T505" s="6"/>
    </row>
    <row r="506" spans="4:20" x14ac:dyDescent="0.2">
      <c r="D506" s="6"/>
      <c r="E506" s="6"/>
      <c r="F506" s="6"/>
      <c r="G506" s="19"/>
      <c r="H506" s="19"/>
      <c r="I506" s="19"/>
      <c r="J506" s="19"/>
      <c r="K506" s="6"/>
      <c r="L506" s="6"/>
      <c r="M506" s="6"/>
      <c r="N506" s="6"/>
      <c r="O506" s="6"/>
      <c r="P506" s="6"/>
      <c r="Q506" s="6"/>
      <c r="R506" s="6"/>
      <c r="S506" s="6"/>
      <c r="T506" s="6"/>
    </row>
    <row r="507" spans="4:20" x14ac:dyDescent="0.2">
      <c r="D507" s="6"/>
      <c r="E507" s="6"/>
      <c r="F507" s="6"/>
      <c r="G507" s="19"/>
      <c r="H507" s="19"/>
      <c r="I507" s="19"/>
      <c r="J507" s="19"/>
      <c r="K507" s="6"/>
      <c r="L507" s="6"/>
      <c r="M507" s="6"/>
      <c r="N507" s="6"/>
      <c r="O507" s="6"/>
      <c r="P507" s="6"/>
      <c r="Q507" s="6"/>
      <c r="R507" s="6"/>
      <c r="S507" s="6"/>
      <c r="T507" s="6"/>
    </row>
    <row r="508" spans="4:20" x14ac:dyDescent="0.2">
      <c r="D508" s="6"/>
      <c r="E508" s="6"/>
      <c r="F508" s="6"/>
      <c r="G508" s="19"/>
      <c r="H508" s="19"/>
      <c r="I508" s="19"/>
      <c r="J508" s="19"/>
      <c r="K508" s="6"/>
      <c r="L508" s="6"/>
      <c r="M508" s="6"/>
      <c r="N508" s="6"/>
      <c r="O508" s="6"/>
      <c r="P508" s="6"/>
      <c r="Q508" s="6"/>
      <c r="R508" s="6"/>
      <c r="S508" s="6"/>
      <c r="T508" s="6"/>
    </row>
    <row r="509" spans="4:20" x14ac:dyDescent="0.2">
      <c r="D509" s="6"/>
      <c r="E509" s="6"/>
      <c r="F509" s="6"/>
      <c r="G509" s="19"/>
      <c r="H509" s="19"/>
      <c r="I509" s="19"/>
      <c r="J509" s="19"/>
      <c r="K509" s="6"/>
      <c r="L509" s="6"/>
      <c r="M509" s="6"/>
      <c r="N509" s="6"/>
      <c r="O509" s="6"/>
      <c r="P509" s="6"/>
      <c r="Q509" s="6"/>
      <c r="R509" s="6"/>
      <c r="S509" s="6"/>
      <c r="T509" s="6"/>
    </row>
    <row r="510" spans="4:20" x14ac:dyDescent="0.2">
      <c r="D510" s="6"/>
      <c r="E510" s="6"/>
      <c r="F510" s="6"/>
      <c r="G510" s="19"/>
      <c r="H510" s="19"/>
      <c r="I510" s="19"/>
      <c r="J510" s="19"/>
      <c r="K510" s="6"/>
      <c r="L510" s="6"/>
      <c r="M510" s="6"/>
      <c r="N510" s="6"/>
      <c r="O510" s="6"/>
      <c r="P510" s="6"/>
      <c r="Q510" s="6"/>
      <c r="R510" s="6"/>
      <c r="S510" s="6"/>
      <c r="T510" s="6"/>
    </row>
    <row r="511" spans="4:20" x14ac:dyDescent="0.2">
      <c r="D511" s="6"/>
      <c r="E511" s="6"/>
      <c r="F511" s="6"/>
      <c r="G511" s="19"/>
      <c r="H511" s="19"/>
      <c r="I511" s="19"/>
      <c r="J511" s="19"/>
      <c r="K511" s="6"/>
      <c r="L511" s="6"/>
      <c r="M511" s="6"/>
      <c r="N511" s="6"/>
      <c r="O511" s="6"/>
      <c r="P511" s="6"/>
      <c r="Q511" s="6"/>
      <c r="R511" s="6"/>
      <c r="S511" s="6"/>
      <c r="T511" s="6"/>
    </row>
    <row r="512" spans="4:20" x14ac:dyDescent="0.2">
      <c r="D512" s="6"/>
      <c r="E512" s="6"/>
      <c r="F512" s="6"/>
      <c r="G512" s="19"/>
      <c r="H512" s="19"/>
      <c r="I512" s="19"/>
      <c r="J512" s="19"/>
      <c r="K512" s="6"/>
      <c r="L512" s="6"/>
      <c r="M512" s="6"/>
      <c r="N512" s="6"/>
      <c r="O512" s="6"/>
      <c r="P512" s="6"/>
      <c r="Q512" s="6"/>
      <c r="R512" s="6"/>
      <c r="S512" s="6"/>
      <c r="T512" s="6"/>
    </row>
    <row r="513" spans="4:20" x14ac:dyDescent="0.2">
      <c r="D513" s="6"/>
      <c r="E513" s="6"/>
      <c r="F513" s="6"/>
      <c r="G513" s="19"/>
      <c r="H513" s="19"/>
      <c r="I513" s="19"/>
      <c r="J513" s="19"/>
      <c r="K513" s="6"/>
      <c r="L513" s="6"/>
      <c r="M513" s="6"/>
      <c r="N513" s="6"/>
      <c r="O513" s="6"/>
      <c r="P513" s="6"/>
      <c r="Q513" s="6"/>
      <c r="R513" s="6"/>
      <c r="S513" s="6"/>
      <c r="T513" s="6"/>
    </row>
    <row r="514" spans="4:20" x14ac:dyDescent="0.2">
      <c r="D514" s="6"/>
      <c r="E514" s="6"/>
      <c r="F514" s="6"/>
      <c r="G514" s="19"/>
      <c r="H514" s="19"/>
      <c r="I514" s="19"/>
      <c r="J514" s="19"/>
      <c r="K514" s="6"/>
      <c r="L514" s="6"/>
      <c r="M514" s="6"/>
      <c r="N514" s="6"/>
      <c r="O514" s="6"/>
      <c r="P514" s="6"/>
      <c r="Q514" s="6"/>
      <c r="R514" s="6"/>
      <c r="S514" s="6"/>
      <c r="T514" s="6"/>
    </row>
    <row r="515" spans="4:20" x14ac:dyDescent="0.2">
      <c r="D515" s="6"/>
      <c r="E515" s="6"/>
      <c r="F515" s="6"/>
      <c r="G515" s="19"/>
      <c r="H515" s="19"/>
      <c r="I515" s="19"/>
      <c r="J515" s="19"/>
      <c r="K515" s="6"/>
      <c r="L515" s="6"/>
      <c r="M515" s="6"/>
      <c r="N515" s="6"/>
      <c r="O515" s="6"/>
      <c r="P515" s="6"/>
      <c r="Q515" s="6"/>
      <c r="R515" s="6"/>
      <c r="S515" s="6"/>
      <c r="T515" s="6"/>
    </row>
    <row r="516" spans="4:20" x14ac:dyDescent="0.2">
      <c r="D516" s="6"/>
      <c r="E516" s="6"/>
      <c r="F516" s="6"/>
      <c r="G516" s="19"/>
      <c r="H516" s="19"/>
      <c r="I516" s="19"/>
      <c r="J516" s="19"/>
      <c r="K516" s="6"/>
      <c r="L516" s="6"/>
      <c r="M516" s="6"/>
      <c r="N516" s="6"/>
      <c r="O516" s="6"/>
      <c r="P516" s="6"/>
      <c r="Q516" s="6"/>
      <c r="R516" s="6"/>
      <c r="S516" s="6"/>
      <c r="T516" s="6"/>
    </row>
    <row r="517" spans="4:20" x14ac:dyDescent="0.2">
      <c r="D517" s="6"/>
      <c r="E517" s="6"/>
      <c r="F517" s="6"/>
      <c r="G517" s="19"/>
      <c r="H517" s="19"/>
      <c r="I517" s="19"/>
      <c r="J517" s="19"/>
      <c r="K517" s="6"/>
      <c r="L517" s="6"/>
      <c r="M517" s="6"/>
      <c r="N517" s="6"/>
      <c r="O517" s="6"/>
      <c r="P517" s="6"/>
      <c r="Q517" s="6"/>
      <c r="R517" s="6"/>
      <c r="S517" s="6"/>
      <c r="T517" s="6"/>
    </row>
    <row r="518" spans="4:20" x14ac:dyDescent="0.2">
      <c r="D518" s="6"/>
      <c r="E518" s="6"/>
      <c r="F518" s="6"/>
      <c r="G518" s="19"/>
      <c r="H518" s="19"/>
      <c r="I518" s="19"/>
      <c r="J518" s="19"/>
      <c r="K518" s="6"/>
      <c r="L518" s="6"/>
      <c r="M518" s="6"/>
      <c r="N518" s="6"/>
      <c r="O518" s="6"/>
      <c r="P518" s="6"/>
      <c r="Q518" s="6"/>
      <c r="R518" s="6"/>
      <c r="S518" s="6"/>
      <c r="T518" s="6"/>
    </row>
    <row r="519" spans="4:20" x14ac:dyDescent="0.2">
      <c r="D519" s="6"/>
      <c r="E519" s="6"/>
      <c r="F519" s="6"/>
      <c r="G519" s="19"/>
      <c r="H519" s="19"/>
      <c r="I519" s="19"/>
      <c r="J519" s="19"/>
      <c r="K519" s="6"/>
      <c r="L519" s="6"/>
      <c r="M519" s="6"/>
      <c r="N519" s="6"/>
      <c r="O519" s="6"/>
      <c r="P519" s="6"/>
      <c r="Q519" s="6"/>
      <c r="R519" s="6"/>
      <c r="S519" s="6"/>
      <c r="T519" s="6"/>
    </row>
    <row r="520" spans="4:20" x14ac:dyDescent="0.2">
      <c r="D520" s="6"/>
      <c r="E520" s="6"/>
      <c r="F520" s="6"/>
      <c r="G520" s="19"/>
      <c r="H520" s="19"/>
      <c r="I520" s="19"/>
      <c r="J520" s="19"/>
      <c r="K520" s="6"/>
      <c r="L520" s="6"/>
      <c r="M520" s="6"/>
      <c r="N520" s="6"/>
      <c r="O520" s="6"/>
      <c r="P520" s="6"/>
      <c r="Q520" s="6"/>
      <c r="R520" s="6"/>
      <c r="S520" s="6"/>
      <c r="T520" s="6"/>
    </row>
    <row r="521" spans="4:20" x14ac:dyDescent="0.2">
      <c r="D521" s="6"/>
      <c r="E521" s="6"/>
      <c r="F521" s="6"/>
      <c r="G521" s="19"/>
      <c r="H521" s="19"/>
      <c r="I521" s="19"/>
      <c r="J521" s="19"/>
      <c r="K521" s="6"/>
      <c r="L521" s="6"/>
      <c r="M521" s="6"/>
      <c r="N521" s="6"/>
      <c r="O521" s="6"/>
      <c r="P521" s="6"/>
      <c r="Q521" s="6"/>
      <c r="R521" s="6"/>
      <c r="S521" s="6"/>
      <c r="T521" s="6"/>
    </row>
    <row r="522" spans="4:20" x14ac:dyDescent="0.2">
      <c r="D522" s="6"/>
      <c r="E522" s="6"/>
      <c r="F522" s="6"/>
      <c r="G522" s="19"/>
      <c r="H522" s="19"/>
      <c r="I522" s="19"/>
      <c r="J522" s="19"/>
      <c r="K522" s="6"/>
      <c r="L522" s="6"/>
      <c r="M522" s="6"/>
      <c r="N522" s="6"/>
      <c r="O522" s="6"/>
      <c r="P522" s="6"/>
      <c r="Q522" s="6"/>
      <c r="R522" s="6"/>
      <c r="S522" s="6"/>
      <c r="T522" s="6"/>
    </row>
    <row r="523" spans="4:20" x14ac:dyDescent="0.2">
      <c r="D523" s="6"/>
      <c r="E523" s="6"/>
      <c r="F523" s="6"/>
      <c r="G523" s="19"/>
      <c r="H523" s="19"/>
      <c r="I523" s="19"/>
      <c r="J523" s="19"/>
      <c r="K523" s="6"/>
      <c r="L523" s="6"/>
      <c r="M523" s="6"/>
      <c r="N523" s="6"/>
      <c r="O523" s="6"/>
      <c r="P523" s="6"/>
      <c r="Q523" s="6"/>
      <c r="R523" s="6"/>
      <c r="S523" s="6"/>
      <c r="T523" s="6"/>
    </row>
    <row r="524" spans="4:20" x14ac:dyDescent="0.2">
      <c r="D524" s="6"/>
      <c r="E524" s="6"/>
      <c r="F524" s="6"/>
      <c r="G524" s="19"/>
      <c r="H524" s="19"/>
      <c r="I524" s="19"/>
      <c r="J524" s="19"/>
      <c r="K524" s="6"/>
      <c r="L524" s="6"/>
      <c r="M524" s="6"/>
      <c r="N524" s="6"/>
      <c r="O524" s="6"/>
      <c r="P524" s="6"/>
      <c r="Q524" s="6"/>
      <c r="R524" s="6"/>
      <c r="S524" s="6"/>
      <c r="T524" s="6"/>
    </row>
    <row r="525" spans="4:20" x14ac:dyDescent="0.2">
      <c r="D525" s="6"/>
      <c r="E525" s="6"/>
      <c r="F525" s="6"/>
      <c r="G525" s="19"/>
      <c r="H525" s="19"/>
      <c r="I525" s="19"/>
      <c r="J525" s="19"/>
      <c r="K525" s="6"/>
      <c r="L525" s="6"/>
      <c r="M525" s="6"/>
      <c r="N525" s="6"/>
      <c r="O525" s="6"/>
      <c r="P525" s="6"/>
      <c r="Q525" s="6"/>
      <c r="R525" s="6"/>
      <c r="S525" s="6"/>
      <c r="T525" s="6"/>
    </row>
    <row r="526" spans="4:20" x14ac:dyDescent="0.2">
      <c r="D526" s="6"/>
      <c r="E526" s="6"/>
      <c r="F526" s="6"/>
      <c r="G526" s="19"/>
      <c r="H526" s="19"/>
      <c r="I526" s="19"/>
      <c r="J526" s="19"/>
      <c r="K526" s="6"/>
      <c r="L526" s="6"/>
      <c r="M526" s="6"/>
      <c r="N526" s="6"/>
      <c r="O526" s="6"/>
      <c r="P526" s="6"/>
      <c r="Q526" s="6"/>
      <c r="R526" s="6"/>
      <c r="S526" s="6"/>
      <c r="T526" s="6"/>
    </row>
    <row r="527" spans="4:20" x14ac:dyDescent="0.2">
      <c r="D527" s="6"/>
      <c r="E527" s="6"/>
      <c r="F527" s="6"/>
      <c r="G527" s="19"/>
      <c r="H527" s="19"/>
      <c r="I527" s="19"/>
      <c r="J527" s="19"/>
      <c r="K527" s="6"/>
      <c r="L527" s="6"/>
      <c r="M527" s="6"/>
      <c r="N527" s="6"/>
      <c r="O527" s="6"/>
      <c r="P527" s="6"/>
      <c r="Q527" s="6"/>
      <c r="R527" s="6"/>
      <c r="S527" s="6"/>
      <c r="T527" s="6"/>
    </row>
    <row r="528" spans="4:20" x14ac:dyDescent="0.2">
      <c r="D528" s="6"/>
      <c r="E528" s="6"/>
      <c r="F528" s="6"/>
      <c r="G528" s="19"/>
      <c r="H528" s="19"/>
      <c r="I528" s="19"/>
      <c r="J528" s="19"/>
      <c r="K528" s="6"/>
      <c r="L528" s="6"/>
      <c r="M528" s="6"/>
      <c r="N528" s="6"/>
      <c r="O528" s="6"/>
      <c r="P528" s="6"/>
      <c r="Q528" s="6"/>
      <c r="R528" s="6"/>
      <c r="S528" s="6"/>
      <c r="T528" s="6"/>
    </row>
    <row r="529" spans="4:20" x14ac:dyDescent="0.2">
      <c r="D529" s="6"/>
      <c r="E529" s="6"/>
      <c r="F529" s="6"/>
      <c r="G529" s="19"/>
      <c r="H529" s="19"/>
      <c r="I529" s="19"/>
      <c r="J529" s="19"/>
      <c r="K529" s="6"/>
      <c r="L529" s="6"/>
      <c r="M529" s="6"/>
      <c r="N529" s="6"/>
      <c r="O529" s="6"/>
      <c r="P529" s="6"/>
      <c r="Q529" s="6"/>
      <c r="R529" s="6"/>
      <c r="S529" s="6"/>
      <c r="T529" s="6"/>
    </row>
    <row r="530" spans="4:20" x14ac:dyDescent="0.2">
      <c r="D530" s="6"/>
      <c r="E530" s="6"/>
      <c r="F530" s="6"/>
      <c r="G530" s="19"/>
      <c r="H530" s="19"/>
      <c r="I530" s="19"/>
      <c r="J530" s="19"/>
      <c r="K530" s="6"/>
      <c r="L530" s="6"/>
      <c r="M530" s="6"/>
      <c r="N530" s="6"/>
      <c r="O530" s="6"/>
      <c r="P530" s="6"/>
      <c r="Q530" s="6"/>
      <c r="R530" s="6"/>
      <c r="S530" s="6"/>
      <c r="T530" s="6"/>
    </row>
    <row r="531" spans="4:20" x14ac:dyDescent="0.2">
      <c r="D531" s="6"/>
      <c r="E531" s="6"/>
      <c r="F531" s="6"/>
      <c r="G531" s="19"/>
      <c r="H531" s="19"/>
      <c r="I531" s="19"/>
      <c r="J531" s="19"/>
      <c r="K531" s="6"/>
      <c r="L531" s="6"/>
      <c r="M531" s="6"/>
      <c r="N531" s="6"/>
      <c r="O531" s="6"/>
      <c r="P531" s="6"/>
      <c r="Q531" s="6"/>
      <c r="R531" s="6"/>
      <c r="S531" s="6"/>
      <c r="T531" s="6"/>
    </row>
    <row r="532" spans="4:20" x14ac:dyDescent="0.2">
      <c r="D532" s="6"/>
      <c r="E532" s="6"/>
      <c r="F532" s="6"/>
      <c r="G532" s="19"/>
      <c r="H532" s="19"/>
      <c r="I532" s="19"/>
      <c r="J532" s="19"/>
      <c r="K532" s="6"/>
      <c r="L532" s="6"/>
      <c r="M532" s="6"/>
      <c r="N532" s="6"/>
      <c r="O532" s="6"/>
      <c r="P532" s="6"/>
      <c r="Q532" s="6"/>
      <c r="R532" s="6"/>
      <c r="S532" s="6"/>
      <c r="T532" s="6"/>
    </row>
    <row r="533" spans="4:20" x14ac:dyDescent="0.2">
      <c r="D533" s="6"/>
      <c r="E533" s="6"/>
      <c r="F533" s="6"/>
      <c r="G533" s="19"/>
      <c r="H533" s="19"/>
      <c r="I533" s="19"/>
      <c r="J533" s="19"/>
      <c r="K533" s="6"/>
      <c r="L533" s="6"/>
      <c r="M533" s="6"/>
      <c r="N533" s="6"/>
      <c r="O533" s="6"/>
      <c r="P533" s="6"/>
      <c r="Q533" s="6"/>
      <c r="R533" s="6"/>
      <c r="S533" s="6"/>
      <c r="T533" s="6"/>
    </row>
    <row r="534" spans="4:20" x14ac:dyDescent="0.2">
      <c r="D534" s="6"/>
      <c r="E534" s="6"/>
      <c r="F534" s="6"/>
      <c r="G534" s="19"/>
      <c r="H534" s="19"/>
      <c r="I534" s="19"/>
      <c r="J534" s="19"/>
      <c r="K534" s="6"/>
      <c r="L534" s="6"/>
      <c r="M534" s="6"/>
      <c r="N534" s="6"/>
      <c r="O534" s="6"/>
      <c r="P534" s="6"/>
      <c r="Q534" s="6"/>
      <c r="R534" s="6"/>
      <c r="S534" s="6"/>
      <c r="T534" s="6"/>
    </row>
    <row r="535" spans="4:20" x14ac:dyDescent="0.2">
      <c r="D535" s="6"/>
      <c r="E535" s="6"/>
      <c r="F535" s="6"/>
      <c r="G535" s="19"/>
      <c r="H535" s="19"/>
      <c r="I535" s="19"/>
      <c r="J535" s="19"/>
      <c r="K535" s="6"/>
      <c r="L535" s="6"/>
      <c r="M535" s="6"/>
      <c r="N535" s="6"/>
      <c r="O535" s="6"/>
      <c r="P535" s="6"/>
      <c r="Q535" s="6"/>
      <c r="R535" s="6"/>
      <c r="S535" s="6"/>
      <c r="T535" s="6"/>
    </row>
    <row r="536" spans="4:20" x14ac:dyDescent="0.2">
      <c r="D536" s="6"/>
      <c r="E536" s="6"/>
      <c r="F536" s="6"/>
      <c r="G536" s="19"/>
      <c r="H536" s="19"/>
      <c r="I536" s="19"/>
      <c r="J536" s="19"/>
      <c r="K536" s="6"/>
      <c r="L536" s="6"/>
      <c r="M536" s="6"/>
      <c r="N536" s="6"/>
      <c r="O536" s="6"/>
      <c r="P536" s="6"/>
      <c r="Q536" s="6"/>
      <c r="R536" s="6"/>
      <c r="S536" s="6"/>
      <c r="T536" s="6"/>
    </row>
    <row r="537" spans="4:20" x14ac:dyDescent="0.2">
      <c r="D537" s="6"/>
      <c r="E537" s="6"/>
      <c r="F537" s="6"/>
      <c r="G537" s="19"/>
      <c r="H537" s="19"/>
      <c r="I537" s="19"/>
      <c r="J537" s="19"/>
      <c r="K537" s="6"/>
      <c r="L537" s="6"/>
      <c r="M537" s="6"/>
      <c r="N537" s="6"/>
      <c r="O537" s="6"/>
      <c r="P537" s="6"/>
      <c r="Q537" s="6"/>
      <c r="R537" s="6"/>
      <c r="S537" s="6"/>
      <c r="T537" s="6"/>
    </row>
    <row r="538" spans="4:20" x14ac:dyDescent="0.2">
      <c r="D538" s="6"/>
      <c r="E538" s="6"/>
      <c r="F538" s="6"/>
      <c r="G538" s="19"/>
      <c r="H538" s="19"/>
      <c r="I538" s="19"/>
      <c r="J538" s="19"/>
      <c r="K538" s="6"/>
      <c r="L538" s="6"/>
      <c r="M538" s="6"/>
      <c r="N538" s="6"/>
      <c r="O538" s="6"/>
      <c r="P538" s="6"/>
      <c r="Q538" s="6"/>
      <c r="R538" s="6"/>
      <c r="S538" s="6"/>
      <c r="T538" s="6"/>
    </row>
    <row r="539" spans="4:20" x14ac:dyDescent="0.2">
      <c r="D539" s="6"/>
      <c r="E539" s="6"/>
      <c r="F539" s="6"/>
      <c r="G539" s="19"/>
      <c r="H539" s="19"/>
      <c r="I539" s="19"/>
      <c r="J539" s="19"/>
      <c r="K539" s="6"/>
      <c r="L539" s="6"/>
      <c r="M539" s="6"/>
      <c r="N539" s="6"/>
      <c r="O539" s="6"/>
      <c r="P539" s="6"/>
      <c r="Q539" s="6"/>
      <c r="R539" s="6"/>
      <c r="S539" s="6"/>
      <c r="T539" s="6"/>
    </row>
    <row r="540" spans="4:20" x14ac:dyDescent="0.2">
      <c r="D540" s="6"/>
      <c r="E540" s="6"/>
      <c r="F540" s="6"/>
      <c r="G540" s="19"/>
      <c r="H540" s="19"/>
      <c r="I540" s="19"/>
      <c r="J540" s="19"/>
      <c r="K540" s="6"/>
      <c r="L540" s="6"/>
      <c r="M540" s="6"/>
      <c r="N540" s="6"/>
      <c r="O540" s="6"/>
      <c r="P540" s="6"/>
      <c r="Q540" s="6"/>
      <c r="R540" s="6"/>
      <c r="S540" s="6"/>
      <c r="T540" s="6"/>
    </row>
    <row r="541" spans="4:20" x14ac:dyDescent="0.2">
      <c r="D541" s="6"/>
      <c r="E541" s="6"/>
      <c r="F541" s="6"/>
      <c r="G541" s="19"/>
      <c r="H541" s="19"/>
      <c r="I541" s="19"/>
      <c r="J541" s="19"/>
      <c r="K541" s="6"/>
      <c r="L541" s="6"/>
      <c r="M541" s="6"/>
      <c r="N541" s="6"/>
      <c r="O541" s="6"/>
      <c r="P541" s="6"/>
      <c r="Q541" s="6"/>
      <c r="R541" s="6"/>
      <c r="S541" s="6"/>
      <c r="T541" s="6"/>
    </row>
    <row r="542" spans="4:20" x14ac:dyDescent="0.2">
      <c r="D542" s="6"/>
      <c r="E542" s="6"/>
      <c r="F542" s="6"/>
      <c r="G542" s="19"/>
      <c r="H542" s="19"/>
      <c r="I542" s="19"/>
      <c r="J542" s="19"/>
      <c r="K542" s="6"/>
      <c r="L542" s="6"/>
      <c r="M542" s="6"/>
      <c r="N542" s="6"/>
      <c r="O542" s="6"/>
      <c r="P542" s="6"/>
      <c r="Q542" s="6"/>
      <c r="R542" s="6"/>
      <c r="S542" s="6"/>
      <c r="T542" s="6"/>
    </row>
    <row r="543" spans="4:20" x14ac:dyDescent="0.2">
      <c r="D543" s="6"/>
      <c r="E543" s="6"/>
      <c r="F543" s="6"/>
      <c r="G543" s="19"/>
      <c r="H543" s="19"/>
      <c r="I543" s="19"/>
      <c r="J543" s="19"/>
      <c r="K543" s="6"/>
      <c r="L543" s="6"/>
      <c r="M543" s="6"/>
      <c r="N543" s="6"/>
      <c r="O543" s="6"/>
      <c r="P543" s="6"/>
      <c r="Q543" s="6"/>
      <c r="R543" s="6"/>
      <c r="S543" s="6"/>
      <c r="T543" s="6"/>
    </row>
    <row r="544" spans="4:20" x14ac:dyDescent="0.2">
      <c r="D544" s="6"/>
      <c r="E544" s="6"/>
      <c r="F544" s="6"/>
      <c r="G544" s="19"/>
      <c r="H544" s="19"/>
      <c r="I544" s="19"/>
      <c r="J544" s="19"/>
      <c r="K544" s="6"/>
      <c r="L544" s="6"/>
      <c r="M544" s="6"/>
      <c r="N544" s="6"/>
      <c r="O544" s="6"/>
      <c r="P544" s="6"/>
      <c r="Q544" s="6"/>
      <c r="R544" s="6"/>
      <c r="S544" s="6"/>
      <c r="T544" s="6"/>
    </row>
    <row r="545" spans="4:20" x14ac:dyDescent="0.2">
      <c r="D545" s="6"/>
      <c r="E545" s="6"/>
      <c r="F545" s="6"/>
      <c r="G545" s="19"/>
      <c r="H545" s="19"/>
      <c r="I545" s="19"/>
      <c r="J545" s="19"/>
      <c r="K545" s="6"/>
      <c r="L545" s="6"/>
      <c r="M545" s="6"/>
      <c r="N545" s="6"/>
      <c r="O545" s="6"/>
      <c r="P545" s="6"/>
      <c r="Q545" s="6"/>
      <c r="R545" s="6"/>
      <c r="S545" s="6"/>
      <c r="T545" s="6"/>
    </row>
    <row r="546" spans="4:20" x14ac:dyDescent="0.2">
      <c r="D546" s="6"/>
      <c r="E546" s="6"/>
      <c r="F546" s="6"/>
      <c r="G546" s="19"/>
      <c r="H546" s="19"/>
      <c r="I546" s="19"/>
      <c r="J546" s="19"/>
      <c r="K546" s="6"/>
      <c r="L546" s="6"/>
      <c r="M546" s="6"/>
      <c r="N546" s="6"/>
      <c r="O546" s="6"/>
      <c r="P546" s="6"/>
      <c r="Q546" s="6"/>
      <c r="R546" s="6"/>
      <c r="S546" s="6"/>
      <c r="T546" s="6"/>
    </row>
    <row r="547" spans="4:20" x14ac:dyDescent="0.2">
      <c r="D547" s="6"/>
      <c r="E547" s="6"/>
      <c r="F547" s="6"/>
      <c r="G547" s="19"/>
      <c r="H547" s="19"/>
      <c r="I547" s="19"/>
      <c r="J547" s="19"/>
      <c r="K547" s="6"/>
      <c r="L547" s="6"/>
      <c r="M547" s="6"/>
      <c r="N547" s="6"/>
      <c r="O547" s="6"/>
      <c r="P547" s="6"/>
      <c r="Q547" s="6"/>
      <c r="R547" s="6"/>
      <c r="S547" s="6"/>
      <c r="T547" s="6"/>
    </row>
    <row r="548" spans="4:20" x14ac:dyDescent="0.2">
      <c r="D548" s="6"/>
      <c r="E548" s="6"/>
      <c r="F548" s="6"/>
      <c r="G548" s="19"/>
      <c r="H548" s="19"/>
      <c r="I548" s="19"/>
      <c r="J548" s="19"/>
      <c r="K548" s="6"/>
      <c r="L548" s="6"/>
      <c r="M548" s="6"/>
      <c r="N548" s="6"/>
      <c r="O548" s="6"/>
      <c r="P548" s="6"/>
      <c r="Q548" s="6"/>
      <c r="R548" s="6"/>
      <c r="S548" s="6"/>
      <c r="T548" s="6"/>
    </row>
    <row r="549" spans="4:20" x14ac:dyDescent="0.2">
      <c r="D549" s="6"/>
      <c r="E549" s="6"/>
      <c r="F549" s="6"/>
      <c r="G549" s="19"/>
      <c r="H549" s="19"/>
      <c r="I549" s="19"/>
      <c r="J549" s="19"/>
      <c r="K549" s="6"/>
      <c r="L549" s="6"/>
      <c r="M549" s="6"/>
      <c r="N549" s="6"/>
      <c r="O549" s="6"/>
      <c r="P549" s="6"/>
      <c r="Q549" s="6"/>
      <c r="R549" s="6"/>
      <c r="S549" s="6"/>
      <c r="T549" s="6"/>
    </row>
    <row r="550" spans="4:20" x14ac:dyDescent="0.2">
      <c r="D550" s="6"/>
      <c r="E550" s="6"/>
      <c r="F550" s="6"/>
      <c r="G550" s="19"/>
      <c r="H550" s="19"/>
      <c r="I550" s="19"/>
      <c r="J550" s="19"/>
      <c r="K550" s="6"/>
      <c r="L550" s="6"/>
      <c r="M550" s="6"/>
      <c r="N550" s="6"/>
      <c r="O550" s="6"/>
      <c r="P550" s="6"/>
      <c r="Q550" s="6"/>
      <c r="R550" s="6"/>
      <c r="S550" s="6"/>
      <c r="T550" s="6"/>
    </row>
    <row r="551" spans="4:20" x14ac:dyDescent="0.2">
      <c r="D551" s="6"/>
      <c r="E551" s="6"/>
      <c r="F551" s="6"/>
      <c r="G551" s="19"/>
      <c r="H551" s="19"/>
      <c r="I551" s="19"/>
      <c r="J551" s="19"/>
      <c r="K551" s="6"/>
      <c r="L551" s="6"/>
      <c r="M551" s="6"/>
      <c r="N551" s="6"/>
      <c r="O551" s="6"/>
      <c r="P551" s="6"/>
      <c r="Q551" s="6"/>
      <c r="R551" s="6"/>
      <c r="S551" s="6"/>
      <c r="T551" s="6"/>
    </row>
    <row r="552" spans="4:20" x14ac:dyDescent="0.2">
      <c r="D552" s="6"/>
      <c r="E552" s="6"/>
      <c r="F552" s="6"/>
      <c r="G552" s="19"/>
      <c r="H552" s="19"/>
      <c r="I552" s="19"/>
      <c r="J552" s="19"/>
      <c r="K552" s="6"/>
      <c r="L552" s="6"/>
      <c r="M552" s="6"/>
      <c r="N552" s="6"/>
      <c r="O552" s="6"/>
      <c r="P552" s="6"/>
      <c r="Q552" s="6"/>
      <c r="R552" s="6"/>
      <c r="S552" s="6"/>
      <c r="T552" s="6"/>
    </row>
    <row r="553" spans="4:20" x14ac:dyDescent="0.2">
      <c r="D553" s="6"/>
      <c r="E553" s="6"/>
      <c r="F553" s="6"/>
      <c r="G553" s="19"/>
      <c r="H553" s="19"/>
      <c r="I553" s="19"/>
      <c r="J553" s="19"/>
      <c r="K553" s="6"/>
      <c r="L553" s="6"/>
      <c r="M553" s="6"/>
      <c r="N553" s="6"/>
      <c r="O553" s="6"/>
      <c r="P553" s="6"/>
      <c r="Q553" s="6"/>
      <c r="R553" s="6"/>
      <c r="S553" s="6"/>
      <c r="T553" s="6"/>
    </row>
    <row r="554" spans="4:20" x14ac:dyDescent="0.2">
      <c r="D554" s="6"/>
      <c r="E554" s="6"/>
      <c r="F554" s="6"/>
      <c r="G554" s="19"/>
      <c r="H554" s="19"/>
      <c r="I554" s="19"/>
      <c r="J554" s="19"/>
      <c r="K554" s="6"/>
      <c r="L554" s="6"/>
      <c r="M554" s="6"/>
      <c r="N554" s="6"/>
      <c r="O554" s="6"/>
      <c r="P554" s="6"/>
      <c r="Q554" s="6"/>
      <c r="R554" s="6"/>
      <c r="S554" s="6"/>
      <c r="T554" s="6"/>
    </row>
    <row r="555" spans="4:20" x14ac:dyDescent="0.2">
      <c r="D555" s="6"/>
      <c r="E555" s="6"/>
      <c r="F555" s="6"/>
      <c r="G555" s="19"/>
      <c r="H555" s="19"/>
      <c r="I555" s="19"/>
      <c r="J555" s="19"/>
      <c r="K555" s="6"/>
      <c r="L555" s="6"/>
      <c r="M555" s="6"/>
      <c r="N555" s="6"/>
      <c r="O555" s="6"/>
      <c r="P555" s="6"/>
      <c r="Q555" s="6"/>
      <c r="R555" s="6"/>
      <c r="S555" s="6"/>
      <c r="T555" s="6"/>
    </row>
    <row r="556" spans="4:20" x14ac:dyDescent="0.2">
      <c r="D556" s="6"/>
      <c r="E556" s="6"/>
      <c r="F556" s="6"/>
      <c r="G556" s="19"/>
      <c r="H556" s="19"/>
      <c r="I556" s="19"/>
      <c r="J556" s="19"/>
      <c r="K556" s="6"/>
      <c r="L556" s="6"/>
      <c r="M556" s="6"/>
      <c r="N556" s="6"/>
      <c r="O556" s="6"/>
      <c r="P556" s="6"/>
      <c r="Q556" s="6"/>
      <c r="R556" s="6"/>
      <c r="S556" s="6"/>
      <c r="T556" s="6"/>
    </row>
    <row r="557" spans="4:20" x14ac:dyDescent="0.2">
      <c r="D557" s="6"/>
      <c r="E557" s="6"/>
      <c r="F557" s="6"/>
      <c r="G557" s="19"/>
      <c r="H557" s="19"/>
      <c r="I557" s="19"/>
      <c r="J557" s="19"/>
      <c r="K557" s="6"/>
      <c r="L557" s="6"/>
      <c r="M557" s="6"/>
      <c r="N557" s="6"/>
      <c r="O557" s="6"/>
      <c r="P557" s="6"/>
      <c r="Q557" s="6"/>
      <c r="R557" s="6"/>
      <c r="S557" s="6"/>
      <c r="T557" s="6"/>
    </row>
    <row r="558" spans="4:20" x14ac:dyDescent="0.2">
      <c r="D558" s="6"/>
      <c r="E558" s="6"/>
      <c r="F558" s="6"/>
      <c r="G558" s="19"/>
      <c r="H558" s="19"/>
      <c r="I558" s="19"/>
      <c r="J558" s="19"/>
      <c r="K558" s="6"/>
      <c r="L558" s="6"/>
      <c r="M558" s="6"/>
      <c r="N558" s="6"/>
      <c r="O558" s="6"/>
      <c r="P558" s="6"/>
      <c r="Q558" s="6"/>
      <c r="R558" s="6"/>
      <c r="S558" s="6"/>
      <c r="T558" s="6"/>
    </row>
    <row r="559" spans="4:20" x14ac:dyDescent="0.2">
      <c r="D559" s="6"/>
      <c r="E559" s="6"/>
      <c r="F559" s="6"/>
      <c r="G559" s="19"/>
      <c r="H559" s="19"/>
      <c r="I559" s="19"/>
      <c r="J559" s="19"/>
      <c r="K559" s="6"/>
      <c r="L559" s="6"/>
      <c r="M559" s="6"/>
      <c r="N559" s="6"/>
      <c r="O559" s="6"/>
      <c r="P559" s="6"/>
      <c r="Q559" s="6"/>
      <c r="R559" s="6"/>
      <c r="S559" s="6"/>
      <c r="T559" s="6"/>
    </row>
    <row r="560" spans="4:20" x14ac:dyDescent="0.2">
      <c r="D560" s="6"/>
      <c r="E560" s="6"/>
      <c r="F560" s="6"/>
      <c r="G560" s="19"/>
      <c r="H560" s="19"/>
      <c r="I560" s="19"/>
      <c r="J560" s="19"/>
      <c r="K560" s="6"/>
      <c r="L560" s="6"/>
      <c r="M560" s="6"/>
      <c r="N560" s="6"/>
      <c r="O560" s="6"/>
      <c r="P560" s="6"/>
      <c r="Q560" s="6"/>
      <c r="R560" s="6"/>
      <c r="S560" s="6"/>
      <c r="T560" s="6"/>
    </row>
    <row r="561" spans="4:20" x14ac:dyDescent="0.2">
      <c r="D561" s="6"/>
      <c r="E561" s="6"/>
      <c r="F561" s="6"/>
      <c r="G561" s="19"/>
      <c r="H561" s="19"/>
      <c r="I561" s="19"/>
      <c r="J561" s="19"/>
      <c r="K561" s="6"/>
      <c r="L561" s="6"/>
      <c r="M561" s="6"/>
      <c r="N561" s="6"/>
      <c r="O561" s="6"/>
      <c r="P561" s="6"/>
      <c r="Q561" s="6"/>
      <c r="R561" s="6"/>
      <c r="S561" s="6"/>
      <c r="T561" s="6"/>
    </row>
    <row r="562" spans="4:20" x14ac:dyDescent="0.2">
      <c r="D562" s="6"/>
      <c r="E562" s="6"/>
      <c r="F562" s="6"/>
      <c r="G562" s="19"/>
      <c r="H562" s="19"/>
      <c r="I562" s="19"/>
      <c r="J562" s="19"/>
      <c r="K562" s="6"/>
      <c r="L562" s="6"/>
      <c r="M562" s="6"/>
      <c r="N562" s="6"/>
      <c r="O562" s="6"/>
      <c r="P562" s="6"/>
      <c r="Q562" s="6"/>
      <c r="R562" s="6"/>
      <c r="S562" s="6"/>
      <c r="T562" s="6"/>
    </row>
    <row r="563" spans="4:20" x14ac:dyDescent="0.2">
      <c r="D563" s="6"/>
      <c r="E563" s="6"/>
      <c r="F563" s="6"/>
      <c r="G563" s="19"/>
      <c r="H563" s="19"/>
      <c r="I563" s="19"/>
      <c r="J563" s="19"/>
      <c r="K563" s="6"/>
      <c r="L563" s="6"/>
      <c r="M563" s="6"/>
      <c r="N563" s="6"/>
      <c r="O563" s="6"/>
      <c r="P563" s="6"/>
      <c r="Q563" s="6"/>
      <c r="R563" s="6"/>
      <c r="S563" s="6"/>
      <c r="T563" s="6"/>
    </row>
    <row r="564" spans="4:20" x14ac:dyDescent="0.2">
      <c r="D564" s="6"/>
      <c r="E564" s="6"/>
      <c r="F564" s="6"/>
      <c r="G564" s="19"/>
      <c r="H564" s="19"/>
      <c r="I564" s="19"/>
      <c r="J564" s="19"/>
      <c r="K564" s="6"/>
      <c r="L564" s="6"/>
      <c r="M564" s="6"/>
      <c r="N564" s="6"/>
      <c r="O564" s="6"/>
      <c r="P564" s="6"/>
      <c r="Q564" s="6"/>
      <c r="R564" s="6"/>
      <c r="S564" s="6"/>
      <c r="T564" s="6"/>
    </row>
    <row r="565" spans="4:20" x14ac:dyDescent="0.2">
      <c r="D565" s="6"/>
      <c r="E565" s="6"/>
      <c r="F565" s="6"/>
      <c r="G565" s="19"/>
      <c r="H565" s="19"/>
      <c r="I565" s="19"/>
      <c r="J565" s="19"/>
      <c r="K565" s="6"/>
      <c r="L565" s="6"/>
      <c r="M565" s="6"/>
      <c r="N565" s="6"/>
      <c r="O565" s="6"/>
      <c r="P565" s="6"/>
      <c r="Q565" s="6"/>
      <c r="R565" s="6"/>
      <c r="S565" s="6"/>
      <c r="T565" s="6"/>
    </row>
    <row r="566" spans="4:20" x14ac:dyDescent="0.2">
      <c r="D566" s="6"/>
      <c r="E566" s="6"/>
      <c r="F566" s="6"/>
      <c r="G566" s="19"/>
      <c r="H566" s="19"/>
      <c r="I566" s="19"/>
      <c r="J566" s="19"/>
      <c r="K566" s="6"/>
      <c r="L566" s="6"/>
      <c r="M566" s="6"/>
      <c r="N566" s="6"/>
      <c r="O566" s="6"/>
      <c r="P566" s="6"/>
      <c r="Q566" s="6"/>
      <c r="R566" s="6"/>
      <c r="S566" s="6"/>
      <c r="T566" s="6"/>
    </row>
    <row r="567" spans="4:20" x14ac:dyDescent="0.2">
      <c r="D567" s="6"/>
      <c r="E567" s="6"/>
      <c r="F567" s="6"/>
      <c r="G567" s="19"/>
      <c r="H567" s="19"/>
      <c r="I567" s="19"/>
      <c r="J567" s="19"/>
      <c r="K567" s="6"/>
      <c r="L567" s="6"/>
      <c r="M567" s="6"/>
      <c r="N567" s="6"/>
      <c r="O567" s="6"/>
      <c r="P567" s="6"/>
      <c r="Q567" s="6"/>
      <c r="R567" s="6"/>
      <c r="S567" s="6"/>
      <c r="T567" s="6"/>
    </row>
    <row r="568" spans="4:20" x14ac:dyDescent="0.2">
      <c r="D568" s="6"/>
      <c r="E568" s="6"/>
      <c r="F568" s="6"/>
      <c r="G568" s="19"/>
      <c r="H568" s="19"/>
      <c r="I568" s="19"/>
      <c r="J568" s="19"/>
      <c r="K568" s="6"/>
      <c r="L568" s="6"/>
      <c r="M568" s="6"/>
      <c r="N568" s="6"/>
      <c r="O568" s="6"/>
      <c r="P568" s="6"/>
      <c r="Q568" s="6"/>
      <c r="R568" s="6"/>
      <c r="S568" s="6"/>
      <c r="T568" s="6"/>
    </row>
    <row r="569" spans="4:20" x14ac:dyDescent="0.2">
      <c r="D569" s="6"/>
      <c r="E569" s="6"/>
      <c r="F569" s="6"/>
      <c r="G569" s="19"/>
      <c r="H569" s="19"/>
      <c r="I569" s="19"/>
      <c r="J569" s="19"/>
      <c r="K569" s="6"/>
      <c r="L569" s="6"/>
      <c r="M569" s="6"/>
      <c r="N569" s="6"/>
      <c r="O569" s="6"/>
      <c r="P569" s="6"/>
      <c r="Q569" s="6"/>
      <c r="R569" s="6"/>
      <c r="S569" s="6"/>
      <c r="T569" s="6"/>
    </row>
    <row r="570" spans="4:20" x14ac:dyDescent="0.2">
      <c r="D570" s="6"/>
      <c r="E570" s="6"/>
      <c r="F570" s="6"/>
      <c r="G570" s="19"/>
      <c r="H570" s="19"/>
      <c r="I570" s="19"/>
      <c r="J570" s="19"/>
      <c r="K570" s="6"/>
      <c r="L570" s="6"/>
      <c r="M570" s="6"/>
      <c r="N570" s="6"/>
      <c r="O570" s="6"/>
      <c r="P570" s="6"/>
      <c r="Q570" s="6"/>
      <c r="R570" s="6"/>
      <c r="S570" s="6"/>
      <c r="T570" s="6"/>
    </row>
    <row r="571" spans="4:20" x14ac:dyDescent="0.2">
      <c r="D571" s="6"/>
      <c r="E571" s="6"/>
      <c r="F571" s="6"/>
      <c r="G571" s="19"/>
      <c r="H571" s="19"/>
      <c r="I571" s="19"/>
      <c r="J571" s="19"/>
      <c r="K571" s="6"/>
      <c r="L571" s="6"/>
      <c r="M571" s="6"/>
      <c r="N571" s="6"/>
      <c r="O571" s="6"/>
      <c r="P571" s="6"/>
      <c r="Q571" s="6"/>
      <c r="R571" s="6"/>
      <c r="S571" s="6"/>
      <c r="T571" s="6"/>
    </row>
    <row r="572" spans="4:20" x14ac:dyDescent="0.2">
      <c r="D572" s="6"/>
      <c r="E572" s="6"/>
      <c r="F572" s="6"/>
      <c r="G572" s="19"/>
      <c r="H572" s="19"/>
      <c r="I572" s="19"/>
      <c r="J572" s="19"/>
      <c r="K572" s="6"/>
      <c r="L572" s="6"/>
      <c r="M572" s="6"/>
      <c r="N572" s="6"/>
      <c r="O572" s="6"/>
      <c r="P572" s="6"/>
      <c r="Q572" s="6"/>
      <c r="R572" s="6"/>
      <c r="S572" s="6"/>
      <c r="T572" s="6"/>
    </row>
    <row r="573" spans="4:20" x14ac:dyDescent="0.2">
      <c r="D573" s="6"/>
      <c r="E573" s="6"/>
      <c r="F573" s="6"/>
      <c r="G573" s="19"/>
      <c r="H573" s="19"/>
      <c r="I573" s="19"/>
      <c r="J573" s="19"/>
      <c r="K573" s="6"/>
      <c r="L573" s="6"/>
      <c r="M573" s="6"/>
      <c r="N573" s="6"/>
      <c r="O573" s="6"/>
      <c r="P573" s="6"/>
      <c r="Q573" s="6"/>
      <c r="R573" s="6"/>
      <c r="S573" s="6"/>
      <c r="T573" s="6"/>
    </row>
    <row r="574" spans="4:20" x14ac:dyDescent="0.2">
      <c r="D574" s="6"/>
      <c r="E574" s="6"/>
      <c r="F574" s="6"/>
      <c r="G574" s="19"/>
      <c r="H574" s="19"/>
      <c r="I574" s="19"/>
      <c r="J574" s="19"/>
      <c r="K574" s="6"/>
      <c r="L574" s="6"/>
      <c r="M574" s="6"/>
      <c r="N574" s="6"/>
      <c r="O574" s="6"/>
      <c r="P574" s="6"/>
      <c r="Q574" s="6"/>
      <c r="R574" s="6"/>
      <c r="S574" s="6"/>
      <c r="T574" s="6"/>
    </row>
    <row r="575" spans="4:20" x14ac:dyDescent="0.2">
      <c r="D575" s="6"/>
      <c r="E575" s="6"/>
      <c r="F575" s="6"/>
      <c r="G575" s="19"/>
      <c r="H575" s="19"/>
      <c r="I575" s="19"/>
      <c r="J575" s="19"/>
      <c r="K575" s="6"/>
      <c r="L575" s="6"/>
      <c r="M575" s="6"/>
      <c r="N575" s="6"/>
      <c r="O575" s="6"/>
      <c r="P575" s="6"/>
      <c r="Q575" s="6"/>
      <c r="R575" s="6"/>
      <c r="S575" s="6"/>
      <c r="T575" s="6"/>
    </row>
    <row r="576" spans="4:20" x14ac:dyDescent="0.2">
      <c r="D576" s="6"/>
      <c r="E576" s="6"/>
      <c r="F576" s="6"/>
      <c r="G576" s="19"/>
      <c r="H576" s="19"/>
      <c r="I576" s="19"/>
      <c r="J576" s="19"/>
      <c r="K576" s="6"/>
      <c r="L576" s="6"/>
      <c r="M576" s="6"/>
      <c r="N576" s="6"/>
      <c r="O576" s="6"/>
      <c r="P576" s="6"/>
      <c r="Q576" s="6"/>
      <c r="R576" s="6"/>
      <c r="S576" s="6"/>
      <c r="T576" s="6"/>
    </row>
    <row r="577" spans="4:20" x14ac:dyDescent="0.2">
      <c r="D577" s="6"/>
      <c r="E577" s="6"/>
      <c r="F577" s="6"/>
      <c r="G577" s="19"/>
      <c r="H577" s="19"/>
      <c r="I577" s="19"/>
      <c r="J577" s="19"/>
      <c r="K577" s="6"/>
      <c r="L577" s="6"/>
      <c r="M577" s="6"/>
      <c r="N577" s="6"/>
      <c r="O577" s="6"/>
      <c r="P577" s="6"/>
      <c r="Q577" s="6"/>
      <c r="R577" s="6"/>
      <c r="S577" s="6"/>
      <c r="T577" s="6"/>
    </row>
    <row r="578" spans="4:20" x14ac:dyDescent="0.2">
      <c r="D578" s="6"/>
      <c r="E578" s="6"/>
      <c r="F578" s="6"/>
      <c r="G578" s="19"/>
      <c r="H578" s="19"/>
      <c r="I578" s="19"/>
      <c r="J578" s="19"/>
      <c r="K578" s="6"/>
      <c r="L578" s="6"/>
      <c r="M578" s="6"/>
      <c r="N578" s="6"/>
      <c r="O578" s="6"/>
      <c r="P578" s="6"/>
      <c r="Q578" s="6"/>
      <c r="R578" s="6"/>
      <c r="S578" s="6"/>
      <c r="T578" s="6"/>
    </row>
    <row r="579" spans="4:20" x14ac:dyDescent="0.2">
      <c r="D579" s="6"/>
      <c r="E579" s="6"/>
      <c r="F579" s="6"/>
      <c r="G579" s="19"/>
      <c r="H579" s="19"/>
      <c r="I579" s="19"/>
      <c r="J579" s="19"/>
      <c r="K579" s="6"/>
      <c r="L579" s="6"/>
      <c r="M579" s="6"/>
      <c r="N579" s="6"/>
      <c r="O579" s="6"/>
      <c r="P579" s="6"/>
      <c r="Q579" s="6"/>
      <c r="R579" s="6"/>
      <c r="S579" s="6"/>
      <c r="T579" s="6"/>
    </row>
    <row r="580" spans="4:20" x14ac:dyDescent="0.2">
      <c r="D580" s="6"/>
      <c r="E580" s="6"/>
      <c r="F580" s="6"/>
      <c r="G580" s="19"/>
      <c r="H580" s="19"/>
      <c r="I580" s="19"/>
      <c r="J580" s="19"/>
      <c r="K580" s="6"/>
      <c r="L580" s="6"/>
      <c r="M580" s="6"/>
      <c r="N580" s="6"/>
      <c r="O580" s="6"/>
      <c r="P580" s="6"/>
      <c r="Q580" s="6"/>
      <c r="R580" s="6"/>
      <c r="S580" s="6"/>
      <c r="T580" s="6"/>
    </row>
    <row r="581" spans="4:20" x14ac:dyDescent="0.2">
      <c r="D581" s="6"/>
      <c r="E581" s="6"/>
      <c r="F581" s="6"/>
      <c r="G581" s="19"/>
      <c r="H581" s="19"/>
      <c r="I581" s="19"/>
      <c r="J581" s="19"/>
      <c r="K581" s="6"/>
      <c r="L581" s="6"/>
      <c r="M581" s="6"/>
      <c r="N581" s="6"/>
      <c r="O581" s="6"/>
      <c r="P581" s="6"/>
      <c r="Q581" s="6"/>
      <c r="R581" s="6"/>
      <c r="S581" s="6"/>
      <c r="T581" s="6"/>
    </row>
    <row r="582" spans="4:20" x14ac:dyDescent="0.2">
      <c r="D582" s="6"/>
      <c r="E582" s="6"/>
      <c r="F582" s="6"/>
      <c r="G582" s="19"/>
      <c r="H582" s="19"/>
      <c r="I582" s="19"/>
      <c r="J582" s="19"/>
      <c r="K582" s="6"/>
      <c r="L582" s="6"/>
      <c r="M582" s="6"/>
      <c r="N582" s="6"/>
      <c r="O582" s="6"/>
      <c r="P582" s="6"/>
      <c r="Q582" s="6"/>
      <c r="R582" s="6"/>
      <c r="S582" s="6"/>
      <c r="T582" s="6"/>
    </row>
    <row r="583" spans="4:20" x14ac:dyDescent="0.2">
      <c r="D583" s="6"/>
      <c r="E583" s="6"/>
      <c r="F583" s="6"/>
      <c r="G583" s="19"/>
      <c r="H583" s="19"/>
      <c r="I583" s="19"/>
      <c r="J583" s="19"/>
      <c r="K583" s="6"/>
      <c r="L583" s="6"/>
      <c r="M583" s="6"/>
      <c r="N583" s="6"/>
      <c r="O583" s="6"/>
      <c r="P583" s="6"/>
      <c r="Q583" s="6"/>
      <c r="R583" s="6"/>
      <c r="S583" s="6"/>
      <c r="T583" s="6"/>
    </row>
    <row r="584" spans="4:20" x14ac:dyDescent="0.2">
      <c r="D584" s="6"/>
      <c r="E584" s="6"/>
      <c r="F584" s="6"/>
      <c r="G584" s="19"/>
      <c r="H584" s="19"/>
      <c r="I584" s="19"/>
      <c r="J584" s="19"/>
      <c r="K584" s="6"/>
      <c r="L584" s="6"/>
      <c r="M584" s="6"/>
      <c r="N584" s="6"/>
      <c r="O584" s="6"/>
      <c r="P584" s="6"/>
      <c r="Q584" s="6"/>
      <c r="R584" s="6"/>
      <c r="S584" s="6"/>
      <c r="T584" s="6"/>
    </row>
    <row r="585" spans="4:20" x14ac:dyDescent="0.2">
      <c r="D585" s="6"/>
      <c r="E585" s="6"/>
      <c r="F585" s="6"/>
      <c r="G585" s="19"/>
      <c r="H585" s="19"/>
      <c r="I585" s="19"/>
      <c r="J585" s="19"/>
      <c r="K585" s="6"/>
      <c r="L585" s="6"/>
      <c r="M585" s="6"/>
      <c r="N585" s="6"/>
      <c r="O585" s="6"/>
      <c r="P585" s="6"/>
      <c r="Q585" s="6"/>
      <c r="R585" s="6"/>
      <c r="S585" s="6"/>
      <c r="T585" s="6"/>
    </row>
    <row r="586" spans="4:20" x14ac:dyDescent="0.2">
      <c r="D586" s="6"/>
      <c r="E586" s="6"/>
      <c r="F586" s="6"/>
      <c r="G586" s="19"/>
      <c r="H586" s="19"/>
      <c r="I586" s="19"/>
      <c r="J586" s="19"/>
      <c r="K586" s="6"/>
      <c r="L586" s="6"/>
      <c r="M586" s="6"/>
      <c r="N586" s="6"/>
      <c r="O586" s="6"/>
      <c r="P586" s="6"/>
      <c r="Q586" s="6"/>
      <c r="R586" s="6"/>
      <c r="S586" s="6"/>
      <c r="T586" s="6"/>
    </row>
    <row r="587" spans="4:20" x14ac:dyDescent="0.2">
      <c r="D587" s="6"/>
      <c r="E587" s="6"/>
      <c r="F587" s="6"/>
      <c r="G587" s="19"/>
      <c r="H587" s="19"/>
      <c r="I587" s="19"/>
      <c r="J587" s="19"/>
      <c r="K587" s="6"/>
      <c r="L587" s="6"/>
      <c r="M587" s="6"/>
      <c r="N587" s="6"/>
      <c r="O587" s="6"/>
      <c r="P587" s="6"/>
      <c r="Q587" s="6"/>
      <c r="R587" s="6"/>
      <c r="S587" s="6"/>
      <c r="T587" s="6"/>
    </row>
    <row r="588" spans="4:20" x14ac:dyDescent="0.2">
      <c r="D588" s="6"/>
      <c r="E588" s="6"/>
      <c r="F588" s="6"/>
      <c r="G588" s="19"/>
      <c r="H588" s="19"/>
      <c r="I588" s="19"/>
      <c r="J588" s="19"/>
      <c r="K588" s="6"/>
      <c r="L588" s="6"/>
      <c r="M588" s="6"/>
      <c r="N588" s="6"/>
      <c r="O588" s="6"/>
      <c r="P588" s="6"/>
      <c r="Q588" s="6"/>
      <c r="R588" s="6"/>
      <c r="S588" s="6"/>
      <c r="T588" s="6"/>
    </row>
    <row r="589" spans="4:20" x14ac:dyDescent="0.2">
      <c r="D589" s="6"/>
      <c r="E589" s="6"/>
      <c r="F589" s="6"/>
      <c r="G589" s="19"/>
      <c r="H589" s="19"/>
      <c r="I589" s="19"/>
      <c r="J589" s="19"/>
      <c r="K589" s="6"/>
      <c r="L589" s="6"/>
      <c r="M589" s="6"/>
      <c r="N589" s="6"/>
      <c r="O589" s="6"/>
      <c r="P589" s="6"/>
      <c r="Q589" s="6"/>
      <c r="R589" s="6"/>
      <c r="S589" s="6"/>
      <c r="T589" s="6"/>
    </row>
    <row r="590" spans="4:20" x14ac:dyDescent="0.2">
      <c r="D590" s="6"/>
      <c r="E590" s="6"/>
      <c r="F590" s="6"/>
      <c r="G590" s="19"/>
      <c r="H590" s="19"/>
      <c r="I590" s="19"/>
      <c r="J590" s="19"/>
      <c r="K590" s="6"/>
      <c r="L590" s="6"/>
      <c r="M590" s="6"/>
      <c r="N590" s="6"/>
      <c r="O590" s="6"/>
      <c r="P590" s="6"/>
      <c r="Q590" s="6"/>
      <c r="R590" s="6"/>
      <c r="S590" s="6"/>
      <c r="T590" s="6"/>
    </row>
    <row r="591" spans="4:20" x14ac:dyDescent="0.2">
      <c r="D591" s="6"/>
      <c r="E591" s="6"/>
      <c r="F591" s="6"/>
      <c r="G591" s="19"/>
      <c r="H591" s="19"/>
      <c r="I591" s="19"/>
      <c r="J591" s="19"/>
      <c r="K591" s="6"/>
      <c r="L591" s="6"/>
      <c r="M591" s="6"/>
      <c r="N591" s="6"/>
      <c r="O591" s="6"/>
      <c r="P591" s="6"/>
      <c r="Q591" s="6"/>
      <c r="R591" s="6"/>
      <c r="S591" s="6"/>
      <c r="T591" s="6"/>
    </row>
    <row r="592" spans="4:20" x14ac:dyDescent="0.2">
      <c r="D592" s="6"/>
      <c r="E592" s="6"/>
      <c r="F592" s="6"/>
      <c r="G592" s="19"/>
      <c r="H592" s="19"/>
      <c r="I592" s="19"/>
      <c r="J592" s="19"/>
      <c r="K592" s="6"/>
      <c r="L592" s="6"/>
      <c r="M592" s="6"/>
      <c r="N592" s="6"/>
      <c r="O592" s="6"/>
      <c r="P592" s="6"/>
      <c r="Q592" s="6"/>
      <c r="R592" s="6"/>
      <c r="S592" s="6"/>
      <c r="T592" s="6"/>
    </row>
    <row r="593" spans="4:20" x14ac:dyDescent="0.2">
      <c r="D593" s="6"/>
      <c r="E593" s="6"/>
      <c r="F593" s="6"/>
      <c r="G593" s="19"/>
      <c r="H593" s="19"/>
      <c r="I593" s="19"/>
      <c r="J593" s="19"/>
      <c r="K593" s="6"/>
      <c r="L593" s="6"/>
      <c r="M593" s="6"/>
      <c r="N593" s="6"/>
      <c r="O593" s="6"/>
      <c r="P593" s="6"/>
      <c r="Q593" s="6"/>
      <c r="R593" s="6"/>
      <c r="S593" s="6"/>
      <c r="T593" s="6"/>
    </row>
    <row r="594" spans="4:20" x14ac:dyDescent="0.2">
      <c r="D594" s="6"/>
      <c r="E594" s="6"/>
      <c r="F594" s="6"/>
      <c r="G594" s="19"/>
      <c r="H594" s="19"/>
      <c r="I594" s="19"/>
      <c r="J594" s="19"/>
      <c r="K594" s="6"/>
      <c r="L594" s="6"/>
      <c r="M594" s="6"/>
      <c r="N594" s="6"/>
      <c r="O594" s="6"/>
      <c r="P594" s="6"/>
      <c r="Q594" s="6"/>
      <c r="R594" s="6"/>
      <c r="S594" s="6"/>
      <c r="T594" s="6"/>
    </row>
    <row r="595" spans="4:20" x14ac:dyDescent="0.2">
      <c r="D595" s="6"/>
      <c r="E595" s="6"/>
      <c r="F595" s="6"/>
      <c r="G595" s="19"/>
      <c r="H595" s="19"/>
      <c r="I595" s="19"/>
      <c r="J595" s="19"/>
      <c r="K595" s="6"/>
      <c r="L595" s="6"/>
      <c r="M595" s="6"/>
      <c r="N595" s="6"/>
      <c r="O595" s="6"/>
      <c r="P595" s="6"/>
      <c r="Q595" s="6"/>
      <c r="R595" s="6"/>
      <c r="S595" s="6"/>
      <c r="T595" s="6"/>
    </row>
    <row r="596" spans="4:20" x14ac:dyDescent="0.2">
      <c r="D596" s="6"/>
      <c r="E596" s="6"/>
      <c r="F596" s="6"/>
      <c r="G596" s="19"/>
      <c r="H596" s="19"/>
      <c r="I596" s="19"/>
      <c r="J596" s="19"/>
      <c r="K596" s="6"/>
      <c r="L596" s="6"/>
      <c r="M596" s="6"/>
      <c r="N596" s="6"/>
      <c r="O596" s="6"/>
      <c r="P596" s="6"/>
      <c r="Q596" s="6"/>
      <c r="R596" s="6"/>
      <c r="S596" s="6"/>
      <c r="T596" s="6"/>
    </row>
    <row r="597" spans="4:20" x14ac:dyDescent="0.2">
      <c r="D597" s="6"/>
      <c r="E597" s="6"/>
      <c r="F597" s="6"/>
      <c r="G597" s="19"/>
      <c r="H597" s="19"/>
      <c r="I597" s="19"/>
      <c r="J597" s="19"/>
      <c r="K597" s="6"/>
      <c r="L597" s="6"/>
      <c r="M597" s="6"/>
      <c r="N597" s="6"/>
      <c r="O597" s="6"/>
      <c r="P597" s="6"/>
      <c r="Q597" s="6"/>
      <c r="R597" s="6"/>
      <c r="S597" s="6"/>
      <c r="T597" s="6"/>
    </row>
    <row r="598" spans="4:20" x14ac:dyDescent="0.2">
      <c r="D598" s="6"/>
      <c r="E598" s="6"/>
      <c r="F598" s="6"/>
      <c r="G598" s="19"/>
      <c r="H598" s="19"/>
      <c r="I598" s="19"/>
      <c r="J598" s="19"/>
      <c r="K598" s="6"/>
      <c r="L598" s="6"/>
      <c r="M598" s="6"/>
      <c r="N598" s="6"/>
      <c r="O598" s="6"/>
      <c r="P598" s="6"/>
      <c r="Q598" s="6"/>
      <c r="R598" s="6"/>
      <c r="S598" s="6"/>
      <c r="T598" s="6"/>
    </row>
    <row r="599" spans="4:20" x14ac:dyDescent="0.2">
      <c r="D599" s="6"/>
      <c r="E599" s="6"/>
      <c r="F599" s="6"/>
      <c r="G599" s="19"/>
      <c r="H599" s="19"/>
      <c r="I599" s="19"/>
      <c r="J599" s="19"/>
      <c r="K599" s="6"/>
      <c r="L599" s="6"/>
      <c r="M599" s="6"/>
      <c r="N599" s="6"/>
      <c r="O599" s="6"/>
      <c r="P599" s="6"/>
      <c r="Q599" s="6"/>
      <c r="R599" s="6"/>
      <c r="S599" s="6"/>
      <c r="T599" s="6"/>
    </row>
    <row r="600" spans="4:20" x14ac:dyDescent="0.2">
      <c r="D600" s="6"/>
      <c r="E600" s="6"/>
      <c r="F600" s="6"/>
      <c r="G600" s="19"/>
      <c r="H600" s="19"/>
      <c r="I600" s="19"/>
      <c r="J600" s="19"/>
      <c r="K600" s="6"/>
      <c r="L600" s="6"/>
      <c r="M600" s="6"/>
      <c r="N600" s="6"/>
      <c r="O600" s="6"/>
      <c r="P600" s="6"/>
      <c r="Q600" s="6"/>
      <c r="R600" s="6"/>
      <c r="S600" s="6"/>
      <c r="T600" s="6"/>
    </row>
    <row r="601" spans="4:20" x14ac:dyDescent="0.2">
      <c r="D601" s="6"/>
      <c r="E601" s="6"/>
      <c r="F601" s="6"/>
      <c r="G601" s="19"/>
      <c r="H601" s="19"/>
      <c r="I601" s="19"/>
      <c r="J601" s="19"/>
      <c r="K601" s="6"/>
      <c r="L601" s="6"/>
      <c r="M601" s="6"/>
      <c r="N601" s="6"/>
      <c r="O601" s="6"/>
      <c r="P601" s="6"/>
      <c r="Q601" s="6"/>
      <c r="R601" s="6"/>
      <c r="S601" s="6"/>
      <c r="T601" s="6"/>
    </row>
    <row r="602" spans="4:20" x14ac:dyDescent="0.2">
      <c r="D602" s="6"/>
      <c r="E602" s="6"/>
      <c r="F602" s="6"/>
      <c r="G602" s="19"/>
      <c r="H602" s="19"/>
      <c r="I602" s="19"/>
      <c r="J602" s="19"/>
      <c r="K602" s="6"/>
      <c r="L602" s="6"/>
      <c r="M602" s="6"/>
      <c r="N602" s="6"/>
      <c r="O602" s="6"/>
      <c r="P602" s="6"/>
      <c r="Q602" s="6"/>
      <c r="R602" s="6"/>
      <c r="S602" s="6"/>
      <c r="T602" s="6"/>
    </row>
    <row r="603" spans="4:20" x14ac:dyDescent="0.2">
      <c r="D603" s="6"/>
      <c r="E603" s="6"/>
      <c r="F603" s="6"/>
      <c r="G603" s="19"/>
      <c r="H603" s="19"/>
      <c r="I603" s="19"/>
      <c r="J603" s="19"/>
      <c r="K603" s="6"/>
      <c r="L603" s="6"/>
      <c r="M603" s="6"/>
      <c r="N603" s="6"/>
      <c r="O603" s="6"/>
      <c r="P603" s="6"/>
      <c r="Q603" s="6"/>
      <c r="R603" s="6"/>
      <c r="S603" s="6"/>
      <c r="T603" s="6"/>
    </row>
    <row r="604" spans="4:20" x14ac:dyDescent="0.2">
      <c r="D604" s="6"/>
      <c r="E604" s="6"/>
      <c r="F604" s="6"/>
      <c r="G604" s="19"/>
      <c r="H604" s="19"/>
      <c r="I604" s="19"/>
      <c r="J604" s="19"/>
      <c r="K604" s="6"/>
      <c r="L604" s="6"/>
      <c r="M604" s="6"/>
      <c r="N604" s="6"/>
      <c r="O604" s="6"/>
      <c r="P604" s="6"/>
      <c r="Q604" s="6"/>
      <c r="R604" s="6"/>
      <c r="S604" s="6"/>
      <c r="T604" s="6"/>
    </row>
    <row r="605" spans="4:20" x14ac:dyDescent="0.2">
      <c r="D605" s="6"/>
      <c r="E605" s="6"/>
      <c r="F605" s="6"/>
      <c r="G605" s="19"/>
      <c r="H605" s="19"/>
      <c r="I605" s="19"/>
      <c r="J605" s="19"/>
      <c r="K605" s="6"/>
      <c r="L605" s="6"/>
      <c r="M605" s="6"/>
      <c r="N605" s="6"/>
      <c r="O605" s="6"/>
      <c r="P605" s="6"/>
      <c r="Q605" s="6"/>
      <c r="R605" s="6"/>
      <c r="S605" s="6"/>
      <c r="T605" s="6"/>
    </row>
    <row r="606" spans="4:20" x14ac:dyDescent="0.2">
      <c r="D606" s="6"/>
      <c r="E606" s="6"/>
      <c r="F606" s="6"/>
      <c r="G606" s="19"/>
      <c r="H606" s="19"/>
      <c r="I606" s="19"/>
      <c r="J606" s="19"/>
      <c r="K606" s="6"/>
      <c r="L606" s="6"/>
      <c r="M606" s="6"/>
      <c r="N606" s="6"/>
      <c r="O606" s="6"/>
      <c r="P606" s="6"/>
      <c r="Q606" s="6"/>
      <c r="R606" s="6"/>
      <c r="S606" s="6"/>
      <c r="T606" s="6"/>
    </row>
    <row r="607" spans="4:20" x14ac:dyDescent="0.2">
      <c r="D607" s="6"/>
      <c r="E607" s="6"/>
      <c r="F607" s="6"/>
      <c r="G607" s="19"/>
      <c r="H607" s="19"/>
      <c r="I607" s="19"/>
      <c r="J607" s="19"/>
      <c r="K607" s="6"/>
      <c r="L607" s="6"/>
      <c r="M607" s="6"/>
      <c r="N607" s="6"/>
      <c r="O607" s="6"/>
      <c r="P607" s="6"/>
      <c r="Q607" s="6"/>
      <c r="R607" s="6"/>
      <c r="S607" s="6"/>
      <c r="T607" s="6"/>
    </row>
    <row r="608" spans="4:20" x14ac:dyDescent="0.2">
      <c r="D608" s="6"/>
      <c r="E608" s="6"/>
      <c r="F608" s="6"/>
      <c r="G608" s="19"/>
      <c r="H608" s="19"/>
      <c r="I608" s="19"/>
      <c r="J608" s="19"/>
      <c r="K608" s="6"/>
      <c r="L608" s="6"/>
      <c r="M608" s="6"/>
      <c r="N608" s="6"/>
      <c r="O608" s="6"/>
      <c r="P608" s="6"/>
      <c r="Q608" s="6"/>
      <c r="R608" s="6"/>
      <c r="S608" s="6"/>
      <c r="T608" s="6"/>
    </row>
    <row r="609" spans="4:20" x14ac:dyDescent="0.2">
      <c r="D609" s="6"/>
      <c r="E609" s="6"/>
      <c r="F609" s="6"/>
      <c r="G609" s="19"/>
      <c r="H609" s="19"/>
      <c r="I609" s="19"/>
      <c r="J609" s="19"/>
      <c r="K609" s="6"/>
      <c r="L609" s="6"/>
      <c r="M609" s="6"/>
      <c r="N609" s="6"/>
      <c r="O609" s="6"/>
      <c r="P609" s="6"/>
      <c r="Q609" s="6"/>
      <c r="R609" s="6"/>
      <c r="S609" s="6"/>
      <c r="T609" s="6"/>
    </row>
    <row r="610" spans="4:20" x14ac:dyDescent="0.2">
      <c r="D610" s="6"/>
      <c r="E610" s="6"/>
      <c r="F610" s="6"/>
      <c r="G610" s="19"/>
      <c r="H610" s="19"/>
      <c r="I610" s="19"/>
      <c r="J610" s="19"/>
      <c r="K610" s="6"/>
      <c r="L610" s="6"/>
      <c r="M610" s="6"/>
      <c r="N610" s="6"/>
      <c r="O610" s="6"/>
      <c r="P610" s="6"/>
      <c r="Q610" s="6"/>
      <c r="R610" s="6"/>
      <c r="S610" s="6"/>
      <c r="T610" s="6"/>
    </row>
    <row r="611" spans="4:20" x14ac:dyDescent="0.2">
      <c r="D611" s="6"/>
      <c r="E611" s="6"/>
      <c r="F611" s="6"/>
      <c r="G611" s="19"/>
      <c r="H611" s="19"/>
      <c r="I611" s="19"/>
      <c r="J611" s="19"/>
      <c r="K611" s="6"/>
      <c r="L611" s="6"/>
      <c r="M611" s="6"/>
      <c r="N611" s="6"/>
      <c r="O611" s="6"/>
      <c r="P611" s="6"/>
      <c r="Q611" s="6"/>
      <c r="R611" s="6"/>
      <c r="S611" s="6"/>
      <c r="T611" s="6"/>
    </row>
    <row r="612" spans="4:20" x14ac:dyDescent="0.2">
      <c r="D612" s="6"/>
      <c r="E612" s="6"/>
      <c r="F612" s="6"/>
      <c r="G612" s="19"/>
      <c r="H612" s="19"/>
      <c r="I612" s="19"/>
      <c r="J612" s="19"/>
      <c r="K612" s="6"/>
      <c r="L612" s="6"/>
      <c r="M612" s="6"/>
      <c r="N612" s="6"/>
      <c r="O612" s="6"/>
      <c r="P612" s="6"/>
      <c r="Q612" s="6"/>
      <c r="R612" s="6"/>
      <c r="S612" s="6"/>
      <c r="T612" s="6"/>
    </row>
    <row r="613" spans="4:20" x14ac:dyDescent="0.2">
      <c r="D613" s="6"/>
      <c r="E613" s="6"/>
      <c r="F613" s="6"/>
      <c r="G613" s="19"/>
      <c r="H613" s="19"/>
      <c r="I613" s="19"/>
      <c r="J613" s="19"/>
      <c r="K613" s="6"/>
      <c r="L613" s="6"/>
      <c r="M613" s="6"/>
      <c r="N613" s="6"/>
      <c r="O613" s="6"/>
      <c r="P613" s="6"/>
      <c r="Q613" s="6"/>
      <c r="R613" s="6"/>
      <c r="S613" s="6"/>
      <c r="T613" s="6"/>
    </row>
    <row r="614" spans="4:20" x14ac:dyDescent="0.2">
      <c r="D614" s="6"/>
      <c r="E614" s="6"/>
      <c r="F614" s="6"/>
      <c r="G614" s="19"/>
      <c r="H614" s="19"/>
      <c r="I614" s="19"/>
      <c r="J614" s="19"/>
      <c r="K614" s="6"/>
      <c r="L614" s="6"/>
      <c r="M614" s="6"/>
      <c r="N614" s="6"/>
      <c r="O614" s="6"/>
      <c r="P614" s="6"/>
      <c r="Q614" s="6"/>
      <c r="R614" s="6"/>
      <c r="S614" s="6"/>
      <c r="T614" s="6"/>
    </row>
    <row r="615" spans="4:20" x14ac:dyDescent="0.2">
      <c r="D615" s="6"/>
      <c r="E615" s="6"/>
      <c r="F615" s="6"/>
      <c r="G615" s="19"/>
      <c r="H615" s="19"/>
      <c r="I615" s="19"/>
      <c r="J615" s="19"/>
      <c r="K615" s="6"/>
      <c r="L615" s="6"/>
      <c r="M615" s="6"/>
      <c r="N615" s="6"/>
      <c r="O615" s="6"/>
      <c r="P615" s="6"/>
      <c r="Q615" s="6"/>
      <c r="R615" s="6"/>
      <c r="S615" s="6"/>
      <c r="T615" s="6"/>
    </row>
    <row r="616" spans="4:20" x14ac:dyDescent="0.2">
      <c r="D616" s="6"/>
      <c r="E616" s="6"/>
      <c r="F616" s="6"/>
      <c r="G616" s="19"/>
      <c r="H616" s="19"/>
      <c r="I616" s="19"/>
      <c r="J616" s="19"/>
      <c r="K616" s="6"/>
      <c r="L616" s="6"/>
      <c r="M616" s="6"/>
      <c r="N616" s="6"/>
      <c r="O616" s="6"/>
      <c r="P616" s="6"/>
      <c r="Q616" s="6"/>
      <c r="R616" s="6"/>
      <c r="S616" s="6"/>
      <c r="T616" s="6"/>
    </row>
    <row r="617" spans="4:20" x14ac:dyDescent="0.2">
      <c r="D617" s="6"/>
      <c r="E617" s="6"/>
      <c r="F617" s="6"/>
      <c r="G617" s="19"/>
      <c r="H617" s="19"/>
      <c r="I617" s="19"/>
      <c r="J617" s="19"/>
      <c r="K617" s="6"/>
      <c r="L617" s="6"/>
      <c r="M617" s="6"/>
      <c r="N617" s="6"/>
      <c r="O617" s="6"/>
      <c r="P617" s="6"/>
      <c r="Q617" s="6"/>
      <c r="R617" s="6"/>
      <c r="S617" s="6"/>
      <c r="T617" s="6"/>
    </row>
    <row r="618" spans="4:20" x14ac:dyDescent="0.2">
      <c r="D618" s="6"/>
      <c r="E618" s="6"/>
      <c r="F618" s="6"/>
      <c r="G618" s="19"/>
      <c r="H618" s="19"/>
      <c r="I618" s="19"/>
      <c r="J618" s="19"/>
      <c r="K618" s="6"/>
      <c r="L618" s="6"/>
      <c r="M618" s="6"/>
      <c r="N618" s="6"/>
      <c r="O618" s="6"/>
      <c r="P618" s="6"/>
      <c r="Q618" s="6"/>
      <c r="R618" s="6"/>
      <c r="S618" s="6"/>
      <c r="T618" s="6"/>
    </row>
    <row r="619" spans="4:20" x14ac:dyDescent="0.2">
      <c r="D619" s="6"/>
      <c r="E619" s="6"/>
      <c r="F619" s="6"/>
      <c r="G619" s="19"/>
      <c r="H619" s="19"/>
      <c r="I619" s="19"/>
      <c r="J619" s="19"/>
      <c r="K619" s="6"/>
      <c r="L619" s="6"/>
      <c r="M619" s="6"/>
      <c r="N619" s="6"/>
      <c r="O619" s="6"/>
      <c r="P619" s="6"/>
      <c r="Q619" s="6"/>
      <c r="R619" s="6"/>
      <c r="S619" s="6"/>
      <c r="T619" s="6"/>
    </row>
    <row r="620" spans="4:20" x14ac:dyDescent="0.2">
      <c r="D620" s="6"/>
      <c r="E620" s="6"/>
      <c r="F620" s="6"/>
      <c r="G620" s="19"/>
      <c r="H620" s="19"/>
      <c r="I620" s="19"/>
      <c r="J620" s="19"/>
      <c r="K620" s="6"/>
      <c r="L620" s="6"/>
      <c r="M620" s="6"/>
      <c r="N620" s="6"/>
      <c r="O620" s="6"/>
      <c r="P620" s="6"/>
      <c r="Q620" s="6"/>
      <c r="R620" s="6"/>
      <c r="S620" s="6"/>
      <c r="T620" s="6"/>
    </row>
    <row r="621" spans="4:20" x14ac:dyDescent="0.2">
      <c r="D621" s="6"/>
      <c r="E621" s="6"/>
      <c r="F621" s="6"/>
      <c r="G621" s="19"/>
      <c r="H621" s="19"/>
      <c r="I621" s="19"/>
      <c r="J621" s="19"/>
      <c r="K621" s="6"/>
      <c r="L621" s="6"/>
      <c r="M621" s="6"/>
      <c r="N621" s="6"/>
      <c r="O621" s="6"/>
      <c r="P621" s="6"/>
      <c r="Q621" s="6"/>
      <c r="R621" s="6"/>
      <c r="S621" s="6"/>
      <c r="T621" s="6"/>
    </row>
    <row r="622" spans="4:20" x14ac:dyDescent="0.2">
      <c r="D622" s="6"/>
      <c r="E622" s="6"/>
      <c r="F622" s="6"/>
      <c r="G622" s="19"/>
      <c r="H622" s="19"/>
      <c r="I622" s="19"/>
      <c r="J622" s="19"/>
      <c r="K622" s="6"/>
      <c r="L622" s="6"/>
      <c r="M622" s="6"/>
      <c r="N622" s="6"/>
      <c r="O622" s="6"/>
      <c r="P622" s="6"/>
      <c r="Q622" s="6"/>
      <c r="R622" s="6"/>
      <c r="S622" s="6"/>
      <c r="T622" s="6"/>
    </row>
    <row r="623" spans="4:20" x14ac:dyDescent="0.2">
      <c r="D623" s="6"/>
      <c r="E623" s="6"/>
      <c r="F623" s="6"/>
      <c r="G623" s="19"/>
      <c r="H623" s="19"/>
      <c r="I623" s="19"/>
      <c r="J623" s="19"/>
      <c r="K623" s="6"/>
      <c r="L623" s="6"/>
      <c r="M623" s="6"/>
      <c r="N623" s="6"/>
      <c r="O623" s="6"/>
      <c r="P623" s="6"/>
      <c r="Q623" s="6"/>
      <c r="R623" s="6"/>
      <c r="S623" s="6"/>
      <c r="T623" s="6"/>
    </row>
    <row r="624" spans="4:20" x14ac:dyDescent="0.2">
      <c r="D624" s="6"/>
      <c r="E624" s="6"/>
      <c r="F624" s="6"/>
      <c r="G624" s="19"/>
      <c r="H624" s="19"/>
      <c r="I624" s="19"/>
      <c r="J624" s="19"/>
      <c r="K624" s="6"/>
      <c r="L624" s="6"/>
      <c r="M624" s="6"/>
      <c r="N624" s="6"/>
      <c r="O624" s="6"/>
      <c r="P624" s="6"/>
      <c r="Q624" s="6"/>
      <c r="R624" s="6"/>
      <c r="S624" s="6"/>
      <c r="T624" s="6"/>
    </row>
    <row r="625" spans="4:20" x14ac:dyDescent="0.2">
      <c r="D625" s="6"/>
      <c r="E625" s="6"/>
      <c r="F625" s="6"/>
      <c r="G625" s="19"/>
      <c r="H625" s="19"/>
      <c r="I625" s="19"/>
      <c r="J625" s="19"/>
      <c r="K625" s="6"/>
      <c r="L625" s="6"/>
      <c r="M625" s="6"/>
      <c r="N625" s="6"/>
      <c r="O625" s="6"/>
      <c r="P625" s="6"/>
      <c r="Q625" s="6"/>
      <c r="R625" s="6"/>
      <c r="S625" s="6"/>
      <c r="T625" s="6"/>
    </row>
    <row r="626" spans="4:20" x14ac:dyDescent="0.2">
      <c r="D626" s="6"/>
      <c r="E626" s="6"/>
      <c r="F626" s="6"/>
      <c r="G626" s="19"/>
      <c r="H626" s="19"/>
      <c r="I626" s="19"/>
      <c r="J626" s="19"/>
      <c r="K626" s="6"/>
      <c r="L626" s="6"/>
      <c r="M626" s="6"/>
      <c r="N626" s="6"/>
      <c r="O626" s="6"/>
      <c r="P626" s="6"/>
      <c r="Q626" s="6"/>
      <c r="R626" s="6"/>
      <c r="S626" s="6"/>
      <c r="T626" s="6"/>
    </row>
    <row r="627" spans="4:20" x14ac:dyDescent="0.2">
      <c r="D627" s="6"/>
      <c r="E627" s="6"/>
      <c r="F627" s="6"/>
      <c r="G627" s="19"/>
      <c r="H627" s="19"/>
      <c r="I627" s="19"/>
      <c r="J627" s="19"/>
      <c r="K627" s="6"/>
      <c r="L627" s="6"/>
      <c r="M627" s="6"/>
      <c r="N627" s="6"/>
      <c r="O627" s="6"/>
      <c r="P627" s="6"/>
      <c r="Q627" s="6"/>
      <c r="R627" s="6"/>
      <c r="S627" s="6"/>
      <c r="T627" s="6"/>
    </row>
    <row r="628" spans="4:20" x14ac:dyDescent="0.2">
      <c r="D628" s="6"/>
      <c r="E628" s="6"/>
      <c r="F628" s="6"/>
      <c r="G628" s="19"/>
      <c r="H628" s="19"/>
      <c r="I628" s="19"/>
      <c r="J628" s="19"/>
      <c r="K628" s="6"/>
      <c r="L628" s="6"/>
      <c r="M628" s="6"/>
      <c r="N628" s="6"/>
      <c r="O628" s="6"/>
      <c r="P628" s="6"/>
      <c r="Q628" s="6"/>
      <c r="R628" s="6"/>
      <c r="S628" s="6"/>
      <c r="T628" s="6"/>
    </row>
    <row r="629" spans="4:20" x14ac:dyDescent="0.2">
      <c r="D629" s="6"/>
      <c r="E629" s="6"/>
      <c r="F629" s="6"/>
      <c r="G629" s="19"/>
      <c r="H629" s="19"/>
      <c r="I629" s="19"/>
      <c r="J629" s="19"/>
      <c r="K629" s="6"/>
      <c r="L629" s="6"/>
      <c r="M629" s="6"/>
      <c r="N629" s="6"/>
      <c r="O629" s="6"/>
      <c r="P629" s="6"/>
      <c r="Q629" s="6"/>
      <c r="R629" s="6"/>
      <c r="S629" s="6"/>
      <c r="T629" s="6"/>
    </row>
    <row r="630" spans="4:20" x14ac:dyDescent="0.2">
      <c r="D630" s="6"/>
      <c r="E630" s="6"/>
      <c r="F630" s="6"/>
      <c r="G630" s="19"/>
      <c r="H630" s="19"/>
      <c r="I630" s="19"/>
      <c r="J630" s="19"/>
      <c r="K630" s="6"/>
      <c r="L630" s="6"/>
      <c r="M630" s="6"/>
      <c r="N630" s="6"/>
      <c r="O630" s="6"/>
      <c r="P630" s="6"/>
      <c r="Q630" s="6"/>
      <c r="R630" s="6"/>
      <c r="S630" s="6"/>
      <c r="T630" s="6"/>
    </row>
    <row r="631" spans="4:20" x14ac:dyDescent="0.2">
      <c r="D631" s="6"/>
      <c r="E631" s="6"/>
      <c r="F631" s="6"/>
      <c r="G631" s="19"/>
      <c r="H631" s="19"/>
      <c r="I631" s="19"/>
      <c r="J631" s="19"/>
      <c r="K631" s="6"/>
      <c r="L631" s="6"/>
      <c r="M631" s="6"/>
      <c r="N631" s="6"/>
      <c r="O631" s="6"/>
      <c r="P631" s="6"/>
      <c r="Q631" s="6"/>
      <c r="R631" s="6"/>
      <c r="S631" s="6"/>
      <c r="T631" s="6"/>
    </row>
    <row r="632" spans="4:20" x14ac:dyDescent="0.2">
      <c r="D632" s="6"/>
      <c r="E632" s="6"/>
      <c r="F632" s="6"/>
      <c r="G632" s="19"/>
      <c r="H632" s="19"/>
      <c r="I632" s="19"/>
      <c r="J632" s="19"/>
      <c r="K632" s="6"/>
      <c r="L632" s="6"/>
      <c r="M632" s="6"/>
      <c r="N632" s="6"/>
      <c r="O632" s="6"/>
      <c r="P632" s="6"/>
      <c r="Q632" s="6"/>
      <c r="R632" s="6"/>
      <c r="S632" s="6"/>
      <c r="T632" s="6"/>
    </row>
    <row r="633" spans="4:20" x14ac:dyDescent="0.2">
      <c r="D633" s="6"/>
      <c r="E633" s="6"/>
      <c r="F633" s="6"/>
      <c r="G633" s="19"/>
      <c r="H633" s="19"/>
      <c r="I633" s="19"/>
      <c r="J633" s="19"/>
      <c r="K633" s="6"/>
      <c r="L633" s="6"/>
      <c r="M633" s="6"/>
      <c r="N633" s="6"/>
      <c r="O633" s="6"/>
      <c r="P633" s="6"/>
      <c r="Q633" s="6"/>
      <c r="R633" s="6"/>
      <c r="S633" s="6"/>
      <c r="T633" s="6"/>
    </row>
    <row r="634" spans="4:20" x14ac:dyDescent="0.2">
      <c r="D634" s="6"/>
      <c r="E634" s="6"/>
      <c r="F634" s="6"/>
      <c r="G634" s="19"/>
      <c r="H634" s="19"/>
      <c r="I634" s="19"/>
      <c r="J634" s="19"/>
      <c r="K634" s="6"/>
      <c r="L634" s="6"/>
      <c r="M634" s="6"/>
      <c r="N634" s="6"/>
      <c r="O634" s="6"/>
      <c r="P634" s="6"/>
      <c r="Q634" s="6"/>
      <c r="R634" s="6"/>
      <c r="S634" s="6"/>
      <c r="T634" s="6"/>
    </row>
    <row r="635" spans="4:20" x14ac:dyDescent="0.2">
      <c r="D635" s="6"/>
      <c r="E635" s="6"/>
      <c r="F635" s="6"/>
      <c r="G635" s="19"/>
      <c r="H635" s="19"/>
      <c r="I635" s="19"/>
      <c r="J635" s="19"/>
      <c r="K635" s="6"/>
      <c r="L635" s="6"/>
      <c r="M635" s="6"/>
      <c r="N635" s="6"/>
      <c r="O635" s="6"/>
      <c r="P635" s="6"/>
      <c r="Q635" s="6"/>
      <c r="R635" s="6"/>
      <c r="S635" s="6"/>
      <c r="T635" s="6"/>
    </row>
    <row r="636" spans="4:20" x14ac:dyDescent="0.2">
      <c r="D636" s="6"/>
      <c r="E636" s="6"/>
      <c r="F636" s="6"/>
      <c r="G636" s="19"/>
      <c r="H636" s="19"/>
      <c r="I636" s="19"/>
      <c r="J636" s="19"/>
      <c r="K636" s="6"/>
      <c r="L636" s="6"/>
      <c r="M636" s="6"/>
      <c r="N636" s="6"/>
      <c r="O636" s="6"/>
      <c r="P636" s="6"/>
      <c r="Q636" s="6"/>
      <c r="R636" s="6"/>
      <c r="S636" s="6"/>
      <c r="T636" s="6"/>
    </row>
    <row r="637" spans="4:20" x14ac:dyDescent="0.2">
      <c r="D637" s="6"/>
      <c r="E637" s="6"/>
      <c r="F637" s="6"/>
      <c r="G637" s="19"/>
      <c r="H637" s="19"/>
      <c r="I637" s="19"/>
      <c r="J637" s="19"/>
      <c r="K637" s="6"/>
      <c r="L637" s="6"/>
      <c r="M637" s="6"/>
      <c r="N637" s="6"/>
      <c r="O637" s="6"/>
      <c r="P637" s="6"/>
      <c r="Q637" s="6"/>
      <c r="R637" s="6"/>
      <c r="S637" s="6"/>
      <c r="T637" s="6"/>
    </row>
    <row r="638" spans="4:20" x14ac:dyDescent="0.2">
      <c r="D638" s="6"/>
      <c r="E638" s="6"/>
      <c r="F638" s="6"/>
      <c r="G638" s="19"/>
      <c r="H638" s="19"/>
      <c r="I638" s="19"/>
      <c r="J638" s="19"/>
      <c r="K638" s="6"/>
      <c r="L638" s="6"/>
      <c r="M638" s="6"/>
      <c r="N638" s="6"/>
      <c r="O638" s="6"/>
      <c r="P638" s="6"/>
      <c r="Q638" s="6"/>
      <c r="R638" s="6"/>
      <c r="S638" s="6"/>
      <c r="T638" s="6"/>
    </row>
    <row r="639" spans="4:20" x14ac:dyDescent="0.2">
      <c r="D639" s="6"/>
      <c r="E639" s="6"/>
      <c r="F639" s="6"/>
      <c r="G639" s="19"/>
      <c r="H639" s="19"/>
      <c r="I639" s="19"/>
      <c r="J639" s="19"/>
      <c r="K639" s="6"/>
      <c r="L639" s="6"/>
      <c r="M639" s="6"/>
      <c r="N639" s="6"/>
      <c r="O639" s="6"/>
      <c r="P639" s="6"/>
      <c r="Q639" s="6"/>
      <c r="R639" s="6"/>
      <c r="S639" s="6"/>
      <c r="T639" s="6"/>
    </row>
    <row r="640" spans="4:20" x14ac:dyDescent="0.2">
      <c r="D640" s="6"/>
      <c r="E640" s="6"/>
      <c r="F640" s="6"/>
      <c r="G640" s="19"/>
      <c r="H640" s="19"/>
      <c r="I640" s="19"/>
      <c r="J640" s="19"/>
      <c r="K640" s="6"/>
      <c r="L640" s="6"/>
      <c r="M640" s="6"/>
      <c r="N640" s="6"/>
      <c r="O640" s="6"/>
      <c r="P640" s="6"/>
      <c r="Q640" s="6"/>
      <c r="R640" s="6"/>
      <c r="S640" s="6"/>
      <c r="T640" s="6"/>
    </row>
    <row r="641" spans="4:20" x14ac:dyDescent="0.2">
      <c r="D641" s="6"/>
      <c r="E641" s="6"/>
      <c r="F641" s="6"/>
      <c r="G641" s="19"/>
      <c r="H641" s="19"/>
      <c r="I641" s="19"/>
      <c r="J641" s="19"/>
      <c r="K641" s="6"/>
      <c r="L641" s="6"/>
      <c r="M641" s="6"/>
      <c r="N641" s="6"/>
      <c r="O641" s="6"/>
      <c r="P641" s="6"/>
      <c r="Q641" s="6"/>
      <c r="R641" s="6"/>
      <c r="S641" s="6"/>
      <c r="T641" s="6"/>
    </row>
    <row r="642" spans="4:20" x14ac:dyDescent="0.2">
      <c r="D642" s="6"/>
      <c r="E642" s="6"/>
      <c r="F642" s="6"/>
      <c r="G642" s="19"/>
      <c r="H642" s="19"/>
      <c r="I642" s="19"/>
      <c r="J642" s="19"/>
      <c r="K642" s="6"/>
      <c r="L642" s="6"/>
      <c r="M642" s="6"/>
      <c r="N642" s="6"/>
      <c r="O642" s="6"/>
      <c r="P642" s="6"/>
      <c r="Q642" s="6"/>
      <c r="R642" s="6"/>
      <c r="S642" s="6"/>
      <c r="T642" s="6"/>
    </row>
    <row r="643" spans="4:20" x14ac:dyDescent="0.2">
      <c r="D643" s="6"/>
      <c r="E643" s="6"/>
      <c r="F643" s="6"/>
      <c r="G643" s="19"/>
      <c r="H643" s="19"/>
      <c r="I643" s="19"/>
      <c r="J643" s="19"/>
      <c r="K643" s="6"/>
      <c r="L643" s="6"/>
      <c r="M643" s="6"/>
      <c r="N643" s="6"/>
      <c r="O643" s="6"/>
      <c r="P643" s="6"/>
      <c r="Q643" s="6"/>
      <c r="R643" s="6"/>
      <c r="S643" s="6"/>
      <c r="T643" s="6"/>
    </row>
    <row r="644" spans="4:20" x14ac:dyDescent="0.2">
      <c r="D644" s="6"/>
      <c r="E644" s="6"/>
      <c r="F644" s="6"/>
      <c r="G644" s="19"/>
      <c r="H644" s="19"/>
      <c r="I644" s="19"/>
      <c r="J644" s="19"/>
      <c r="K644" s="6"/>
      <c r="L644" s="6"/>
      <c r="M644" s="6"/>
      <c r="N644" s="6"/>
      <c r="O644" s="6"/>
      <c r="P644" s="6"/>
      <c r="Q644" s="6"/>
      <c r="R644" s="6"/>
      <c r="S644" s="6"/>
      <c r="T644" s="6"/>
    </row>
    <row r="645" spans="4:20" x14ac:dyDescent="0.2">
      <c r="D645" s="6"/>
      <c r="E645" s="6"/>
      <c r="F645" s="6"/>
      <c r="G645" s="19"/>
      <c r="H645" s="19"/>
      <c r="I645" s="19"/>
      <c r="J645" s="19"/>
      <c r="K645" s="6"/>
      <c r="L645" s="6"/>
      <c r="M645" s="6"/>
      <c r="N645" s="6"/>
      <c r="O645" s="6"/>
      <c r="P645" s="6"/>
      <c r="Q645" s="6"/>
      <c r="R645" s="6"/>
      <c r="S645" s="6"/>
      <c r="T645" s="6"/>
    </row>
    <row r="646" spans="4:20" x14ac:dyDescent="0.2">
      <c r="D646" s="6"/>
      <c r="E646" s="6"/>
      <c r="F646" s="6"/>
      <c r="G646" s="19"/>
      <c r="H646" s="19"/>
      <c r="I646" s="19"/>
      <c r="J646" s="19"/>
      <c r="K646" s="6"/>
      <c r="L646" s="6"/>
      <c r="M646" s="6"/>
      <c r="N646" s="6"/>
      <c r="O646" s="6"/>
      <c r="P646" s="6"/>
      <c r="Q646" s="6"/>
      <c r="R646" s="6"/>
      <c r="S646" s="6"/>
      <c r="T646" s="6"/>
    </row>
    <row r="647" spans="4:20" x14ac:dyDescent="0.2">
      <c r="D647" s="6"/>
      <c r="E647" s="6"/>
      <c r="F647" s="6"/>
      <c r="G647" s="19"/>
      <c r="H647" s="19"/>
      <c r="I647" s="19"/>
      <c r="J647" s="19"/>
      <c r="K647" s="6"/>
      <c r="L647" s="6"/>
      <c r="M647" s="6"/>
      <c r="N647" s="6"/>
      <c r="O647" s="6"/>
      <c r="P647" s="6"/>
      <c r="Q647" s="6"/>
      <c r="R647" s="6"/>
      <c r="S647" s="6"/>
      <c r="T647" s="6"/>
    </row>
    <row r="648" spans="4:20" x14ac:dyDescent="0.2">
      <c r="D648" s="6"/>
      <c r="E648" s="6"/>
      <c r="F648" s="6"/>
      <c r="G648" s="19"/>
      <c r="H648" s="19"/>
      <c r="I648" s="19"/>
      <c r="J648" s="19"/>
      <c r="K648" s="6"/>
      <c r="L648" s="6"/>
      <c r="M648" s="6"/>
      <c r="N648" s="6"/>
      <c r="O648" s="6"/>
      <c r="P648" s="6"/>
      <c r="Q648" s="6"/>
      <c r="R648" s="6"/>
      <c r="S648" s="6"/>
      <c r="T648" s="6"/>
    </row>
    <row r="649" spans="4:20" x14ac:dyDescent="0.2">
      <c r="D649" s="6"/>
      <c r="E649" s="6"/>
      <c r="F649" s="6"/>
      <c r="G649" s="19"/>
      <c r="H649" s="19"/>
      <c r="I649" s="19"/>
      <c r="J649" s="19"/>
      <c r="K649" s="6"/>
      <c r="L649" s="6"/>
      <c r="M649" s="6"/>
      <c r="N649" s="6"/>
      <c r="O649" s="6"/>
      <c r="P649" s="6"/>
      <c r="Q649" s="6"/>
      <c r="R649" s="6"/>
      <c r="S649" s="6"/>
      <c r="T649" s="6"/>
    </row>
    <row r="650" spans="4:20" x14ac:dyDescent="0.2">
      <c r="D650" s="6"/>
      <c r="E650" s="6"/>
      <c r="F650" s="6"/>
      <c r="G650" s="19"/>
      <c r="H650" s="19"/>
      <c r="I650" s="19"/>
      <c r="J650" s="19"/>
      <c r="K650" s="6"/>
      <c r="L650" s="6"/>
      <c r="M650" s="6"/>
      <c r="N650" s="6"/>
      <c r="O650" s="6"/>
      <c r="P650" s="6"/>
      <c r="Q650" s="6"/>
      <c r="R650" s="6"/>
      <c r="S650" s="6"/>
      <c r="T650" s="6"/>
    </row>
    <row r="651" spans="4:20" x14ac:dyDescent="0.2">
      <c r="D651" s="6"/>
      <c r="E651" s="6"/>
      <c r="F651" s="6"/>
      <c r="G651" s="19"/>
      <c r="H651" s="19"/>
      <c r="I651" s="19"/>
      <c r="J651" s="19"/>
      <c r="K651" s="6"/>
      <c r="L651" s="6"/>
      <c r="M651" s="6"/>
      <c r="N651" s="6"/>
      <c r="O651" s="6"/>
      <c r="P651" s="6"/>
      <c r="Q651" s="6"/>
      <c r="R651" s="6"/>
      <c r="S651" s="6"/>
      <c r="T651" s="6"/>
    </row>
    <row r="652" spans="4:20" x14ac:dyDescent="0.2">
      <c r="D652" s="6"/>
      <c r="E652" s="6"/>
      <c r="F652" s="6"/>
      <c r="G652" s="19"/>
      <c r="H652" s="19"/>
      <c r="I652" s="19"/>
      <c r="J652" s="19"/>
      <c r="K652" s="6"/>
      <c r="L652" s="6"/>
      <c r="M652" s="6"/>
      <c r="N652" s="6"/>
      <c r="O652" s="6"/>
      <c r="P652" s="6"/>
      <c r="Q652" s="6"/>
      <c r="R652" s="6"/>
      <c r="S652" s="6"/>
      <c r="T652" s="6"/>
    </row>
    <row r="653" spans="4:20" x14ac:dyDescent="0.2">
      <c r="D653" s="6"/>
      <c r="E653" s="6"/>
      <c r="F653" s="6"/>
      <c r="G653" s="19"/>
      <c r="H653" s="19"/>
      <c r="I653" s="19"/>
      <c r="J653" s="19"/>
      <c r="K653" s="6"/>
      <c r="L653" s="6"/>
      <c r="M653" s="6"/>
      <c r="N653" s="6"/>
      <c r="O653" s="6"/>
      <c r="P653" s="6"/>
      <c r="Q653" s="6"/>
      <c r="R653" s="6"/>
      <c r="S653" s="6"/>
      <c r="T653" s="6"/>
    </row>
    <row r="654" spans="4:20" x14ac:dyDescent="0.2">
      <c r="D654" s="6"/>
      <c r="E654" s="6"/>
      <c r="F654" s="6"/>
      <c r="G654" s="19"/>
      <c r="H654" s="19"/>
      <c r="I654" s="19"/>
      <c r="J654" s="19"/>
      <c r="K654" s="6"/>
      <c r="L654" s="6"/>
      <c r="M654" s="6"/>
      <c r="N654" s="6"/>
      <c r="O654" s="6"/>
      <c r="P654" s="6"/>
      <c r="Q654" s="6"/>
      <c r="R654" s="6"/>
      <c r="S654" s="6"/>
      <c r="T654" s="6"/>
    </row>
    <row r="655" spans="4:20" x14ac:dyDescent="0.2">
      <c r="D655" s="6"/>
      <c r="E655" s="6"/>
      <c r="F655" s="6"/>
      <c r="G655" s="19"/>
      <c r="H655" s="19"/>
      <c r="I655" s="19"/>
      <c r="J655" s="19"/>
      <c r="K655" s="6"/>
      <c r="L655" s="6"/>
      <c r="M655" s="6"/>
      <c r="N655" s="6"/>
      <c r="O655" s="6"/>
      <c r="P655" s="6"/>
      <c r="Q655" s="6"/>
      <c r="R655" s="6"/>
      <c r="S655" s="6"/>
      <c r="T655" s="6"/>
    </row>
    <row r="656" spans="4:20" x14ac:dyDescent="0.2">
      <c r="D656" s="6"/>
      <c r="E656" s="6"/>
      <c r="F656" s="6"/>
      <c r="G656" s="19"/>
      <c r="H656" s="19"/>
      <c r="I656" s="19"/>
      <c r="J656" s="19"/>
      <c r="K656" s="6"/>
      <c r="L656" s="6"/>
      <c r="M656" s="6"/>
      <c r="N656" s="6"/>
      <c r="O656" s="6"/>
      <c r="P656" s="6"/>
      <c r="Q656" s="6"/>
      <c r="R656" s="6"/>
      <c r="S656" s="6"/>
      <c r="T656" s="6"/>
    </row>
    <row r="657" spans="4:20" x14ac:dyDescent="0.2">
      <c r="D657" s="6"/>
      <c r="E657" s="6"/>
      <c r="F657" s="6"/>
      <c r="G657" s="19"/>
      <c r="H657" s="19"/>
      <c r="I657" s="19"/>
      <c r="J657" s="19"/>
      <c r="K657" s="6"/>
      <c r="L657" s="6"/>
      <c r="M657" s="6"/>
      <c r="N657" s="6"/>
      <c r="O657" s="6"/>
      <c r="P657" s="6"/>
      <c r="Q657" s="6"/>
      <c r="R657" s="6"/>
      <c r="S657" s="6"/>
      <c r="T657" s="6"/>
    </row>
    <row r="658" spans="4:20" x14ac:dyDescent="0.2">
      <c r="D658" s="6"/>
      <c r="E658" s="6"/>
      <c r="F658" s="6"/>
      <c r="G658" s="19"/>
      <c r="H658" s="19"/>
      <c r="I658" s="19"/>
      <c r="J658" s="19"/>
      <c r="K658" s="6"/>
      <c r="L658" s="6"/>
      <c r="M658" s="6"/>
      <c r="N658" s="6"/>
      <c r="O658" s="6"/>
      <c r="P658" s="6"/>
      <c r="Q658" s="6"/>
      <c r="R658" s="6"/>
      <c r="S658" s="6"/>
      <c r="T658" s="6"/>
    </row>
    <row r="659" spans="4:20" x14ac:dyDescent="0.2">
      <c r="D659" s="6"/>
      <c r="E659" s="6"/>
      <c r="F659" s="6"/>
      <c r="G659" s="19"/>
      <c r="H659" s="19"/>
      <c r="I659" s="19"/>
      <c r="J659" s="19"/>
      <c r="K659" s="6"/>
      <c r="L659" s="6"/>
      <c r="M659" s="6"/>
      <c r="N659" s="6"/>
      <c r="O659" s="6"/>
      <c r="P659" s="6"/>
      <c r="Q659" s="6"/>
      <c r="R659" s="6"/>
      <c r="S659" s="6"/>
      <c r="T659" s="6"/>
    </row>
    <row r="660" spans="4:20" x14ac:dyDescent="0.2">
      <c r="D660" s="6"/>
      <c r="E660" s="6"/>
      <c r="F660" s="6"/>
      <c r="G660" s="19"/>
      <c r="H660" s="19"/>
      <c r="I660" s="19"/>
      <c r="J660" s="19"/>
      <c r="K660" s="6"/>
      <c r="L660" s="6"/>
      <c r="M660" s="6"/>
      <c r="N660" s="6"/>
      <c r="O660" s="6"/>
      <c r="P660" s="6"/>
      <c r="Q660" s="6"/>
      <c r="R660" s="6"/>
      <c r="S660" s="6"/>
      <c r="T660" s="6"/>
    </row>
    <row r="661" spans="4:20" x14ac:dyDescent="0.2">
      <c r="D661" s="6"/>
      <c r="E661" s="6"/>
      <c r="F661" s="6"/>
      <c r="G661" s="19"/>
      <c r="H661" s="19"/>
      <c r="I661" s="19"/>
      <c r="J661" s="19"/>
      <c r="K661" s="6"/>
      <c r="L661" s="6"/>
      <c r="M661" s="6"/>
      <c r="N661" s="6"/>
      <c r="O661" s="6"/>
      <c r="P661" s="6"/>
      <c r="Q661" s="6"/>
      <c r="R661" s="6"/>
      <c r="S661" s="6"/>
      <c r="T661" s="6"/>
    </row>
    <row r="662" spans="4:20" x14ac:dyDescent="0.2">
      <c r="D662" s="6"/>
      <c r="E662" s="6"/>
      <c r="F662" s="6"/>
      <c r="G662" s="19"/>
      <c r="H662" s="19"/>
      <c r="I662" s="19"/>
      <c r="J662" s="19"/>
      <c r="K662" s="6"/>
      <c r="L662" s="6"/>
      <c r="M662" s="6"/>
      <c r="N662" s="6"/>
      <c r="O662" s="6"/>
      <c r="P662" s="6"/>
      <c r="Q662" s="6"/>
      <c r="R662" s="6"/>
      <c r="S662" s="6"/>
      <c r="T662" s="6"/>
    </row>
    <row r="663" spans="4:20" x14ac:dyDescent="0.2">
      <c r="D663" s="6"/>
      <c r="E663" s="6"/>
      <c r="F663" s="6"/>
      <c r="G663" s="19"/>
      <c r="H663" s="19"/>
      <c r="I663" s="19"/>
      <c r="J663" s="19"/>
      <c r="K663" s="6"/>
      <c r="L663" s="6"/>
      <c r="M663" s="6"/>
      <c r="N663" s="6"/>
      <c r="O663" s="6"/>
      <c r="P663" s="6"/>
      <c r="Q663" s="6"/>
      <c r="R663" s="6"/>
      <c r="S663" s="6"/>
      <c r="T663" s="6"/>
    </row>
    <row r="664" spans="4:20" x14ac:dyDescent="0.2">
      <c r="D664" s="6"/>
      <c r="E664" s="6"/>
      <c r="F664" s="6"/>
      <c r="G664" s="19"/>
      <c r="H664" s="19"/>
      <c r="I664" s="19"/>
      <c r="J664" s="19"/>
      <c r="K664" s="6"/>
      <c r="L664" s="6"/>
      <c r="M664" s="6"/>
      <c r="N664" s="6"/>
      <c r="O664" s="6"/>
      <c r="P664" s="6"/>
      <c r="Q664" s="6"/>
      <c r="R664" s="6"/>
      <c r="S664" s="6"/>
      <c r="T664" s="6"/>
    </row>
    <row r="665" spans="4:20" x14ac:dyDescent="0.2">
      <c r="D665" s="6"/>
      <c r="E665" s="6"/>
      <c r="F665" s="6"/>
      <c r="G665" s="19"/>
      <c r="H665" s="19"/>
      <c r="I665" s="19"/>
      <c r="J665" s="19"/>
      <c r="K665" s="6"/>
      <c r="L665" s="6"/>
      <c r="M665" s="6"/>
      <c r="N665" s="6"/>
      <c r="O665" s="6"/>
      <c r="P665" s="6"/>
      <c r="Q665" s="6"/>
      <c r="R665" s="6"/>
      <c r="S665" s="6"/>
      <c r="T665" s="6"/>
    </row>
    <row r="666" spans="4:20" x14ac:dyDescent="0.2">
      <c r="D666" s="6"/>
      <c r="E666" s="6"/>
      <c r="F666" s="6"/>
      <c r="G666" s="19"/>
      <c r="H666" s="19"/>
      <c r="I666" s="19"/>
      <c r="J666" s="19"/>
      <c r="K666" s="6"/>
      <c r="L666" s="6"/>
      <c r="M666" s="6"/>
      <c r="N666" s="6"/>
      <c r="O666" s="6"/>
      <c r="P666" s="6"/>
      <c r="Q666" s="6"/>
      <c r="R666" s="6"/>
      <c r="S666" s="6"/>
      <c r="T666" s="6"/>
    </row>
    <row r="667" spans="4:20" x14ac:dyDescent="0.2">
      <c r="D667" s="6"/>
      <c r="E667" s="6"/>
      <c r="F667" s="6"/>
      <c r="G667" s="19"/>
      <c r="H667" s="19"/>
      <c r="I667" s="19"/>
      <c r="J667" s="19"/>
      <c r="K667" s="6"/>
      <c r="L667" s="6"/>
      <c r="M667" s="6"/>
      <c r="N667" s="6"/>
      <c r="O667" s="6"/>
      <c r="P667" s="6"/>
      <c r="Q667" s="6"/>
      <c r="R667" s="6"/>
      <c r="S667" s="6"/>
      <c r="T667" s="6"/>
    </row>
    <row r="668" spans="4:20" x14ac:dyDescent="0.2">
      <c r="D668" s="6"/>
      <c r="E668" s="6"/>
      <c r="F668" s="6"/>
      <c r="G668" s="19"/>
      <c r="H668" s="19"/>
      <c r="I668" s="19"/>
      <c r="J668" s="19"/>
      <c r="K668" s="6"/>
      <c r="L668" s="6"/>
      <c r="M668" s="6"/>
      <c r="N668" s="6"/>
      <c r="O668" s="6"/>
      <c r="P668" s="6"/>
      <c r="Q668" s="6"/>
      <c r="R668" s="6"/>
      <c r="S668" s="6"/>
      <c r="T668" s="6"/>
    </row>
    <row r="669" spans="4:20" x14ac:dyDescent="0.2">
      <c r="D669" s="6"/>
      <c r="E669" s="6"/>
      <c r="F669" s="6"/>
      <c r="G669" s="19"/>
      <c r="H669" s="19"/>
      <c r="I669" s="19"/>
      <c r="J669" s="19"/>
      <c r="K669" s="6"/>
      <c r="L669" s="6"/>
      <c r="M669" s="6"/>
      <c r="N669" s="6"/>
      <c r="O669" s="6"/>
      <c r="P669" s="6"/>
      <c r="Q669" s="6"/>
      <c r="R669" s="6"/>
      <c r="S669" s="6"/>
      <c r="T669" s="6"/>
    </row>
    <row r="670" spans="4:20" x14ac:dyDescent="0.2">
      <c r="D670" s="6"/>
      <c r="E670" s="6"/>
      <c r="F670" s="6"/>
      <c r="G670" s="19"/>
      <c r="H670" s="19"/>
      <c r="I670" s="19"/>
      <c r="J670" s="19"/>
      <c r="K670" s="6"/>
      <c r="L670" s="6"/>
      <c r="M670" s="6"/>
      <c r="N670" s="6"/>
      <c r="O670" s="6"/>
      <c r="P670" s="6"/>
      <c r="Q670" s="6"/>
      <c r="R670" s="6"/>
      <c r="S670" s="6"/>
      <c r="T670" s="6"/>
    </row>
    <row r="671" spans="4:20" x14ac:dyDescent="0.2">
      <c r="D671" s="6"/>
      <c r="E671" s="6"/>
      <c r="F671" s="6"/>
      <c r="G671" s="19"/>
      <c r="H671" s="19"/>
      <c r="I671" s="19"/>
      <c r="J671" s="19"/>
      <c r="K671" s="6"/>
      <c r="L671" s="6"/>
      <c r="M671" s="6"/>
      <c r="N671" s="6"/>
      <c r="O671" s="6"/>
      <c r="P671" s="6"/>
      <c r="Q671" s="6"/>
      <c r="R671" s="6"/>
      <c r="S671" s="6"/>
      <c r="T671" s="6"/>
    </row>
    <row r="672" spans="4:20" x14ac:dyDescent="0.2">
      <c r="D672" s="6"/>
      <c r="E672" s="6"/>
      <c r="F672" s="6"/>
      <c r="G672" s="19"/>
      <c r="H672" s="19"/>
      <c r="I672" s="19"/>
      <c r="J672" s="19"/>
      <c r="K672" s="6"/>
      <c r="L672" s="6"/>
      <c r="M672" s="6"/>
      <c r="N672" s="6"/>
      <c r="O672" s="6"/>
      <c r="P672" s="6"/>
      <c r="Q672" s="6"/>
      <c r="R672" s="6"/>
      <c r="S672" s="6"/>
      <c r="T672" s="6"/>
    </row>
    <row r="673" spans="4:20" x14ac:dyDescent="0.2">
      <c r="D673" s="6"/>
      <c r="E673" s="6"/>
      <c r="F673" s="6"/>
      <c r="G673" s="19"/>
      <c r="H673" s="19"/>
      <c r="I673" s="19"/>
      <c r="J673" s="19"/>
      <c r="K673" s="6"/>
      <c r="L673" s="6"/>
      <c r="M673" s="6"/>
      <c r="N673" s="6"/>
      <c r="O673" s="6"/>
      <c r="P673" s="6"/>
      <c r="Q673" s="6"/>
      <c r="R673" s="6"/>
      <c r="S673" s="6"/>
      <c r="T673" s="6"/>
    </row>
    <row r="674" spans="4:20" x14ac:dyDescent="0.2">
      <c r="D674" s="6"/>
      <c r="E674" s="6"/>
      <c r="F674" s="6"/>
      <c r="G674" s="19"/>
      <c r="H674" s="19"/>
      <c r="I674" s="19"/>
      <c r="J674" s="19"/>
      <c r="K674" s="6"/>
      <c r="L674" s="6"/>
      <c r="M674" s="6"/>
      <c r="N674" s="6"/>
      <c r="O674" s="6"/>
      <c r="P674" s="6"/>
      <c r="Q674" s="6"/>
      <c r="R674" s="6"/>
      <c r="S674" s="6"/>
      <c r="T674" s="6"/>
    </row>
    <row r="675" spans="4:20" x14ac:dyDescent="0.2">
      <c r="D675" s="6"/>
      <c r="E675" s="6"/>
      <c r="F675" s="6"/>
      <c r="G675" s="19"/>
      <c r="H675" s="19"/>
      <c r="I675" s="19"/>
      <c r="J675" s="19"/>
      <c r="K675" s="6"/>
      <c r="L675" s="6"/>
      <c r="M675" s="6"/>
      <c r="N675" s="6"/>
      <c r="O675" s="6"/>
      <c r="P675" s="6"/>
      <c r="Q675" s="6"/>
      <c r="R675" s="6"/>
      <c r="S675" s="6"/>
      <c r="T675" s="6"/>
    </row>
    <row r="676" spans="4:20" x14ac:dyDescent="0.2">
      <c r="D676" s="6"/>
      <c r="E676" s="6"/>
      <c r="F676" s="6"/>
      <c r="G676" s="19"/>
      <c r="H676" s="19"/>
      <c r="I676" s="19"/>
      <c r="J676" s="19"/>
      <c r="K676" s="6"/>
      <c r="L676" s="6"/>
      <c r="M676" s="6"/>
      <c r="N676" s="6"/>
      <c r="O676" s="6"/>
      <c r="P676" s="6"/>
      <c r="Q676" s="6"/>
      <c r="R676" s="6"/>
      <c r="S676" s="6"/>
      <c r="T676" s="6"/>
    </row>
    <row r="677" spans="4:20" x14ac:dyDescent="0.2">
      <c r="D677" s="6"/>
      <c r="E677" s="6"/>
      <c r="F677" s="6"/>
      <c r="G677" s="19"/>
      <c r="H677" s="19"/>
      <c r="I677" s="19"/>
      <c r="J677" s="19"/>
      <c r="K677" s="6"/>
      <c r="L677" s="6"/>
      <c r="M677" s="6"/>
      <c r="N677" s="6"/>
      <c r="O677" s="6"/>
      <c r="P677" s="6"/>
      <c r="Q677" s="6"/>
      <c r="R677" s="6"/>
      <c r="S677" s="6"/>
      <c r="T677" s="6"/>
    </row>
    <row r="678" spans="4:20" x14ac:dyDescent="0.2">
      <c r="D678" s="6"/>
      <c r="E678" s="6"/>
      <c r="F678" s="6"/>
      <c r="G678" s="19"/>
      <c r="H678" s="19"/>
      <c r="I678" s="19"/>
      <c r="J678" s="19"/>
      <c r="K678" s="6"/>
      <c r="L678" s="6"/>
      <c r="M678" s="6"/>
      <c r="N678" s="6"/>
      <c r="O678" s="6"/>
      <c r="P678" s="6"/>
      <c r="Q678" s="6"/>
      <c r="R678" s="6"/>
      <c r="S678" s="6"/>
      <c r="T678" s="6"/>
    </row>
    <row r="679" spans="4:20" x14ac:dyDescent="0.2">
      <c r="D679" s="6"/>
      <c r="E679" s="6"/>
      <c r="F679" s="6"/>
      <c r="G679" s="19"/>
      <c r="H679" s="19"/>
      <c r="I679" s="19"/>
      <c r="J679" s="19"/>
      <c r="K679" s="6"/>
      <c r="L679" s="6"/>
      <c r="M679" s="6"/>
      <c r="N679" s="6"/>
      <c r="O679" s="6"/>
      <c r="P679" s="6"/>
      <c r="Q679" s="6"/>
      <c r="R679" s="6"/>
      <c r="S679" s="6"/>
      <c r="T679" s="6"/>
    </row>
    <row r="680" spans="4:20" x14ac:dyDescent="0.2">
      <c r="D680" s="6"/>
      <c r="E680" s="6"/>
      <c r="F680" s="6"/>
      <c r="G680" s="19"/>
      <c r="H680" s="19"/>
      <c r="I680" s="19"/>
      <c r="J680" s="19"/>
      <c r="K680" s="6"/>
      <c r="L680" s="6"/>
      <c r="M680" s="6"/>
      <c r="N680" s="6"/>
      <c r="O680" s="6"/>
      <c r="P680" s="6"/>
      <c r="Q680" s="6"/>
      <c r="R680" s="6"/>
      <c r="S680" s="6"/>
      <c r="T680" s="6"/>
    </row>
    <row r="681" spans="4:20" x14ac:dyDescent="0.2">
      <c r="D681" s="6"/>
      <c r="E681" s="6"/>
      <c r="F681" s="6"/>
      <c r="G681" s="19"/>
      <c r="H681" s="19"/>
      <c r="I681" s="19"/>
      <c r="J681" s="19"/>
      <c r="K681" s="6"/>
      <c r="L681" s="6"/>
      <c r="M681" s="6"/>
      <c r="N681" s="6"/>
      <c r="O681" s="6"/>
      <c r="P681" s="6"/>
      <c r="Q681" s="6"/>
      <c r="R681" s="6"/>
      <c r="S681" s="6"/>
      <c r="T681" s="6"/>
    </row>
    <row r="682" spans="4:20" x14ac:dyDescent="0.2">
      <c r="D682" s="6"/>
      <c r="E682" s="6"/>
      <c r="F682" s="6"/>
      <c r="G682" s="19"/>
      <c r="H682" s="19"/>
      <c r="I682" s="19"/>
      <c r="J682" s="19"/>
      <c r="K682" s="6"/>
      <c r="L682" s="6"/>
      <c r="M682" s="6"/>
      <c r="N682" s="6"/>
      <c r="O682" s="6"/>
      <c r="P682" s="6"/>
      <c r="Q682" s="6"/>
      <c r="R682" s="6"/>
      <c r="S682" s="6"/>
      <c r="T682" s="6"/>
    </row>
    <row r="683" spans="4:20" x14ac:dyDescent="0.2">
      <c r="D683" s="6"/>
      <c r="E683" s="6"/>
      <c r="F683" s="6"/>
      <c r="G683" s="19"/>
      <c r="H683" s="19"/>
      <c r="I683" s="19"/>
      <c r="J683" s="19"/>
      <c r="K683" s="6"/>
      <c r="L683" s="6"/>
      <c r="M683" s="6"/>
      <c r="N683" s="6"/>
      <c r="O683" s="6"/>
      <c r="P683" s="6"/>
      <c r="Q683" s="6"/>
      <c r="R683" s="6"/>
      <c r="S683" s="6"/>
      <c r="T683" s="6"/>
    </row>
    <row r="684" spans="4:20" x14ac:dyDescent="0.2">
      <c r="D684" s="6"/>
      <c r="E684" s="6"/>
      <c r="F684" s="6"/>
      <c r="G684" s="19"/>
      <c r="H684" s="19"/>
      <c r="I684" s="19"/>
      <c r="J684" s="19"/>
      <c r="K684" s="6"/>
      <c r="L684" s="6"/>
      <c r="M684" s="6"/>
      <c r="N684" s="6"/>
      <c r="O684" s="6"/>
      <c r="P684" s="6"/>
      <c r="Q684" s="6"/>
      <c r="R684" s="6"/>
      <c r="S684" s="6"/>
      <c r="T684" s="6"/>
    </row>
    <row r="685" spans="4:20" x14ac:dyDescent="0.2">
      <c r="D685" s="6"/>
      <c r="E685" s="6"/>
      <c r="F685" s="6"/>
      <c r="G685" s="19"/>
      <c r="H685" s="19"/>
      <c r="I685" s="19"/>
      <c r="J685" s="19"/>
      <c r="K685" s="6"/>
      <c r="L685" s="6"/>
      <c r="M685" s="6"/>
      <c r="N685" s="6"/>
      <c r="O685" s="6"/>
      <c r="P685" s="6"/>
      <c r="Q685" s="6"/>
      <c r="R685" s="6"/>
      <c r="S685" s="6"/>
      <c r="T685" s="6"/>
    </row>
    <row r="686" spans="4:20" x14ac:dyDescent="0.2">
      <c r="D686" s="6"/>
      <c r="E686" s="6"/>
      <c r="F686" s="6"/>
      <c r="G686" s="19"/>
      <c r="H686" s="19"/>
      <c r="I686" s="19"/>
      <c r="J686" s="19"/>
      <c r="K686" s="6"/>
      <c r="L686" s="6"/>
      <c r="M686" s="6"/>
      <c r="N686" s="6"/>
      <c r="O686" s="6"/>
      <c r="P686" s="6"/>
      <c r="Q686" s="6"/>
      <c r="R686" s="6"/>
      <c r="S686" s="6"/>
      <c r="T686" s="6"/>
    </row>
    <row r="687" spans="4:20" x14ac:dyDescent="0.2">
      <c r="D687" s="6"/>
      <c r="E687" s="6"/>
      <c r="F687" s="6"/>
      <c r="G687" s="19"/>
      <c r="H687" s="19"/>
      <c r="I687" s="19"/>
      <c r="J687" s="19"/>
      <c r="K687" s="6"/>
      <c r="L687" s="6"/>
      <c r="M687" s="6"/>
      <c r="N687" s="6"/>
      <c r="O687" s="6"/>
      <c r="P687" s="6"/>
      <c r="Q687" s="6"/>
      <c r="R687" s="6"/>
      <c r="S687" s="6"/>
      <c r="T687" s="6"/>
    </row>
    <row r="688" spans="4:20" x14ac:dyDescent="0.2">
      <c r="D688" s="6"/>
      <c r="E688" s="6"/>
      <c r="F688" s="6"/>
      <c r="G688" s="19"/>
      <c r="H688" s="19"/>
      <c r="I688" s="19"/>
      <c r="J688" s="19"/>
      <c r="K688" s="6"/>
      <c r="L688" s="6"/>
      <c r="M688" s="6"/>
      <c r="N688" s="6"/>
      <c r="O688" s="6"/>
      <c r="P688" s="6"/>
      <c r="Q688" s="6"/>
      <c r="R688" s="6"/>
      <c r="S688" s="6"/>
      <c r="T688" s="6"/>
    </row>
    <row r="689" spans="4:20" x14ac:dyDescent="0.2">
      <c r="D689" s="6"/>
      <c r="E689" s="6"/>
      <c r="F689" s="6"/>
      <c r="G689" s="19"/>
      <c r="H689" s="19"/>
      <c r="I689" s="19"/>
      <c r="J689" s="19"/>
      <c r="K689" s="6"/>
      <c r="L689" s="6"/>
      <c r="M689" s="6"/>
      <c r="N689" s="6"/>
      <c r="O689" s="6"/>
      <c r="P689" s="6"/>
      <c r="Q689" s="6"/>
      <c r="R689" s="6"/>
      <c r="S689" s="6"/>
      <c r="T689" s="6"/>
    </row>
    <row r="690" spans="4:20" x14ac:dyDescent="0.2">
      <c r="D690" s="6"/>
      <c r="E690" s="6"/>
      <c r="F690" s="6"/>
      <c r="G690" s="19"/>
      <c r="H690" s="19"/>
      <c r="I690" s="19"/>
      <c r="J690" s="19"/>
      <c r="K690" s="6"/>
      <c r="L690" s="6"/>
      <c r="M690" s="6"/>
      <c r="N690" s="6"/>
      <c r="O690" s="6"/>
      <c r="P690" s="6"/>
      <c r="Q690" s="6"/>
      <c r="R690" s="6"/>
      <c r="S690" s="6"/>
      <c r="T690" s="6"/>
    </row>
    <row r="691" spans="4:20" x14ac:dyDescent="0.2">
      <c r="D691" s="6"/>
      <c r="E691" s="6"/>
      <c r="F691" s="6"/>
      <c r="G691" s="19"/>
      <c r="H691" s="19"/>
      <c r="I691" s="19"/>
      <c r="J691" s="19"/>
      <c r="K691" s="6"/>
      <c r="L691" s="6"/>
      <c r="M691" s="6"/>
      <c r="N691" s="6"/>
      <c r="O691" s="6"/>
      <c r="P691" s="6"/>
      <c r="Q691" s="6"/>
      <c r="R691" s="6"/>
      <c r="S691" s="6"/>
      <c r="T691" s="6"/>
    </row>
    <row r="692" spans="4:20" x14ac:dyDescent="0.2">
      <c r="D692" s="6"/>
      <c r="E692" s="6"/>
      <c r="F692" s="6"/>
      <c r="G692" s="19"/>
      <c r="H692" s="19"/>
      <c r="I692" s="19"/>
      <c r="J692" s="19"/>
      <c r="K692" s="6"/>
      <c r="L692" s="6"/>
      <c r="M692" s="6"/>
      <c r="N692" s="6"/>
      <c r="O692" s="6"/>
      <c r="P692" s="6"/>
      <c r="Q692" s="6"/>
      <c r="R692" s="6"/>
      <c r="S692" s="6"/>
      <c r="T692" s="6"/>
    </row>
    <row r="693" spans="4:20" x14ac:dyDescent="0.2">
      <c r="D693" s="6"/>
      <c r="E693" s="6"/>
      <c r="F693" s="6"/>
      <c r="G693" s="19"/>
      <c r="H693" s="19"/>
      <c r="I693" s="19"/>
      <c r="J693" s="19"/>
      <c r="K693" s="6"/>
      <c r="L693" s="6"/>
      <c r="M693" s="6"/>
      <c r="N693" s="6"/>
      <c r="O693" s="6"/>
      <c r="P693" s="6"/>
      <c r="Q693" s="6"/>
      <c r="R693" s="6"/>
      <c r="S693" s="6"/>
      <c r="T693" s="6"/>
    </row>
    <row r="694" spans="4:20" x14ac:dyDescent="0.2">
      <c r="D694" s="6"/>
      <c r="E694" s="6"/>
      <c r="F694" s="6"/>
      <c r="G694" s="19"/>
      <c r="H694" s="19"/>
      <c r="I694" s="19"/>
      <c r="J694" s="19"/>
      <c r="K694" s="6"/>
      <c r="L694" s="6"/>
      <c r="M694" s="6"/>
      <c r="N694" s="6"/>
      <c r="O694" s="6"/>
      <c r="P694" s="6"/>
      <c r="Q694" s="6"/>
      <c r="R694" s="6"/>
      <c r="S694" s="6"/>
      <c r="T694" s="6"/>
    </row>
    <row r="695" spans="4:20" x14ac:dyDescent="0.2">
      <c r="D695" s="6"/>
      <c r="E695" s="6"/>
      <c r="F695" s="6"/>
      <c r="G695" s="19"/>
      <c r="H695" s="19"/>
      <c r="I695" s="19"/>
      <c r="J695" s="19"/>
      <c r="K695" s="6"/>
      <c r="L695" s="6"/>
      <c r="M695" s="6"/>
      <c r="N695" s="6"/>
      <c r="O695" s="6"/>
      <c r="P695" s="6"/>
      <c r="Q695" s="6"/>
      <c r="R695" s="6"/>
      <c r="S695" s="6"/>
      <c r="T695" s="6"/>
    </row>
    <row r="696" spans="4:20" x14ac:dyDescent="0.2">
      <c r="D696" s="6"/>
      <c r="E696" s="6"/>
      <c r="F696" s="6"/>
      <c r="G696" s="19"/>
      <c r="H696" s="19"/>
      <c r="I696" s="19"/>
      <c r="J696" s="19"/>
      <c r="K696" s="6"/>
      <c r="L696" s="6"/>
      <c r="M696" s="6"/>
      <c r="N696" s="6"/>
      <c r="O696" s="6"/>
      <c r="P696" s="6"/>
      <c r="Q696" s="6"/>
      <c r="R696" s="6"/>
      <c r="S696" s="6"/>
      <c r="T696" s="6"/>
    </row>
    <row r="697" spans="4:20" x14ac:dyDescent="0.2">
      <c r="D697" s="6"/>
      <c r="E697" s="6"/>
      <c r="F697" s="6"/>
      <c r="G697" s="19"/>
      <c r="H697" s="19"/>
      <c r="I697" s="19"/>
      <c r="J697" s="19"/>
      <c r="K697" s="6"/>
      <c r="L697" s="6"/>
      <c r="M697" s="6"/>
      <c r="N697" s="6"/>
      <c r="O697" s="6"/>
      <c r="P697" s="6"/>
      <c r="Q697" s="6"/>
      <c r="R697" s="6"/>
      <c r="S697" s="6"/>
      <c r="T697" s="6"/>
    </row>
    <row r="698" spans="4:20" x14ac:dyDescent="0.2">
      <c r="D698" s="6"/>
      <c r="E698" s="6"/>
      <c r="F698" s="6"/>
      <c r="G698" s="19"/>
      <c r="H698" s="19"/>
      <c r="I698" s="19"/>
      <c r="J698" s="19"/>
      <c r="K698" s="6"/>
      <c r="L698" s="6"/>
      <c r="M698" s="6"/>
      <c r="N698" s="6"/>
      <c r="O698" s="6"/>
      <c r="P698" s="6"/>
      <c r="Q698" s="6"/>
      <c r="R698" s="6"/>
      <c r="S698" s="6"/>
      <c r="T698" s="6"/>
    </row>
    <row r="699" spans="4:20" x14ac:dyDescent="0.2">
      <c r="D699" s="6"/>
      <c r="E699" s="6"/>
      <c r="F699" s="6"/>
      <c r="G699" s="19"/>
      <c r="H699" s="19"/>
      <c r="I699" s="19"/>
      <c r="J699" s="19"/>
      <c r="K699" s="6"/>
      <c r="L699" s="6"/>
      <c r="M699" s="6"/>
      <c r="N699" s="6"/>
      <c r="O699" s="6"/>
      <c r="P699" s="6"/>
      <c r="Q699" s="6"/>
      <c r="R699" s="6"/>
      <c r="S699" s="6"/>
      <c r="T699" s="6"/>
    </row>
    <row r="700" spans="4:20" x14ac:dyDescent="0.2">
      <c r="D700" s="6"/>
      <c r="E700" s="6"/>
      <c r="F700" s="6"/>
      <c r="G700" s="19"/>
      <c r="H700" s="19"/>
      <c r="I700" s="19"/>
      <c r="J700" s="19"/>
      <c r="K700" s="6"/>
      <c r="L700" s="6"/>
      <c r="M700" s="6"/>
      <c r="N700" s="6"/>
      <c r="O700" s="6"/>
      <c r="P700" s="6"/>
      <c r="Q700" s="6"/>
      <c r="R700" s="6"/>
      <c r="S700" s="6"/>
      <c r="T700" s="6"/>
    </row>
    <row r="701" spans="4:20" x14ac:dyDescent="0.2">
      <c r="D701" s="6"/>
      <c r="E701" s="6"/>
      <c r="F701" s="6"/>
      <c r="G701" s="19"/>
      <c r="H701" s="19"/>
      <c r="I701" s="19"/>
      <c r="J701" s="19"/>
      <c r="K701" s="6"/>
      <c r="L701" s="6"/>
      <c r="M701" s="6"/>
      <c r="N701" s="6"/>
      <c r="O701" s="6"/>
      <c r="P701" s="6"/>
      <c r="Q701" s="6"/>
      <c r="R701" s="6"/>
      <c r="S701" s="6"/>
      <c r="T701" s="6"/>
    </row>
    <row r="702" spans="4:20" x14ac:dyDescent="0.2">
      <c r="D702" s="6"/>
      <c r="E702" s="6"/>
      <c r="F702" s="6"/>
      <c r="G702" s="19"/>
      <c r="H702" s="19"/>
      <c r="I702" s="19"/>
      <c r="J702" s="19"/>
      <c r="K702" s="6"/>
      <c r="L702" s="6"/>
      <c r="M702" s="6"/>
      <c r="N702" s="6"/>
      <c r="O702" s="6"/>
      <c r="P702" s="6"/>
      <c r="Q702" s="6"/>
      <c r="R702" s="6"/>
      <c r="S702" s="6"/>
      <c r="T702" s="6"/>
    </row>
    <row r="703" spans="4:20" x14ac:dyDescent="0.2">
      <c r="D703" s="6"/>
      <c r="E703" s="6"/>
      <c r="F703" s="6"/>
      <c r="G703" s="19"/>
      <c r="H703" s="19"/>
      <c r="I703" s="19"/>
      <c r="J703" s="19"/>
      <c r="K703" s="6"/>
      <c r="L703" s="6"/>
      <c r="M703" s="6"/>
      <c r="N703" s="6"/>
      <c r="O703" s="6"/>
      <c r="P703" s="6"/>
      <c r="Q703" s="6"/>
      <c r="R703" s="6"/>
      <c r="S703" s="6"/>
      <c r="T703" s="6"/>
    </row>
    <row r="704" spans="4:20" x14ac:dyDescent="0.2">
      <c r="D704" s="6"/>
      <c r="E704" s="6"/>
      <c r="F704" s="6"/>
      <c r="G704" s="19"/>
      <c r="H704" s="19"/>
      <c r="I704" s="19"/>
      <c r="J704" s="19"/>
      <c r="K704" s="6"/>
      <c r="L704" s="6"/>
      <c r="M704" s="6"/>
      <c r="N704" s="6"/>
      <c r="O704" s="6"/>
      <c r="P704" s="6"/>
      <c r="Q704" s="6"/>
      <c r="R704" s="6"/>
      <c r="S704" s="6"/>
      <c r="T704" s="6"/>
    </row>
    <row r="705" spans="4:20" x14ac:dyDescent="0.2">
      <c r="D705" s="6"/>
      <c r="E705" s="6"/>
      <c r="F705" s="6"/>
      <c r="G705" s="19"/>
      <c r="H705" s="19"/>
      <c r="I705" s="19"/>
      <c r="J705" s="19"/>
      <c r="K705" s="6"/>
      <c r="L705" s="6"/>
      <c r="M705" s="6"/>
      <c r="N705" s="6"/>
      <c r="O705" s="6"/>
      <c r="P705" s="6"/>
      <c r="Q705" s="6"/>
      <c r="R705" s="6"/>
      <c r="S705" s="6"/>
      <c r="T705" s="6"/>
    </row>
    <row r="706" spans="4:20" x14ac:dyDescent="0.2">
      <c r="D706" s="6"/>
      <c r="E706" s="6"/>
      <c r="F706" s="6"/>
      <c r="G706" s="19"/>
      <c r="H706" s="19"/>
      <c r="I706" s="19"/>
      <c r="J706" s="19"/>
      <c r="K706" s="6"/>
      <c r="L706" s="6"/>
      <c r="M706" s="6"/>
      <c r="N706" s="6"/>
      <c r="O706" s="6"/>
      <c r="P706" s="6"/>
      <c r="Q706" s="6"/>
      <c r="R706" s="6"/>
      <c r="S706" s="6"/>
      <c r="T706" s="6"/>
    </row>
    <row r="707" spans="4:20" x14ac:dyDescent="0.2">
      <c r="D707" s="6"/>
      <c r="E707" s="6"/>
      <c r="F707" s="6"/>
      <c r="G707" s="19"/>
      <c r="H707" s="19"/>
      <c r="I707" s="19"/>
      <c r="J707" s="19"/>
      <c r="K707" s="6"/>
      <c r="L707" s="6"/>
      <c r="M707" s="6"/>
      <c r="N707" s="6"/>
      <c r="O707" s="6"/>
      <c r="P707" s="6"/>
      <c r="Q707" s="6"/>
      <c r="R707" s="6"/>
      <c r="S707" s="6"/>
      <c r="T707" s="6"/>
    </row>
    <row r="708" spans="4:20" x14ac:dyDescent="0.2">
      <c r="D708" s="6"/>
      <c r="E708" s="6"/>
      <c r="F708" s="6"/>
      <c r="G708" s="19"/>
      <c r="H708" s="19"/>
      <c r="I708" s="19"/>
      <c r="J708" s="19"/>
      <c r="K708" s="6"/>
      <c r="L708" s="6"/>
      <c r="M708" s="6"/>
      <c r="N708" s="6"/>
      <c r="O708" s="6"/>
      <c r="P708" s="6"/>
      <c r="Q708" s="6"/>
      <c r="R708" s="6"/>
      <c r="S708" s="6"/>
      <c r="T708" s="6"/>
    </row>
    <row r="709" spans="4:20" x14ac:dyDescent="0.2">
      <c r="D709" s="6"/>
      <c r="E709" s="6"/>
      <c r="F709" s="6"/>
      <c r="G709" s="19"/>
      <c r="H709" s="19"/>
      <c r="I709" s="19"/>
      <c r="J709" s="19"/>
      <c r="K709" s="6"/>
      <c r="L709" s="6"/>
      <c r="M709" s="6"/>
      <c r="N709" s="6"/>
      <c r="O709" s="6"/>
      <c r="P709" s="6"/>
      <c r="Q709" s="6"/>
      <c r="R709" s="6"/>
      <c r="S709" s="6"/>
      <c r="T709" s="6"/>
    </row>
    <row r="710" spans="4:20" x14ac:dyDescent="0.2">
      <c r="D710" s="6"/>
      <c r="E710" s="6"/>
      <c r="F710" s="6"/>
      <c r="G710" s="19"/>
      <c r="H710" s="19"/>
      <c r="I710" s="19"/>
      <c r="J710" s="19"/>
      <c r="K710" s="6"/>
      <c r="L710" s="6"/>
      <c r="M710" s="6"/>
      <c r="N710" s="6"/>
      <c r="O710" s="6"/>
      <c r="P710" s="6"/>
      <c r="Q710" s="6"/>
      <c r="R710" s="6"/>
      <c r="S710" s="6"/>
      <c r="T710" s="6"/>
    </row>
    <row r="711" spans="4:20" x14ac:dyDescent="0.2">
      <c r="D711" s="6"/>
      <c r="E711" s="6"/>
      <c r="F711" s="6"/>
      <c r="G711" s="19"/>
      <c r="H711" s="19"/>
      <c r="I711" s="19"/>
      <c r="J711" s="19"/>
      <c r="K711" s="6"/>
      <c r="L711" s="6"/>
      <c r="M711" s="6"/>
      <c r="N711" s="6"/>
      <c r="O711" s="6"/>
      <c r="P711" s="6"/>
      <c r="Q711" s="6"/>
      <c r="R711" s="6"/>
      <c r="S711" s="6"/>
      <c r="T711" s="6"/>
    </row>
    <row r="712" spans="4:20" x14ac:dyDescent="0.2">
      <c r="D712" s="6"/>
      <c r="E712" s="6"/>
      <c r="F712" s="6"/>
      <c r="G712" s="19"/>
      <c r="H712" s="19"/>
      <c r="I712" s="19"/>
      <c r="J712" s="19"/>
      <c r="K712" s="6"/>
      <c r="L712" s="6"/>
      <c r="M712" s="6"/>
      <c r="N712" s="6"/>
      <c r="O712" s="6"/>
      <c r="P712" s="6"/>
      <c r="Q712" s="6"/>
      <c r="R712" s="6"/>
      <c r="S712" s="6"/>
      <c r="T712" s="6"/>
    </row>
    <row r="713" spans="4:20" x14ac:dyDescent="0.2">
      <c r="D713" s="6"/>
      <c r="E713" s="6"/>
      <c r="F713" s="6"/>
      <c r="G713" s="19"/>
      <c r="H713" s="19"/>
      <c r="I713" s="19"/>
      <c r="J713" s="19"/>
      <c r="K713" s="6"/>
      <c r="L713" s="6"/>
      <c r="M713" s="6"/>
      <c r="N713" s="6"/>
      <c r="O713" s="6"/>
      <c r="P713" s="6"/>
      <c r="Q713" s="6"/>
      <c r="R713" s="6"/>
      <c r="S713" s="6"/>
      <c r="T713" s="6"/>
    </row>
    <row r="714" spans="4:20" x14ac:dyDescent="0.2">
      <c r="D714" s="6"/>
      <c r="E714" s="6"/>
      <c r="F714" s="6"/>
      <c r="G714" s="19"/>
      <c r="H714" s="19"/>
      <c r="I714" s="19"/>
      <c r="J714" s="19"/>
      <c r="K714" s="6"/>
      <c r="L714" s="6"/>
      <c r="M714" s="6"/>
      <c r="N714" s="6"/>
      <c r="O714" s="6"/>
      <c r="P714" s="6"/>
      <c r="Q714" s="6"/>
      <c r="R714" s="6"/>
      <c r="S714" s="6"/>
      <c r="T714" s="6"/>
    </row>
    <row r="715" spans="4:20" x14ac:dyDescent="0.2">
      <c r="D715" s="6"/>
      <c r="E715" s="6"/>
      <c r="F715" s="6"/>
      <c r="G715" s="19"/>
      <c r="H715" s="19"/>
      <c r="I715" s="19"/>
      <c r="J715" s="19"/>
      <c r="K715" s="6"/>
      <c r="L715" s="6"/>
      <c r="M715" s="6"/>
      <c r="N715" s="6"/>
      <c r="O715" s="6"/>
      <c r="P715" s="6"/>
      <c r="Q715" s="6"/>
      <c r="R715" s="6"/>
      <c r="S715" s="6"/>
      <c r="T715" s="6"/>
    </row>
    <row r="716" spans="4:20" x14ac:dyDescent="0.2">
      <c r="D716" s="6"/>
      <c r="E716" s="6"/>
      <c r="F716" s="6"/>
      <c r="G716" s="19"/>
      <c r="H716" s="19"/>
      <c r="I716" s="19"/>
      <c r="J716" s="19"/>
      <c r="K716" s="6"/>
      <c r="L716" s="6"/>
      <c r="M716" s="6"/>
      <c r="N716" s="6"/>
      <c r="O716" s="6"/>
      <c r="P716" s="6"/>
      <c r="Q716" s="6"/>
      <c r="R716" s="6"/>
      <c r="S716" s="6"/>
      <c r="T716" s="6"/>
    </row>
    <row r="717" spans="4:20" x14ac:dyDescent="0.2">
      <c r="D717" s="6"/>
      <c r="E717" s="6"/>
      <c r="F717" s="6"/>
      <c r="G717" s="19"/>
      <c r="H717" s="19"/>
      <c r="I717" s="19"/>
      <c r="J717" s="19"/>
      <c r="K717" s="6"/>
      <c r="L717" s="6"/>
      <c r="M717" s="6"/>
      <c r="N717" s="6"/>
      <c r="O717" s="6"/>
      <c r="P717" s="6"/>
      <c r="Q717" s="6"/>
      <c r="R717" s="6"/>
      <c r="S717" s="6"/>
      <c r="T717" s="6"/>
    </row>
    <row r="718" spans="4:20" x14ac:dyDescent="0.2">
      <c r="D718" s="6"/>
      <c r="E718" s="6"/>
      <c r="F718" s="6"/>
      <c r="G718" s="19"/>
      <c r="H718" s="19"/>
      <c r="I718" s="19"/>
      <c r="J718" s="19"/>
      <c r="K718" s="6"/>
      <c r="L718" s="6"/>
      <c r="M718" s="6"/>
      <c r="N718" s="6"/>
      <c r="O718" s="6"/>
      <c r="P718" s="6"/>
      <c r="Q718" s="6"/>
      <c r="R718" s="6"/>
      <c r="S718" s="6"/>
      <c r="T718" s="6"/>
    </row>
    <row r="719" spans="4:20" x14ac:dyDescent="0.2">
      <c r="D719" s="6"/>
      <c r="E719" s="6"/>
      <c r="F719" s="6"/>
      <c r="G719" s="19"/>
      <c r="H719" s="19"/>
      <c r="I719" s="19"/>
      <c r="J719" s="19"/>
      <c r="K719" s="6"/>
      <c r="L719" s="6"/>
      <c r="M719" s="6"/>
      <c r="N719" s="6"/>
      <c r="O719" s="6"/>
      <c r="P719" s="6"/>
      <c r="Q719" s="6"/>
      <c r="R719" s="6"/>
      <c r="S719" s="6"/>
      <c r="T719" s="6"/>
    </row>
    <row r="720" spans="4:20" x14ac:dyDescent="0.2">
      <c r="D720" s="6"/>
      <c r="E720" s="6"/>
      <c r="F720" s="6"/>
      <c r="G720" s="19"/>
      <c r="H720" s="19"/>
      <c r="I720" s="19"/>
      <c r="J720" s="19"/>
      <c r="K720" s="6"/>
      <c r="L720" s="6"/>
      <c r="M720" s="6"/>
      <c r="N720" s="6"/>
      <c r="O720" s="6"/>
      <c r="P720" s="6"/>
      <c r="Q720" s="6"/>
      <c r="R720" s="6"/>
      <c r="S720" s="6"/>
      <c r="T720" s="6"/>
    </row>
    <row r="721" spans="4:20" x14ac:dyDescent="0.2">
      <c r="D721" s="6"/>
      <c r="E721" s="6"/>
      <c r="F721" s="6"/>
      <c r="G721" s="19"/>
      <c r="H721" s="19"/>
      <c r="I721" s="19"/>
      <c r="J721" s="19"/>
      <c r="K721" s="6"/>
      <c r="L721" s="6"/>
      <c r="M721" s="6"/>
      <c r="N721" s="6"/>
      <c r="O721" s="6"/>
      <c r="P721" s="6"/>
      <c r="Q721" s="6"/>
      <c r="R721" s="6"/>
      <c r="S721" s="6"/>
      <c r="T721" s="6"/>
    </row>
    <row r="722" spans="4:20" x14ac:dyDescent="0.2">
      <c r="D722" s="6"/>
      <c r="E722" s="6"/>
      <c r="F722" s="6"/>
      <c r="G722" s="19"/>
      <c r="H722" s="19"/>
      <c r="I722" s="19"/>
      <c r="J722" s="19"/>
      <c r="K722" s="6"/>
      <c r="L722" s="6"/>
      <c r="M722" s="6"/>
      <c r="N722" s="6"/>
      <c r="O722" s="6"/>
      <c r="P722" s="6"/>
      <c r="Q722" s="6"/>
      <c r="R722" s="6"/>
      <c r="S722" s="6"/>
      <c r="T722" s="6"/>
    </row>
    <row r="723" spans="4:20" x14ac:dyDescent="0.2">
      <c r="D723" s="6"/>
      <c r="E723" s="6"/>
      <c r="F723" s="6"/>
      <c r="G723" s="19"/>
      <c r="H723" s="19"/>
      <c r="I723" s="19"/>
      <c r="J723" s="19"/>
      <c r="K723" s="6"/>
      <c r="L723" s="6"/>
      <c r="M723" s="6"/>
      <c r="N723" s="6"/>
      <c r="O723" s="6"/>
      <c r="P723" s="6"/>
      <c r="Q723" s="6"/>
      <c r="R723" s="6"/>
      <c r="S723" s="6"/>
      <c r="T723" s="6"/>
    </row>
    <row r="724" spans="4:20" x14ac:dyDescent="0.2">
      <c r="D724" s="6"/>
      <c r="E724" s="6"/>
      <c r="F724" s="6"/>
      <c r="G724" s="19"/>
      <c r="H724" s="19"/>
      <c r="I724" s="19"/>
      <c r="J724" s="19"/>
      <c r="K724" s="6"/>
      <c r="L724" s="6"/>
      <c r="M724" s="6"/>
      <c r="N724" s="6"/>
      <c r="O724" s="6"/>
      <c r="P724" s="6"/>
      <c r="Q724" s="6"/>
      <c r="R724" s="6"/>
      <c r="S724" s="6"/>
      <c r="T724" s="6"/>
    </row>
    <row r="725" spans="4:20" x14ac:dyDescent="0.2">
      <c r="D725" s="6"/>
      <c r="E725" s="6"/>
      <c r="F725" s="6"/>
      <c r="G725" s="19"/>
      <c r="H725" s="19"/>
      <c r="I725" s="19"/>
      <c r="J725" s="19"/>
      <c r="K725" s="6"/>
      <c r="L725" s="6"/>
      <c r="M725" s="6"/>
      <c r="N725" s="6"/>
      <c r="O725" s="6"/>
      <c r="P725" s="6"/>
      <c r="Q725" s="6"/>
      <c r="R725" s="6"/>
      <c r="S725" s="6"/>
      <c r="T725" s="6"/>
    </row>
    <row r="726" spans="4:20" x14ac:dyDescent="0.2">
      <c r="D726" s="6"/>
      <c r="E726" s="6"/>
      <c r="F726" s="6"/>
      <c r="G726" s="19"/>
      <c r="H726" s="19"/>
      <c r="I726" s="19"/>
      <c r="J726" s="19"/>
      <c r="K726" s="6"/>
      <c r="L726" s="6"/>
      <c r="M726" s="6"/>
      <c r="N726" s="6"/>
      <c r="O726" s="6"/>
      <c r="P726" s="6"/>
      <c r="Q726" s="6"/>
      <c r="R726" s="6"/>
      <c r="S726" s="6"/>
      <c r="T726" s="6"/>
    </row>
    <row r="727" spans="4:20" x14ac:dyDescent="0.2">
      <c r="D727" s="6"/>
      <c r="E727" s="6"/>
      <c r="F727" s="6"/>
      <c r="G727" s="19"/>
      <c r="H727" s="19"/>
      <c r="I727" s="19"/>
      <c r="J727" s="19"/>
      <c r="K727" s="6"/>
      <c r="L727" s="6"/>
      <c r="M727" s="6"/>
      <c r="N727" s="6"/>
      <c r="O727" s="6"/>
      <c r="P727" s="6"/>
      <c r="Q727" s="6"/>
      <c r="R727" s="6"/>
      <c r="S727" s="6"/>
      <c r="T727" s="6"/>
    </row>
    <row r="728" spans="4:20" x14ac:dyDescent="0.2">
      <c r="D728" s="6"/>
      <c r="E728" s="6"/>
      <c r="F728" s="6"/>
      <c r="G728" s="19"/>
      <c r="H728" s="19"/>
      <c r="I728" s="19"/>
      <c r="J728" s="19"/>
      <c r="K728" s="6"/>
      <c r="L728" s="6"/>
      <c r="M728" s="6"/>
      <c r="N728" s="6"/>
      <c r="O728" s="6"/>
      <c r="P728" s="6"/>
      <c r="Q728" s="6"/>
      <c r="R728" s="6"/>
      <c r="S728" s="6"/>
      <c r="T728" s="6"/>
    </row>
    <row r="729" spans="4:20" x14ac:dyDescent="0.2">
      <c r="D729" s="6"/>
      <c r="E729" s="6"/>
      <c r="F729" s="6"/>
      <c r="G729" s="19"/>
      <c r="H729" s="19"/>
      <c r="I729" s="19"/>
      <c r="J729" s="19"/>
      <c r="K729" s="6"/>
      <c r="L729" s="6"/>
      <c r="M729" s="6"/>
      <c r="N729" s="6"/>
      <c r="O729" s="6"/>
      <c r="P729" s="6"/>
      <c r="Q729" s="6"/>
      <c r="R729" s="6"/>
      <c r="S729" s="6"/>
      <c r="T729" s="6"/>
    </row>
    <row r="730" spans="4:20" x14ac:dyDescent="0.2">
      <c r="D730" s="6"/>
      <c r="E730" s="6"/>
      <c r="F730" s="6"/>
      <c r="G730" s="19"/>
      <c r="H730" s="19"/>
      <c r="I730" s="19"/>
      <c r="J730" s="19"/>
      <c r="K730" s="6"/>
      <c r="L730" s="6"/>
      <c r="M730" s="6"/>
      <c r="N730" s="6"/>
      <c r="O730" s="6"/>
      <c r="P730" s="6"/>
      <c r="Q730" s="6"/>
      <c r="R730" s="6"/>
      <c r="S730" s="6"/>
      <c r="T730" s="6"/>
    </row>
    <row r="731" spans="4:20" x14ac:dyDescent="0.2">
      <c r="D731" s="6"/>
      <c r="E731" s="6"/>
      <c r="F731" s="6"/>
      <c r="G731" s="19"/>
      <c r="H731" s="19"/>
      <c r="I731" s="19"/>
      <c r="J731" s="19"/>
      <c r="K731" s="6"/>
      <c r="L731" s="6"/>
      <c r="M731" s="6"/>
      <c r="N731" s="6"/>
      <c r="O731" s="6"/>
      <c r="P731" s="6"/>
      <c r="Q731" s="6"/>
      <c r="R731" s="6"/>
      <c r="S731" s="6"/>
      <c r="T731" s="6"/>
    </row>
    <row r="732" spans="4:20" x14ac:dyDescent="0.2">
      <c r="D732" s="6"/>
      <c r="E732" s="6"/>
      <c r="F732" s="6"/>
      <c r="G732" s="19"/>
      <c r="H732" s="19"/>
      <c r="I732" s="19"/>
      <c r="J732" s="19"/>
      <c r="K732" s="6"/>
      <c r="L732" s="6"/>
      <c r="M732" s="6"/>
      <c r="N732" s="6"/>
      <c r="O732" s="6"/>
      <c r="P732" s="6"/>
      <c r="Q732" s="6"/>
      <c r="R732" s="6"/>
      <c r="S732" s="6"/>
      <c r="T732" s="6"/>
    </row>
    <row r="733" spans="4:20" x14ac:dyDescent="0.2">
      <c r="D733" s="6"/>
      <c r="E733" s="6"/>
      <c r="F733" s="6"/>
      <c r="G733" s="19"/>
      <c r="H733" s="19"/>
      <c r="I733" s="19"/>
      <c r="J733" s="19"/>
      <c r="K733" s="6"/>
      <c r="L733" s="6"/>
      <c r="M733" s="6"/>
      <c r="N733" s="6"/>
      <c r="O733" s="6"/>
      <c r="P733" s="6"/>
      <c r="Q733" s="6"/>
      <c r="R733" s="6"/>
      <c r="S733" s="6"/>
      <c r="T733" s="6"/>
    </row>
    <row r="734" spans="4:20" x14ac:dyDescent="0.2">
      <c r="D734" s="6"/>
      <c r="E734" s="6"/>
      <c r="F734" s="6"/>
      <c r="G734" s="19"/>
      <c r="H734" s="19"/>
      <c r="I734" s="19"/>
      <c r="J734" s="19"/>
      <c r="K734" s="6"/>
      <c r="L734" s="6"/>
      <c r="M734" s="6"/>
      <c r="N734" s="6"/>
      <c r="O734" s="6"/>
      <c r="P734" s="6"/>
      <c r="Q734" s="6"/>
      <c r="R734" s="6"/>
      <c r="S734" s="6"/>
      <c r="T734" s="6"/>
    </row>
    <row r="735" spans="4:20" x14ac:dyDescent="0.2">
      <c r="D735" s="6"/>
      <c r="E735" s="6"/>
      <c r="F735" s="6"/>
      <c r="G735" s="19"/>
      <c r="H735" s="19"/>
      <c r="I735" s="19"/>
      <c r="J735" s="19"/>
      <c r="K735" s="6"/>
      <c r="L735" s="6"/>
      <c r="M735" s="6"/>
      <c r="N735" s="6"/>
      <c r="O735" s="6"/>
      <c r="P735" s="6"/>
      <c r="Q735" s="6"/>
      <c r="R735" s="6"/>
      <c r="S735" s="6"/>
      <c r="T735" s="6"/>
    </row>
    <row r="736" spans="4:20" x14ac:dyDescent="0.2">
      <c r="D736" s="6"/>
      <c r="E736" s="6"/>
      <c r="F736" s="6"/>
      <c r="G736" s="19"/>
      <c r="H736" s="19"/>
      <c r="I736" s="19"/>
      <c r="J736" s="19"/>
      <c r="K736" s="6"/>
      <c r="L736" s="6"/>
      <c r="M736" s="6"/>
      <c r="N736" s="6"/>
      <c r="O736" s="6"/>
      <c r="P736" s="6"/>
      <c r="Q736" s="6"/>
      <c r="R736" s="6"/>
      <c r="S736" s="6"/>
      <c r="T736" s="6"/>
    </row>
    <row r="737" spans="4:20" x14ac:dyDescent="0.2">
      <c r="D737" s="6"/>
      <c r="E737" s="6"/>
      <c r="F737" s="6"/>
      <c r="G737" s="19"/>
      <c r="H737" s="19"/>
      <c r="I737" s="19"/>
      <c r="J737" s="19"/>
      <c r="K737" s="6"/>
      <c r="L737" s="6"/>
      <c r="M737" s="6"/>
      <c r="N737" s="6"/>
      <c r="O737" s="6"/>
      <c r="P737" s="6"/>
      <c r="Q737" s="6"/>
      <c r="R737" s="6"/>
      <c r="S737" s="6"/>
      <c r="T737" s="6"/>
    </row>
    <row r="738" spans="4:20" x14ac:dyDescent="0.2">
      <c r="D738" s="6"/>
      <c r="E738" s="6"/>
      <c r="F738" s="6"/>
      <c r="G738" s="19"/>
      <c r="H738" s="19"/>
      <c r="I738" s="19"/>
      <c r="J738" s="19"/>
      <c r="K738" s="6"/>
      <c r="L738" s="6"/>
      <c r="M738" s="6"/>
      <c r="N738" s="6"/>
      <c r="O738" s="6"/>
      <c r="P738" s="6"/>
      <c r="Q738" s="6"/>
      <c r="R738" s="6"/>
      <c r="S738" s="6"/>
      <c r="T738" s="6"/>
    </row>
    <row r="739" spans="4:20" x14ac:dyDescent="0.2">
      <c r="D739" s="6"/>
      <c r="E739" s="6"/>
      <c r="F739" s="6"/>
      <c r="G739" s="19"/>
      <c r="H739" s="19"/>
      <c r="I739" s="19"/>
      <c r="J739" s="19"/>
      <c r="K739" s="6"/>
      <c r="L739" s="6"/>
      <c r="M739" s="6"/>
      <c r="N739" s="6"/>
      <c r="O739" s="6"/>
      <c r="P739" s="6"/>
      <c r="Q739" s="6"/>
      <c r="R739" s="6"/>
      <c r="S739" s="6"/>
      <c r="T739" s="6"/>
    </row>
    <row r="740" spans="4:20" x14ac:dyDescent="0.2">
      <c r="D740" s="6"/>
      <c r="E740" s="6"/>
      <c r="F740" s="6"/>
      <c r="G740" s="19"/>
      <c r="H740" s="19"/>
      <c r="I740" s="19"/>
      <c r="J740" s="19"/>
      <c r="K740" s="6"/>
      <c r="L740" s="6"/>
      <c r="M740" s="6"/>
      <c r="N740" s="6"/>
      <c r="O740" s="6"/>
      <c r="P740" s="6"/>
      <c r="Q740" s="6"/>
      <c r="R740" s="6"/>
      <c r="S740" s="6"/>
      <c r="T740" s="6"/>
    </row>
    <row r="741" spans="4:20" x14ac:dyDescent="0.2">
      <c r="D741" s="6"/>
      <c r="E741" s="6"/>
      <c r="F741" s="6"/>
      <c r="G741" s="19"/>
      <c r="H741" s="19"/>
      <c r="I741" s="19"/>
      <c r="J741" s="19"/>
      <c r="K741" s="6"/>
      <c r="L741" s="6"/>
      <c r="M741" s="6"/>
      <c r="N741" s="6"/>
      <c r="O741" s="6"/>
      <c r="P741" s="6"/>
      <c r="Q741" s="6"/>
      <c r="R741" s="6"/>
      <c r="S741" s="6"/>
      <c r="T741" s="6"/>
    </row>
    <row r="742" spans="4:20" x14ac:dyDescent="0.2">
      <c r="D742" s="6"/>
      <c r="E742" s="6"/>
      <c r="F742" s="6"/>
      <c r="G742" s="19"/>
      <c r="H742" s="19"/>
      <c r="I742" s="19"/>
      <c r="J742" s="19"/>
      <c r="K742" s="6"/>
      <c r="L742" s="6"/>
      <c r="M742" s="6"/>
      <c r="N742" s="6"/>
      <c r="O742" s="6"/>
      <c r="P742" s="6"/>
      <c r="Q742" s="6"/>
      <c r="R742" s="6"/>
      <c r="S742" s="6"/>
      <c r="T742" s="6"/>
    </row>
    <row r="743" spans="4:20" x14ac:dyDescent="0.2">
      <c r="D743" s="6"/>
      <c r="E743" s="6"/>
      <c r="F743" s="6"/>
      <c r="G743" s="19"/>
      <c r="H743" s="19"/>
      <c r="I743" s="19"/>
      <c r="J743" s="19"/>
      <c r="K743" s="6"/>
      <c r="L743" s="6"/>
      <c r="M743" s="6"/>
      <c r="N743" s="6"/>
      <c r="O743" s="6"/>
      <c r="P743" s="6"/>
      <c r="Q743" s="6"/>
      <c r="R743" s="6"/>
      <c r="S743" s="6"/>
      <c r="T743" s="6"/>
    </row>
    <row r="744" spans="4:20" x14ac:dyDescent="0.2">
      <c r="D744" s="6"/>
      <c r="E744" s="6"/>
      <c r="F744" s="6"/>
      <c r="G744" s="19"/>
      <c r="H744" s="19"/>
      <c r="I744" s="19"/>
      <c r="J744" s="19"/>
      <c r="K744" s="6"/>
      <c r="L744" s="6"/>
      <c r="M744" s="6"/>
      <c r="N744" s="6"/>
      <c r="O744" s="6"/>
      <c r="P744" s="6"/>
      <c r="Q744" s="6"/>
      <c r="R744" s="6"/>
      <c r="S744" s="6"/>
      <c r="T744" s="6"/>
    </row>
    <row r="745" spans="4:20" x14ac:dyDescent="0.2">
      <c r="D745" s="6"/>
      <c r="E745" s="6"/>
      <c r="F745" s="6"/>
      <c r="G745" s="19"/>
      <c r="H745" s="19"/>
      <c r="I745" s="19"/>
      <c r="J745" s="19"/>
      <c r="K745" s="6"/>
      <c r="L745" s="6"/>
      <c r="M745" s="6"/>
      <c r="N745" s="6"/>
      <c r="O745" s="6"/>
      <c r="P745" s="6"/>
      <c r="Q745" s="6"/>
      <c r="R745" s="6"/>
      <c r="S745" s="6"/>
      <c r="T745" s="6"/>
    </row>
    <row r="746" spans="4:20" x14ac:dyDescent="0.2">
      <c r="D746" s="6"/>
      <c r="E746" s="6"/>
      <c r="F746" s="6"/>
      <c r="G746" s="19"/>
      <c r="H746" s="19"/>
      <c r="I746" s="19"/>
      <c r="J746" s="19"/>
      <c r="K746" s="6"/>
      <c r="L746" s="6"/>
      <c r="M746" s="6"/>
      <c r="N746" s="6"/>
      <c r="O746" s="6"/>
      <c r="P746" s="6"/>
      <c r="Q746" s="6"/>
      <c r="R746" s="6"/>
      <c r="S746" s="6"/>
      <c r="T746" s="6"/>
    </row>
    <row r="747" spans="4:20" x14ac:dyDescent="0.2">
      <c r="D747" s="6"/>
      <c r="E747" s="6"/>
      <c r="F747" s="6"/>
      <c r="G747" s="19"/>
      <c r="H747" s="19"/>
      <c r="I747" s="19"/>
      <c r="J747" s="19"/>
      <c r="K747" s="6"/>
      <c r="L747" s="6"/>
      <c r="M747" s="6"/>
      <c r="N747" s="6"/>
      <c r="O747" s="6"/>
      <c r="P747" s="6"/>
      <c r="Q747" s="6"/>
      <c r="R747" s="6"/>
      <c r="S747" s="6"/>
      <c r="T747" s="6"/>
    </row>
    <row r="748" spans="4:20" x14ac:dyDescent="0.2">
      <c r="D748" s="6"/>
      <c r="E748" s="6"/>
      <c r="F748" s="6"/>
      <c r="G748" s="19"/>
      <c r="H748" s="19"/>
      <c r="I748" s="19"/>
      <c r="J748" s="19"/>
      <c r="K748" s="6"/>
      <c r="L748" s="6"/>
      <c r="M748" s="6"/>
      <c r="N748" s="6"/>
      <c r="O748" s="6"/>
      <c r="P748" s="6"/>
      <c r="Q748" s="6"/>
      <c r="R748" s="6"/>
      <c r="S748" s="6"/>
      <c r="T748" s="6"/>
    </row>
    <row r="749" spans="4:20" x14ac:dyDescent="0.2">
      <c r="D749" s="6"/>
      <c r="E749" s="6"/>
      <c r="F749" s="6"/>
      <c r="G749" s="19"/>
      <c r="H749" s="19"/>
      <c r="I749" s="19"/>
      <c r="J749" s="19"/>
      <c r="K749" s="6"/>
      <c r="L749" s="6"/>
      <c r="M749" s="6"/>
      <c r="N749" s="6"/>
      <c r="O749" s="6"/>
      <c r="P749" s="6"/>
      <c r="Q749" s="6"/>
      <c r="R749" s="6"/>
      <c r="S749" s="6"/>
      <c r="T749" s="6"/>
    </row>
    <row r="750" spans="4:20" x14ac:dyDescent="0.2">
      <c r="D750" s="6"/>
      <c r="E750" s="6"/>
      <c r="F750" s="6"/>
      <c r="G750" s="19"/>
      <c r="H750" s="19"/>
      <c r="I750" s="19"/>
      <c r="J750" s="19"/>
      <c r="K750" s="6"/>
      <c r="L750" s="6"/>
      <c r="M750" s="6"/>
      <c r="N750" s="6"/>
      <c r="O750" s="6"/>
      <c r="P750" s="6"/>
      <c r="Q750" s="6"/>
      <c r="R750" s="6"/>
      <c r="S750" s="6"/>
      <c r="T750" s="6"/>
    </row>
    <row r="751" spans="4:20" x14ac:dyDescent="0.2">
      <c r="D751" s="6"/>
      <c r="E751" s="6"/>
      <c r="F751" s="6"/>
      <c r="G751" s="19"/>
      <c r="H751" s="19"/>
      <c r="I751" s="19"/>
      <c r="J751" s="19"/>
      <c r="K751" s="6"/>
      <c r="L751" s="6"/>
      <c r="M751" s="6"/>
      <c r="N751" s="6"/>
      <c r="O751" s="6"/>
      <c r="P751" s="6"/>
      <c r="Q751" s="6"/>
      <c r="R751" s="6"/>
      <c r="S751" s="6"/>
      <c r="T751" s="6"/>
    </row>
    <row r="752" spans="4:20" x14ac:dyDescent="0.2">
      <c r="D752" s="6"/>
      <c r="E752" s="6"/>
      <c r="F752" s="6"/>
      <c r="G752" s="19"/>
      <c r="H752" s="19"/>
      <c r="I752" s="19"/>
      <c r="J752" s="19"/>
      <c r="K752" s="6"/>
      <c r="L752" s="6"/>
      <c r="M752" s="6"/>
      <c r="N752" s="6"/>
      <c r="O752" s="6"/>
      <c r="P752" s="6"/>
      <c r="Q752" s="6"/>
      <c r="R752" s="6"/>
      <c r="S752" s="6"/>
      <c r="T752" s="6"/>
    </row>
    <row r="753" spans="4:20" x14ac:dyDescent="0.2">
      <c r="D753" s="6"/>
      <c r="E753" s="6"/>
      <c r="F753" s="6"/>
      <c r="G753" s="19"/>
      <c r="H753" s="19"/>
      <c r="I753" s="19"/>
      <c r="J753" s="19"/>
      <c r="K753" s="6"/>
      <c r="L753" s="6"/>
      <c r="M753" s="6"/>
      <c r="N753" s="6"/>
      <c r="O753" s="6"/>
      <c r="P753" s="6"/>
      <c r="Q753" s="6"/>
      <c r="R753" s="6"/>
      <c r="S753" s="6"/>
      <c r="T753" s="6"/>
    </row>
    <row r="754" spans="4:20" x14ac:dyDescent="0.2">
      <c r="D754" s="6"/>
      <c r="E754" s="6"/>
      <c r="F754" s="6"/>
      <c r="G754" s="19"/>
      <c r="H754" s="19"/>
      <c r="I754" s="19"/>
      <c r="J754" s="19"/>
      <c r="K754" s="6"/>
      <c r="L754" s="6"/>
      <c r="M754" s="6"/>
      <c r="N754" s="6"/>
      <c r="O754" s="6"/>
      <c r="P754" s="6"/>
      <c r="Q754" s="6"/>
      <c r="R754" s="6"/>
      <c r="S754" s="6"/>
      <c r="T754" s="6"/>
    </row>
    <row r="755" spans="4:20" x14ac:dyDescent="0.2">
      <c r="D755" s="6"/>
      <c r="E755" s="6"/>
      <c r="F755" s="6"/>
      <c r="G755" s="19"/>
      <c r="H755" s="19"/>
      <c r="I755" s="19"/>
      <c r="J755" s="19"/>
      <c r="K755" s="6"/>
      <c r="L755" s="6"/>
      <c r="M755" s="6"/>
      <c r="N755" s="6"/>
      <c r="O755" s="6"/>
      <c r="P755" s="6"/>
      <c r="Q755" s="6"/>
      <c r="R755" s="6"/>
      <c r="S755" s="6"/>
      <c r="T755" s="6"/>
    </row>
    <row r="756" spans="4:20" x14ac:dyDescent="0.2">
      <c r="D756" s="6"/>
      <c r="E756" s="6"/>
      <c r="F756" s="6"/>
      <c r="G756" s="19"/>
      <c r="H756" s="19"/>
      <c r="I756" s="19"/>
      <c r="J756" s="19"/>
      <c r="K756" s="6"/>
      <c r="L756" s="6"/>
      <c r="M756" s="6"/>
      <c r="N756" s="6"/>
      <c r="O756" s="6"/>
      <c r="P756" s="6"/>
      <c r="Q756" s="6"/>
      <c r="R756" s="6"/>
      <c r="S756" s="6"/>
      <c r="T756" s="6"/>
    </row>
    <row r="757" spans="4:20" x14ac:dyDescent="0.2">
      <c r="D757" s="6"/>
      <c r="E757" s="6"/>
      <c r="F757" s="6"/>
      <c r="G757" s="19"/>
      <c r="H757" s="19"/>
      <c r="I757" s="19"/>
      <c r="J757" s="19"/>
      <c r="K757" s="6"/>
      <c r="L757" s="6"/>
      <c r="M757" s="6"/>
      <c r="N757" s="6"/>
      <c r="O757" s="6"/>
      <c r="P757" s="6"/>
      <c r="Q757" s="6"/>
      <c r="R757" s="6"/>
      <c r="S757" s="6"/>
      <c r="T757" s="6"/>
    </row>
    <row r="758" spans="4:20" x14ac:dyDescent="0.2">
      <c r="D758" s="6"/>
      <c r="E758" s="6"/>
      <c r="F758" s="6"/>
      <c r="G758" s="19"/>
      <c r="H758" s="19"/>
      <c r="I758" s="19"/>
      <c r="J758" s="19"/>
      <c r="K758" s="6"/>
      <c r="L758" s="6"/>
      <c r="M758" s="6"/>
      <c r="N758" s="6"/>
      <c r="O758" s="6"/>
      <c r="P758" s="6"/>
      <c r="Q758" s="6"/>
      <c r="R758" s="6"/>
      <c r="S758" s="6"/>
      <c r="T758" s="6"/>
    </row>
    <row r="759" spans="4:20" x14ac:dyDescent="0.2">
      <c r="D759" s="6"/>
      <c r="E759" s="6"/>
      <c r="F759" s="6"/>
      <c r="G759" s="19"/>
      <c r="H759" s="19"/>
      <c r="I759" s="19"/>
      <c r="J759" s="19"/>
      <c r="K759" s="6"/>
      <c r="L759" s="6"/>
      <c r="M759" s="6"/>
      <c r="N759" s="6"/>
      <c r="O759" s="6"/>
      <c r="P759" s="6"/>
      <c r="Q759" s="6"/>
      <c r="R759" s="6"/>
      <c r="S759" s="6"/>
      <c r="T759" s="6"/>
    </row>
    <row r="760" spans="4:20" x14ac:dyDescent="0.2">
      <c r="D760" s="6"/>
      <c r="E760" s="6"/>
      <c r="F760" s="6"/>
      <c r="G760" s="19"/>
      <c r="H760" s="19"/>
      <c r="I760" s="19"/>
      <c r="J760" s="19"/>
      <c r="K760" s="6"/>
      <c r="L760" s="6"/>
      <c r="M760" s="6"/>
      <c r="N760" s="6"/>
      <c r="O760" s="6"/>
      <c r="P760" s="6"/>
      <c r="Q760" s="6"/>
      <c r="R760" s="6"/>
      <c r="S760" s="6"/>
      <c r="T760" s="6"/>
    </row>
    <row r="761" spans="4:20" x14ac:dyDescent="0.2">
      <c r="D761" s="6"/>
      <c r="E761" s="6"/>
      <c r="F761" s="6"/>
      <c r="G761" s="19"/>
      <c r="H761" s="19"/>
      <c r="I761" s="19"/>
      <c r="J761" s="19"/>
      <c r="K761" s="6"/>
      <c r="L761" s="6"/>
      <c r="M761" s="6"/>
      <c r="N761" s="6"/>
      <c r="O761" s="6"/>
      <c r="P761" s="6"/>
      <c r="Q761" s="6"/>
      <c r="R761" s="6"/>
      <c r="S761" s="6"/>
      <c r="T761" s="6"/>
    </row>
    <row r="762" spans="4:20" x14ac:dyDescent="0.2">
      <c r="D762" s="6"/>
      <c r="E762" s="6"/>
      <c r="F762" s="6"/>
      <c r="G762" s="19"/>
      <c r="H762" s="19"/>
      <c r="I762" s="19"/>
      <c r="J762" s="19"/>
      <c r="K762" s="6"/>
      <c r="L762" s="6"/>
      <c r="M762" s="6"/>
      <c r="N762" s="6"/>
      <c r="O762" s="6"/>
      <c r="P762" s="6"/>
      <c r="Q762" s="6"/>
      <c r="R762" s="6"/>
      <c r="S762" s="6"/>
      <c r="T762" s="6"/>
    </row>
    <row r="763" spans="4:20" x14ac:dyDescent="0.2">
      <c r="D763" s="6"/>
      <c r="E763" s="6"/>
      <c r="F763" s="6"/>
      <c r="G763" s="19"/>
      <c r="H763" s="19"/>
      <c r="I763" s="19"/>
      <c r="J763" s="19"/>
      <c r="K763" s="6"/>
      <c r="L763" s="6"/>
      <c r="M763" s="6"/>
      <c r="N763" s="6"/>
      <c r="O763" s="6"/>
      <c r="P763" s="6"/>
      <c r="Q763" s="6"/>
      <c r="R763" s="6"/>
      <c r="S763" s="6"/>
      <c r="T763" s="6"/>
    </row>
    <row r="764" spans="4:20" x14ac:dyDescent="0.2">
      <c r="D764" s="6"/>
      <c r="E764" s="6"/>
      <c r="F764" s="6"/>
      <c r="G764" s="19"/>
      <c r="H764" s="19"/>
      <c r="I764" s="19"/>
      <c r="J764" s="19"/>
      <c r="K764" s="6"/>
      <c r="L764" s="6"/>
      <c r="M764" s="6"/>
      <c r="N764" s="6"/>
      <c r="O764" s="6"/>
      <c r="P764" s="6"/>
      <c r="Q764" s="6"/>
      <c r="R764" s="6"/>
      <c r="S764" s="6"/>
      <c r="T764" s="6"/>
    </row>
    <row r="765" spans="4:20" x14ac:dyDescent="0.2">
      <c r="D765" s="6"/>
      <c r="E765" s="6"/>
      <c r="F765" s="6"/>
      <c r="G765" s="19"/>
      <c r="H765" s="19"/>
      <c r="I765" s="19"/>
      <c r="J765" s="19"/>
      <c r="K765" s="6"/>
      <c r="L765" s="6"/>
      <c r="M765" s="6"/>
      <c r="N765" s="6"/>
      <c r="O765" s="6"/>
      <c r="P765" s="6"/>
      <c r="Q765" s="6"/>
      <c r="R765" s="6"/>
      <c r="S765" s="6"/>
      <c r="T765" s="6"/>
    </row>
    <row r="766" spans="4:20" x14ac:dyDescent="0.2">
      <c r="D766" s="6"/>
      <c r="E766" s="6"/>
      <c r="F766" s="6"/>
      <c r="G766" s="19"/>
      <c r="H766" s="19"/>
      <c r="I766" s="19"/>
      <c r="J766" s="19"/>
      <c r="K766" s="6"/>
      <c r="L766" s="6"/>
      <c r="M766" s="6"/>
      <c r="N766" s="6"/>
      <c r="O766" s="6"/>
      <c r="P766" s="6"/>
      <c r="Q766" s="6"/>
      <c r="R766" s="6"/>
      <c r="S766" s="6"/>
      <c r="T766" s="6"/>
    </row>
    <row r="767" spans="4:20" x14ac:dyDescent="0.2">
      <c r="D767" s="6"/>
      <c r="E767" s="6"/>
      <c r="F767" s="6"/>
      <c r="G767" s="19"/>
      <c r="H767" s="19"/>
      <c r="I767" s="19"/>
      <c r="J767" s="19"/>
      <c r="K767" s="6"/>
      <c r="L767" s="6"/>
      <c r="M767" s="6"/>
      <c r="N767" s="6"/>
      <c r="O767" s="6"/>
      <c r="P767" s="6"/>
      <c r="Q767" s="6"/>
      <c r="R767" s="6"/>
      <c r="S767" s="6"/>
      <c r="T767" s="6"/>
    </row>
    <row r="768" spans="4:20" x14ac:dyDescent="0.2">
      <c r="D768" s="6"/>
      <c r="E768" s="6"/>
      <c r="F768" s="6"/>
      <c r="G768" s="19"/>
      <c r="H768" s="19"/>
      <c r="I768" s="19"/>
      <c r="J768" s="19"/>
      <c r="K768" s="6"/>
      <c r="L768" s="6"/>
      <c r="M768" s="6"/>
      <c r="N768" s="6"/>
      <c r="O768" s="6"/>
      <c r="P768" s="6"/>
      <c r="Q768" s="6"/>
      <c r="R768" s="6"/>
      <c r="S768" s="6"/>
      <c r="T768" s="6"/>
    </row>
    <row r="769" spans="4:20" x14ac:dyDescent="0.2">
      <c r="D769" s="6"/>
      <c r="E769" s="6"/>
      <c r="F769" s="6"/>
      <c r="G769" s="19"/>
      <c r="H769" s="19"/>
      <c r="I769" s="19"/>
      <c r="J769" s="19"/>
      <c r="K769" s="6"/>
      <c r="L769" s="6"/>
      <c r="M769" s="6"/>
      <c r="N769" s="6"/>
      <c r="O769" s="6"/>
      <c r="P769" s="6"/>
      <c r="Q769" s="6"/>
      <c r="R769" s="6"/>
      <c r="S769" s="6"/>
      <c r="T769" s="6"/>
    </row>
    <row r="770" spans="4:20" x14ac:dyDescent="0.2">
      <c r="D770" s="6"/>
      <c r="E770" s="6"/>
      <c r="F770" s="6"/>
      <c r="G770" s="19"/>
      <c r="H770" s="19"/>
      <c r="I770" s="19"/>
      <c r="J770" s="19"/>
      <c r="K770" s="6"/>
      <c r="L770" s="6"/>
      <c r="M770" s="6"/>
      <c r="N770" s="6"/>
      <c r="O770" s="6"/>
      <c r="P770" s="6"/>
      <c r="Q770" s="6"/>
      <c r="R770" s="6"/>
      <c r="S770" s="6"/>
      <c r="T770" s="6"/>
    </row>
    <row r="771" spans="4:20" x14ac:dyDescent="0.2">
      <c r="D771" s="6"/>
      <c r="E771" s="6"/>
      <c r="F771" s="6"/>
      <c r="G771" s="19"/>
      <c r="H771" s="19"/>
      <c r="I771" s="19"/>
      <c r="J771" s="19"/>
      <c r="K771" s="6"/>
      <c r="L771" s="6"/>
      <c r="M771" s="6"/>
      <c r="N771" s="6"/>
      <c r="O771" s="6"/>
      <c r="P771" s="6"/>
      <c r="Q771" s="6"/>
      <c r="R771" s="6"/>
      <c r="S771" s="6"/>
      <c r="T771" s="6"/>
    </row>
    <row r="772" spans="4:20" x14ac:dyDescent="0.2">
      <c r="D772" s="6"/>
      <c r="E772" s="6"/>
      <c r="F772" s="6"/>
      <c r="G772" s="19"/>
      <c r="H772" s="19"/>
      <c r="I772" s="19"/>
      <c r="J772" s="19"/>
      <c r="K772" s="6"/>
      <c r="L772" s="6"/>
      <c r="M772" s="6"/>
      <c r="N772" s="6"/>
      <c r="O772" s="6"/>
      <c r="P772" s="6"/>
      <c r="Q772" s="6"/>
      <c r="R772" s="6"/>
      <c r="S772" s="6"/>
      <c r="T772" s="6"/>
    </row>
    <row r="773" spans="4:20" x14ac:dyDescent="0.2">
      <c r="D773" s="6"/>
      <c r="E773" s="6"/>
      <c r="F773" s="6"/>
      <c r="G773" s="19"/>
      <c r="H773" s="19"/>
      <c r="I773" s="19"/>
      <c r="J773" s="19"/>
      <c r="K773" s="6"/>
      <c r="L773" s="6"/>
      <c r="M773" s="6"/>
      <c r="N773" s="6"/>
      <c r="O773" s="6"/>
      <c r="P773" s="6"/>
      <c r="Q773" s="6"/>
      <c r="R773" s="6"/>
      <c r="S773" s="6"/>
      <c r="T773" s="6"/>
    </row>
    <row r="774" spans="4:20" x14ac:dyDescent="0.2">
      <c r="D774" s="6"/>
      <c r="E774" s="6"/>
      <c r="F774" s="6"/>
      <c r="G774" s="19"/>
      <c r="H774" s="19"/>
      <c r="I774" s="19"/>
      <c r="J774" s="19"/>
      <c r="K774" s="6"/>
      <c r="L774" s="6"/>
      <c r="M774" s="6"/>
      <c r="N774" s="6"/>
      <c r="O774" s="6"/>
      <c r="P774" s="6"/>
      <c r="Q774" s="6"/>
      <c r="R774" s="6"/>
      <c r="S774" s="6"/>
      <c r="T774" s="6"/>
    </row>
    <row r="775" spans="4:20" x14ac:dyDescent="0.2">
      <c r="D775" s="6"/>
      <c r="E775" s="6"/>
      <c r="F775" s="6"/>
      <c r="G775" s="19"/>
      <c r="H775" s="19"/>
      <c r="I775" s="19"/>
      <c r="J775" s="19"/>
      <c r="K775" s="6"/>
      <c r="L775" s="6"/>
      <c r="M775" s="6"/>
      <c r="N775" s="6"/>
      <c r="O775" s="6"/>
      <c r="P775" s="6"/>
      <c r="Q775" s="6"/>
      <c r="R775" s="6"/>
      <c r="S775" s="6"/>
      <c r="T775" s="6"/>
    </row>
    <row r="776" spans="4:20" x14ac:dyDescent="0.2">
      <c r="D776" s="6"/>
      <c r="E776" s="6"/>
      <c r="F776" s="6"/>
      <c r="G776" s="19"/>
      <c r="H776" s="19"/>
      <c r="I776" s="19"/>
      <c r="J776" s="19"/>
      <c r="K776" s="6"/>
      <c r="L776" s="6"/>
      <c r="M776" s="6"/>
      <c r="N776" s="6"/>
      <c r="O776" s="6"/>
      <c r="P776" s="6"/>
      <c r="Q776" s="6"/>
      <c r="R776" s="6"/>
      <c r="S776" s="6"/>
      <c r="T776" s="6"/>
    </row>
    <row r="777" spans="4:20" x14ac:dyDescent="0.2">
      <c r="D777" s="6"/>
      <c r="E777" s="6"/>
      <c r="F777" s="6"/>
      <c r="G777" s="19"/>
      <c r="H777" s="19"/>
      <c r="I777" s="19"/>
      <c r="J777" s="19"/>
      <c r="K777" s="6"/>
      <c r="L777" s="6"/>
      <c r="M777" s="6"/>
      <c r="N777" s="6"/>
      <c r="O777" s="6"/>
      <c r="P777" s="6"/>
      <c r="Q777" s="6"/>
      <c r="R777" s="6"/>
      <c r="S777" s="6"/>
      <c r="T777" s="6"/>
    </row>
    <row r="778" spans="4:20" x14ac:dyDescent="0.2">
      <c r="D778" s="6"/>
      <c r="E778" s="6"/>
      <c r="F778" s="6"/>
      <c r="G778" s="19"/>
      <c r="H778" s="19"/>
      <c r="I778" s="19"/>
      <c r="J778" s="19"/>
      <c r="K778" s="6"/>
      <c r="L778" s="6"/>
      <c r="M778" s="6"/>
      <c r="N778" s="6"/>
      <c r="O778" s="6"/>
      <c r="P778" s="6"/>
      <c r="Q778" s="6"/>
      <c r="R778" s="6"/>
      <c r="S778" s="6"/>
      <c r="T778" s="6"/>
    </row>
    <row r="779" spans="4:20" x14ac:dyDescent="0.2">
      <c r="D779" s="6"/>
      <c r="E779" s="6"/>
      <c r="F779" s="6"/>
      <c r="G779" s="19"/>
      <c r="H779" s="19"/>
      <c r="I779" s="19"/>
      <c r="J779" s="19"/>
      <c r="K779" s="6"/>
      <c r="L779" s="6"/>
      <c r="M779" s="6"/>
      <c r="N779" s="6"/>
      <c r="O779" s="6"/>
      <c r="P779" s="6"/>
      <c r="Q779" s="6"/>
      <c r="R779" s="6"/>
      <c r="S779" s="6"/>
      <c r="T779" s="6"/>
    </row>
    <row r="780" spans="4:20" x14ac:dyDescent="0.2">
      <c r="D780" s="6"/>
      <c r="E780" s="6"/>
      <c r="F780" s="6"/>
      <c r="G780" s="19"/>
      <c r="H780" s="19"/>
      <c r="I780" s="19"/>
      <c r="J780" s="19"/>
      <c r="K780" s="6"/>
      <c r="L780" s="6"/>
      <c r="M780" s="6"/>
      <c r="N780" s="6"/>
      <c r="O780" s="6"/>
      <c r="P780" s="6"/>
      <c r="Q780" s="6"/>
      <c r="R780" s="6"/>
      <c r="S780" s="6"/>
      <c r="T780" s="6"/>
    </row>
    <row r="781" spans="4:20" x14ac:dyDescent="0.2">
      <c r="D781" s="6"/>
      <c r="E781" s="6"/>
      <c r="F781" s="6"/>
      <c r="G781" s="19"/>
      <c r="H781" s="19"/>
      <c r="I781" s="19"/>
      <c r="J781" s="19"/>
      <c r="K781" s="6"/>
      <c r="L781" s="6"/>
      <c r="M781" s="6"/>
      <c r="N781" s="6"/>
      <c r="O781" s="6"/>
      <c r="P781" s="6"/>
      <c r="Q781" s="6"/>
      <c r="R781" s="6"/>
      <c r="S781" s="6"/>
      <c r="T781" s="6"/>
    </row>
    <row r="782" spans="4:20" x14ac:dyDescent="0.2">
      <c r="D782" s="6"/>
      <c r="E782" s="6"/>
      <c r="F782" s="6"/>
      <c r="G782" s="19"/>
      <c r="H782" s="19"/>
      <c r="I782" s="19"/>
      <c r="J782" s="19"/>
      <c r="K782" s="6"/>
      <c r="L782" s="6"/>
      <c r="M782" s="6"/>
      <c r="N782" s="6"/>
      <c r="O782" s="6"/>
      <c r="P782" s="6"/>
      <c r="Q782" s="6"/>
      <c r="R782" s="6"/>
      <c r="S782" s="6"/>
      <c r="T782" s="6"/>
    </row>
    <row r="783" spans="4:20" x14ac:dyDescent="0.2">
      <c r="D783" s="6"/>
      <c r="E783" s="6"/>
      <c r="F783" s="6"/>
      <c r="G783" s="19"/>
      <c r="H783" s="19"/>
      <c r="I783" s="19"/>
      <c r="J783" s="19"/>
      <c r="K783" s="6"/>
      <c r="L783" s="6"/>
      <c r="M783" s="6"/>
      <c r="N783" s="6"/>
      <c r="O783" s="6"/>
      <c r="P783" s="6"/>
      <c r="Q783" s="6"/>
      <c r="R783" s="6"/>
      <c r="S783" s="6"/>
      <c r="T783" s="6"/>
    </row>
    <row r="784" spans="4:20" x14ac:dyDescent="0.2">
      <c r="D784" s="6"/>
      <c r="E784" s="6"/>
      <c r="F784" s="6"/>
      <c r="G784" s="19"/>
      <c r="H784" s="19"/>
      <c r="I784" s="19"/>
      <c r="J784" s="19"/>
      <c r="K784" s="6"/>
      <c r="L784" s="6"/>
      <c r="M784" s="6"/>
      <c r="N784" s="6"/>
      <c r="O784" s="6"/>
      <c r="P784" s="6"/>
      <c r="Q784" s="6"/>
      <c r="R784" s="6"/>
      <c r="S784" s="6"/>
      <c r="T784" s="6"/>
    </row>
    <row r="785" spans="4:20" x14ac:dyDescent="0.2">
      <c r="D785" s="6"/>
      <c r="E785" s="6"/>
      <c r="F785" s="6"/>
      <c r="G785" s="19"/>
      <c r="H785" s="19"/>
      <c r="I785" s="19"/>
      <c r="J785" s="19"/>
      <c r="K785" s="6"/>
      <c r="L785" s="6"/>
      <c r="M785" s="6"/>
      <c r="N785" s="6"/>
      <c r="O785" s="6"/>
      <c r="P785" s="6"/>
      <c r="Q785" s="6"/>
      <c r="R785" s="6"/>
      <c r="S785" s="6"/>
      <c r="T785" s="6"/>
    </row>
    <row r="786" spans="4:20" x14ac:dyDescent="0.2">
      <c r="D786" s="6"/>
      <c r="E786" s="6"/>
      <c r="F786" s="6"/>
      <c r="G786" s="19"/>
      <c r="H786" s="19"/>
      <c r="I786" s="19"/>
      <c r="J786" s="19"/>
      <c r="K786" s="6"/>
      <c r="L786" s="6"/>
      <c r="M786" s="6"/>
      <c r="N786" s="6"/>
      <c r="O786" s="6"/>
      <c r="P786" s="6"/>
      <c r="Q786" s="6"/>
      <c r="R786" s="6"/>
      <c r="S786" s="6"/>
      <c r="T786" s="6"/>
    </row>
    <row r="787" spans="4:20" x14ac:dyDescent="0.2">
      <c r="D787" s="6"/>
      <c r="E787" s="6"/>
      <c r="F787" s="6"/>
      <c r="G787" s="19"/>
      <c r="H787" s="19"/>
      <c r="I787" s="19"/>
      <c r="J787" s="19"/>
      <c r="K787" s="6"/>
      <c r="L787" s="6"/>
      <c r="M787" s="6"/>
      <c r="N787" s="6"/>
      <c r="O787" s="6"/>
      <c r="P787" s="6"/>
      <c r="Q787" s="6"/>
      <c r="R787" s="6"/>
      <c r="S787" s="6"/>
      <c r="T787" s="6"/>
    </row>
    <row r="788" spans="4:20" x14ac:dyDescent="0.2">
      <c r="D788" s="6"/>
      <c r="E788" s="6"/>
      <c r="F788" s="6"/>
      <c r="G788" s="19"/>
      <c r="H788" s="19"/>
      <c r="I788" s="19"/>
      <c r="J788" s="19"/>
      <c r="K788" s="6"/>
      <c r="L788" s="6"/>
      <c r="M788" s="6"/>
      <c r="N788" s="6"/>
      <c r="O788" s="6"/>
      <c r="P788" s="6"/>
      <c r="Q788" s="6"/>
      <c r="R788" s="6"/>
      <c r="S788" s="6"/>
      <c r="T788" s="6"/>
    </row>
    <row r="789" spans="4:20" x14ac:dyDescent="0.2">
      <c r="D789" s="6"/>
      <c r="E789" s="6"/>
      <c r="F789" s="6"/>
      <c r="G789" s="19"/>
      <c r="H789" s="19"/>
      <c r="I789" s="19"/>
      <c r="J789" s="19"/>
      <c r="K789" s="6"/>
      <c r="L789" s="6"/>
      <c r="M789" s="6"/>
      <c r="N789" s="6"/>
      <c r="O789" s="6"/>
      <c r="P789" s="6"/>
      <c r="Q789" s="6"/>
      <c r="R789" s="6"/>
      <c r="S789" s="6"/>
      <c r="T789" s="6"/>
    </row>
    <row r="790" spans="4:20" x14ac:dyDescent="0.2">
      <c r="D790" s="6"/>
      <c r="E790" s="6"/>
      <c r="F790" s="6"/>
      <c r="G790" s="19"/>
      <c r="H790" s="19"/>
      <c r="I790" s="19"/>
      <c r="J790" s="19"/>
      <c r="K790" s="6"/>
      <c r="L790" s="6"/>
      <c r="M790" s="6"/>
      <c r="N790" s="6"/>
      <c r="O790" s="6"/>
      <c r="P790" s="6"/>
      <c r="Q790" s="6"/>
      <c r="R790" s="6"/>
      <c r="S790" s="6"/>
      <c r="T790" s="6"/>
    </row>
    <row r="791" spans="4:20" x14ac:dyDescent="0.2">
      <c r="D791" s="6"/>
      <c r="E791" s="6"/>
      <c r="F791" s="6"/>
      <c r="G791" s="19"/>
      <c r="H791" s="19"/>
      <c r="I791" s="19"/>
      <c r="J791" s="19"/>
      <c r="K791" s="6"/>
      <c r="L791" s="6"/>
      <c r="M791" s="6"/>
      <c r="N791" s="6"/>
      <c r="O791" s="6"/>
      <c r="P791" s="6"/>
      <c r="Q791" s="6"/>
      <c r="R791" s="6"/>
      <c r="S791" s="6"/>
      <c r="T791" s="6"/>
    </row>
    <row r="792" spans="4:20" x14ac:dyDescent="0.2">
      <c r="D792" s="6"/>
      <c r="E792" s="6"/>
      <c r="F792" s="6"/>
      <c r="G792" s="19"/>
      <c r="H792" s="19"/>
      <c r="I792" s="19"/>
      <c r="J792" s="19"/>
      <c r="K792" s="6"/>
      <c r="L792" s="6"/>
      <c r="M792" s="6"/>
      <c r="N792" s="6"/>
      <c r="O792" s="6"/>
      <c r="P792" s="6"/>
      <c r="Q792" s="6"/>
      <c r="R792" s="6"/>
      <c r="S792" s="6"/>
      <c r="T792" s="6"/>
    </row>
    <row r="793" spans="4:20" x14ac:dyDescent="0.2">
      <c r="D793" s="6"/>
      <c r="E793" s="6"/>
      <c r="F793" s="6"/>
      <c r="G793" s="19"/>
      <c r="H793" s="19"/>
      <c r="I793" s="19"/>
      <c r="J793" s="19"/>
      <c r="K793" s="6"/>
      <c r="L793" s="6"/>
      <c r="M793" s="6"/>
      <c r="N793" s="6"/>
      <c r="O793" s="6"/>
      <c r="P793" s="6"/>
      <c r="Q793" s="6"/>
      <c r="R793" s="6"/>
      <c r="S793" s="6"/>
      <c r="T793" s="6"/>
    </row>
    <row r="794" spans="4:20" x14ac:dyDescent="0.2">
      <c r="D794" s="6"/>
      <c r="E794" s="6"/>
      <c r="F794" s="6"/>
      <c r="G794" s="19"/>
      <c r="H794" s="19"/>
      <c r="I794" s="19"/>
      <c r="J794" s="19"/>
      <c r="K794" s="6"/>
      <c r="L794" s="6"/>
      <c r="M794" s="6"/>
      <c r="N794" s="6"/>
      <c r="O794" s="6"/>
      <c r="P794" s="6"/>
      <c r="Q794" s="6"/>
      <c r="R794" s="6"/>
      <c r="S794" s="6"/>
      <c r="T794" s="6"/>
    </row>
    <row r="795" spans="4:20" x14ac:dyDescent="0.2">
      <c r="D795" s="6"/>
      <c r="E795" s="6"/>
      <c r="F795" s="6"/>
      <c r="G795" s="19"/>
      <c r="H795" s="19"/>
      <c r="I795" s="19"/>
      <c r="J795" s="19"/>
      <c r="K795" s="6"/>
      <c r="L795" s="6"/>
      <c r="M795" s="6"/>
      <c r="N795" s="6"/>
      <c r="O795" s="6"/>
      <c r="P795" s="6"/>
      <c r="Q795" s="6"/>
      <c r="R795" s="6"/>
      <c r="S795" s="6"/>
      <c r="T795" s="6"/>
    </row>
    <row r="796" spans="4:20" x14ac:dyDescent="0.2">
      <c r="D796" s="6"/>
      <c r="E796" s="6"/>
      <c r="F796" s="6"/>
      <c r="G796" s="19"/>
      <c r="H796" s="19"/>
      <c r="I796" s="19"/>
      <c r="J796" s="19"/>
      <c r="K796" s="6"/>
      <c r="L796" s="6"/>
      <c r="M796" s="6"/>
      <c r="N796" s="6"/>
      <c r="O796" s="6"/>
      <c r="P796" s="6"/>
      <c r="Q796" s="6"/>
      <c r="R796" s="6"/>
      <c r="S796" s="6"/>
      <c r="T796" s="6"/>
    </row>
    <row r="797" spans="4:20" x14ac:dyDescent="0.2">
      <c r="D797" s="6"/>
      <c r="E797" s="6"/>
      <c r="F797" s="6"/>
      <c r="G797" s="19"/>
      <c r="H797" s="19"/>
      <c r="I797" s="19"/>
      <c r="J797" s="19"/>
      <c r="K797" s="6"/>
      <c r="L797" s="6"/>
      <c r="M797" s="6"/>
      <c r="N797" s="6"/>
      <c r="O797" s="6"/>
      <c r="P797" s="6"/>
      <c r="Q797" s="6"/>
      <c r="R797" s="6"/>
      <c r="S797" s="6"/>
      <c r="T797" s="6"/>
    </row>
    <row r="798" spans="4:20" x14ac:dyDescent="0.2">
      <c r="D798" s="6"/>
      <c r="E798" s="6"/>
      <c r="F798" s="6"/>
      <c r="G798" s="19"/>
      <c r="H798" s="19"/>
      <c r="I798" s="19"/>
      <c r="J798" s="19"/>
      <c r="K798" s="6"/>
      <c r="L798" s="6"/>
      <c r="M798" s="6"/>
      <c r="N798" s="6"/>
      <c r="O798" s="6"/>
      <c r="P798" s="6"/>
      <c r="Q798" s="6"/>
      <c r="R798" s="6"/>
      <c r="S798" s="6"/>
      <c r="T798" s="6"/>
    </row>
    <row r="799" spans="4:20" x14ac:dyDescent="0.2">
      <c r="D799" s="6"/>
      <c r="E799" s="6"/>
      <c r="F799" s="6"/>
      <c r="G799" s="19"/>
      <c r="H799" s="19"/>
      <c r="I799" s="19"/>
      <c r="J799" s="19"/>
      <c r="K799" s="6"/>
      <c r="L799" s="6"/>
      <c r="M799" s="6"/>
      <c r="N799" s="6"/>
      <c r="O799" s="6"/>
      <c r="P799" s="6"/>
      <c r="Q799" s="6"/>
      <c r="R799" s="6"/>
      <c r="S799" s="6"/>
      <c r="T799" s="6"/>
    </row>
    <row r="800" spans="4:20" x14ac:dyDescent="0.2">
      <c r="D800" s="6"/>
      <c r="E800" s="6"/>
      <c r="F800" s="6"/>
      <c r="G800" s="19"/>
      <c r="H800" s="19"/>
      <c r="I800" s="19"/>
      <c r="J800" s="19"/>
      <c r="K800" s="6"/>
      <c r="L800" s="6"/>
      <c r="M800" s="6"/>
      <c r="N800" s="6"/>
      <c r="O800" s="6"/>
      <c r="P800" s="6"/>
      <c r="Q800" s="6"/>
      <c r="R800" s="6"/>
      <c r="S800" s="6"/>
      <c r="T800" s="6"/>
    </row>
    <row r="801" spans="4:20" x14ac:dyDescent="0.2">
      <c r="D801" s="6"/>
      <c r="E801" s="6"/>
      <c r="F801" s="6"/>
      <c r="G801" s="19"/>
      <c r="H801" s="19"/>
      <c r="I801" s="19"/>
      <c r="J801" s="19"/>
      <c r="K801" s="6"/>
      <c r="L801" s="6"/>
      <c r="M801" s="6"/>
      <c r="N801" s="6"/>
      <c r="O801" s="6"/>
      <c r="P801" s="6"/>
      <c r="Q801" s="6"/>
      <c r="R801" s="6"/>
      <c r="S801" s="6"/>
      <c r="T801" s="6"/>
    </row>
    <row r="802" spans="4:20" x14ac:dyDescent="0.2">
      <c r="D802" s="6"/>
      <c r="E802" s="6"/>
      <c r="F802" s="6"/>
      <c r="G802" s="19"/>
      <c r="H802" s="19"/>
      <c r="I802" s="19"/>
      <c r="J802" s="19"/>
      <c r="K802" s="6"/>
      <c r="L802" s="6"/>
      <c r="M802" s="6"/>
      <c r="N802" s="6"/>
      <c r="O802" s="6"/>
      <c r="P802" s="6"/>
      <c r="Q802" s="6"/>
      <c r="R802" s="6"/>
      <c r="S802" s="6"/>
      <c r="T802" s="6"/>
    </row>
    <row r="803" spans="4:20" x14ac:dyDescent="0.2">
      <c r="D803" s="6"/>
      <c r="E803" s="6"/>
      <c r="F803" s="6"/>
      <c r="G803" s="19"/>
      <c r="H803" s="19"/>
      <c r="I803" s="19"/>
      <c r="J803" s="19"/>
      <c r="K803" s="6"/>
      <c r="L803" s="6"/>
      <c r="M803" s="6"/>
      <c r="N803" s="6"/>
      <c r="O803" s="6"/>
      <c r="P803" s="6"/>
      <c r="Q803" s="6"/>
      <c r="R803" s="6"/>
      <c r="S803" s="6"/>
      <c r="T803" s="6"/>
    </row>
    <row r="804" spans="4:20" x14ac:dyDescent="0.2">
      <c r="D804" s="6"/>
      <c r="E804" s="6"/>
      <c r="F804" s="6"/>
      <c r="G804" s="19"/>
      <c r="H804" s="19"/>
      <c r="I804" s="19"/>
      <c r="J804" s="19"/>
      <c r="K804" s="6"/>
      <c r="L804" s="6"/>
      <c r="M804" s="6"/>
      <c r="N804" s="6"/>
      <c r="O804" s="6"/>
      <c r="P804" s="6"/>
      <c r="Q804" s="6"/>
      <c r="R804" s="6"/>
      <c r="S804" s="6"/>
      <c r="T804" s="6"/>
    </row>
    <row r="805" spans="4:20" x14ac:dyDescent="0.2">
      <c r="D805" s="6"/>
      <c r="E805" s="6"/>
      <c r="F805" s="6"/>
      <c r="G805" s="19"/>
      <c r="H805" s="19"/>
      <c r="I805" s="19"/>
      <c r="J805" s="19"/>
      <c r="K805" s="6"/>
      <c r="L805" s="6"/>
      <c r="M805" s="6"/>
      <c r="N805" s="6"/>
      <c r="O805" s="6"/>
      <c r="P805" s="6"/>
      <c r="Q805" s="6"/>
      <c r="R805" s="6"/>
      <c r="S805" s="6"/>
      <c r="T805" s="6"/>
    </row>
    <row r="806" spans="4:20" x14ac:dyDescent="0.2">
      <c r="D806" s="6"/>
      <c r="E806" s="6"/>
      <c r="F806" s="6"/>
      <c r="G806" s="19"/>
      <c r="H806" s="19"/>
      <c r="I806" s="19"/>
      <c r="J806" s="19"/>
      <c r="K806" s="6"/>
      <c r="L806" s="6"/>
      <c r="M806" s="6"/>
      <c r="N806" s="6"/>
      <c r="O806" s="6"/>
      <c r="P806" s="6"/>
      <c r="Q806" s="6"/>
      <c r="R806" s="6"/>
      <c r="S806" s="6"/>
      <c r="T806" s="6"/>
    </row>
    <row r="807" spans="4:20" x14ac:dyDescent="0.2">
      <c r="D807" s="6"/>
      <c r="E807" s="6"/>
      <c r="F807" s="6"/>
      <c r="G807" s="19"/>
      <c r="H807" s="19"/>
      <c r="I807" s="19"/>
      <c r="J807" s="19"/>
      <c r="K807" s="6"/>
      <c r="L807" s="6"/>
      <c r="M807" s="6"/>
      <c r="N807" s="6"/>
      <c r="O807" s="6"/>
      <c r="P807" s="6"/>
      <c r="Q807" s="6"/>
      <c r="R807" s="6"/>
      <c r="S807" s="6"/>
      <c r="T807" s="6"/>
    </row>
    <row r="808" spans="4:20" x14ac:dyDescent="0.2">
      <c r="D808" s="6"/>
      <c r="E808" s="6"/>
      <c r="F808" s="6"/>
      <c r="G808" s="19"/>
      <c r="H808" s="19"/>
      <c r="I808" s="19"/>
      <c r="J808" s="19"/>
      <c r="K808" s="6"/>
      <c r="L808" s="6"/>
      <c r="M808" s="6"/>
      <c r="N808" s="6"/>
      <c r="O808" s="6"/>
      <c r="P808" s="6"/>
      <c r="Q808" s="6"/>
      <c r="R808" s="6"/>
      <c r="S808" s="6"/>
      <c r="T808" s="6"/>
    </row>
    <row r="809" spans="4:20" x14ac:dyDescent="0.2">
      <c r="D809" s="6"/>
      <c r="E809" s="6"/>
      <c r="F809" s="6"/>
      <c r="G809" s="19"/>
      <c r="H809" s="19"/>
      <c r="I809" s="19"/>
      <c r="J809" s="19"/>
      <c r="K809" s="6"/>
      <c r="L809" s="6"/>
      <c r="M809" s="6"/>
      <c r="N809" s="6"/>
      <c r="O809" s="6"/>
      <c r="P809" s="6"/>
      <c r="Q809" s="6"/>
      <c r="R809" s="6"/>
      <c r="S809" s="6"/>
      <c r="T809" s="6"/>
    </row>
    <row r="810" spans="4:20" x14ac:dyDescent="0.2">
      <c r="D810" s="6"/>
      <c r="E810" s="6"/>
      <c r="F810" s="6"/>
      <c r="G810" s="19"/>
      <c r="H810" s="19"/>
      <c r="I810" s="19"/>
      <c r="J810" s="19"/>
      <c r="K810" s="6"/>
      <c r="L810" s="6"/>
      <c r="M810" s="6"/>
      <c r="N810" s="6"/>
      <c r="O810" s="6"/>
      <c r="P810" s="6"/>
      <c r="Q810" s="6"/>
      <c r="R810" s="6"/>
      <c r="S810" s="6"/>
      <c r="T810" s="6"/>
    </row>
    <row r="811" spans="4:20" x14ac:dyDescent="0.2">
      <c r="D811" s="6"/>
      <c r="E811" s="6"/>
      <c r="F811" s="6"/>
      <c r="G811" s="19"/>
      <c r="H811" s="19"/>
      <c r="I811" s="19"/>
      <c r="J811" s="19"/>
      <c r="K811" s="6"/>
      <c r="L811" s="6"/>
      <c r="M811" s="6"/>
      <c r="N811" s="6"/>
      <c r="O811" s="6"/>
      <c r="P811" s="6"/>
      <c r="Q811" s="6"/>
      <c r="R811" s="6"/>
      <c r="S811" s="6"/>
      <c r="T811" s="6"/>
    </row>
    <row r="812" spans="4:20" x14ac:dyDescent="0.2">
      <c r="D812" s="6"/>
      <c r="E812" s="6"/>
      <c r="F812" s="6"/>
      <c r="G812" s="19"/>
      <c r="H812" s="19"/>
      <c r="I812" s="19"/>
      <c r="J812" s="19"/>
      <c r="K812" s="6"/>
      <c r="L812" s="6"/>
      <c r="M812" s="6"/>
      <c r="N812" s="6"/>
      <c r="O812" s="6"/>
      <c r="P812" s="6"/>
      <c r="Q812" s="6"/>
      <c r="R812" s="6"/>
      <c r="S812" s="6"/>
      <c r="T812" s="6"/>
    </row>
    <row r="813" spans="4:20" x14ac:dyDescent="0.2">
      <c r="D813" s="6"/>
      <c r="E813" s="6"/>
      <c r="F813" s="6"/>
      <c r="G813" s="19"/>
      <c r="H813" s="19"/>
      <c r="I813" s="19"/>
      <c r="J813" s="19"/>
      <c r="K813" s="6"/>
      <c r="L813" s="6"/>
      <c r="M813" s="6"/>
      <c r="N813" s="6"/>
      <c r="O813" s="6"/>
      <c r="P813" s="6"/>
      <c r="Q813" s="6"/>
      <c r="R813" s="6"/>
      <c r="S813" s="6"/>
      <c r="T813" s="6"/>
    </row>
    <row r="814" spans="4:20" x14ac:dyDescent="0.2">
      <c r="D814" s="6"/>
      <c r="E814" s="6"/>
      <c r="F814" s="6"/>
      <c r="G814" s="19"/>
      <c r="H814" s="19"/>
      <c r="I814" s="19"/>
      <c r="J814" s="19"/>
      <c r="K814" s="6"/>
      <c r="L814" s="6"/>
      <c r="M814" s="6"/>
      <c r="N814" s="6"/>
      <c r="O814" s="6"/>
      <c r="P814" s="6"/>
      <c r="Q814" s="6"/>
      <c r="R814" s="6"/>
      <c r="S814" s="6"/>
      <c r="T814" s="6"/>
    </row>
    <row r="815" spans="4:20" x14ac:dyDescent="0.2">
      <c r="D815" s="6"/>
      <c r="E815" s="6"/>
      <c r="F815" s="6"/>
      <c r="G815" s="19"/>
      <c r="H815" s="19"/>
      <c r="I815" s="19"/>
      <c r="J815" s="19"/>
      <c r="K815" s="6"/>
      <c r="L815" s="6"/>
      <c r="M815" s="6"/>
      <c r="N815" s="6"/>
      <c r="O815" s="6"/>
      <c r="P815" s="6"/>
      <c r="Q815" s="6"/>
      <c r="R815" s="6"/>
      <c r="S815" s="6"/>
      <c r="T815" s="6"/>
    </row>
    <row r="816" spans="4:20" x14ac:dyDescent="0.2">
      <c r="D816" s="6"/>
      <c r="E816" s="6"/>
      <c r="F816" s="6"/>
      <c r="G816" s="19"/>
      <c r="H816" s="19"/>
      <c r="I816" s="19"/>
      <c r="J816" s="19"/>
      <c r="K816" s="6"/>
      <c r="L816" s="6"/>
      <c r="M816" s="6"/>
      <c r="N816" s="6"/>
      <c r="O816" s="6"/>
      <c r="P816" s="6"/>
      <c r="Q816" s="6"/>
      <c r="R816" s="6"/>
      <c r="S816" s="6"/>
      <c r="T816" s="6"/>
    </row>
    <row r="817" spans="4:20" x14ac:dyDescent="0.2">
      <c r="D817" s="6"/>
      <c r="E817" s="6"/>
      <c r="F817" s="6"/>
      <c r="G817" s="19"/>
      <c r="H817" s="19"/>
      <c r="I817" s="19"/>
      <c r="J817" s="19"/>
      <c r="K817" s="6"/>
      <c r="L817" s="6"/>
      <c r="M817" s="6"/>
      <c r="N817" s="6"/>
      <c r="O817" s="6"/>
      <c r="P817" s="6"/>
      <c r="Q817" s="6"/>
      <c r="R817" s="6"/>
      <c r="S817" s="6"/>
      <c r="T817" s="6"/>
    </row>
    <row r="818" spans="4:20" x14ac:dyDescent="0.2">
      <c r="D818" s="6"/>
      <c r="E818" s="6"/>
      <c r="F818" s="6"/>
      <c r="G818" s="19"/>
      <c r="H818" s="19"/>
      <c r="I818" s="19"/>
      <c r="J818" s="19"/>
      <c r="K818" s="6"/>
      <c r="L818" s="6"/>
      <c r="M818" s="6"/>
      <c r="N818" s="6"/>
      <c r="O818" s="6"/>
      <c r="P818" s="6"/>
      <c r="Q818" s="6"/>
      <c r="R818" s="6"/>
      <c r="S818" s="6"/>
      <c r="T818" s="6"/>
    </row>
    <row r="819" spans="4:20" x14ac:dyDescent="0.2">
      <c r="D819" s="6"/>
      <c r="E819" s="6"/>
      <c r="F819" s="6"/>
      <c r="G819" s="19"/>
      <c r="H819" s="19"/>
      <c r="I819" s="19"/>
      <c r="J819" s="19"/>
      <c r="K819" s="6"/>
      <c r="L819" s="6"/>
      <c r="M819" s="6"/>
      <c r="N819" s="6"/>
      <c r="O819" s="6"/>
      <c r="P819" s="6"/>
      <c r="Q819" s="6"/>
      <c r="R819" s="6"/>
      <c r="S819" s="6"/>
      <c r="T819" s="6"/>
    </row>
    <row r="820" spans="4:20" x14ac:dyDescent="0.2">
      <c r="D820" s="6"/>
      <c r="E820" s="6"/>
      <c r="F820" s="6"/>
      <c r="G820" s="19"/>
      <c r="H820" s="19"/>
      <c r="I820" s="19"/>
      <c r="J820" s="19"/>
      <c r="K820" s="6"/>
      <c r="L820" s="6"/>
      <c r="M820" s="6"/>
      <c r="N820" s="6"/>
      <c r="O820" s="6"/>
      <c r="P820" s="6"/>
      <c r="Q820" s="6"/>
      <c r="R820" s="6"/>
      <c r="S820" s="6"/>
      <c r="T820" s="6"/>
    </row>
    <row r="821" spans="4:20" x14ac:dyDescent="0.2">
      <c r="D821" s="6"/>
      <c r="E821" s="6"/>
      <c r="F821" s="6"/>
      <c r="G821" s="19"/>
      <c r="H821" s="19"/>
      <c r="I821" s="19"/>
      <c r="J821" s="19"/>
      <c r="K821" s="6"/>
      <c r="L821" s="6"/>
      <c r="M821" s="6"/>
      <c r="N821" s="6"/>
      <c r="O821" s="6"/>
      <c r="P821" s="6"/>
      <c r="Q821" s="6"/>
      <c r="R821" s="6"/>
      <c r="S821" s="6"/>
      <c r="T821" s="6"/>
    </row>
    <row r="822" spans="4:20" x14ac:dyDescent="0.2">
      <c r="D822" s="6"/>
      <c r="E822" s="6"/>
      <c r="F822" s="6"/>
      <c r="G822" s="19"/>
      <c r="H822" s="19"/>
      <c r="I822" s="19"/>
      <c r="J822" s="19"/>
      <c r="K822" s="6"/>
      <c r="L822" s="6"/>
      <c r="M822" s="6"/>
      <c r="N822" s="6"/>
      <c r="O822" s="6"/>
      <c r="P822" s="6"/>
      <c r="Q822" s="6"/>
      <c r="R822" s="6"/>
      <c r="S822" s="6"/>
      <c r="T822" s="6"/>
    </row>
    <row r="823" spans="4:20" x14ac:dyDescent="0.2">
      <c r="D823" s="6"/>
      <c r="E823" s="6"/>
      <c r="F823" s="6"/>
      <c r="G823" s="19"/>
      <c r="H823" s="19"/>
      <c r="I823" s="19"/>
      <c r="J823" s="19"/>
      <c r="K823" s="6"/>
      <c r="L823" s="6"/>
      <c r="M823" s="6"/>
      <c r="N823" s="6"/>
      <c r="O823" s="6"/>
      <c r="P823" s="6"/>
      <c r="Q823" s="6"/>
      <c r="R823" s="6"/>
      <c r="S823" s="6"/>
      <c r="T823" s="6"/>
    </row>
    <row r="824" spans="4:20" x14ac:dyDescent="0.2">
      <c r="D824" s="6"/>
      <c r="E824" s="6"/>
      <c r="F824" s="6"/>
      <c r="G824" s="19"/>
      <c r="H824" s="19"/>
      <c r="I824" s="19"/>
      <c r="J824" s="19"/>
      <c r="K824" s="6"/>
      <c r="L824" s="6"/>
      <c r="M824" s="6"/>
      <c r="N824" s="6"/>
      <c r="O824" s="6"/>
      <c r="P824" s="6"/>
      <c r="Q824" s="6"/>
      <c r="R824" s="6"/>
      <c r="S824" s="6"/>
      <c r="T824" s="6"/>
    </row>
    <row r="825" spans="4:20" x14ac:dyDescent="0.2">
      <c r="D825" s="6"/>
      <c r="E825" s="6"/>
      <c r="F825" s="6"/>
      <c r="G825" s="19"/>
      <c r="H825" s="19"/>
      <c r="I825" s="19"/>
      <c r="J825" s="19"/>
      <c r="K825" s="6"/>
      <c r="L825" s="6"/>
      <c r="M825" s="6"/>
      <c r="N825" s="6"/>
      <c r="O825" s="6"/>
      <c r="P825" s="6"/>
      <c r="Q825" s="6"/>
      <c r="R825" s="6"/>
      <c r="S825" s="6"/>
      <c r="T825" s="6"/>
    </row>
    <row r="826" spans="4:20" x14ac:dyDescent="0.2">
      <c r="D826" s="6"/>
      <c r="E826" s="6"/>
      <c r="F826" s="6"/>
      <c r="G826" s="19"/>
      <c r="H826" s="19"/>
      <c r="I826" s="19"/>
      <c r="J826" s="19"/>
      <c r="K826" s="6"/>
      <c r="L826" s="6"/>
      <c r="M826" s="6"/>
      <c r="N826" s="6"/>
      <c r="O826" s="6"/>
      <c r="P826" s="6"/>
      <c r="Q826" s="6"/>
      <c r="R826" s="6"/>
      <c r="S826" s="6"/>
      <c r="T826" s="6"/>
    </row>
    <row r="827" spans="4:20" x14ac:dyDescent="0.2">
      <c r="D827" s="6"/>
      <c r="E827" s="6"/>
      <c r="F827" s="6"/>
      <c r="G827" s="19"/>
      <c r="H827" s="19"/>
      <c r="I827" s="19"/>
      <c r="J827" s="19"/>
      <c r="K827" s="6"/>
      <c r="L827" s="6"/>
      <c r="M827" s="6"/>
      <c r="N827" s="6"/>
      <c r="O827" s="6"/>
      <c r="P827" s="6"/>
      <c r="Q827" s="6"/>
      <c r="R827" s="6"/>
      <c r="S827" s="6"/>
      <c r="T827" s="6"/>
    </row>
    <row r="828" spans="4:20" x14ac:dyDescent="0.2">
      <c r="D828" s="6"/>
      <c r="E828" s="6"/>
      <c r="F828" s="6"/>
      <c r="G828" s="19"/>
      <c r="H828" s="19"/>
      <c r="I828" s="19"/>
      <c r="J828" s="19"/>
      <c r="K828" s="6"/>
      <c r="L828" s="6"/>
      <c r="M828" s="6"/>
      <c r="N828" s="6"/>
      <c r="O828" s="6"/>
      <c r="P828" s="6"/>
      <c r="Q828" s="6"/>
      <c r="R828" s="6"/>
      <c r="S828" s="6"/>
      <c r="T828" s="6"/>
    </row>
    <row r="829" spans="4:20" x14ac:dyDescent="0.2">
      <c r="D829" s="6"/>
      <c r="E829" s="6"/>
      <c r="F829" s="6"/>
      <c r="G829" s="19"/>
      <c r="H829" s="19"/>
      <c r="I829" s="19"/>
      <c r="J829" s="19"/>
      <c r="K829" s="6"/>
      <c r="L829" s="6"/>
      <c r="M829" s="6"/>
      <c r="N829" s="6"/>
      <c r="O829" s="6"/>
      <c r="P829" s="6"/>
      <c r="Q829" s="6"/>
      <c r="R829" s="6"/>
      <c r="S829" s="6"/>
      <c r="T829" s="6"/>
    </row>
    <row r="830" spans="4:20" x14ac:dyDescent="0.2">
      <c r="D830" s="6"/>
      <c r="E830" s="6"/>
      <c r="F830" s="6"/>
      <c r="G830" s="19"/>
      <c r="H830" s="19"/>
      <c r="I830" s="19"/>
      <c r="J830" s="19"/>
      <c r="K830" s="6"/>
      <c r="L830" s="6"/>
      <c r="M830" s="6"/>
      <c r="N830" s="6"/>
      <c r="O830" s="6"/>
      <c r="P830" s="6"/>
      <c r="Q830" s="6"/>
      <c r="R830" s="6"/>
      <c r="S830" s="6"/>
      <c r="T830" s="6"/>
    </row>
    <row r="831" spans="4:20" x14ac:dyDescent="0.2">
      <c r="D831" s="6"/>
      <c r="E831" s="6"/>
      <c r="F831" s="6"/>
      <c r="G831" s="19"/>
      <c r="H831" s="19"/>
      <c r="I831" s="19"/>
      <c r="J831" s="19"/>
      <c r="K831" s="6"/>
      <c r="L831" s="6"/>
      <c r="M831" s="6"/>
      <c r="N831" s="6"/>
      <c r="O831" s="6"/>
      <c r="P831" s="6"/>
      <c r="Q831" s="6"/>
      <c r="R831" s="6"/>
      <c r="S831" s="6"/>
      <c r="T831" s="6"/>
    </row>
    <row r="832" spans="4:20" x14ac:dyDescent="0.2">
      <c r="D832" s="6"/>
      <c r="E832" s="6"/>
      <c r="F832" s="6"/>
      <c r="G832" s="19"/>
      <c r="H832" s="19"/>
      <c r="I832" s="19"/>
      <c r="J832" s="19"/>
      <c r="K832" s="6"/>
      <c r="L832" s="6"/>
      <c r="M832" s="6"/>
      <c r="N832" s="6"/>
      <c r="O832" s="6"/>
      <c r="P832" s="6"/>
      <c r="Q832" s="6"/>
      <c r="R832" s="6"/>
      <c r="S832" s="6"/>
      <c r="T832" s="6"/>
    </row>
    <row r="833" spans="4:20" x14ac:dyDescent="0.2">
      <c r="D833" s="6"/>
      <c r="E833" s="6"/>
      <c r="F833" s="6"/>
      <c r="G833" s="19"/>
      <c r="H833" s="19"/>
      <c r="I833" s="19"/>
      <c r="J833" s="19"/>
      <c r="K833" s="6"/>
      <c r="L833" s="6"/>
      <c r="M833" s="6"/>
      <c r="N833" s="6"/>
      <c r="O833" s="6"/>
      <c r="P833" s="6"/>
      <c r="Q833" s="6"/>
      <c r="R833" s="6"/>
      <c r="S833" s="6"/>
      <c r="T833" s="6"/>
    </row>
    <row r="834" spans="4:20" x14ac:dyDescent="0.2">
      <c r="D834" s="6"/>
      <c r="E834" s="6"/>
      <c r="F834" s="6"/>
      <c r="G834" s="19"/>
      <c r="H834" s="19"/>
      <c r="I834" s="19"/>
      <c r="J834" s="19"/>
      <c r="K834" s="6"/>
      <c r="L834" s="6"/>
      <c r="M834" s="6"/>
      <c r="N834" s="6"/>
      <c r="O834" s="6"/>
      <c r="P834" s="6"/>
      <c r="Q834" s="6"/>
      <c r="R834" s="6"/>
      <c r="S834" s="6"/>
      <c r="T834" s="6"/>
    </row>
    <row r="835" spans="4:20" x14ac:dyDescent="0.2">
      <c r="D835" s="6"/>
      <c r="E835" s="6"/>
      <c r="F835" s="6"/>
      <c r="G835" s="19"/>
      <c r="H835" s="19"/>
      <c r="I835" s="19"/>
      <c r="J835" s="19"/>
      <c r="K835" s="6"/>
      <c r="L835" s="6"/>
      <c r="M835" s="6"/>
      <c r="N835" s="6"/>
      <c r="O835" s="6"/>
      <c r="P835" s="6"/>
      <c r="Q835" s="6"/>
      <c r="R835" s="6"/>
      <c r="S835" s="6"/>
      <c r="T835" s="6"/>
    </row>
    <row r="836" spans="4:20" x14ac:dyDescent="0.2">
      <c r="D836" s="6"/>
      <c r="E836" s="6"/>
      <c r="F836" s="6"/>
      <c r="G836" s="19"/>
      <c r="H836" s="19"/>
      <c r="I836" s="19"/>
      <c r="J836" s="19"/>
      <c r="K836" s="6"/>
      <c r="L836" s="6"/>
      <c r="M836" s="6"/>
      <c r="N836" s="6"/>
      <c r="O836" s="6"/>
      <c r="P836" s="6"/>
      <c r="Q836" s="6"/>
      <c r="R836" s="6"/>
      <c r="S836" s="6"/>
      <c r="T836" s="6"/>
    </row>
    <row r="837" spans="4:20" x14ac:dyDescent="0.2">
      <c r="D837" s="6"/>
      <c r="E837" s="6"/>
      <c r="F837" s="6"/>
      <c r="G837" s="19"/>
      <c r="H837" s="19"/>
      <c r="I837" s="19"/>
      <c r="J837" s="19"/>
      <c r="K837" s="6"/>
      <c r="L837" s="6"/>
      <c r="M837" s="6"/>
      <c r="N837" s="6"/>
      <c r="O837" s="6"/>
      <c r="P837" s="6"/>
      <c r="Q837" s="6"/>
      <c r="R837" s="6"/>
      <c r="S837" s="6"/>
      <c r="T837" s="6"/>
    </row>
    <row r="838" spans="4:20" x14ac:dyDescent="0.2">
      <c r="D838" s="6"/>
      <c r="E838" s="6"/>
      <c r="F838" s="6"/>
      <c r="G838" s="19"/>
      <c r="H838" s="19"/>
      <c r="I838" s="19"/>
      <c r="J838" s="19"/>
      <c r="K838" s="6"/>
      <c r="L838" s="6"/>
      <c r="M838" s="6"/>
      <c r="N838" s="6"/>
      <c r="O838" s="6"/>
      <c r="P838" s="6"/>
      <c r="Q838" s="6"/>
      <c r="R838" s="6"/>
      <c r="S838" s="6"/>
      <c r="T838" s="6"/>
    </row>
    <row r="839" spans="4:20" x14ac:dyDescent="0.2">
      <c r="D839" s="6"/>
      <c r="E839" s="6"/>
      <c r="F839" s="6"/>
      <c r="G839" s="19"/>
      <c r="H839" s="19"/>
      <c r="I839" s="19"/>
      <c r="J839" s="19"/>
      <c r="K839" s="6"/>
      <c r="L839" s="6"/>
      <c r="M839" s="6"/>
      <c r="N839" s="6"/>
      <c r="O839" s="6"/>
      <c r="P839" s="6"/>
      <c r="Q839" s="6"/>
      <c r="R839" s="6"/>
      <c r="S839" s="6"/>
      <c r="T839" s="6"/>
    </row>
    <row r="840" spans="4:20" x14ac:dyDescent="0.2">
      <c r="D840" s="6"/>
      <c r="E840" s="6"/>
      <c r="F840" s="6"/>
      <c r="G840" s="19"/>
      <c r="H840" s="19"/>
      <c r="I840" s="19"/>
      <c r="J840" s="19"/>
      <c r="K840" s="6"/>
      <c r="L840" s="6"/>
      <c r="M840" s="6"/>
      <c r="N840" s="6"/>
      <c r="O840" s="6"/>
      <c r="P840" s="6"/>
      <c r="Q840" s="6"/>
      <c r="R840" s="6"/>
      <c r="S840" s="6"/>
      <c r="T840" s="6"/>
    </row>
    <row r="841" spans="4:20" x14ac:dyDescent="0.2">
      <c r="D841" s="6"/>
      <c r="E841" s="6"/>
      <c r="F841" s="6"/>
      <c r="G841" s="19"/>
      <c r="H841" s="19"/>
      <c r="I841" s="19"/>
      <c r="J841" s="19"/>
      <c r="K841" s="6"/>
      <c r="L841" s="6"/>
      <c r="M841" s="6"/>
      <c r="N841" s="6"/>
      <c r="O841" s="6"/>
      <c r="P841" s="6"/>
      <c r="Q841" s="6"/>
      <c r="R841" s="6"/>
      <c r="S841" s="6"/>
      <c r="T841" s="6"/>
    </row>
    <row r="842" spans="4:20" x14ac:dyDescent="0.2">
      <c r="D842" s="6"/>
      <c r="E842" s="6"/>
      <c r="F842" s="6"/>
      <c r="G842" s="19"/>
      <c r="H842" s="19"/>
      <c r="I842" s="19"/>
      <c r="J842" s="19"/>
      <c r="K842" s="6"/>
      <c r="L842" s="6"/>
      <c r="M842" s="6"/>
      <c r="N842" s="6"/>
      <c r="O842" s="6"/>
      <c r="P842" s="6"/>
      <c r="Q842" s="6"/>
      <c r="R842" s="6"/>
      <c r="S842" s="6"/>
      <c r="T842" s="6"/>
    </row>
    <row r="843" spans="4:20" x14ac:dyDescent="0.2">
      <c r="D843" s="6"/>
      <c r="E843" s="6"/>
      <c r="F843" s="6"/>
      <c r="G843" s="19"/>
      <c r="H843" s="19"/>
      <c r="I843" s="19"/>
      <c r="J843" s="19"/>
      <c r="K843" s="6"/>
      <c r="L843" s="6"/>
      <c r="M843" s="6"/>
      <c r="N843" s="6"/>
      <c r="O843" s="6"/>
      <c r="P843" s="6"/>
      <c r="Q843" s="6"/>
      <c r="R843" s="6"/>
      <c r="S843" s="6"/>
      <c r="T843" s="6"/>
    </row>
    <row r="844" spans="4:20" x14ac:dyDescent="0.2">
      <c r="D844" s="6"/>
      <c r="E844" s="6"/>
      <c r="F844" s="6"/>
      <c r="G844" s="19"/>
      <c r="H844" s="19"/>
      <c r="I844" s="19"/>
      <c r="J844" s="19"/>
      <c r="K844" s="6"/>
      <c r="L844" s="6"/>
      <c r="M844" s="6"/>
      <c r="N844" s="6"/>
      <c r="O844" s="6"/>
      <c r="P844" s="6"/>
      <c r="Q844" s="6"/>
      <c r="R844" s="6"/>
      <c r="S844" s="6"/>
      <c r="T844" s="6"/>
    </row>
    <row r="845" spans="4:20" x14ac:dyDescent="0.2">
      <c r="D845" s="6"/>
      <c r="E845" s="6"/>
      <c r="F845" s="6"/>
      <c r="G845" s="19"/>
      <c r="H845" s="19"/>
      <c r="I845" s="19"/>
      <c r="J845" s="19"/>
      <c r="K845" s="6"/>
      <c r="L845" s="6"/>
      <c r="M845" s="6"/>
      <c r="N845" s="6"/>
      <c r="O845" s="6"/>
      <c r="P845" s="6"/>
      <c r="Q845" s="6"/>
      <c r="R845" s="6"/>
      <c r="S845" s="6"/>
      <c r="T845" s="6"/>
    </row>
    <row r="846" spans="4:20" x14ac:dyDescent="0.2">
      <c r="D846" s="6"/>
      <c r="E846" s="6"/>
      <c r="F846" s="6"/>
      <c r="G846" s="19"/>
      <c r="H846" s="19"/>
      <c r="I846" s="19"/>
      <c r="J846" s="19"/>
      <c r="K846" s="6"/>
      <c r="L846" s="6"/>
      <c r="M846" s="6"/>
      <c r="N846" s="6"/>
      <c r="O846" s="6"/>
      <c r="P846" s="6"/>
      <c r="Q846" s="6"/>
      <c r="R846" s="6"/>
      <c r="S846" s="6"/>
      <c r="T846" s="6"/>
    </row>
    <row r="847" spans="4:20" x14ac:dyDescent="0.2">
      <c r="D847" s="6"/>
      <c r="E847" s="6"/>
      <c r="F847" s="6"/>
      <c r="G847" s="19"/>
      <c r="H847" s="19"/>
      <c r="I847" s="19"/>
      <c r="J847" s="19"/>
      <c r="K847" s="6"/>
      <c r="L847" s="6"/>
      <c r="M847" s="6"/>
      <c r="N847" s="6"/>
      <c r="O847" s="6"/>
      <c r="P847" s="6"/>
      <c r="Q847" s="6"/>
      <c r="R847" s="6"/>
      <c r="S847" s="6"/>
      <c r="T847" s="6"/>
    </row>
    <row r="848" spans="4:20" x14ac:dyDescent="0.2">
      <c r="D848" s="6"/>
      <c r="E848" s="6"/>
      <c r="F848" s="6"/>
      <c r="G848" s="19"/>
      <c r="H848" s="19"/>
      <c r="I848" s="19"/>
      <c r="J848" s="19"/>
      <c r="K848" s="6"/>
      <c r="L848" s="6"/>
      <c r="M848" s="6"/>
      <c r="N848" s="6"/>
      <c r="O848" s="6"/>
      <c r="P848" s="6"/>
      <c r="Q848" s="6"/>
      <c r="R848" s="6"/>
      <c r="S848" s="6"/>
      <c r="T848" s="6"/>
    </row>
    <row r="849" spans="4:20" x14ac:dyDescent="0.2">
      <c r="D849" s="6"/>
      <c r="E849" s="6"/>
      <c r="F849" s="6"/>
      <c r="G849" s="19"/>
      <c r="H849" s="19"/>
      <c r="I849" s="19"/>
      <c r="J849" s="19"/>
      <c r="K849" s="6"/>
      <c r="L849" s="6"/>
      <c r="M849" s="6"/>
      <c r="N849" s="6"/>
      <c r="O849" s="6"/>
      <c r="P849" s="6"/>
      <c r="Q849" s="6"/>
      <c r="R849" s="6"/>
      <c r="S849" s="6"/>
      <c r="T849" s="6"/>
    </row>
    <row r="850" spans="4:20" x14ac:dyDescent="0.2">
      <c r="D850" s="6"/>
      <c r="E850" s="6"/>
      <c r="F850" s="6"/>
      <c r="G850" s="19"/>
      <c r="H850" s="19"/>
      <c r="I850" s="19"/>
      <c r="J850" s="19"/>
      <c r="K850" s="6"/>
      <c r="L850" s="6"/>
      <c r="M850" s="6"/>
      <c r="N850" s="6"/>
      <c r="O850" s="6"/>
      <c r="P850" s="6"/>
      <c r="Q850" s="6"/>
      <c r="R850" s="6"/>
      <c r="S850" s="6"/>
      <c r="T850" s="6"/>
    </row>
    <row r="851" spans="4:20" x14ac:dyDescent="0.2">
      <c r="D851" s="6"/>
      <c r="E851" s="6"/>
      <c r="F851" s="6"/>
      <c r="G851" s="19"/>
      <c r="H851" s="19"/>
      <c r="I851" s="19"/>
      <c r="J851" s="19"/>
      <c r="K851" s="6"/>
      <c r="L851" s="6"/>
      <c r="M851" s="6"/>
      <c r="N851" s="6"/>
      <c r="O851" s="6"/>
      <c r="P851" s="6"/>
      <c r="Q851" s="6"/>
      <c r="R851" s="6"/>
      <c r="S851" s="6"/>
      <c r="T851" s="6"/>
    </row>
    <row r="852" spans="4:20" x14ac:dyDescent="0.2">
      <c r="D852" s="6"/>
      <c r="E852" s="6"/>
      <c r="F852" s="6"/>
      <c r="G852" s="19"/>
      <c r="H852" s="19"/>
      <c r="I852" s="19"/>
      <c r="J852" s="19"/>
      <c r="K852" s="6"/>
      <c r="L852" s="6"/>
      <c r="M852" s="6"/>
      <c r="N852" s="6"/>
      <c r="O852" s="6"/>
      <c r="P852" s="6"/>
      <c r="Q852" s="6"/>
      <c r="R852" s="6"/>
      <c r="S852" s="6"/>
      <c r="T852" s="6"/>
    </row>
    <row r="853" spans="4:20" x14ac:dyDescent="0.2">
      <c r="D853" s="6"/>
      <c r="E853" s="6"/>
      <c r="F853" s="6"/>
      <c r="G853" s="19"/>
      <c r="H853" s="19"/>
      <c r="I853" s="19"/>
      <c r="J853" s="19"/>
      <c r="K853" s="6"/>
      <c r="L853" s="6"/>
      <c r="M853" s="6"/>
      <c r="N853" s="6"/>
      <c r="O853" s="6"/>
      <c r="P853" s="6"/>
      <c r="Q853" s="6"/>
      <c r="R853" s="6"/>
      <c r="S853" s="6"/>
      <c r="T853" s="6"/>
    </row>
    <row r="854" spans="4:20" x14ac:dyDescent="0.2">
      <c r="D854" s="6"/>
      <c r="E854" s="6"/>
      <c r="F854" s="6"/>
      <c r="G854" s="19"/>
      <c r="H854" s="19"/>
      <c r="I854" s="19"/>
      <c r="J854" s="19"/>
      <c r="K854" s="6"/>
      <c r="L854" s="6"/>
      <c r="M854" s="6"/>
      <c r="N854" s="6"/>
      <c r="O854" s="6"/>
      <c r="P854" s="6"/>
      <c r="Q854" s="6"/>
      <c r="R854" s="6"/>
      <c r="S854" s="6"/>
      <c r="T854" s="6"/>
    </row>
    <row r="855" spans="4:20" x14ac:dyDescent="0.2">
      <c r="D855" s="6"/>
      <c r="E855" s="6"/>
      <c r="F855" s="6"/>
      <c r="G855" s="19"/>
      <c r="H855" s="19"/>
      <c r="I855" s="19"/>
      <c r="J855" s="19"/>
      <c r="K855" s="6"/>
      <c r="L855" s="6"/>
      <c r="M855" s="6"/>
      <c r="N855" s="6"/>
      <c r="O855" s="6"/>
      <c r="P855" s="6"/>
      <c r="Q855" s="6"/>
      <c r="R855" s="6"/>
      <c r="S855" s="6"/>
      <c r="T855" s="6"/>
    </row>
    <row r="856" spans="4:20" x14ac:dyDescent="0.2">
      <c r="D856" s="6"/>
      <c r="E856" s="6"/>
      <c r="F856" s="6"/>
      <c r="G856" s="19"/>
      <c r="H856" s="19"/>
      <c r="I856" s="19"/>
      <c r="J856" s="19"/>
      <c r="K856" s="6"/>
      <c r="L856" s="6"/>
      <c r="M856" s="6"/>
      <c r="N856" s="6"/>
      <c r="O856" s="6"/>
      <c r="P856" s="6"/>
      <c r="Q856" s="6"/>
      <c r="R856" s="6"/>
      <c r="S856" s="6"/>
      <c r="T856" s="6"/>
    </row>
    <row r="857" spans="4:20" x14ac:dyDescent="0.2">
      <c r="D857" s="6"/>
      <c r="E857" s="6"/>
      <c r="F857" s="6"/>
      <c r="G857" s="19"/>
      <c r="H857" s="19"/>
      <c r="I857" s="19"/>
      <c r="J857" s="19"/>
      <c r="K857" s="6"/>
      <c r="L857" s="6"/>
      <c r="M857" s="6"/>
      <c r="N857" s="6"/>
      <c r="O857" s="6"/>
      <c r="P857" s="6"/>
      <c r="Q857" s="6"/>
      <c r="R857" s="6"/>
      <c r="S857" s="6"/>
      <c r="T857" s="6"/>
    </row>
    <row r="858" spans="4:20" x14ac:dyDescent="0.2">
      <c r="D858" s="6"/>
      <c r="E858" s="6"/>
      <c r="F858" s="6"/>
      <c r="G858" s="19"/>
      <c r="H858" s="19"/>
      <c r="I858" s="19"/>
      <c r="J858" s="19"/>
      <c r="K858" s="6"/>
      <c r="L858" s="6"/>
      <c r="M858" s="6"/>
      <c r="N858" s="6"/>
      <c r="O858" s="6"/>
      <c r="P858" s="6"/>
      <c r="Q858" s="6"/>
      <c r="R858" s="6"/>
      <c r="S858" s="6"/>
      <c r="T858" s="6"/>
    </row>
    <row r="859" spans="4:20" x14ac:dyDescent="0.2">
      <c r="D859" s="6"/>
      <c r="E859" s="6"/>
      <c r="F859" s="6"/>
      <c r="G859" s="19"/>
      <c r="H859" s="19"/>
      <c r="I859" s="19"/>
      <c r="J859" s="19"/>
      <c r="K859" s="6"/>
      <c r="L859" s="6"/>
      <c r="M859" s="6"/>
      <c r="N859" s="6"/>
      <c r="O859" s="6"/>
      <c r="P859" s="6"/>
      <c r="Q859" s="6"/>
      <c r="R859" s="6"/>
      <c r="S859" s="6"/>
      <c r="T859" s="6"/>
    </row>
    <row r="860" spans="4:20" x14ac:dyDescent="0.2">
      <c r="D860" s="6"/>
      <c r="E860" s="6"/>
      <c r="F860" s="6"/>
      <c r="G860" s="19"/>
      <c r="H860" s="19"/>
      <c r="I860" s="19"/>
      <c r="J860" s="19"/>
      <c r="K860" s="6"/>
      <c r="L860" s="6"/>
      <c r="M860" s="6"/>
      <c r="N860" s="6"/>
      <c r="O860" s="6"/>
      <c r="P860" s="6"/>
      <c r="Q860" s="6"/>
      <c r="R860" s="6"/>
      <c r="S860" s="6"/>
      <c r="T860" s="6"/>
    </row>
    <row r="861" spans="4:20" x14ac:dyDescent="0.2">
      <c r="D861" s="6"/>
      <c r="E861" s="6"/>
      <c r="F861" s="6"/>
      <c r="G861" s="19"/>
      <c r="H861" s="19"/>
      <c r="I861" s="19"/>
      <c r="J861" s="19"/>
      <c r="K861" s="6"/>
      <c r="L861" s="6"/>
      <c r="M861" s="6"/>
      <c r="N861" s="6"/>
      <c r="O861" s="6"/>
      <c r="P861" s="6"/>
      <c r="Q861" s="6"/>
      <c r="R861" s="6"/>
      <c r="S861" s="6"/>
      <c r="T861" s="6"/>
    </row>
    <row r="862" spans="4:20" x14ac:dyDescent="0.2">
      <c r="D862" s="6"/>
      <c r="E862" s="6"/>
      <c r="F862" s="6"/>
      <c r="G862" s="19"/>
      <c r="H862" s="19"/>
      <c r="I862" s="19"/>
      <c r="J862" s="19"/>
      <c r="K862" s="6"/>
      <c r="L862" s="6"/>
      <c r="M862" s="6"/>
      <c r="N862" s="6"/>
      <c r="O862" s="6"/>
      <c r="P862" s="6"/>
      <c r="Q862" s="6"/>
      <c r="R862" s="6"/>
      <c r="S862" s="6"/>
      <c r="T862" s="6"/>
    </row>
    <row r="863" spans="4:20" x14ac:dyDescent="0.2">
      <c r="D863" s="6"/>
      <c r="E863" s="6"/>
      <c r="F863" s="6"/>
      <c r="G863" s="19"/>
      <c r="H863" s="19"/>
      <c r="I863" s="19"/>
      <c r="J863" s="19"/>
      <c r="K863" s="6"/>
      <c r="L863" s="6"/>
      <c r="M863" s="6"/>
      <c r="N863" s="6"/>
      <c r="O863" s="6"/>
      <c r="P863" s="6"/>
      <c r="Q863" s="6"/>
      <c r="R863" s="6"/>
      <c r="S863" s="6"/>
      <c r="T863" s="6"/>
    </row>
    <row r="864" spans="4:20" x14ac:dyDescent="0.2">
      <c r="D864" s="6"/>
      <c r="E864" s="6"/>
      <c r="F864" s="6"/>
      <c r="G864" s="19"/>
      <c r="H864" s="19"/>
      <c r="I864" s="19"/>
      <c r="J864" s="19"/>
      <c r="K864" s="6"/>
      <c r="L864" s="6"/>
      <c r="M864" s="6"/>
      <c r="N864" s="6"/>
      <c r="O864" s="6"/>
      <c r="P864" s="6"/>
      <c r="Q864" s="6"/>
      <c r="R864" s="6"/>
      <c r="S864" s="6"/>
      <c r="T864" s="6"/>
    </row>
    <row r="865" spans="4:20" x14ac:dyDescent="0.2">
      <c r="D865" s="6"/>
      <c r="E865" s="6"/>
      <c r="F865" s="6"/>
      <c r="G865" s="19"/>
      <c r="H865" s="19"/>
      <c r="I865" s="19"/>
      <c r="J865" s="19"/>
      <c r="K865" s="6"/>
      <c r="L865" s="6"/>
      <c r="M865" s="6"/>
      <c r="N865" s="6"/>
      <c r="O865" s="6"/>
      <c r="P865" s="6"/>
      <c r="Q865" s="6"/>
      <c r="R865" s="6"/>
      <c r="S865" s="6"/>
      <c r="T865" s="6"/>
    </row>
    <row r="866" spans="4:20" x14ac:dyDescent="0.2">
      <c r="D866" s="6"/>
      <c r="E866" s="6"/>
      <c r="F866" s="6"/>
      <c r="G866" s="19"/>
      <c r="H866" s="19"/>
      <c r="I866" s="19"/>
      <c r="J866" s="19"/>
      <c r="K866" s="6"/>
      <c r="L866" s="6"/>
      <c r="M866" s="6"/>
      <c r="N866" s="6"/>
      <c r="O866" s="6"/>
      <c r="P866" s="6"/>
      <c r="Q866" s="6"/>
      <c r="R866" s="6"/>
      <c r="S866" s="6"/>
      <c r="T866" s="6"/>
    </row>
    <row r="867" spans="4:20" x14ac:dyDescent="0.2">
      <c r="D867" s="6"/>
      <c r="E867" s="6"/>
      <c r="F867" s="6"/>
      <c r="G867" s="19"/>
      <c r="H867" s="19"/>
      <c r="I867" s="19"/>
      <c r="J867" s="19"/>
      <c r="K867" s="6"/>
      <c r="L867" s="6"/>
      <c r="M867" s="6"/>
      <c r="N867" s="6"/>
      <c r="O867" s="6"/>
      <c r="P867" s="6"/>
      <c r="Q867" s="6"/>
      <c r="R867" s="6"/>
      <c r="S867" s="6"/>
      <c r="T867" s="6"/>
    </row>
    <row r="868" spans="4:20" x14ac:dyDescent="0.2">
      <c r="D868" s="6"/>
      <c r="E868" s="6"/>
      <c r="F868" s="6"/>
      <c r="G868" s="19"/>
      <c r="H868" s="19"/>
      <c r="I868" s="19"/>
      <c r="J868" s="19"/>
      <c r="K868" s="6"/>
      <c r="L868" s="6"/>
      <c r="M868" s="6"/>
      <c r="N868" s="6"/>
      <c r="O868" s="6"/>
      <c r="P868" s="6"/>
      <c r="Q868" s="6"/>
      <c r="R868" s="6"/>
      <c r="S868" s="6"/>
      <c r="T868" s="6"/>
    </row>
    <row r="869" spans="4:20" x14ac:dyDescent="0.2">
      <c r="D869" s="6"/>
      <c r="E869" s="6"/>
      <c r="F869" s="6"/>
      <c r="G869" s="19"/>
      <c r="H869" s="19"/>
      <c r="I869" s="19"/>
      <c r="J869" s="19"/>
      <c r="K869" s="6"/>
      <c r="L869" s="6"/>
      <c r="M869" s="6"/>
      <c r="N869" s="6"/>
      <c r="O869" s="6"/>
      <c r="P869" s="6"/>
      <c r="Q869" s="6"/>
      <c r="R869" s="6"/>
      <c r="S869" s="6"/>
      <c r="T869" s="6"/>
    </row>
    <row r="870" spans="4:20" x14ac:dyDescent="0.2">
      <c r="D870" s="6"/>
      <c r="E870" s="6"/>
      <c r="F870" s="6"/>
      <c r="G870" s="19"/>
      <c r="H870" s="19"/>
      <c r="I870" s="19"/>
      <c r="J870" s="19"/>
      <c r="K870" s="6"/>
      <c r="L870" s="6"/>
      <c r="M870" s="6"/>
      <c r="N870" s="6"/>
      <c r="O870" s="6"/>
      <c r="P870" s="6"/>
      <c r="Q870" s="6"/>
      <c r="R870" s="6"/>
      <c r="S870" s="6"/>
      <c r="T870" s="6"/>
    </row>
    <row r="871" spans="4:20" x14ac:dyDescent="0.2">
      <c r="D871" s="6"/>
      <c r="E871" s="6"/>
      <c r="F871" s="6"/>
      <c r="G871" s="19"/>
      <c r="H871" s="19"/>
      <c r="I871" s="19"/>
      <c r="J871" s="19"/>
      <c r="K871" s="6"/>
      <c r="L871" s="6"/>
      <c r="M871" s="6"/>
      <c r="N871" s="6"/>
      <c r="O871" s="6"/>
      <c r="P871" s="6"/>
      <c r="Q871" s="6"/>
      <c r="R871" s="6"/>
      <c r="S871" s="6"/>
      <c r="T871" s="6"/>
    </row>
    <row r="872" spans="4:20" x14ac:dyDescent="0.2">
      <c r="D872" s="6"/>
      <c r="E872" s="6"/>
      <c r="F872" s="6"/>
      <c r="G872" s="19"/>
      <c r="H872" s="19"/>
      <c r="I872" s="19"/>
      <c r="J872" s="19"/>
      <c r="K872" s="6"/>
      <c r="L872" s="6"/>
      <c r="M872" s="6"/>
      <c r="N872" s="6"/>
      <c r="O872" s="6"/>
      <c r="P872" s="6"/>
      <c r="Q872" s="6"/>
      <c r="R872" s="6"/>
      <c r="S872" s="6"/>
      <c r="T872" s="6"/>
    </row>
    <row r="873" spans="4:20" x14ac:dyDescent="0.2">
      <c r="D873" s="6"/>
      <c r="E873" s="6"/>
      <c r="F873" s="6"/>
      <c r="G873" s="19"/>
      <c r="H873" s="19"/>
      <c r="I873" s="19"/>
      <c r="J873" s="19"/>
      <c r="K873" s="6"/>
      <c r="L873" s="6"/>
      <c r="M873" s="6"/>
      <c r="N873" s="6"/>
      <c r="O873" s="6"/>
      <c r="P873" s="6"/>
      <c r="Q873" s="6"/>
      <c r="R873" s="6"/>
      <c r="S873" s="6"/>
      <c r="T873" s="6"/>
    </row>
    <row r="874" spans="4:20" x14ac:dyDescent="0.2">
      <c r="D874" s="6"/>
      <c r="E874" s="6"/>
      <c r="F874" s="6"/>
      <c r="G874" s="19"/>
      <c r="H874" s="19"/>
      <c r="I874" s="19"/>
      <c r="J874" s="19"/>
      <c r="K874" s="6"/>
      <c r="L874" s="6"/>
      <c r="M874" s="6"/>
      <c r="N874" s="6"/>
      <c r="O874" s="6"/>
      <c r="P874" s="6"/>
      <c r="Q874" s="6"/>
      <c r="R874" s="6"/>
      <c r="S874" s="6"/>
      <c r="T874" s="6"/>
    </row>
    <row r="875" spans="4:20" x14ac:dyDescent="0.2">
      <c r="D875" s="6"/>
      <c r="E875" s="6"/>
      <c r="F875" s="6"/>
      <c r="G875" s="19"/>
      <c r="H875" s="19"/>
      <c r="I875" s="19"/>
      <c r="J875" s="19"/>
      <c r="K875" s="6"/>
      <c r="L875" s="6"/>
      <c r="M875" s="6"/>
      <c r="N875" s="6"/>
      <c r="O875" s="6"/>
      <c r="P875" s="6"/>
      <c r="Q875" s="6"/>
      <c r="R875" s="6"/>
      <c r="S875" s="6"/>
      <c r="T875" s="6"/>
    </row>
    <row r="876" spans="4:20" x14ac:dyDescent="0.2">
      <c r="D876" s="6"/>
      <c r="E876" s="6"/>
      <c r="F876" s="6"/>
      <c r="G876" s="19"/>
      <c r="H876" s="19"/>
      <c r="I876" s="19"/>
      <c r="J876" s="19"/>
      <c r="K876" s="6"/>
      <c r="L876" s="6"/>
      <c r="M876" s="6"/>
      <c r="N876" s="6"/>
      <c r="O876" s="6"/>
      <c r="P876" s="6"/>
      <c r="Q876" s="6"/>
      <c r="R876" s="6"/>
      <c r="S876" s="6"/>
      <c r="T876" s="6"/>
    </row>
    <row r="877" spans="4:20" x14ac:dyDescent="0.2">
      <c r="D877" s="6"/>
      <c r="E877" s="6"/>
      <c r="F877" s="6"/>
      <c r="G877" s="19"/>
      <c r="H877" s="19"/>
      <c r="I877" s="19"/>
      <c r="J877" s="19"/>
      <c r="K877" s="6"/>
      <c r="L877" s="6"/>
      <c r="M877" s="6"/>
      <c r="N877" s="6"/>
      <c r="O877" s="6"/>
      <c r="P877" s="6"/>
      <c r="Q877" s="6"/>
      <c r="R877" s="6"/>
      <c r="S877" s="6"/>
      <c r="T877" s="6"/>
    </row>
    <row r="878" spans="4:20" x14ac:dyDescent="0.2">
      <c r="D878" s="6"/>
      <c r="E878" s="6"/>
      <c r="F878" s="6"/>
      <c r="G878" s="19"/>
      <c r="H878" s="19"/>
      <c r="I878" s="19"/>
      <c r="J878" s="19"/>
      <c r="K878" s="6"/>
      <c r="L878" s="6"/>
      <c r="M878" s="6"/>
      <c r="N878" s="6"/>
      <c r="O878" s="6"/>
      <c r="P878" s="6"/>
      <c r="Q878" s="6"/>
      <c r="R878" s="6"/>
      <c r="S878" s="6"/>
      <c r="T878" s="6"/>
    </row>
    <row r="879" spans="4:20" x14ac:dyDescent="0.2">
      <c r="D879" s="6"/>
      <c r="E879" s="6"/>
      <c r="F879" s="6"/>
      <c r="G879" s="19"/>
      <c r="H879" s="19"/>
      <c r="I879" s="19"/>
      <c r="J879" s="19"/>
      <c r="K879" s="6"/>
      <c r="L879" s="6"/>
      <c r="M879" s="6"/>
      <c r="N879" s="6"/>
      <c r="O879" s="6"/>
      <c r="P879" s="6"/>
      <c r="Q879" s="6"/>
      <c r="R879" s="6"/>
      <c r="S879" s="6"/>
      <c r="T879" s="6"/>
    </row>
    <row r="880" spans="4:20" x14ac:dyDescent="0.2">
      <c r="D880" s="6"/>
      <c r="E880" s="6"/>
      <c r="F880" s="6"/>
      <c r="G880" s="19"/>
      <c r="H880" s="19"/>
      <c r="I880" s="19"/>
      <c r="J880" s="19"/>
      <c r="K880" s="6"/>
      <c r="L880" s="6"/>
      <c r="M880" s="6"/>
      <c r="N880" s="6"/>
      <c r="O880" s="6"/>
      <c r="P880" s="6"/>
      <c r="Q880" s="6"/>
      <c r="R880" s="6"/>
      <c r="S880" s="6"/>
      <c r="T880" s="6"/>
    </row>
    <row r="881" spans="4:20" x14ac:dyDescent="0.2">
      <c r="D881" s="6"/>
      <c r="E881" s="6"/>
      <c r="F881" s="6"/>
      <c r="G881" s="19"/>
      <c r="H881" s="19"/>
      <c r="I881" s="19"/>
      <c r="J881" s="19"/>
      <c r="K881" s="6"/>
      <c r="L881" s="6"/>
      <c r="M881" s="6"/>
      <c r="N881" s="6"/>
      <c r="O881" s="6"/>
      <c r="P881" s="6"/>
      <c r="Q881" s="6"/>
      <c r="R881" s="6"/>
      <c r="S881" s="6"/>
      <c r="T881" s="6"/>
    </row>
    <row r="882" spans="4:20" x14ac:dyDescent="0.2">
      <c r="D882" s="6"/>
      <c r="E882" s="6"/>
      <c r="F882" s="6"/>
      <c r="G882" s="19"/>
      <c r="H882" s="19"/>
      <c r="I882" s="19"/>
      <c r="J882" s="19"/>
      <c r="K882" s="6"/>
      <c r="L882" s="6"/>
      <c r="M882" s="6"/>
      <c r="N882" s="6"/>
      <c r="O882" s="6"/>
      <c r="P882" s="6"/>
      <c r="Q882" s="6"/>
      <c r="R882" s="6"/>
      <c r="S882" s="6"/>
      <c r="T882" s="6"/>
    </row>
    <row r="883" spans="4:20" x14ac:dyDescent="0.2">
      <c r="D883" s="6"/>
      <c r="E883" s="6"/>
      <c r="F883" s="6"/>
      <c r="G883" s="19"/>
      <c r="H883" s="19"/>
      <c r="I883" s="19"/>
      <c r="J883" s="19"/>
      <c r="K883" s="6"/>
      <c r="L883" s="6"/>
      <c r="M883" s="6"/>
      <c r="N883" s="6"/>
      <c r="O883" s="6"/>
      <c r="P883" s="6"/>
      <c r="Q883" s="6"/>
      <c r="R883" s="6"/>
      <c r="S883" s="6"/>
      <c r="T883" s="6"/>
    </row>
    <row r="884" spans="4:20" x14ac:dyDescent="0.2">
      <c r="D884" s="6"/>
      <c r="E884" s="6"/>
      <c r="F884" s="6"/>
      <c r="G884" s="19"/>
      <c r="H884" s="19"/>
      <c r="I884" s="19"/>
      <c r="J884" s="19"/>
      <c r="K884" s="6"/>
      <c r="L884" s="6"/>
      <c r="M884" s="6"/>
      <c r="N884" s="6"/>
      <c r="O884" s="6"/>
      <c r="P884" s="6"/>
      <c r="Q884" s="6"/>
      <c r="R884" s="6"/>
      <c r="S884" s="6"/>
      <c r="T884" s="6"/>
    </row>
    <row r="885" spans="4:20" x14ac:dyDescent="0.2">
      <c r="D885" s="6"/>
      <c r="E885" s="6"/>
      <c r="F885" s="6"/>
      <c r="G885" s="19"/>
      <c r="H885" s="19"/>
      <c r="I885" s="19"/>
      <c r="J885" s="19"/>
      <c r="K885" s="6"/>
      <c r="L885" s="6"/>
      <c r="M885" s="6"/>
      <c r="N885" s="6"/>
      <c r="O885" s="6"/>
      <c r="P885" s="6"/>
      <c r="Q885" s="6"/>
      <c r="R885" s="6"/>
      <c r="S885" s="6"/>
      <c r="T885" s="6"/>
    </row>
    <row r="886" spans="4:20" x14ac:dyDescent="0.2">
      <c r="D886" s="6"/>
      <c r="E886" s="6"/>
      <c r="F886" s="6"/>
      <c r="G886" s="19"/>
      <c r="H886" s="19"/>
      <c r="I886" s="19"/>
      <c r="J886" s="19"/>
      <c r="K886" s="6"/>
      <c r="L886" s="6"/>
      <c r="M886" s="6"/>
      <c r="N886" s="6"/>
      <c r="O886" s="6"/>
      <c r="P886" s="6"/>
      <c r="Q886" s="6"/>
      <c r="R886" s="6"/>
      <c r="S886" s="6"/>
      <c r="T886" s="6"/>
    </row>
    <row r="887" spans="4:20" x14ac:dyDescent="0.2">
      <c r="D887" s="6"/>
      <c r="E887" s="6"/>
      <c r="F887" s="6"/>
      <c r="G887" s="19"/>
      <c r="H887" s="19"/>
      <c r="I887" s="19"/>
      <c r="J887" s="19"/>
      <c r="K887" s="6"/>
      <c r="L887" s="6"/>
      <c r="M887" s="6"/>
      <c r="N887" s="6"/>
      <c r="O887" s="6"/>
      <c r="P887" s="6"/>
      <c r="Q887" s="6"/>
      <c r="R887" s="6"/>
      <c r="S887" s="6"/>
      <c r="T887" s="6"/>
    </row>
    <row r="888" spans="4:20" x14ac:dyDescent="0.2">
      <c r="D888" s="6"/>
      <c r="E888" s="6"/>
      <c r="F888" s="6"/>
      <c r="G888" s="19"/>
      <c r="H888" s="19"/>
      <c r="I888" s="19"/>
      <c r="J888" s="19"/>
      <c r="K888" s="6"/>
      <c r="L888" s="6"/>
      <c r="M888" s="6"/>
      <c r="N888" s="6"/>
      <c r="O888" s="6"/>
      <c r="P888" s="6"/>
      <c r="Q888" s="6"/>
      <c r="R888" s="6"/>
      <c r="S888" s="6"/>
      <c r="T888" s="6"/>
    </row>
    <row r="889" spans="4:20" x14ac:dyDescent="0.2">
      <c r="D889" s="6"/>
      <c r="E889" s="6"/>
      <c r="F889" s="6"/>
      <c r="G889" s="19"/>
      <c r="H889" s="19"/>
      <c r="I889" s="19"/>
      <c r="J889" s="19"/>
      <c r="K889" s="6"/>
      <c r="L889" s="6"/>
      <c r="M889" s="6"/>
      <c r="N889" s="6"/>
      <c r="O889" s="6"/>
      <c r="P889" s="6"/>
      <c r="Q889" s="6"/>
      <c r="R889" s="6"/>
      <c r="S889" s="6"/>
      <c r="T889" s="6"/>
    </row>
    <row r="890" spans="4:20" x14ac:dyDescent="0.2">
      <c r="D890" s="6"/>
      <c r="E890" s="6"/>
      <c r="F890" s="6"/>
      <c r="G890" s="19"/>
      <c r="H890" s="19"/>
      <c r="I890" s="19"/>
      <c r="J890" s="19"/>
      <c r="K890" s="6"/>
      <c r="L890" s="6"/>
      <c r="M890" s="6"/>
      <c r="N890" s="6"/>
      <c r="O890" s="6"/>
      <c r="P890" s="6"/>
      <c r="Q890" s="6"/>
      <c r="R890" s="6"/>
      <c r="S890" s="6"/>
      <c r="T890" s="6"/>
    </row>
    <row r="891" spans="4:20" x14ac:dyDescent="0.2">
      <c r="D891" s="6"/>
      <c r="E891" s="6"/>
      <c r="F891" s="6"/>
      <c r="G891" s="19"/>
      <c r="H891" s="19"/>
      <c r="I891" s="19"/>
      <c r="J891" s="19"/>
      <c r="K891" s="6"/>
      <c r="L891" s="6"/>
      <c r="M891" s="6"/>
      <c r="N891" s="6"/>
      <c r="O891" s="6"/>
      <c r="P891" s="6"/>
      <c r="Q891" s="6"/>
      <c r="R891" s="6"/>
      <c r="S891" s="6"/>
      <c r="T891" s="6"/>
    </row>
    <row r="892" spans="4:20" x14ac:dyDescent="0.2">
      <c r="D892" s="6"/>
      <c r="E892" s="6"/>
      <c r="F892" s="6"/>
      <c r="G892" s="19"/>
      <c r="H892" s="19"/>
      <c r="I892" s="19"/>
      <c r="J892" s="19"/>
      <c r="K892" s="6"/>
      <c r="L892" s="6"/>
      <c r="M892" s="6"/>
      <c r="N892" s="6"/>
      <c r="O892" s="6"/>
      <c r="P892" s="6"/>
      <c r="Q892" s="6"/>
      <c r="R892" s="6"/>
      <c r="S892" s="6"/>
      <c r="T892" s="6"/>
    </row>
    <row r="893" spans="4:20" x14ac:dyDescent="0.2">
      <c r="D893" s="6"/>
      <c r="E893" s="6"/>
      <c r="F893" s="6"/>
      <c r="G893" s="19"/>
      <c r="H893" s="19"/>
      <c r="I893" s="19"/>
      <c r="J893" s="19"/>
      <c r="K893" s="6"/>
      <c r="L893" s="6"/>
      <c r="M893" s="6"/>
      <c r="N893" s="6"/>
      <c r="O893" s="6"/>
      <c r="P893" s="6"/>
      <c r="Q893" s="6"/>
      <c r="R893" s="6"/>
      <c r="S893" s="6"/>
      <c r="T893" s="6"/>
    </row>
    <row r="894" spans="4:20" x14ac:dyDescent="0.2">
      <c r="D894" s="6"/>
      <c r="E894" s="6"/>
      <c r="F894" s="6"/>
      <c r="G894" s="19"/>
      <c r="H894" s="19"/>
      <c r="I894" s="19"/>
      <c r="J894" s="19"/>
      <c r="K894" s="6"/>
      <c r="L894" s="6"/>
      <c r="M894" s="6"/>
      <c r="N894" s="6"/>
      <c r="O894" s="6"/>
      <c r="P894" s="6"/>
      <c r="Q894" s="6"/>
      <c r="R894" s="6"/>
      <c r="S894" s="6"/>
      <c r="T894" s="6"/>
    </row>
    <row r="895" spans="4:20" x14ac:dyDescent="0.2">
      <c r="D895" s="6"/>
      <c r="E895" s="6"/>
      <c r="F895" s="6"/>
      <c r="G895" s="19"/>
      <c r="H895" s="19"/>
      <c r="I895" s="19"/>
      <c r="J895" s="19"/>
      <c r="K895" s="6"/>
      <c r="L895" s="6"/>
      <c r="M895" s="6"/>
      <c r="N895" s="6"/>
      <c r="O895" s="6"/>
      <c r="P895" s="6"/>
      <c r="Q895" s="6"/>
      <c r="R895" s="6"/>
      <c r="S895" s="6"/>
      <c r="T895" s="6"/>
    </row>
    <row r="896" spans="4:20" x14ac:dyDescent="0.2">
      <c r="D896" s="6"/>
      <c r="E896" s="6"/>
      <c r="F896" s="6"/>
      <c r="G896" s="19"/>
      <c r="H896" s="19"/>
      <c r="I896" s="19"/>
      <c r="J896" s="19"/>
      <c r="K896" s="6"/>
      <c r="L896" s="6"/>
      <c r="M896" s="6"/>
      <c r="N896" s="6"/>
      <c r="O896" s="6"/>
      <c r="P896" s="6"/>
      <c r="Q896" s="6"/>
      <c r="R896" s="6"/>
      <c r="S896" s="6"/>
      <c r="T896" s="6"/>
    </row>
    <row r="897" spans="4:20" x14ac:dyDescent="0.2">
      <c r="D897" s="6"/>
      <c r="E897" s="6"/>
      <c r="F897" s="6"/>
      <c r="G897" s="19"/>
      <c r="H897" s="19"/>
      <c r="I897" s="19"/>
      <c r="J897" s="19"/>
      <c r="K897" s="6"/>
      <c r="L897" s="6"/>
      <c r="M897" s="6"/>
      <c r="N897" s="6"/>
      <c r="O897" s="6"/>
      <c r="P897" s="6"/>
      <c r="Q897" s="6"/>
      <c r="R897" s="6"/>
      <c r="S897" s="6"/>
      <c r="T897" s="6"/>
    </row>
    <row r="898" spans="4:20" x14ac:dyDescent="0.2">
      <c r="D898" s="6"/>
      <c r="E898" s="6"/>
      <c r="F898" s="6"/>
      <c r="G898" s="19"/>
      <c r="H898" s="19"/>
      <c r="I898" s="19"/>
      <c r="J898" s="19"/>
      <c r="K898" s="6"/>
      <c r="L898" s="6"/>
      <c r="M898" s="6"/>
      <c r="N898" s="6"/>
      <c r="O898" s="6"/>
      <c r="P898" s="6"/>
      <c r="Q898" s="6"/>
      <c r="R898" s="6"/>
      <c r="S898" s="6"/>
      <c r="T898" s="6"/>
    </row>
    <row r="899" spans="4:20" x14ac:dyDescent="0.2">
      <c r="D899" s="6"/>
      <c r="E899" s="6"/>
      <c r="F899" s="6"/>
      <c r="G899" s="19"/>
      <c r="H899" s="19"/>
      <c r="I899" s="19"/>
      <c r="J899" s="19"/>
      <c r="K899" s="6"/>
      <c r="L899" s="6"/>
      <c r="M899" s="6"/>
      <c r="N899" s="6"/>
      <c r="O899" s="6"/>
      <c r="P899" s="6"/>
      <c r="Q899" s="6"/>
      <c r="R899" s="6"/>
      <c r="S899" s="6"/>
      <c r="T899" s="6"/>
    </row>
    <row r="900" spans="4:20" x14ac:dyDescent="0.2">
      <c r="D900" s="6"/>
      <c r="E900" s="6"/>
      <c r="F900" s="6"/>
      <c r="G900" s="19"/>
      <c r="H900" s="19"/>
      <c r="I900" s="19"/>
      <c r="J900" s="19"/>
      <c r="K900" s="6"/>
      <c r="L900" s="6"/>
      <c r="M900" s="6"/>
      <c r="N900" s="6"/>
      <c r="O900" s="6"/>
      <c r="P900" s="6"/>
      <c r="Q900" s="6"/>
      <c r="R900" s="6"/>
      <c r="S900" s="6"/>
      <c r="T900" s="6"/>
    </row>
    <row r="901" spans="4:20" x14ac:dyDescent="0.2">
      <c r="D901" s="6"/>
      <c r="E901" s="6"/>
      <c r="F901" s="6"/>
      <c r="G901" s="19"/>
      <c r="H901" s="19"/>
      <c r="I901" s="19"/>
      <c r="J901" s="19"/>
      <c r="K901" s="6"/>
      <c r="L901" s="6"/>
      <c r="M901" s="6"/>
      <c r="N901" s="6"/>
      <c r="O901" s="6"/>
      <c r="P901" s="6"/>
      <c r="Q901" s="6"/>
      <c r="R901" s="6"/>
      <c r="S901" s="6"/>
      <c r="T901" s="6"/>
    </row>
    <row r="902" spans="4:20" x14ac:dyDescent="0.2">
      <c r="D902" s="6"/>
      <c r="E902" s="6"/>
      <c r="F902" s="6"/>
      <c r="G902" s="19"/>
      <c r="H902" s="19"/>
      <c r="I902" s="19"/>
      <c r="J902" s="19"/>
      <c r="K902" s="6"/>
      <c r="L902" s="6"/>
      <c r="M902" s="6"/>
      <c r="N902" s="6"/>
      <c r="O902" s="6"/>
      <c r="P902" s="6"/>
      <c r="Q902" s="6"/>
      <c r="R902" s="6"/>
      <c r="S902" s="6"/>
      <c r="T902" s="6"/>
    </row>
    <row r="903" spans="4:20" x14ac:dyDescent="0.2">
      <c r="D903" s="6"/>
      <c r="E903" s="6"/>
      <c r="F903" s="6"/>
      <c r="G903" s="19"/>
      <c r="H903" s="19"/>
      <c r="I903" s="19"/>
      <c r="J903" s="19"/>
      <c r="K903" s="6"/>
      <c r="L903" s="6"/>
      <c r="M903" s="6"/>
      <c r="N903" s="6"/>
      <c r="O903" s="6"/>
      <c r="P903" s="6"/>
      <c r="Q903" s="6"/>
      <c r="R903" s="6"/>
      <c r="S903" s="6"/>
      <c r="T903" s="6"/>
    </row>
    <row r="904" spans="4:20" x14ac:dyDescent="0.2">
      <c r="D904" s="6"/>
      <c r="E904" s="6"/>
      <c r="F904" s="6"/>
      <c r="G904" s="19"/>
      <c r="H904" s="19"/>
      <c r="I904" s="19"/>
      <c r="J904" s="19"/>
      <c r="K904" s="6"/>
      <c r="L904" s="6"/>
      <c r="M904" s="6"/>
      <c r="N904" s="6"/>
      <c r="O904" s="6"/>
      <c r="P904" s="6"/>
      <c r="Q904" s="6"/>
      <c r="R904" s="6"/>
      <c r="S904" s="6"/>
      <c r="T904" s="6"/>
    </row>
    <row r="905" spans="4:20" x14ac:dyDescent="0.2">
      <c r="D905" s="6"/>
      <c r="E905" s="6"/>
      <c r="F905" s="6"/>
      <c r="G905" s="19"/>
      <c r="H905" s="19"/>
      <c r="I905" s="19"/>
      <c r="J905" s="19"/>
      <c r="K905" s="6"/>
      <c r="L905" s="6"/>
      <c r="M905" s="6"/>
      <c r="N905" s="6"/>
      <c r="O905" s="6"/>
      <c r="P905" s="6"/>
      <c r="Q905" s="6"/>
      <c r="R905" s="6"/>
      <c r="S905" s="6"/>
      <c r="T905" s="6"/>
    </row>
    <row r="906" spans="4:20" x14ac:dyDescent="0.2">
      <c r="D906" s="6"/>
      <c r="E906" s="6"/>
      <c r="F906" s="6"/>
      <c r="G906" s="19"/>
      <c r="H906" s="19"/>
      <c r="I906" s="19"/>
      <c r="J906" s="19"/>
      <c r="K906" s="6"/>
      <c r="L906" s="6"/>
      <c r="M906" s="6"/>
      <c r="N906" s="6"/>
      <c r="O906" s="6"/>
      <c r="P906" s="6"/>
      <c r="Q906" s="6"/>
      <c r="R906" s="6"/>
      <c r="S906" s="6"/>
      <c r="T906" s="6"/>
    </row>
    <row r="907" spans="4:20" x14ac:dyDescent="0.2">
      <c r="D907" s="6"/>
      <c r="E907" s="6"/>
      <c r="F907" s="6"/>
      <c r="G907" s="19"/>
      <c r="H907" s="19"/>
      <c r="I907" s="19"/>
      <c r="J907" s="19"/>
      <c r="K907" s="6"/>
      <c r="L907" s="6"/>
      <c r="M907" s="6"/>
      <c r="N907" s="6"/>
      <c r="O907" s="6"/>
      <c r="P907" s="6"/>
      <c r="Q907" s="6"/>
      <c r="R907" s="6"/>
      <c r="S907" s="6"/>
      <c r="T907" s="6"/>
    </row>
    <row r="908" spans="4:20" x14ac:dyDescent="0.2">
      <c r="D908" s="6"/>
      <c r="E908" s="6"/>
      <c r="F908" s="6"/>
      <c r="G908" s="19"/>
      <c r="H908" s="19"/>
      <c r="I908" s="19"/>
      <c r="J908" s="19"/>
      <c r="K908" s="6"/>
      <c r="L908" s="6"/>
      <c r="M908" s="6"/>
      <c r="N908" s="6"/>
      <c r="O908" s="6"/>
      <c r="P908" s="6"/>
      <c r="Q908" s="6"/>
      <c r="R908" s="6"/>
      <c r="S908" s="6"/>
      <c r="T908" s="6"/>
    </row>
    <row r="909" spans="4:20" x14ac:dyDescent="0.2">
      <c r="D909" s="6"/>
      <c r="E909" s="6"/>
      <c r="F909" s="6"/>
      <c r="G909" s="19"/>
      <c r="H909" s="19"/>
      <c r="I909" s="19"/>
      <c r="J909" s="19"/>
      <c r="K909" s="6"/>
      <c r="L909" s="6"/>
      <c r="M909" s="6"/>
      <c r="N909" s="6"/>
      <c r="O909" s="6"/>
      <c r="P909" s="6"/>
      <c r="Q909" s="6"/>
      <c r="R909" s="6"/>
      <c r="S909" s="6"/>
      <c r="T909" s="6"/>
    </row>
    <row r="910" spans="4:20" x14ac:dyDescent="0.2">
      <c r="D910" s="6"/>
      <c r="E910" s="6"/>
      <c r="F910" s="6"/>
      <c r="G910" s="19"/>
      <c r="H910" s="19"/>
      <c r="I910" s="19"/>
      <c r="J910" s="19"/>
      <c r="K910" s="6"/>
      <c r="L910" s="6"/>
      <c r="M910" s="6"/>
      <c r="N910" s="6"/>
      <c r="O910" s="6"/>
      <c r="P910" s="6"/>
      <c r="Q910" s="6"/>
      <c r="R910" s="6"/>
      <c r="S910" s="6"/>
      <c r="T910" s="6"/>
    </row>
    <row r="911" spans="4:20" x14ac:dyDescent="0.2">
      <c r="D911" s="6"/>
      <c r="E911" s="6"/>
      <c r="F911" s="6"/>
      <c r="G911" s="19"/>
      <c r="H911" s="19"/>
      <c r="I911" s="19"/>
      <c r="J911" s="19"/>
      <c r="K911" s="6"/>
      <c r="L911" s="6"/>
      <c r="M911" s="6"/>
      <c r="N911" s="6"/>
      <c r="O911" s="6"/>
      <c r="P911" s="6"/>
      <c r="Q911" s="6"/>
      <c r="R911" s="6"/>
      <c r="S911" s="6"/>
      <c r="T911" s="6"/>
    </row>
    <row r="912" spans="4:20" x14ac:dyDescent="0.2">
      <c r="D912" s="6"/>
      <c r="E912" s="6"/>
      <c r="F912" s="6"/>
      <c r="G912" s="19"/>
      <c r="H912" s="19"/>
      <c r="I912" s="19"/>
      <c r="J912" s="19"/>
      <c r="K912" s="6"/>
      <c r="L912" s="6"/>
      <c r="M912" s="6"/>
      <c r="N912" s="6"/>
      <c r="O912" s="6"/>
      <c r="P912" s="6"/>
      <c r="Q912" s="6"/>
      <c r="R912" s="6"/>
      <c r="S912" s="6"/>
      <c r="T912" s="6"/>
    </row>
    <row r="913" spans="4:20" x14ac:dyDescent="0.2">
      <c r="D913" s="6"/>
      <c r="E913" s="6"/>
      <c r="F913" s="6"/>
      <c r="G913" s="19"/>
      <c r="H913" s="19"/>
      <c r="I913" s="19"/>
      <c r="J913" s="19"/>
      <c r="K913" s="6"/>
      <c r="L913" s="6"/>
      <c r="M913" s="6"/>
      <c r="N913" s="6"/>
      <c r="O913" s="6"/>
      <c r="P913" s="6"/>
      <c r="Q913" s="6"/>
      <c r="R913" s="6"/>
      <c r="S913" s="6"/>
      <c r="T913" s="6"/>
    </row>
    <row r="914" spans="4:20" x14ac:dyDescent="0.2">
      <c r="D914" s="6"/>
      <c r="E914" s="6"/>
      <c r="F914" s="6"/>
      <c r="G914" s="19"/>
      <c r="H914" s="19"/>
      <c r="I914" s="19"/>
      <c r="J914" s="19"/>
      <c r="K914" s="6"/>
      <c r="L914" s="6"/>
      <c r="M914" s="6"/>
      <c r="N914" s="6"/>
      <c r="O914" s="6"/>
      <c r="P914" s="6"/>
      <c r="Q914" s="6"/>
      <c r="R914" s="6"/>
      <c r="S914" s="6"/>
      <c r="T914" s="6"/>
    </row>
    <row r="915" spans="4:20" x14ac:dyDescent="0.2">
      <c r="D915" s="6"/>
      <c r="E915" s="6"/>
      <c r="F915" s="6"/>
      <c r="G915" s="19"/>
      <c r="H915" s="19"/>
      <c r="I915" s="19"/>
      <c r="J915" s="19"/>
      <c r="K915" s="6"/>
      <c r="L915" s="6"/>
      <c r="M915" s="6"/>
      <c r="N915" s="6"/>
      <c r="O915" s="6"/>
      <c r="P915" s="6"/>
      <c r="Q915" s="6"/>
      <c r="R915" s="6"/>
      <c r="S915" s="6"/>
      <c r="T915" s="6"/>
    </row>
    <row r="916" spans="4:20" x14ac:dyDescent="0.2">
      <c r="D916" s="6"/>
      <c r="E916" s="6"/>
      <c r="F916" s="6"/>
      <c r="G916" s="19"/>
      <c r="H916" s="19"/>
      <c r="I916" s="19"/>
      <c r="J916" s="19"/>
      <c r="K916" s="6"/>
      <c r="L916" s="6"/>
      <c r="M916" s="6"/>
      <c r="N916" s="6"/>
      <c r="O916" s="6"/>
      <c r="P916" s="6"/>
      <c r="Q916" s="6"/>
      <c r="R916" s="6"/>
      <c r="S916" s="6"/>
      <c r="T916" s="6"/>
    </row>
    <row r="917" spans="4:20" x14ac:dyDescent="0.2">
      <c r="D917" s="6"/>
      <c r="E917" s="6"/>
      <c r="F917" s="6"/>
      <c r="G917" s="19"/>
      <c r="H917" s="19"/>
      <c r="I917" s="19"/>
      <c r="J917" s="19"/>
      <c r="K917" s="6"/>
      <c r="L917" s="6"/>
      <c r="M917" s="6"/>
      <c r="N917" s="6"/>
      <c r="O917" s="6"/>
      <c r="P917" s="6"/>
      <c r="Q917" s="6"/>
      <c r="R917" s="6"/>
      <c r="S917" s="6"/>
      <c r="T917" s="6"/>
    </row>
    <row r="918" spans="4:20" x14ac:dyDescent="0.2">
      <c r="D918" s="6"/>
      <c r="E918" s="6"/>
      <c r="F918" s="6"/>
      <c r="G918" s="19"/>
      <c r="H918" s="19"/>
      <c r="I918" s="19"/>
      <c r="J918" s="19"/>
      <c r="K918" s="6"/>
      <c r="L918" s="6"/>
      <c r="M918" s="6"/>
      <c r="N918" s="6"/>
      <c r="O918" s="6"/>
      <c r="P918" s="6"/>
      <c r="Q918" s="6"/>
      <c r="R918" s="6"/>
      <c r="S918" s="6"/>
      <c r="T918" s="6"/>
    </row>
    <row r="919" spans="4:20" x14ac:dyDescent="0.2">
      <c r="D919" s="6"/>
      <c r="E919" s="6"/>
      <c r="F919" s="6"/>
      <c r="G919" s="19"/>
      <c r="H919" s="19"/>
      <c r="I919" s="19"/>
      <c r="J919" s="19"/>
      <c r="K919" s="6"/>
      <c r="L919" s="6"/>
      <c r="M919" s="6"/>
      <c r="N919" s="6"/>
      <c r="O919" s="6"/>
      <c r="P919" s="6"/>
      <c r="Q919" s="6"/>
      <c r="R919" s="6"/>
      <c r="S919" s="6"/>
      <c r="T919" s="6"/>
    </row>
    <row r="920" spans="4:20" x14ac:dyDescent="0.2">
      <c r="D920" s="6"/>
      <c r="E920" s="6"/>
      <c r="F920" s="6"/>
      <c r="G920" s="19"/>
      <c r="H920" s="19"/>
      <c r="I920" s="19"/>
      <c r="J920" s="19"/>
      <c r="K920" s="6"/>
      <c r="L920" s="6"/>
      <c r="M920" s="6"/>
      <c r="N920" s="6"/>
      <c r="O920" s="6"/>
      <c r="P920" s="6"/>
      <c r="Q920" s="6"/>
      <c r="R920" s="6"/>
      <c r="S920" s="6"/>
      <c r="T920" s="6"/>
    </row>
    <row r="921" spans="4:20" x14ac:dyDescent="0.2">
      <c r="D921" s="6"/>
      <c r="E921" s="6"/>
      <c r="F921" s="6"/>
      <c r="G921" s="19"/>
      <c r="H921" s="19"/>
      <c r="I921" s="19"/>
      <c r="J921" s="19"/>
      <c r="K921" s="6"/>
      <c r="L921" s="6"/>
      <c r="M921" s="6"/>
      <c r="N921" s="6"/>
      <c r="O921" s="6"/>
      <c r="P921" s="6"/>
      <c r="Q921" s="6"/>
      <c r="R921" s="6"/>
      <c r="S921" s="6"/>
      <c r="T921" s="6"/>
    </row>
    <row r="922" spans="4:20" x14ac:dyDescent="0.2">
      <c r="D922" s="6"/>
      <c r="E922" s="6"/>
      <c r="F922" s="6"/>
      <c r="G922" s="19"/>
      <c r="H922" s="19"/>
      <c r="I922" s="19"/>
      <c r="J922" s="19"/>
      <c r="K922" s="6"/>
      <c r="L922" s="6"/>
      <c r="M922" s="6"/>
      <c r="N922" s="6"/>
      <c r="O922" s="6"/>
      <c r="P922" s="6"/>
      <c r="Q922" s="6"/>
      <c r="R922" s="6"/>
      <c r="S922" s="6"/>
      <c r="T922" s="6"/>
    </row>
    <row r="923" spans="4:20" x14ac:dyDescent="0.2">
      <c r="D923" s="6"/>
      <c r="E923" s="6"/>
      <c r="F923" s="6"/>
      <c r="G923" s="19"/>
      <c r="H923" s="19"/>
      <c r="I923" s="19"/>
      <c r="J923" s="19"/>
      <c r="K923" s="6"/>
      <c r="L923" s="6"/>
      <c r="M923" s="6"/>
      <c r="N923" s="6"/>
      <c r="O923" s="6"/>
      <c r="P923" s="6"/>
      <c r="Q923" s="6"/>
      <c r="R923" s="6"/>
      <c r="S923" s="6"/>
      <c r="T923" s="6"/>
    </row>
    <row r="924" spans="4:20" x14ac:dyDescent="0.2">
      <c r="D924" s="6"/>
      <c r="E924" s="6"/>
      <c r="F924" s="6"/>
      <c r="G924" s="19"/>
      <c r="H924" s="19"/>
      <c r="I924" s="19"/>
      <c r="J924" s="19"/>
      <c r="K924" s="6"/>
      <c r="L924" s="6"/>
      <c r="M924" s="6"/>
      <c r="N924" s="6"/>
      <c r="O924" s="6"/>
      <c r="P924" s="6"/>
      <c r="Q924" s="6"/>
      <c r="R924" s="6"/>
      <c r="S924" s="6"/>
      <c r="T924" s="6"/>
    </row>
    <row r="925" spans="4:20" x14ac:dyDescent="0.2">
      <c r="D925" s="6"/>
      <c r="E925" s="6"/>
      <c r="F925" s="6"/>
      <c r="G925" s="19"/>
      <c r="H925" s="19"/>
      <c r="I925" s="19"/>
      <c r="J925" s="19"/>
      <c r="K925" s="6"/>
      <c r="L925" s="6"/>
      <c r="M925" s="6"/>
      <c r="N925" s="6"/>
      <c r="O925" s="6"/>
      <c r="P925" s="6"/>
      <c r="Q925" s="6"/>
      <c r="R925" s="6"/>
      <c r="S925" s="6"/>
      <c r="T925" s="6"/>
    </row>
    <row r="926" spans="4:20" x14ac:dyDescent="0.2">
      <c r="D926" s="6"/>
      <c r="E926" s="6"/>
      <c r="F926" s="6"/>
      <c r="G926" s="19"/>
      <c r="H926" s="19"/>
      <c r="I926" s="19"/>
      <c r="J926" s="19"/>
      <c r="K926" s="6"/>
      <c r="L926" s="6"/>
      <c r="M926" s="6"/>
      <c r="N926" s="6"/>
      <c r="O926" s="6"/>
      <c r="P926" s="6"/>
      <c r="Q926" s="6"/>
      <c r="R926" s="6"/>
      <c r="S926" s="6"/>
      <c r="T926" s="6"/>
    </row>
    <row r="927" spans="4:20" x14ac:dyDescent="0.2">
      <c r="D927" s="6"/>
      <c r="E927" s="6"/>
      <c r="F927" s="6"/>
      <c r="G927" s="19"/>
      <c r="H927" s="19"/>
      <c r="I927" s="19"/>
      <c r="J927" s="19"/>
      <c r="K927" s="6"/>
      <c r="L927" s="6"/>
      <c r="M927" s="6"/>
      <c r="N927" s="6"/>
      <c r="O927" s="6"/>
      <c r="P927" s="6"/>
      <c r="Q927" s="6"/>
      <c r="R927" s="6"/>
      <c r="S927" s="6"/>
      <c r="T927" s="6"/>
    </row>
    <row r="928" spans="4:20" x14ac:dyDescent="0.2">
      <c r="D928" s="6"/>
      <c r="E928" s="6"/>
      <c r="F928" s="6"/>
      <c r="G928" s="19"/>
      <c r="H928" s="19"/>
      <c r="I928" s="19"/>
      <c r="J928" s="19"/>
      <c r="K928" s="6"/>
      <c r="L928" s="6"/>
      <c r="M928" s="6"/>
      <c r="N928" s="6"/>
      <c r="O928" s="6"/>
      <c r="P928" s="6"/>
      <c r="Q928" s="6"/>
      <c r="R928" s="6"/>
      <c r="S928" s="6"/>
      <c r="T928" s="6"/>
    </row>
    <row r="929" spans="4:20" x14ac:dyDescent="0.2">
      <c r="D929" s="6"/>
      <c r="E929" s="6"/>
      <c r="F929" s="6"/>
      <c r="G929" s="19"/>
      <c r="H929" s="19"/>
      <c r="I929" s="19"/>
      <c r="J929" s="19"/>
      <c r="K929" s="6"/>
      <c r="L929" s="6"/>
      <c r="M929" s="6"/>
      <c r="N929" s="6"/>
      <c r="O929" s="6"/>
      <c r="P929" s="6"/>
      <c r="Q929" s="6"/>
      <c r="R929" s="6"/>
      <c r="S929" s="6"/>
      <c r="T929" s="6"/>
    </row>
    <row r="930" spans="4:20" x14ac:dyDescent="0.2">
      <c r="D930" s="6"/>
      <c r="E930" s="6"/>
      <c r="F930" s="6"/>
      <c r="G930" s="19"/>
      <c r="H930" s="19"/>
      <c r="I930" s="19"/>
      <c r="J930" s="19"/>
      <c r="K930" s="6"/>
      <c r="L930" s="6"/>
      <c r="M930" s="6"/>
      <c r="N930" s="6"/>
      <c r="O930" s="6"/>
      <c r="P930" s="6"/>
      <c r="Q930" s="6"/>
      <c r="R930" s="6"/>
      <c r="S930" s="6"/>
      <c r="T930" s="6"/>
    </row>
    <row r="931" spans="4:20" x14ac:dyDescent="0.2">
      <c r="D931" s="6"/>
      <c r="E931" s="6"/>
      <c r="F931" s="6"/>
      <c r="G931" s="19"/>
      <c r="H931" s="19"/>
      <c r="I931" s="19"/>
      <c r="J931" s="19"/>
      <c r="K931" s="6"/>
      <c r="L931" s="6"/>
      <c r="M931" s="6"/>
      <c r="N931" s="6"/>
      <c r="O931" s="6"/>
      <c r="P931" s="6"/>
      <c r="Q931" s="6"/>
      <c r="R931" s="6"/>
      <c r="S931" s="6"/>
      <c r="T931" s="6"/>
    </row>
    <row r="932" spans="4:20" x14ac:dyDescent="0.2">
      <c r="D932" s="6"/>
      <c r="E932" s="6"/>
      <c r="F932" s="6"/>
      <c r="G932" s="19"/>
      <c r="H932" s="19"/>
      <c r="I932" s="19"/>
      <c r="J932" s="19"/>
      <c r="K932" s="6"/>
      <c r="L932" s="6"/>
      <c r="M932" s="6"/>
      <c r="N932" s="6"/>
      <c r="O932" s="6"/>
      <c r="P932" s="6"/>
      <c r="Q932" s="6"/>
      <c r="R932" s="6"/>
      <c r="S932" s="6"/>
      <c r="T932" s="6"/>
    </row>
    <row r="933" spans="4:20" x14ac:dyDescent="0.2">
      <c r="D933" s="6"/>
      <c r="E933" s="6"/>
      <c r="F933" s="6"/>
      <c r="G933" s="19"/>
      <c r="H933" s="19"/>
      <c r="I933" s="19"/>
      <c r="J933" s="19"/>
      <c r="K933" s="6"/>
      <c r="L933" s="6"/>
      <c r="M933" s="6"/>
      <c r="N933" s="6"/>
      <c r="O933" s="6"/>
      <c r="P933" s="6"/>
      <c r="Q933" s="6"/>
      <c r="R933" s="6"/>
      <c r="S933" s="6"/>
      <c r="T933" s="6"/>
    </row>
    <row r="934" spans="4:20" x14ac:dyDescent="0.2">
      <c r="D934" s="6"/>
      <c r="E934" s="6"/>
      <c r="F934" s="6"/>
      <c r="G934" s="19"/>
      <c r="H934" s="19"/>
      <c r="I934" s="19"/>
      <c r="J934" s="19"/>
      <c r="K934" s="6"/>
      <c r="L934" s="6"/>
      <c r="M934" s="6"/>
      <c r="N934" s="6"/>
      <c r="O934" s="6"/>
      <c r="P934" s="6"/>
      <c r="Q934" s="6"/>
      <c r="R934" s="6"/>
      <c r="S934" s="6"/>
      <c r="T934" s="6"/>
    </row>
    <row r="935" spans="4:20" x14ac:dyDescent="0.2">
      <c r="D935" s="6"/>
      <c r="E935" s="6"/>
      <c r="F935" s="6"/>
      <c r="G935" s="19"/>
      <c r="H935" s="19"/>
      <c r="I935" s="19"/>
      <c r="J935" s="19"/>
      <c r="K935" s="6"/>
      <c r="L935" s="6"/>
      <c r="M935" s="6"/>
      <c r="N935" s="6"/>
      <c r="O935" s="6"/>
      <c r="P935" s="6"/>
      <c r="Q935" s="6"/>
      <c r="R935" s="6"/>
      <c r="S935" s="6"/>
      <c r="T935" s="6"/>
    </row>
    <row r="936" spans="4:20" x14ac:dyDescent="0.2">
      <c r="D936" s="6"/>
      <c r="E936" s="6"/>
      <c r="F936" s="6"/>
      <c r="G936" s="19"/>
      <c r="H936" s="19"/>
      <c r="I936" s="19"/>
      <c r="J936" s="19"/>
      <c r="K936" s="6"/>
      <c r="L936" s="6"/>
      <c r="M936" s="6"/>
      <c r="N936" s="6"/>
      <c r="O936" s="6"/>
      <c r="P936" s="6"/>
      <c r="Q936" s="6"/>
      <c r="R936" s="6"/>
      <c r="S936" s="6"/>
      <c r="T936" s="6"/>
    </row>
    <row r="937" spans="4:20" x14ac:dyDescent="0.2">
      <c r="D937" s="6"/>
      <c r="E937" s="6"/>
      <c r="F937" s="6"/>
      <c r="G937" s="19"/>
      <c r="H937" s="19"/>
      <c r="I937" s="19"/>
      <c r="J937" s="19"/>
      <c r="K937" s="6"/>
      <c r="L937" s="6"/>
      <c r="M937" s="6"/>
      <c r="N937" s="6"/>
      <c r="O937" s="6"/>
      <c r="P937" s="6"/>
      <c r="Q937" s="6"/>
      <c r="R937" s="6"/>
      <c r="S937" s="6"/>
      <c r="T937" s="6"/>
    </row>
    <row r="938" spans="4:20" x14ac:dyDescent="0.2">
      <c r="D938" s="6"/>
      <c r="E938" s="6"/>
      <c r="F938" s="6"/>
      <c r="G938" s="19"/>
      <c r="H938" s="19"/>
      <c r="I938" s="19"/>
      <c r="J938" s="19"/>
      <c r="K938" s="6"/>
      <c r="L938" s="6"/>
      <c r="M938" s="6"/>
      <c r="N938" s="6"/>
      <c r="O938" s="6"/>
      <c r="P938" s="6"/>
      <c r="Q938" s="6"/>
      <c r="R938" s="6"/>
      <c r="S938" s="6"/>
      <c r="T938" s="6"/>
    </row>
    <row r="939" spans="4:20" x14ac:dyDescent="0.2">
      <c r="D939" s="6"/>
      <c r="E939" s="6"/>
      <c r="F939" s="6"/>
      <c r="G939" s="19"/>
      <c r="H939" s="19"/>
      <c r="I939" s="19"/>
      <c r="J939" s="19"/>
      <c r="K939" s="6"/>
      <c r="L939" s="6"/>
      <c r="M939" s="6"/>
      <c r="N939" s="6"/>
      <c r="O939" s="6"/>
      <c r="P939" s="6"/>
      <c r="Q939" s="6"/>
      <c r="R939" s="6"/>
      <c r="S939" s="6"/>
      <c r="T939" s="6"/>
    </row>
    <row r="940" spans="4:20" x14ac:dyDescent="0.2">
      <c r="D940" s="6"/>
      <c r="E940" s="6"/>
      <c r="F940" s="6"/>
      <c r="G940" s="19"/>
      <c r="H940" s="19"/>
      <c r="I940" s="19"/>
      <c r="J940" s="19"/>
      <c r="K940" s="6"/>
      <c r="L940" s="6"/>
      <c r="M940" s="6"/>
      <c r="N940" s="6"/>
      <c r="O940" s="6"/>
      <c r="P940" s="6"/>
      <c r="Q940" s="6"/>
      <c r="R940" s="6"/>
      <c r="S940" s="6"/>
      <c r="T940" s="6"/>
    </row>
    <row r="941" spans="4:20" x14ac:dyDescent="0.2">
      <c r="D941" s="6"/>
      <c r="E941" s="6"/>
      <c r="F941" s="6"/>
      <c r="G941" s="19"/>
      <c r="H941" s="19"/>
      <c r="I941" s="19"/>
      <c r="J941" s="19"/>
      <c r="K941" s="6"/>
      <c r="L941" s="6"/>
      <c r="M941" s="6"/>
      <c r="N941" s="6"/>
      <c r="O941" s="6"/>
      <c r="P941" s="6"/>
      <c r="Q941" s="6"/>
      <c r="R941" s="6"/>
      <c r="S941" s="6"/>
      <c r="T941" s="6"/>
    </row>
    <row r="942" spans="4:20" x14ac:dyDescent="0.2">
      <c r="D942" s="6"/>
      <c r="E942" s="6"/>
      <c r="F942" s="6"/>
      <c r="G942" s="19"/>
      <c r="H942" s="19"/>
      <c r="I942" s="19"/>
      <c r="J942" s="19"/>
      <c r="K942" s="6"/>
      <c r="L942" s="6"/>
      <c r="M942" s="6"/>
      <c r="N942" s="6"/>
      <c r="O942" s="6"/>
      <c r="P942" s="6"/>
      <c r="Q942" s="6"/>
      <c r="R942" s="6"/>
      <c r="S942" s="6"/>
      <c r="T942" s="6"/>
    </row>
    <row r="943" spans="4:20" x14ac:dyDescent="0.2">
      <c r="D943" s="6"/>
      <c r="E943" s="6"/>
      <c r="F943" s="6"/>
      <c r="G943" s="19"/>
      <c r="H943" s="19"/>
      <c r="I943" s="19"/>
      <c r="J943" s="19"/>
      <c r="K943" s="6"/>
      <c r="L943" s="6"/>
      <c r="M943" s="6"/>
      <c r="N943" s="6"/>
      <c r="O943" s="6"/>
      <c r="P943" s="6"/>
      <c r="Q943" s="6"/>
      <c r="R943" s="6"/>
      <c r="S943" s="6"/>
      <c r="T943" s="6"/>
    </row>
    <row r="944" spans="4:20" x14ac:dyDescent="0.2">
      <c r="D944" s="6"/>
      <c r="E944" s="6"/>
      <c r="F944" s="6"/>
      <c r="G944" s="19"/>
      <c r="H944" s="19"/>
      <c r="I944" s="19"/>
      <c r="J944" s="19"/>
      <c r="K944" s="6"/>
      <c r="L944" s="6"/>
      <c r="M944" s="6"/>
      <c r="N944" s="6"/>
      <c r="O944" s="6"/>
      <c r="P944" s="6"/>
      <c r="Q944" s="6"/>
      <c r="R944" s="6"/>
      <c r="S944" s="6"/>
      <c r="T944" s="6"/>
    </row>
    <row r="945" spans="4:20" x14ac:dyDescent="0.2">
      <c r="D945" s="6"/>
      <c r="E945" s="6"/>
      <c r="F945" s="6"/>
      <c r="G945" s="19"/>
      <c r="H945" s="19"/>
      <c r="I945" s="19"/>
      <c r="J945" s="19"/>
      <c r="K945" s="6"/>
      <c r="L945" s="6"/>
      <c r="M945" s="6"/>
      <c r="N945" s="6"/>
      <c r="O945" s="6"/>
      <c r="P945" s="6"/>
      <c r="Q945" s="6"/>
      <c r="R945" s="6"/>
      <c r="S945" s="6"/>
      <c r="T945" s="6"/>
    </row>
    <row r="946" spans="4:20" x14ac:dyDescent="0.2">
      <c r="D946" s="6"/>
      <c r="E946" s="6"/>
      <c r="F946" s="6"/>
      <c r="G946" s="19"/>
      <c r="H946" s="19"/>
      <c r="I946" s="19"/>
      <c r="J946" s="19"/>
      <c r="K946" s="6"/>
      <c r="L946" s="6"/>
      <c r="M946" s="6"/>
      <c r="N946" s="6"/>
      <c r="O946" s="6"/>
      <c r="P946" s="6"/>
      <c r="Q946" s="6"/>
      <c r="R946" s="6"/>
      <c r="S946" s="6"/>
      <c r="T946" s="6"/>
    </row>
    <row r="947" spans="4:20" x14ac:dyDescent="0.2">
      <c r="D947" s="6"/>
      <c r="E947" s="6"/>
      <c r="F947" s="6"/>
      <c r="G947" s="19"/>
      <c r="H947" s="19"/>
      <c r="I947" s="19"/>
      <c r="J947" s="19"/>
      <c r="K947" s="6"/>
      <c r="L947" s="6"/>
      <c r="M947" s="6"/>
      <c r="N947" s="6"/>
      <c r="O947" s="6"/>
      <c r="P947" s="6"/>
      <c r="Q947" s="6"/>
      <c r="R947" s="6"/>
      <c r="S947" s="6"/>
      <c r="T947" s="6"/>
    </row>
    <row r="948" spans="4:20" x14ac:dyDescent="0.2">
      <c r="D948" s="6"/>
      <c r="E948" s="6"/>
      <c r="F948" s="6"/>
      <c r="G948" s="19"/>
      <c r="H948" s="19"/>
      <c r="I948" s="19"/>
      <c r="J948" s="19"/>
      <c r="K948" s="6"/>
      <c r="L948" s="6"/>
      <c r="M948" s="6"/>
      <c r="N948" s="6"/>
      <c r="O948" s="6"/>
      <c r="P948" s="6"/>
      <c r="Q948" s="6"/>
      <c r="R948" s="6"/>
      <c r="S948" s="6"/>
      <c r="T948" s="6"/>
    </row>
    <row r="949" spans="4:20" x14ac:dyDescent="0.2">
      <c r="D949" s="6"/>
      <c r="E949" s="6"/>
      <c r="F949" s="6"/>
      <c r="G949" s="19"/>
      <c r="H949" s="19"/>
      <c r="I949" s="19"/>
      <c r="J949" s="19"/>
      <c r="K949" s="6"/>
      <c r="L949" s="6"/>
      <c r="M949" s="6"/>
      <c r="N949" s="6"/>
      <c r="O949" s="6"/>
      <c r="P949" s="6"/>
      <c r="Q949" s="6"/>
      <c r="R949" s="6"/>
      <c r="S949" s="6"/>
      <c r="T949" s="6"/>
    </row>
    <row r="950" spans="4:20" x14ac:dyDescent="0.2">
      <c r="D950" s="6"/>
      <c r="E950" s="6"/>
      <c r="F950" s="6"/>
      <c r="G950" s="19"/>
      <c r="H950" s="19"/>
      <c r="I950" s="19"/>
      <c r="J950" s="19"/>
      <c r="K950" s="6"/>
      <c r="L950" s="6"/>
      <c r="M950" s="6"/>
      <c r="N950" s="6"/>
      <c r="O950" s="6"/>
      <c r="P950" s="6"/>
      <c r="Q950" s="6"/>
      <c r="R950" s="6"/>
      <c r="S950" s="6"/>
      <c r="T950" s="6"/>
    </row>
    <row r="951" spans="4:20" x14ac:dyDescent="0.2">
      <c r="D951" s="6"/>
      <c r="E951" s="6"/>
      <c r="F951" s="6"/>
      <c r="G951" s="19"/>
      <c r="H951" s="19"/>
      <c r="I951" s="19"/>
      <c r="J951" s="19"/>
      <c r="K951" s="6"/>
      <c r="L951" s="6"/>
      <c r="M951" s="6"/>
      <c r="N951" s="6"/>
      <c r="O951" s="6"/>
      <c r="P951" s="6"/>
      <c r="Q951" s="6"/>
      <c r="R951" s="6"/>
      <c r="S951" s="6"/>
      <c r="T951" s="6"/>
    </row>
    <row r="952" spans="4:20" x14ac:dyDescent="0.2">
      <c r="D952" s="6"/>
      <c r="E952" s="6"/>
      <c r="F952" s="6"/>
      <c r="G952" s="19"/>
      <c r="H952" s="19"/>
      <c r="I952" s="19"/>
      <c r="J952" s="19"/>
      <c r="K952" s="6"/>
      <c r="L952" s="6"/>
      <c r="M952" s="6"/>
      <c r="N952" s="6"/>
      <c r="O952" s="6"/>
      <c r="P952" s="6"/>
      <c r="Q952" s="6"/>
      <c r="R952" s="6"/>
      <c r="S952" s="6"/>
      <c r="T952" s="6"/>
    </row>
    <row r="953" spans="4:20" x14ac:dyDescent="0.2">
      <c r="D953" s="6"/>
      <c r="E953" s="6"/>
      <c r="F953" s="6"/>
      <c r="G953" s="19"/>
      <c r="H953" s="19"/>
      <c r="I953" s="19"/>
      <c r="J953" s="19"/>
      <c r="K953" s="6"/>
      <c r="L953" s="6"/>
      <c r="M953" s="6"/>
      <c r="N953" s="6"/>
      <c r="O953" s="6"/>
      <c r="P953" s="6"/>
      <c r="Q953" s="6"/>
      <c r="R953" s="6"/>
      <c r="S953" s="6"/>
      <c r="T953" s="6"/>
    </row>
    <row r="954" spans="4:20" x14ac:dyDescent="0.2">
      <c r="D954" s="6"/>
      <c r="E954" s="6"/>
      <c r="F954" s="6"/>
      <c r="G954" s="19"/>
      <c r="H954" s="19"/>
      <c r="I954" s="19"/>
      <c r="J954" s="19"/>
      <c r="K954" s="6"/>
      <c r="L954" s="6"/>
      <c r="M954" s="6"/>
      <c r="N954" s="6"/>
      <c r="O954" s="6"/>
      <c r="P954" s="6"/>
      <c r="Q954" s="6"/>
      <c r="R954" s="6"/>
      <c r="S954" s="6"/>
      <c r="T954" s="6"/>
    </row>
    <row r="955" spans="4:20" x14ac:dyDescent="0.2">
      <c r="D955" s="6"/>
      <c r="E955" s="6"/>
      <c r="F955" s="6"/>
      <c r="G955" s="19"/>
      <c r="H955" s="19"/>
      <c r="I955" s="19"/>
      <c r="J955" s="19"/>
      <c r="K955" s="6"/>
      <c r="L955" s="6"/>
      <c r="M955" s="6"/>
      <c r="N955" s="6"/>
      <c r="O955" s="6"/>
      <c r="P955" s="6"/>
      <c r="Q955" s="6"/>
      <c r="R955" s="6"/>
      <c r="S955" s="6"/>
      <c r="T955" s="6"/>
    </row>
    <row r="956" spans="4:20" x14ac:dyDescent="0.2">
      <c r="D956" s="6"/>
      <c r="E956" s="6"/>
      <c r="F956" s="6"/>
      <c r="G956" s="19"/>
      <c r="H956" s="19"/>
      <c r="I956" s="19"/>
      <c r="J956" s="19"/>
      <c r="K956" s="6"/>
      <c r="L956" s="6"/>
      <c r="M956" s="6"/>
      <c r="N956" s="6"/>
      <c r="O956" s="6"/>
      <c r="P956" s="6"/>
      <c r="Q956" s="6"/>
      <c r="R956" s="6"/>
      <c r="S956" s="6"/>
      <c r="T956" s="6"/>
    </row>
    <row r="957" spans="4:20" x14ac:dyDescent="0.2">
      <c r="D957" s="6"/>
      <c r="E957" s="6"/>
      <c r="F957" s="6"/>
      <c r="G957" s="19"/>
      <c r="H957" s="19"/>
      <c r="I957" s="19"/>
      <c r="J957" s="19"/>
      <c r="K957" s="6"/>
      <c r="L957" s="6"/>
      <c r="M957" s="6"/>
      <c r="N957" s="6"/>
      <c r="O957" s="6"/>
      <c r="P957" s="6"/>
      <c r="Q957" s="6"/>
      <c r="R957" s="6"/>
      <c r="S957" s="6"/>
      <c r="T957" s="6"/>
    </row>
    <row r="958" spans="4:20" x14ac:dyDescent="0.2">
      <c r="D958" s="6"/>
      <c r="E958" s="6"/>
      <c r="F958" s="6"/>
      <c r="G958" s="19"/>
      <c r="H958" s="19"/>
      <c r="I958" s="19"/>
      <c r="J958" s="19"/>
      <c r="K958" s="6"/>
      <c r="L958" s="6"/>
      <c r="M958" s="6"/>
      <c r="N958" s="6"/>
      <c r="O958" s="6"/>
      <c r="P958" s="6"/>
      <c r="Q958" s="6"/>
      <c r="R958" s="6"/>
      <c r="S958" s="6"/>
      <c r="T958" s="6"/>
    </row>
    <row r="959" spans="4:20" x14ac:dyDescent="0.2">
      <c r="D959" s="6"/>
      <c r="E959" s="6"/>
      <c r="F959" s="6"/>
      <c r="G959" s="19"/>
      <c r="H959" s="19"/>
      <c r="I959" s="19"/>
      <c r="J959" s="19"/>
      <c r="K959" s="6"/>
      <c r="L959" s="6"/>
      <c r="M959" s="6"/>
      <c r="N959" s="6"/>
      <c r="O959" s="6"/>
      <c r="P959" s="6"/>
      <c r="Q959" s="6"/>
      <c r="R959" s="6"/>
      <c r="S959" s="6"/>
      <c r="T959" s="6"/>
    </row>
    <row r="960" spans="4:20" x14ac:dyDescent="0.2">
      <c r="D960" s="6"/>
      <c r="E960" s="6"/>
      <c r="F960" s="6"/>
      <c r="G960" s="19"/>
      <c r="H960" s="19"/>
      <c r="I960" s="19"/>
      <c r="J960" s="19"/>
      <c r="K960" s="6"/>
      <c r="L960" s="6"/>
      <c r="M960" s="6"/>
      <c r="N960" s="6"/>
      <c r="O960" s="6"/>
      <c r="P960" s="6"/>
      <c r="Q960" s="6"/>
      <c r="R960" s="6"/>
      <c r="S960" s="6"/>
      <c r="T960" s="6"/>
    </row>
    <row r="961" spans="4:20" x14ac:dyDescent="0.2">
      <c r="D961" s="6"/>
      <c r="E961" s="6"/>
      <c r="F961" s="6"/>
      <c r="G961" s="19"/>
      <c r="H961" s="19"/>
      <c r="I961" s="19"/>
      <c r="J961" s="19"/>
      <c r="K961" s="6"/>
      <c r="L961" s="6"/>
      <c r="M961" s="6"/>
      <c r="N961" s="6"/>
      <c r="O961" s="6"/>
      <c r="P961" s="6"/>
      <c r="Q961" s="6"/>
      <c r="R961" s="6"/>
      <c r="S961" s="6"/>
      <c r="T961" s="6"/>
    </row>
    <row r="962" spans="4:20" x14ac:dyDescent="0.2">
      <c r="D962" s="6"/>
      <c r="E962" s="6"/>
      <c r="F962" s="6"/>
      <c r="G962" s="19"/>
      <c r="H962" s="19"/>
      <c r="I962" s="19"/>
      <c r="J962" s="19"/>
      <c r="K962" s="6"/>
      <c r="L962" s="6"/>
      <c r="M962" s="6"/>
      <c r="N962" s="6"/>
      <c r="O962" s="6"/>
      <c r="P962" s="6"/>
      <c r="Q962" s="6"/>
      <c r="R962" s="6"/>
      <c r="S962" s="6"/>
      <c r="T962" s="6"/>
    </row>
    <row r="963" spans="4:20" x14ac:dyDescent="0.2">
      <c r="D963" s="6"/>
      <c r="E963" s="6"/>
      <c r="F963" s="6"/>
      <c r="G963" s="19"/>
      <c r="H963" s="19"/>
      <c r="I963" s="19"/>
      <c r="J963" s="19"/>
      <c r="K963" s="6"/>
      <c r="L963" s="6"/>
      <c r="M963" s="6"/>
      <c r="N963" s="6"/>
      <c r="O963" s="6"/>
      <c r="P963" s="6"/>
      <c r="Q963" s="6"/>
      <c r="R963" s="6"/>
      <c r="S963" s="6"/>
      <c r="T963" s="6"/>
    </row>
    <row r="964" spans="4:20" x14ac:dyDescent="0.2">
      <c r="D964" s="6"/>
      <c r="E964" s="6"/>
      <c r="F964" s="6"/>
      <c r="G964" s="19"/>
      <c r="H964" s="19"/>
      <c r="I964" s="19"/>
      <c r="J964" s="19"/>
      <c r="K964" s="6"/>
      <c r="L964" s="6"/>
      <c r="M964" s="6"/>
      <c r="N964" s="6"/>
      <c r="O964" s="6"/>
      <c r="P964" s="6"/>
      <c r="Q964" s="6"/>
      <c r="R964" s="6"/>
      <c r="S964" s="6"/>
      <c r="T964" s="6"/>
    </row>
    <row r="965" spans="4:20" x14ac:dyDescent="0.2">
      <c r="D965" s="6"/>
      <c r="E965" s="6"/>
      <c r="F965" s="6"/>
      <c r="G965" s="19"/>
      <c r="H965" s="19"/>
      <c r="I965" s="19"/>
      <c r="J965" s="19"/>
      <c r="K965" s="6"/>
      <c r="L965" s="6"/>
      <c r="M965" s="6"/>
      <c r="N965" s="6"/>
      <c r="O965" s="6"/>
      <c r="P965" s="6"/>
      <c r="Q965" s="6"/>
      <c r="R965" s="6"/>
      <c r="S965" s="6"/>
      <c r="T965" s="6"/>
    </row>
    <row r="966" spans="4:20" x14ac:dyDescent="0.2">
      <c r="D966" s="6"/>
      <c r="E966" s="6"/>
      <c r="F966" s="6"/>
      <c r="G966" s="19"/>
      <c r="H966" s="19"/>
      <c r="I966" s="19"/>
      <c r="J966" s="19"/>
      <c r="K966" s="6"/>
      <c r="L966" s="6"/>
      <c r="M966" s="6"/>
      <c r="N966" s="6"/>
      <c r="O966" s="6"/>
      <c r="P966" s="6"/>
      <c r="Q966" s="6"/>
      <c r="R966" s="6"/>
      <c r="S966" s="6"/>
      <c r="T966" s="6"/>
    </row>
    <row r="967" spans="4:20" x14ac:dyDescent="0.2">
      <c r="D967" s="6"/>
      <c r="E967" s="6"/>
      <c r="F967" s="6"/>
      <c r="G967" s="19"/>
      <c r="H967" s="19"/>
      <c r="I967" s="19"/>
      <c r="J967" s="19"/>
      <c r="K967" s="6"/>
      <c r="L967" s="6"/>
      <c r="M967" s="6"/>
      <c r="N967" s="6"/>
      <c r="O967" s="6"/>
      <c r="P967" s="6"/>
      <c r="Q967" s="6"/>
      <c r="R967" s="6"/>
      <c r="S967" s="6"/>
      <c r="T967" s="6"/>
    </row>
    <row r="968" spans="4:20" x14ac:dyDescent="0.2">
      <c r="D968" s="6"/>
      <c r="E968" s="6"/>
      <c r="F968" s="6"/>
      <c r="G968" s="19"/>
      <c r="H968" s="19"/>
      <c r="I968" s="19"/>
      <c r="J968" s="19"/>
      <c r="K968" s="6"/>
      <c r="L968" s="6"/>
      <c r="M968" s="6"/>
      <c r="N968" s="6"/>
      <c r="O968" s="6"/>
      <c r="P968" s="6"/>
      <c r="Q968" s="6"/>
      <c r="R968" s="6"/>
      <c r="S968" s="6"/>
      <c r="T968" s="6"/>
    </row>
    <row r="969" spans="4:20" x14ac:dyDescent="0.2">
      <c r="D969" s="6"/>
      <c r="E969" s="6"/>
      <c r="F969" s="6"/>
      <c r="G969" s="19"/>
      <c r="H969" s="19"/>
      <c r="I969" s="19"/>
      <c r="J969" s="19"/>
      <c r="K969" s="6"/>
      <c r="L969" s="6"/>
      <c r="M969" s="6"/>
      <c r="N969" s="6"/>
      <c r="O969" s="6"/>
      <c r="P969" s="6"/>
      <c r="Q969" s="6"/>
      <c r="R969" s="6"/>
      <c r="S969" s="6"/>
      <c r="T969" s="6"/>
    </row>
    <row r="970" spans="4:20" x14ac:dyDescent="0.2">
      <c r="D970" s="6"/>
      <c r="E970" s="6"/>
      <c r="F970" s="6"/>
      <c r="G970" s="19"/>
      <c r="H970" s="19"/>
      <c r="I970" s="19"/>
      <c r="J970" s="19"/>
      <c r="K970" s="6"/>
      <c r="L970" s="6"/>
      <c r="M970" s="6"/>
      <c r="N970" s="6"/>
      <c r="O970" s="6"/>
      <c r="P970" s="6"/>
      <c r="Q970" s="6"/>
      <c r="R970" s="6"/>
      <c r="S970" s="6"/>
      <c r="T970" s="6"/>
    </row>
    <row r="971" spans="4:20" x14ac:dyDescent="0.2">
      <c r="D971" s="6"/>
      <c r="E971" s="6"/>
      <c r="F971" s="6"/>
      <c r="G971" s="19"/>
      <c r="H971" s="19"/>
      <c r="I971" s="19"/>
      <c r="J971" s="19"/>
      <c r="K971" s="6"/>
      <c r="L971" s="6"/>
      <c r="M971" s="6"/>
      <c r="N971" s="6"/>
      <c r="O971" s="6"/>
      <c r="P971" s="6"/>
      <c r="Q971" s="6"/>
      <c r="R971" s="6"/>
      <c r="S971" s="6"/>
      <c r="T971" s="6"/>
    </row>
    <row r="972" spans="4:20" x14ac:dyDescent="0.2">
      <c r="D972" s="6"/>
      <c r="E972" s="6"/>
      <c r="F972" s="6"/>
      <c r="G972" s="19"/>
      <c r="H972" s="19"/>
      <c r="I972" s="19"/>
      <c r="J972" s="19"/>
      <c r="K972" s="6"/>
      <c r="L972" s="6"/>
      <c r="M972" s="6"/>
      <c r="N972" s="6"/>
      <c r="O972" s="6"/>
      <c r="P972" s="6"/>
      <c r="Q972" s="6"/>
      <c r="R972" s="6"/>
      <c r="S972" s="6"/>
      <c r="T972" s="6"/>
    </row>
    <row r="973" spans="4:20" x14ac:dyDescent="0.2">
      <c r="D973" s="6"/>
      <c r="E973" s="6"/>
      <c r="F973" s="6"/>
      <c r="G973" s="19"/>
      <c r="H973" s="19"/>
      <c r="I973" s="19"/>
      <c r="J973" s="19"/>
      <c r="K973" s="6"/>
      <c r="L973" s="6"/>
      <c r="M973" s="6"/>
      <c r="N973" s="6"/>
      <c r="O973" s="6"/>
      <c r="P973" s="6"/>
      <c r="Q973" s="6"/>
      <c r="R973" s="6"/>
      <c r="S973" s="6"/>
      <c r="T973" s="6"/>
    </row>
    <row r="974" spans="4:20" x14ac:dyDescent="0.2">
      <c r="D974" s="6"/>
      <c r="E974" s="6"/>
      <c r="F974" s="6"/>
      <c r="G974" s="19"/>
      <c r="H974" s="19"/>
      <c r="I974" s="19"/>
      <c r="J974" s="19"/>
      <c r="K974" s="6"/>
      <c r="L974" s="6"/>
      <c r="M974" s="6"/>
      <c r="N974" s="6"/>
      <c r="O974" s="6"/>
      <c r="P974" s="6"/>
      <c r="Q974" s="6"/>
      <c r="R974" s="6"/>
      <c r="S974" s="6"/>
      <c r="T974" s="6"/>
    </row>
    <row r="975" spans="4:20" x14ac:dyDescent="0.2">
      <c r="D975" s="6"/>
      <c r="E975" s="6"/>
      <c r="F975" s="6"/>
      <c r="G975" s="19"/>
      <c r="H975" s="19"/>
      <c r="I975" s="19"/>
      <c r="J975" s="19"/>
      <c r="K975" s="6"/>
      <c r="L975" s="6"/>
      <c r="M975" s="6"/>
      <c r="N975" s="6"/>
      <c r="O975" s="6"/>
      <c r="P975" s="6"/>
      <c r="Q975" s="6"/>
      <c r="R975" s="6"/>
      <c r="S975" s="6"/>
      <c r="T975" s="6"/>
    </row>
    <row r="976" spans="4:20" x14ac:dyDescent="0.2">
      <c r="D976" s="6"/>
      <c r="E976" s="6"/>
      <c r="F976" s="6"/>
      <c r="G976" s="19"/>
      <c r="H976" s="19"/>
      <c r="I976" s="19"/>
      <c r="J976" s="19"/>
      <c r="K976" s="6"/>
      <c r="L976" s="6"/>
      <c r="M976" s="6"/>
      <c r="N976" s="6"/>
      <c r="O976" s="6"/>
      <c r="P976" s="6"/>
      <c r="Q976" s="6"/>
      <c r="R976" s="6"/>
      <c r="S976" s="6"/>
      <c r="T976" s="6"/>
    </row>
    <row r="977" spans="4:20" x14ac:dyDescent="0.2">
      <c r="D977" s="6"/>
      <c r="E977" s="6"/>
      <c r="F977" s="6"/>
      <c r="G977" s="19"/>
      <c r="H977" s="19"/>
      <c r="I977" s="19"/>
      <c r="J977" s="19"/>
      <c r="K977" s="6"/>
      <c r="L977" s="6"/>
      <c r="M977" s="6"/>
      <c r="N977" s="6"/>
      <c r="O977" s="6"/>
      <c r="P977" s="6"/>
      <c r="Q977" s="6"/>
      <c r="R977" s="6"/>
      <c r="S977" s="6"/>
      <c r="T977" s="6"/>
    </row>
    <row r="978" spans="4:20" x14ac:dyDescent="0.2">
      <c r="D978" s="6"/>
      <c r="E978" s="6"/>
      <c r="F978" s="6"/>
      <c r="G978" s="19"/>
      <c r="H978" s="19"/>
      <c r="I978" s="19"/>
      <c r="J978" s="19"/>
      <c r="K978" s="6"/>
      <c r="L978" s="6"/>
      <c r="M978" s="6"/>
      <c r="N978" s="6"/>
      <c r="O978" s="6"/>
      <c r="P978" s="6"/>
      <c r="Q978" s="6"/>
      <c r="R978" s="6"/>
      <c r="S978" s="6"/>
      <c r="T978" s="6"/>
    </row>
    <row r="979" spans="4:20" x14ac:dyDescent="0.2">
      <c r="D979" s="6"/>
      <c r="E979" s="6"/>
      <c r="F979" s="6"/>
      <c r="G979" s="19"/>
      <c r="H979" s="19"/>
      <c r="I979" s="19"/>
      <c r="J979" s="19"/>
      <c r="K979" s="6"/>
      <c r="L979" s="6"/>
      <c r="M979" s="6"/>
      <c r="N979" s="6"/>
      <c r="O979" s="6"/>
      <c r="P979" s="6"/>
      <c r="Q979" s="6"/>
      <c r="R979" s="6"/>
      <c r="S979" s="6"/>
      <c r="T979" s="6"/>
    </row>
    <row r="980" spans="4:20" x14ac:dyDescent="0.2">
      <c r="D980" s="6"/>
      <c r="E980" s="6"/>
      <c r="F980" s="6"/>
      <c r="G980" s="19"/>
      <c r="H980" s="19"/>
      <c r="I980" s="19"/>
      <c r="J980" s="19"/>
      <c r="K980" s="6"/>
      <c r="L980" s="6"/>
      <c r="M980" s="6"/>
      <c r="N980" s="6"/>
      <c r="O980" s="6"/>
      <c r="P980" s="6"/>
      <c r="Q980" s="6"/>
      <c r="R980" s="6"/>
      <c r="S980" s="6"/>
      <c r="T980" s="6"/>
    </row>
    <row r="981" spans="4:20" x14ac:dyDescent="0.2">
      <c r="D981" s="6"/>
      <c r="E981" s="6"/>
      <c r="F981" s="6"/>
      <c r="G981" s="19"/>
      <c r="H981" s="19"/>
      <c r="I981" s="19"/>
      <c r="J981" s="19"/>
      <c r="K981" s="6"/>
      <c r="L981" s="6"/>
      <c r="M981" s="6"/>
      <c r="N981" s="6"/>
      <c r="O981" s="6"/>
      <c r="P981" s="6"/>
      <c r="Q981" s="6"/>
      <c r="R981" s="6"/>
      <c r="S981" s="6"/>
      <c r="T981" s="6"/>
    </row>
    <row r="982" spans="4:20" x14ac:dyDescent="0.2">
      <c r="D982" s="6"/>
      <c r="E982" s="6"/>
      <c r="F982" s="6"/>
      <c r="G982" s="19"/>
      <c r="H982" s="19"/>
      <c r="I982" s="19"/>
      <c r="J982" s="19"/>
      <c r="K982" s="6"/>
      <c r="L982" s="6"/>
      <c r="M982" s="6"/>
      <c r="N982" s="6"/>
      <c r="O982" s="6"/>
      <c r="P982" s="6"/>
      <c r="Q982" s="6"/>
      <c r="R982" s="6"/>
      <c r="S982" s="6"/>
      <c r="T982" s="6"/>
    </row>
    <row r="983" spans="4:20" x14ac:dyDescent="0.2">
      <c r="D983" s="6"/>
      <c r="E983" s="6"/>
      <c r="F983" s="6"/>
      <c r="G983" s="19"/>
      <c r="H983" s="19"/>
      <c r="I983" s="19"/>
      <c r="J983" s="19"/>
      <c r="K983" s="6"/>
      <c r="L983" s="6"/>
      <c r="M983" s="6"/>
      <c r="N983" s="6"/>
      <c r="O983" s="6"/>
      <c r="P983" s="6"/>
      <c r="Q983" s="6"/>
      <c r="R983" s="6"/>
      <c r="S983" s="6"/>
      <c r="T983" s="6"/>
    </row>
    <row r="984" spans="4:20" x14ac:dyDescent="0.2">
      <c r="D984" s="6"/>
      <c r="E984" s="6"/>
      <c r="F984" s="6"/>
      <c r="G984" s="19"/>
      <c r="H984" s="19"/>
      <c r="I984" s="19"/>
      <c r="J984" s="19"/>
      <c r="K984" s="6"/>
      <c r="L984" s="6"/>
      <c r="M984" s="6"/>
      <c r="N984" s="6"/>
      <c r="O984" s="6"/>
      <c r="P984" s="6"/>
      <c r="Q984" s="6"/>
      <c r="R984" s="6"/>
      <c r="S984" s="6"/>
      <c r="T984" s="6"/>
    </row>
    <row r="985" spans="4:20" x14ac:dyDescent="0.2">
      <c r="D985" s="6"/>
      <c r="E985" s="6"/>
      <c r="F985" s="6"/>
      <c r="G985" s="19"/>
      <c r="H985" s="19"/>
      <c r="I985" s="19"/>
      <c r="J985" s="19"/>
      <c r="K985" s="6"/>
      <c r="L985" s="6"/>
      <c r="M985" s="6"/>
      <c r="N985" s="6"/>
      <c r="O985" s="6"/>
      <c r="P985" s="6"/>
      <c r="Q985" s="6"/>
      <c r="R985" s="6"/>
      <c r="S985" s="6"/>
      <c r="T985" s="6"/>
    </row>
    <row r="986" spans="4:20" x14ac:dyDescent="0.2">
      <c r="D986" s="6"/>
      <c r="E986" s="6"/>
      <c r="F986" s="6"/>
      <c r="G986" s="19"/>
      <c r="H986" s="19"/>
      <c r="I986" s="19"/>
      <c r="J986" s="19"/>
      <c r="K986" s="6"/>
      <c r="L986" s="6"/>
      <c r="M986" s="6"/>
      <c r="N986" s="6"/>
      <c r="O986" s="6"/>
      <c r="P986" s="6"/>
      <c r="Q986" s="6"/>
      <c r="R986" s="6"/>
      <c r="S986" s="6"/>
      <c r="T986" s="6"/>
    </row>
    <row r="987" spans="4:20" x14ac:dyDescent="0.2">
      <c r="D987" s="6"/>
      <c r="E987" s="6"/>
      <c r="F987" s="6"/>
      <c r="G987" s="19"/>
      <c r="H987" s="19"/>
      <c r="I987" s="19"/>
      <c r="J987" s="19"/>
      <c r="K987" s="6"/>
      <c r="L987" s="6"/>
      <c r="M987" s="6"/>
      <c r="N987" s="6"/>
      <c r="O987" s="6"/>
      <c r="P987" s="6"/>
      <c r="Q987" s="6"/>
      <c r="R987" s="6"/>
      <c r="S987" s="6"/>
      <c r="T987" s="6"/>
    </row>
    <row r="988" spans="4:20" x14ac:dyDescent="0.2">
      <c r="D988" s="6"/>
      <c r="E988" s="6"/>
      <c r="F988" s="6"/>
      <c r="G988" s="19"/>
      <c r="H988" s="19"/>
      <c r="I988" s="19"/>
      <c r="J988" s="19"/>
      <c r="K988" s="6"/>
      <c r="L988" s="6"/>
      <c r="M988" s="6"/>
      <c r="N988" s="6"/>
      <c r="O988" s="6"/>
      <c r="P988" s="6"/>
      <c r="Q988" s="6"/>
      <c r="R988" s="6"/>
      <c r="S988" s="6"/>
      <c r="T988" s="6"/>
    </row>
    <row r="989" spans="4:20" x14ac:dyDescent="0.2">
      <c r="D989" s="6"/>
      <c r="E989" s="6"/>
      <c r="F989" s="6"/>
      <c r="G989" s="19"/>
      <c r="H989" s="19"/>
      <c r="I989" s="19"/>
      <c r="J989" s="19"/>
      <c r="K989" s="6"/>
      <c r="L989" s="6"/>
      <c r="M989" s="6"/>
      <c r="N989" s="6"/>
      <c r="O989" s="6"/>
      <c r="P989" s="6"/>
      <c r="Q989" s="6"/>
      <c r="R989" s="6"/>
      <c r="S989" s="6"/>
      <c r="T989" s="6"/>
    </row>
    <row r="990" spans="4:20" x14ac:dyDescent="0.2">
      <c r="D990" s="6"/>
      <c r="E990" s="6"/>
      <c r="F990" s="6"/>
      <c r="G990" s="19"/>
      <c r="H990" s="19"/>
      <c r="I990" s="19"/>
      <c r="J990" s="19"/>
      <c r="K990" s="6"/>
      <c r="L990" s="6"/>
      <c r="M990" s="6"/>
      <c r="N990" s="6"/>
      <c r="O990" s="6"/>
      <c r="P990" s="6"/>
      <c r="Q990" s="6"/>
      <c r="R990" s="6"/>
      <c r="S990" s="6"/>
      <c r="T990" s="6"/>
    </row>
    <row r="991" spans="4:20" x14ac:dyDescent="0.2">
      <c r="D991" s="6"/>
      <c r="E991" s="6"/>
      <c r="F991" s="6"/>
      <c r="G991" s="19"/>
      <c r="H991" s="19"/>
      <c r="I991" s="19"/>
      <c r="J991" s="19"/>
      <c r="K991" s="6"/>
      <c r="L991" s="6"/>
      <c r="M991" s="6"/>
      <c r="N991" s="6"/>
      <c r="O991" s="6"/>
      <c r="P991" s="6"/>
      <c r="Q991" s="6"/>
      <c r="R991" s="6"/>
      <c r="S991" s="6"/>
      <c r="T991" s="6"/>
    </row>
    <row r="992" spans="4:20" x14ac:dyDescent="0.2">
      <c r="D992" s="6"/>
      <c r="E992" s="6"/>
      <c r="F992" s="6"/>
      <c r="G992" s="19"/>
      <c r="H992" s="19"/>
      <c r="I992" s="19"/>
      <c r="J992" s="19"/>
      <c r="K992" s="6"/>
      <c r="L992" s="6"/>
      <c r="M992" s="6"/>
      <c r="N992" s="6"/>
      <c r="O992" s="6"/>
      <c r="P992" s="6"/>
      <c r="Q992" s="6"/>
      <c r="R992" s="6"/>
      <c r="S992" s="6"/>
      <c r="T992" s="6"/>
    </row>
    <row r="993" spans="4:20" x14ac:dyDescent="0.2">
      <c r="D993" s="6"/>
      <c r="E993" s="6"/>
      <c r="F993" s="6"/>
      <c r="G993" s="19"/>
      <c r="H993" s="19"/>
      <c r="I993" s="19"/>
      <c r="J993" s="19"/>
      <c r="K993" s="6"/>
      <c r="L993" s="6"/>
      <c r="M993" s="6"/>
      <c r="N993" s="6"/>
      <c r="O993" s="6"/>
      <c r="P993" s="6"/>
      <c r="Q993" s="6"/>
      <c r="R993" s="6"/>
      <c r="S993" s="6"/>
      <c r="T993" s="6"/>
    </row>
    <row r="994" spans="4:20" x14ac:dyDescent="0.2">
      <c r="D994" s="6"/>
      <c r="E994" s="6"/>
      <c r="F994" s="6"/>
      <c r="G994" s="19"/>
      <c r="H994" s="19"/>
      <c r="I994" s="19"/>
      <c r="J994" s="19"/>
      <c r="K994" s="6"/>
      <c r="L994" s="6"/>
      <c r="M994" s="6"/>
      <c r="N994" s="6"/>
      <c r="O994" s="6"/>
      <c r="P994" s="6"/>
      <c r="Q994" s="6"/>
      <c r="R994" s="6"/>
      <c r="S994" s="6"/>
      <c r="T994" s="6"/>
    </row>
    <row r="995" spans="4:20" x14ac:dyDescent="0.2">
      <c r="D995" s="6"/>
      <c r="E995" s="6"/>
      <c r="F995" s="6"/>
      <c r="G995" s="19"/>
      <c r="H995" s="19"/>
      <c r="I995" s="19"/>
      <c r="J995" s="19"/>
      <c r="K995" s="6"/>
      <c r="L995" s="6"/>
      <c r="M995" s="6"/>
      <c r="N995" s="6"/>
      <c r="O995" s="6"/>
      <c r="P995" s="6"/>
      <c r="Q995" s="6"/>
      <c r="R995" s="6"/>
      <c r="S995" s="6"/>
      <c r="T995" s="6"/>
    </row>
    <row r="996" spans="4:20" x14ac:dyDescent="0.2">
      <c r="D996" s="6"/>
      <c r="E996" s="6"/>
      <c r="F996" s="6"/>
      <c r="G996" s="19"/>
      <c r="H996" s="19"/>
      <c r="I996" s="19"/>
      <c r="J996" s="19"/>
      <c r="K996" s="6"/>
      <c r="L996" s="6"/>
      <c r="M996" s="6"/>
      <c r="N996" s="6"/>
      <c r="O996" s="6"/>
      <c r="P996" s="6"/>
      <c r="Q996" s="6"/>
      <c r="R996" s="6"/>
      <c r="S996" s="6"/>
      <c r="T996" s="6"/>
    </row>
    <row r="997" spans="4:20" x14ac:dyDescent="0.2">
      <c r="D997" s="6"/>
      <c r="E997" s="6"/>
      <c r="F997" s="6"/>
      <c r="G997" s="19"/>
      <c r="H997" s="19"/>
      <c r="I997" s="19"/>
      <c r="J997" s="19"/>
      <c r="K997" s="6"/>
      <c r="L997" s="6"/>
      <c r="M997" s="6"/>
      <c r="N997" s="6"/>
      <c r="O997" s="6"/>
      <c r="P997" s="6"/>
      <c r="Q997" s="6"/>
      <c r="R997" s="6"/>
      <c r="S997" s="6"/>
      <c r="T997" s="6"/>
    </row>
    <row r="998" spans="4:20" x14ac:dyDescent="0.2">
      <c r="D998" s="6"/>
      <c r="E998" s="6"/>
      <c r="F998" s="6"/>
      <c r="G998" s="19"/>
      <c r="H998" s="19"/>
      <c r="I998" s="19"/>
      <c r="J998" s="19"/>
      <c r="K998" s="6"/>
      <c r="L998" s="6"/>
      <c r="M998" s="6"/>
      <c r="N998" s="6"/>
      <c r="O998" s="6"/>
      <c r="P998" s="6"/>
      <c r="Q998" s="6"/>
      <c r="R998" s="6"/>
      <c r="S998" s="6"/>
      <c r="T998" s="6"/>
    </row>
    <row r="999" spans="4:20" x14ac:dyDescent="0.2">
      <c r="D999" s="6"/>
      <c r="E999" s="6"/>
      <c r="F999" s="6"/>
      <c r="G999" s="19"/>
      <c r="H999" s="19"/>
      <c r="I999" s="19"/>
      <c r="J999" s="19"/>
      <c r="K999" s="6"/>
      <c r="L999" s="6"/>
      <c r="M999" s="6"/>
      <c r="N999" s="6"/>
      <c r="O999" s="6"/>
      <c r="P999" s="6"/>
      <c r="Q999" s="6"/>
      <c r="R999" s="6"/>
      <c r="S999" s="6"/>
      <c r="T999" s="6"/>
    </row>
    <row r="1000" spans="4:20" x14ac:dyDescent="0.2">
      <c r="D1000" s="6"/>
      <c r="E1000" s="6"/>
      <c r="F1000" s="6"/>
      <c r="G1000" s="19"/>
      <c r="H1000" s="19"/>
      <c r="I1000" s="19"/>
      <c r="J1000" s="19"/>
      <c r="K1000" s="6"/>
      <c r="L1000" s="6"/>
      <c r="M1000" s="6"/>
      <c r="N1000" s="6"/>
      <c r="O1000" s="6"/>
      <c r="P1000" s="6"/>
      <c r="Q1000" s="6"/>
      <c r="R1000" s="6"/>
      <c r="S1000" s="6"/>
      <c r="T1000" s="6"/>
    </row>
    <row r="1001" spans="4:20" x14ac:dyDescent="0.2">
      <c r="D1001" s="6"/>
      <c r="E1001" s="6"/>
      <c r="F1001" s="6"/>
      <c r="G1001" s="19"/>
      <c r="H1001" s="19"/>
      <c r="I1001" s="19"/>
      <c r="J1001" s="19"/>
      <c r="K1001" s="6"/>
      <c r="L1001" s="6"/>
      <c r="M1001" s="6"/>
      <c r="N1001" s="6"/>
      <c r="O1001" s="6"/>
      <c r="P1001" s="6"/>
      <c r="Q1001" s="6"/>
      <c r="R1001" s="6"/>
      <c r="S1001" s="6"/>
      <c r="T1001" s="6"/>
    </row>
    <row r="1002" spans="4:20" x14ac:dyDescent="0.2">
      <c r="D1002" s="6"/>
      <c r="E1002" s="6"/>
      <c r="F1002" s="6"/>
      <c r="G1002" s="19"/>
      <c r="H1002" s="19"/>
      <c r="I1002" s="19"/>
      <c r="J1002" s="19"/>
      <c r="K1002" s="6"/>
      <c r="L1002" s="6"/>
      <c r="M1002" s="6"/>
      <c r="N1002" s="6"/>
      <c r="O1002" s="6"/>
      <c r="P1002" s="6"/>
      <c r="Q1002" s="6"/>
      <c r="R1002" s="6"/>
      <c r="S1002" s="6"/>
      <c r="T1002" s="6"/>
    </row>
    <row r="1003" spans="4:20" x14ac:dyDescent="0.2">
      <c r="D1003" s="6"/>
      <c r="E1003" s="6"/>
      <c r="F1003" s="6"/>
      <c r="G1003" s="19"/>
      <c r="H1003" s="19"/>
      <c r="I1003" s="19"/>
      <c r="J1003" s="19"/>
      <c r="K1003" s="6"/>
      <c r="L1003" s="6"/>
      <c r="M1003" s="6"/>
      <c r="N1003" s="6"/>
      <c r="O1003" s="6"/>
      <c r="P1003" s="6"/>
      <c r="Q1003" s="6"/>
      <c r="R1003" s="6"/>
      <c r="S1003" s="6"/>
      <c r="T1003" s="6"/>
    </row>
    <row r="1004" spans="4:20" x14ac:dyDescent="0.2">
      <c r="D1004" s="6"/>
      <c r="E1004" s="6"/>
      <c r="F1004" s="6"/>
      <c r="G1004" s="19"/>
      <c r="H1004" s="19"/>
      <c r="I1004" s="19"/>
      <c r="J1004" s="19"/>
      <c r="K1004" s="6"/>
      <c r="L1004" s="6"/>
      <c r="M1004" s="6"/>
      <c r="N1004" s="6"/>
      <c r="O1004" s="6"/>
      <c r="P1004" s="6"/>
      <c r="Q1004" s="6"/>
      <c r="R1004" s="6"/>
      <c r="S1004" s="6"/>
      <c r="T1004" s="6"/>
    </row>
    <row r="1005" spans="4:20" x14ac:dyDescent="0.2">
      <c r="D1005" s="6"/>
      <c r="E1005" s="6"/>
      <c r="F1005" s="6"/>
      <c r="G1005" s="19"/>
      <c r="H1005" s="19"/>
      <c r="I1005" s="19"/>
      <c r="J1005" s="19"/>
      <c r="K1005" s="6"/>
      <c r="L1005" s="6"/>
      <c r="M1005" s="6"/>
      <c r="N1005" s="6"/>
      <c r="O1005" s="6"/>
      <c r="P1005" s="6"/>
      <c r="Q1005" s="6"/>
      <c r="R1005" s="6"/>
      <c r="S1005" s="6"/>
      <c r="T1005" s="6"/>
    </row>
    <row r="1006" spans="4:20" x14ac:dyDescent="0.2">
      <c r="D1006" s="6"/>
      <c r="E1006" s="6"/>
      <c r="F1006" s="6"/>
      <c r="G1006" s="19"/>
      <c r="H1006" s="19"/>
      <c r="I1006" s="19"/>
      <c r="J1006" s="19"/>
      <c r="K1006" s="6"/>
      <c r="L1006" s="6"/>
      <c r="M1006" s="6"/>
      <c r="N1006" s="6"/>
      <c r="O1006" s="6"/>
      <c r="P1006" s="6"/>
      <c r="Q1006" s="6"/>
      <c r="R1006" s="6"/>
      <c r="S1006" s="6"/>
      <c r="T1006" s="6"/>
    </row>
    <row r="1007" spans="4:20" x14ac:dyDescent="0.2">
      <c r="D1007" s="6"/>
      <c r="E1007" s="6"/>
      <c r="F1007" s="6"/>
      <c r="G1007" s="19"/>
      <c r="H1007" s="19"/>
      <c r="I1007" s="19"/>
      <c r="J1007" s="19"/>
      <c r="K1007" s="6"/>
      <c r="L1007" s="6"/>
      <c r="M1007" s="6"/>
      <c r="N1007" s="6"/>
      <c r="O1007" s="6"/>
      <c r="P1007" s="6"/>
      <c r="Q1007" s="6"/>
      <c r="R1007" s="6"/>
      <c r="S1007" s="6"/>
      <c r="T1007" s="6"/>
    </row>
    <row r="1008" spans="4:20" x14ac:dyDescent="0.2">
      <c r="D1008" s="6"/>
      <c r="E1008" s="6"/>
      <c r="F1008" s="6"/>
      <c r="G1008" s="19"/>
      <c r="H1008" s="19"/>
      <c r="I1008" s="19"/>
      <c r="J1008" s="19"/>
      <c r="K1008" s="6"/>
      <c r="L1008" s="6"/>
      <c r="M1008" s="6"/>
      <c r="N1008" s="6"/>
      <c r="O1008" s="6"/>
      <c r="P1008" s="6"/>
      <c r="Q1008" s="6"/>
      <c r="R1008" s="6"/>
      <c r="S1008" s="6"/>
      <c r="T1008" s="6"/>
    </row>
    <row r="1009" spans="4:20" x14ac:dyDescent="0.2">
      <c r="D1009" s="6"/>
      <c r="E1009" s="6"/>
      <c r="F1009" s="6"/>
      <c r="G1009" s="19"/>
      <c r="H1009" s="19"/>
      <c r="I1009" s="19"/>
      <c r="J1009" s="19"/>
      <c r="K1009" s="6"/>
      <c r="L1009" s="6"/>
      <c r="M1009" s="6"/>
      <c r="N1009" s="6"/>
      <c r="O1009" s="6"/>
      <c r="P1009" s="6"/>
      <c r="Q1009" s="6"/>
      <c r="R1009" s="6"/>
      <c r="S1009" s="6"/>
      <c r="T1009" s="6"/>
    </row>
    <row r="1010" spans="4:20" x14ac:dyDescent="0.2">
      <c r="D1010" s="6"/>
      <c r="E1010" s="6"/>
      <c r="F1010" s="6"/>
      <c r="G1010" s="19"/>
      <c r="H1010" s="19"/>
      <c r="I1010" s="19"/>
      <c r="J1010" s="19"/>
      <c r="K1010" s="6"/>
      <c r="L1010" s="6"/>
      <c r="M1010" s="6"/>
      <c r="N1010" s="6"/>
      <c r="O1010" s="6"/>
      <c r="P1010" s="6"/>
      <c r="Q1010" s="6"/>
      <c r="R1010" s="6"/>
      <c r="S1010" s="6"/>
      <c r="T1010" s="6"/>
    </row>
    <row r="1011" spans="4:20" x14ac:dyDescent="0.2">
      <c r="D1011" s="6"/>
      <c r="E1011" s="6"/>
      <c r="F1011" s="6"/>
      <c r="G1011" s="19"/>
      <c r="H1011" s="19"/>
      <c r="I1011" s="19"/>
      <c r="J1011" s="19"/>
      <c r="K1011" s="6"/>
      <c r="L1011" s="6"/>
      <c r="M1011" s="6"/>
      <c r="N1011" s="6"/>
      <c r="O1011" s="6"/>
      <c r="P1011" s="6"/>
      <c r="Q1011" s="6"/>
      <c r="R1011" s="6"/>
      <c r="S1011" s="6"/>
      <c r="T1011" s="6"/>
    </row>
    <row r="1012" spans="4:20" x14ac:dyDescent="0.2">
      <c r="D1012" s="6"/>
      <c r="E1012" s="6"/>
      <c r="F1012" s="6"/>
      <c r="G1012" s="19"/>
      <c r="H1012" s="19"/>
      <c r="I1012" s="19"/>
      <c r="J1012" s="19"/>
      <c r="K1012" s="6"/>
      <c r="L1012" s="6"/>
      <c r="M1012" s="6"/>
      <c r="N1012" s="6"/>
      <c r="O1012" s="6"/>
      <c r="P1012" s="6"/>
      <c r="Q1012" s="6"/>
      <c r="R1012" s="6"/>
      <c r="S1012" s="6"/>
      <c r="T1012" s="6"/>
    </row>
    <row r="1013" spans="4:20" x14ac:dyDescent="0.2">
      <c r="D1013" s="6"/>
      <c r="E1013" s="6"/>
      <c r="F1013" s="6"/>
      <c r="G1013" s="19"/>
      <c r="H1013" s="19"/>
      <c r="I1013" s="19"/>
      <c r="J1013" s="19"/>
      <c r="K1013" s="6"/>
      <c r="L1013" s="6"/>
      <c r="M1013" s="6"/>
      <c r="N1013" s="6"/>
      <c r="O1013" s="6"/>
      <c r="P1013" s="6"/>
      <c r="Q1013" s="6"/>
      <c r="R1013" s="6"/>
      <c r="S1013" s="6"/>
      <c r="T1013" s="6"/>
    </row>
    <row r="1014" spans="4:20" x14ac:dyDescent="0.2">
      <c r="D1014" s="6"/>
      <c r="E1014" s="6"/>
      <c r="F1014" s="6"/>
      <c r="G1014" s="19"/>
      <c r="H1014" s="19"/>
      <c r="I1014" s="19"/>
      <c r="J1014" s="19"/>
      <c r="K1014" s="6"/>
      <c r="L1014" s="6"/>
      <c r="M1014" s="6"/>
      <c r="N1014" s="6"/>
      <c r="O1014" s="6"/>
      <c r="P1014" s="6"/>
      <c r="Q1014" s="6"/>
      <c r="R1014" s="6"/>
      <c r="S1014" s="6"/>
      <c r="T1014" s="6"/>
    </row>
    <row r="1015" spans="4:20" x14ac:dyDescent="0.2">
      <c r="D1015" s="6"/>
      <c r="E1015" s="6"/>
      <c r="F1015" s="6"/>
      <c r="G1015" s="19"/>
      <c r="H1015" s="19"/>
      <c r="I1015" s="19"/>
      <c r="J1015" s="19"/>
      <c r="K1015" s="6"/>
      <c r="L1015" s="6"/>
      <c r="M1015" s="6"/>
      <c r="N1015" s="6"/>
      <c r="O1015" s="6"/>
      <c r="P1015" s="6"/>
      <c r="Q1015" s="6"/>
      <c r="R1015" s="6"/>
      <c r="S1015" s="6"/>
      <c r="T1015" s="6"/>
    </row>
    <row r="1016" spans="4:20" x14ac:dyDescent="0.2">
      <c r="D1016" s="6"/>
      <c r="E1016" s="6"/>
      <c r="F1016" s="6"/>
      <c r="G1016" s="19"/>
      <c r="H1016" s="19"/>
      <c r="I1016" s="19"/>
      <c r="J1016" s="19"/>
      <c r="K1016" s="6"/>
      <c r="L1016" s="6"/>
      <c r="M1016" s="6"/>
      <c r="N1016" s="6"/>
      <c r="O1016" s="6"/>
      <c r="P1016" s="6"/>
      <c r="Q1016" s="6"/>
      <c r="R1016" s="6"/>
      <c r="S1016" s="6"/>
      <c r="T1016" s="6"/>
    </row>
    <row r="1017" spans="4:20" x14ac:dyDescent="0.2">
      <c r="D1017" s="6"/>
      <c r="E1017" s="6"/>
      <c r="F1017" s="6"/>
      <c r="G1017" s="19"/>
      <c r="H1017" s="19"/>
      <c r="I1017" s="19"/>
      <c r="J1017" s="19"/>
      <c r="K1017" s="6"/>
      <c r="L1017" s="6"/>
      <c r="M1017" s="6"/>
      <c r="N1017" s="6"/>
      <c r="O1017" s="6"/>
      <c r="P1017" s="6"/>
      <c r="Q1017" s="6"/>
      <c r="R1017" s="6"/>
      <c r="S1017" s="6"/>
      <c r="T1017" s="6"/>
    </row>
    <row r="1018" spans="4:20" x14ac:dyDescent="0.2">
      <c r="D1018" s="6"/>
      <c r="E1018" s="6"/>
      <c r="F1018" s="6"/>
      <c r="G1018" s="19"/>
      <c r="H1018" s="19"/>
      <c r="I1018" s="19"/>
      <c r="J1018" s="19"/>
      <c r="K1018" s="6"/>
      <c r="L1018" s="6"/>
      <c r="M1018" s="6"/>
      <c r="N1018" s="6"/>
      <c r="O1018" s="6"/>
      <c r="P1018" s="6"/>
      <c r="Q1018" s="6"/>
      <c r="R1018" s="6"/>
      <c r="S1018" s="6"/>
      <c r="T1018" s="6"/>
    </row>
    <row r="1019" spans="4:20" x14ac:dyDescent="0.2">
      <c r="D1019" s="6"/>
      <c r="E1019" s="6"/>
      <c r="F1019" s="6"/>
      <c r="G1019" s="19"/>
      <c r="H1019" s="19"/>
      <c r="I1019" s="19"/>
      <c r="J1019" s="19"/>
      <c r="K1019" s="6"/>
      <c r="L1019" s="6"/>
      <c r="M1019" s="6"/>
      <c r="N1019" s="6"/>
      <c r="O1019" s="6"/>
      <c r="P1019" s="6"/>
      <c r="Q1019" s="6"/>
      <c r="R1019" s="6"/>
      <c r="S1019" s="6"/>
      <c r="T1019" s="6"/>
    </row>
    <row r="1020" spans="4:20" x14ac:dyDescent="0.2">
      <c r="D1020" s="6"/>
      <c r="E1020" s="6"/>
      <c r="F1020" s="6"/>
      <c r="G1020" s="19"/>
      <c r="H1020" s="19"/>
      <c r="I1020" s="19"/>
      <c r="J1020" s="19"/>
      <c r="K1020" s="6"/>
      <c r="L1020" s="6"/>
      <c r="M1020" s="6"/>
      <c r="N1020" s="6"/>
      <c r="O1020" s="6"/>
      <c r="P1020" s="6"/>
      <c r="Q1020" s="6"/>
      <c r="R1020" s="6"/>
      <c r="S1020" s="6"/>
      <c r="T1020" s="6"/>
    </row>
    <row r="1021" spans="4:20" x14ac:dyDescent="0.2">
      <c r="D1021" s="6"/>
      <c r="E1021" s="6"/>
      <c r="F1021" s="6"/>
      <c r="G1021" s="19"/>
      <c r="H1021" s="19"/>
      <c r="I1021" s="19"/>
      <c r="J1021" s="19"/>
      <c r="K1021" s="6"/>
      <c r="L1021" s="6"/>
      <c r="M1021" s="6"/>
      <c r="N1021" s="6"/>
      <c r="O1021" s="6"/>
      <c r="P1021" s="6"/>
      <c r="Q1021" s="6"/>
      <c r="R1021" s="6"/>
      <c r="S1021" s="6"/>
      <c r="T1021" s="6"/>
    </row>
    <row r="1022" spans="4:20" x14ac:dyDescent="0.2">
      <c r="D1022" s="6"/>
      <c r="E1022" s="6"/>
      <c r="F1022" s="6"/>
      <c r="G1022" s="19"/>
      <c r="H1022" s="19"/>
      <c r="I1022" s="19"/>
      <c r="J1022" s="19"/>
      <c r="K1022" s="6"/>
      <c r="L1022" s="6"/>
      <c r="M1022" s="6"/>
      <c r="N1022" s="6"/>
      <c r="O1022" s="6"/>
      <c r="P1022" s="6"/>
      <c r="Q1022" s="6"/>
      <c r="R1022" s="6"/>
      <c r="S1022" s="6"/>
      <c r="T1022" s="6"/>
    </row>
    <row r="1023" spans="4:20" x14ac:dyDescent="0.2">
      <c r="D1023" s="6"/>
      <c r="E1023" s="6"/>
      <c r="F1023" s="6"/>
      <c r="G1023" s="19"/>
      <c r="H1023" s="19"/>
      <c r="I1023" s="19"/>
      <c r="J1023" s="19"/>
      <c r="K1023" s="6"/>
      <c r="L1023" s="6"/>
      <c r="M1023" s="6"/>
      <c r="N1023" s="6"/>
      <c r="O1023" s="6"/>
      <c r="P1023" s="6"/>
      <c r="Q1023" s="6"/>
      <c r="R1023" s="6"/>
      <c r="S1023" s="6"/>
      <c r="T1023" s="6"/>
    </row>
    <row r="1024" spans="4:20" x14ac:dyDescent="0.2">
      <c r="D1024" s="6"/>
      <c r="E1024" s="6"/>
      <c r="F1024" s="6"/>
      <c r="G1024" s="19"/>
      <c r="H1024" s="19"/>
      <c r="I1024" s="19"/>
      <c r="J1024" s="19"/>
      <c r="K1024" s="6"/>
      <c r="L1024" s="6"/>
      <c r="M1024" s="6"/>
      <c r="N1024" s="6"/>
      <c r="O1024" s="6"/>
      <c r="P1024" s="6"/>
      <c r="Q1024" s="6"/>
      <c r="R1024" s="6"/>
      <c r="S1024" s="6"/>
      <c r="T1024" s="6"/>
    </row>
    <row r="1025" spans="4:20" x14ac:dyDescent="0.2">
      <c r="D1025" s="6"/>
      <c r="E1025" s="6"/>
      <c r="F1025" s="6"/>
      <c r="G1025" s="19"/>
      <c r="H1025" s="19"/>
      <c r="I1025" s="19"/>
      <c r="J1025" s="19"/>
      <c r="K1025" s="6"/>
      <c r="L1025" s="6"/>
      <c r="M1025" s="6"/>
      <c r="N1025" s="6"/>
      <c r="O1025" s="6"/>
      <c r="P1025" s="6"/>
      <c r="Q1025" s="6"/>
      <c r="R1025" s="6"/>
      <c r="S1025" s="6"/>
      <c r="T1025" s="6"/>
    </row>
    <row r="1026" spans="4:20" x14ac:dyDescent="0.2">
      <c r="D1026" s="6"/>
      <c r="E1026" s="6"/>
      <c r="F1026" s="6"/>
      <c r="G1026" s="19"/>
      <c r="H1026" s="19"/>
      <c r="I1026" s="19"/>
      <c r="J1026" s="19"/>
      <c r="K1026" s="6"/>
      <c r="L1026" s="6"/>
      <c r="M1026" s="6"/>
      <c r="N1026" s="6"/>
      <c r="O1026" s="6"/>
      <c r="P1026" s="6"/>
      <c r="Q1026" s="6"/>
      <c r="R1026" s="6"/>
      <c r="S1026" s="6"/>
      <c r="T1026" s="6"/>
    </row>
    <row r="1027" spans="4:20" x14ac:dyDescent="0.2">
      <c r="D1027" s="6"/>
      <c r="E1027" s="6"/>
      <c r="F1027" s="6"/>
      <c r="G1027" s="19"/>
      <c r="H1027" s="19"/>
      <c r="I1027" s="19"/>
      <c r="J1027" s="19"/>
      <c r="K1027" s="6"/>
      <c r="L1027" s="6"/>
      <c r="M1027" s="6"/>
      <c r="N1027" s="6"/>
      <c r="O1027" s="6"/>
      <c r="P1027" s="6"/>
      <c r="Q1027" s="6"/>
      <c r="R1027" s="6"/>
      <c r="S1027" s="6"/>
      <c r="T1027" s="6"/>
    </row>
    <row r="1028" spans="4:20" x14ac:dyDescent="0.2">
      <c r="D1028" s="6"/>
      <c r="E1028" s="6"/>
      <c r="F1028" s="6"/>
      <c r="G1028" s="19"/>
      <c r="H1028" s="19"/>
      <c r="I1028" s="19"/>
      <c r="J1028" s="19"/>
      <c r="K1028" s="6"/>
      <c r="L1028" s="6"/>
      <c r="M1028" s="6"/>
      <c r="N1028" s="6"/>
      <c r="O1028" s="6"/>
      <c r="P1028" s="6"/>
      <c r="Q1028" s="6"/>
      <c r="R1028" s="6"/>
      <c r="S1028" s="6"/>
      <c r="T1028" s="6"/>
    </row>
    <row r="1029" spans="4:20" x14ac:dyDescent="0.2">
      <c r="D1029" s="6"/>
      <c r="E1029" s="6"/>
      <c r="F1029" s="6"/>
      <c r="G1029" s="19"/>
      <c r="H1029" s="19"/>
      <c r="I1029" s="19"/>
      <c r="J1029" s="19"/>
      <c r="K1029" s="6"/>
      <c r="L1029" s="6"/>
      <c r="M1029" s="6"/>
      <c r="N1029" s="6"/>
      <c r="O1029" s="6"/>
      <c r="P1029" s="6"/>
      <c r="Q1029" s="6"/>
      <c r="R1029" s="6"/>
      <c r="S1029" s="6"/>
      <c r="T1029" s="6"/>
    </row>
    <row r="1030" spans="4:20" x14ac:dyDescent="0.2">
      <c r="D1030" s="6"/>
      <c r="E1030" s="6"/>
      <c r="F1030" s="6"/>
      <c r="G1030" s="19"/>
      <c r="H1030" s="19"/>
      <c r="I1030" s="19"/>
      <c r="J1030" s="19"/>
      <c r="K1030" s="6"/>
      <c r="L1030" s="6"/>
      <c r="M1030" s="6"/>
      <c r="N1030" s="6"/>
      <c r="O1030" s="6"/>
      <c r="P1030" s="6"/>
      <c r="Q1030" s="6"/>
      <c r="R1030" s="6"/>
      <c r="S1030" s="6"/>
      <c r="T1030" s="6"/>
    </row>
    <row r="1031" spans="4:20" x14ac:dyDescent="0.2">
      <c r="D1031" s="6"/>
      <c r="E1031" s="6"/>
      <c r="F1031" s="6"/>
      <c r="G1031" s="19"/>
      <c r="H1031" s="19"/>
      <c r="I1031" s="19"/>
      <c r="J1031" s="19"/>
      <c r="K1031" s="6"/>
      <c r="L1031" s="6"/>
      <c r="M1031" s="6"/>
      <c r="N1031" s="6"/>
      <c r="O1031" s="6"/>
      <c r="P1031" s="6"/>
      <c r="Q1031" s="6"/>
      <c r="R1031" s="6"/>
      <c r="S1031" s="6"/>
      <c r="T1031" s="6"/>
    </row>
    <row r="1032" spans="4:20" x14ac:dyDescent="0.2">
      <c r="D1032" s="6"/>
      <c r="E1032" s="6"/>
      <c r="F1032" s="6"/>
      <c r="G1032" s="19"/>
      <c r="H1032" s="19"/>
      <c r="I1032" s="19"/>
      <c r="J1032" s="19"/>
      <c r="K1032" s="6"/>
      <c r="L1032" s="6"/>
      <c r="M1032" s="6"/>
      <c r="N1032" s="6"/>
      <c r="O1032" s="6"/>
      <c r="P1032" s="6"/>
      <c r="Q1032" s="6"/>
      <c r="R1032" s="6"/>
      <c r="S1032" s="6"/>
      <c r="T1032" s="6"/>
    </row>
    <row r="1033" spans="4:20" x14ac:dyDescent="0.2">
      <c r="D1033" s="6"/>
      <c r="E1033" s="6"/>
      <c r="F1033" s="6"/>
      <c r="G1033" s="19"/>
      <c r="H1033" s="19"/>
      <c r="I1033" s="19"/>
      <c r="J1033" s="19"/>
      <c r="K1033" s="6"/>
      <c r="L1033" s="6"/>
      <c r="M1033" s="6"/>
      <c r="N1033" s="6"/>
      <c r="O1033" s="6"/>
      <c r="P1033" s="6"/>
      <c r="Q1033" s="6"/>
      <c r="R1033" s="6"/>
      <c r="S1033" s="6"/>
      <c r="T1033" s="6"/>
    </row>
    <row r="1034" spans="4:20" x14ac:dyDescent="0.2">
      <c r="D1034" s="6"/>
      <c r="E1034" s="6"/>
      <c r="F1034" s="6"/>
      <c r="G1034" s="19"/>
      <c r="H1034" s="19"/>
      <c r="I1034" s="19"/>
      <c r="J1034" s="19"/>
      <c r="K1034" s="6"/>
      <c r="L1034" s="6"/>
      <c r="M1034" s="6"/>
      <c r="N1034" s="6"/>
      <c r="O1034" s="6"/>
      <c r="P1034" s="6"/>
      <c r="Q1034" s="6"/>
      <c r="R1034" s="6"/>
      <c r="S1034" s="6"/>
      <c r="T1034" s="6"/>
    </row>
    <row r="1035" spans="4:20" x14ac:dyDescent="0.2">
      <c r="D1035" s="6"/>
      <c r="E1035" s="6"/>
      <c r="F1035" s="6"/>
      <c r="G1035" s="19"/>
      <c r="H1035" s="19"/>
      <c r="I1035" s="19"/>
      <c r="J1035" s="19"/>
      <c r="K1035" s="6"/>
      <c r="L1035" s="6"/>
      <c r="M1035" s="6"/>
      <c r="N1035" s="6"/>
      <c r="O1035" s="6"/>
      <c r="P1035" s="6"/>
      <c r="Q1035" s="6"/>
      <c r="R1035" s="6"/>
      <c r="S1035" s="6"/>
      <c r="T1035" s="6"/>
    </row>
    <row r="1036" spans="4:20" x14ac:dyDescent="0.2">
      <c r="D1036" s="6"/>
      <c r="E1036" s="6"/>
      <c r="F1036" s="6"/>
      <c r="G1036" s="19"/>
      <c r="H1036" s="19"/>
      <c r="I1036" s="19"/>
      <c r="J1036" s="19"/>
      <c r="K1036" s="6"/>
      <c r="L1036" s="6"/>
      <c r="M1036" s="6"/>
      <c r="N1036" s="6"/>
      <c r="O1036" s="6"/>
      <c r="P1036" s="6"/>
      <c r="Q1036" s="6"/>
      <c r="R1036" s="6"/>
      <c r="S1036" s="6"/>
      <c r="T1036" s="6"/>
    </row>
    <row r="1037" spans="4:20" x14ac:dyDescent="0.2">
      <c r="D1037" s="6"/>
      <c r="E1037" s="6"/>
      <c r="F1037" s="6"/>
      <c r="G1037" s="19"/>
      <c r="H1037" s="19"/>
      <c r="I1037" s="19"/>
      <c r="J1037" s="19"/>
      <c r="K1037" s="6"/>
      <c r="L1037" s="6"/>
      <c r="M1037" s="6"/>
      <c r="N1037" s="6"/>
      <c r="O1037" s="6"/>
      <c r="P1037" s="6"/>
      <c r="Q1037" s="6"/>
      <c r="R1037" s="6"/>
      <c r="S1037" s="6"/>
      <c r="T1037" s="6"/>
    </row>
    <row r="1038" spans="4:20" x14ac:dyDescent="0.2">
      <c r="D1038" s="6"/>
      <c r="E1038" s="6"/>
      <c r="F1038" s="6"/>
      <c r="G1038" s="19"/>
      <c r="H1038" s="19"/>
      <c r="I1038" s="19"/>
      <c r="J1038" s="19"/>
      <c r="K1038" s="6"/>
      <c r="L1038" s="6"/>
      <c r="M1038" s="6"/>
      <c r="N1038" s="6"/>
      <c r="O1038" s="6"/>
      <c r="P1038" s="6"/>
      <c r="Q1038" s="6"/>
      <c r="R1038" s="6"/>
      <c r="S1038" s="6"/>
      <c r="T1038" s="6"/>
    </row>
    <row r="1039" spans="4:20" x14ac:dyDescent="0.2">
      <c r="D1039" s="6"/>
      <c r="E1039" s="6"/>
      <c r="F1039" s="6"/>
      <c r="G1039" s="19"/>
      <c r="H1039" s="19"/>
      <c r="I1039" s="19"/>
      <c r="J1039" s="19"/>
      <c r="K1039" s="6"/>
      <c r="L1039" s="6"/>
      <c r="M1039" s="6"/>
      <c r="N1039" s="6"/>
      <c r="O1039" s="6"/>
      <c r="P1039" s="6"/>
      <c r="Q1039" s="6"/>
      <c r="R1039" s="6"/>
      <c r="S1039" s="6"/>
      <c r="T1039" s="6"/>
    </row>
    <row r="1040" spans="4:20" x14ac:dyDescent="0.2">
      <c r="D1040" s="6"/>
      <c r="E1040" s="6"/>
      <c r="F1040" s="6"/>
      <c r="G1040" s="19"/>
      <c r="H1040" s="19"/>
      <c r="I1040" s="19"/>
      <c r="J1040" s="19"/>
      <c r="K1040" s="6"/>
      <c r="L1040" s="6"/>
      <c r="M1040" s="6"/>
      <c r="N1040" s="6"/>
      <c r="O1040" s="6"/>
      <c r="P1040" s="6"/>
      <c r="Q1040" s="6"/>
      <c r="R1040" s="6"/>
      <c r="S1040" s="6"/>
      <c r="T1040" s="6"/>
    </row>
    <row r="1041" spans="4:20" x14ac:dyDescent="0.2">
      <c r="D1041" s="6"/>
      <c r="E1041" s="6"/>
      <c r="F1041" s="6"/>
      <c r="G1041" s="19"/>
      <c r="H1041" s="19"/>
      <c r="I1041" s="19"/>
      <c r="J1041" s="19"/>
      <c r="K1041" s="6"/>
      <c r="L1041" s="6"/>
      <c r="M1041" s="6"/>
      <c r="N1041" s="6"/>
      <c r="O1041" s="6"/>
      <c r="P1041" s="6"/>
      <c r="Q1041" s="6"/>
      <c r="R1041" s="6"/>
      <c r="S1041" s="6"/>
      <c r="T1041" s="6"/>
    </row>
    <row r="1042" spans="4:20" x14ac:dyDescent="0.2">
      <c r="D1042" s="6"/>
      <c r="E1042" s="6"/>
      <c r="F1042" s="6"/>
      <c r="G1042" s="19"/>
      <c r="H1042" s="19"/>
      <c r="I1042" s="19"/>
      <c r="J1042" s="19"/>
      <c r="K1042" s="6"/>
      <c r="L1042" s="6"/>
      <c r="M1042" s="6"/>
      <c r="N1042" s="6"/>
      <c r="O1042" s="6"/>
      <c r="P1042" s="6"/>
      <c r="Q1042" s="6"/>
      <c r="R1042" s="6"/>
      <c r="S1042" s="6"/>
      <c r="T1042" s="6"/>
    </row>
    <row r="1043" spans="4:20" x14ac:dyDescent="0.2">
      <c r="D1043" s="6"/>
      <c r="E1043" s="6"/>
      <c r="F1043" s="6"/>
      <c r="G1043" s="19"/>
      <c r="H1043" s="19"/>
      <c r="I1043" s="19"/>
      <c r="J1043" s="19"/>
      <c r="K1043" s="6"/>
      <c r="L1043" s="6"/>
      <c r="M1043" s="6"/>
      <c r="N1043" s="6"/>
      <c r="O1043" s="6"/>
      <c r="P1043" s="6"/>
      <c r="Q1043" s="6"/>
      <c r="R1043" s="6"/>
      <c r="S1043" s="6"/>
      <c r="T1043" s="6"/>
    </row>
    <row r="1044" spans="4:20" x14ac:dyDescent="0.2">
      <c r="D1044" s="6"/>
      <c r="E1044" s="6"/>
      <c r="F1044" s="6"/>
      <c r="G1044" s="19"/>
      <c r="H1044" s="19"/>
      <c r="I1044" s="19"/>
      <c r="J1044" s="19"/>
      <c r="K1044" s="6"/>
      <c r="L1044" s="6"/>
      <c r="M1044" s="6"/>
      <c r="N1044" s="6"/>
      <c r="O1044" s="6"/>
      <c r="P1044" s="6"/>
      <c r="Q1044" s="6"/>
      <c r="R1044" s="6"/>
      <c r="S1044" s="6"/>
      <c r="T1044" s="6"/>
    </row>
    <row r="1045" spans="4:20" x14ac:dyDescent="0.2">
      <c r="D1045" s="6"/>
      <c r="E1045" s="6"/>
      <c r="F1045" s="6"/>
      <c r="G1045" s="19"/>
      <c r="H1045" s="19"/>
      <c r="I1045" s="19"/>
      <c r="J1045" s="19"/>
      <c r="K1045" s="6"/>
      <c r="L1045" s="6"/>
      <c r="M1045" s="6"/>
      <c r="N1045" s="6"/>
      <c r="O1045" s="6"/>
      <c r="P1045" s="6"/>
      <c r="Q1045" s="6"/>
      <c r="R1045" s="6"/>
      <c r="S1045" s="6"/>
      <c r="T1045" s="6"/>
    </row>
    <row r="1046" spans="4:20" x14ac:dyDescent="0.2">
      <c r="D1046" s="6"/>
      <c r="E1046" s="6"/>
      <c r="F1046" s="6"/>
      <c r="G1046" s="19"/>
      <c r="H1046" s="19"/>
      <c r="I1046" s="19"/>
      <c r="J1046" s="19"/>
      <c r="K1046" s="6"/>
      <c r="L1046" s="6"/>
      <c r="M1046" s="6"/>
      <c r="N1046" s="6"/>
      <c r="O1046" s="6"/>
      <c r="P1046" s="6"/>
      <c r="Q1046" s="6"/>
      <c r="R1046" s="6"/>
      <c r="S1046" s="6"/>
      <c r="T1046" s="6"/>
    </row>
    <row r="1047" spans="4:20" x14ac:dyDescent="0.2">
      <c r="D1047" s="6"/>
      <c r="E1047" s="6"/>
      <c r="F1047" s="6"/>
      <c r="G1047" s="19"/>
      <c r="H1047" s="19"/>
      <c r="I1047" s="19"/>
      <c r="J1047" s="19"/>
      <c r="K1047" s="6"/>
      <c r="L1047" s="6"/>
      <c r="M1047" s="6"/>
      <c r="N1047" s="6"/>
      <c r="O1047" s="6"/>
      <c r="P1047" s="6"/>
      <c r="Q1047" s="6"/>
      <c r="R1047" s="6"/>
      <c r="S1047" s="6"/>
      <c r="T1047" s="6"/>
    </row>
    <row r="1048" spans="4:20" x14ac:dyDescent="0.2">
      <c r="D1048" s="6"/>
      <c r="E1048" s="6"/>
      <c r="F1048" s="6"/>
      <c r="G1048" s="19"/>
      <c r="H1048" s="19"/>
      <c r="I1048" s="19"/>
      <c r="J1048" s="19"/>
      <c r="K1048" s="6"/>
      <c r="L1048" s="6"/>
      <c r="M1048" s="6"/>
      <c r="N1048" s="6"/>
      <c r="O1048" s="6"/>
      <c r="P1048" s="6"/>
      <c r="Q1048" s="6"/>
      <c r="R1048" s="6"/>
      <c r="S1048" s="6"/>
      <c r="T1048" s="6"/>
    </row>
    <row r="1049" spans="4:20" x14ac:dyDescent="0.2">
      <c r="D1049" s="6"/>
      <c r="E1049" s="6"/>
      <c r="F1049" s="6"/>
      <c r="G1049" s="19"/>
      <c r="H1049" s="19"/>
      <c r="I1049" s="19"/>
      <c r="J1049" s="19"/>
      <c r="K1049" s="6"/>
      <c r="L1049" s="6"/>
      <c r="M1049" s="6"/>
      <c r="N1049" s="6"/>
      <c r="O1049" s="6"/>
      <c r="P1049" s="6"/>
      <c r="Q1049" s="6"/>
      <c r="R1049" s="6"/>
      <c r="S1049" s="6"/>
      <c r="T1049" s="6"/>
    </row>
    <row r="1050" spans="4:20" x14ac:dyDescent="0.2">
      <c r="D1050" s="6"/>
      <c r="E1050" s="6"/>
      <c r="F1050" s="6"/>
      <c r="G1050" s="19"/>
      <c r="H1050" s="19"/>
      <c r="I1050" s="19"/>
      <c r="J1050" s="19"/>
      <c r="K1050" s="6"/>
      <c r="L1050" s="6"/>
      <c r="M1050" s="6"/>
      <c r="N1050" s="6"/>
      <c r="O1050" s="6"/>
      <c r="P1050" s="6"/>
      <c r="Q1050" s="6"/>
      <c r="R1050" s="6"/>
      <c r="S1050" s="6"/>
      <c r="T1050" s="6"/>
    </row>
    <row r="1051" spans="4:20" x14ac:dyDescent="0.2">
      <c r="D1051" s="6"/>
      <c r="E1051" s="6"/>
      <c r="F1051" s="6"/>
      <c r="G1051" s="19"/>
      <c r="H1051" s="19"/>
      <c r="I1051" s="19"/>
      <c r="J1051" s="19"/>
      <c r="K1051" s="6"/>
      <c r="L1051" s="6"/>
      <c r="M1051" s="6"/>
      <c r="N1051" s="6"/>
      <c r="O1051" s="6"/>
      <c r="P1051" s="6"/>
      <c r="Q1051" s="6"/>
      <c r="R1051" s="6"/>
      <c r="S1051" s="6"/>
      <c r="T1051" s="6"/>
    </row>
    <row r="1052" spans="4:20" x14ac:dyDescent="0.2">
      <c r="D1052" s="6"/>
      <c r="E1052" s="6"/>
      <c r="F1052" s="6"/>
      <c r="G1052" s="19"/>
      <c r="H1052" s="19"/>
      <c r="I1052" s="19"/>
      <c r="J1052" s="19"/>
      <c r="K1052" s="6"/>
      <c r="L1052" s="6"/>
      <c r="M1052" s="6"/>
      <c r="N1052" s="6"/>
      <c r="O1052" s="6"/>
      <c r="P1052" s="6"/>
      <c r="Q1052" s="6"/>
      <c r="R1052" s="6"/>
      <c r="S1052" s="6"/>
      <c r="T1052" s="6"/>
    </row>
    <row r="1053" spans="4:20" x14ac:dyDescent="0.2">
      <c r="D1053" s="6"/>
      <c r="E1053" s="6"/>
      <c r="F1053" s="6"/>
      <c r="G1053" s="19"/>
      <c r="H1053" s="19"/>
      <c r="I1053" s="19"/>
      <c r="J1053" s="19"/>
      <c r="K1053" s="6"/>
      <c r="L1053" s="6"/>
      <c r="M1053" s="6"/>
      <c r="N1053" s="6"/>
      <c r="O1053" s="6"/>
      <c r="P1053" s="6"/>
      <c r="Q1053" s="6"/>
      <c r="R1053" s="6"/>
      <c r="S1053" s="6"/>
      <c r="T1053" s="6"/>
    </row>
    <row r="1054" spans="4:20" x14ac:dyDescent="0.2">
      <c r="D1054" s="6"/>
      <c r="E1054" s="6"/>
      <c r="F1054" s="6"/>
      <c r="G1054" s="19"/>
      <c r="H1054" s="19"/>
      <c r="I1054" s="19"/>
      <c r="J1054" s="19"/>
      <c r="K1054" s="6"/>
      <c r="L1054" s="6"/>
      <c r="M1054" s="6"/>
      <c r="N1054" s="6"/>
      <c r="O1054" s="6"/>
      <c r="P1054" s="6"/>
      <c r="Q1054" s="6"/>
      <c r="R1054" s="6"/>
      <c r="S1054" s="6"/>
      <c r="T1054" s="6"/>
    </row>
    <row r="1055" spans="4:20" x14ac:dyDescent="0.2">
      <c r="D1055" s="6"/>
      <c r="E1055" s="6"/>
      <c r="F1055" s="6"/>
      <c r="G1055" s="19"/>
      <c r="H1055" s="19"/>
      <c r="I1055" s="19"/>
      <c r="J1055" s="19"/>
      <c r="K1055" s="6"/>
      <c r="L1055" s="6"/>
      <c r="M1055" s="6"/>
      <c r="N1055" s="6"/>
      <c r="O1055" s="6"/>
      <c r="P1055" s="6"/>
      <c r="Q1055" s="6"/>
      <c r="R1055" s="6"/>
      <c r="S1055" s="6"/>
      <c r="T1055" s="6"/>
    </row>
    <row r="1056" spans="4:20" x14ac:dyDescent="0.2">
      <c r="D1056" s="6"/>
      <c r="E1056" s="6"/>
      <c r="F1056" s="6"/>
      <c r="G1056" s="19"/>
      <c r="H1056" s="19"/>
      <c r="I1056" s="19"/>
      <c r="J1056" s="19"/>
      <c r="K1056" s="6"/>
      <c r="L1056" s="6"/>
      <c r="M1056" s="6"/>
      <c r="N1056" s="6"/>
      <c r="O1056" s="6"/>
      <c r="P1056" s="6"/>
      <c r="Q1056" s="6"/>
      <c r="R1056" s="6"/>
      <c r="S1056" s="6"/>
      <c r="T1056" s="6"/>
    </row>
    <row r="1057" spans="4:20" x14ac:dyDescent="0.2">
      <c r="D1057" s="6"/>
      <c r="E1057" s="6"/>
      <c r="F1057" s="6"/>
      <c r="G1057" s="19"/>
      <c r="H1057" s="19"/>
      <c r="I1057" s="19"/>
      <c r="J1057" s="19"/>
      <c r="K1057" s="6"/>
      <c r="L1057" s="6"/>
      <c r="M1057" s="6"/>
      <c r="N1057" s="6"/>
      <c r="O1057" s="6"/>
      <c r="P1057" s="6"/>
      <c r="Q1057" s="6"/>
      <c r="R1057" s="6"/>
      <c r="S1057" s="6"/>
      <c r="T1057" s="6"/>
    </row>
    <row r="1058" spans="4:20" x14ac:dyDescent="0.2">
      <c r="D1058" s="6"/>
      <c r="E1058" s="6"/>
      <c r="F1058" s="6"/>
      <c r="G1058" s="19"/>
      <c r="H1058" s="19"/>
      <c r="I1058" s="19"/>
      <c r="J1058" s="19"/>
      <c r="K1058" s="6"/>
      <c r="L1058" s="6"/>
      <c r="M1058" s="6"/>
      <c r="N1058" s="6"/>
      <c r="O1058" s="6"/>
      <c r="P1058" s="6"/>
      <c r="Q1058" s="6"/>
      <c r="R1058" s="6"/>
      <c r="S1058" s="6"/>
      <c r="T1058" s="6"/>
    </row>
    <row r="1059" spans="4:20" x14ac:dyDescent="0.2">
      <c r="D1059" s="6"/>
      <c r="E1059" s="6"/>
      <c r="F1059" s="6"/>
      <c r="G1059" s="19"/>
      <c r="H1059" s="19"/>
      <c r="I1059" s="19"/>
      <c r="J1059" s="19"/>
      <c r="K1059" s="6"/>
      <c r="L1059" s="6"/>
      <c r="M1059" s="6"/>
      <c r="N1059" s="6"/>
      <c r="O1059" s="6"/>
      <c r="P1059" s="6"/>
      <c r="Q1059" s="6"/>
      <c r="R1059" s="6"/>
      <c r="S1059" s="6"/>
      <c r="T1059" s="6"/>
    </row>
    <row r="1060" spans="4:20" x14ac:dyDescent="0.2">
      <c r="D1060" s="6"/>
      <c r="E1060" s="6"/>
      <c r="F1060" s="6"/>
      <c r="G1060" s="19"/>
      <c r="H1060" s="19"/>
      <c r="I1060" s="19"/>
      <c r="J1060" s="19"/>
      <c r="K1060" s="6"/>
      <c r="L1060" s="6"/>
      <c r="M1060" s="6"/>
      <c r="N1060" s="6"/>
      <c r="O1060" s="6"/>
      <c r="P1060" s="6"/>
      <c r="Q1060" s="6"/>
      <c r="R1060" s="6"/>
      <c r="S1060" s="6"/>
      <c r="T1060" s="6"/>
    </row>
    <row r="1061" spans="4:20" x14ac:dyDescent="0.2">
      <c r="D1061" s="6"/>
      <c r="E1061" s="6"/>
      <c r="F1061" s="6"/>
      <c r="G1061" s="19"/>
      <c r="H1061" s="19"/>
      <c r="I1061" s="19"/>
      <c r="J1061" s="19"/>
      <c r="K1061" s="6"/>
      <c r="L1061" s="6"/>
      <c r="M1061" s="6"/>
      <c r="N1061" s="6"/>
      <c r="O1061" s="6"/>
      <c r="P1061" s="6"/>
      <c r="Q1061" s="6"/>
      <c r="R1061" s="6"/>
      <c r="S1061" s="6"/>
      <c r="T1061" s="6"/>
    </row>
    <row r="1062" spans="4:20" x14ac:dyDescent="0.2">
      <c r="D1062" s="6"/>
      <c r="E1062" s="6"/>
      <c r="F1062" s="6"/>
      <c r="G1062" s="19"/>
      <c r="H1062" s="19"/>
      <c r="I1062" s="19"/>
      <c r="J1062" s="19"/>
      <c r="K1062" s="6"/>
      <c r="L1062" s="6"/>
      <c r="M1062" s="6"/>
      <c r="N1062" s="6"/>
      <c r="O1062" s="6"/>
      <c r="P1062" s="6"/>
      <c r="Q1062" s="6"/>
      <c r="R1062" s="6"/>
      <c r="S1062" s="6"/>
      <c r="T1062" s="6"/>
    </row>
    <row r="1063" spans="4:20" x14ac:dyDescent="0.2">
      <c r="D1063" s="6"/>
      <c r="E1063" s="6"/>
      <c r="F1063" s="6"/>
      <c r="G1063" s="19"/>
      <c r="H1063" s="19"/>
      <c r="I1063" s="19"/>
      <c r="J1063" s="19"/>
      <c r="K1063" s="6"/>
      <c r="L1063" s="6"/>
      <c r="M1063" s="6"/>
      <c r="N1063" s="6"/>
      <c r="O1063" s="6"/>
      <c r="P1063" s="6"/>
      <c r="Q1063" s="6"/>
      <c r="R1063" s="6"/>
      <c r="S1063" s="6"/>
      <c r="T1063" s="6"/>
    </row>
    <row r="1064" spans="4:20" x14ac:dyDescent="0.2">
      <c r="D1064" s="6"/>
      <c r="E1064" s="6"/>
      <c r="F1064" s="6"/>
      <c r="G1064" s="19"/>
      <c r="H1064" s="19"/>
      <c r="I1064" s="19"/>
      <c r="J1064" s="19"/>
      <c r="K1064" s="6"/>
      <c r="L1064" s="6"/>
      <c r="M1064" s="6"/>
      <c r="N1064" s="6"/>
      <c r="O1064" s="6"/>
      <c r="P1064" s="6"/>
      <c r="Q1064" s="6"/>
      <c r="R1064" s="6"/>
      <c r="S1064" s="6"/>
      <c r="T1064" s="6"/>
    </row>
    <row r="1065" spans="4:20" x14ac:dyDescent="0.2">
      <c r="D1065" s="6"/>
      <c r="E1065" s="6"/>
      <c r="F1065" s="6"/>
      <c r="G1065" s="19"/>
      <c r="H1065" s="19"/>
      <c r="I1065" s="19"/>
      <c r="J1065" s="19"/>
      <c r="K1065" s="6"/>
      <c r="L1065" s="6"/>
      <c r="M1065" s="6"/>
      <c r="N1065" s="6"/>
      <c r="O1065" s="6"/>
      <c r="P1065" s="6"/>
      <c r="Q1065" s="6"/>
      <c r="R1065" s="6"/>
      <c r="S1065" s="6"/>
      <c r="T1065" s="6"/>
    </row>
    <row r="1066" spans="4:20" x14ac:dyDescent="0.2">
      <c r="D1066" s="6"/>
      <c r="E1066" s="6"/>
      <c r="F1066" s="6"/>
      <c r="G1066" s="19"/>
      <c r="H1066" s="19"/>
      <c r="I1066" s="19"/>
      <c r="J1066" s="19"/>
      <c r="K1066" s="6"/>
      <c r="L1066" s="6"/>
      <c r="M1066" s="6"/>
      <c r="N1066" s="6"/>
      <c r="O1066" s="6"/>
      <c r="P1066" s="6"/>
      <c r="Q1066" s="6"/>
      <c r="R1066" s="6"/>
      <c r="S1066" s="6"/>
      <c r="T1066" s="6"/>
    </row>
    <row r="1067" spans="4:20" x14ac:dyDescent="0.2">
      <c r="D1067" s="6"/>
      <c r="E1067" s="6"/>
      <c r="F1067" s="6"/>
      <c r="G1067" s="19"/>
      <c r="H1067" s="19"/>
      <c r="I1067" s="19"/>
      <c r="J1067" s="19"/>
      <c r="K1067" s="6"/>
      <c r="L1067" s="6"/>
      <c r="M1067" s="6"/>
      <c r="N1067" s="6"/>
      <c r="O1067" s="6"/>
      <c r="P1067" s="6"/>
      <c r="Q1067" s="6"/>
      <c r="R1067" s="6"/>
      <c r="S1067" s="6"/>
      <c r="T1067" s="6"/>
    </row>
    <row r="1068" spans="4:20" x14ac:dyDescent="0.2">
      <c r="D1068" s="6"/>
      <c r="E1068" s="6"/>
      <c r="F1068" s="6"/>
      <c r="G1068" s="19"/>
      <c r="H1068" s="19"/>
      <c r="I1068" s="19"/>
      <c r="J1068" s="19"/>
      <c r="K1068" s="6"/>
      <c r="L1068" s="6"/>
      <c r="M1068" s="6"/>
      <c r="N1068" s="6"/>
      <c r="O1068" s="6"/>
      <c r="P1068" s="6"/>
      <c r="Q1068" s="6"/>
      <c r="R1068" s="6"/>
      <c r="S1068" s="6"/>
      <c r="T1068" s="6"/>
    </row>
    <row r="1069" spans="4:20" x14ac:dyDescent="0.2">
      <c r="D1069" s="6"/>
      <c r="E1069" s="6"/>
      <c r="F1069" s="6"/>
      <c r="G1069" s="19"/>
      <c r="H1069" s="19"/>
      <c r="I1069" s="19"/>
      <c r="J1069" s="19"/>
      <c r="K1069" s="6"/>
      <c r="L1069" s="6"/>
      <c r="M1069" s="6"/>
      <c r="N1069" s="6"/>
      <c r="O1069" s="6"/>
      <c r="P1069" s="6"/>
      <c r="Q1069" s="6"/>
      <c r="R1069" s="6"/>
      <c r="S1069" s="6"/>
      <c r="T1069" s="6"/>
    </row>
    <row r="1070" spans="4:20" x14ac:dyDescent="0.2">
      <c r="D1070" s="6"/>
      <c r="E1070" s="6"/>
      <c r="F1070" s="6"/>
      <c r="G1070" s="19"/>
      <c r="H1070" s="19"/>
      <c r="I1070" s="19"/>
      <c r="J1070" s="19"/>
      <c r="K1070" s="6"/>
      <c r="L1070" s="6"/>
      <c r="M1070" s="6"/>
      <c r="N1070" s="6"/>
      <c r="O1070" s="6"/>
      <c r="P1070" s="6"/>
      <c r="Q1070" s="6"/>
      <c r="R1070" s="6"/>
      <c r="S1070" s="6"/>
      <c r="T1070" s="6"/>
    </row>
    <row r="1071" spans="4:20" x14ac:dyDescent="0.2">
      <c r="D1071" s="6"/>
      <c r="E1071" s="6"/>
      <c r="F1071" s="6"/>
      <c r="G1071" s="19"/>
      <c r="H1071" s="19"/>
      <c r="I1071" s="19"/>
      <c r="J1071" s="19"/>
      <c r="K1071" s="6"/>
      <c r="L1071" s="6"/>
      <c r="M1071" s="6"/>
      <c r="N1071" s="6"/>
      <c r="O1071" s="6"/>
      <c r="P1071" s="6"/>
      <c r="Q1071" s="6"/>
      <c r="R1071" s="6"/>
      <c r="S1071" s="6"/>
      <c r="T1071" s="6"/>
    </row>
    <row r="1072" spans="4:20" x14ac:dyDescent="0.2">
      <c r="D1072" s="6"/>
      <c r="E1072" s="6"/>
      <c r="F1072" s="6"/>
      <c r="G1072" s="19"/>
      <c r="H1072" s="19"/>
      <c r="I1072" s="19"/>
      <c r="J1072" s="19"/>
      <c r="K1072" s="6"/>
      <c r="L1072" s="6"/>
      <c r="M1072" s="6"/>
      <c r="N1072" s="6"/>
      <c r="O1072" s="6"/>
      <c r="P1072" s="6"/>
      <c r="Q1072" s="6"/>
      <c r="R1072" s="6"/>
      <c r="S1072" s="6"/>
      <c r="T1072" s="6"/>
    </row>
    <row r="1073" spans="4:20" x14ac:dyDescent="0.2">
      <c r="D1073" s="6"/>
      <c r="E1073" s="6"/>
      <c r="F1073" s="6"/>
      <c r="G1073" s="19"/>
      <c r="H1073" s="19"/>
      <c r="I1073" s="19"/>
      <c r="J1073" s="19"/>
      <c r="K1073" s="6"/>
      <c r="L1073" s="6"/>
      <c r="M1073" s="6"/>
      <c r="N1073" s="6"/>
      <c r="O1073" s="6"/>
      <c r="P1073" s="6"/>
      <c r="Q1073" s="6"/>
      <c r="R1073" s="6"/>
      <c r="S1073" s="6"/>
      <c r="T1073" s="6"/>
    </row>
    <row r="1074" spans="4:20" x14ac:dyDescent="0.2">
      <c r="D1074" s="6"/>
      <c r="E1074" s="6"/>
      <c r="F1074" s="6"/>
      <c r="G1074" s="19"/>
      <c r="H1074" s="19"/>
      <c r="I1074" s="19"/>
      <c r="J1074" s="19"/>
      <c r="K1074" s="6"/>
      <c r="L1074" s="6"/>
      <c r="M1074" s="6"/>
      <c r="N1074" s="6"/>
      <c r="O1074" s="6"/>
      <c r="P1074" s="6"/>
      <c r="Q1074" s="6"/>
      <c r="R1074" s="6"/>
      <c r="S1074" s="6"/>
      <c r="T1074" s="6"/>
    </row>
    <row r="1075" spans="4:20" x14ac:dyDescent="0.2">
      <c r="D1075" s="6"/>
      <c r="E1075" s="6"/>
      <c r="F1075" s="6"/>
      <c r="G1075" s="19"/>
      <c r="H1075" s="19"/>
      <c r="I1075" s="19"/>
      <c r="J1075" s="19"/>
      <c r="K1075" s="6"/>
      <c r="L1075" s="6"/>
      <c r="M1075" s="6"/>
      <c r="N1075" s="6"/>
      <c r="O1075" s="6"/>
      <c r="P1075" s="6"/>
      <c r="Q1075" s="6"/>
      <c r="R1075" s="6"/>
      <c r="S1075" s="6"/>
      <c r="T1075" s="6"/>
    </row>
    <row r="1076" spans="4:20" x14ac:dyDescent="0.2">
      <c r="D1076" s="6"/>
      <c r="E1076" s="6"/>
      <c r="F1076" s="6"/>
      <c r="G1076" s="19"/>
      <c r="H1076" s="19"/>
      <c r="I1076" s="19"/>
      <c r="J1076" s="19"/>
      <c r="K1076" s="6"/>
      <c r="L1076" s="6"/>
      <c r="M1076" s="6"/>
      <c r="N1076" s="6"/>
      <c r="O1076" s="6"/>
      <c r="P1076" s="6"/>
      <c r="Q1076" s="6"/>
      <c r="R1076" s="6"/>
      <c r="S1076" s="6"/>
      <c r="T1076" s="6"/>
    </row>
    <row r="1077" spans="4:20" x14ac:dyDescent="0.2">
      <c r="D1077" s="6"/>
      <c r="E1077" s="6"/>
      <c r="F1077" s="6"/>
      <c r="G1077" s="19"/>
      <c r="H1077" s="19"/>
      <c r="I1077" s="19"/>
      <c r="J1077" s="19"/>
      <c r="K1077" s="6"/>
      <c r="L1077" s="6"/>
      <c r="M1077" s="6"/>
      <c r="N1077" s="6"/>
      <c r="O1077" s="6"/>
      <c r="P1077" s="6"/>
      <c r="Q1077" s="6"/>
      <c r="R1077" s="6"/>
      <c r="S1077" s="6"/>
      <c r="T1077" s="6"/>
    </row>
    <row r="1078" spans="4:20" x14ac:dyDescent="0.2">
      <c r="D1078" s="6"/>
      <c r="E1078" s="6"/>
      <c r="F1078" s="6"/>
      <c r="G1078" s="19"/>
      <c r="H1078" s="19"/>
      <c r="I1078" s="19"/>
      <c r="J1078" s="19"/>
      <c r="K1078" s="6"/>
      <c r="L1078" s="6"/>
      <c r="M1078" s="6"/>
      <c r="N1078" s="6"/>
      <c r="O1078" s="6"/>
      <c r="P1078" s="6"/>
      <c r="Q1078" s="6"/>
      <c r="R1078" s="6"/>
      <c r="S1078" s="6"/>
      <c r="T1078" s="6"/>
    </row>
    <row r="1079" spans="4:20" x14ac:dyDescent="0.2">
      <c r="D1079" s="6"/>
      <c r="E1079" s="6"/>
      <c r="F1079" s="6"/>
      <c r="G1079" s="19"/>
      <c r="H1079" s="19"/>
      <c r="I1079" s="19"/>
      <c r="J1079" s="19"/>
      <c r="K1079" s="6"/>
      <c r="L1079" s="6"/>
      <c r="M1079" s="6"/>
      <c r="N1079" s="6"/>
      <c r="O1079" s="6"/>
      <c r="P1079" s="6"/>
      <c r="Q1079" s="6"/>
      <c r="R1079" s="6"/>
      <c r="S1079" s="6"/>
      <c r="T1079" s="6"/>
    </row>
    <row r="1080" spans="4:20" x14ac:dyDescent="0.2">
      <c r="D1080" s="6"/>
      <c r="E1080" s="6"/>
      <c r="F1080" s="6"/>
      <c r="G1080" s="19"/>
      <c r="H1080" s="19"/>
      <c r="I1080" s="19"/>
      <c r="J1080" s="19"/>
      <c r="K1080" s="6"/>
      <c r="L1080" s="6"/>
      <c r="M1080" s="6"/>
      <c r="N1080" s="6"/>
      <c r="O1080" s="6"/>
      <c r="P1080" s="6"/>
      <c r="Q1080" s="6"/>
      <c r="R1080" s="6"/>
      <c r="S1080" s="6"/>
      <c r="T1080" s="6"/>
    </row>
    <row r="1081" spans="4:20" x14ac:dyDescent="0.2">
      <c r="D1081" s="6"/>
      <c r="E1081" s="6"/>
      <c r="F1081" s="6"/>
      <c r="G1081" s="19"/>
      <c r="H1081" s="19"/>
      <c r="I1081" s="19"/>
      <c r="J1081" s="19"/>
      <c r="K1081" s="6"/>
      <c r="L1081" s="6"/>
      <c r="M1081" s="6"/>
      <c r="N1081" s="6"/>
      <c r="O1081" s="6"/>
      <c r="P1081" s="6"/>
      <c r="Q1081" s="6"/>
      <c r="R1081" s="6"/>
      <c r="S1081" s="6"/>
      <c r="T1081" s="6"/>
    </row>
    <row r="1082" spans="4:20" x14ac:dyDescent="0.2">
      <c r="D1082" s="6"/>
      <c r="E1082" s="6"/>
      <c r="F1082" s="6"/>
      <c r="G1082" s="19"/>
      <c r="H1082" s="19"/>
      <c r="I1082" s="19"/>
      <c r="J1082" s="19"/>
      <c r="K1082" s="6"/>
      <c r="L1082" s="6"/>
      <c r="M1082" s="6"/>
      <c r="N1082" s="6"/>
      <c r="O1082" s="6"/>
      <c r="P1082" s="6"/>
      <c r="Q1082" s="6"/>
      <c r="R1082" s="6"/>
      <c r="S1082" s="6"/>
      <c r="T1082" s="6"/>
    </row>
    <row r="1083" spans="4:20" x14ac:dyDescent="0.2">
      <c r="D1083" s="6"/>
      <c r="E1083" s="6"/>
      <c r="F1083" s="6"/>
      <c r="G1083" s="19"/>
      <c r="H1083" s="19"/>
      <c r="I1083" s="19"/>
      <c r="J1083" s="19"/>
      <c r="K1083" s="6"/>
      <c r="L1083" s="6"/>
      <c r="M1083" s="6"/>
      <c r="N1083" s="6"/>
      <c r="O1083" s="6"/>
      <c r="P1083" s="6"/>
      <c r="Q1083" s="6"/>
      <c r="R1083" s="6"/>
      <c r="S1083" s="6"/>
      <c r="T1083" s="6"/>
    </row>
    <row r="1084" spans="4:20" x14ac:dyDescent="0.2">
      <c r="D1084" s="6"/>
      <c r="E1084" s="6"/>
      <c r="F1084" s="6"/>
      <c r="G1084" s="19"/>
      <c r="H1084" s="19"/>
      <c r="I1084" s="19"/>
      <c r="J1084" s="19"/>
      <c r="K1084" s="6"/>
      <c r="L1084" s="6"/>
      <c r="M1084" s="6"/>
      <c r="N1084" s="6"/>
      <c r="O1084" s="6"/>
      <c r="P1084" s="6"/>
      <c r="Q1084" s="6"/>
      <c r="R1084" s="6"/>
      <c r="S1084" s="6"/>
      <c r="T1084" s="6"/>
    </row>
    <row r="1085" spans="4:20" x14ac:dyDescent="0.2">
      <c r="D1085" s="6"/>
      <c r="E1085" s="6"/>
      <c r="F1085" s="6"/>
      <c r="G1085" s="19"/>
      <c r="H1085" s="19"/>
      <c r="I1085" s="19"/>
      <c r="J1085" s="19"/>
      <c r="K1085" s="6"/>
      <c r="L1085" s="6"/>
      <c r="M1085" s="6"/>
      <c r="N1085" s="6"/>
      <c r="O1085" s="6"/>
      <c r="P1085" s="6"/>
      <c r="Q1085" s="6"/>
      <c r="R1085" s="6"/>
      <c r="S1085" s="6"/>
      <c r="T1085" s="6"/>
    </row>
    <row r="1086" spans="4:20" x14ac:dyDescent="0.2">
      <c r="D1086" s="6"/>
      <c r="E1086" s="6"/>
      <c r="F1086" s="6"/>
      <c r="G1086" s="19"/>
      <c r="H1086" s="19"/>
      <c r="I1086" s="19"/>
      <c r="J1086" s="19"/>
      <c r="K1086" s="6"/>
      <c r="L1086" s="6"/>
      <c r="M1086" s="6"/>
      <c r="N1086" s="6"/>
      <c r="O1086" s="6"/>
      <c r="P1086" s="6"/>
      <c r="Q1086" s="6"/>
      <c r="R1086" s="6"/>
      <c r="S1086" s="6"/>
      <c r="T1086" s="6"/>
    </row>
    <row r="1087" spans="4:20" x14ac:dyDescent="0.2">
      <c r="D1087" s="6"/>
      <c r="E1087" s="6"/>
      <c r="F1087" s="6"/>
      <c r="G1087" s="19"/>
      <c r="H1087" s="19"/>
      <c r="I1087" s="19"/>
      <c r="J1087" s="19"/>
      <c r="K1087" s="6"/>
      <c r="L1087" s="6"/>
      <c r="M1087" s="6"/>
      <c r="N1087" s="6"/>
      <c r="O1087" s="6"/>
      <c r="P1087" s="6"/>
      <c r="Q1087" s="6"/>
      <c r="R1087" s="6"/>
      <c r="S1087" s="6"/>
      <c r="T1087" s="6"/>
    </row>
    <row r="1088" spans="4:20" x14ac:dyDescent="0.2">
      <c r="D1088" s="6"/>
      <c r="E1088" s="6"/>
      <c r="F1088" s="6"/>
      <c r="G1088" s="19"/>
      <c r="H1088" s="19"/>
      <c r="I1088" s="19"/>
      <c r="J1088" s="19"/>
      <c r="K1088" s="6"/>
      <c r="L1088" s="6"/>
      <c r="M1088" s="6"/>
      <c r="N1088" s="6"/>
      <c r="O1088" s="6"/>
      <c r="P1088" s="6"/>
      <c r="Q1088" s="6"/>
      <c r="R1088" s="6"/>
      <c r="S1088" s="6"/>
      <c r="T1088" s="6"/>
    </row>
    <row r="1089" spans="4:20" x14ac:dyDescent="0.2">
      <c r="D1089" s="6"/>
      <c r="E1089" s="6"/>
      <c r="F1089" s="6"/>
      <c r="G1089" s="19"/>
      <c r="H1089" s="19"/>
      <c r="I1089" s="19"/>
      <c r="J1089" s="19"/>
      <c r="K1089" s="6"/>
      <c r="L1089" s="6"/>
      <c r="M1089" s="6"/>
      <c r="N1089" s="6"/>
      <c r="O1089" s="6"/>
      <c r="P1089" s="6"/>
      <c r="Q1089" s="6"/>
      <c r="R1089" s="6"/>
      <c r="S1089" s="6"/>
      <c r="T1089" s="6"/>
    </row>
    <row r="1090" spans="4:20" x14ac:dyDescent="0.2">
      <c r="D1090" s="6"/>
      <c r="E1090" s="6"/>
      <c r="F1090" s="6"/>
      <c r="G1090" s="19"/>
      <c r="H1090" s="19"/>
      <c r="I1090" s="19"/>
      <c r="J1090" s="19"/>
      <c r="K1090" s="6"/>
      <c r="L1090" s="6"/>
      <c r="M1090" s="6"/>
      <c r="N1090" s="6"/>
      <c r="O1090" s="6"/>
      <c r="P1090" s="6"/>
      <c r="Q1090" s="6"/>
      <c r="R1090" s="6"/>
      <c r="S1090" s="6"/>
      <c r="T1090" s="6"/>
    </row>
    <row r="1091" spans="4:20" x14ac:dyDescent="0.2">
      <c r="D1091" s="6"/>
      <c r="E1091" s="6"/>
      <c r="F1091" s="6"/>
      <c r="G1091" s="19"/>
      <c r="H1091" s="19"/>
      <c r="I1091" s="19"/>
      <c r="J1091" s="19"/>
      <c r="K1091" s="6"/>
      <c r="L1091" s="6"/>
      <c r="M1091" s="6"/>
      <c r="N1091" s="6"/>
      <c r="O1091" s="6"/>
      <c r="P1091" s="6"/>
      <c r="Q1091" s="6"/>
      <c r="R1091" s="6"/>
      <c r="S1091" s="6"/>
      <c r="T1091" s="6"/>
    </row>
    <row r="1092" spans="4:20" x14ac:dyDescent="0.2">
      <c r="D1092" s="6"/>
      <c r="E1092" s="6"/>
      <c r="F1092" s="6"/>
      <c r="G1092" s="19"/>
      <c r="H1092" s="19"/>
      <c r="I1092" s="19"/>
      <c r="J1092" s="19"/>
      <c r="K1092" s="6"/>
      <c r="L1092" s="6"/>
      <c r="M1092" s="6"/>
      <c r="N1092" s="6"/>
      <c r="O1092" s="6"/>
      <c r="P1092" s="6"/>
      <c r="Q1092" s="6"/>
      <c r="R1092" s="6"/>
      <c r="S1092" s="6"/>
      <c r="T1092" s="6"/>
    </row>
    <row r="1093" spans="4:20" x14ac:dyDescent="0.2">
      <c r="D1093" s="6"/>
      <c r="E1093" s="6"/>
      <c r="F1093" s="6"/>
      <c r="G1093" s="19"/>
      <c r="H1093" s="19"/>
      <c r="I1093" s="19"/>
      <c r="J1093" s="19"/>
      <c r="K1093" s="6"/>
      <c r="L1093" s="6"/>
      <c r="M1093" s="6"/>
      <c r="N1093" s="6"/>
      <c r="O1093" s="6"/>
      <c r="P1093" s="6"/>
      <c r="Q1093" s="6"/>
      <c r="R1093" s="6"/>
      <c r="S1093" s="6"/>
      <c r="T1093" s="6"/>
    </row>
    <row r="1094" spans="4:20" x14ac:dyDescent="0.2">
      <c r="D1094" s="6"/>
      <c r="E1094" s="6"/>
      <c r="F1094" s="6"/>
      <c r="G1094" s="19"/>
      <c r="H1094" s="19"/>
      <c r="I1094" s="19"/>
      <c r="J1094" s="19"/>
      <c r="K1094" s="6"/>
      <c r="L1094" s="6"/>
      <c r="M1094" s="6"/>
      <c r="N1094" s="6"/>
      <c r="O1094" s="6"/>
      <c r="P1094" s="6"/>
      <c r="Q1094" s="6"/>
      <c r="R1094" s="6"/>
      <c r="S1094" s="6"/>
      <c r="T1094" s="6"/>
    </row>
    <row r="1095" spans="4:20" x14ac:dyDescent="0.2">
      <c r="D1095" s="6"/>
      <c r="E1095" s="6"/>
      <c r="F1095" s="6"/>
      <c r="G1095" s="19"/>
      <c r="H1095" s="19"/>
      <c r="I1095" s="19"/>
      <c r="J1095" s="19"/>
      <c r="K1095" s="6"/>
      <c r="L1095" s="6"/>
      <c r="M1095" s="6"/>
      <c r="N1095" s="6"/>
      <c r="O1095" s="6"/>
      <c r="P1095" s="6"/>
      <c r="Q1095" s="6"/>
      <c r="R1095" s="6"/>
      <c r="S1095" s="6"/>
      <c r="T1095" s="6"/>
    </row>
    <row r="1096" spans="4:20" x14ac:dyDescent="0.2">
      <c r="D1096" s="6"/>
      <c r="E1096" s="6"/>
      <c r="F1096" s="6"/>
      <c r="G1096" s="19"/>
      <c r="H1096" s="19"/>
      <c r="I1096" s="19"/>
      <c r="J1096" s="19"/>
      <c r="K1096" s="6"/>
      <c r="L1096" s="6"/>
      <c r="M1096" s="6"/>
      <c r="N1096" s="6"/>
      <c r="O1096" s="6"/>
      <c r="P1096" s="6"/>
      <c r="Q1096" s="6"/>
      <c r="R1096" s="6"/>
      <c r="S1096" s="6"/>
      <c r="T1096" s="6"/>
    </row>
    <row r="1097" spans="4:20" x14ac:dyDescent="0.2">
      <c r="D1097" s="6"/>
      <c r="E1097" s="6"/>
      <c r="F1097" s="6"/>
      <c r="G1097" s="19"/>
      <c r="H1097" s="19"/>
      <c r="I1097" s="19"/>
      <c r="J1097" s="19"/>
      <c r="K1097" s="6"/>
      <c r="L1097" s="6"/>
      <c r="M1097" s="6"/>
      <c r="N1097" s="6"/>
      <c r="O1097" s="6"/>
      <c r="P1097" s="6"/>
      <c r="Q1097" s="6"/>
      <c r="R1097" s="6"/>
      <c r="S1097" s="6"/>
      <c r="T1097" s="6"/>
    </row>
    <row r="1098" spans="4:20" x14ac:dyDescent="0.2">
      <c r="D1098" s="6"/>
      <c r="E1098" s="6"/>
      <c r="F1098" s="6"/>
      <c r="G1098" s="19"/>
      <c r="H1098" s="19"/>
      <c r="I1098" s="19"/>
      <c r="J1098" s="19"/>
      <c r="K1098" s="6"/>
      <c r="L1098" s="6"/>
      <c r="M1098" s="6"/>
      <c r="N1098" s="6"/>
      <c r="O1098" s="6"/>
      <c r="P1098" s="6"/>
      <c r="Q1098" s="6"/>
      <c r="R1098" s="6"/>
      <c r="S1098" s="6"/>
      <c r="T1098" s="6"/>
    </row>
    <row r="1099" spans="4:20" x14ac:dyDescent="0.2">
      <c r="D1099" s="6"/>
      <c r="E1099" s="6"/>
      <c r="F1099" s="6"/>
      <c r="G1099" s="19"/>
      <c r="H1099" s="19"/>
      <c r="I1099" s="19"/>
      <c r="J1099" s="19"/>
      <c r="K1099" s="6"/>
      <c r="L1099" s="6"/>
      <c r="M1099" s="6"/>
      <c r="N1099" s="6"/>
      <c r="O1099" s="6"/>
      <c r="P1099" s="6"/>
      <c r="Q1099" s="6"/>
      <c r="R1099" s="6"/>
      <c r="S1099" s="6"/>
      <c r="T1099" s="6"/>
    </row>
    <row r="1100" spans="4:20" x14ac:dyDescent="0.2">
      <c r="D1100" s="6"/>
      <c r="E1100" s="6"/>
      <c r="F1100" s="6"/>
      <c r="G1100" s="19"/>
      <c r="H1100" s="19"/>
      <c r="I1100" s="19"/>
      <c r="J1100" s="19"/>
      <c r="K1100" s="6"/>
      <c r="L1100" s="6"/>
      <c r="M1100" s="6"/>
      <c r="N1100" s="6"/>
      <c r="O1100" s="6"/>
      <c r="P1100" s="6"/>
      <c r="Q1100" s="6"/>
      <c r="R1100" s="6"/>
      <c r="S1100" s="6"/>
      <c r="T1100" s="6"/>
    </row>
    <row r="1101" spans="4:20" x14ac:dyDescent="0.2">
      <c r="D1101" s="6"/>
      <c r="E1101" s="6"/>
      <c r="F1101" s="6"/>
      <c r="G1101" s="19"/>
      <c r="H1101" s="19"/>
      <c r="I1101" s="19"/>
      <c r="J1101" s="19"/>
      <c r="K1101" s="6"/>
      <c r="L1101" s="6"/>
      <c r="M1101" s="6"/>
      <c r="N1101" s="6"/>
      <c r="O1101" s="6"/>
      <c r="P1101" s="6"/>
      <c r="Q1101" s="6"/>
      <c r="R1101" s="6"/>
      <c r="S1101" s="6"/>
      <c r="T1101" s="6"/>
    </row>
    <row r="1102" spans="4:20" x14ac:dyDescent="0.2">
      <c r="D1102" s="6"/>
      <c r="E1102" s="6"/>
      <c r="F1102" s="6"/>
      <c r="G1102" s="19"/>
      <c r="H1102" s="19"/>
      <c r="I1102" s="19"/>
      <c r="J1102" s="19"/>
      <c r="K1102" s="6"/>
      <c r="L1102" s="6"/>
      <c r="M1102" s="6"/>
      <c r="N1102" s="6"/>
      <c r="O1102" s="6"/>
      <c r="P1102" s="6"/>
      <c r="Q1102" s="6"/>
      <c r="R1102" s="6"/>
      <c r="S1102" s="6"/>
      <c r="T1102" s="6"/>
    </row>
    <row r="1103" spans="4:20" x14ac:dyDescent="0.2">
      <c r="D1103" s="6"/>
      <c r="E1103" s="6"/>
      <c r="F1103" s="6"/>
      <c r="G1103" s="19"/>
      <c r="H1103" s="19"/>
      <c r="I1103" s="19"/>
      <c r="J1103" s="19"/>
      <c r="K1103" s="6"/>
      <c r="L1103" s="6"/>
      <c r="M1103" s="6"/>
      <c r="N1103" s="6"/>
      <c r="O1103" s="6"/>
      <c r="P1103" s="6"/>
      <c r="Q1103" s="6"/>
      <c r="R1103" s="6"/>
      <c r="S1103" s="6"/>
      <c r="T1103" s="6"/>
    </row>
    <row r="1104" spans="4:20" x14ac:dyDescent="0.2">
      <c r="D1104" s="6"/>
      <c r="E1104" s="6"/>
      <c r="F1104" s="6"/>
      <c r="G1104" s="19"/>
      <c r="H1104" s="19"/>
      <c r="I1104" s="19"/>
      <c r="J1104" s="19"/>
      <c r="K1104" s="6"/>
      <c r="L1104" s="6"/>
      <c r="M1104" s="6"/>
      <c r="N1104" s="6"/>
      <c r="O1104" s="6"/>
      <c r="P1104" s="6"/>
      <c r="Q1104" s="6"/>
      <c r="R1104" s="6"/>
      <c r="S1104" s="6"/>
      <c r="T1104" s="6"/>
    </row>
    <row r="1105" spans="4:20" x14ac:dyDescent="0.2">
      <c r="D1105" s="6"/>
      <c r="E1105" s="6"/>
      <c r="F1105" s="6"/>
      <c r="G1105" s="19"/>
      <c r="H1105" s="19"/>
      <c r="I1105" s="19"/>
      <c r="J1105" s="19"/>
      <c r="K1105" s="6"/>
      <c r="L1105" s="6"/>
      <c r="M1105" s="6"/>
      <c r="N1105" s="6"/>
      <c r="O1105" s="6"/>
      <c r="P1105" s="6"/>
      <c r="Q1105" s="6"/>
      <c r="R1105" s="6"/>
      <c r="S1105" s="6"/>
      <c r="T1105" s="6"/>
    </row>
    <row r="1106" spans="4:20" x14ac:dyDescent="0.2">
      <c r="D1106" s="6"/>
      <c r="E1106" s="6"/>
      <c r="F1106" s="6"/>
      <c r="G1106" s="19"/>
      <c r="H1106" s="19"/>
      <c r="I1106" s="19"/>
      <c r="J1106" s="19"/>
      <c r="K1106" s="6"/>
      <c r="L1106" s="6"/>
      <c r="M1106" s="6"/>
      <c r="N1106" s="6"/>
      <c r="O1106" s="6"/>
      <c r="P1106" s="6"/>
      <c r="Q1106" s="6"/>
      <c r="R1106" s="6"/>
      <c r="S1106" s="6"/>
      <c r="T1106" s="6"/>
    </row>
    <row r="1107" spans="4:20" x14ac:dyDescent="0.2">
      <c r="D1107" s="6"/>
      <c r="E1107" s="6"/>
      <c r="F1107" s="6"/>
      <c r="G1107" s="19"/>
      <c r="H1107" s="19"/>
      <c r="I1107" s="19"/>
      <c r="J1107" s="19"/>
      <c r="K1107" s="6"/>
      <c r="L1107" s="6"/>
      <c r="M1107" s="6"/>
      <c r="N1107" s="6"/>
      <c r="O1107" s="6"/>
      <c r="P1107" s="6"/>
      <c r="Q1107" s="6"/>
      <c r="R1107" s="6"/>
      <c r="S1107" s="6"/>
      <c r="T1107" s="6"/>
    </row>
    <row r="1108" spans="4:20" x14ac:dyDescent="0.2">
      <c r="D1108" s="6"/>
      <c r="E1108" s="6"/>
      <c r="F1108" s="6"/>
      <c r="G1108" s="19"/>
      <c r="H1108" s="19"/>
      <c r="I1108" s="19"/>
      <c r="J1108" s="19"/>
      <c r="K1108" s="6"/>
      <c r="L1108" s="6"/>
      <c r="M1108" s="6"/>
      <c r="N1108" s="6"/>
      <c r="O1108" s="6"/>
      <c r="P1108" s="6"/>
      <c r="Q1108" s="6"/>
      <c r="R1108" s="6"/>
      <c r="S1108" s="6"/>
      <c r="T1108" s="6"/>
    </row>
    <row r="1109" spans="4:20" x14ac:dyDescent="0.2">
      <c r="D1109" s="6"/>
      <c r="E1109" s="6"/>
      <c r="F1109" s="6"/>
      <c r="G1109" s="19"/>
      <c r="H1109" s="19"/>
      <c r="I1109" s="19"/>
      <c r="J1109" s="19"/>
      <c r="K1109" s="6"/>
      <c r="L1109" s="6"/>
      <c r="M1109" s="6"/>
      <c r="N1109" s="6"/>
      <c r="O1109" s="6"/>
      <c r="P1109" s="6"/>
      <c r="Q1109" s="6"/>
      <c r="R1109" s="6"/>
      <c r="S1109" s="6"/>
      <c r="T1109" s="6"/>
    </row>
    <row r="1110" spans="4:20" x14ac:dyDescent="0.2">
      <c r="D1110" s="6"/>
      <c r="E1110" s="6"/>
      <c r="F1110" s="6"/>
      <c r="G1110" s="19"/>
      <c r="H1110" s="19"/>
      <c r="I1110" s="19"/>
      <c r="J1110" s="19"/>
      <c r="K1110" s="6"/>
      <c r="L1110" s="6"/>
      <c r="M1110" s="6"/>
      <c r="N1110" s="6"/>
      <c r="O1110" s="6"/>
      <c r="P1110" s="6"/>
      <c r="Q1110" s="6"/>
      <c r="R1110" s="6"/>
      <c r="S1110" s="6"/>
      <c r="T1110" s="6"/>
    </row>
    <row r="1111" spans="4:20" x14ac:dyDescent="0.2">
      <c r="D1111" s="6"/>
      <c r="E1111" s="6"/>
      <c r="F1111" s="6"/>
      <c r="G1111" s="19"/>
      <c r="H1111" s="19"/>
      <c r="I1111" s="19"/>
      <c r="J1111" s="19"/>
      <c r="K1111" s="6"/>
      <c r="L1111" s="6"/>
      <c r="M1111" s="6"/>
      <c r="N1111" s="6"/>
      <c r="O1111" s="6"/>
      <c r="P1111" s="6"/>
      <c r="Q1111" s="6"/>
      <c r="R1111" s="6"/>
      <c r="S1111" s="6"/>
      <c r="T1111" s="6"/>
    </row>
    <row r="1112" spans="4:20" x14ac:dyDescent="0.2">
      <c r="D1112" s="6"/>
      <c r="E1112" s="6"/>
      <c r="F1112" s="6"/>
      <c r="G1112" s="19"/>
      <c r="H1112" s="19"/>
      <c r="I1112" s="19"/>
      <c r="J1112" s="19"/>
      <c r="K1112" s="6"/>
      <c r="L1112" s="6"/>
      <c r="M1112" s="6"/>
      <c r="N1112" s="6"/>
      <c r="O1112" s="6"/>
      <c r="P1112" s="6"/>
      <c r="Q1112" s="6"/>
      <c r="R1112" s="6"/>
      <c r="S1112" s="6"/>
      <c r="T1112" s="6"/>
    </row>
    <row r="1113" spans="4:20" x14ac:dyDescent="0.2">
      <c r="D1113" s="6"/>
      <c r="E1113" s="6"/>
      <c r="F1113" s="6"/>
      <c r="G1113" s="19"/>
      <c r="H1113" s="19"/>
      <c r="I1113" s="19"/>
      <c r="J1113" s="19"/>
      <c r="K1113" s="6"/>
      <c r="L1113" s="6"/>
      <c r="M1113" s="6"/>
      <c r="N1113" s="6"/>
      <c r="O1113" s="6"/>
      <c r="P1113" s="6"/>
      <c r="Q1113" s="6"/>
      <c r="R1113" s="6"/>
      <c r="S1113" s="6"/>
      <c r="T1113" s="6"/>
    </row>
    <row r="1114" spans="4:20" x14ac:dyDescent="0.2">
      <c r="D1114" s="6"/>
      <c r="E1114" s="6"/>
      <c r="F1114" s="6"/>
      <c r="G1114" s="19"/>
      <c r="H1114" s="19"/>
      <c r="I1114" s="19"/>
      <c r="J1114" s="19"/>
      <c r="K1114" s="6"/>
      <c r="L1114" s="6"/>
      <c r="M1114" s="6"/>
      <c r="N1114" s="6"/>
      <c r="O1114" s="6"/>
      <c r="P1114" s="6"/>
      <c r="Q1114" s="6"/>
      <c r="R1114" s="6"/>
      <c r="S1114" s="6"/>
      <c r="T1114" s="6"/>
    </row>
    <row r="1115" spans="4:20" x14ac:dyDescent="0.2">
      <c r="D1115" s="6"/>
      <c r="E1115" s="6"/>
      <c r="F1115" s="6"/>
      <c r="G1115" s="19"/>
      <c r="H1115" s="19"/>
      <c r="I1115" s="19"/>
      <c r="J1115" s="19"/>
      <c r="K1115" s="6"/>
      <c r="L1115" s="6"/>
      <c r="M1115" s="6"/>
      <c r="N1115" s="6"/>
      <c r="O1115" s="6"/>
      <c r="P1115" s="6"/>
      <c r="Q1115" s="6"/>
      <c r="R1115" s="6"/>
      <c r="S1115" s="6"/>
      <c r="T1115" s="6"/>
    </row>
    <row r="1116" spans="4:20" x14ac:dyDescent="0.2">
      <c r="D1116" s="6"/>
      <c r="E1116" s="6"/>
      <c r="F1116" s="6"/>
      <c r="G1116" s="19"/>
      <c r="H1116" s="19"/>
      <c r="I1116" s="19"/>
      <c r="J1116" s="19"/>
      <c r="K1116" s="6"/>
      <c r="L1116" s="6"/>
      <c r="M1116" s="6"/>
      <c r="N1116" s="6"/>
      <c r="O1116" s="6"/>
      <c r="P1116" s="6"/>
      <c r="Q1116" s="6"/>
      <c r="R1116" s="6"/>
      <c r="S1116" s="6"/>
      <c r="T1116" s="6"/>
    </row>
    <row r="1117" spans="4:20" x14ac:dyDescent="0.2">
      <c r="D1117" s="6"/>
      <c r="E1117" s="6"/>
      <c r="F1117" s="6"/>
      <c r="G1117" s="19"/>
      <c r="H1117" s="19"/>
      <c r="I1117" s="19"/>
      <c r="J1117" s="19"/>
      <c r="K1117" s="6"/>
      <c r="L1117" s="6"/>
      <c r="M1117" s="6"/>
      <c r="N1117" s="6"/>
      <c r="O1117" s="6"/>
      <c r="P1117" s="6"/>
      <c r="Q1117" s="6"/>
      <c r="R1117" s="6"/>
      <c r="S1117" s="6"/>
      <c r="T1117" s="6"/>
    </row>
    <row r="1118" spans="4:20" x14ac:dyDescent="0.2">
      <c r="D1118" s="6"/>
      <c r="E1118" s="6"/>
      <c r="F1118" s="6"/>
      <c r="G1118" s="19"/>
      <c r="H1118" s="19"/>
      <c r="I1118" s="19"/>
      <c r="J1118" s="19"/>
      <c r="K1118" s="6"/>
      <c r="L1118" s="6"/>
      <c r="M1118" s="6"/>
      <c r="N1118" s="6"/>
      <c r="O1118" s="6"/>
      <c r="P1118" s="6"/>
      <c r="Q1118" s="6"/>
      <c r="R1118" s="6"/>
      <c r="S1118" s="6"/>
      <c r="T1118" s="6"/>
    </row>
    <row r="1119" spans="4:20" x14ac:dyDescent="0.2">
      <c r="D1119" s="6"/>
      <c r="E1119" s="6"/>
      <c r="F1119" s="6"/>
      <c r="G1119" s="19"/>
      <c r="H1119" s="19"/>
      <c r="I1119" s="19"/>
      <c r="J1119" s="19"/>
      <c r="K1119" s="6"/>
      <c r="L1119" s="6"/>
      <c r="M1119" s="6"/>
      <c r="N1119" s="6"/>
      <c r="O1119" s="6"/>
      <c r="P1119" s="6"/>
      <c r="Q1119" s="6"/>
      <c r="R1119" s="6"/>
      <c r="S1119" s="6"/>
      <c r="T1119" s="6"/>
    </row>
    <row r="1120" spans="4:20" x14ac:dyDescent="0.2">
      <c r="D1120" s="6"/>
      <c r="E1120" s="6"/>
      <c r="F1120" s="6"/>
      <c r="G1120" s="19"/>
      <c r="H1120" s="19"/>
      <c r="I1120" s="19"/>
      <c r="J1120" s="19"/>
      <c r="K1120" s="6"/>
      <c r="L1120" s="6"/>
      <c r="M1120" s="6"/>
      <c r="N1120" s="6"/>
      <c r="O1120" s="6"/>
      <c r="P1120" s="6"/>
      <c r="Q1120" s="6"/>
      <c r="R1120" s="6"/>
      <c r="S1120" s="6"/>
      <c r="T1120" s="6"/>
    </row>
    <row r="1121" spans="4:20" x14ac:dyDescent="0.2">
      <c r="D1121" s="6"/>
      <c r="E1121" s="6"/>
      <c r="F1121" s="6"/>
      <c r="G1121" s="19"/>
      <c r="H1121" s="19"/>
      <c r="I1121" s="19"/>
      <c r="J1121" s="19"/>
      <c r="K1121" s="6"/>
      <c r="L1121" s="6"/>
      <c r="M1121" s="6"/>
      <c r="N1121" s="6"/>
      <c r="O1121" s="6"/>
      <c r="P1121" s="6"/>
      <c r="Q1121" s="6"/>
      <c r="R1121" s="6"/>
      <c r="S1121" s="6"/>
      <c r="T1121" s="6"/>
    </row>
    <row r="1122" spans="4:20" x14ac:dyDescent="0.2">
      <c r="D1122" s="6"/>
      <c r="E1122" s="6"/>
      <c r="F1122" s="6"/>
      <c r="G1122" s="19"/>
      <c r="H1122" s="19"/>
      <c r="I1122" s="19"/>
      <c r="J1122" s="19"/>
      <c r="K1122" s="6"/>
      <c r="L1122" s="6"/>
      <c r="M1122" s="6"/>
      <c r="N1122" s="6"/>
      <c r="O1122" s="6"/>
      <c r="P1122" s="6"/>
      <c r="Q1122" s="6"/>
      <c r="R1122" s="6"/>
      <c r="S1122" s="6"/>
      <c r="T1122" s="6"/>
    </row>
    <row r="1123" spans="4:20" x14ac:dyDescent="0.2">
      <c r="D1123" s="6"/>
      <c r="E1123" s="6"/>
      <c r="F1123" s="6"/>
      <c r="G1123" s="19"/>
      <c r="H1123" s="19"/>
      <c r="I1123" s="19"/>
      <c r="J1123" s="19"/>
      <c r="K1123" s="6"/>
      <c r="L1123" s="6"/>
      <c r="M1123" s="6"/>
      <c r="N1123" s="6"/>
      <c r="O1123" s="6"/>
      <c r="P1123" s="6"/>
      <c r="Q1123" s="6"/>
      <c r="R1123" s="6"/>
      <c r="S1123" s="6"/>
      <c r="T1123" s="6"/>
    </row>
    <row r="1124" spans="4:20" x14ac:dyDescent="0.2">
      <c r="D1124" s="6"/>
      <c r="E1124" s="6"/>
      <c r="F1124" s="6"/>
      <c r="G1124" s="19"/>
      <c r="H1124" s="19"/>
      <c r="I1124" s="19"/>
      <c r="J1124" s="19"/>
      <c r="K1124" s="6"/>
      <c r="L1124" s="6"/>
      <c r="M1124" s="6"/>
      <c r="N1124" s="6"/>
      <c r="O1124" s="6"/>
      <c r="P1124" s="6"/>
      <c r="Q1124" s="6"/>
      <c r="R1124" s="6"/>
      <c r="S1124" s="6"/>
      <c r="T1124" s="6"/>
    </row>
    <row r="1125" spans="4:20" x14ac:dyDescent="0.2">
      <c r="D1125" s="6"/>
      <c r="E1125" s="6"/>
      <c r="F1125" s="6"/>
      <c r="G1125" s="19"/>
      <c r="H1125" s="19"/>
      <c r="I1125" s="19"/>
      <c r="J1125" s="19"/>
      <c r="K1125" s="6"/>
      <c r="L1125" s="6"/>
      <c r="M1125" s="6"/>
      <c r="N1125" s="6"/>
      <c r="O1125" s="6"/>
      <c r="P1125" s="6"/>
      <c r="Q1125" s="6"/>
      <c r="R1125" s="6"/>
      <c r="S1125" s="6"/>
      <c r="T1125" s="6"/>
    </row>
    <row r="1126" spans="4:20" x14ac:dyDescent="0.2">
      <c r="D1126" s="6"/>
      <c r="E1126" s="6"/>
      <c r="F1126" s="6"/>
      <c r="G1126" s="19"/>
      <c r="H1126" s="19"/>
      <c r="I1126" s="19"/>
      <c r="J1126" s="19"/>
      <c r="K1126" s="6"/>
      <c r="L1126" s="6"/>
      <c r="M1126" s="6"/>
      <c r="N1126" s="6"/>
      <c r="O1126" s="6"/>
      <c r="P1126" s="6"/>
      <c r="Q1126" s="6"/>
      <c r="R1126" s="6"/>
      <c r="S1126" s="6"/>
      <c r="T1126" s="6"/>
    </row>
    <row r="1127" spans="4:20" x14ac:dyDescent="0.2">
      <c r="D1127" s="6"/>
      <c r="E1127" s="6"/>
      <c r="F1127" s="6"/>
      <c r="G1127" s="19"/>
      <c r="H1127" s="19"/>
      <c r="I1127" s="19"/>
      <c r="J1127" s="19"/>
      <c r="K1127" s="6"/>
      <c r="L1127" s="6"/>
      <c r="M1127" s="6"/>
      <c r="N1127" s="6"/>
      <c r="O1127" s="6"/>
      <c r="P1127" s="6"/>
      <c r="Q1127" s="6"/>
      <c r="R1127" s="6"/>
      <c r="S1127" s="6"/>
      <c r="T1127" s="6"/>
    </row>
    <row r="1128" spans="4:20" x14ac:dyDescent="0.2">
      <c r="D1128" s="6"/>
      <c r="E1128" s="6"/>
      <c r="F1128" s="6"/>
      <c r="G1128" s="19"/>
      <c r="H1128" s="19"/>
      <c r="I1128" s="19"/>
      <c r="J1128" s="19"/>
      <c r="K1128" s="6"/>
      <c r="L1128" s="6"/>
      <c r="M1128" s="6"/>
      <c r="N1128" s="6"/>
      <c r="O1128" s="6"/>
      <c r="P1128" s="6"/>
      <c r="Q1128" s="6"/>
      <c r="R1128" s="6"/>
      <c r="S1128" s="6"/>
      <c r="T1128" s="6"/>
    </row>
    <row r="1129" spans="4:20" x14ac:dyDescent="0.2">
      <c r="D1129" s="6"/>
      <c r="E1129" s="6"/>
      <c r="F1129" s="6"/>
      <c r="G1129" s="19"/>
      <c r="H1129" s="19"/>
      <c r="I1129" s="19"/>
      <c r="J1129" s="19"/>
      <c r="K1129" s="6"/>
      <c r="L1129" s="6"/>
      <c r="M1129" s="6"/>
      <c r="N1129" s="6"/>
      <c r="O1129" s="6"/>
      <c r="P1129" s="6"/>
      <c r="Q1129" s="6"/>
      <c r="R1129" s="6"/>
      <c r="S1129" s="6"/>
      <c r="T1129" s="6"/>
    </row>
    <row r="1130" spans="4:20" x14ac:dyDescent="0.2">
      <c r="D1130" s="6"/>
      <c r="E1130" s="6"/>
      <c r="F1130" s="6"/>
      <c r="G1130" s="19"/>
      <c r="H1130" s="19"/>
      <c r="I1130" s="19"/>
      <c r="J1130" s="19"/>
      <c r="K1130" s="6"/>
      <c r="L1130" s="6"/>
      <c r="M1130" s="6"/>
      <c r="N1130" s="6"/>
      <c r="O1130" s="6"/>
      <c r="P1130" s="6"/>
      <c r="Q1130" s="6"/>
      <c r="R1130" s="6"/>
      <c r="S1130" s="6"/>
      <c r="T1130" s="6"/>
    </row>
    <row r="1131" spans="4:20" x14ac:dyDescent="0.2">
      <c r="D1131" s="6"/>
      <c r="E1131" s="6"/>
      <c r="F1131" s="6"/>
      <c r="G1131" s="19"/>
      <c r="H1131" s="19"/>
      <c r="I1131" s="19"/>
      <c r="J1131" s="19"/>
      <c r="K1131" s="6"/>
      <c r="L1131" s="6"/>
      <c r="M1131" s="6"/>
      <c r="N1131" s="6"/>
      <c r="O1131" s="6"/>
      <c r="P1131" s="6"/>
      <c r="Q1131" s="6"/>
      <c r="R1131" s="6"/>
      <c r="S1131" s="6"/>
      <c r="T1131" s="6"/>
    </row>
    <row r="1132" spans="4:20" x14ac:dyDescent="0.2">
      <c r="D1132" s="6"/>
      <c r="E1132" s="6"/>
      <c r="F1132" s="6"/>
      <c r="G1132" s="19"/>
      <c r="H1132" s="19"/>
      <c r="I1132" s="19"/>
      <c r="J1132" s="19"/>
      <c r="K1132" s="6"/>
      <c r="L1132" s="6"/>
      <c r="M1132" s="6"/>
      <c r="N1132" s="6"/>
      <c r="O1132" s="6"/>
      <c r="P1132" s="6"/>
      <c r="Q1132" s="6"/>
      <c r="R1132" s="6"/>
      <c r="S1132" s="6"/>
      <c r="T1132" s="6"/>
    </row>
    <row r="1133" spans="4:20" x14ac:dyDescent="0.2">
      <c r="D1133" s="6"/>
      <c r="E1133" s="6"/>
      <c r="F1133" s="6"/>
      <c r="G1133" s="19"/>
      <c r="H1133" s="19"/>
      <c r="I1133" s="19"/>
      <c r="J1133" s="19"/>
      <c r="K1133" s="6"/>
      <c r="L1133" s="6"/>
      <c r="M1133" s="6"/>
      <c r="N1133" s="6"/>
      <c r="O1133" s="6"/>
      <c r="P1133" s="6"/>
      <c r="Q1133" s="6"/>
      <c r="R1133" s="6"/>
      <c r="S1133" s="6"/>
      <c r="T1133" s="6"/>
    </row>
    <row r="1134" spans="4:20" x14ac:dyDescent="0.2">
      <c r="D1134" s="6"/>
      <c r="E1134" s="6"/>
      <c r="F1134" s="6"/>
      <c r="G1134" s="19"/>
      <c r="H1134" s="19"/>
      <c r="I1134" s="19"/>
      <c r="J1134" s="19"/>
      <c r="K1134" s="6"/>
      <c r="L1134" s="6"/>
      <c r="M1134" s="6"/>
      <c r="N1134" s="6"/>
      <c r="O1134" s="6"/>
      <c r="P1134" s="6"/>
      <c r="Q1134" s="6"/>
      <c r="R1134" s="6"/>
      <c r="S1134" s="6"/>
      <c r="T1134" s="6"/>
    </row>
    <row r="1135" spans="4:20" x14ac:dyDescent="0.2">
      <c r="D1135" s="6"/>
      <c r="E1135" s="6"/>
      <c r="F1135" s="6"/>
      <c r="G1135" s="19"/>
      <c r="H1135" s="19"/>
      <c r="I1135" s="19"/>
      <c r="J1135" s="19"/>
      <c r="K1135" s="6"/>
      <c r="L1135" s="6"/>
      <c r="M1135" s="6"/>
      <c r="N1135" s="6"/>
      <c r="O1135" s="6"/>
      <c r="P1135" s="6"/>
      <c r="Q1135" s="6"/>
      <c r="R1135" s="6"/>
      <c r="S1135" s="6"/>
      <c r="T1135" s="6"/>
    </row>
    <row r="1136" spans="4:20" x14ac:dyDescent="0.2">
      <c r="D1136" s="6"/>
      <c r="E1136" s="6"/>
      <c r="F1136" s="6"/>
      <c r="G1136" s="19"/>
      <c r="H1136" s="19"/>
      <c r="I1136" s="19"/>
      <c r="J1136" s="19"/>
      <c r="K1136" s="6"/>
      <c r="L1136" s="6"/>
      <c r="M1136" s="6"/>
      <c r="N1136" s="6"/>
      <c r="O1136" s="6"/>
      <c r="P1136" s="6"/>
      <c r="Q1136" s="6"/>
      <c r="R1136" s="6"/>
      <c r="S1136" s="6"/>
      <c r="T1136" s="6"/>
    </row>
    <row r="1137" spans="4:20" x14ac:dyDescent="0.2">
      <c r="D1137" s="6"/>
      <c r="E1137" s="6"/>
      <c r="F1137" s="6"/>
      <c r="G1137" s="19"/>
      <c r="H1137" s="19"/>
      <c r="I1137" s="19"/>
      <c r="J1137" s="19"/>
      <c r="K1137" s="6"/>
      <c r="L1137" s="6"/>
      <c r="M1137" s="6"/>
      <c r="N1137" s="6"/>
      <c r="O1137" s="6"/>
      <c r="P1137" s="6"/>
      <c r="Q1137" s="6"/>
      <c r="R1137" s="6"/>
      <c r="S1137" s="6"/>
      <c r="T1137" s="6"/>
    </row>
    <row r="1138" spans="4:20" x14ac:dyDescent="0.2">
      <c r="D1138" s="6"/>
      <c r="E1138" s="6"/>
      <c r="F1138" s="6"/>
      <c r="G1138" s="19"/>
      <c r="H1138" s="19"/>
      <c r="I1138" s="19"/>
      <c r="J1138" s="19"/>
      <c r="K1138" s="6"/>
      <c r="L1138" s="6"/>
      <c r="M1138" s="6"/>
      <c r="N1138" s="6"/>
      <c r="O1138" s="6"/>
      <c r="P1138" s="6"/>
      <c r="Q1138" s="6"/>
      <c r="R1138" s="6"/>
      <c r="S1138" s="6"/>
      <c r="T1138" s="6"/>
    </row>
    <row r="1139" spans="4:20" x14ac:dyDescent="0.2">
      <c r="D1139" s="6"/>
      <c r="E1139" s="6"/>
      <c r="F1139" s="6"/>
      <c r="G1139" s="19"/>
      <c r="H1139" s="19"/>
      <c r="I1139" s="19"/>
      <c r="J1139" s="19"/>
      <c r="K1139" s="6"/>
      <c r="L1139" s="6"/>
      <c r="M1139" s="6"/>
      <c r="N1139" s="6"/>
      <c r="O1139" s="6"/>
      <c r="P1139" s="6"/>
      <c r="Q1139" s="6"/>
      <c r="R1139" s="6"/>
      <c r="S1139" s="6"/>
      <c r="T1139" s="6"/>
    </row>
    <row r="1140" spans="4:20" x14ac:dyDescent="0.2">
      <c r="D1140" s="6"/>
      <c r="E1140" s="6"/>
      <c r="F1140" s="6"/>
      <c r="G1140" s="19"/>
      <c r="H1140" s="19"/>
      <c r="I1140" s="19"/>
      <c r="J1140" s="19"/>
      <c r="K1140" s="6"/>
      <c r="L1140" s="6"/>
      <c r="M1140" s="6"/>
      <c r="N1140" s="6"/>
      <c r="O1140" s="6"/>
      <c r="P1140" s="6"/>
      <c r="Q1140" s="6"/>
      <c r="R1140" s="6"/>
      <c r="S1140" s="6"/>
      <c r="T1140" s="6"/>
    </row>
    <row r="1141" spans="4:20" x14ac:dyDescent="0.2">
      <c r="D1141" s="6"/>
      <c r="E1141" s="6"/>
      <c r="F1141" s="6"/>
      <c r="G1141" s="19"/>
      <c r="H1141" s="19"/>
      <c r="I1141" s="19"/>
      <c r="J1141" s="19"/>
      <c r="K1141" s="6"/>
      <c r="L1141" s="6"/>
      <c r="M1141" s="6"/>
      <c r="N1141" s="6"/>
      <c r="O1141" s="6"/>
      <c r="P1141" s="6"/>
      <c r="Q1141" s="6"/>
      <c r="R1141" s="6"/>
      <c r="S1141" s="6"/>
      <c r="T1141" s="6"/>
    </row>
    <row r="1142" spans="4:20" x14ac:dyDescent="0.2">
      <c r="D1142" s="6"/>
      <c r="E1142" s="6"/>
      <c r="F1142" s="6"/>
      <c r="G1142" s="19"/>
      <c r="H1142" s="19"/>
      <c r="I1142" s="19"/>
      <c r="J1142" s="19"/>
      <c r="K1142" s="6"/>
      <c r="L1142" s="6"/>
      <c r="M1142" s="6"/>
      <c r="N1142" s="6"/>
      <c r="O1142" s="6"/>
      <c r="P1142" s="6"/>
      <c r="Q1142" s="6"/>
      <c r="R1142" s="6"/>
      <c r="S1142" s="6"/>
      <c r="T1142" s="6"/>
    </row>
    <row r="1143" spans="4:20" x14ac:dyDescent="0.2">
      <c r="D1143" s="6"/>
      <c r="E1143" s="6"/>
      <c r="F1143" s="6"/>
      <c r="G1143" s="19"/>
      <c r="H1143" s="19"/>
      <c r="I1143" s="19"/>
      <c r="J1143" s="19"/>
      <c r="K1143" s="6"/>
      <c r="L1143" s="6"/>
      <c r="M1143" s="6"/>
      <c r="N1143" s="6"/>
      <c r="O1143" s="6"/>
      <c r="P1143" s="6"/>
      <c r="Q1143" s="6"/>
      <c r="R1143" s="6"/>
      <c r="S1143" s="6"/>
      <c r="T1143" s="6"/>
    </row>
    <row r="1144" spans="4:20" x14ac:dyDescent="0.2">
      <c r="D1144" s="6"/>
      <c r="E1144" s="6"/>
      <c r="F1144" s="6"/>
      <c r="G1144" s="19"/>
      <c r="H1144" s="19"/>
      <c r="I1144" s="19"/>
      <c r="J1144" s="19"/>
      <c r="K1144" s="6"/>
      <c r="L1144" s="6"/>
      <c r="M1144" s="6"/>
      <c r="N1144" s="6"/>
      <c r="O1144" s="6"/>
      <c r="P1144" s="6"/>
      <c r="Q1144" s="6"/>
      <c r="R1144" s="6"/>
      <c r="S1144" s="6"/>
      <c r="T1144" s="6"/>
    </row>
    <row r="1145" spans="4:20" x14ac:dyDescent="0.2">
      <c r="D1145" s="6"/>
      <c r="E1145" s="6"/>
      <c r="F1145" s="6"/>
      <c r="G1145" s="19"/>
      <c r="H1145" s="19"/>
      <c r="I1145" s="19"/>
      <c r="J1145" s="19"/>
      <c r="K1145" s="6"/>
      <c r="L1145" s="6"/>
      <c r="M1145" s="6"/>
      <c r="N1145" s="6"/>
      <c r="O1145" s="6"/>
      <c r="P1145" s="6"/>
      <c r="Q1145" s="6"/>
      <c r="R1145" s="6"/>
      <c r="S1145" s="6"/>
      <c r="T1145" s="6"/>
    </row>
    <row r="1146" spans="4:20" x14ac:dyDescent="0.2">
      <c r="D1146" s="6"/>
      <c r="E1146" s="6"/>
      <c r="F1146" s="6"/>
      <c r="G1146" s="19"/>
      <c r="H1146" s="19"/>
      <c r="I1146" s="19"/>
      <c r="J1146" s="19"/>
      <c r="K1146" s="6"/>
      <c r="L1146" s="6"/>
      <c r="M1146" s="6"/>
      <c r="N1146" s="6"/>
      <c r="O1146" s="6"/>
      <c r="P1146" s="6"/>
      <c r="Q1146" s="6"/>
      <c r="R1146" s="6"/>
      <c r="S1146" s="6"/>
      <c r="T1146" s="6"/>
    </row>
    <row r="1147" spans="4:20" x14ac:dyDescent="0.2">
      <c r="D1147" s="6"/>
      <c r="E1147" s="6"/>
      <c r="F1147" s="6"/>
      <c r="G1147" s="19"/>
      <c r="H1147" s="19"/>
      <c r="I1147" s="19"/>
      <c r="J1147" s="19"/>
      <c r="K1147" s="6"/>
      <c r="L1147" s="6"/>
      <c r="M1147" s="6"/>
      <c r="N1147" s="6"/>
      <c r="O1147" s="6"/>
      <c r="P1147" s="6"/>
      <c r="Q1147" s="6"/>
      <c r="R1147" s="6"/>
      <c r="S1147" s="6"/>
      <c r="T1147" s="6"/>
    </row>
    <row r="1148" spans="4:20" x14ac:dyDescent="0.2">
      <c r="D1148" s="6"/>
      <c r="E1148" s="6"/>
      <c r="F1148" s="6"/>
      <c r="G1148" s="19"/>
      <c r="H1148" s="19"/>
      <c r="I1148" s="19"/>
      <c r="J1148" s="19"/>
      <c r="K1148" s="6"/>
      <c r="L1148" s="6"/>
      <c r="M1148" s="6"/>
      <c r="N1148" s="6"/>
      <c r="O1148" s="6"/>
      <c r="P1148" s="6"/>
      <c r="Q1148" s="6"/>
      <c r="R1148" s="6"/>
      <c r="S1148" s="6"/>
      <c r="T1148" s="6"/>
    </row>
    <row r="1149" spans="4:20" x14ac:dyDescent="0.2">
      <c r="D1149" s="6"/>
      <c r="E1149" s="6"/>
      <c r="F1149" s="6"/>
      <c r="G1149" s="19"/>
      <c r="H1149" s="19"/>
      <c r="I1149" s="19"/>
      <c r="J1149" s="19"/>
      <c r="K1149" s="6"/>
      <c r="L1149" s="6"/>
      <c r="M1149" s="6"/>
      <c r="N1149" s="6"/>
      <c r="O1149" s="6"/>
      <c r="P1149" s="6"/>
      <c r="Q1149" s="6"/>
      <c r="R1149" s="6"/>
      <c r="S1149" s="6"/>
      <c r="T1149" s="6"/>
    </row>
    <row r="1150" spans="4:20" x14ac:dyDescent="0.2">
      <c r="D1150" s="6"/>
      <c r="E1150" s="6"/>
      <c r="F1150" s="6"/>
      <c r="G1150" s="19"/>
      <c r="H1150" s="19"/>
      <c r="I1150" s="19"/>
      <c r="J1150" s="19"/>
      <c r="K1150" s="6"/>
      <c r="L1150" s="6"/>
      <c r="M1150" s="6"/>
      <c r="N1150" s="6"/>
      <c r="O1150" s="6"/>
      <c r="P1150" s="6"/>
      <c r="Q1150" s="6"/>
      <c r="R1150" s="6"/>
      <c r="S1150" s="6"/>
      <c r="T1150" s="6"/>
    </row>
    <row r="1151" spans="4:20" x14ac:dyDescent="0.2">
      <c r="D1151" s="6"/>
      <c r="E1151" s="6"/>
      <c r="F1151" s="6"/>
      <c r="G1151" s="19"/>
      <c r="H1151" s="19"/>
      <c r="I1151" s="19"/>
      <c r="J1151" s="19"/>
      <c r="K1151" s="6"/>
      <c r="L1151" s="6"/>
      <c r="M1151" s="6"/>
      <c r="N1151" s="6"/>
      <c r="O1151" s="6"/>
      <c r="P1151" s="6"/>
      <c r="Q1151" s="6"/>
      <c r="R1151" s="6"/>
      <c r="S1151" s="6"/>
      <c r="T1151" s="6"/>
    </row>
    <row r="1152" spans="4:20" x14ac:dyDescent="0.2">
      <c r="D1152" s="6"/>
      <c r="E1152" s="6"/>
      <c r="F1152" s="6"/>
      <c r="G1152" s="19"/>
      <c r="H1152" s="19"/>
      <c r="I1152" s="19"/>
      <c r="J1152" s="19"/>
      <c r="K1152" s="6"/>
      <c r="L1152" s="6"/>
      <c r="M1152" s="6"/>
      <c r="N1152" s="6"/>
      <c r="O1152" s="6"/>
      <c r="P1152" s="6"/>
      <c r="Q1152" s="6"/>
      <c r="R1152" s="6"/>
      <c r="S1152" s="6"/>
      <c r="T1152" s="6"/>
    </row>
    <row r="1153" spans="4:20" x14ac:dyDescent="0.2">
      <c r="D1153" s="6"/>
      <c r="E1153" s="6"/>
      <c r="F1153" s="6"/>
      <c r="G1153" s="19"/>
      <c r="H1153" s="19"/>
      <c r="I1153" s="19"/>
      <c r="J1153" s="19"/>
      <c r="K1153" s="6"/>
      <c r="L1153" s="6"/>
      <c r="M1153" s="6"/>
      <c r="N1153" s="6"/>
      <c r="O1153" s="6"/>
      <c r="P1153" s="6"/>
      <c r="Q1153" s="6"/>
      <c r="R1153" s="6"/>
      <c r="S1153" s="6"/>
      <c r="T1153" s="6"/>
    </row>
    <row r="1154" spans="4:20" x14ac:dyDescent="0.2">
      <c r="D1154" s="6"/>
      <c r="E1154" s="6"/>
      <c r="F1154" s="6"/>
      <c r="G1154" s="19"/>
      <c r="H1154" s="19"/>
      <c r="I1154" s="19"/>
      <c r="J1154" s="19"/>
      <c r="K1154" s="6"/>
      <c r="L1154" s="6"/>
      <c r="M1154" s="6"/>
      <c r="N1154" s="6"/>
      <c r="O1154" s="6"/>
      <c r="P1154" s="6"/>
      <c r="Q1154" s="6"/>
      <c r="R1154" s="6"/>
      <c r="S1154" s="6"/>
      <c r="T1154" s="6"/>
    </row>
    <row r="1155" spans="4:20" x14ac:dyDescent="0.2">
      <c r="D1155" s="6"/>
      <c r="E1155" s="6"/>
      <c r="F1155" s="6"/>
      <c r="G1155" s="19"/>
      <c r="H1155" s="19"/>
      <c r="I1155" s="19"/>
      <c r="J1155" s="19"/>
      <c r="K1155" s="6"/>
      <c r="L1155" s="6"/>
      <c r="M1155" s="6"/>
      <c r="N1155" s="6"/>
      <c r="O1155" s="6"/>
      <c r="P1155" s="6"/>
      <c r="Q1155" s="6"/>
      <c r="R1155" s="6"/>
      <c r="S1155" s="6"/>
      <c r="T1155" s="6"/>
    </row>
    <row r="1156" spans="4:20" x14ac:dyDescent="0.2">
      <c r="D1156" s="6"/>
      <c r="E1156" s="6"/>
      <c r="F1156" s="6"/>
      <c r="G1156" s="19"/>
      <c r="H1156" s="19"/>
      <c r="I1156" s="19"/>
      <c r="J1156" s="19"/>
      <c r="K1156" s="6"/>
      <c r="L1156" s="6"/>
      <c r="M1156" s="6"/>
      <c r="N1156" s="6"/>
      <c r="O1156" s="6"/>
      <c r="P1156" s="6"/>
      <c r="Q1156" s="6"/>
      <c r="R1156" s="6"/>
      <c r="S1156" s="6"/>
      <c r="T1156" s="6"/>
    </row>
    <row r="1157" spans="4:20" x14ac:dyDescent="0.2">
      <c r="D1157" s="6"/>
      <c r="E1157" s="6"/>
      <c r="F1157" s="6"/>
      <c r="G1157" s="19"/>
      <c r="H1157" s="19"/>
      <c r="I1157" s="19"/>
      <c r="J1157" s="19"/>
      <c r="K1157" s="6"/>
      <c r="L1157" s="6"/>
      <c r="M1157" s="6"/>
      <c r="N1157" s="6"/>
      <c r="O1157" s="6"/>
      <c r="P1157" s="6"/>
      <c r="Q1157" s="6"/>
      <c r="R1157" s="6"/>
      <c r="S1157" s="6"/>
      <c r="T1157" s="6"/>
    </row>
    <row r="1158" spans="4:20" x14ac:dyDescent="0.2">
      <c r="D1158" s="6"/>
      <c r="E1158" s="6"/>
      <c r="F1158" s="6"/>
      <c r="G1158" s="19"/>
      <c r="H1158" s="19"/>
      <c r="I1158" s="19"/>
      <c r="J1158" s="19"/>
      <c r="K1158" s="6"/>
      <c r="L1158" s="6"/>
      <c r="M1158" s="6"/>
      <c r="N1158" s="6"/>
      <c r="O1158" s="6"/>
      <c r="P1158" s="6"/>
      <c r="Q1158" s="6"/>
      <c r="R1158" s="6"/>
      <c r="S1158" s="6"/>
      <c r="T1158" s="6"/>
    </row>
    <row r="1159" spans="4:20" x14ac:dyDescent="0.2">
      <c r="D1159" s="6"/>
      <c r="E1159" s="6"/>
      <c r="F1159" s="6"/>
      <c r="G1159" s="19"/>
      <c r="H1159" s="19"/>
      <c r="I1159" s="19"/>
      <c r="J1159" s="19"/>
      <c r="K1159" s="6"/>
      <c r="L1159" s="6"/>
      <c r="M1159" s="6"/>
      <c r="N1159" s="6"/>
      <c r="O1159" s="6"/>
      <c r="P1159" s="6"/>
      <c r="Q1159" s="6"/>
      <c r="R1159" s="6"/>
      <c r="S1159" s="6"/>
      <c r="T1159" s="6"/>
    </row>
    <row r="1160" spans="4:20" x14ac:dyDescent="0.2">
      <c r="D1160" s="6"/>
      <c r="E1160" s="6"/>
      <c r="F1160" s="6"/>
      <c r="G1160" s="19"/>
      <c r="H1160" s="19"/>
      <c r="I1160" s="19"/>
      <c r="J1160" s="19"/>
      <c r="K1160" s="6"/>
      <c r="L1160" s="6"/>
      <c r="M1160" s="6"/>
      <c r="N1160" s="6"/>
      <c r="O1160" s="6"/>
      <c r="P1160" s="6"/>
      <c r="Q1160" s="6"/>
      <c r="R1160" s="6"/>
      <c r="S1160" s="6"/>
      <c r="T1160" s="6"/>
    </row>
    <row r="1161" spans="4:20" x14ac:dyDescent="0.2">
      <c r="D1161" s="6"/>
      <c r="E1161" s="6"/>
      <c r="F1161" s="6"/>
      <c r="G1161" s="19"/>
      <c r="H1161" s="19"/>
      <c r="I1161" s="19"/>
      <c r="J1161" s="19"/>
      <c r="K1161" s="6"/>
      <c r="L1161" s="6"/>
      <c r="M1161" s="6"/>
      <c r="N1161" s="6"/>
      <c r="O1161" s="6"/>
      <c r="P1161" s="6"/>
      <c r="Q1161" s="6"/>
      <c r="R1161" s="6"/>
      <c r="S1161" s="6"/>
      <c r="T1161" s="6"/>
    </row>
    <row r="1162" spans="4:20" x14ac:dyDescent="0.2">
      <c r="D1162" s="6"/>
      <c r="E1162" s="6"/>
      <c r="F1162" s="6"/>
      <c r="G1162" s="19"/>
      <c r="H1162" s="19"/>
      <c r="I1162" s="19"/>
      <c r="J1162" s="19"/>
      <c r="K1162" s="6"/>
      <c r="L1162" s="6"/>
      <c r="M1162" s="6"/>
      <c r="N1162" s="6"/>
      <c r="O1162" s="6"/>
      <c r="P1162" s="6"/>
      <c r="Q1162" s="6"/>
      <c r="R1162" s="6"/>
      <c r="S1162" s="6"/>
      <c r="T1162" s="6"/>
    </row>
    <row r="1163" spans="4:20" x14ac:dyDescent="0.2">
      <c r="D1163" s="6"/>
      <c r="E1163" s="6"/>
      <c r="F1163" s="6"/>
      <c r="G1163" s="19"/>
      <c r="H1163" s="19"/>
      <c r="I1163" s="19"/>
      <c r="J1163" s="19"/>
      <c r="K1163" s="6"/>
      <c r="L1163" s="6"/>
      <c r="M1163" s="6"/>
      <c r="N1163" s="6"/>
      <c r="O1163" s="6"/>
      <c r="P1163" s="6"/>
      <c r="Q1163" s="6"/>
      <c r="R1163" s="6"/>
      <c r="S1163" s="6"/>
      <c r="T1163" s="6"/>
    </row>
    <row r="1164" spans="4:20" x14ac:dyDescent="0.2">
      <c r="D1164" s="6"/>
      <c r="E1164" s="6"/>
      <c r="F1164" s="6"/>
      <c r="G1164" s="19"/>
      <c r="H1164" s="19"/>
      <c r="I1164" s="19"/>
      <c r="J1164" s="19"/>
      <c r="K1164" s="6"/>
      <c r="L1164" s="6"/>
      <c r="M1164" s="6"/>
      <c r="N1164" s="6"/>
      <c r="O1164" s="6"/>
      <c r="P1164" s="6"/>
      <c r="Q1164" s="6"/>
      <c r="R1164" s="6"/>
      <c r="S1164" s="6"/>
      <c r="T1164" s="6"/>
    </row>
    <row r="1165" spans="4:20" x14ac:dyDescent="0.2">
      <c r="D1165" s="6"/>
      <c r="E1165" s="6"/>
      <c r="F1165" s="6"/>
      <c r="G1165" s="19"/>
      <c r="H1165" s="19"/>
      <c r="I1165" s="19"/>
      <c r="J1165" s="19"/>
      <c r="K1165" s="6"/>
      <c r="L1165" s="6"/>
      <c r="M1165" s="6"/>
      <c r="N1165" s="6"/>
      <c r="O1165" s="6"/>
      <c r="P1165" s="6"/>
      <c r="Q1165" s="6"/>
      <c r="R1165" s="6"/>
      <c r="S1165" s="6"/>
      <c r="T1165" s="6"/>
    </row>
    <row r="1166" spans="4:20" x14ac:dyDescent="0.2">
      <c r="D1166" s="6"/>
      <c r="E1166" s="6"/>
      <c r="F1166" s="6"/>
      <c r="G1166" s="19"/>
      <c r="H1166" s="19"/>
      <c r="I1166" s="19"/>
      <c r="J1166" s="19"/>
      <c r="K1166" s="6"/>
      <c r="L1166" s="6"/>
      <c r="M1166" s="6"/>
      <c r="N1166" s="6"/>
      <c r="O1166" s="6"/>
      <c r="P1166" s="6"/>
      <c r="Q1166" s="6"/>
      <c r="R1166" s="6"/>
      <c r="S1166" s="6"/>
      <c r="T1166" s="6"/>
    </row>
    <row r="1167" spans="4:20" x14ac:dyDescent="0.2">
      <c r="D1167" s="6"/>
      <c r="E1167" s="6"/>
      <c r="F1167" s="6"/>
      <c r="G1167" s="19"/>
      <c r="H1167" s="19"/>
      <c r="I1167" s="19"/>
      <c r="J1167" s="19"/>
      <c r="K1167" s="6"/>
      <c r="L1167" s="6"/>
      <c r="M1167" s="6"/>
      <c r="N1167" s="6"/>
      <c r="O1167" s="6"/>
      <c r="P1167" s="6"/>
      <c r="Q1167" s="6"/>
      <c r="R1167" s="6"/>
      <c r="S1167" s="6"/>
      <c r="T1167" s="6"/>
    </row>
    <row r="1168" spans="4:20" x14ac:dyDescent="0.2">
      <c r="D1168" s="6"/>
      <c r="E1168" s="6"/>
      <c r="F1168" s="6"/>
      <c r="G1168" s="19"/>
      <c r="H1168" s="19"/>
      <c r="I1168" s="19"/>
      <c r="J1168" s="19"/>
      <c r="K1168" s="6"/>
      <c r="L1168" s="6"/>
      <c r="M1168" s="6"/>
      <c r="N1168" s="6"/>
      <c r="O1168" s="6"/>
      <c r="P1168" s="6"/>
      <c r="Q1168" s="6"/>
      <c r="R1168" s="6"/>
      <c r="S1168" s="6"/>
      <c r="T1168" s="6"/>
    </row>
    <row r="1169" spans="4:20" x14ac:dyDescent="0.2">
      <c r="D1169" s="6"/>
      <c r="E1169" s="6"/>
      <c r="F1169" s="6"/>
      <c r="G1169" s="19"/>
      <c r="H1169" s="19"/>
      <c r="I1169" s="19"/>
      <c r="J1169" s="19"/>
      <c r="K1169" s="6"/>
      <c r="L1169" s="6"/>
      <c r="M1169" s="6"/>
      <c r="N1169" s="6"/>
      <c r="O1169" s="6"/>
      <c r="P1169" s="6"/>
      <c r="Q1169" s="6"/>
      <c r="R1169" s="6"/>
      <c r="S1169" s="6"/>
      <c r="T1169" s="6"/>
    </row>
    <row r="1170" spans="4:20" x14ac:dyDescent="0.2">
      <c r="D1170" s="6"/>
      <c r="E1170" s="6"/>
      <c r="F1170" s="6"/>
      <c r="G1170" s="19"/>
      <c r="H1170" s="19"/>
      <c r="I1170" s="19"/>
      <c r="J1170" s="19"/>
      <c r="K1170" s="6"/>
      <c r="L1170" s="6"/>
      <c r="M1170" s="6"/>
      <c r="N1170" s="6"/>
      <c r="O1170" s="6"/>
      <c r="P1170" s="6"/>
      <c r="Q1170" s="6"/>
      <c r="R1170" s="6"/>
      <c r="S1170" s="6"/>
      <c r="T1170" s="6"/>
    </row>
    <row r="1171" spans="4:20" x14ac:dyDescent="0.2">
      <c r="D1171" s="6"/>
      <c r="E1171" s="6"/>
      <c r="F1171" s="6"/>
      <c r="G1171" s="19"/>
      <c r="H1171" s="19"/>
      <c r="I1171" s="19"/>
      <c r="J1171" s="19"/>
      <c r="K1171" s="6"/>
      <c r="L1171" s="6"/>
      <c r="M1171" s="6"/>
      <c r="N1171" s="6"/>
      <c r="O1171" s="6"/>
      <c r="P1171" s="6"/>
      <c r="Q1171" s="6"/>
      <c r="R1171" s="6"/>
      <c r="S1171" s="6"/>
      <c r="T1171" s="6"/>
    </row>
    <row r="1172" spans="4:20" x14ac:dyDescent="0.2">
      <c r="D1172" s="6"/>
      <c r="E1172" s="6"/>
      <c r="F1172" s="6"/>
      <c r="G1172" s="19"/>
      <c r="H1172" s="19"/>
      <c r="I1172" s="19"/>
      <c r="J1172" s="19"/>
      <c r="K1172" s="6"/>
      <c r="L1172" s="6"/>
      <c r="M1172" s="6"/>
      <c r="N1172" s="6"/>
      <c r="O1172" s="6"/>
      <c r="P1172" s="6"/>
      <c r="Q1172" s="6"/>
      <c r="R1172" s="6"/>
      <c r="S1172" s="6"/>
      <c r="T1172" s="6"/>
    </row>
    <row r="1173" spans="4:20" x14ac:dyDescent="0.2">
      <c r="D1173" s="6"/>
      <c r="E1173" s="6"/>
      <c r="F1173" s="6"/>
      <c r="G1173" s="19"/>
      <c r="H1173" s="19"/>
      <c r="I1173" s="19"/>
      <c r="J1173" s="19"/>
      <c r="K1173" s="6"/>
      <c r="L1173" s="6"/>
      <c r="M1173" s="6"/>
      <c r="N1173" s="6"/>
      <c r="O1173" s="6"/>
      <c r="P1173" s="6"/>
      <c r="Q1173" s="6"/>
      <c r="R1173" s="6"/>
      <c r="S1173" s="6"/>
      <c r="T1173" s="6"/>
    </row>
    <row r="1174" spans="4:20" x14ac:dyDescent="0.2">
      <c r="D1174" s="6"/>
      <c r="E1174" s="6"/>
      <c r="F1174" s="6"/>
      <c r="G1174" s="19"/>
      <c r="H1174" s="19"/>
      <c r="I1174" s="19"/>
      <c r="J1174" s="19"/>
      <c r="K1174" s="6"/>
      <c r="L1174" s="6"/>
      <c r="M1174" s="6"/>
      <c r="N1174" s="6"/>
      <c r="O1174" s="6"/>
      <c r="P1174" s="6"/>
      <c r="Q1174" s="6"/>
      <c r="R1174" s="6"/>
      <c r="S1174" s="6"/>
      <c r="T1174" s="6"/>
    </row>
    <row r="1175" spans="4:20" x14ac:dyDescent="0.2">
      <c r="D1175" s="6"/>
      <c r="E1175" s="6"/>
      <c r="F1175" s="6"/>
      <c r="G1175" s="19"/>
      <c r="H1175" s="19"/>
      <c r="I1175" s="19"/>
      <c r="J1175" s="19"/>
      <c r="K1175" s="6"/>
      <c r="L1175" s="6"/>
      <c r="M1175" s="6"/>
      <c r="N1175" s="6"/>
      <c r="O1175" s="6"/>
      <c r="P1175" s="6"/>
      <c r="Q1175" s="6"/>
      <c r="R1175" s="6"/>
      <c r="S1175" s="6"/>
      <c r="T1175" s="6"/>
    </row>
    <row r="1176" spans="4:20" x14ac:dyDescent="0.2">
      <c r="D1176" s="6"/>
      <c r="E1176" s="6"/>
      <c r="F1176" s="6"/>
      <c r="G1176" s="19"/>
      <c r="H1176" s="19"/>
      <c r="I1176" s="19"/>
      <c r="J1176" s="19"/>
      <c r="K1176" s="6"/>
      <c r="L1176" s="6"/>
      <c r="M1176" s="6"/>
      <c r="N1176" s="6"/>
      <c r="O1176" s="6"/>
      <c r="P1176" s="6"/>
      <c r="Q1176" s="6"/>
      <c r="R1176" s="6"/>
      <c r="S1176" s="6"/>
      <c r="T1176" s="6"/>
    </row>
    <row r="1177" spans="4:20" x14ac:dyDescent="0.2">
      <c r="D1177" s="6"/>
      <c r="E1177" s="6"/>
      <c r="F1177" s="6"/>
      <c r="G1177" s="19"/>
      <c r="H1177" s="19"/>
      <c r="I1177" s="19"/>
      <c r="J1177" s="19"/>
      <c r="K1177" s="6"/>
      <c r="L1177" s="6"/>
      <c r="M1177" s="6"/>
      <c r="N1177" s="6"/>
      <c r="O1177" s="6"/>
      <c r="P1177" s="6"/>
      <c r="Q1177" s="6"/>
      <c r="R1177" s="6"/>
      <c r="S1177" s="6"/>
      <c r="T1177" s="6"/>
    </row>
    <row r="1178" spans="4:20" x14ac:dyDescent="0.2">
      <c r="D1178" s="6"/>
      <c r="E1178" s="6"/>
      <c r="F1178" s="6"/>
      <c r="G1178" s="19"/>
      <c r="H1178" s="19"/>
      <c r="I1178" s="19"/>
      <c r="J1178" s="19"/>
      <c r="K1178" s="6"/>
      <c r="L1178" s="6"/>
      <c r="M1178" s="6"/>
      <c r="N1178" s="6"/>
      <c r="O1178" s="6"/>
      <c r="P1178" s="6"/>
      <c r="Q1178" s="6"/>
      <c r="R1178" s="6"/>
      <c r="S1178" s="6"/>
      <c r="T1178" s="6"/>
    </row>
    <row r="1179" spans="4:20" x14ac:dyDescent="0.2">
      <c r="D1179" s="6"/>
      <c r="E1179" s="6"/>
      <c r="F1179" s="6"/>
      <c r="G1179" s="19"/>
      <c r="H1179" s="19"/>
      <c r="I1179" s="19"/>
      <c r="J1179" s="19"/>
      <c r="K1179" s="6"/>
      <c r="L1179" s="6"/>
      <c r="M1179" s="6"/>
      <c r="N1179" s="6"/>
      <c r="O1179" s="6"/>
      <c r="P1179" s="6"/>
      <c r="Q1179" s="6"/>
      <c r="R1179" s="6"/>
      <c r="S1179" s="6"/>
      <c r="T1179" s="6"/>
    </row>
    <row r="1180" spans="4:20" x14ac:dyDescent="0.2">
      <c r="D1180" s="6"/>
      <c r="E1180" s="6"/>
      <c r="F1180" s="6"/>
      <c r="G1180" s="19"/>
      <c r="H1180" s="19"/>
      <c r="I1180" s="19"/>
      <c r="J1180" s="19"/>
      <c r="K1180" s="6"/>
      <c r="L1180" s="6"/>
      <c r="M1180" s="6"/>
      <c r="N1180" s="6"/>
      <c r="O1180" s="6"/>
      <c r="P1180" s="6"/>
      <c r="Q1180" s="6"/>
      <c r="R1180" s="6"/>
      <c r="S1180" s="6"/>
      <c r="T1180" s="6"/>
    </row>
    <row r="1181" spans="4:20" x14ac:dyDescent="0.2">
      <c r="D1181" s="6"/>
      <c r="E1181" s="6"/>
      <c r="F1181" s="6"/>
      <c r="G1181" s="19"/>
      <c r="H1181" s="19"/>
      <c r="I1181" s="19"/>
      <c r="J1181" s="19"/>
      <c r="K1181" s="6"/>
      <c r="L1181" s="6"/>
      <c r="M1181" s="6"/>
      <c r="N1181" s="6"/>
      <c r="O1181" s="6"/>
      <c r="P1181" s="6"/>
      <c r="Q1181" s="6"/>
      <c r="R1181" s="6"/>
      <c r="S1181" s="6"/>
      <c r="T1181" s="6"/>
    </row>
    <row r="1182" spans="4:20" x14ac:dyDescent="0.2">
      <c r="D1182" s="6"/>
      <c r="E1182" s="6"/>
      <c r="F1182" s="6"/>
      <c r="G1182" s="19"/>
      <c r="H1182" s="19"/>
      <c r="I1182" s="19"/>
      <c r="J1182" s="19"/>
      <c r="K1182" s="6"/>
      <c r="L1182" s="6"/>
      <c r="M1182" s="6"/>
      <c r="N1182" s="6"/>
      <c r="O1182" s="6"/>
      <c r="P1182" s="6"/>
      <c r="Q1182" s="6"/>
      <c r="R1182" s="6"/>
      <c r="S1182" s="6"/>
      <c r="T1182" s="6"/>
    </row>
    <row r="1183" spans="4:20" x14ac:dyDescent="0.2">
      <c r="D1183" s="6"/>
      <c r="E1183" s="6"/>
      <c r="F1183" s="6"/>
      <c r="G1183" s="19"/>
      <c r="H1183" s="19"/>
      <c r="I1183" s="19"/>
      <c r="J1183" s="19"/>
      <c r="K1183" s="6"/>
      <c r="L1183" s="6"/>
      <c r="M1183" s="6"/>
      <c r="N1183" s="6"/>
      <c r="O1183" s="6"/>
      <c r="P1183" s="6"/>
      <c r="Q1183" s="6"/>
      <c r="R1183" s="6"/>
      <c r="S1183" s="6"/>
      <c r="T1183" s="6"/>
    </row>
    <row r="1184" spans="4:20" x14ac:dyDescent="0.2">
      <c r="D1184" s="6"/>
      <c r="E1184" s="6"/>
      <c r="F1184" s="6"/>
      <c r="G1184" s="19"/>
      <c r="H1184" s="19"/>
      <c r="I1184" s="19"/>
      <c r="J1184" s="19"/>
      <c r="K1184" s="6"/>
      <c r="L1184" s="6"/>
      <c r="M1184" s="6"/>
      <c r="N1184" s="6"/>
      <c r="O1184" s="6"/>
      <c r="P1184" s="6"/>
      <c r="Q1184" s="6"/>
      <c r="R1184" s="6"/>
      <c r="S1184" s="6"/>
      <c r="T1184" s="6"/>
    </row>
    <row r="1185" spans="4:20" x14ac:dyDescent="0.2">
      <c r="D1185" s="6"/>
      <c r="E1185" s="6"/>
      <c r="F1185" s="6"/>
      <c r="G1185" s="19"/>
      <c r="H1185" s="19"/>
      <c r="I1185" s="19"/>
      <c r="J1185" s="19"/>
      <c r="K1185" s="6"/>
      <c r="L1185" s="6"/>
      <c r="M1185" s="6"/>
      <c r="N1185" s="6"/>
      <c r="O1185" s="6"/>
      <c r="P1185" s="6"/>
      <c r="Q1185" s="6"/>
      <c r="R1185" s="6"/>
      <c r="S1185" s="6"/>
      <c r="T1185" s="6"/>
    </row>
    <row r="1186" spans="4:20" x14ac:dyDescent="0.2">
      <c r="D1186" s="6"/>
      <c r="E1186" s="6"/>
      <c r="F1186" s="6"/>
      <c r="G1186" s="19"/>
      <c r="H1186" s="19"/>
      <c r="I1186" s="19"/>
      <c r="J1186" s="19"/>
      <c r="K1186" s="6"/>
      <c r="L1186" s="6"/>
      <c r="M1186" s="6"/>
      <c r="N1186" s="6"/>
      <c r="O1186" s="6"/>
      <c r="P1186" s="6"/>
      <c r="Q1186" s="6"/>
      <c r="R1186" s="6"/>
      <c r="S1186" s="6"/>
      <c r="T1186" s="6"/>
    </row>
    <row r="1187" spans="4:20" x14ac:dyDescent="0.2">
      <c r="D1187" s="6"/>
      <c r="E1187" s="6"/>
      <c r="F1187" s="6"/>
      <c r="G1187" s="19"/>
      <c r="H1187" s="19"/>
      <c r="I1187" s="19"/>
      <c r="J1187" s="19"/>
      <c r="K1187" s="6"/>
      <c r="L1187" s="6"/>
      <c r="M1187" s="6"/>
      <c r="N1187" s="6"/>
      <c r="O1187" s="6"/>
      <c r="P1187" s="6"/>
      <c r="Q1187" s="6"/>
      <c r="R1187" s="6"/>
      <c r="S1187" s="6"/>
      <c r="T1187" s="6"/>
    </row>
    <row r="1188" spans="4:20" x14ac:dyDescent="0.2">
      <c r="D1188" s="6"/>
      <c r="E1188" s="6"/>
      <c r="F1188" s="6"/>
      <c r="G1188" s="19"/>
      <c r="H1188" s="19"/>
      <c r="I1188" s="19"/>
      <c r="J1188" s="19"/>
      <c r="K1188" s="6"/>
      <c r="L1188" s="6"/>
      <c r="M1188" s="6"/>
      <c r="N1188" s="6"/>
      <c r="O1188" s="6"/>
      <c r="P1188" s="6"/>
      <c r="Q1188" s="6"/>
      <c r="R1188" s="6"/>
      <c r="S1188" s="6"/>
      <c r="T1188" s="6"/>
    </row>
    <row r="1189" spans="4:20" x14ac:dyDescent="0.2">
      <c r="D1189" s="6"/>
      <c r="E1189" s="6"/>
      <c r="F1189" s="6"/>
      <c r="G1189" s="19"/>
      <c r="H1189" s="19"/>
      <c r="I1189" s="19"/>
      <c r="J1189" s="19"/>
      <c r="K1189" s="6"/>
      <c r="L1189" s="6"/>
      <c r="M1189" s="6"/>
      <c r="N1189" s="6"/>
      <c r="O1189" s="6"/>
      <c r="P1189" s="6"/>
      <c r="Q1189" s="6"/>
      <c r="R1189" s="6"/>
      <c r="S1189" s="6"/>
      <c r="T1189" s="6"/>
    </row>
    <row r="1190" spans="4:20" x14ac:dyDescent="0.2">
      <c r="D1190" s="6"/>
      <c r="E1190" s="6"/>
      <c r="F1190" s="6"/>
      <c r="G1190" s="19"/>
      <c r="H1190" s="19"/>
      <c r="I1190" s="19"/>
      <c r="J1190" s="19"/>
      <c r="K1190" s="6"/>
      <c r="L1190" s="6"/>
      <c r="M1190" s="6"/>
      <c r="N1190" s="6"/>
      <c r="O1190" s="6"/>
      <c r="P1190" s="6"/>
      <c r="Q1190" s="6"/>
      <c r="R1190" s="6"/>
      <c r="S1190" s="6"/>
      <c r="T1190" s="6"/>
    </row>
    <row r="1191" spans="4:20" x14ac:dyDescent="0.2">
      <c r="D1191" s="6"/>
      <c r="E1191" s="6"/>
      <c r="F1191" s="6"/>
      <c r="G1191" s="19"/>
      <c r="H1191" s="19"/>
      <c r="I1191" s="19"/>
      <c r="J1191" s="19"/>
      <c r="K1191" s="6"/>
      <c r="L1191" s="6"/>
      <c r="M1191" s="6"/>
      <c r="N1191" s="6"/>
      <c r="O1191" s="6"/>
      <c r="P1191" s="6"/>
      <c r="Q1191" s="6"/>
      <c r="R1191" s="6"/>
      <c r="S1191" s="6"/>
      <c r="T1191" s="6"/>
    </row>
    <row r="1192" spans="4:20" x14ac:dyDescent="0.2">
      <c r="D1192" s="6"/>
      <c r="E1192" s="6"/>
      <c r="F1192" s="6"/>
      <c r="G1192" s="19"/>
      <c r="H1192" s="19"/>
      <c r="I1192" s="19"/>
      <c r="J1192" s="19"/>
      <c r="K1192" s="6"/>
      <c r="L1192" s="6"/>
      <c r="M1192" s="6"/>
      <c r="N1192" s="6"/>
      <c r="O1192" s="6"/>
      <c r="P1192" s="6"/>
      <c r="Q1192" s="6"/>
      <c r="R1192" s="6"/>
      <c r="S1192" s="6"/>
      <c r="T1192" s="6"/>
    </row>
    <row r="1193" spans="4:20" x14ac:dyDescent="0.2">
      <c r="D1193" s="6"/>
      <c r="E1193" s="6"/>
      <c r="F1193" s="6"/>
      <c r="G1193" s="19"/>
      <c r="H1193" s="19"/>
      <c r="I1193" s="19"/>
      <c r="J1193" s="19"/>
      <c r="K1193" s="6"/>
      <c r="L1193" s="6"/>
      <c r="M1193" s="6"/>
      <c r="N1193" s="6"/>
      <c r="O1193" s="6"/>
      <c r="P1193" s="6"/>
      <c r="Q1193" s="6"/>
      <c r="R1193" s="6"/>
      <c r="S1193" s="6"/>
      <c r="T1193" s="6"/>
    </row>
    <row r="1194" spans="4:20" x14ac:dyDescent="0.2">
      <c r="D1194" s="6"/>
      <c r="E1194" s="6"/>
      <c r="F1194" s="6"/>
      <c r="G1194" s="19"/>
      <c r="H1194" s="19"/>
      <c r="I1194" s="19"/>
      <c r="J1194" s="19"/>
      <c r="K1194" s="6"/>
      <c r="L1194" s="6"/>
      <c r="M1194" s="6"/>
      <c r="N1194" s="6"/>
      <c r="O1194" s="6"/>
      <c r="P1194" s="6"/>
      <c r="Q1194" s="6"/>
      <c r="R1194" s="6"/>
      <c r="S1194" s="6"/>
      <c r="T1194" s="6"/>
    </row>
    <row r="1195" spans="4:20" x14ac:dyDescent="0.2">
      <c r="D1195" s="6"/>
      <c r="E1195" s="6"/>
      <c r="F1195" s="6"/>
      <c r="G1195" s="19"/>
      <c r="H1195" s="19"/>
      <c r="I1195" s="19"/>
      <c r="J1195" s="19"/>
      <c r="K1195" s="6"/>
      <c r="L1195" s="6"/>
      <c r="M1195" s="6"/>
      <c r="N1195" s="6"/>
      <c r="O1195" s="6"/>
      <c r="P1195" s="6"/>
      <c r="Q1195" s="6"/>
      <c r="R1195" s="6"/>
      <c r="S1195" s="6"/>
      <c r="T1195" s="6"/>
    </row>
    <row r="1196" spans="4:20" x14ac:dyDescent="0.2">
      <c r="D1196" s="6"/>
      <c r="E1196" s="6"/>
      <c r="F1196" s="6"/>
      <c r="G1196" s="19"/>
      <c r="H1196" s="19"/>
      <c r="I1196" s="19"/>
      <c r="J1196" s="19"/>
      <c r="K1196" s="6"/>
      <c r="L1196" s="6"/>
      <c r="M1196" s="6"/>
      <c r="N1196" s="6"/>
      <c r="O1196" s="6"/>
      <c r="P1196" s="6"/>
      <c r="Q1196" s="6"/>
      <c r="R1196" s="6"/>
      <c r="S1196" s="6"/>
      <c r="T1196" s="6"/>
    </row>
    <row r="1197" spans="4:20" x14ac:dyDescent="0.2">
      <c r="D1197" s="6"/>
      <c r="E1197" s="6"/>
      <c r="F1197" s="6"/>
      <c r="G1197" s="19"/>
      <c r="H1197" s="19"/>
      <c r="I1197" s="19"/>
      <c r="J1197" s="19"/>
      <c r="K1197" s="6"/>
      <c r="L1197" s="6"/>
      <c r="M1197" s="6"/>
      <c r="N1197" s="6"/>
      <c r="O1197" s="6"/>
      <c r="P1197" s="6"/>
      <c r="Q1197" s="6"/>
      <c r="R1197" s="6"/>
      <c r="S1197" s="6"/>
      <c r="T1197" s="6"/>
    </row>
    <row r="1198" spans="4:20" x14ac:dyDescent="0.2">
      <c r="D1198" s="6"/>
      <c r="E1198" s="6"/>
      <c r="F1198" s="6"/>
      <c r="G1198" s="19"/>
      <c r="H1198" s="19"/>
      <c r="I1198" s="19"/>
      <c r="J1198" s="19"/>
      <c r="K1198" s="6"/>
      <c r="L1198" s="6"/>
      <c r="M1198" s="6"/>
      <c r="N1198" s="6"/>
      <c r="O1198" s="6"/>
      <c r="P1198" s="6"/>
      <c r="Q1198" s="6"/>
      <c r="R1198" s="6"/>
      <c r="S1198" s="6"/>
      <c r="T1198" s="6"/>
    </row>
    <row r="1199" spans="4:20" x14ac:dyDescent="0.2">
      <c r="D1199" s="6"/>
      <c r="E1199" s="6"/>
      <c r="F1199" s="6"/>
      <c r="G1199" s="19"/>
      <c r="H1199" s="19"/>
      <c r="I1199" s="19"/>
      <c r="J1199" s="19"/>
      <c r="K1199" s="6"/>
      <c r="L1199" s="6"/>
      <c r="M1199" s="6"/>
      <c r="N1199" s="6"/>
      <c r="O1199" s="6"/>
      <c r="P1199" s="6"/>
      <c r="Q1199" s="6"/>
      <c r="R1199" s="6"/>
      <c r="S1199" s="6"/>
      <c r="T1199" s="6"/>
    </row>
    <row r="1200" spans="4:20" x14ac:dyDescent="0.2">
      <c r="D1200" s="6"/>
      <c r="E1200" s="6"/>
      <c r="F1200" s="6"/>
      <c r="G1200" s="19"/>
      <c r="H1200" s="19"/>
      <c r="I1200" s="19"/>
      <c r="J1200" s="19"/>
      <c r="K1200" s="6"/>
      <c r="L1200" s="6"/>
      <c r="M1200" s="6"/>
      <c r="N1200" s="6"/>
      <c r="O1200" s="6"/>
      <c r="P1200" s="6"/>
      <c r="Q1200" s="6"/>
      <c r="R1200" s="6"/>
      <c r="S1200" s="6"/>
      <c r="T1200" s="6"/>
    </row>
    <row r="1201" spans="4:20" x14ac:dyDescent="0.2">
      <c r="D1201" s="6"/>
      <c r="E1201" s="6"/>
      <c r="F1201" s="6"/>
      <c r="G1201" s="19"/>
      <c r="H1201" s="19"/>
      <c r="I1201" s="19"/>
      <c r="J1201" s="19"/>
      <c r="K1201" s="6"/>
      <c r="L1201" s="6"/>
      <c r="M1201" s="6"/>
      <c r="N1201" s="6"/>
      <c r="O1201" s="6"/>
      <c r="P1201" s="6"/>
      <c r="Q1201" s="6"/>
      <c r="R1201" s="6"/>
      <c r="S1201" s="6"/>
      <c r="T1201" s="6"/>
    </row>
    <row r="1202" spans="4:20" x14ac:dyDescent="0.2">
      <c r="D1202" s="6"/>
      <c r="E1202" s="6"/>
      <c r="F1202" s="6"/>
      <c r="G1202" s="19"/>
      <c r="H1202" s="19"/>
      <c r="I1202" s="19"/>
      <c r="J1202" s="19"/>
      <c r="K1202" s="6"/>
      <c r="L1202" s="6"/>
      <c r="M1202" s="6"/>
      <c r="N1202" s="6"/>
      <c r="O1202" s="6"/>
      <c r="P1202" s="6"/>
      <c r="Q1202" s="6"/>
      <c r="R1202" s="6"/>
      <c r="S1202" s="6"/>
      <c r="T1202" s="6"/>
    </row>
    <row r="1203" spans="4:20" x14ac:dyDescent="0.2">
      <c r="D1203" s="6"/>
      <c r="E1203" s="6"/>
      <c r="F1203" s="6"/>
      <c r="G1203" s="19"/>
      <c r="H1203" s="19"/>
      <c r="I1203" s="19"/>
      <c r="J1203" s="19"/>
      <c r="K1203" s="6"/>
      <c r="L1203" s="6"/>
      <c r="M1203" s="6"/>
      <c r="N1203" s="6"/>
      <c r="O1203" s="6"/>
      <c r="P1203" s="6"/>
      <c r="Q1203" s="6"/>
      <c r="R1203" s="6"/>
      <c r="S1203" s="6"/>
      <c r="T1203" s="6"/>
    </row>
    <row r="1204" spans="4:20" x14ac:dyDescent="0.2">
      <c r="D1204" s="6"/>
      <c r="E1204" s="6"/>
      <c r="F1204" s="6"/>
      <c r="G1204" s="19"/>
      <c r="H1204" s="19"/>
      <c r="I1204" s="19"/>
      <c r="J1204" s="19"/>
      <c r="K1204" s="6"/>
      <c r="L1204" s="6"/>
      <c r="M1204" s="6"/>
      <c r="N1204" s="6"/>
      <c r="O1204" s="6"/>
      <c r="P1204" s="6"/>
      <c r="Q1204" s="6"/>
      <c r="R1204" s="6"/>
      <c r="S1204" s="6"/>
      <c r="T1204" s="6"/>
    </row>
    <row r="1205" spans="4:20" x14ac:dyDescent="0.2">
      <c r="D1205" s="6"/>
      <c r="E1205" s="6"/>
      <c r="F1205" s="6"/>
      <c r="G1205" s="19"/>
      <c r="H1205" s="19"/>
      <c r="I1205" s="19"/>
      <c r="J1205" s="19"/>
      <c r="K1205" s="6"/>
      <c r="L1205" s="6"/>
      <c r="M1205" s="6"/>
      <c r="N1205" s="6"/>
      <c r="O1205" s="6"/>
      <c r="P1205" s="6"/>
      <c r="Q1205" s="6"/>
      <c r="R1205" s="6"/>
      <c r="S1205" s="6"/>
      <c r="T1205" s="6"/>
    </row>
    <row r="1206" spans="4:20" x14ac:dyDescent="0.2">
      <c r="D1206" s="6"/>
      <c r="E1206" s="6"/>
      <c r="F1206" s="6"/>
      <c r="G1206" s="19"/>
      <c r="H1206" s="19"/>
      <c r="I1206" s="19"/>
      <c r="J1206" s="19"/>
      <c r="K1206" s="6"/>
      <c r="L1206" s="6"/>
      <c r="M1206" s="6"/>
      <c r="N1206" s="6"/>
      <c r="O1206" s="6"/>
      <c r="P1206" s="6"/>
      <c r="Q1206" s="6"/>
      <c r="R1206" s="6"/>
      <c r="S1206" s="6"/>
      <c r="T1206" s="6"/>
    </row>
    <row r="1207" spans="4:20" x14ac:dyDescent="0.2">
      <c r="D1207" s="6"/>
      <c r="E1207" s="6"/>
      <c r="F1207" s="6"/>
      <c r="G1207" s="19"/>
      <c r="H1207" s="19"/>
      <c r="I1207" s="19"/>
      <c r="J1207" s="19"/>
      <c r="K1207" s="6"/>
      <c r="L1207" s="6"/>
      <c r="M1207" s="6"/>
      <c r="N1207" s="6"/>
      <c r="O1207" s="6"/>
      <c r="P1207" s="6"/>
      <c r="Q1207" s="6"/>
      <c r="R1207" s="6"/>
      <c r="S1207" s="6"/>
      <c r="T1207" s="6"/>
    </row>
    <row r="1208" spans="4:20" x14ac:dyDescent="0.2">
      <c r="D1208" s="6"/>
      <c r="E1208" s="6"/>
      <c r="F1208" s="6"/>
      <c r="G1208" s="19"/>
      <c r="H1208" s="19"/>
      <c r="I1208" s="19"/>
      <c r="J1208" s="19"/>
      <c r="K1208" s="6"/>
      <c r="L1208" s="6"/>
      <c r="M1208" s="6"/>
      <c r="N1208" s="6"/>
      <c r="O1208" s="6"/>
      <c r="P1208" s="6"/>
      <c r="Q1208" s="6"/>
      <c r="R1208" s="6"/>
      <c r="S1208" s="6"/>
      <c r="T1208" s="6"/>
    </row>
    <row r="1209" spans="4:20" x14ac:dyDescent="0.2">
      <c r="D1209" s="6"/>
      <c r="E1209" s="6"/>
      <c r="F1209" s="6"/>
      <c r="G1209" s="19"/>
      <c r="H1209" s="19"/>
      <c r="I1209" s="19"/>
      <c r="J1209" s="19"/>
      <c r="K1209" s="6"/>
      <c r="L1209" s="6"/>
      <c r="M1209" s="6"/>
      <c r="N1209" s="6"/>
      <c r="O1209" s="6"/>
      <c r="P1209" s="6"/>
      <c r="Q1209" s="6"/>
      <c r="R1209" s="6"/>
      <c r="S1209" s="6"/>
      <c r="T1209" s="6"/>
    </row>
    <row r="1210" spans="4:20" x14ac:dyDescent="0.2">
      <c r="D1210" s="6"/>
      <c r="E1210" s="6"/>
      <c r="F1210" s="6"/>
      <c r="G1210" s="19"/>
      <c r="H1210" s="19"/>
      <c r="I1210" s="19"/>
      <c r="J1210" s="19"/>
      <c r="K1210" s="6"/>
      <c r="L1210" s="6"/>
      <c r="M1210" s="6"/>
      <c r="N1210" s="6"/>
      <c r="O1210" s="6"/>
      <c r="P1210" s="6"/>
      <c r="Q1210" s="6"/>
      <c r="R1210" s="6"/>
      <c r="S1210" s="6"/>
      <c r="T1210" s="6"/>
    </row>
    <row r="1211" spans="4:20" x14ac:dyDescent="0.2">
      <c r="D1211" s="6"/>
      <c r="E1211" s="6"/>
      <c r="F1211" s="6"/>
      <c r="G1211" s="19"/>
      <c r="H1211" s="19"/>
      <c r="I1211" s="19"/>
      <c r="J1211" s="19"/>
      <c r="K1211" s="6"/>
      <c r="L1211" s="6"/>
      <c r="M1211" s="6"/>
      <c r="N1211" s="6"/>
      <c r="O1211" s="6"/>
      <c r="P1211" s="6"/>
      <c r="Q1211" s="6"/>
      <c r="R1211" s="6"/>
      <c r="S1211" s="6"/>
      <c r="T1211" s="6"/>
    </row>
    <row r="1212" spans="4:20" x14ac:dyDescent="0.2">
      <c r="D1212" s="6"/>
      <c r="E1212" s="6"/>
      <c r="F1212" s="6"/>
      <c r="G1212" s="19"/>
      <c r="H1212" s="19"/>
      <c r="I1212" s="19"/>
      <c r="J1212" s="19"/>
      <c r="K1212" s="6"/>
      <c r="L1212" s="6"/>
      <c r="M1212" s="6"/>
      <c r="N1212" s="6"/>
      <c r="O1212" s="6"/>
      <c r="P1212" s="6"/>
      <c r="Q1212" s="6"/>
      <c r="R1212" s="6"/>
      <c r="S1212" s="6"/>
      <c r="T1212" s="6"/>
    </row>
    <row r="1213" spans="4:20" x14ac:dyDescent="0.2">
      <c r="D1213" s="6"/>
      <c r="E1213" s="6"/>
      <c r="F1213" s="6"/>
      <c r="G1213" s="19"/>
      <c r="H1213" s="19"/>
      <c r="I1213" s="19"/>
      <c r="J1213" s="19"/>
      <c r="K1213" s="6"/>
      <c r="L1213" s="6"/>
      <c r="M1213" s="6"/>
      <c r="N1213" s="6"/>
      <c r="O1213" s="6"/>
      <c r="P1213" s="6"/>
      <c r="Q1213" s="6"/>
      <c r="R1213" s="6"/>
      <c r="S1213" s="6"/>
      <c r="T1213" s="6"/>
    </row>
    <row r="1214" spans="4:20" x14ac:dyDescent="0.2">
      <c r="D1214" s="6"/>
      <c r="E1214" s="6"/>
      <c r="F1214" s="6"/>
      <c r="G1214" s="19"/>
      <c r="H1214" s="19"/>
      <c r="I1214" s="19"/>
      <c r="J1214" s="19"/>
      <c r="K1214" s="6"/>
      <c r="L1214" s="6"/>
      <c r="M1214" s="6"/>
      <c r="N1214" s="6"/>
      <c r="O1214" s="6"/>
      <c r="P1214" s="6"/>
      <c r="Q1214" s="6"/>
      <c r="R1214" s="6"/>
      <c r="S1214" s="6"/>
      <c r="T1214" s="6"/>
    </row>
    <row r="1215" spans="4:20" x14ac:dyDescent="0.2">
      <c r="D1215" s="6"/>
      <c r="E1215" s="6"/>
      <c r="F1215" s="6"/>
      <c r="G1215" s="19"/>
      <c r="H1215" s="19"/>
      <c r="I1215" s="19"/>
      <c r="J1215" s="19"/>
      <c r="K1215" s="6"/>
      <c r="L1215" s="6"/>
      <c r="M1215" s="6"/>
      <c r="N1215" s="6"/>
      <c r="O1215" s="6"/>
      <c r="P1215" s="6"/>
      <c r="Q1215" s="6"/>
      <c r="R1215" s="6"/>
      <c r="S1215" s="6"/>
      <c r="T1215" s="6"/>
    </row>
    <row r="1216" spans="4:20" x14ac:dyDescent="0.2">
      <c r="D1216" s="6"/>
      <c r="E1216" s="6"/>
      <c r="F1216" s="6"/>
      <c r="G1216" s="19"/>
      <c r="H1216" s="19"/>
      <c r="I1216" s="19"/>
      <c r="J1216" s="19"/>
      <c r="K1216" s="6"/>
      <c r="L1216" s="6"/>
      <c r="M1216" s="6"/>
      <c r="N1216" s="6"/>
      <c r="O1216" s="6"/>
      <c r="P1216" s="6"/>
      <c r="Q1216" s="6"/>
      <c r="R1216" s="6"/>
      <c r="S1216" s="6"/>
      <c r="T1216" s="6"/>
    </row>
    <row r="1217" spans="4:20" x14ac:dyDescent="0.2">
      <c r="D1217" s="6"/>
      <c r="E1217" s="6"/>
      <c r="F1217" s="6"/>
      <c r="G1217" s="19"/>
      <c r="H1217" s="19"/>
      <c r="I1217" s="19"/>
      <c r="J1217" s="19"/>
      <c r="K1217" s="6"/>
      <c r="L1217" s="6"/>
      <c r="M1217" s="6"/>
      <c r="N1217" s="6"/>
      <c r="O1217" s="6"/>
      <c r="P1217" s="6"/>
      <c r="Q1217" s="6"/>
      <c r="R1217" s="6"/>
      <c r="S1217" s="6"/>
      <c r="T1217" s="6"/>
    </row>
    <row r="1218" spans="4:20" x14ac:dyDescent="0.2">
      <c r="D1218" s="6"/>
      <c r="E1218" s="6"/>
      <c r="F1218" s="6"/>
      <c r="G1218" s="19"/>
      <c r="H1218" s="19"/>
      <c r="I1218" s="19"/>
      <c r="J1218" s="19"/>
      <c r="K1218" s="6"/>
      <c r="L1218" s="6"/>
      <c r="M1218" s="6"/>
      <c r="N1218" s="6"/>
      <c r="O1218" s="6"/>
      <c r="P1218" s="6"/>
      <c r="Q1218" s="6"/>
      <c r="R1218" s="6"/>
      <c r="S1218" s="6"/>
      <c r="T1218" s="6"/>
    </row>
    <row r="1219" spans="4:20" x14ac:dyDescent="0.2">
      <c r="D1219" s="6"/>
      <c r="E1219" s="6"/>
      <c r="F1219" s="6"/>
      <c r="G1219" s="19"/>
      <c r="H1219" s="19"/>
      <c r="I1219" s="19"/>
      <c r="J1219" s="19"/>
      <c r="K1219" s="6"/>
      <c r="L1219" s="6"/>
      <c r="M1219" s="6"/>
      <c r="N1219" s="6"/>
      <c r="O1219" s="6"/>
      <c r="P1219" s="6"/>
      <c r="Q1219" s="6"/>
      <c r="R1219" s="6"/>
      <c r="S1219" s="6"/>
      <c r="T1219" s="6"/>
    </row>
    <row r="1220" spans="4:20" x14ac:dyDescent="0.2">
      <c r="D1220" s="6"/>
      <c r="E1220" s="6"/>
      <c r="F1220" s="6"/>
      <c r="G1220" s="19"/>
      <c r="H1220" s="19"/>
      <c r="I1220" s="19"/>
      <c r="J1220" s="19"/>
      <c r="K1220" s="6"/>
      <c r="L1220" s="6"/>
      <c r="M1220" s="6"/>
      <c r="N1220" s="6"/>
      <c r="O1220" s="6"/>
      <c r="P1220" s="6"/>
      <c r="Q1220" s="6"/>
      <c r="R1220" s="6"/>
      <c r="S1220" s="6"/>
      <c r="T1220" s="6"/>
    </row>
    <row r="1221" spans="4:20" x14ac:dyDescent="0.2">
      <c r="D1221" s="6"/>
      <c r="E1221" s="6"/>
      <c r="F1221" s="6"/>
      <c r="G1221" s="19"/>
      <c r="H1221" s="19"/>
      <c r="I1221" s="19"/>
      <c r="J1221" s="19"/>
      <c r="K1221" s="6"/>
      <c r="L1221" s="6"/>
      <c r="M1221" s="6"/>
      <c r="N1221" s="6"/>
      <c r="O1221" s="6"/>
      <c r="P1221" s="6"/>
      <c r="Q1221" s="6"/>
      <c r="R1221" s="6"/>
      <c r="S1221" s="6"/>
      <c r="T1221" s="6"/>
    </row>
    <row r="1222" spans="4:20" x14ac:dyDescent="0.2">
      <c r="D1222" s="6"/>
      <c r="E1222" s="6"/>
      <c r="F1222" s="6"/>
      <c r="G1222" s="19"/>
      <c r="H1222" s="19"/>
      <c r="I1222" s="19"/>
      <c r="J1222" s="19"/>
      <c r="K1222" s="6"/>
      <c r="L1222" s="6"/>
      <c r="M1222" s="6"/>
      <c r="N1222" s="6"/>
      <c r="O1222" s="6"/>
      <c r="P1222" s="6"/>
      <c r="Q1222" s="6"/>
      <c r="R1222" s="6"/>
      <c r="S1222" s="6"/>
      <c r="T1222" s="6"/>
    </row>
    <row r="1223" spans="4:20" x14ac:dyDescent="0.2">
      <c r="D1223" s="6"/>
      <c r="E1223" s="6"/>
      <c r="F1223" s="6"/>
      <c r="G1223" s="19"/>
      <c r="H1223" s="19"/>
      <c r="I1223" s="19"/>
      <c r="J1223" s="19"/>
      <c r="K1223" s="6"/>
      <c r="L1223" s="6"/>
      <c r="M1223" s="6"/>
      <c r="N1223" s="6"/>
      <c r="O1223" s="6"/>
      <c r="P1223" s="6"/>
      <c r="Q1223" s="6"/>
      <c r="R1223" s="6"/>
      <c r="S1223" s="6"/>
      <c r="T1223" s="6"/>
    </row>
    <row r="1224" spans="4:20" x14ac:dyDescent="0.2">
      <c r="D1224" s="6"/>
      <c r="E1224" s="6"/>
      <c r="F1224" s="6"/>
      <c r="G1224" s="19"/>
      <c r="H1224" s="19"/>
      <c r="I1224" s="19"/>
      <c r="J1224" s="19"/>
      <c r="K1224" s="6"/>
      <c r="L1224" s="6"/>
      <c r="M1224" s="6"/>
      <c r="N1224" s="6"/>
      <c r="O1224" s="6"/>
      <c r="P1224" s="6"/>
      <c r="Q1224" s="6"/>
      <c r="R1224" s="6"/>
      <c r="S1224" s="6"/>
      <c r="T1224" s="6"/>
    </row>
    <row r="1225" spans="4:20" x14ac:dyDescent="0.2">
      <c r="D1225" s="6"/>
      <c r="E1225" s="6"/>
      <c r="F1225" s="6"/>
      <c r="G1225" s="19"/>
      <c r="H1225" s="19"/>
      <c r="I1225" s="19"/>
      <c r="J1225" s="19"/>
      <c r="K1225" s="6"/>
      <c r="L1225" s="6"/>
      <c r="M1225" s="6"/>
      <c r="N1225" s="6"/>
      <c r="O1225" s="6"/>
      <c r="P1225" s="6"/>
      <c r="Q1225" s="6"/>
      <c r="R1225" s="6"/>
      <c r="S1225" s="6"/>
      <c r="T1225" s="6"/>
    </row>
    <row r="1226" spans="4:20" x14ac:dyDescent="0.2">
      <c r="D1226" s="6"/>
      <c r="E1226" s="6"/>
      <c r="F1226" s="6"/>
      <c r="G1226" s="19"/>
      <c r="H1226" s="19"/>
      <c r="I1226" s="19"/>
      <c r="J1226" s="19"/>
      <c r="K1226" s="6"/>
      <c r="L1226" s="6"/>
      <c r="M1226" s="6"/>
      <c r="N1226" s="6"/>
      <c r="O1226" s="6"/>
      <c r="P1226" s="6"/>
      <c r="Q1226" s="6"/>
      <c r="R1226" s="6"/>
      <c r="S1226" s="6"/>
      <c r="T1226" s="6"/>
    </row>
    <row r="1227" spans="4:20" x14ac:dyDescent="0.2">
      <c r="D1227" s="6"/>
      <c r="E1227" s="6"/>
      <c r="F1227" s="6"/>
      <c r="G1227" s="19"/>
      <c r="H1227" s="19"/>
      <c r="I1227" s="19"/>
      <c r="J1227" s="19"/>
      <c r="K1227" s="6"/>
      <c r="L1227" s="6"/>
      <c r="M1227" s="6"/>
      <c r="N1227" s="6"/>
      <c r="O1227" s="6"/>
      <c r="P1227" s="6"/>
      <c r="Q1227" s="6"/>
      <c r="R1227" s="6"/>
      <c r="S1227" s="6"/>
      <c r="T1227" s="6"/>
    </row>
    <row r="1228" spans="4:20" x14ac:dyDescent="0.2">
      <c r="D1228" s="6"/>
      <c r="E1228" s="6"/>
      <c r="F1228" s="6"/>
      <c r="G1228" s="19"/>
      <c r="H1228" s="19"/>
      <c r="I1228" s="19"/>
      <c r="J1228" s="19"/>
      <c r="K1228" s="6"/>
      <c r="L1228" s="6"/>
      <c r="M1228" s="6"/>
      <c r="N1228" s="6"/>
      <c r="O1228" s="6"/>
      <c r="P1228" s="6"/>
      <c r="Q1228" s="6"/>
      <c r="R1228" s="6"/>
      <c r="S1228" s="6"/>
      <c r="T1228" s="6"/>
    </row>
    <row r="1229" spans="4:20" x14ac:dyDescent="0.2">
      <c r="D1229" s="6"/>
      <c r="E1229" s="6"/>
      <c r="F1229" s="6"/>
      <c r="G1229" s="19"/>
      <c r="H1229" s="19"/>
      <c r="I1229" s="19"/>
      <c r="J1229" s="19"/>
      <c r="K1229" s="6"/>
      <c r="L1229" s="6"/>
      <c r="M1229" s="6"/>
      <c r="N1229" s="6"/>
      <c r="O1229" s="6"/>
      <c r="P1229" s="6"/>
      <c r="Q1229" s="6"/>
      <c r="R1229" s="6"/>
      <c r="S1229" s="6"/>
      <c r="T1229" s="6"/>
    </row>
    <row r="1230" spans="4:20" x14ac:dyDescent="0.2">
      <c r="D1230" s="6"/>
      <c r="E1230" s="6"/>
      <c r="F1230" s="6"/>
      <c r="G1230" s="19"/>
      <c r="H1230" s="19"/>
      <c r="I1230" s="19"/>
      <c r="J1230" s="19"/>
      <c r="K1230" s="6"/>
      <c r="L1230" s="6"/>
      <c r="M1230" s="6"/>
      <c r="N1230" s="6"/>
      <c r="O1230" s="6"/>
      <c r="P1230" s="6"/>
      <c r="Q1230" s="6"/>
      <c r="R1230" s="6"/>
      <c r="S1230" s="6"/>
      <c r="T1230" s="6"/>
    </row>
    <row r="1231" spans="4:20" x14ac:dyDescent="0.2">
      <c r="D1231" s="6"/>
      <c r="E1231" s="6"/>
      <c r="F1231" s="6"/>
      <c r="G1231" s="19"/>
      <c r="H1231" s="19"/>
      <c r="I1231" s="19"/>
      <c r="J1231" s="19"/>
      <c r="K1231" s="6"/>
      <c r="L1231" s="6"/>
      <c r="M1231" s="6"/>
      <c r="N1231" s="6"/>
      <c r="O1231" s="6"/>
      <c r="P1231" s="6"/>
      <c r="Q1231" s="6"/>
      <c r="R1231" s="6"/>
      <c r="S1231" s="6"/>
      <c r="T1231" s="6"/>
    </row>
    <row r="1232" spans="4:20" x14ac:dyDescent="0.2">
      <c r="D1232" s="6"/>
      <c r="E1232" s="6"/>
      <c r="F1232" s="6"/>
      <c r="G1232" s="19"/>
      <c r="H1232" s="19"/>
      <c r="I1232" s="19"/>
      <c r="J1232" s="19"/>
      <c r="K1232" s="6"/>
      <c r="L1232" s="6"/>
      <c r="M1232" s="6"/>
      <c r="N1232" s="6"/>
      <c r="O1232" s="6"/>
      <c r="P1232" s="6"/>
      <c r="Q1232" s="6"/>
      <c r="R1232" s="6"/>
      <c r="S1232" s="6"/>
      <c r="T1232" s="6"/>
    </row>
    <row r="1233" spans="4:20" x14ac:dyDescent="0.2">
      <c r="D1233" s="6"/>
      <c r="E1233" s="6"/>
      <c r="F1233" s="6"/>
      <c r="G1233" s="19"/>
      <c r="H1233" s="19"/>
      <c r="I1233" s="19"/>
      <c r="J1233" s="19"/>
      <c r="K1233" s="6"/>
      <c r="L1233" s="6"/>
      <c r="M1233" s="6"/>
      <c r="N1233" s="6"/>
      <c r="O1233" s="6"/>
      <c r="P1233" s="6"/>
      <c r="Q1233" s="6"/>
      <c r="R1233" s="6"/>
      <c r="S1233" s="6"/>
      <c r="T1233" s="6"/>
    </row>
    <row r="1234" spans="4:20" x14ac:dyDescent="0.2">
      <c r="D1234" s="6"/>
      <c r="E1234" s="6"/>
      <c r="F1234" s="6"/>
      <c r="G1234" s="19"/>
      <c r="H1234" s="19"/>
      <c r="I1234" s="19"/>
      <c r="J1234" s="19"/>
      <c r="K1234" s="6"/>
      <c r="L1234" s="6"/>
      <c r="M1234" s="6"/>
      <c r="N1234" s="6"/>
      <c r="O1234" s="6"/>
      <c r="P1234" s="6"/>
      <c r="Q1234" s="6"/>
      <c r="R1234" s="6"/>
      <c r="S1234" s="6"/>
      <c r="T1234" s="6"/>
    </row>
    <row r="1235" spans="4:20" x14ac:dyDescent="0.2">
      <c r="D1235" s="6"/>
      <c r="E1235" s="6"/>
      <c r="F1235" s="6"/>
      <c r="G1235" s="19"/>
      <c r="H1235" s="19"/>
      <c r="I1235" s="19"/>
      <c r="J1235" s="19"/>
      <c r="K1235" s="6"/>
      <c r="L1235" s="6"/>
      <c r="M1235" s="6"/>
      <c r="N1235" s="6"/>
      <c r="O1235" s="6"/>
      <c r="P1235" s="6"/>
      <c r="Q1235" s="6"/>
      <c r="R1235" s="6"/>
      <c r="S1235" s="6"/>
      <c r="T1235" s="6"/>
    </row>
    <row r="1236" spans="4:20" x14ac:dyDescent="0.2">
      <c r="D1236" s="6"/>
      <c r="E1236" s="6"/>
      <c r="F1236" s="6"/>
      <c r="G1236" s="19"/>
      <c r="H1236" s="19"/>
      <c r="I1236" s="19"/>
      <c r="J1236" s="19"/>
      <c r="K1236" s="6"/>
      <c r="L1236" s="6"/>
      <c r="M1236" s="6"/>
      <c r="N1236" s="6"/>
      <c r="O1236" s="6"/>
      <c r="P1236" s="6"/>
      <c r="Q1236" s="6"/>
      <c r="R1236" s="6"/>
      <c r="S1236" s="6"/>
      <c r="T1236" s="6"/>
    </row>
    <row r="1237" spans="4:20" x14ac:dyDescent="0.2">
      <c r="D1237" s="6"/>
      <c r="E1237" s="6"/>
      <c r="F1237" s="6"/>
      <c r="G1237" s="19"/>
      <c r="H1237" s="19"/>
      <c r="I1237" s="19"/>
      <c r="J1237" s="19"/>
      <c r="K1237" s="6"/>
      <c r="L1237" s="6"/>
      <c r="M1237" s="6"/>
      <c r="N1237" s="6"/>
      <c r="O1237" s="6"/>
      <c r="P1237" s="6"/>
      <c r="Q1237" s="6"/>
      <c r="R1237" s="6"/>
      <c r="S1237" s="6"/>
      <c r="T1237" s="6"/>
    </row>
    <row r="1238" spans="4:20" x14ac:dyDescent="0.2">
      <c r="D1238" s="6"/>
      <c r="E1238" s="6"/>
      <c r="F1238" s="6"/>
      <c r="G1238" s="19"/>
      <c r="H1238" s="19"/>
      <c r="I1238" s="19"/>
      <c r="J1238" s="19"/>
      <c r="K1238" s="6"/>
      <c r="L1238" s="6"/>
      <c r="M1238" s="6"/>
      <c r="N1238" s="6"/>
      <c r="O1238" s="6"/>
      <c r="P1238" s="6"/>
      <c r="Q1238" s="6"/>
      <c r="R1238" s="6"/>
      <c r="S1238" s="6"/>
      <c r="T1238" s="6"/>
    </row>
    <row r="1239" spans="4:20" x14ac:dyDescent="0.2">
      <c r="D1239" s="6"/>
      <c r="E1239" s="6"/>
      <c r="F1239" s="6"/>
      <c r="G1239" s="19"/>
      <c r="H1239" s="19"/>
      <c r="I1239" s="19"/>
      <c r="J1239" s="19"/>
      <c r="K1239" s="6"/>
      <c r="L1239" s="6"/>
      <c r="M1239" s="6"/>
      <c r="N1239" s="6"/>
      <c r="O1239" s="6"/>
      <c r="P1239" s="6"/>
      <c r="Q1239" s="6"/>
      <c r="R1239" s="6"/>
      <c r="S1239" s="6"/>
      <c r="T1239" s="6"/>
    </row>
    <row r="1240" spans="4:20" x14ac:dyDescent="0.2">
      <c r="D1240" s="6"/>
      <c r="E1240" s="6"/>
      <c r="F1240" s="6"/>
      <c r="G1240" s="19"/>
      <c r="H1240" s="19"/>
      <c r="I1240" s="19"/>
      <c r="J1240" s="19"/>
      <c r="K1240" s="6"/>
      <c r="L1240" s="6"/>
      <c r="M1240" s="6"/>
      <c r="N1240" s="6"/>
      <c r="O1240" s="6"/>
      <c r="P1240" s="6"/>
      <c r="Q1240" s="6"/>
      <c r="R1240" s="6"/>
      <c r="S1240" s="6"/>
      <c r="T1240" s="6"/>
    </row>
    <row r="1241" spans="4:20" x14ac:dyDescent="0.2">
      <c r="D1241" s="6"/>
      <c r="E1241" s="6"/>
      <c r="F1241" s="6"/>
      <c r="G1241" s="19"/>
      <c r="H1241" s="19"/>
      <c r="I1241" s="19"/>
      <c r="J1241" s="19"/>
      <c r="K1241" s="6"/>
      <c r="L1241" s="6"/>
      <c r="M1241" s="6"/>
      <c r="N1241" s="6"/>
      <c r="O1241" s="6"/>
      <c r="P1241" s="6"/>
      <c r="Q1241" s="6"/>
      <c r="R1241" s="6"/>
      <c r="S1241" s="6"/>
      <c r="T1241" s="6"/>
    </row>
    <row r="1242" spans="4:20" x14ac:dyDescent="0.2">
      <c r="D1242" s="6"/>
      <c r="E1242" s="6"/>
      <c r="F1242" s="6"/>
      <c r="G1242" s="19"/>
      <c r="H1242" s="19"/>
      <c r="I1242" s="19"/>
      <c r="J1242" s="19"/>
      <c r="K1242" s="6"/>
      <c r="L1242" s="6"/>
      <c r="M1242" s="6"/>
      <c r="N1242" s="6"/>
      <c r="O1242" s="6"/>
      <c r="P1242" s="6"/>
      <c r="Q1242" s="6"/>
      <c r="R1242" s="6"/>
      <c r="S1242" s="6"/>
      <c r="T1242" s="6"/>
    </row>
    <row r="1243" spans="4:20" x14ac:dyDescent="0.2">
      <c r="D1243" s="6"/>
      <c r="E1243" s="6"/>
      <c r="F1243" s="6"/>
      <c r="G1243" s="19"/>
      <c r="H1243" s="19"/>
      <c r="I1243" s="19"/>
      <c r="J1243" s="19"/>
      <c r="K1243" s="6"/>
      <c r="L1243" s="6"/>
      <c r="M1243" s="6"/>
      <c r="N1243" s="6"/>
      <c r="O1243" s="6"/>
      <c r="P1243" s="6"/>
      <c r="Q1243" s="6"/>
      <c r="R1243" s="6"/>
      <c r="S1243" s="6"/>
      <c r="T1243" s="6"/>
    </row>
    <row r="1244" spans="4:20" x14ac:dyDescent="0.2">
      <c r="D1244" s="6"/>
      <c r="E1244" s="6"/>
      <c r="F1244" s="6"/>
      <c r="G1244" s="19"/>
      <c r="H1244" s="19"/>
      <c r="I1244" s="19"/>
      <c r="J1244" s="19"/>
      <c r="K1244" s="6"/>
      <c r="L1244" s="6"/>
      <c r="M1244" s="6"/>
      <c r="N1244" s="6"/>
      <c r="O1244" s="6"/>
      <c r="P1244" s="6"/>
      <c r="Q1244" s="6"/>
      <c r="R1244" s="6"/>
      <c r="S1244" s="6"/>
      <c r="T1244" s="6"/>
    </row>
    <row r="1245" spans="4:20" x14ac:dyDescent="0.2">
      <c r="D1245" s="6"/>
      <c r="E1245" s="6"/>
      <c r="F1245" s="6"/>
      <c r="G1245" s="19"/>
      <c r="H1245" s="19"/>
      <c r="I1245" s="19"/>
      <c r="J1245" s="19"/>
      <c r="K1245" s="6"/>
      <c r="L1245" s="6"/>
      <c r="M1245" s="6"/>
      <c r="N1245" s="6"/>
      <c r="O1245" s="6"/>
      <c r="P1245" s="6"/>
      <c r="Q1245" s="6"/>
      <c r="R1245" s="6"/>
      <c r="S1245" s="6"/>
      <c r="T1245" s="6"/>
    </row>
    <row r="1246" spans="4:20" x14ac:dyDescent="0.2">
      <c r="D1246" s="6"/>
      <c r="E1246" s="6"/>
      <c r="F1246" s="6"/>
      <c r="G1246" s="19"/>
      <c r="H1246" s="19"/>
      <c r="I1246" s="19"/>
      <c r="J1246" s="19"/>
      <c r="K1246" s="6"/>
      <c r="L1246" s="6"/>
      <c r="M1246" s="6"/>
      <c r="N1246" s="6"/>
      <c r="O1246" s="6"/>
      <c r="P1246" s="6"/>
      <c r="Q1246" s="6"/>
      <c r="R1246" s="6"/>
      <c r="S1246" s="6"/>
      <c r="T1246" s="6"/>
    </row>
    <row r="1247" spans="4:20" x14ac:dyDescent="0.2">
      <c r="D1247" s="6"/>
      <c r="E1247" s="6"/>
      <c r="F1247" s="6"/>
      <c r="G1247" s="19"/>
      <c r="H1247" s="19"/>
      <c r="I1247" s="19"/>
      <c r="J1247" s="19"/>
      <c r="K1247" s="6"/>
      <c r="L1247" s="6"/>
      <c r="M1247" s="6"/>
      <c r="N1247" s="6"/>
      <c r="O1247" s="6"/>
      <c r="P1247" s="6"/>
      <c r="Q1247" s="6"/>
      <c r="R1247" s="6"/>
      <c r="S1247" s="6"/>
      <c r="T1247" s="6"/>
    </row>
    <row r="1248" spans="4:20" x14ac:dyDescent="0.2">
      <c r="D1248" s="6"/>
      <c r="E1248" s="6"/>
      <c r="F1248" s="6"/>
      <c r="G1248" s="19"/>
      <c r="H1248" s="19"/>
      <c r="I1248" s="19"/>
      <c r="J1248" s="19"/>
      <c r="K1248" s="6"/>
      <c r="L1248" s="6"/>
      <c r="M1248" s="6"/>
      <c r="N1248" s="6"/>
      <c r="O1248" s="6"/>
      <c r="P1248" s="6"/>
      <c r="Q1248" s="6"/>
      <c r="R1248" s="6"/>
      <c r="S1248" s="6"/>
      <c r="T1248" s="6"/>
    </row>
    <row r="1249" spans="4:20" x14ac:dyDescent="0.2">
      <c r="D1249" s="6"/>
      <c r="E1249" s="6"/>
      <c r="F1249" s="6"/>
      <c r="G1249" s="19"/>
      <c r="H1249" s="19"/>
      <c r="I1249" s="19"/>
      <c r="J1249" s="19"/>
      <c r="K1249" s="6"/>
      <c r="L1249" s="6"/>
      <c r="M1249" s="6"/>
      <c r="N1249" s="6"/>
      <c r="O1249" s="6"/>
      <c r="P1249" s="6"/>
      <c r="Q1249" s="6"/>
      <c r="R1249" s="6"/>
      <c r="S1249" s="6"/>
      <c r="T1249" s="6"/>
    </row>
    <row r="1250" spans="4:20" x14ac:dyDescent="0.2">
      <c r="D1250" s="6"/>
      <c r="E1250" s="6"/>
      <c r="F1250" s="6"/>
      <c r="G1250" s="19"/>
      <c r="H1250" s="19"/>
      <c r="I1250" s="19"/>
      <c r="J1250" s="19"/>
      <c r="K1250" s="6"/>
      <c r="L1250" s="6"/>
      <c r="M1250" s="6"/>
      <c r="N1250" s="6"/>
      <c r="O1250" s="6"/>
      <c r="P1250" s="6"/>
      <c r="Q1250" s="6"/>
      <c r="R1250" s="6"/>
      <c r="S1250" s="6"/>
      <c r="T1250" s="6"/>
    </row>
    <row r="1251" spans="4:20" x14ac:dyDescent="0.2">
      <c r="D1251" s="6"/>
      <c r="E1251" s="6"/>
      <c r="F1251" s="6"/>
      <c r="G1251" s="19"/>
      <c r="H1251" s="19"/>
      <c r="I1251" s="19"/>
      <c r="J1251" s="19"/>
      <c r="K1251" s="6"/>
      <c r="L1251" s="6"/>
      <c r="M1251" s="6"/>
      <c r="N1251" s="6"/>
      <c r="O1251" s="6"/>
      <c r="P1251" s="6"/>
      <c r="Q1251" s="6"/>
      <c r="R1251" s="6"/>
      <c r="S1251" s="6"/>
      <c r="T1251" s="6"/>
    </row>
    <row r="1252" spans="4:20" x14ac:dyDescent="0.2">
      <c r="D1252" s="6"/>
      <c r="E1252" s="6"/>
      <c r="F1252" s="6"/>
      <c r="G1252" s="19"/>
      <c r="H1252" s="19"/>
      <c r="I1252" s="19"/>
      <c r="J1252" s="19"/>
      <c r="K1252" s="6"/>
      <c r="L1252" s="6"/>
      <c r="M1252" s="6"/>
      <c r="N1252" s="6"/>
      <c r="O1252" s="6"/>
      <c r="P1252" s="6"/>
      <c r="Q1252" s="6"/>
      <c r="R1252" s="6"/>
      <c r="S1252" s="6"/>
      <c r="T1252" s="6"/>
    </row>
    <row r="1253" spans="4:20" x14ac:dyDescent="0.2">
      <c r="D1253" s="6"/>
      <c r="E1253" s="6"/>
      <c r="F1253" s="6"/>
      <c r="G1253" s="19"/>
      <c r="H1253" s="19"/>
      <c r="I1253" s="19"/>
      <c r="J1253" s="19"/>
      <c r="K1253" s="6"/>
      <c r="L1253" s="6"/>
      <c r="M1253" s="6"/>
      <c r="N1253" s="6"/>
      <c r="O1253" s="6"/>
      <c r="P1253" s="6"/>
      <c r="Q1253" s="6"/>
      <c r="R1253" s="6"/>
      <c r="S1253" s="6"/>
      <c r="T1253" s="6"/>
    </row>
    <row r="1254" spans="4:20" x14ac:dyDescent="0.2">
      <c r="D1254" s="6"/>
      <c r="E1254" s="6"/>
      <c r="F1254" s="6"/>
      <c r="G1254" s="19"/>
      <c r="H1254" s="19"/>
      <c r="I1254" s="19"/>
      <c r="J1254" s="19"/>
      <c r="K1254" s="6"/>
      <c r="L1254" s="6"/>
      <c r="M1254" s="6"/>
      <c r="N1254" s="6"/>
      <c r="O1254" s="6"/>
      <c r="P1254" s="6"/>
      <c r="Q1254" s="6"/>
      <c r="R1254" s="6"/>
      <c r="S1254" s="6"/>
      <c r="T1254" s="6"/>
    </row>
    <row r="1255" spans="4:20" x14ac:dyDescent="0.2">
      <c r="D1255" s="6"/>
      <c r="E1255" s="6"/>
      <c r="F1255" s="6"/>
      <c r="G1255" s="19"/>
      <c r="H1255" s="19"/>
      <c r="I1255" s="19"/>
      <c r="J1255" s="19"/>
      <c r="K1255" s="6"/>
      <c r="L1255" s="6"/>
      <c r="M1255" s="6"/>
      <c r="N1255" s="6"/>
      <c r="O1255" s="6"/>
      <c r="P1255" s="6"/>
      <c r="Q1255" s="6"/>
      <c r="R1255" s="6"/>
      <c r="S1255" s="6"/>
      <c r="T1255" s="6"/>
    </row>
    <row r="1256" spans="4:20" x14ac:dyDescent="0.2">
      <c r="D1256" s="6"/>
      <c r="E1256" s="6"/>
      <c r="F1256" s="6"/>
      <c r="G1256" s="19"/>
      <c r="H1256" s="19"/>
      <c r="I1256" s="19"/>
      <c r="J1256" s="19"/>
      <c r="K1256" s="6"/>
      <c r="L1256" s="6"/>
      <c r="M1256" s="6"/>
      <c r="N1256" s="6"/>
      <c r="O1256" s="6"/>
      <c r="P1256" s="6"/>
      <c r="Q1256" s="6"/>
      <c r="R1256" s="6"/>
      <c r="S1256" s="6"/>
      <c r="T1256" s="6"/>
    </row>
    <row r="1257" spans="4:20" x14ac:dyDescent="0.2">
      <c r="D1257" s="6"/>
      <c r="E1257" s="6"/>
      <c r="F1257" s="6"/>
      <c r="G1257" s="19"/>
      <c r="H1257" s="19"/>
      <c r="I1257" s="19"/>
      <c r="J1257" s="19"/>
      <c r="K1257" s="6"/>
      <c r="L1257" s="6"/>
      <c r="M1257" s="6"/>
      <c r="N1257" s="6"/>
      <c r="O1257" s="6"/>
      <c r="P1257" s="6"/>
      <c r="Q1257" s="6"/>
      <c r="R1257" s="6"/>
      <c r="S1257" s="6"/>
      <c r="T1257" s="6"/>
    </row>
    <row r="1258" spans="4:20" x14ac:dyDescent="0.2">
      <c r="D1258" s="6"/>
      <c r="E1258" s="6"/>
      <c r="F1258" s="6"/>
      <c r="G1258" s="19"/>
      <c r="H1258" s="19"/>
      <c r="I1258" s="19"/>
      <c r="J1258" s="19"/>
      <c r="K1258" s="6"/>
      <c r="L1258" s="6"/>
      <c r="M1258" s="6"/>
      <c r="N1258" s="6"/>
      <c r="O1258" s="6"/>
      <c r="P1258" s="6"/>
      <c r="Q1258" s="6"/>
      <c r="R1258" s="6"/>
      <c r="S1258" s="6"/>
      <c r="T1258" s="6"/>
    </row>
    <row r="1259" spans="4:20" x14ac:dyDescent="0.2">
      <c r="D1259" s="6"/>
      <c r="E1259" s="6"/>
      <c r="F1259" s="6"/>
      <c r="G1259" s="19"/>
      <c r="H1259" s="19"/>
      <c r="I1259" s="19"/>
      <c r="J1259" s="19"/>
      <c r="K1259" s="6"/>
      <c r="L1259" s="6"/>
      <c r="M1259" s="6"/>
      <c r="N1259" s="6"/>
      <c r="O1259" s="6"/>
      <c r="P1259" s="6"/>
      <c r="Q1259" s="6"/>
      <c r="R1259" s="6"/>
      <c r="S1259" s="6"/>
      <c r="T1259" s="6"/>
    </row>
    <row r="1260" spans="4:20" x14ac:dyDescent="0.2">
      <c r="D1260" s="6"/>
      <c r="E1260" s="6"/>
      <c r="F1260" s="6"/>
      <c r="G1260" s="19"/>
      <c r="H1260" s="19"/>
      <c r="I1260" s="19"/>
      <c r="J1260" s="19"/>
      <c r="K1260" s="6"/>
      <c r="L1260" s="6"/>
      <c r="M1260" s="6"/>
      <c r="N1260" s="6"/>
      <c r="O1260" s="6"/>
      <c r="P1260" s="6"/>
      <c r="Q1260" s="6"/>
      <c r="R1260" s="6"/>
      <c r="S1260" s="6"/>
      <c r="T1260" s="6"/>
    </row>
    <row r="1261" spans="4:20" x14ac:dyDescent="0.2">
      <c r="D1261" s="6"/>
      <c r="E1261" s="6"/>
      <c r="F1261" s="6"/>
      <c r="G1261" s="19"/>
      <c r="H1261" s="19"/>
      <c r="I1261" s="19"/>
      <c r="J1261" s="19"/>
      <c r="K1261" s="6"/>
      <c r="L1261" s="6"/>
      <c r="M1261" s="6"/>
      <c r="N1261" s="6"/>
      <c r="O1261" s="6"/>
      <c r="P1261" s="6"/>
      <c r="Q1261" s="6"/>
      <c r="R1261" s="6"/>
      <c r="S1261" s="6"/>
      <c r="T1261" s="6"/>
    </row>
    <row r="1262" spans="4:20" x14ac:dyDescent="0.2">
      <c r="D1262" s="6"/>
      <c r="E1262" s="6"/>
      <c r="F1262" s="6"/>
      <c r="G1262" s="19"/>
      <c r="H1262" s="19"/>
      <c r="I1262" s="19"/>
      <c r="J1262" s="19"/>
      <c r="K1262" s="6"/>
      <c r="L1262" s="6"/>
      <c r="M1262" s="6"/>
      <c r="N1262" s="6"/>
      <c r="O1262" s="6"/>
      <c r="P1262" s="6"/>
      <c r="Q1262" s="6"/>
      <c r="R1262" s="6"/>
      <c r="S1262" s="6"/>
      <c r="T1262" s="6"/>
    </row>
    <row r="1263" spans="4:20" x14ac:dyDescent="0.2">
      <c r="D1263" s="6"/>
      <c r="E1263" s="6"/>
      <c r="F1263" s="6"/>
      <c r="G1263" s="19"/>
      <c r="H1263" s="19"/>
      <c r="I1263" s="19"/>
      <c r="J1263" s="19"/>
      <c r="K1263" s="6"/>
      <c r="L1263" s="6"/>
      <c r="M1263" s="6"/>
      <c r="N1263" s="6"/>
      <c r="O1263" s="6"/>
      <c r="P1263" s="6"/>
      <c r="Q1263" s="6"/>
      <c r="R1263" s="6"/>
      <c r="S1263" s="6"/>
      <c r="T1263" s="6"/>
    </row>
    <row r="1264" spans="4:20" x14ac:dyDescent="0.2">
      <c r="D1264" s="6"/>
      <c r="E1264" s="6"/>
      <c r="F1264" s="6"/>
      <c r="G1264" s="19"/>
      <c r="H1264" s="19"/>
      <c r="I1264" s="19"/>
      <c r="J1264" s="19"/>
      <c r="K1264" s="6"/>
      <c r="L1264" s="6"/>
      <c r="M1264" s="6"/>
      <c r="N1264" s="6"/>
      <c r="O1264" s="6"/>
      <c r="P1264" s="6"/>
      <c r="Q1264" s="6"/>
      <c r="R1264" s="6"/>
      <c r="S1264" s="6"/>
      <c r="T1264" s="6"/>
    </row>
    <row r="1265" spans="4:20" x14ac:dyDescent="0.2">
      <c r="D1265" s="6"/>
      <c r="E1265" s="6"/>
      <c r="F1265" s="6"/>
      <c r="G1265" s="19"/>
      <c r="H1265" s="19"/>
      <c r="I1265" s="19"/>
      <c r="J1265" s="19"/>
      <c r="K1265" s="6"/>
      <c r="L1265" s="6"/>
      <c r="M1265" s="6"/>
      <c r="N1265" s="6"/>
      <c r="O1265" s="6"/>
      <c r="P1265" s="6"/>
      <c r="Q1265" s="6"/>
      <c r="R1265" s="6"/>
      <c r="S1265" s="6"/>
      <c r="T1265" s="6"/>
    </row>
    <row r="1266" spans="4:20" x14ac:dyDescent="0.2">
      <c r="D1266" s="6"/>
      <c r="E1266" s="6"/>
      <c r="F1266" s="6"/>
      <c r="G1266" s="19"/>
      <c r="H1266" s="19"/>
      <c r="I1266" s="19"/>
      <c r="J1266" s="19"/>
      <c r="K1266" s="6"/>
      <c r="L1266" s="6"/>
      <c r="M1266" s="6"/>
      <c r="N1266" s="6"/>
      <c r="O1266" s="6"/>
      <c r="P1266" s="6"/>
      <c r="Q1266" s="6"/>
      <c r="R1266" s="6"/>
      <c r="S1266" s="6"/>
      <c r="T1266" s="6"/>
    </row>
    <row r="1267" spans="4:20" x14ac:dyDescent="0.2">
      <c r="D1267" s="6"/>
      <c r="E1267" s="6"/>
      <c r="F1267" s="6"/>
      <c r="G1267" s="19"/>
      <c r="H1267" s="19"/>
      <c r="I1267" s="19"/>
      <c r="J1267" s="19"/>
      <c r="K1267" s="6"/>
      <c r="L1267" s="6"/>
      <c r="M1267" s="6"/>
      <c r="N1267" s="6"/>
      <c r="O1267" s="6"/>
      <c r="P1267" s="6"/>
      <c r="Q1267" s="6"/>
      <c r="R1267" s="6"/>
      <c r="S1267" s="6"/>
      <c r="T1267" s="6"/>
    </row>
    <row r="1268" spans="4:20" x14ac:dyDescent="0.2">
      <c r="D1268" s="6"/>
      <c r="E1268" s="6"/>
      <c r="F1268" s="6"/>
      <c r="G1268" s="19"/>
      <c r="H1268" s="19"/>
      <c r="I1268" s="19"/>
      <c r="J1268" s="19"/>
      <c r="K1268" s="6"/>
      <c r="L1268" s="6"/>
      <c r="M1268" s="6"/>
      <c r="N1268" s="6"/>
      <c r="O1268" s="6"/>
      <c r="P1268" s="6"/>
      <c r="Q1268" s="6"/>
      <c r="R1268" s="6"/>
      <c r="S1268" s="6"/>
      <c r="T1268" s="6"/>
    </row>
    <row r="1269" spans="4:20" x14ac:dyDescent="0.2">
      <c r="D1269" s="6"/>
      <c r="E1269" s="6"/>
      <c r="F1269" s="6"/>
      <c r="G1269" s="19"/>
      <c r="H1269" s="19"/>
      <c r="I1269" s="19"/>
      <c r="J1269" s="19"/>
      <c r="K1269" s="6"/>
      <c r="L1269" s="6"/>
      <c r="M1269" s="6"/>
      <c r="N1269" s="6"/>
      <c r="O1269" s="6"/>
      <c r="P1269" s="6"/>
      <c r="Q1269" s="6"/>
      <c r="R1269" s="6"/>
      <c r="S1269" s="6"/>
      <c r="T1269" s="6"/>
    </row>
    <row r="1270" spans="4:20" x14ac:dyDescent="0.2">
      <c r="D1270" s="6"/>
      <c r="E1270" s="6"/>
      <c r="F1270" s="6"/>
      <c r="G1270" s="19"/>
      <c r="H1270" s="19"/>
      <c r="I1270" s="19"/>
      <c r="J1270" s="19"/>
      <c r="K1270" s="6"/>
      <c r="L1270" s="6"/>
      <c r="M1270" s="6"/>
      <c r="N1270" s="6"/>
      <c r="O1270" s="6"/>
      <c r="P1270" s="6"/>
      <c r="Q1270" s="6"/>
      <c r="R1270" s="6"/>
      <c r="S1270" s="6"/>
      <c r="T1270" s="6"/>
    </row>
    <row r="1271" spans="4:20" x14ac:dyDescent="0.2">
      <c r="D1271" s="6"/>
      <c r="E1271" s="6"/>
      <c r="F1271" s="6"/>
      <c r="G1271" s="19"/>
      <c r="H1271" s="19"/>
      <c r="I1271" s="19"/>
      <c r="J1271" s="19"/>
      <c r="K1271" s="6"/>
      <c r="L1271" s="6"/>
      <c r="M1271" s="6"/>
      <c r="N1271" s="6"/>
      <c r="O1271" s="6"/>
      <c r="P1271" s="6"/>
      <c r="Q1271" s="6"/>
      <c r="R1271" s="6"/>
      <c r="S1271" s="6"/>
      <c r="T1271" s="6"/>
    </row>
    <row r="1272" spans="4:20" x14ac:dyDescent="0.2">
      <c r="D1272" s="6"/>
      <c r="E1272" s="6"/>
      <c r="F1272" s="6"/>
      <c r="G1272" s="19"/>
      <c r="H1272" s="19"/>
      <c r="I1272" s="19"/>
      <c r="J1272" s="19"/>
      <c r="K1272" s="6"/>
      <c r="L1272" s="6"/>
      <c r="M1272" s="6"/>
      <c r="N1272" s="6"/>
      <c r="O1272" s="6"/>
      <c r="P1272" s="6"/>
      <c r="Q1272" s="6"/>
      <c r="R1272" s="6"/>
      <c r="S1272" s="6"/>
      <c r="T1272" s="6"/>
    </row>
    <row r="1273" spans="4:20" x14ac:dyDescent="0.2">
      <c r="D1273" s="6"/>
      <c r="E1273" s="6"/>
      <c r="F1273" s="6"/>
      <c r="G1273" s="19"/>
      <c r="H1273" s="19"/>
      <c r="I1273" s="19"/>
      <c r="J1273" s="19"/>
      <c r="K1273" s="6"/>
      <c r="L1273" s="6"/>
      <c r="M1273" s="6"/>
      <c r="N1273" s="6"/>
      <c r="O1273" s="6"/>
      <c r="P1273" s="6"/>
      <c r="Q1273" s="6"/>
      <c r="R1273" s="6"/>
      <c r="S1273" s="6"/>
      <c r="T1273" s="6"/>
    </row>
    <row r="1274" spans="4:20" x14ac:dyDescent="0.2">
      <c r="D1274" s="6"/>
      <c r="E1274" s="6"/>
      <c r="F1274" s="6"/>
      <c r="G1274" s="19"/>
      <c r="H1274" s="19"/>
      <c r="I1274" s="19"/>
      <c r="J1274" s="19"/>
      <c r="K1274" s="6"/>
      <c r="L1274" s="6"/>
      <c r="M1274" s="6"/>
      <c r="N1274" s="6"/>
      <c r="O1274" s="6"/>
      <c r="P1274" s="6"/>
      <c r="Q1274" s="6"/>
      <c r="R1274" s="6"/>
      <c r="S1274" s="6"/>
      <c r="T1274" s="6"/>
    </row>
    <row r="1275" spans="4:20" x14ac:dyDescent="0.2">
      <c r="D1275" s="6"/>
      <c r="E1275" s="6"/>
      <c r="F1275" s="6"/>
      <c r="G1275" s="19"/>
      <c r="H1275" s="19"/>
      <c r="I1275" s="19"/>
      <c r="J1275" s="19"/>
      <c r="K1275" s="6"/>
      <c r="L1275" s="6"/>
      <c r="M1275" s="6"/>
      <c r="N1275" s="6"/>
      <c r="O1275" s="6"/>
      <c r="P1275" s="6"/>
      <c r="Q1275" s="6"/>
      <c r="R1275" s="6"/>
      <c r="S1275" s="6"/>
      <c r="T1275" s="6"/>
    </row>
    <row r="1276" spans="4:20" x14ac:dyDescent="0.2">
      <c r="D1276" s="6"/>
      <c r="E1276" s="6"/>
      <c r="F1276" s="6"/>
      <c r="G1276" s="19"/>
      <c r="H1276" s="19"/>
      <c r="I1276" s="19"/>
      <c r="J1276" s="19"/>
      <c r="K1276" s="6"/>
      <c r="L1276" s="6"/>
      <c r="M1276" s="6"/>
      <c r="N1276" s="6"/>
      <c r="O1276" s="6"/>
      <c r="P1276" s="6"/>
      <c r="Q1276" s="6"/>
      <c r="R1276" s="6"/>
      <c r="S1276" s="6"/>
      <c r="T1276" s="6"/>
    </row>
    <row r="1277" spans="4:20" x14ac:dyDescent="0.2">
      <c r="D1277" s="6"/>
      <c r="E1277" s="6"/>
      <c r="F1277" s="6"/>
      <c r="G1277" s="19"/>
      <c r="H1277" s="19"/>
      <c r="I1277" s="19"/>
      <c r="J1277" s="19"/>
      <c r="K1277" s="6"/>
      <c r="L1277" s="6"/>
      <c r="M1277" s="6"/>
      <c r="N1277" s="6"/>
      <c r="O1277" s="6"/>
      <c r="P1277" s="6"/>
      <c r="Q1277" s="6"/>
      <c r="R1277" s="6"/>
      <c r="S1277" s="6"/>
      <c r="T1277" s="6"/>
    </row>
    <row r="1278" spans="4:20" x14ac:dyDescent="0.2">
      <c r="D1278" s="6"/>
      <c r="E1278" s="6"/>
      <c r="F1278" s="6"/>
      <c r="G1278" s="19"/>
      <c r="H1278" s="19"/>
      <c r="I1278" s="19"/>
      <c r="J1278" s="19"/>
      <c r="K1278" s="6"/>
      <c r="L1278" s="6"/>
      <c r="M1278" s="6"/>
      <c r="N1278" s="6"/>
      <c r="O1278" s="6"/>
      <c r="P1278" s="6"/>
      <c r="Q1278" s="6"/>
      <c r="R1278" s="6"/>
      <c r="S1278" s="6"/>
      <c r="T1278" s="6"/>
    </row>
    <row r="1279" spans="4:20" x14ac:dyDescent="0.2">
      <c r="D1279" s="6"/>
      <c r="E1279" s="6"/>
      <c r="F1279" s="6"/>
      <c r="G1279" s="19"/>
      <c r="H1279" s="19"/>
      <c r="I1279" s="19"/>
      <c r="J1279" s="19"/>
      <c r="K1279" s="6"/>
      <c r="L1279" s="6"/>
      <c r="M1279" s="6"/>
      <c r="N1279" s="6"/>
      <c r="O1279" s="6"/>
      <c r="P1279" s="6"/>
      <c r="Q1279" s="6"/>
      <c r="R1279" s="6"/>
      <c r="S1279" s="6"/>
      <c r="T1279" s="6"/>
    </row>
    <row r="1280" spans="4:20" x14ac:dyDescent="0.2">
      <c r="D1280" s="6"/>
      <c r="E1280" s="6"/>
      <c r="F1280" s="6"/>
      <c r="G1280" s="19"/>
      <c r="H1280" s="19"/>
      <c r="I1280" s="19"/>
      <c r="J1280" s="19"/>
      <c r="K1280" s="6"/>
      <c r="L1280" s="6"/>
      <c r="M1280" s="6"/>
      <c r="N1280" s="6"/>
      <c r="O1280" s="6"/>
      <c r="P1280" s="6"/>
      <c r="Q1280" s="6"/>
      <c r="R1280" s="6"/>
      <c r="S1280" s="6"/>
      <c r="T1280" s="6"/>
    </row>
    <row r="1281" spans="4:20" x14ac:dyDescent="0.2">
      <c r="D1281" s="6"/>
      <c r="E1281" s="6"/>
      <c r="F1281" s="6"/>
      <c r="G1281" s="19"/>
      <c r="H1281" s="19"/>
      <c r="I1281" s="19"/>
      <c r="J1281" s="19"/>
      <c r="K1281" s="6"/>
      <c r="L1281" s="6"/>
      <c r="M1281" s="6"/>
      <c r="N1281" s="6"/>
      <c r="O1281" s="6"/>
      <c r="P1281" s="6"/>
      <c r="Q1281" s="6"/>
      <c r="R1281" s="6"/>
      <c r="S1281" s="6"/>
      <c r="T1281" s="6"/>
    </row>
    <row r="1282" spans="4:20" x14ac:dyDescent="0.2">
      <c r="D1282" s="6"/>
      <c r="E1282" s="6"/>
      <c r="F1282" s="6"/>
      <c r="G1282" s="19"/>
      <c r="H1282" s="19"/>
      <c r="I1282" s="19"/>
      <c r="J1282" s="19"/>
      <c r="K1282" s="6"/>
      <c r="L1282" s="6"/>
      <c r="M1282" s="6"/>
      <c r="N1282" s="6"/>
      <c r="O1282" s="6"/>
      <c r="P1282" s="6"/>
      <c r="Q1282" s="6"/>
      <c r="R1282" s="6"/>
      <c r="S1282" s="6"/>
      <c r="T1282" s="6"/>
    </row>
    <row r="1283" spans="4:20" x14ac:dyDescent="0.2">
      <c r="D1283" s="6"/>
      <c r="E1283" s="6"/>
      <c r="F1283" s="6"/>
      <c r="G1283" s="19"/>
      <c r="H1283" s="19"/>
      <c r="I1283" s="19"/>
      <c r="J1283" s="19"/>
      <c r="K1283" s="6"/>
      <c r="L1283" s="6"/>
      <c r="M1283" s="6"/>
      <c r="N1283" s="6"/>
      <c r="O1283" s="6"/>
      <c r="P1283" s="6"/>
      <c r="Q1283" s="6"/>
      <c r="R1283" s="6"/>
      <c r="S1283" s="6"/>
      <c r="T1283" s="6"/>
    </row>
    <row r="1284" spans="4:20" x14ac:dyDescent="0.2">
      <c r="D1284" s="6"/>
      <c r="E1284" s="6"/>
      <c r="F1284" s="6"/>
      <c r="G1284" s="19"/>
      <c r="H1284" s="19"/>
      <c r="I1284" s="19"/>
      <c r="J1284" s="19"/>
      <c r="K1284" s="6"/>
      <c r="L1284" s="6"/>
      <c r="M1284" s="6"/>
      <c r="N1284" s="6"/>
      <c r="O1284" s="6"/>
      <c r="P1284" s="6"/>
      <c r="Q1284" s="6"/>
      <c r="R1284" s="6"/>
      <c r="S1284" s="6"/>
      <c r="T1284" s="6"/>
    </row>
    <row r="1285" spans="4:20" x14ac:dyDescent="0.2">
      <c r="D1285" s="6"/>
      <c r="E1285" s="6"/>
      <c r="F1285" s="6"/>
      <c r="G1285" s="19"/>
      <c r="H1285" s="19"/>
      <c r="I1285" s="19"/>
      <c r="J1285" s="19"/>
      <c r="K1285" s="6"/>
      <c r="L1285" s="6"/>
      <c r="M1285" s="6"/>
      <c r="N1285" s="6"/>
      <c r="O1285" s="6"/>
      <c r="P1285" s="6"/>
      <c r="Q1285" s="6"/>
      <c r="R1285" s="6"/>
      <c r="S1285" s="6"/>
      <c r="T1285" s="6"/>
    </row>
    <row r="1286" spans="4:20" x14ac:dyDescent="0.2">
      <c r="D1286" s="6"/>
      <c r="E1286" s="6"/>
      <c r="F1286" s="6"/>
      <c r="G1286" s="19"/>
      <c r="H1286" s="19"/>
      <c r="I1286" s="19"/>
      <c r="J1286" s="19"/>
      <c r="K1286" s="6"/>
      <c r="L1286" s="6"/>
      <c r="M1286" s="6"/>
      <c r="N1286" s="6"/>
      <c r="O1286" s="6"/>
      <c r="P1286" s="6"/>
      <c r="Q1286" s="6"/>
      <c r="R1286" s="6"/>
      <c r="S1286" s="6"/>
      <c r="T1286" s="6"/>
    </row>
    <row r="1287" spans="4:20" x14ac:dyDescent="0.2">
      <c r="D1287" s="6"/>
      <c r="E1287" s="6"/>
      <c r="F1287" s="6"/>
      <c r="G1287" s="19"/>
      <c r="H1287" s="19"/>
      <c r="I1287" s="19"/>
      <c r="J1287" s="19"/>
      <c r="K1287" s="6"/>
      <c r="L1287" s="6"/>
      <c r="M1287" s="6"/>
      <c r="N1287" s="6"/>
      <c r="O1287" s="6"/>
      <c r="P1287" s="6"/>
      <c r="Q1287" s="6"/>
      <c r="R1287" s="6"/>
      <c r="S1287" s="6"/>
      <c r="T1287" s="6"/>
    </row>
    <row r="1288" spans="4:20" x14ac:dyDescent="0.2">
      <c r="D1288" s="6"/>
      <c r="E1288" s="6"/>
      <c r="F1288" s="6"/>
      <c r="G1288" s="19"/>
      <c r="H1288" s="19"/>
      <c r="I1288" s="19"/>
      <c r="J1288" s="19"/>
      <c r="K1288" s="6"/>
      <c r="L1288" s="6"/>
      <c r="M1288" s="6"/>
      <c r="N1288" s="6"/>
      <c r="O1288" s="6"/>
      <c r="P1288" s="6"/>
      <c r="Q1288" s="6"/>
      <c r="R1288" s="6"/>
      <c r="S1288" s="6"/>
      <c r="T1288" s="6"/>
    </row>
    <row r="1289" spans="4:20" x14ac:dyDescent="0.2">
      <c r="D1289" s="6"/>
      <c r="E1289" s="6"/>
      <c r="F1289" s="6"/>
      <c r="G1289" s="19"/>
      <c r="H1289" s="19"/>
      <c r="I1289" s="19"/>
      <c r="J1289" s="19"/>
      <c r="K1289" s="6"/>
      <c r="L1289" s="6"/>
      <c r="M1289" s="6"/>
      <c r="N1289" s="6"/>
      <c r="O1289" s="6"/>
      <c r="P1289" s="6"/>
      <c r="Q1289" s="6"/>
      <c r="R1289" s="6"/>
      <c r="S1289" s="6"/>
      <c r="T1289" s="6"/>
    </row>
    <row r="1290" spans="4:20" x14ac:dyDescent="0.2">
      <c r="D1290" s="6"/>
      <c r="E1290" s="6"/>
      <c r="F1290" s="6"/>
      <c r="G1290" s="19"/>
      <c r="H1290" s="19"/>
      <c r="I1290" s="19"/>
      <c r="J1290" s="19"/>
      <c r="K1290" s="6"/>
      <c r="L1290" s="6"/>
      <c r="M1290" s="6"/>
      <c r="N1290" s="6"/>
      <c r="O1290" s="6"/>
      <c r="P1290" s="6"/>
      <c r="Q1290" s="6"/>
      <c r="R1290" s="6"/>
      <c r="S1290" s="6"/>
      <c r="T1290" s="6"/>
    </row>
    <row r="1291" spans="4:20" x14ac:dyDescent="0.2">
      <c r="D1291" s="6"/>
      <c r="E1291" s="6"/>
      <c r="F1291" s="6"/>
      <c r="G1291" s="19"/>
      <c r="H1291" s="19"/>
      <c r="I1291" s="19"/>
      <c r="J1291" s="19"/>
      <c r="K1291" s="6"/>
      <c r="L1291" s="6"/>
      <c r="M1291" s="6"/>
      <c r="N1291" s="6"/>
      <c r="O1291" s="6"/>
      <c r="P1291" s="6"/>
      <c r="Q1291" s="6"/>
      <c r="R1291" s="6"/>
      <c r="S1291" s="6"/>
      <c r="T1291" s="6"/>
    </row>
    <row r="1292" spans="4:20" x14ac:dyDescent="0.2">
      <c r="D1292" s="6"/>
      <c r="E1292" s="6"/>
      <c r="F1292" s="6"/>
      <c r="G1292" s="19"/>
      <c r="H1292" s="19"/>
      <c r="I1292" s="19"/>
      <c r="J1292" s="19"/>
      <c r="K1292" s="6"/>
      <c r="L1292" s="6"/>
      <c r="M1292" s="6"/>
      <c r="N1292" s="6"/>
      <c r="O1292" s="6"/>
      <c r="P1292" s="6"/>
      <c r="Q1292" s="6"/>
      <c r="R1292" s="6"/>
      <c r="S1292" s="6"/>
      <c r="T1292" s="6"/>
    </row>
    <row r="1293" spans="4:20" x14ac:dyDescent="0.2">
      <c r="D1293" s="6"/>
      <c r="E1293" s="6"/>
      <c r="F1293" s="6"/>
      <c r="G1293" s="19"/>
      <c r="H1293" s="19"/>
      <c r="I1293" s="19"/>
      <c r="J1293" s="19"/>
      <c r="K1293" s="6"/>
      <c r="L1293" s="6"/>
      <c r="M1293" s="6"/>
      <c r="N1293" s="6"/>
      <c r="O1293" s="6"/>
      <c r="P1293" s="6"/>
      <c r="Q1293" s="6"/>
      <c r="R1293" s="6"/>
      <c r="S1293" s="6"/>
      <c r="T1293" s="6"/>
    </row>
    <row r="1294" spans="4:20" x14ac:dyDescent="0.2">
      <c r="D1294" s="6"/>
      <c r="E1294" s="6"/>
      <c r="F1294" s="6"/>
      <c r="G1294" s="19"/>
      <c r="H1294" s="19"/>
      <c r="I1294" s="19"/>
      <c r="J1294" s="19"/>
      <c r="K1294" s="6"/>
      <c r="L1294" s="6"/>
      <c r="M1294" s="6"/>
      <c r="N1294" s="6"/>
      <c r="O1294" s="6"/>
      <c r="P1294" s="6"/>
      <c r="Q1294" s="6"/>
      <c r="R1294" s="6"/>
      <c r="S1294" s="6"/>
      <c r="T1294" s="6"/>
    </row>
    <row r="1295" spans="4:20" x14ac:dyDescent="0.2">
      <c r="D1295" s="6"/>
      <c r="E1295" s="6"/>
      <c r="F1295" s="6"/>
      <c r="G1295" s="19"/>
      <c r="H1295" s="19"/>
      <c r="I1295" s="19"/>
      <c r="J1295" s="19"/>
      <c r="K1295" s="6"/>
      <c r="L1295" s="6"/>
      <c r="M1295" s="6"/>
      <c r="N1295" s="6"/>
      <c r="O1295" s="6"/>
      <c r="P1295" s="6"/>
      <c r="Q1295" s="6"/>
      <c r="R1295" s="6"/>
      <c r="S1295" s="6"/>
      <c r="T1295" s="6"/>
    </row>
    <row r="1296" spans="4:20" x14ac:dyDescent="0.2">
      <c r="D1296" s="6"/>
      <c r="E1296" s="6"/>
      <c r="F1296" s="6"/>
      <c r="G1296" s="19"/>
      <c r="H1296" s="19"/>
      <c r="I1296" s="19"/>
      <c r="J1296" s="19"/>
      <c r="K1296" s="6"/>
      <c r="L1296" s="6"/>
      <c r="M1296" s="6"/>
      <c r="N1296" s="6"/>
      <c r="O1296" s="6"/>
      <c r="P1296" s="6"/>
      <c r="Q1296" s="6"/>
      <c r="R1296" s="6"/>
      <c r="S1296" s="6"/>
      <c r="T1296" s="6"/>
    </row>
    <row r="1297" spans="4:20" x14ac:dyDescent="0.2">
      <c r="D1297" s="6"/>
      <c r="E1297" s="6"/>
      <c r="F1297" s="6"/>
      <c r="G1297" s="19"/>
      <c r="H1297" s="19"/>
      <c r="I1297" s="19"/>
      <c r="J1297" s="19"/>
      <c r="K1297" s="6"/>
      <c r="L1297" s="6"/>
      <c r="M1297" s="6"/>
      <c r="N1297" s="6"/>
      <c r="O1297" s="6"/>
      <c r="P1297" s="6"/>
      <c r="Q1297" s="6"/>
      <c r="R1297" s="6"/>
      <c r="S1297" s="6"/>
      <c r="T1297" s="6"/>
    </row>
    <row r="1298" spans="4:20" x14ac:dyDescent="0.2">
      <c r="D1298" s="6"/>
      <c r="E1298" s="6"/>
      <c r="F1298" s="6"/>
      <c r="G1298" s="19"/>
      <c r="H1298" s="19"/>
      <c r="I1298" s="19"/>
      <c r="J1298" s="19"/>
      <c r="K1298" s="6"/>
      <c r="L1298" s="6"/>
      <c r="M1298" s="6"/>
      <c r="N1298" s="6"/>
      <c r="O1298" s="6"/>
      <c r="P1298" s="6"/>
      <c r="Q1298" s="6"/>
      <c r="R1298" s="6"/>
      <c r="S1298" s="6"/>
      <c r="T1298" s="6"/>
    </row>
    <row r="1299" spans="4:20" x14ac:dyDescent="0.2">
      <c r="D1299" s="6"/>
      <c r="E1299" s="6"/>
      <c r="F1299" s="6"/>
      <c r="G1299" s="19"/>
      <c r="H1299" s="19"/>
      <c r="I1299" s="19"/>
      <c r="J1299" s="19"/>
      <c r="K1299" s="6"/>
      <c r="L1299" s="6"/>
      <c r="M1299" s="6"/>
      <c r="N1299" s="6"/>
      <c r="O1299" s="6"/>
      <c r="P1299" s="6"/>
      <c r="Q1299" s="6"/>
      <c r="R1299" s="6"/>
      <c r="S1299" s="6"/>
      <c r="T1299" s="6"/>
    </row>
    <row r="1300" spans="4:20" x14ac:dyDescent="0.2">
      <c r="D1300" s="6"/>
      <c r="E1300" s="6"/>
      <c r="F1300" s="6"/>
      <c r="G1300" s="19"/>
      <c r="H1300" s="19"/>
      <c r="I1300" s="19"/>
      <c r="J1300" s="19"/>
      <c r="K1300" s="6"/>
      <c r="L1300" s="6"/>
      <c r="M1300" s="6"/>
      <c r="N1300" s="6"/>
      <c r="O1300" s="6"/>
      <c r="P1300" s="6"/>
      <c r="Q1300" s="6"/>
      <c r="R1300" s="6"/>
      <c r="S1300" s="6"/>
      <c r="T1300" s="6"/>
    </row>
    <row r="1301" spans="4:20" x14ac:dyDescent="0.2">
      <c r="D1301" s="6"/>
      <c r="E1301" s="6"/>
      <c r="F1301" s="6"/>
      <c r="G1301" s="19"/>
      <c r="H1301" s="19"/>
      <c r="I1301" s="19"/>
      <c r="J1301" s="19"/>
      <c r="K1301" s="6"/>
      <c r="L1301" s="6"/>
      <c r="M1301" s="6"/>
      <c r="N1301" s="6"/>
      <c r="O1301" s="6"/>
      <c r="P1301" s="6"/>
      <c r="Q1301" s="6"/>
      <c r="R1301" s="6"/>
      <c r="S1301" s="6"/>
      <c r="T1301" s="6"/>
    </row>
    <row r="1302" spans="4:20" x14ac:dyDescent="0.2">
      <c r="D1302" s="6"/>
      <c r="E1302" s="6"/>
      <c r="F1302" s="6"/>
      <c r="G1302" s="19"/>
      <c r="H1302" s="19"/>
      <c r="I1302" s="19"/>
      <c r="J1302" s="19"/>
      <c r="K1302" s="6"/>
      <c r="L1302" s="6"/>
      <c r="M1302" s="6"/>
      <c r="N1302" s="6"/>
      <c r="O1302" s="6"/>
      <c r="P1302" s="6"/>
      <c r="Q1302" s="6"/>
      <c r="R1302" s="6"/>
      <c r="S1302" s="6"/>
      <c r="T1302" s="6"/>
    </row>
    <row r="1303" spans="4:20" x14ac:dyDescent="0.2">
      <c r="D1303" s="6"/>
      <c r="E1303" s="6"/>
      <c r="F1303" s="6"/>
      <c r="G1303" s="19"/>
      <c r="H1303" s="19"/>
      <c r="I1303" s="19"/>
      <c r="J1303" s="19"/>
      <c r="K1303" s="6"/>
      <c r="L1303" s="6"/>
      <c r="M1303" s="6"/>
      <c r="N1303" s="6"/>
      <c r="O1303" s="6"/>
      <c r="P1303" s="6"/>
      <c r="Q1303" s="6"/>
      <c r="R1303" s="6"/>
      <c r="S1303" s="6"/>
      <c r="T1303" s="6"/>
    </row>
    <row r="1304" spans="4:20" x14ac:dyDescent="0.2">
      <c r="D1304" s="6"/>
      <c r="E1304" s="6"/>
      <c r="F1304" s="6"/>
      <c r="G1304" s="19"/>
      <c r="H1304" s="19"/>
      <c r="I1304" s="19"/>
      <c r="J1304" s="19"/>
      <c r="K1304" s="6"/>
      <c r="L1304" s="6"/>
      <c r="M1304" s="6"/>
      <c r="N1304" s="6"/>
      <c r="O1304" s="6"/>
      <c r="P1304" s="6"/>
      <c r="Q1304" s="6"/>
      <c r="R1304" s="6"/>
      <c r="S1304" s="6"/>
      <c r="T1304" s="6"/>
    </row>
    <row r="1305" spans="4:20" x14ac:dyDescent="0.2">
      <c r="D1305" s="6"/>
      <c r="E1305" s="6"/>
      <c r="F1305" s="6"/>
      <c r="G1305" s="19"/>
      <c r="H1305" s="19"/>
      <c r="I1305" s="19"/>
      <c r="J1305" s="19"/>
      <c r="K1305" s="6"/>
      <c r="L1305" s="6"/>
      <c r="M1305" s="6"/>
      <c r="N1305" s="6"/>
      <c r="O1305" s="6"/>
      <c r="P1305" s="6"/>
      <c r="Q1305" s="6"/>
      <c r="R1305" s="6"/>
      <c r="S1305" s="6"/>
      <c r="T1305" s="6"/>
    </row>
    <row r="1306" spans="4:20" x14ac:dyDescent="0.2">
      <c r="D1306" s="6"/>
      <c r="E1306" s="6"/>
      <c r="F1306" s="6"/>
      <c r="G1306" s="19"/>
      <c r="H1306" s="19"/>
      <c r="I1306" s="19"/>
      <c r="J1306" s="19"/>
      <c r="K1306" s="6"/>
      <c r="L1306" s="6"/>
      <c r="M1306" s="6"/>
      <c r="N1306" s="6"/>
      <c r="O1306" s="6"/>
      <c r="P1306" s="6"/>
      <c r="Q1306" s="6"/>
      <c r="R1306" s="6"/>
      <c r="S1306" s="6"/>
      <c r="T1306" s="6"/>
    </row>
    <row r="1307" spans="4:20" x14ac:dyDescent="0.2">
      <c r="D1307" s="6"/>
      <c r="E1307" s="6"/>
      <c r="F1307" s="6"/>
      <c r="G1307" s="19"/>
      <c r="H1307" s="19"/>
      <c r="I1307" s="19"/>
      <c r="J1307" s="19"/>
      <c r="K1307" s="6"/>
      <c r="L1307" s="6"/>
      <c r="M1307" s="6"/>
      <c r="N1307" s="6"/>
      <c r="O1307" s="6"/>
      <c r="P1307" s="6"/>
      <c r="Q1307" s="6"/>
      <c r="R1307" s="6"/>
      <c r="S1307" s="6"/>
      <c r="T1307" s="6"/>
    </row>
    <row r="1308" spans="4:20" x14ac:dyDescent="0.2">
      <c r="D1308" s="6"/>
      <c r="E1308" s="6"/>
      <c r="F1308" s="6"/>
      <c r="G1308" s="19"/>
      <c r="H1308" s="19"/>
      <c r="I1308" s="19"/>
      <c r="J1308" s="19"/>
      <c r="K1308" s="6"/>
      <c r="L1308" s="6"/>
      <c r="M1308" s="6"/>
      <c r="N1308" s="6"/>
      <c r="O1308" s="6"/>
      <c r="P1308" s="6"/>
      <c r="Q1308" s="6"/>
      <c r="R1308" s="6"/>
      <c r="S1308" s="6"/>
      <c r="T1308" s="6"/>
    </row>
    <row r="1309" spans="4:20" x14ac:dyDescent="0.2">
      <c r="D1309" s="6"/>
      <c r="E1309" s="6"/>
      <c r="F1309" s="6"/>
      <c r="G1309" s="19"/>
      <c r="H1309" s="19"/>
      <c r="I1309" s="19"/>
      <c r="J1309" s="19"/>
      <c r="K1309" s="6"/>
      <c r="L1309" s="6"/>
      <c r="M1309" s="6"/>
      <c r="N1309" s="6"/>
      <c r="O1309" s="6"/>
      <c r="P1309" s="6"/>
      <c r="Q1309" s="6"/>
      <c r="R1309" s="6"/>
      <c r="S1309" s="6"/>
      <c r="T1309" s="6"/>
    </row>
    <row r="1310" spans="4:20" x14ac:dyDescent="0.2">
      <c r="D1310" s="6"/>
      <c r="E1310" s="6"/>
      <c r="F1310" s="6"/>
      <c r="G1310" s="19"/>
      <c r="H1310" s="19"/>
      <c r="I1310" s="19"/>
      <c r="J1310" s="19"/>
      <c r="K1310" s="6"/>
      <c r="L1310" s="6"/>
      <c r="M1310" s="6"/>
      <c r="N1310" s="6"/>
      <c r="O1310" s="6"/>
      <c r="P1310" s="6"/>
      <c r="Q1310" s="6"/>
      <c r="R1310" s="6"/>
      <c r="S1310" s="6"/>
      <c r="T1310" s="6"/>
    </row>
    <row r="1311" spans="4:20" x14ac:dyDescent="0.2">
      <c r="D1311" s="6"/>
      <c r="E1311" s="6"/>
      <c r="F1311" s="6"/>
      <c r="G1311" s="19"/>
      <c r="H1311" s="19"/>
      <c r="I1311" s="19"/>
      <c r="J1311" s="19"/>
      <c r="K1311" s="6"/>
      <c r="L1311" s="6"/>
      <c r="M1311" s="6"/>
      <c r="N1311" s="6"/>
      <c r="O1311" s="6"/>
      <c r="P1311" s="6"/>
      <c r="Q1311" s="6"/>
      <c r="R1311" s="6"/>
      <c r="S1311" s="6"/>
      <c r="T1311" s="6"/>
    </row>
    <row r="1312" spans="4:20" x14ac:dyDescent="0.2">
      <c r="D1312" s="6"/>
      <c r="E1312" s="6"/>
      <c r="F1312" s="6"/>
      <c r="G1312" s="19"/>
      <c r="H1312" s="19"/>
      <c r="I1312" s="19"/>
      <c r="J1312" s="19"/>
      <c r="K1312" s="6"/>
      <c r="L1312" s="6"/>
      <c r="M1312" s="6"/>
      <c r="N1312" s="6"/>
      <c r="O1312" s="6"/>
      <c r="P1312" s="6"/>
      <c r="Q1312" s="6"/>
      <c r="R1312" s="6"/>
      <c r="S1312" s="6"/>
      <c r="T1312" s="6"/>
    </row>
    <row r="1313" spans="4:20" x14ac:dyDescent="0.2">
      <c r="D1313" s="6"/>
      <c r="E1313" s="6"/>
      <c r="F1313" s="6"/>
      <c r="G1313" s="19"/>
      <c r="H1313" s="19"/>
      <c r="I1313" s="19"/>
      <c r="J1313" s="19"/>
      <c r="K1313" s="6"/>
      <c r="L1313" s="6"/>
      <c r="M1313" s="6"/>
      <c r="N1313" s="6"/>
      <c r="O1313" s="6"/>
      <c r="P1313" s="6"/>
      <c r="Q1313" s="6"/>
      <c r="R1313" s="6"/>
      <c r="S1313" s="6"/>
      <c r="T1313" s="6"/>
    </row>
    <row r="1314" spans="4:20" x14ac:dyDescent="0.2">
      <c r="D1314" s="6"/>
      <c r="E1314" s="6"/>
      <c r="F1314" s="6"/>
      <c r="G1314" s="19"/>
      <c r="H1314" s="19"/>
      <c r="I1314" s="19"/>
      <c r="J1314" s="19"/>
      <c r="K1314" s="6"/>
      <c r="L1314" s="6"/>
      <c r="M1314" s="6"/>
      <c r="N1314" s="6"/>
      <c r="O1314" s="6"/>
      <c r="P1314" s="6"/>
      <c r="Q1314" s="6"/>
      <c r="R1314" s="6"/>
      <c r="S1314" s="6"/>
      <c r="T1314" s="6"/>
    </row>
    <row r="1315" spans="4:20" x14ac:dyDescent="0.2">
      <c r="D1315" s="6"/>
      <c r="E1315" s="6"/>
      <c r="F1315" s="6"/>
      <c r="G1315" s="19"/>
      <c r="H1315" s="19"/>
      <c r="I1315" s="19"/>
      <c r="J1315" s="19"/>
      <c r="K1315" s="6"/>
      <c r="L1315" s="6"/>
      <c r="M1315" s="6"/>
      <c r="N1315" s="6"/>
      <c r="O1315" s="6"/>
      <c r="P1315" s="6"/>
      <c r="Q1315" s="6"/>
      <c r="R1315" s="6"/>
      <c r="S1315" s="6"/>
      <c r="T1315" s="6"/>
    </row>
    <row r="1316" spans="4:20" x14ac:dyDescent="0.2">
      <c r="D1316" s="6"/>
      <c r="E1316" s="6"/>
      <c r="F1316" s="6"/>
      <c r="G1316" s="19"/>
      <c r="H1316" s="19"/>
      <c r="I1316" s="19"/>
      <c r="J1316" s="19"/>
      <c r="K1316" s="6"/>
      <c r="L1316" s="6"/>
      <c r="M1316" s="6"/>
      <c r="N1316" s="6"/>
      <c r="O1316" s="6"/>
      <c r="P1316" s="6"/>
      <c r="Q1316" s="6"/>
      <c r="R1316" s="6"/>
      <c r="S1316" s="6"/>
      <c r="T1316" s="6"/>
    </row>
    <row r="1317" spans="4:20" x14ac:dyDescent="0.2">
      <c r="D1317" s="6"/>
      <c r="E1317" s="6"/>
      <c r="F1317" s="6"/>
      <c r="G1317" s="19"/>
      <c r="H1317" s="19"/>
      <c r="I1317" s="19"/>
      <c r="J1317" s="19"/>
      <c r="K1317" s="6"/>
      <c r="L1317" s="6"/>
      <c r="M1317" s="6"/>
      <c r="N1317" s="6"/>
      <c r="O1317" s="6"/>
      <c r="P1317" s="6"/>
      <c r="Q1317" s="6"/>
      <c r="R1317" s="6"/>
      <c r="S1317" s="6"/>
      <c r="T1317" s="6"/>
    </row>
    <row r="1318" spans="4:20" x14ac:dyDescent="0.2">
      <c r="D1318" s="6"/>
      <c r="E1318" s="6"/>
      <c r="F1318" s="6"/>
      <c r="G1318" s="19"/>
      <c r="H1318" s="19"/>
      <c r="I1318" s="19"/>
      <c r="J1318" s="19"/>
      <c r="K1318" s="6"/>
      <c r="L1318" s="6"/>
      <c r="M1318" s="6"/>
      <c r="N1318" s="6"/>
      <c r="O1318" s="6"/>
      <c r="P1318" s="6"/>
      <c r="Q1318" s="6"/>
      <c r="R1318" s="6"/>
      <c r="S1318" s="6"/>
      <c r="T1318" s="6"/>
    </row>
    <row r="1319" spans="4:20" x14ac:dyDescent="0.2">
      <c r="D1319" s="6"/>
      <c r="E1319" s="6"/>
      <c r="F1319" s="6"/>
      <c r="G1319" s="19"/>
      <c r="H1319" s="19"/>
      <c r="I1319" s="19"/>
      <c r="J1319" s="19"/>
      <c r="K1319" s="6"/>
      <c r="L1319" s="6"/>
      <c r="M1319" s="6"/>
      <c r="N1319" s="6"/>
      <c r="O1319" s="6"/>
      <c r="P1319" s="6"/>
      <c r="Q1319" s="6"/>
      <c r="R1319" s="6"/>
      <c r="S1319" s="6"/>
      <c r="T1319" s="6"/>
    </row>
    <row r="1320" spans="4:20" x14ac:dyDescent="0.2">
      <c r="D1320" s="6"/>
      <c r="E1320" s="6"/>
      <c r="F1320" s="6"/>
      <c r="G1320" s="19"/>
      <c r="H1320" s="19"/>
      <c r="I1320" s="19"/>
      <c r="J1320" s="19"/>
      <c r="K1320" s="6"/>
      <c r="L1320" s="6"/>
      <c r="M1320" s="6"/>
      <c r="N1320" s="6"/>
      <c r="O1320" s="6"/>
      <c r="P1320" s="6"/>
      <c r="Q1320" s="6"/>
      <c r="R1320" s="6"/>
      <c r="S1320" s="6"/>
      <c r="T1320" s="6"/>
    </row>
    <row r="1321" spans="4:20" x14ac:dyDescent="0.2">
      <c r="D1321" s="6"/>
      <c r="E1321" s="6"/>
      <c r="F1321" s="6"/>
      <c r="G1321" s="19"/>
      <c r="H1321" s="19"/>
      <c r="I1321" s="19"/>
      <c r="J1321" s="19"/>
      <c r="K1321" s="6"/>
      <c r="L1321" s="6"/>
      <c r="M1321" s="6"/>
      <c r="N1321" s="6"/>
      <c r="O1321" s="6"/>
      <c r="P1321" s="6"/>
      <c r="Q1321" s="6"/>
      <c r="R1321" s="6"/>
      <c r="S1321" s="6"/>
      <c r="T1321" s="6"/>
    </row>
    <row r="1322" spans="4:20" x14ac:dyDescent="0.2">
      <c r="D1322" s="6"/>
      <c r="E1322" s="6"/>
      <c r="F1322" s="6"/>
      <c r="G1322" s="19"/>
      <c r="H1322" s="19"/>
      <c r="I1322" s="19"/>
      <c r="J1322" s="19"/>
      <c r="K1322" s="6"/>
      <c r="L1322" s="6"/>
      <c r="M1322" s="6"/>
      <c r="N1322" s="6"/>
      <c r="O1322" s="6"/>
      <c r="P1322" s="6"/>
      <c r="Q1322" s="6"/>
      <c r="R1322" s="6"/>
      <c r="S1322" s="6"/>
      <c r="T1322" s="6"/>
    </row>
    <row r="1323" spans="4:20" x14ac:dyDescent="0.2">
      <c r="D1323" s="6"/>
      <c r="E1323" s="6"/>
      <c r="F1323" s="6"/>
      <c r="G1323" s="19"/>
      <c r="H1323" s="19"/>
      <c r="I1323" s="19"/>
      <c r="J1323" s="19"/>
      <c r="K1323" s="6"/>
      <c r="L1323" s="6"/>
      <c r="M1323" s="6"/>
      <c r="N1323" s="6"/>
      <c r="O1323" s="6"/>
      <c r="P1323" s="6"/>
      <c r="Q1323" s="6"/>
      <c r="R1323" s="6"/>
      <c r="S1323" s="6"/>
      <c r="T1323" s="6"/>
    </row>
    <row r="1324" spans="4:20" x14ac:dyDescent="0.2">
      <c r="D1324" s="6"/>
      <c r="E1324" s="6"/>
      <c r="F1324" s="6"/>
      <c r="G1324" s="19"/>
      <c r="H1324" s="19"/>
      <c r="I1324" s="19"/>
      <c r="J1324" s="19"/>
      <c r="K1324" s="6"/>
      <c r="L1324" s="6"/>
      <c r="M1324" s="6"/>
      <c r="N1324" s="6"/>
      <c r="O1324" s="6"/>
      <c r="P1324" s="6"/>
      <c r="Q1324" s="6"/>
      <c r="R1324" s="6"/>
      <c r="S1324" s="6"/>
      <c r="T1324" s="6"/>
    </row>
    <row r="1325" spans="4:20" x14ac:dyDescent="0.2">
      <c r="D1325" s="6"/>
      <c r="E1325" s="6"/>
      <c r="F1325" s="6"/>
      <c r="G1325" s="19"/>
      <c r="H1325" s="19"/>
      <c r="I1325" s="19"/>
      <c r="J1325" s="19"/>
      <c r="K1325" s="6"/>
      <c r="L1325" s="6"/>
      <c r="M1325" s="6"/>
      <c r="N1325" s="6"/>
      <c r="O1325" s="6"/>
      <c r="P1325" s="6"/>
      <c r="Q1325" s="6"/>
      <c r="R1325" s="6"/>
      <c r="S1325" s="6"/>
      <c r="T1325" s="6"/>
    </row>
    <row r="1326" spans="4:20" x14ac:dyDescent="0.2">
      <c r="D1326" s="6"/>
      <c r="E1326" s="6"/>
      <c r="F1326" s="6"/>
      <c r="G1326" s="19"/>
      <c r="H1326" s="19"/>
      <c r="I1326" s="19"/>
      <c r="J1326" s="19"/>
      <c r="K1326" s="6"/>
      <c r="L1326" s="6"/>
      <c r="M1326" s="6"/>
      <c r="N1326" s="6"/>
      <c r="O1326" s="6"/>
      <c r="P1326" s="6"/>
      <c r="Q1326" s="6"/>
      <c r="R1326" s="6"/>
      <c r="S1326" s="6"/>
      <c r="T1326" s="6"/>
    </row>
    <row r="1327" spans="4:20" x14ac:dyDescent="0.2">
      <c r="D1327" s="6"/>
      <c r="E1327" s="6"/>
      <c r="F1327" s="6"/>
      <c r="G1327" s="19"/>
      <c r="H1327" s="19"/>
      <c r="I1327" s="19"/>
      <c r="J1327" s="19"/>
      <c r="K1327" s="6"/>
      <c r="L1327" s="6"/>
      <c r="M1327" s="6"/>
      <c r="N1327" s="6"/>
      <c r="O1327" s="6"/>
      <c r="P1327" s="6"/>
      <c r="Q1327" s="6"/>
      <c r="R1327" s="6"/>
      <c r="S1327" s="6"/>
      <c r="T1327" s="6"/>
    </row>
    <row r="1328" spans="4:20" x14ac:dyDescent="0.2">
      <c r="D1328" s="6"/>
      <c r="E1328" s="6"/>
      <c r="F1328" s="6"/>
      <c r="G1328" s="19"/>
      <c r="H1328" s="19"/>
      <c r="I1328" s="19"/>
      <c r="J1328" s="19"/>
      <c r="K1328" s="6"/>
      <c r="L1328" s="6"/>
      <c r="M1328" s="6"/>
      <c r="N1328" s="6"/>
      <c r="O1328" s="6"/>
      <c r="P1328" s="6"/>
      <c r="Q1328" s="6"/>
      <c r="R1328" s="6"/>
      <c r="S1328" s="6"/>
      <c r="T1328" s="6"/>
    </row>
    <row r="1329" spans="4:20" x14ac:dyDescent="0.2">
      <c r="D1329" s="6"/>
      <c r="E1329" s="6"/>
      <c r="F1329" s="6"/>
      <c r="G1329" s="19"/>
      <c r="H1329" s="19"/>
      <c r="I1329" s="19"/>
      <c r="J1329" s="19"/>
      <c r="K1329" s="6"/>
      <c r="L1329" s="6"/>
      <c r="M1329" s="6"/>
      <c r="N1329" s="6"/>
      <c r="O1329" s="6"/>
      <c r="P1329" s="6"/>
      <c r="Q1329" s="6"/>
      <c r="R1329" s="6"/>
      <c r="S1329" s="6"/>
      <c r="T1329" s="6"/>
    </row>
    <row r="1330" spans="4:20" x14ac:dyDescent="0.2">
      <c r="D1330" s="6"/>
      <c r="E1330" s="6"/>
      <c r="F1330" s="6"/>
      <c r="G1330" s="19"/>
      <c r="H1330" s="19"/>
      <c r="I1330" s="19"/>
      <c r="J1330" s="19"/>
      <c r="K1330" s="6"/>
      <c r="L1330" s="6"/>
      <c r="M1330" s="6"/>
      <c r="N1330" s="6"/>
      <c r="O1330" s="6"/>
      <c r="P1330" s="6"/>
      <c r="Q1330" s="6"/>
      <c r="R1330" s="6"/>
      <c r="S1330" s="6"/>
      <c r="T1330" s="6"/>
    </row>
    <row r="1331" spans="4:20" x14ac:dyDescent="0.2">
      <c r="D1331" s="6"/>
      <c r="E1331" s="6"/>
      <c r="F1331" s="6"/>
      <c r="G1331" s="19"/>
      <c r="H1331" s="19"/>
      <c r="I1331" s="19"/>
      <c r="J1331" s="19"/>
      <c r="K1331" s="6"/>
      <c r="L1331" s="6"/>
      <c r="M1331" s="6"/>
      <c r="N1331" s="6"/>
      <c r="O1331" s="6"/>
      <c r="P1331" s="6"/>
      <c r="Q1331" s="6"/>
      <c r="R1331" s="6"/>
      <c r="S1331" s="6"/>
      <c r="T1331" s="6"/>
    </row>
    <row r="1332" spans="4:20" x14ac:dyDescent="0.2">
      <c r="D1332" s="6"/>
      <c r="E1332" s="6"/>
      <c r="F1332" s="6"/>
      <c r="G1332" s="19"/>
      <c r="H1332" s="19"/>
      <c r="I1332" s="19"/>
      <c r="J1332" s="19"/>
      <c r="K1332" s="6"/>
      <c r="L1332" s="6"/>
      <c r="M1332" s="6"/>
      <c r="N1332" s="6"/>
      <c r="O1332" s="6"/>
      <c r="P1332" s="6"/>
      <c r="Q1332" s="6"/>
      <c r="R1332" s="6"/>
      <c r="S1332" s="6"/>
      <c r="T1332" s="6"/>
    </row>
    <row r="1333" spans="4:20" x14ac:dyDescent="0.2">
      <c r="D1333" s="6"/>
      <c r="E1333" s="6"/>
      <c r="F1333" s="6"/>
      <c r="G1333" s="19"/>
      <c r="H1333" s="19"/>
      <c r="I1333" s="19"/>
      <c r="J1333" s="19"/>
      <c r="K1333" s="6"/>
      <c r="L1333" s="6"/>
      <c r="M1333" s="6"/>
      <c r="N1333" s="6"/>
      <c r="O1333" s="6"/>
      <c r="P1333" s="6"/>
      <c r="Q1333" s="6"/>
      <c r="R1333" s="6"/>
      <c r="S1333" s="6"/>
      <c r="T1333" s="6"/>
    </row>
    <row r="1334" spans="4:20" x14ac:dyDescent="0.2">
      <c r="D1334" s="6"/>
      <c r="E1334" s="6"/>
      <c r="F1334" s="6"/>
      <c r="G1334" s="19"/>
      <c r="H1334" s="19"/>
      <c r="I1334" s="19"/>
      <c r="J1334" s="19"/>
      <c r="K1334" s="6"/>
      <c r="L1334" s="6"/>
      <c r="M1334" s="6"/>
      <c r="N1334" s="6"/>
      <c r="O1334" s="6"/>
      <c r="P1334" s="6"/>
      <c r="Q1334" s="6"/>
      <c r="R1334" s="6"/>
      <c r="S1334" s="6"/>
      <c r="T1334" s="6"/>
    </row>
    <row r="1335" spans="4:20" x14ac:dyDescent="0.2">
      <c r="D1335" s="6"/>
      <c r="E1335" s="6"/>
      <c r="F1335" s="6"/>
      <c r="G1335" s="19"/>
      <c r="H1335" s="19"/>
      <c r="I1335" s="19"/>
      <c r="J1335" s="19"/>
      <c r="K1335" s="6"/>
      <c r="L1335" s="6"/>
      <c r="M1335" s="6"/>
      <c r="N1335" s="6"/>
      <c r="O1335" s="6"/>
      <c r="P1335" s="6"/>
      <c r="Q1335" s="6"/>
      <c r="R1335" s="6"/>
      <c r="S1335" s="6"/>
      <c r="T1335" s="6"/>
    </row>
    <row r="1336" spans="4:20" x14ac:dyDescent="0.2">
      <c r="D1336" s="6"/>
      <c r="E1336" s="6"/>
      <c r="F1336" s="6"/>
      <c r="G1336" s="19"/>
      <c r="H1336" s="19"/>
      <c r="I1336" s="19"/>
      <c r="J1336" s="19"/>
      <c r="K1336" s="6"/>
      <c r="L1336" s="6"/>
      <c r="M1336" s="6"/>
      <c r="N1336" s="6"/>
      <c r="O1336" s="6"/>
      <c r="P1336" s="6"/>
      <c r="Q1336" s="6"/>
      <c r="R1336" s="6"/>
      <c r="S1336" s="6"/>
      <c r="T1336" s="6"/>
    </row>
    <row r="1337" spans="4:20" x14ac:dyDescent="0.2">
      <c r="D1337" s="6"/>
      <c r="E1337" s="6"/>
      <c r="F1337" s="6"/>
      <c r="G1337" s="19"/>
      <c r="H1337" s="19"/>
      <c r="I1337" s="19"/>
      <c r="J1337" s="19"/>
      <c r="K1337" s="6"/>
      <c r="L1337" s="6"/>
      <c r="M1337" s="6"/>
      <c r="N1337" s="6"/>
      <c r="O1337" s="6"/>
      <c r="P1337" s="6"/>
      <c r="Q1337" s="6"/>
      <c r="R1337" s="6"/>
      <c r="S1337" s="6"/>
      <c r="T1337" s="6"/>
    </row>
    <row r="1338" spans="4:20" x14ac:dyDescent="0.2">
      <c r="D1338" s="6"/>
      <c r="E1338" s="6"/>
      <c r="F1338" s="6"/>
      <c r="G1338" s="19"/>
      <c r="H1338" s="19"/>
      <c r="I1338" s="19"/>
      <c r="J1338" s="19"/>
      <c r="K1338" s="6"/>
      <c r="L1338" s="6"/>
      <c r="M1338" s="6"/>
      <c r="N1338" s="6"/>
      <c r="O1338" s="6"/>
      <c r="P1338" s="6"/>
      <c r="Q1338" s="6"/>
      <c r="R1338" s="6"/>
      <c r="S1338" s="6"/>
      <c r="T1338" s="6"/>
    </row>
    <row r="1339" spans="4:20" x14ac:dyDescent="0.2">
      <c r="D1339" s="6"/>
      <c r="E1339" s="6"/>
      <c r="F1339" s="6"/>
      <c r="G1339" s="19"/>
      <c r="H1339" s="19"/>
      <c r="I1339" s="19"/>
      <c r="J1339" s="19"/>
      <c r="K1339" s="6"/>
      <c r="L1339" s="6"/>
      <c r="M1339" s="6"/>
      <c r="N1339" s="6"/>
      <c r="O1339" s="6"/>
      <c r="P1339" s="6"/>
      <c r="Q1339" s="6"/>
      <c r="R1339" s="6"/>
      <c r="S1339" s="6"/>
      <c r="T1339" s="6"/>
    </row>
    <row r="1340" spans="4:20" x14ac:dyDescent="0.2">
      <c r="D1340" s="6"/>
      <c r="E1340" s="6"/>
      <c r="F1340" s="6"/>
      <c r="G1340" s="19"/>
      <c r="H1340" s="19"/>
      <c r="I1340" s="19"/>
      <c r="J1340" s="19"/>
      <c r="K1340" s="6"/>
      <c r="L1340" s="6"/>
      <c r="M1340" s="6"/>
      <c r="N1340" s="6"/>
      <c r="O1340" s="6"/>
      <c r="P1340" s="6"/>
      <c r="Q1340" s="6"/>
      <c r="R1340" s="6"/>
      <c r="S1340" s="6"/>
      <c r="T1340" s="6"/>
    </row>
    <row r="1341" spans="4:20" x14ac:dyDescent="0.2">
      <c r="D1341" s="6"/>
      <c r="E1341" s="6"/>
      <c r="F1341" s="6"/>
      <c r="G1341" s="19"/>
      <c r="H1341" s="19"/>
      <c r="I1341" s="19"/>
      <c r="J1341" s="19"/>
      <c r="K1341" s="6"/>
      <c r="L1341" s="6"/>
      <c r="M1341" s="6"/>
      <c r="N1341" s="6"/>
      <c r="O1341" s="6"/>
      <c r="P1341" s="6"/>
      <c r="Q1341" s="6"/>
      <c r="R1341" s="6"/>
      <c r="S1341" s="6"/>
      <c r="T1341" s="6"/>
    </row>
    <row r="1342" spans="4:20" x14ac:dyDescent="0.2">
      <c r="D1342" s="6"/>
      <c r="E1342" s="6"/>
      <c r="F1342" s="6"/>
      <c r="G1342" s="19"/>
      <c r="H1342" s="19"/>
      <c r="I1342" s="19"/>
      <c r="J1342" s="19"/>
      <c r="K1342" s="6"/>
      <c r="L1342" s="6"/>
      <c r="M1342" s="6"/>
      <c r="N1342" s="6"/>
      <c r="O1342" s="6"/>
      <c r="P1342" s="6"/>
      <c r="Q1342" s="6"/>
      <c r="R1342" s="6"/>
      <c r="S1342" s="6"/>
      <c r="T1342" s="6"/>
    </row>
    <row r="1343" spans="4:20" x14ac:dyDescent="0.2">
      <c r="D1343" s="6"/>
      <c r="E1343" s="6"/>
      <c r="F1343" s="6"/>
      <c r="G1343" s="19"/>
      <c r="H1343" s="19"/>
      <c r="I1343" s="19"/>
      <c r="J1343" s="19"/>
      <c r="K1343" s="6"/>
      <c r="L1343" s="6"/>
      <c r="M1343" s="6"/>
      <c r="N1343" s="6"/>
      <c r="O1343" s="6"/>
      <c r="P1343" s="6"/>
      <c r="Q1343" s="6"/>
      <c r="R1343" s="6"/>
      <c r="S1343" s="6"/>
      <c r="T1343" s="6"/>
    </row>
    <row r="1344" spans="4:20" x14ac:dyDescent="0.2">
      <c r="D1344" s="6"/>
      <c r="E1344" s="6"/>
      <c r="F1344" s="6"/>
      <c r="G1344" s="19"/>
      <c r="H1344" s="19"/>
      <c r="I1344" s="19"/>
      <c r="J1344" s="19"/>
      <c r="K1344" s="6"/>
      <c r="L1344" s="6"/>
      <c r="M1344" s="6"/>
      <c r="N1344" s="6"/>
      <c r="O1344" s="6"/>
      <c r="P1344" s="6"/>
      <c r="Q1344" s="6"/>
      <c r="R1344" s="6"/>
      <c r="S1344" s="6"/>
      <c r="T1344" s="6"/>
    </row>
    <row r="1345" spans="4:20" x14ac:dyDescent="0.2">
      <c r="D1345" s="6"/>
      <c r="E1345" s="6"/>
      <c r="F1345" s="6"/>
      <c r="G1345" s="19"/>
      <c r="H1345" s="19"/>
      <c r="I1345" s="19"/>
      <c r="J1345" s="19"/>
      <c r="K1345" s="6"/>
      <c r="L1345" s="6"/>
      <c r="M1345" s="6"/>
      <c r="N1345" s="6"/>
      <c r="O1345" s="6"/>
      <c r="P1345" s="6"/>
      <c r="Q1345" s="6"/>
      <c r="R1345" s="6"/>
      <c r="S1345" s="6"/>
      <c r="T1345" s="6"/>
    </row>
    <row r="1346" spans="4:20" x14ac:dyDescent="0.2">
      <c r="D1346" s="6"/>
      <c r="E1346" s="6"/>
      <c r="F1346" s="6"/>
      <c r="G1346" s="19"/>
      <c r="H1346" s="19"/>
      <c r="I1346" s="19"/>
      <c r="J1346" s="19"/>
      <c r="K1346" s="6"/>
      <c r="L1346" s="6"/>
      <c r="M1346" s="6"/>
      <c r="N1346" s="6"/>
      <c r="O1346" s="6"/>
      <c r="P1346" s="6"/>
      <c r="Q1346" s="6"/>
      <c r="R1346" s="6"/>
      <c r="S1346" s="6"/>
      <c r="T1346" s="6"/>
    </row>
    <row r="1347" spans="4:20" x14ac:dyDescent="0.2">
      <c r="D1347" s="6"/>
      <c r="E1347" s="6"/>
      <c r="F1347" s="6"/>
      <c r="G1347" s="19"/>
      <c r="H1347" s="19"/>
      <c r="I1347" s="19"/>
      <c r="J1347" s="19"/>
      <c r="K1347" s="6"/>
      <c r="L1347" s="6"/>
      <c r="M1347" s="6"/>
      <c r="N1347" s="6"/>
      <c r="O1347" s="6"/>
      <c r="P1347" s="6"/>
      <c r="Q1347" s="6"/>
      <c r="R1347" s="6"/>
      <c r="S1347" s="6"/>
      <c r="T1347" s="6"/>
    </row>
    <row r="1348" spans="4:20" x14ac:dyDescent="0.2">
      <c r="D1348" s="6"/>
      <c r="E1348" s="6"/>
      <c r="F1348" s="6"/>
      <c r="G1348" s="19"/>
      <c r="H1348" s="19"/>
      <c r="I1348" s="19"/>
      <c r="J1348" s="19"/>
      <c r="K1348" s="6"/>
      <c r="L1348" s="6"/>
      <c r="M1348" s="6"/>
      <c r="N1348" s="6"/>
      <c r="O1348" s="6"/>
      <c r="P1348" s="6"/>
      <c r="Q1348" s="6"/>
      <c r="R1348" s="6"/>
      <c r="S1348" s="6"/>
      <c r="T1348" s="6"/>
    </row>
    <row r="1349" spans="4:20" x14ac:dyDescent="0.2">
      <c r="D1349" s="6"/>
      <c r="E1349" s="6"/>
      <c r="F1349" s="6"/>
      <c r="G1349" s="19"/>
      <c r="H1349" s="19"/>
      <c r="I1349" s="19"/>
      <c r="J1349" s="19"/>
      <c r="K1349" s="6"/>
      <c r="L1349" s="6"/>
      <c r="M1349" s="6"/>
      <c r="N1349" s="6"/>
      <c r="O1349" s="6"/>
      <c r="P1349" s="6"/>
      <c r="Q1349" s="6"/>
      <c r="R1349" s="6"/>
      <c r="S1349" s="6"/>
      <c r="T1349" s="6"/>
    </row>
    <row r="1350" spans="4:20" x14ac:dyDescent="0.2">
      <c r="D1350" s="6"/>
      <c r="E1350" s="6"/>
      <c r="F1350" s="6"/>
      <c r="G1350" s="19"/>
      <c r="H1350" s="19"/>
      <c r="I1350" s="19"/>
      <c r="J1350" s="19"/>
      <c r="K1350" s="6"/>
      <c r="L1350" s="6"/>
      <c r="M1350" s="6"/>
      <c r="N1350" s="6"/>
      <c r="O1350" s="6"/>
      <c r="P1350" s="6"/>
      <c r="Q1350" s="6"/>
      <c r="R1350" s="6"/>
      <c r="S1350" s="6"/>
      <c r="T1350" s="6"/>
    </row>
    <row r="1351" spans="4:20" x14ac:dyDescent="0.2">
      <c r="D1351" s="6"/>
      <c r="E1351" s="6"/>
      <c r="F1351" s="6"/>
      <c r="G1351" s="19"/>
      <c r="H1351" s="19"/>
      <c r="I1351" s="19"/>
      <c r="J1351" s="19"/>
      <c r="K1351" s="6"/>
      <c r="L1351" s="6"/>
      <c r="M1351" s="6"/>
      <c r="N1351" s="6"/>
      <c r="O1351" s="6"/>
      <c r="P1351" s="6"/>
      <c r="Q1351" s="6"/>
      <c r="R1351" s="6"/>
      <c r="S1351" s="6"/>
      <c r="T1351" s="6"/>
    </row>
    <row r="1352" spans="4:20" x14ac:dyDescent="0.2">
      <c r="D1352" s="6"/>
      <c r="E1352" s="6"/>
      <c r="F1352" s="6"/>
      <c r="G1352" s="19"/>
      <c r="H1352" s="19"/>
      <c r="I1352" s="19"/>
      <c r="J1352" s="19"/>
      <c r="K1352" s="6"/>
      <c r="L1352" s="6"/>
      <c r="M1352" s="6"/>
      <c r="N1352" s="6"/>
      <c r="O1352" s="6"/>
      <c r="P1352" s="6"/>
      <c r="Q1352" s="6"/>
      <c r="R1352" s="6"/>
      <c r="S1352" s="6"/>
      <c r="T1352" s="6"/>
    </row>
    <row r="1353" spans="4:20" x14ac:dyDescent="0.2">
      <c r="D1353" s="6"/>
      <c r="E1353" s="6"/>
      <c r="F1353" s="6"/>
      <c r="G1353" s="19"/>
      <c r="H1353" s="19"/>
      <c r="I1353" s="19"/>
      <c r="J1353" s="19"/>
      <c r="K1353" s="6"/>
      <c r="L1353" s="6"/>
      <c r="M1353" s="6"/>
      <c r="N1353" s="6"/>
      <c r="O1353" s="6"/>
      <c r="P1353" s="6"/>
      <c r="Q1353" s="6"/>
      <c r="R1353" s="6"/>
      <c r="S1353" s="6"/>
      <c r="T1353" s="6"/>
    </row>
    <row r="1354" spans="4:20" x14ac:dyDescent="0.2">
      <c r="D1354" s="6"/>
      <c r="E1354" s="6"/>
      <c r="F1354" s="6"/>
      <c r="G1354" s="19"/>
      <c r="H1354" s="19"/>
      <c r="I1354" s="19"/>
      <c r="J1354" s="19"/>
      <c r="K1354" s="6"/>
      <c r="L1354" s="6"/>
      <c r="M1354" s="6"/>
      <c r="N1354" s="6"/>
      <c r="O1354" s="6"/>
      <c r="P1354" s="6"/>
      <c r="Q1354" s="6"/>
      <c r="R1354" s="6"/>
      <c r="S1354" s="6"/>
      <c r="T1354" s="6"/>
    </row>
    <row r="1355" spans="4:20" x14ac:dyDescent="0.2">
      <c r="D1355" s="6"/>
      <c r="E1355" s="6"/>
      <c r="F1355" s="6"/>
      <c r="G1355" s="19"/>
      <c r="H1355" s="19"/>
      <c r="I1355" s="19"/>
      <c r="J1355" s="19"/>
      <c r="K1355" s="6"/>
      <c r="L1355" s="6"/>
      <c r="M1355" s="6"/>
      <c r="N1355" s="6"/>
      <c r="O1355" s="6"/>
      <c r="P1355" s="6"/>
      <c r="Q1355" s="6"/>
      <c r="R1355" s="6"/>
      <c r="S1355" s="6"/>
      <c r="T1355" s="6"/>
    </row>
    <row r="1356" spans="4:20" x14ac:dyDescent="0.2">
      <c r="D1356" s="6"/>
      <c r="E1356" s="6"/>
      <c r="F1356" s="6"/>
      <c r="G1356" s="19"/>
      <c r="H1356" s="19"/>
      <c r="I1356" s="19"/>
      <c r="J1356" s="19"/>
      <c r="K1356" s="6"/>
      <c r="L1356" s="6"/>
      <c r="M1356" s="6"/>
      <c r="N1356" s="6"/>
      <c r="O1356" s="6"/>
      <c r="P1356" s="6"/>
      <c r="Q1356" s="6"/>
      <c r="R1356" s="6"/>
      <c r="S1356" s="6"/>
      <c r="T1356" s="6"/>
    </row>
    <row r="1357" spans="4:20" x14ac:dyDescent="0.2">
      <c r="D1357" s="6"/>
      <c r="E1357" s="6"/>
      <c r="F1357" s="6"/>
      <c r="G1357" s="19"/>
      <c r="H1357" s="19"/>
      <c r="I1357" s="19"/>
      <c r="J1357" s="19"/>
      <c r="K1357" s="6"/>
      <c r="L1357" s="6"/>
      <c r="M1357" s="6"/>
      <c r="N1357" s="6"/>
      <c r="O1357" s="6"/>
      <c r="P1357" s="6"/>
      <c r="Q1357" s="6"/>
      <c r="R1357" s="6"/>
      <c r="S1357" s="6"/>
      <c r="T1357" s="6"/>
    </row>
    <row r="1358" spans="4:20" x14ac:dyDescent="0.2">
      <c r="D1358" s="6"/>
      <c r="E1358" s="6"/>
      <c r="F1358" s="6"/>
      <c r="G1358" s="19"/>
      <c r="H1358" s="19"/>
      <c r="I1358" s="19"/>
      <c r="J1358" s="19"/>
      <c r="K1358" s="6"/>
      <c r="L1358" s="6"/>
      <c r="M1358" s="6"/>
      <c r="N1358" s="6"/>
      <c r="O1358" s="6"/>
      <c r="P1358" s="6"/>
      <c r="Q1358" s="6"/>
      <c r="R1358" s="6"/>
      <c r="S1358" s="6"/>
      <c r="T1358" s="6"/>
    </row>
    <row r="1359" spans="4:20" x14ac:dyDescent="0.2">
      <c r="D1359" s="6"/>
      <c r="E1359" s="6"/>
      <c r="F1359" s="6"/>
      <c r="G1359" s="19"/>
      <c r="H1359" s="19"/>
      <c r="I1359" s="19"/>
      <c r="J1359" s="19"/>
      <c r="K1359" s="6"/>
      <c r="L1359" s="6"/>
      <c r="M1359" s="6"/>
      <c r="N1359" s="6"/>
      <c r="O1359" s="6"/>
      <c r="P1359" s="6"/>
      <c r="Q1359" s="6"/>
      <c r="R1359" s="6"/>
      <c r="S1359" s="6"/>
      <c r="T1359" s="6"/>
    </row>
    <row r="1360" spans="4:20" x14ac:dyDescent="0.2">
      <c r="D1360" s="6"/>
      <c r="E1360" s="6"/>
      <c r="F1360" s="6"/>
      <c r="G1360" s="19"/>
      <c r="H1360" s="19"/>
      <c r="I1360" s="19"/>
      <c r="J1360" s="19"/>
      <c r="K1360" s="6"/>
      <c r="L1360" s="6"/>
      <c r="M1360" s="6"/>
      <c r="N1360" s="6"/>
      <c r="O1360" s="6"/>
      <c r="P1360" s="6"/>
      <c r="Q1360" s="6"/>
      <c r="R1360" s="6"/>
      <c r="S1360" s="6"/>
      <c r="T1360" s="6"/>
    </row>
    <row r="1361" spans="4:20" x14ac:dyDescent="0.2">
      <c r="D1361" s="6"/>
      <c r="E1361" s="6"/>
      <c r="F1361" s="6"/>
      <c r="G1361" s="19"/>
      <c r="H1361" s="19"/>
      <c r="I1361" s="19"/>
      <c r="J1361" s="19"/>
      <c r="K1361" s="6"/>
      <c r="L1361" s="6"/>
      <c r="M1361" s="6"/>
      <c r="N1361" s="6"/>
      <c r="O1361" s="6"/>
      <c r="P1361" s="6"/>
      <c r="Q1361" s="6"/>
      <c r="R1361" s="6"/>
      <c r="S1361" s="6"/>
      <c r="T1361" s="6"/>
    </row>
    <row r="1362" spans="4:20" x14ac:dyDescent="0.2">
      <c r="D1362" s="6"/>
      <c r="E1362" s="6"/>
      <c r="F1362" s="6"/>
      <c r="G1362" s="19"/>
      <c r="H1362" s="19"/>
      <c r="I1362" s="19"/>
      <c r="J1362" s="19"/>
      <c r="K1362" s="6"/>
      <c r="L1362" s="6"/>
      <c r="M1362" s="6"/>
      <c r="N1362" s="6"/>
      <c r="O1362" s="6"/>
      <c r="P1362" s="6"/>
      <c r="Q1362" s="6"/>
      <c r="R1362" s="6"/>
      <c r="S1362" s="6"/>
      <c r="T1362" s="6"/>
    </row>
    <row r="1363" spans="4:20" x14ac:dyDescent="0.2">
      <c r="D1363" s="6"/>
      <c r="E1363" s="6"/>
      <c r="F1363" s="6"/>
      <c r="G1363" s="19"/>
      <c r="H1363" s="19"/>
      <c r="I1363" s="19"/>
      <c r="J1363" s="19"/>
      <c r="K1363" s="6"/>
      <c r="L1363" s="6"/>
      <c r="M1363" s="6"/>
      <c r="N1363" s="6"/>
      <c r="O1363" s="6"/>
      <c r="P1363" s="6"/>
      <c r="Q1363" s="6"/>
      <c r="R1363" s="6"/>
      <c r="S1363" s="6"/>
      <c r="T1363" s="6"/>
    </row>
    <row r="1364" spans="4:20" x14ac:dyDescent="0.2">
      <c r="D1364" s="6"/>
      <c r="E1364" s="6"/>
      <c r="F1364" s="6"/>
      <c r="G1364" s="19"/>
      <c r="H1364" s="19"/>
      <c r="I1364" s="19"/>
      <c r="J1364" s="19"/>
      <c r="K1364" s="6"/>
      <c r="L1364" s="6"/>
      <c r="M1364" s="6"/>
      <c r="N1364" s="6"/>
      <c r="O1364" s="6"/>
      <c r="P1364" s="6"/>
      <c r="Q1364" s="6"/>
      <c r="R1364" s="6"/>
      <c r="S1364" s="6"/>
      <c r="T1364" s="6"/>
    </row>
    <row r="1365" spans="4:20" x14ac:dyDescent="0.2">
      <c r="D1365" s="6"/>
      <c r="E1365" s="6"/>
      <c r="F1365" s="6"/>
      <c r="G1365" s="19"/>
      <c r="H1365" s="19"/>
      <c r="I1365" s="19"/>
      <c r="J1365" s="19"/>
      <c r="K1365" s="6"/>
      <c r="L1365" s="6"/>
      <c r="M1365" s="6"/>
      <c r="N1365" s="6"/>
      <c r="O1365" s="6"/>
      <c r="P1365" s="6"/>
      <c r="Q1365" s="6"/>
      <c r="R1365" s="6"/>
      <c r="S1365" s="6"/>
      <c r="T1365" s="6"/>
    </row>
    <row r="1366" spans="4:20" x14ac:dyDescent="0.2">
      <c r="D1366" s="6"/>
      <c r="E1366" s="6"/>
      <c r="F1366" s="6"/>
      <c r="G1366" s="19"/>
      <c r="H1366" s="19"/>
      <c r="I1366" s="19"/>
      <c r="J1366" s="19"/>
      <c r="K1366" s="6"/>
      <c r="L1366" s="6"/>
      <c r="M1366" s="6"/>
      <c r="N1366" s="6"/>
      <c r="O1366" s="6"/>
      <c r="P1366" s="6"/>
      <c r="Q1366" s="6"/>
      <c r="R1366" s="6"/>
      <c r="S1366" s="6"/>
      <c r="T1366" s="6"/>
    </row>
    <row r="1367" spans="4:20" x14ac:dyDescent="0.2">
      <c r="D1367" s="6"/>
      <c r="E1367" s="6"/>
      <c r="F1367" s="6"/>
      <c r="G1367" s="19"/>
      <c r="H1367" s="19"/>
      <c r="I1367" s="19"/>
      <c r="J1367" s="19"/>
      <c r="K1367" s="6"/>
      <c r="L1367" s="6"/>
      <c r="M1367" s="6"/>
      <c r="N1367" s="6"/>
      <c r="O1367" s="6"/>
      <c r="P1367" s="6"/>
      <c r="Q1367" s="6"/>
      <c r="R1367" s="6"/>
      <c r="S1367" s="6"/>
      <c r="T1367" s="6"/>
    </row>
    <row r="1368" spans="4:20" x14ac:dyDescent="0.2">
      <c r="D1368" s="6"/>
      <c r="E1368" s="6"/>
      <c r="F1368" s="6"/>
      <c r="G1368" s="19"/>
      <c r="H1368" s="19"/>
      <c r="I1368" s="19"/>
      <c r="J1368" s="19"/>
      <c r="K1368" s="6"/>
      <c r="L1368" s="6"/>
      <c r="M1368" s="6"/>
      <c r="N1368" s="6"/>
      <c r="O1368" s="6"/>
      <c r="P1368" s="6"/>
      <c r="Q1368" s="6"/>
      <c r="R1368" s="6"/>
      <c r="S1368" s="6"/>
      <c r="T1368" s="6"/>
    </row>
    <row r="1369" spans="4:20" x14ac:dyDescent="0.2">
      <c r="D1369" s="6"/>
      <c r="E1369" s="6"/>
      <c r="F1369" s="6"/>
      <c r="G1369" s="19"/>
      <c r="H1369" s="19"/>
      <c r="I1369" s="19"/>
      <c r="J1369" s="19"/>
      <c r="K1369" s="6"/>
      <c r="L1369" s="6"/>
      <c r="M1369" s="6"/>
      <c r="N1369" s="6"/>
      <c r="O1369" s="6"/>
      <c r="P1369" s="6"/>
      <c r="Q1369" s="6"/>
      <c r="R1369" s="6"/>
      <c r="S1369" s="6"/>
      <c r="T1369" s="6"/>
    </row>
    <row r="1370" spans="4:20" x14ac:dyDescent="0.2">
      <c r="D1370" s="6"/>
      <c r="E1370" s="6"/>
      <c r="F1370" s="6"/>
      <c r="G1370" s="19"/>
      <c r="H1370" s="19"/>
      <c r="I1370" s="19"/>
      <c r="J1370" s="19"/>
      <c r="K1370" s="6"/>
      <c r="L1370" s="6"/>
      <c r="M1370" s="6"/>
      <c r="N1370" s="6"/>
      <c r="O1370" s="6"/>
      <c r="P1370" s="6"/>
      <c r="Q1370" s="6"/>
      <c r="R1370" s="6"/>
      <c r="S1370" s="6"/>
      <c r="T1370" s="6"/>
    </row>
    <row r="1371" spans="4:20" x14ac:dyDescent="0.2">
      <c r="D1371" s="6"/>
      <c r="E1371" s="6"/>
      <c r="F1371" s="6"/>
      <c r="G1371" s="19"/>
      <c r="H1371" s="19"/>
      <c r="I1371" s="19"/>
      <c r="J1371" s="19"/>
      <c r="K1371" s="6"/>
      <c r="L1371" s="6"/>
      <c r="M1371" s="6"/>
      <c r="N1371" s="6"/>
      <c r="O1371" s="6"/>
      <c r="P1371" s="6"/>
      <c r="Q1371" s="6"/>
      <c r="R1371" s="6"/>
      <c r="S1371" s="6"/>
      <c r="T1371" s="6"/>
    </row>
    <row r="1372" spans="4:20" x14ac:dyDescent="0.2">
      <c r="D1372" s="6"/>
      <c r="E1372" s="6"/>
      <c r="F1372" s="6"/>
      <c r="G1372" s="19"/>
      <c r="H1372" s="19"/>
      <c r="I1372" s="19"/>
      <c r="J1372" s="19"/>
      <c r="K1372" s="6"/>
      <c r="L1372" s="6"/>
      <c r="M1372" s="6"/>
      <c r="N1372" s="6"/>
      <c r="O1372" s="6"/>
      <c r="P1372" s="6"/>
      <c r="Q1372" s="6"/>
      <c r="R1372" s="6"/>
      <c r="S1372" s="6"/>
      <c r="T1372" s="6"/>
    </row>
    <row r="1373" spans="4:20" x14ac:dyDescent="0.2">
      <c r="D1373" s="6"/>
      <c r="E1373" s="6"/>
      <c r="F1373" s="6"/>
      <c r="G1373" s="19"/>
      <c r="H1373" s="19"/>
      <c r="I1373" s="19"/>
      <c r="J1373" s="19"/>
      <c r="K1373" s="6"/>
      <c r="L1373" s="6"/>
      <c r="M1373" s="6"/>
      <c r="N1373" s="6"/>
      <c r="O1373" s="6"/>
      <c r="P1373" s="6"/>
      <c r="Q1373" s="6"/>
      <c r="R1373" s="6"/>
      <c r="S1373" s="6"/>
      <c r="T1373" s="6"/>
    </row>
    <row r="1374" spans="4:20" x14ac:dyDescent="0.2">
      <c r="D1374" s="6"/>
      <c r="E1374" s="6"/>
      <c r="F1374" s="6"/>
      <c r="G1374" s="19"/>
      <c r="H1374" s="19"/>
      <c r="I1374" s="19"/>
      <c r="J1374" s="19"/>
      <c r="K1374" s="6"/>
      <c r="L1374" s="6"/>
      <c r="M1374" s="6"/>
      <c r="N1374" s="6"/>
      <c r="O1374" s="6"/>
      <c r="P1374" s="6"/>
      <c r="Q1374" s="6"/>
      <c r="R1374" s="6"/>
      <c r="S1374" s="6"/>
      <c r="T1374" s="6"/>
    </row>
    <row r="1375" spans="4:20" x14ac:dyDescent="0.2">
      <c r="D1375" s="6"/>
      <c r="E1375" s="6"/>
      <c r="F1375" s="6"/>
      <c r="G1375" s="19"/>
      <c r="H1375" s="19"/>
      <c r="I1375" s="19"/>
      <c r="J1375" s="19"/>
      <c r="K1375" s="6"/>
      <c r="L1375" s="6"/>
      <c r="M1375" s="6"/>
      <c r="N1375" s="6"/>
      <c r="O1375" s="6"/>
      <c r="P1375" s="6"/>
      <c r="Q1375" s="6"/>
      <c r="R1375" s="6"/>
      <c r="S1375" s="6"/>
      <c r="T1375" s="6"/>
    </row>
    <row r="1376" spans="4:20" x14ac:dyDescent="0.2">
      <c r="D1376" s="6"/>
      <c r="E1376" s="6"/>
      <c r="F1376" s="6"/>
      <c r="G1376" s="19"/>
      <c r="H1376" s="19"/>
      <c r="I1376" s="19"/>
      <c r="J1376" s="19"/>
      <c r="K1376" s="6"/>
      <c r="L1376" s="6"/>
      <c r="M1376" s="6"/>
      <c r="N1376" s="6"/>
      <c r="O1376" s="6"/>
      <c r="P1376" s="6"/>
      <c r="Q1376" s="6"/>
      <c r="R1376" s="6"/>
      <c r="S1376" s="6"/>
      <c r="T1376" s="6"/>
    </row>
    <row r="1377" spans="4:20" x14ac:dyDescent="0.2">
      <c r="D1377" s="6"/>
      <c r="E1377" s="6"/>
      <c r="F1377" s="6"/>
      <c r="G1377" s="19"/>
      <c r="H1377" s="19"/>
      <c r="I1377" s="19"/>
      <c r="J1377" s="19"/>
      <c r="K1377" s="6"/>
      <c r="L1377" s="6"/>
      <c r="M1377" s="6"/>
      <c r="N1377" s="6"/>
      <c r="O1377" s="6"/>
      <c r="P1377" s="6"/>
      <c r="Q1377" s="6"/>
      <c r="R1377" s="6"/>
      <c r="S1377" s="6"/>
      <c r="T1377" s="6"/>
    </row>
    <row r="1378" spans="4:20" x14ac:dyDescent="0.2">
      <c r="D1378" s="6"/>
      <c r="E1378" s="6"/>
      <c r="F1378" s="6"/>
      <c r="G1378" s="19"/>
      <c r="H1378" s="19"/>
      <c r="I1378" s="19"/>
      <c r="J1378" s="19"/>
      <c r="K1378" s="6"/>
      <c r="L1378" s="6"/>
      <c r="M1378" s="6"/>
      <c r="N1378" s="6"/>
      <c r="O1378" s="6"/>
      <c r="P1378" s="6"/>
      <c r="Q1378" s="6"/>
      <c r="R1378" s="6"/>
      <c r="S1378" s="6"/>
      <c r="T1378" s="6"/>
    </row>
    <row r="1379" spans="4:20" x14ac:dyDescent="0.2">
      <c r="D1379" s="6"/>
      <c r="E1379" s="6"/>
      <c r="F1379" s="6"/>
      <c r="G1379" s="19"/>
      <c r="H1379" s="19"/>
      <c r="I1379" s="19"/>
      <c r="J1379" s="19"/>
      <c r="K1379" s="6"/>
      <c r="L1379" s="6"/>
      <c r="M1379" s="6"/>
      <c r="N1379" s="6"/>
      <c r="O1379" s="6"/>
      <c r="P1379" s="6"/>
      <c r="Q1379" s="6"/>
      <c r="R1379" s="6"/>
      <c r="S1379" s="6"/>
      <c r="T1379" s="6"/>
    </row>
    <row r="1380" spans="4:20" x14ac:dyDescent="0.2">
      <c r="D1380" s="6"/>
      <c r="E1380" s="6"/>
      <c r="F1380" s="6"/>
      <c r="G1380" s="19"/>
      <c r="H1380" s="19"/>
      <c r="I1380" s="19"/>
      <c r="J1380" s="19"/>
      <c r="K1380" s="6"/>
      <c r="L1380" s="6"/>
      <c r="M1380" s="6"/>
      <c r="N1380" s="6"/>
      <c r="O1380" s="6"/>
      <c r="P1380" s="6"/>
      <c r="Q1380" s="6"/>
      <c r="R1380" s="6"/>
      <c r="S1380" s="6"/>
      <c r="T1380" s="6"/>
    </row>
    <row r="1381" spans="4:20" x14ac:dyDescent="0.2">
      <c r="D1381" s="6"/>
      <c r="E1381" s="6"/>
      <c r="F1381" s="6"/>
      <c r="G1381" s="19"/>
      <c r="H1381" s="19"/>
      <c r="I1381" s="19"/>
      <c r="J1381" s="19"/>
      <c r="K1381" s="6"/>
      <c r="L1381" s="6"/>
      <c r="M1381" s="6"/>
      <c r="N1381" s="6"/>
      <c r="O1381" s="6"/>
      <c r="P1381" s="6"/>
      <c r="Q1381" s="6"/>
      <c r="R1381" s="6"/>
      <c r="S1381" s="6"/>
      <c r="T1381" s="6"/>
    </row>
    <row r="1382" spans="4:20" x14ac:dyDescent="0.2">
      <c r="D1382" s="6"/>
      <c r="E1382" s="6"/>
      <c r="F1382" s="6"/>
      <c r="G1382" s="19"/>
      <c r="H1382" s="19"/>
      <c r="I1382" s="19"/>
      <c r="J1382" s="19"/>
      <c r="K1382" s="6"/>
      <c r="L1382" s="6"/>
      <c r="M1382" s="6"/>
      <c r="N1382" s="6"/>
      <c r="O1382" s="6"/>
      <c r="P1382" s="6"/>
      <c r="Q1382" s="6"/>
      <c r="R1382" s="6"/>
      <c r="S1382" s="6"/>
      <c r="T1382" s="6"/>
    </row>
    <row r="1383" spans="4:20" x14ac:dyDescent="0.2">
      <c r="D1383" s="6"/>
      <c r="E1383" s="6"/>
      <c r="F1383" s="6"/>
      <c r="G1383" s="19"/>
      <c r="H1383" s="19"/>
      <c r="I1383" s="19"/>
      <c r="J1383" s="19"/>
      <c r="K1383" s="6"/>
      <c r="L1383" s="6"/>
      <c r="M1383" s="6"/>
      <c r="N1383" s="6"/>
      <c r="O1383" s="6"/>
      <c r="P1383" s="6"/>
      <c r="Q1383" s="6"/>
      <c r="R1383" s="6"/>
      <c r="S1383" s="6"/>
      <c r="T1383" s="6"/>
    </row>
    <row r="1384" spans="4:20" x14ac:dyDescent="0.2">
      <c r="D1384" s="6"/>
      <c r="E1384" s="6"/>
      <c r="F1384" s="6"/>
      <c r="G1384" s="19"/>
      <c r="H1384" s="19"/>
      <c r="I1384" s="19"/>
      <c r="J1384" s="19"/>
      <c r="K1384" s="6"/>
      <c r="L1384" s="6"/>
      <c r="M1384" s="6"/>
      <c r="N1384" s="6"/>
      <c r="O1384" s="6"/>
      <c r="P1384" s="6"/>
      <c r="Q1384" s="6"/>
      <c r="R1384" s="6"/>
      <c r="S1384" s="6"/>
      <c r="T1384" s="6"/>
    </row>
    <row r="1385" spans="4:20" x14ac:dyDescent="0.2">
      <c r="D1385" s="6"/>
      <c r="E1385" s="6"/>
      <c r="F1385" s="6"/>
      <c r="G1385" s="19"/>
      <c r="H1385" s="19"/>
      <c r="I1385" s="19"/>
      <c r="J1385" s="19"/>
      <c r="K1385" s="6"/>
      <c r="L1385" s="6"/>
      <c r="M1385" s="6"/>
      <c r="N1385" s="6"/>
      <c r="O1385" s="6"/>
      <c r="P1385" s="6"/>
      <c r="Q1385" s="6"/>
      <c r="R1385" s="6"/>
      <c r="S1385" s="6"/>
      <c r="T1385" s="6"/>
    </row>
    <row r="1386" spans="4:20" x14ac:dyDescent="0.2">
      <c r="D1386" s="6"/>
      <c r="E1386" s="6"/>
      <c r="F1386" s="6"/>
      <c r="G1386" s="19"/>
      <c r="H1386" s="19"/>
      <c r="I1386" s="19"/>
      <c r="J1386" s="19"/>
      <c r="K1386" s="6"/>
      <c r="L1386" s="6"/>
      <c r="M1386" s="6"/>
      <c r="N1386" s="6"/>
      <c r="O1386" s="6"/>
      <c r="P1386" s="6"/>
      <c r="Q1386" s="6"/>
      <c r="R1386" s="6"/>
      <c r="S1386" s="6"/>
      <c r="T1386" s="6"/>
    </row>
    <row r="1387" spans="4:20" x14ac:dyDescent="0.2">
      <c r="D1387" s="6"/>
      <c r="E1387" s="6"/>
      <c r="F1387" s="6"/>
      <c r="G1387" s="19"/>
      <c r="H1387" s="19"/>
      <c r="I1387" s="19"/>
      <c r="J1387" s="19"/>
      <c r="K1387" s="6"/>
      <c r="L1387" s="6"/>
      <c r="M1387" s="6"/>
      <c r="N1387" s="6"/>
      <c r="O1387" s="6"/>
      <c r="P1387" s="6"/>
      <c r="Q1387" s="6"/>
      <c r="R1387" s="6"/>
      <c r="S1387" s="6"/>
      <c r="T1387" s="6"/>
    </row>
    <row r="1388" spans="4:20" x14ac:dyDescent="0.2">
      <c r="D1388" s="6"/>
      <c r="E1388" s="6"/>
      <c r="F1388" s="6"/>
      <c r="G1388" s="19"/>
      <c r="H1388" s="19"/>
      <c r="I1388" s="19"/>
      <c r="J1388" s="19"/>
      <c r="K1388" s="6"/>
      <c r="L1388" s="6"/>
      <c r="M1388" s="6"/>
      <c r="N1388" s="6"/>
      <c r="O1388" s="6"/>
      <c r="P1388" s="6"/>
      <c r="Q1388" s="6"/>
      <c r="R1388" s="6"/>
      <c r="S1388" s="6"/>
      <c r="T1388" s="6"/>
    </row>
    <row r="1389" spans="4:20" x14ac:dyDescent="0.2">
      <c r="D1389" s="6"/>
      <c r="E1389" s="6"/>
      <c r="F1389" s="6"/>
      <c r="G1389" s="19"/>
      <c r="H1389" s="19"/>
      <c r="I1389" s="19"/>
      <c r="J1389" s="19"/>
      <c r="K1389" s="6"/>
      <c r="L1389" s="6"/>
      <c r="M1389" s="6"/>
      <c r="N1389" s="6"/>
      <c r="O1389" s="6"/>
      <c r="P1389" s="6"/>
      <c r="Q1389" s="6"/>
      <c r="R1389" s="6"/>
      <c r="S1389" s="6"/>
      <c r="T1389" s="6"/>
    </row>
    <row r="1390" spans="4:20" x14ac:dyDescent="0.2">
      <c r="D1390" s="6"/>
      <c r="E1390" s="6"/>
      <c r="F1390" s="6"/>
      <c r="G1390" s="19"/>
      <c r="H1390" s="19"/>
      <c r="I1390" s="19"/>
      <c r="J1390" s="19"/>
      <c r="K1390" s="6"/>
      <c r="L1390" s="6"/>
      <c r="M1390" s="6"/>
      <c r="N1390" s="6"/>
      <c r="O1390" s="6"/>
      <c r="P1390" s="6"/>
      <c r="Q1390" s="6"/>
      <c r="R1390" s="6"/>
      <c r="S1390" s="6"/>
      <c r="T1390" s="6"/>
    </row>
    <row r="1391" spans="4:20" x14ac:dyDescent="0.2">
      <c r="D1391" s="6"/>
      <c r="E1391" s="6"/>
      <c r="F1391" s="6"/>
      <c r="G1391" s="19"/>
      <c r="H1391" s="19"/>
      <c r="I1391" s="19"/>
      <c r="J1391" s="19"/>
      <c r="K1391" s="6"/>
      <c r="L1391" s="6"/>
      <c r="M1391" s="6"/>
      <c r="N1391" s="6"/>
      <c r="O1391" s="6"/>
      <c r="P1391" s="6"/>
      <c r="Q1391" s="6"/>
      <c r="R1391" s="6"/>
      <c r="S1391" s="6"/>
      <c r="T1391" s="6"/>
    </row>
    <row r="1392" spans="4:20" x14ac:dyDescent="0.2">
      <c r="D1392" s="6"/>
      <c r="E1392" s="6"/>
      <c r="F1392" s="6"/>
      <c r="G1392" s="19"/>
      <c r="H1392" s="19"/>
      <c r="I1392" s="19"/>
      <c r="J1392" s="19"/>
      <c r="K1392" s="6"/>
      <c r="L1392" s="6"/>
      <c r="M1392" s="6"/>
      <c r="N1392" s="6"/>
      <c r="O1392" s="6"/>
      <c r="P1392" s="6"/>
      <c r="Q1392" s="6"/>
      <c r="R1392" s="6"/>
      <c r="S1392" s="6"/>
      <c r="T1392" s="6"/>
    </row>
    <row r="1393" spans="4:20" x14ac:dyDescent="0.2">
      <c r="D1393" s="6"/>
      <c r="E1393" s="6"/>
      <c r="F1393" s="6"/>
      <c r="G1393" s="19"/>
      <c r="H1393" s="19"/>
      <c r="I1393" s="19"/>
      <c r="J1393" s="19"/>
      <c r="K1393" s="6"/>
      <c r="L1393" s="6"/>
      <c r="M1393" s="6"/>
      <c r="N1393" s="6"/>
      <c r="O1393" s="6"/>
      <c r="P1393" s="6"/>
      <c r="Q1393" s="6"/>
      <c r="R1393" s="6"/>
      <c r="S1393" s="6"/>
      <c r="T1393" s="6"/>
    </row>
    <row r="1394" spans="4:20" x14ac:dyDescent="0.2">
      <c r="D1394" s="6"/>
      <c r="E1394" s="6"/>
      <c r="F1394" s="6"/>
      <c r="G1394" s="19"/>
      <c r="H1394" s="19"/>
      <c r="I1394" s="19"/>
      <c r="J1394" s="19"/>
      <c r="K1394" s="6"/>
      <c r="L1394" s="6"/>
      <c r="M1394" s="6"/>
      <c r="N1394" s="6"/>
      <c r="O1394" s="6"/>
      <c r="P1394" s="6"/>
      <c r="Q1394" s="6"/>
      <c r="R1394" s="6"/>
      <c r="S1394" s="6"/>
      <c r="T1394" s="6"/>
    </row>
    <row r="1395" spans="4:20" x14ac:dyDescent="0.2">
      <c r="D1395" s="6"/>
      <c r="E1395" s="6"/>
      <c r="F1395" s="6"/>
      <c r="G1395" s="19"/>
      <c r="H1395" s="19"/>
      <c r="I1395" s="19"/>
      <c r="J1395" s="19"/>
      <c r="K1395" s="6"/>
      <c r="L1395" s="6"/>
      <c r="M1395" s="6"/>
      <c r="N1395" s="6"/>
      <c r="O1395" s="6"/>
      <c r="P1395" s="6"/>
      <c r="Q1395" s="6"/>
      <c r="R1395" s="6"/>
      <c r="S1395" s="6"/>
      <c r="T1395" s="6"/>
    </row>
    <row r="1396" spans="4:20" x14ac:dyDescent="0.2">
      <c r="D1396" s="6"/>
      <c r="E1396" s="6"/>
      <c r="F1396" s="6"/>
      <c r="G1396" s="19"/>
      <c r="H1396" s="19"/>
      <c r="I1396" s="19"/>
      <c r="J1396" s="19"/>
      <c r="K1396" s="6"/>
      <c r="L1396" s="6"/>
      <c r="M1396" s="6"/>
      <c r="N1396" s="6"/>
      <c r="O1396" s="6"/>
      <c r="P1396" s="6"/>
      <c r="Q1396" s="6"/>
      <c r="R1396" s="6"/>
      <c r="S1396" s="6"/>
      <c r="T1396" s="6"/>
    </row>
    <row r="1397" spans="4:20" x14ac:dyDescent="0.2">
      <c r="D1397" s="6"/>
      <c r="E1397" s="6"/>
      <c r="F1397" s="6"/>
      <c r="G1397" s="19"/>
      <c r="H1397" s="19"/>
      <c r="I1397" s="19"/>
      <c r="J1397" s="19"/>
      <c r="K1397" s="6"/>
      <c r="L1397" s="6"/>
      <c r="M1397" s="6"/>
      <c r="N1397" s="6"/>
      <c r="O1397" s="6"/>
      <c r="P1397" s="6"/>
      <c r="Q1397" s="6"/>
      <c r="R1397" s="6"/>
      <c r="S1397" s="6"/>
      <c r="T1397" s="6"/>
    </row>
    <row r="1398" spans="4:20" x14ac:dyDescent="0.2">
      <c r="D1398" s="6"/>
      <c r="E1398" s="6"/>
      <c r="F1398" s="6"/>
      <c r="G1398" s="19"/>
      <c r="H1398" s="19"/>
      <c r="I1398" s="19"/>
      <c r="J1398" s="19"/>
      <c r="K1398" s="6"/>
      <c r="L1398" s="6"/>
      <c r="M1398" s="6"/>
      <c r="N1398" s="6"/>
      <c r="O1398" s="6"/>
      <c r="P1398" s="6"/>
      <c r="Q1398" s="6"/>
      <c r="R1398" s="6"/>
      <c r="S1398" s="6"/>
      <c r="T1398" s="6"/>
    </row>
    <row r="1399" spans="4:20" x14ac:dyDescent="0.2">
      <c r="D1399" s="6"/>
      <c r="E1399" s="6"/>
      <c r="F1399" s="6"/>
      <c r="G1399" s="19"/>
      <c r="H1399" s="19"/>
      <c r="I1399" s="19"/>
      <c r="J1399" s="19"/>
      <c r="K1399" s="6"/>
      <c r="L1399" s="6"/>
      <c r="M1399" s="6"/>
      <c r="N1399" s="6"/>
      <c r="O1399" s="6"/>
      <c r="P1399" s="6"/>
      <c r="Q1399" s="6"/>
      <c r="R1399" s="6"/>
      <c r="S1399" s="6"/>
      <c r="T1399" s="6"/>
    </row>
    <row r="1400" spans="4:20" x14ac:dyDescent="0.2">
      <c r="D1400" s="6"/>
      <c r="E1400" s="6"/>
      <c r="F1400" s="6"/>
      <c r="G1400" s="19"/>
      <c r="H1400" s="19"/>
      <c r="I1400" s="19"/>
      <c r="J1400" s="19"/>
      <c r="K1400" s="6"/>
      <c r="L1400" s="6"/>
      <c r="M1400" s="6"/>
      <c r="N1400" s="6"/>
      <c r="O1400" s="6"/>
      <c r="P1400" s="6"/>
      <c r="Q1400" s="6"/>
      <c r="R1400" s="6"/>
      <c r="S1400" s="6"/>
      <c r="T1400" s="6"/>
    </row>
    <row r="1401" spans="4:20" x14ac:dyDescent="0.2">
      <c r="D1401" s="6"/>
      <c r="E1401" s="6"/>
      <c r="F1401" s="6"/>
      <c r="G1401" s="19"/>
      <c r="H1401" s="19"/>
      <c r="I1401" s="19"/>
      <c r="J1401" s="19"/>
      <c r="K1401" s="6"/>
      <c r="L1401" s="6"/>
      <c r="M1401" s="6"/>
      <c r="N1401" s="6"/>
      <c r="O1401" s="6"/>
      <c r="P1401" s="6"/>
      <c r="Q1401" s="6"/>
      <c r="R1401" s="6"/>
      <c r="S1401" s="6"/>
      <c r="T1401" s="6"/>
    </row>
    <row r="1402" spans="4:20" x14ac:dyDescent="0.2">
      <c r="D1402" s="6"/>
      <c r="E1402" s="6"/>
      <c r="F1402" s="6"/>
      <c r="G1402" s="19"/>
      <c r="H1402" s="19"/>
      <c r="I1402" s="19"/>
      <c r="J1402" s="19"/>
      <c r="K1402" s="6"/>
      <c r="L1402" s="6"/>
      <c r="M1402" s="6"/>
      <c r="N1402" s="6"/>
      <c r="O1402" s="6"/>
      <c r="P1402" s="6"/>
      <c r="Q1402" s="6"/>
      <c r="R1402" s="6"/>
      <c r="S1402" s="6"/>
      <c r="T1402" s="6"/>
    </row>
    <row r="1403" spans="4:20" x14ac:dyDescent="0.2">
      <c r="D1403" s="6"/>
      <c r="E1403" s="6"/>
      <c r="F1403" s="6"/>
      <c r="G1403" s="19"/>
      <c r="H1403" s="19"/>
      <c r="I1403" s="19"/>
      <c r="J1403" s="19"/>
      <c r="K1403" s="6"/>
      <c r="L1403" s="6"/>
      <c r="M1403" s="6"/>
      <c r="N1403" s="6"/>
      <c r="O1403" s="6"/>
      <c r="P1403" s="6"/>
      <c r="Q1403" s="6"/>
      <c r="R1403" s="6"/>
      <c r="S1403" s="6"/>
      <c r="T1403" s="6"/>
    </row>
    <row r="1404" spans="4:20" x14ac:dyDescent="0.2">
      <c r="D1404" s="6"/>
      <c r="E1404" s="6"/>
      <c r="F1404" s="6"/>
      <c r="G1404" s="19"/>
      <c r="H1404" s="19"/>
      <c r="I1404" s="19"/>
      <c r="J1404" s="19"/>
      <c r="K1404" s="6"/>
      <c r="L1404" s="6"/>
      <c r="M1404" s="6"/>
      <c r="N1404" s="6"/>
      <c r="O1404" s="6"/>
      <c r="P1404" s="6"/>
      <c r="Q1404" s="6"/>
      <c r="R1404" s="6"/>
      <c r="S1404" s="6"/>
      <c r="T1404" s="6"/>
    </row>
    <row r="1405" spans="4:20" x14ac:dyDescent="0.2">
      <c r="D1405" s="6"/>
      <c r="E1405" s="6"/>
      <c r="F1405" s="6"/>
      <c r="G1405" s="19"/>
      <c r="H1405" s="19"/>
      <c r="I1405" s="19"/>
      <c r="J1405" s="19"/>
      <c r="K1405" s="6"/>
      <c r="L1405" s="6"/>
      <c r="M1405" s="6"/>
      <c r="N1405" s="6"/>
      <c r="O1405" s="6"/>
      <c r="P1405" s="6"/>
      <c r="Q1405" s="6"/>
      <c r="R1405" s="6"/>
      <c r="S1405" s="6"/>
      <c r="T1405" s="6"/>
    </row>
    <row r="1406" spans="4:20" x14ac:dyDescent="0.2">
      <c r="D1406" s="6"/>
      <c r="E1406" s="6"/>
      <c r="F1406" s="6"/>
      <c r="G1406" s="19"/>
      <c r="H1406" s="19"/>
      <c r="I1406" s="19"/>
      <c r="J1406" s="19"/>
      <c r="K1406" s="6"/>
      <c r="L1406" s="6"/>
      <c r="M1406" s="6"/>
      <c r="N1406" s="6"/>
      <c r="O1406" s="6"/>
      <c r="P1406" s="6"/>
      <c r="Q1406" s="6"/>
      <c r="R1406" s="6"/>
      <c r="S1406" s="6"/>
      <c r="T1406" s="6"/>
    </row>
    <row r="1407" spans="4:20" x14ac:dyDescent="0.2">
      <c r="D1407" s="6"/>
      <c r="E1407" s="6"/>
      <c r="F1407" s="6"/>
      <c r="G1407" s="19"/>
      <c r="H1407" s="19"/>
      <c r="I1407" s="19"/>
      <c r="J1407" s="19"/>
      <c r="K1407" s="6"/>
      <c r="L1407" s="6"/>
      <c r="M1407" s="6"/>
      <c r="N1407" s="6"/>
      <c r="O1407" s="6"/>
      <c r="P1407" s="6"/>
      <c r="Q1407" s="6"/>
      <c r="R1407" s="6"/>
      <c r="S1407" s="6"/>
      <c r="T1407" s="6"/>
    </row>
    <row r="1408" spans="4:20" x14ac:dyDescent="0.2">
      <c r="D1408" s="6"/>
      <c r="E1408" s="6"/>
      <c r="F1408" s="6"/>
      <c r="G1408" s="19"/>
      <c r="H1408" s="19"/>
      <c r="I1408" s="19"/>
      <c r="J1408" s="19"/>
      <c r="K1408" s="6"/>
      <c r="L1408" s="6"/>
      <c r="M1408" s="6"/>
      <c r="N1408" s="6"/>
      <c r="O1408" s="6"/>
      <c r="P1408" s="6"/>
      <c r="Q1408" s="6"/>
      <c r="R1408" s="6"/>
      <c r="S1408" s="6"/>
      <c r="T1408" s="6"/>
    </row>
    <row r="1409" spans="4:20" x14ac:dyDescent="0.2">
      <c r="D1409" s="6"/>
      <c r="E1409" s="6"/>
      <c r="F1409" s="6"/>
      <c r="G1409" s="19"/>
      <c r="H1409" s="19"/>
      <c r="I1409" s="19"/>
      <c r="J1409" s="19"/>
      <c r="K1409" s="6"/>
      <c r="L1409" s="6"/>
      <c r="M1409" s="6"/>
      <c r="N1409" s="6"/>
      <c r="O1409" s="6"/>
      <c r="P1409" s="6"/>
      <c r="Q1409" s="6"/>
      <c r="R1409" s="6"/>
      <c r="S1409" s="6"/>
      <c r="T1409" s="6"/>
    </row>
    <row r="1410" spans="4:20" x14ac:dyDescent="0.2">
      <c r="D1410" s="6"/>
      <c r="E1410" s="6"/>
      <c r="F1410" s="6"/>
      <c r="G1410" s="19"/>
      <c r="H1410" s="19"/>
      <c r="I1410" s="19"/>
      <c r="J1410" s="19"/>
      <c r="K1410" s="6"/>
      <c r="L1410" s="6"/>
      <c r="M1410" s="6"/>
      <c r="N1410" s="6"/>
      <c r="O1410" s="6"/>
      <c r="P1410" s="6"/>
      <c r="Q1410" s="6"/>
      <c r="R1410" s="6"/>
      <c r="S1410" s="6"/>
      <c r="T1410" s="6"/>
    </row>
    <row r="1411" spans="4:20" x14ac:dyDescent="0.2">
      <c r="D1411" s="6"/>
      <c r="E1411" s="6"/>
      <c r="F1411" s="6"/>
      <c r="G1411" s="19"/>
      <c r="H1411" s="19"/>
      <c r="I1411" s="19"/>
      <c r="J1411" s="19"/>
      <c r="K1411" s="6"/>
      <c r="L1411" s="6"/>
      <c r="M1411" s="6"/>
      <c r="N1411" s="6"/>
      <c r="O1411" s="6"/>
      <c r="P1411" s="6"/>
      <c r="Q1411" s="6"/>
      <c r="R1411" s="6"/>
      <c r="S1411" s="6"/>
      <c r="T1411" s="6"/>
    </row>
    <row r="1412" spans="4:20" x14ac:dyDescent="0.2">
      <c r="D1412" s="6"/>
      <c r="E1412" s="6"/>
      <c r="F1412" s="6"/>
      <c r="G1412" s="19"/>
      <c r="H1412" s="19"/>
      <c r="I1412" s="19"/>
      <c r="J1412" s="19"/>
      <c r="K1412" s="6"/>
      <c r="L1412" s="6"/>
      <c r="M1412" s="6"/>
      <c r="N1412" s="6"/>
      <c r="O1412" s="6"/>
      <c r="P1412" s="6"/>
      <c r="Q1412" s="6"/>
      <c r="R1412" s="6"/>
      <c r="S1412" s="6"/>
      <c r="T1412" s="6"/>
    </row>
    <row r="1413" spans="4:20" x14ac:dyDescent="0.2">
      <c r="D1413" s="6"/>
      <c r="E1413" s="6"/>
      <c r="F1413" s="6"/>
      <c r="G1413" s="19"/>
      <c r="H1413" s="19"/>
      <c r="I1413" s="19"/>
      <c r="J1413" s="19"/>
      <c r="K1413" s="6"/>
      <c r="L1413" s="6"/>
      <c r="M1413" s="6"/>
      <c r="N1413" s="6"/>
      <c r="O1413" s="6"/>
      <c r="P1413" s="6"/>
      <c r="Q1413" s="6"/>
      <c r="R1413" s="6"/>
      <c r="S1413" s="6"/>
      <c r="T1413" s="6"/>
    </row>
    <row r="1414" spans="4:20" x14ac:dyDescent="0.2">
      <c r="D1414" s="6"/>
      <c r="E1414" s="6"/>
      <c r="F1414" s="6"/>
      <c r="G1414" s="19"/>
      <c r="H1414" s="19"/>
      <c r="I1414" s="19"/>
      <c r="J1414" s="19"/>
      <c r="K1414" s="6"/>
      <c r="L1414" s="6"/>
      <c r="M1414" s="6"/>
      <c r="N1414" s="6"/>
      <c r="O1414" s="6"/>
      <c r="P1414" s="6"/>
      <c r="Q1414" s="6"/>
      <c r="R1414" s="6"/>
      <c r="S1414" s="6"/>
      <c r="T1414" s="6"/>
    </row>
    <row r="1415" spans="4:20" x14ac:dyDescent="0.2">
      <c r="D1415" s="6"/>
      <c r="E1415" s="6"/>
      <c r="F1415" s="6"/>
      <c r="G1415" s="19"/>
      <c r="H1415" s="19"/>
      <c r="I1415" s="19"/>
      <c r="J1415" s="19"/>
      <c r="K1415" s="6"/>
      <c r="L1415" s="6"/>
      <c r="M1415" s="6"/>
      <c r="N1415" s="6"/>
      <c r="O1415" s="6"/>
      <c r="P1415" s="6"/>
      <c r="Q1415" s="6"/>
      <c r="R1415" s="6"/>
      <c r="S1415" s="6"/>
      <c r="T1415" s="6"/>
    </row>
    <row r="1416" spans="4:20" x14ac:dyDescent="0.2">
      <c r="D1416" s="6"/>
      <c r="E1416" s="6"/>
      <c r="F1416" s="6"/>
      <c r="G1416" s="19"/>
      <c r="H1416" s="19"/>
      <c r="I1416" s="19"/>
      <c r="J1416" s="19"/>
      <c r="K1416" s="6"/>
      <c r="L1416" s="6"/>
      <c r="M1416" s="6"/>
      <c r="N1416" s="6"/>
      <c r="O1416" s="6"/>
      <c r="P1416" s="6"/>
      <c r="Q1416" s="6"/>
      <c r="R1416" s="6"/>
      <c r="S1416" s="6"/>
      <c r="T1416" s="6"/>
    </row>
    <row r="1417" spans="4:20" x14ac:dyDescent="0.2">
      <c r="D1417" s="6"/>
      <c r="E1417" s="6"/>
      <c r="F1417" s="6"/>
      <c r="G1417" s="19"/>
      <c r="H1417" s="19"/>
      <c r="I1417" s="19"/>
      <c r="J1417" s="19"/>
      <c r="K1417" s="6"/>
      <c r="L1417" s="6"/>
      <c r="M1417" s="6"/>
      <c r="N1417" s="6"/>
      <c r="O1417" s="6"/>
      <c r="P1417" s="6"/>
      <c r="Q1417" s="6"/>
      <c r="R1417" s="6"/>
      <c r="S1417" s="6"/>
      <c r="T1417" s="6"/>
    </row>
    <row r="1418" spans="4:20" x14ac:dyDescent="0.2">
      <c r="D1418" s="6"/>
      <c r="E1418" s="6"/>
      <c r="F1418" s="6"/>
      <c r="G1418" s="19"/>
      <c r="H1418" s="19"/>
      <c r="I1418" s="19"/>
      <c r="J1418" s="19"/>
      <c r="K1418" s="6"/>
      <c r="L1418" s="6"/>
      <c r="M1418" s="6"/>
      <c r="N1418" s="6"/>
      <c r="O1418" s="6"/>
      <c r="P1418" s="6"/>
      <c r="Q1418" s="6"/>
      <c r="R1418" s="6"/>
      <c r="S1418" s="6"/>
      <c r="T1418" s="6"/>
    </row>
    <row r="1419" spans="4:20" x14ac:dyDescent="0.2">
      <c r="D1419" s="6"/>
      <c r="E1419" s="6"/>
      <c r="F1419" s="6"/>
      <c r="G1419" s="19"/>
      <c r="H1419" s="19"/>
      <c r="I1419" s="19"/>
      <c r="J1419" s="19"/>
      <c r="K1419" s="6"/>
      <c r="L1419" s="6"/>
      <c r="M1419" s="6"/>
      <c r="N1419" s="6"/>
      <c r="O1419" s="6"/>
      <c r="P1419" s="6"/>
      <c r="Q1419" s="6"/>
      <c r="R1419" s="6"/>
      <c r="S1419" s="6"/>
      <c r="T1419" s="6"/>
    </row>
    <row r="1420" spans="4:20" x14ac:dyDescent="0.2">
      <c r="D1420" s="6"/>
      <c r="E1420" s="6"/>
      <c r="F1420" s="6"/>
      <c r="G1420" s="19"/>
      <c r="H1420" s="19"/>
      <c r="I1420" s="19"/>
      <c r="J1420" s="19"/>
      <c r="K1420" s="6"/>
      <c r="L1420" s="6"/>
      <c r="M1420" s="6"/>
      <c r="N1420" s="6"/>
      <c r="O1420" s="6"/>
      <c r="P1420" s="6"/>
      <c r="Q1420" s="6"/>
      <c r="R1420" s="6"/>
      <c r="S1420" s="6"/>
      <c r="T1420" s="6"/>
    </row>
    <row r="1421" spans="4:20" x14ac:dyDescent="0.2">
      <c r="D1421" s="6"/>
      <c r="E1421" s="6"/>
      <c r="F1421" s="6"/>
      <c r="G1421" s="19"/>
      <c r="H1421" s="19"/>
      <c r="I1421" s="19"/>
      <c r="J1421" s="19"/>
      <c r="K1421" s="6"/>
      <c r="L1421" s="6"/>
      <c r="M1421" s="6"/>
      <c r="N1421" s="6"/>
      <c r="O1421" s="6"/>
      <c r="P1421" s="6"/>
      <c r="Q1421" s="6"/>
      <c r="R1421" s="6"/>
      <c r="S1421" s="6"/>
      <c r="T1421" s="6"/>
    </row>
    <row r="1422" spans="4:20" x14ac:dyDescent="0.2">
      <c r="D1422" s="6"/>
      <c r="E1422" s="6"/>
      <c r="F1422" s="6"/>
      <c r="G1422" s="19"/>
      <c r="H1422" s="19"/>
      <c r="I1422" s="19"/>
      <c r="J1422" s="19"/>
      <c r="K1422" s="6"/>
      <c r="L1422" s="6"/>
      <c r="M1422" s="6"/>
      <c r="N1422" s="6"/>
      <c r="O1422" s="6"/>
      <c r="P1422" s="6"/>
      <c r="Q1422" s="6"/>
      <c r="R1422" s="6"/>
      <c r="S1422" s="6"/>
      <c r="T1422" s="6"/>
    </row>
    <row r="1423" spans="4:20" x14ac:dyDescent="0.2">
      <c r="D1423" s="6"/>
      <c r="E1423" s="6"/>
      <c r="F1423" s="6"/>
      <c r="G1423" s="19"/>
      <c r="H1423" s="19"/>
      <c r="I1423" s="19"/>
      <c r="J1423" s="19"/>
      <c r="K1423" s="6"/>
      <c r="L1423" s="6"/>
      <c r="M1423" s="6"/>
      <c r="N1423" s="6"/>
      <c r="O1423" s="6"/>
      <c r="P1423" s="6"/>
      <c r="Q1423" s="6"/>
      <c r="R1423" s="6"/>
      <c r="S1423" s="6"/>
      <c r="T1423" s="6"/>
    </row>
    <row r="1424" spans="4:20" x14ac:dyDescent="0.2">
      <c r="D1424" s="6"/>
      <c r="E1424" s="6"/>
      <c r="F1424" s="6"/>
      <c r="G1424" s="19"/>
      <c r="H1424" s="19"/>
      <c r="I1424" s="19"/>
      <c r="J1424" s="19"/>
      <c r="K1424" s="6"/>
      <c r="L1424" s="6"/>
      <c r="M1424" s="6"/>
      <c r="N1424" s="6"/>
      <c r="O1424" s="6"/>
      <c r="P1424" s="6"/>
      <c r="Q1424" s="6"/>
      <c r="R1424" s="6"/>
      <c r="S1424" s="6"/>
      <c r="T1424" s="6"/>
    </row>
    <row r="1425" spans="4:20" x14ac:dyDescent="0.2">
      <c r="D1425" s="6"/>
      <c r="E1425" s="6"/>
      <c r="F1425" s="6"/>
      <c r="G1425" s="19"/>
      <c r="H1425" s="19"/>
      <c r="I1425" s="19"/>
      <c r="J1425" s="19"/>
      <c r="K1425" s="6"/>
      <c r="L1425" s="6"/>
      <c r="M1425" s="6"/>
      <c r="N1425" s="6"/>
      <c r="O1425" s="6"/>
      <c r="P1425" s="6"/>
      <c r="Q1425" s="6"/>
      <c r="R1425" s="6"/>
      <c r="S1425" s="6"/>
      <c r="T1425" s="6"/>
    </row>
    <row r="1426" spans="4:20" x14ac:dyDescent="0.2">
      <c r="D1426" s="6"/>
      <c r="E1426" s="6"/>
      <c r="F1426" s="6"/>
      <c r="G1426" s="19"/>
      <c r="H1426" s="19"/>
      <c r="I1426" s="19"/>
      <c r="J1426" s="19"/>
      <c r="K1426" s="6"/>
      <c r="L1426" s="6"/>
      <c r="M1426" s="6"/>
      <c r="N1426" s="6"/>
      <c r="O1426" s="6"/>
      <c r="P1426" s="6"/>
      <c r="Q1426" s="6"/>
      <c r="R1426" s="6"/>
      <c r="S1426" s="6"/>
      <c r="T1426" s="6"/>
    </row>
    <row r="1427" spans="4:20" x14ac:dyDescent="0.2">
      <c r="D1427" s="6"/>
      <c r="E1427" s="6"/>
      <c r="F1427" s="6"/>
      <c r="G1427" s="19"/>
      <c r="H1427" s="19"/>
      <c r="I1427" s="19"/>
      <c r="J1427" s="19"/>
      <c r="K1427" s="6"/>
      <c r="L1427" s="6"/>
      <c r="M1427" s="6"/>
      <c r="N1427" s="6"/>
      <c r="O1427" s="6"/>
      <c r="P1427" s="6"/>
      <c r="Q1427" s="6"/>
      <c r="R1427" s="6"/>
      <c r="S1427" s="6"/>
      <c r="T1427" s="6"/>
    </row>
    <row r="1428" spans="4:20" x14ac:dyDescent="0.2">
      <c r="D1428" s="6"/>
      <c r="E1428" s="6"/>
      <c r="F1428" s="6"/>
      <c r="G1428" s="19"/>
      <c r="H1428" s="19"/>
      <c r="I1428" s="19"/>
      <c r="J1428" s="19"/>
      <c r="K1428" s="6"/>
      <c r="L1428" s="6"/>
      <c r="M1428" s="6"/>
      <c r="N1428" s="6"/>
      <c r="O1428" s="6"/>
      <c r="P1428" s="6"/>
      <c r="Q1428" s="6"/>
      <c r="R1428" s="6"/>
      <c r="S1428" s="6"/>
      <c r="T1428" s="6"/>
    </row>
    <row r="1429" spans="4:20" x14ac:dyDescent="0.2">
      <c r="D1429" s="6"/>
      <c r="E1429" s="6"/>
      <c r="F1429" s="6"/>
      <c r="G1429" s="19"/>
      <c r="H1429" s="19"/>
      <c r="I1429" s="19"/>
      <c r="J1429" s="19"/>
      <c r="K1429" s="6"/>
      <c r="L1429" s="6"/>
      <c r="M1429" s="6"/>
      <c r="N1429" s="6"/>
      <c r="O1429" s="6"/>
      <c r="P1429" s="6"/>
      <c r="Q1429" s="6"/>
      <c r="R1429" s="6"/>
      <c r="S1429" s="6"/>
      <c r="T1429" s="6"/>
    </row>
    <row r="1430" spans="4:20" x14ac:dyDescent="0.2">
      <c r="D1430" s="6"/>
      <c r="E1430" s="6"/>
      <c r="F1430" s="6"/>
      <c r="G1430" s="19"/>
      <c r="H1430" s="19"/>
      <c r="I1430" s="19"/>
      <c r="J1430" s="19"/>
      <c r="K1430" s="6"/>
      <c r="L1430" s="6"/>
      <c r="M1430" s="6"/>
      <c r="N1430" s="6"/>
      <c r="O1430" s="6"/>
      <c r="P1430" s="6"/>
      <c r="Q1430" s="6"/>
      <c r="R1430" s="6"/>
      <c r="S1430" s="6"/>
      <c r="T1430" s="6"/>
    </row>
    <row r="1431" spans="4:20" x14ac:dyDescent="0.2">
      <c r="D1431" s="6"/>
      <c r="E1431" s="6"/>
      <c r="F1431" s="6"/>
      <c r="G1431" s="19"/>
      <c r="H1431" s="19"/>
      <c r="I1431" s="19"/>
      <c r="J1431" s="19"/>
      <c r="K1431" s="6"/>
      <c r="L1431" s="6"/>
      <c r="M1431" s="6"/>
      <c r="N1431" s="6"/>
      <c r="O1431" s="6"/>
      <c r="P1431" s="6"/>
      <c r="Q1431" s="6"/>
      <c r="R1431" s="6"/>
      <c r="S1431" s="6"/>
      <c r="T1431" s="6"/>
    </row>
    <row r="1432" spans="4:20" x14ac:dyDescent="0.2">
      <c r="D1432" s="6"/>
      <c r="E1432" s="6"/>
      <c r="F1432" s="6"/>
      <c r="G1432" s="19"/>
      <c r="H1432" s="19"/>
      <c r="I1432" s="19"/>
      <c r="J1432" s="19"/>
      <c r="K1432" s="6"/>
      <c r="L1432" s="6"/>
      <c r="M1432" s="6"/>
      <c r="N1432" s="6"/>
      <c r="O1432" s="6"/>
      <c r="P1432" s="6"/>
      <c r="Q1432" s="6"/>
      <c r="R1432" s="6"/>
      <c r="S1432" s="6"/>
      <c r="T1432" s="6"/>
    </row>
    <row r="1433" spans="4:20" x14ac:dyDescent="0.2">
      <c r="D1433" s="6"/>
      <c r="E1433" s="6"/>
      <c r="F1433" s="6"/>
      <c r="G1433" s="19"/>
      <c r="H1433" s="19"/>
      <c r="I1433" s="19"/>
      <c r="J1433" s="19"/>
      <c r="K1433" s="6"/>
      <c r="L1433" s="6"/>
      <c r="M1433" s="6"/>
      <c r="N1433" s="6"/>
      <c r="O1433" s="6"/>
      <c r="P1433" s="6"/>
      <c r="Q1433" s="6"/>
      <c r="R1433" s="6"/>
      <c r="S1433" s="6"/>
      <c r="T1433" s="6"/>
    </row>
    <row r="1434" spans="4:20" x14ac:dyDescent="0.2">
      <c r="D1434" s="6"/>
      <c r="E1434" s="6"/>
      <c r="F1434" s="6"/>
      <c r="G1434" s="19"/>
      <c r="H1434" s="19"/>
      <c r="I1434" s="19"/>
      <c r="J1434" s="19"/>
      <c r="K1434" s="6"/>
      <c r="L1434" s="6"/>
      <c r="M1434" s="6"/>
      <c r="N1434" s="6"/>
      <c r="O1434" s="6"/>
      <c r="P1434" s="6"/>
      <c r="Q1434" s="6"/>
      <c r="R1434" s="6"/>
      <c r="S1434" s="6"/>
      <c r="T1434" s="6"/>
    </row>
    <row r="1435" spans="4:20" x14ac:dyDescent="0.2">
      <c r="D1435" s="6"/>
      <c r="E1435" s="6"/>
      <c r="F1435" s="6"/>
      <c r="G1435" s="19"/>
      <c r="H1435" s="19"/>
      <c r="I1435" s="19"/>
      <c r="J1435" s="19"/>
      <c r="K1435" s="6"/>
      <c r="L1435" s="6"/>
      <c r="M1435" s="6"/>
      <c r="N1435" s="6"/>
      <c r="O1435" s="6"/>
      <c r="P1435" s="6"/>
      <c r="Q1435" s="6"/>
      <c r="R1435" s="6"/>
      <c r="S1435" s="6"/>
      <c r="T1435" s="6"/>
    </row>
    <row r="1436" spans="4:20" x14ac:dyDescent="0.2">
      <c r="D1436" s="6"/>
      <c r="E1436" s="6"/>
      <c r="F1436" s="6"/>
      <c r="G1436" s="19"/>
      <c r="H1436" s="19"/>
      <c r="I1436" s="19"/>
      <c r="J1436" s="19"/>
      <c r="K1436" s="6"/>
      <c r="L1436" s="6"/>
      <c r="M1436" s="6"/>
      <c r="N1436" s="6"/>
      <c r="O1436" s="6"/>
      <c r="P1436" s="6"/>
      <c r="Q1436" s="6"/>
      <c r="R1436" s="6"/>
      <c r="S1436" s="6"/>
      <c r="T1436" s="6"/>
    </row>
    <row r="1437" spans="4:20" x14ac:dyDescent="0.2">
      <c r="D1437" s="6"/>
      <c r="E1437" s="6"/>
      <c r="F1437" s="6"/>
      <c r="G1437" s="19"/>
      <c r="H1437" s="19"/>
      <c r="I1437" s="19"/>
      <c r="J1437" s="19"/>
      <c r="K1437" s="6"/>
      <c r="L1437" s="6"/>
      <c r="M1437" s="6"/>
      <c r="N1437" s="6"/>
      <c r="O1437" s="6"/>
      <c r="P1437" s="6"/>
      <c r="Q1437" s="6"/>
      <c r="R1437" s="6"/>
      <c r="S1437" s="6"/>
      <c r="T1437" s="6"/>
    </row>
    <row r="1438" spans="4:20" x14ac:dyDescent="0.2">
      <c r="D1438" s="6"/>
      <c r="E1438" s="6"/>
      <c r="F1438" s="6"/>
      <c r="G1438" s="19"/>
      <c r="H1438" s="19"/>
      <c r="I1438" s="19"/>
      <c r="J1438" s="19"/>
      <c r="K1438" s="6"/>
      <c r="L1438" s="6"/>
      <c r="M1438" s="6"/>
      <c r="N1438" s="6"/>
      <c r="O1438" s="6"/>
      <c r="P1438" s="6"/>
      <c r="Q1438" s="6"/>
      <c r="R1438" s="6"/>
      <c r="S1438" s="6"/>
      <c r="T1438" s="6"/>
    </row>
    <row r="1439" spans="4:20" x14ac:dyDescent="0.2">
      <c r="D1439" s="6"/>
      <c r="E1439" s="6"/>
      <c r="F1439" s="6"/>
      <c r="G1439" s="19"/>
      <c r="H1439" s="19"/>
      <c r="I1439" s="19"/>
      <c r="J1439" s="19"/>
      <c r="K1439" s="6"/>
      <c r="L1439" s="6"/>
      <c r="M1439" s="6"/>
      <c r="N1439" s="6"/>
      <c r="O1439" s="6"/>
      <c r="P1439" s="6"/>
      <c r="Q1439" s="6"/>
      <c r="R1439" s="6"/>
      <c r="S1439" s="6"/>
      <c r="T1439" s="6"/>
    </row>
    <row r="1440" spans="4:20" x14ac:dyDescent="0.2">
      <c r="D1440" s="6"/>
      <c r="E1440" s="6"/>
      <c r="F1440" s="6"/>
      <c r="G1440" s="19"/>
      <c r="H1440" s="19"/>
      <c r="I1440" s="19"/>
      <c r="J1440" s="19"/>
      <c r="K1440" s="6"/>
      <c r="L1440" s="6"/>
      <c r="M1440" s="6"/>
      <c r="N1440" s="6"/>
      <c r="O1440" s="6"/>
      <c r="P1440" s="6"/>
      <c r="Q1440" s="6"/>
      <c r="R1440" s="6"/>
      <c r="S1440" s="6"/>
      <c r="T1440" s="6"/>
    </row>
    <row r="1441" spans="4:20" x14ac:dyDescent="0.2">
      <c r="D1441" s="6"/>
      <c r="E1441" s="6"/>
      <c r="F1441" s="6"/>
      <c r="G1441" s="19"/>
      <c r="H1441" s="19"/>
      <c r="I1441" s="19"/>
      <c r="J1441" s="19"/>
      <c r="K1441" s="6"/>
      <c r="L1441" s="6"/>
      <c r="M1441" s="6"/>
      <c r="N1441" s="6"/>
      <c r="O1441" s="6"/>
      <c r="P1441" s="6"/>
      <c r="Q1441" s="6"/>
      <c r="R1441" s="6"/>
      <c r="S1441" s="6"/>
      <c r="T1441" s="6"/>
    </row>
    <row r="1442" spans="4:20" x14ac:dyDescent="0.2">
      <c r="D1442" s="6"/>
      <c r="E1442" s="6"/>
      <c r="F1442" s="6"/>
      <c r="G1442" s="19"/>
      <c r="H1442" s="19"/>
      <c r="I1442" s="19"/>
      <c r="J1442" s="19"/>
      <c r="K1442" s="6"/>
      <c r="L1442" s="6"/>
      <c r="M1442" s="6"/>
      <c r="N1442" s="6"/>
      <c r="O1442" s="6"/>
      <c r="P1442" s="6"/>
      <c r="Q1442" s="6"/>
      <c r="R1442" s="6"/>
      <c r="S1442" s="6"/>
      <c r="T1442" s="6"/>
    </row>
    <row r="1443" spans="4:20" x14ac:dyDescent="0.2">
      <c r="D1443" s="6"/>
      <c r="E1443" s="6"/>
      <c r="F1443" s="6"/>
      <c r="G1443" s="19"/>
      <c r="H1443" s="19"/>
      <c r="I1443" s="19"/>
      <c r="J1443" s="19"/>
      <c r="K1443" s="6"/>
      <c r="L1443" s="6"/>
      <c r="M1443" s="6"/>
      <c r="N1443" s="6"/>
      <c r="O1443" s="6"/>
      <c r="P1443" s="6"/>
      <c r="Q1443" s="6"/>
      <c r="R1443" s="6"/>
      <c r="S1443" s="6"/>
      <c r="T1443" s="6"/>
    </row>
    <row r="1444" spans="4:20" x14ac:dyDescent="0.2">
      <c r="D1444" s="6"/>
      <c r="E1444" s="6"/>
      <c r="F1444" s="6"/>
      <c r="G1444" s="19"/>
      <c r="H1444" s="19"/>
      <c r="I1444" s="19"/>
      <c r="J1444" s="19"/>
      <c r="K1444" s="6"/>
      <c r="L1444" s="6"/>
      <c r="M1444" s="6"/>
      <c r="N1444" s="6"/>
      <c r="O1444" s="6"/>
      <c r="P1444" s="6"/>
      <c r="Q1444" s="6"/>
      <c r="R1444" s="6"/>
      <c r="S1444" s="6"/>
      <c r="T1444" s="6"/>
    </row>
    <row r="1445" spans="4:20" x14ac:dyDescent="0.2">
      <c r="D1445" s="6"/>
      <c r="E1445" s="6"/>
      <c r="F1445" s="6"/>
      <c r="G1445" s="19"/>
      <c r="H1445" s="19"/>
      <c r="I1445" s="19"/>
      <c r="J1445" s="19"/>
      <c r="K1445" s="6"/>
      <c r="L1445" s="6"/>
      <c r="M1445" s="6"/>
      <c r="N1445" s="6"/>
      <c r="O1445" s="6"/>
      <c r="P1445" s="6"/>
      <c r="Q1445" s="6"/>
      <c r="R1445" s="6"/>
      <c r="S1445" s="6"/>
      <c r="T1445" s="6"/>
    </row>
    <row r="1446" spans="4:20" x14ac:dyDescent="0.2">
      <c r="D1446" s="6"/>
      <c r="E1446" s="6"/>
      <c r="F1446" s="6"/>
      <c r="G1446" s="19"/>
      <c r="H1446" s="19"/>
      <c r="I1446" s="19"/>
      <c r="J1446" s="19"/>
      <c r="K1446" s="6"/>
      <c r="L1446" s="6"/>
      <c r="M1446" s="6"/>
      <c r="N1446" s="6"/>
      <c r="O1446" s="6"/>
      <c r="P1446" s="6"/>
      <c r="Q1446" s="6"/>
      <c r="R1446" s="6"/>
      <c r="S1446" s="6"/>
      <c r="T1446" s="6"/>
    </row>
    <row r="1447" spans="4:20" x14ac:dyDescent="0.2">
      <c r="D1447" s="6"/>
      <c r="E1447" s="6"/>
      <c r="F1447" s="6"/>
      <c r="G1447" s="19"/>
      <c r="H1447" s="19"/>
      <c r="I1447" s="19"/>
      <c r="J1447" s="19"/>
      <c r="K1447" s="6"/>
      <c r="L1447" s="6"/>
      <c r="M1447" s="6"/>
      <c r="N1447" s="6"/>
      <c r="O1447" s="6"/>
      <c r="P1447" s="6"/>
      <c r="Q1447" s="6"/>
      <c r="R1447" s="6"/>
      <c r="S1447" s="6"/>
      <c r="T1447" s="6"/>
    </row>
    <row r="1448" spans="4:20" x14ac:dyDescent="0.2">
      <c r="D1448" s="6"/>
      <c r="E1448" s="6"/>
      <c r="F1448" s="6"/>
      <c r="G1448" s="19"/>
      <c r="H1448" s="19"/>
      <c r="I1448" s="19"/>
      <c r="J1448" s="19"/>
      <c r="K1448" s="6"/>
      <c r="L1448" s="6"/>
      <c r="M1448" s="6"/>
      <c r="N1448" s="6"/>
      <c r="O1448" s="6"/>
      <c r="P1448" s="6"/>
      <c r="Q1448" s="6"/>
      <c r="R1448" s="6"/>
      <c r="S1448" s="6"/>
      <c r="T1448" s="6"/>
    </row>
    <row r="1449" spans="4:20" x14ac:dyDescent="0.2">
      <c r="D1449" s="6"/>
      <c r="E1449" s="6"/>
      <c r="F1449" s="6"/>
      <c r="G1449" s="19"/>
      <c r="H1449" s="19"/>
      <c r="I1449" s="19"/>
      <c r="J1449" s="19"/>
      <c r="K1449" s="6"/>
      <c r="L1449" s="6"/>
      <c r="M1449" s="6"/>
      <c r="N1449" s="6"/>
      <c r="O1449" s="6"/>
      <c r="P1449" s="6"/>
      <c r="Q1449" s="6"/>
      <c r="R1449" s="6"/>
      <c r="S1449" s="6"/>
      <c r="T1449" s="6"/>
    </row>
    <row r="1450" spans="4:20" x14ac:dyDescent="0.2">
      <c r="D1450" s="6"/>
      <c r="E1450" s="6"/>
      <c r="F1450" s="6"/>
      <c r="G1450" s="19"/>
      <c r="H1450" s="19"/>
      <c r="I1450" s="19"/>
      <c r="J1450" s="19"/>
      <c r="K1450" s="6"/>
      <c r="L1450" s="6"/>
      <c r="M1450" s="6"/>
      <c r="N1450" s="6"/>
      <c r="O1450" s="6"/>
      <c r="P1450" s="6"/>
      <c r="Q1450" s="6"/>
      <c r="R1450" s="6"/>
      <c r="S1450" s="6"/>
      <c r="T1450" s="6"/>
    </row>
    <row r="1451" spans="4:20" x14ac:dyDescent="0.2">
      <c r="D1451" s="6"/>
      <c r="E1451" s="6"/>
      <c r="F1451" s="6"/>
      <c r="G1451" s="19"/>
      <c r="H1451" s="19"/>
      <c r="I1451" s="19"/>
      <c r="J1451" s="19"/>
      <c r="K1451" s="6"/>
      <c r="L1451" s="6"/>
      <c r="M1451" s="6"/>
      <c r="N1451" s="6"/>
      <c r="O1451" s="6"/>
      <c r="P1451" s="6"/>
      <c r="Q1451" s="6"/>
      <c r="R1451" s="6"/>
      <c r="S1451" s="6"/>
      <c r="T1451" s="6"/>
    </row>
    <row r="1452" spans="4:20" x14ac:dyDescent="0.2">
      <c r="D1452" s="6"/>
      <c r="E1452" s="6"/>
      <c r="F1452" s="6"/>
      <c r="G1452" s="19"/>
      <c r="H1452" s="19"/>
      <c r="I1452" s="19"/>
      <c r="J1452" s="19"/>
      <c r="K1452" s="6"/>
      <c r="L1452" s="6"/>
      <c r="M1452" s="6"/>
      <c r="N1452" s="6"/>
      <c r="O1452" s="6"/>
      <c r="P1452" s="6"/>
      <c r="Q1452" s="6"/>
      <c r="R1452" s="6"/>
      <c r="S1452" s="6"/>
      <c r="T1452" s="6"/>
    </row>
    <row r="1453" spans="4:20" x14ac:dyDescent="0.2">
      <c r="D1453" s="6"/>
      <c r="E1453" s="6"/>
      <c r="F1453" s="6"/>
      <c r="G1453" s="19"/>
      <c r="H1453" s="19"/>
      <c r="I1453" s="19"/>
      <c r="J1453" s="19"/>
      <c r="K1453" s="6"/>
      <c r="L1453" s="6"/>
      <c r="M1453" s="6"/>
      <c r="N1453" s="6"/>
      <c r="O1453" s="6"/>
      <c r="P1453" s="6"/>
      <c r="Q1453" s="6"/>
      <c r="R1453" s="6"/>
      <c r="S1453" s="6"/>
      <c r="T1453" s="6"/>
    </row>
    <row r="1454" spans="4:20" x14ac:dyDescent="0.2">
      <c r="D1454" s="6"/>
      <c r="E1454" s="6"/>
      <c r="F1454" s="6"/>
      <c r="G1454" s="19"/>
      <c r="H1454" s="19"/>
      <c r="I1454" s="19"/>
      <c r="J1454" s="19"/>
      <c r="K1454" s="6"/>
      <c r="L1454" s="6"/>
      <c r="M1454" s="6"/>
      <c r="N1454" s="6"/>
      <c r="O1454" s="6"/>
      <c r="P1454" s="6"/>
      <c r="Q1454" s="6"/>
      <c r="R1454" s="6"/>
      <c r="S1454" s="6"/>
      <c r="T1454" s="6"/>
    </row>
    <row r="1455" spans="4:20" x14ac:dyDescent="0.2">
      <c r="D1455" s="6"/>
      <c r="E1455" s="6"/>
      <c r="F1455" s="6"/>
      <c r="G1455" s="19"/>
      <c r="H1455" s="19"/>
      <c r="I1455" s="19"/>
      <c r="J1455" s="19"/>
      <c r="K1455" s="6"/>
      <c r="L1455" s="6"/>
      <c r="M1455" s="6"/>
      <c r="N1455" s="6"/>
      <c r="O1455" s="6"/>
      <c r="P1455" s="6"/>
      <c r="Q1455" s="6"/>
      <c r="R1455" s="6"/>
      <c r="S1455" s="6"/>
      <c r="T1455" s="6"/>
    </row>
    <row r="1456" spans="4:20" x14ac:dyDescent="0.2">
      <c r="D1456" s="6"/>
      <c r="E1456" s="6"/>
      <c r="F1456" s="6"/>
      <c r="G1456" s="19"/>
      <c r="H1456" s="19"/>
      <c r="I1456" s="19"/>
      <c r="J1456" s="19"/>
      <c r="K1456" s="6"/>
      <c r="L1456" s="6"/>
      <c r="M1456" s="6"/>
      <c r="N1456" s="6"/>
      <c r="O1456" s="6"/>
      <c r="P1456" s="6"/>
      <c r="Q1456" s="6"/>
      <c r="R1456" s="6"/>
      <c r="S1456" s="6"/>
      <c r="T1456" s="6"/>
    </row>
    <row r="1457" spans="4:20" x14ac:dyDescent="0.2">
      <c r="D1457" s="6"/>
      <c r="E1457" s="6"/>
      <c r="F1457" s="6"/>
      <c r="G1457" s="19"/>
      <c r="H1457" s="19"/>
      <c r="I1457" s="19"/>
      <c r="J1457" s="19"/>
      <c r="K1457" s="6"/>
      <c r="L1457" s="6"/>
      <c r="M1457" s="6"/>
      <c r="N1457" s="6"/>
      <c r="O1457" s="6"/>
      <c r="P1457" s="6"/>
      <c r="Q1457" s="6"/>
      <c r="R1457" s="6"/>
      <c r="S1457" s="6"/>
      <c r="T1457" s="6"/>
    </row>
    <row r="1458" spans="4:20" x14ac:dyDescent="0.2">
      <c r="D1458" s="6"/>
      <c r="E1458" s="6"/>
      <c r="F1458" s="6"/>
      <c r="G1458" s="19"/>
      <c r="H1458" s="19"/>
      <c r="I1458" s="19"/>
      <c r="J1458" s="19"/>
      <c r="K1458" s="6"/>
      <c r="L1458" s="6"/>
      <c r="M1458" s="6"/>
      <c r="N1458" s="6"/>
      <c r="O1458" s="6"/>
      <c r="P1458" s="6"/>
      <c r="Q1458" s="6"/>
      <c r="R1458" s="6"/>
      <c r="S1458" s="6"/>
      <c r="T1458" s="6"/>
    </row>
    <row r="1459" spans="4:20" x14ac:dyDescent="0.2">
      <c r="D1459" s="6"/>
      <c r="E1459" s="6"/>
      <c r="F1459" s="6"/>
      <c r="G1459" s="19"/>
      <c r="H1459" s="19"/>
      <c r="I1459" s="19"/>
      <c r="J1459" s="19"/>
      <c r="K1459" s="6"/>
      <c r="L1459" s="6"/>
      <c r="M1459" s="6"/>
      <c r="N1459" s="6"/>
      <c r="O1459" s="6"/>
      <c r="P1459" s="6"/>
      <c r="Q1459" s="6"/>
      <c r="R1459" s="6"/>
      <c r="S1459" s="6"/>
      <c r="T1459" s="6"/>
    </row>
    <row r="1460" spans="4:20" x14ac:dyDescent="0.2">
      <c r="D1460" s="6"/>
      <c r="E1460" s="6"/>
      <c r="F1460" s="6"/>
      <c r="G1460" s="19"/>
      <c r="H1460" s="19"/>
      <c r="I1460" s="19"/>
      <c r="J1460" s="19"/>
      <c r="K1460" s="6"/>
      <c r="L1460" s="6"/>
      <c r="M1460" s="6"/>
      <c r="N1460" s="6"/>
      <c r="O1460" s="6"/>
      <c r="P1460" s="6"/>
      <c r="Q1460" s="6"/>
      <c r="R1460" s="6"/>
      <c r="S1460" s="6"/>
      <c r="T1460" s="6"/>
    </row>
    <row r="1461" spans="4:20" x14ac:dyDescent="0.2">
      <c r="D1461" s="6"/>
      <c r="E1461" s="6"/>
      <c r="F1461" s="6"/>
      <c r="G1461" s="19"/>
      <c r="H1461" s="19"/>
      <c r="I1461" s="19"/>
      <c r="J1461" s="19"/>
      <c r="K1461" s="6"/>
      <c r="L1461" s="6"/>
      <c r="M1461" s="6"/>
      <c r="N1461" s="6"/>
      <c r="O1461" s="6"/>
      <c r="P1461" s="6"/>
      <c r="Q1461" s="6"/>
      <c r="R1461" s="6"/>
      <c r="S1461" s="6"/>
      <c r="T1461" s="6"/>
    </row>
    <row r="1462" spans="4:20" x14ac:dyDescent="0.2">
      <c r="D1462" s="6"/>
      <c r="E1462" s="6"/>
      <c r="F1462" s="6"/>
      <c r="G1462" s="19"/>
      <c r="H1462" s="19"/>
      <c r="I1462" s="19"/>
      <c r="J1462" s="19"/>
      <c r="K1462" s="6"/>
      <c r="L1462" s="6"/>
      <c r="M1462" s="6"/>
      <c r="N1462" s="6"/>
      <c r="O1462" s="6"/>
      <c r="P1462" s="6"/>
      <c r="Q1462" s="6"/>
      <c r="R1462" s="6"/>
      <c r="S1462" s="6"/>
      <c r="T1462" s="6"/>
    </row>
    <row r="1463" spans="4:20" x14ac:dyDescent="0.2">
      <c r="D1463" s="6"/>
      <c r="E1463" s="6"/>
      <c r="F1463" s="6"/>
      <c r="G1463" s="19"/>
      <c r="H1463" s="19"/>
      <c r="I1463" s="19"/>
      <c r="J1463" s="19"/>
      <c r="K1463" s="6"/>
      <c r="L1463" s="6"/>
      <c r="M1463" s="6"/>
      <c r="N1463" s="6"/>
      <c r="O1463" s="6"/>
      <c r="P1463" s="6"/>
      <c r="Q1463" s="6"/>
      <c r="R1463" s="6"/>
      <c r="S1463" s="6"/>
      <c r="T1463" s="6"/>
    </row>
    <row r="1464" spans="4:20" x14ac:dyDescent="0.2">
      <c r="D1464" s="6"/>
      <c r="E1464" s="6"/>
      <c r="F1464" s="6"/>
      <c r="G1464" s="19"/>
      <c r="H1464" s="19"/>
      <c r="I1464" s="19"/>
      <c r="J1464" s="19"/>
      <c r="K1464" s="6"/>
      <c r="L1464" s="6"/>
      <c r="M1464" s="6"/>
      <c r="N1464" s="6"/>
      <c r="O1464" s="6"/>
      <c r="P1464" s="6"/>
      <c r="Q1464" s="6"/>
      <c r="R1464" s="6"/>
      <c r="S1464" s="6"/>
      <c r="T1464" s="6"/>
    </row>
    <row r="1465" spans="4:20" x14ac:dyDescent="0.2">
      <c r="D1465" s="6"/>
      <c r="E1465" s="6"/>
      <c r="F1465" s="6"/>
      <c r="G1465" s="19"/>
      <c r="H1465" s="19"/>
      <c r="I1465" s="19"/>
      <c r="J1465" s="19"/>
      <c r="K1465" s="6"/>
      <c r="L1465" s="6"/>
      <c r="M1465" s="6"/>
      <c r="N1465" s="6"/>
      <c r="O1465" s="6"/>
      <c r="P1465" s="6"/>
      <c r="Q1465" s="6"/>
      <c r="R1465" s="6"/>
      <c r="S1465" s="6"/>
      <c r="T1465" s="6"/>
    </row>
    <row r="1466" spans="4:20" x14ac:dyDescent="0.2">
      <c r="D1466" s="6"/>
      <c r="E1466" s="6"/>
      <c r="F1466" s="6"/>
      <c r="G1466" s="19"/>
      <c r="H1466" s="19"/>
      <c r="I1466" s="19"/>
      <c r="J1466" s="19"/>
      <c r="K1466" s="6"/>
      <c r="L1466" s="6"/>
      <c r="M1466" s="6"/>
      <c r="N1466" s="6"/>
      <c r="O1466" s="6"/>
      <c r="P1466" s="6"/>
      <c r="Q1466" s="6"/>
      <c r="R1466" s="6"/>
      <c r="S1466" s="6"/>
      <c r="T1466" s="6"/>
    </row>
    <row r="1467" spans="4:20" x14ac:dyDescent="0.2">
      <c r="D1467" s="6"/>
      <c r="E1467" s="6"/>
      <c r="F1467" s="6"/>
      <c r="G1467" s="19"/>
      <c r="H1467" s="19"/>
      <c r="I1467" s="19"/>
      <c r="J1467" s="19"/>
      <c r="K1467" s="6"/>
      <c r="L1467" s="6"/>
      <c r="M1467" s="6"/>
      <c r="N1467" s="6"/>
      <c r="O1467" s="6"/>
      <c r="P1467" s="6"/>
      <c r="Q1467" s="6"/>
      <c r="R1467" s="6"/>
      <c r="S1467" s="6"/>
      <c r="T1467" s="6"/>
    </row>
    <row r="1468" spans="4:20" x14ac:dyDescent="0.2">
      <c r="D1468" s="6"/>
      <c r="E1468" s="6"/>
      <c r="F1468" s="6"/>
      <c r="G1468" s="19"/>
      <c r="H1468" s="19"/>
      <c r="I1468" s="19"/>
      <c r="J1468" s="19"/>
      <c r="K1468" s="6"/>
      <c r="L1468" s="6"/>
      <c r="M1468" s="6"/>
      <c r="N1468" s="6"/>
      <c r="O1468" s="6"/>
      <c r="P1468" s="6"/>
      <c r="Q1468" s="6"/>
      <c r="R1468" s="6"/>
      <c r="S1468" s="6"/>
      <c r="T1468" s="6"/>
    </row>
    <row r="1469" spans="4:20" x14ac:dyDescent="0.2">
      <c r="D1469" s="6"/>
      <c r="E1469" s="6"/>
      <c r="F1469" s="6"/>
      <c r="G1469" s="19"/>
      <c r="H1469" s="19"/>
      <c r="I1469" s="19"/>
      <c r="J1469" s="19"/>
      <c r="K1469" s="6"/>
      <c r="L1469" s="6"/>
      <c r="M1469" s="6"/>
      <c r="N1469" s="6"/>
      <c r="O1469" s="6"/>
      <c r="P1469" s="6"/>
      <c r="Q1469" s="6"/>
      <c r="R1469" s="6"/>
      <c r="S1469" s="6"/>
      <c r="T1469" s="6"/>
    </row>
    <row r="1470" spans="4:20" x14ac:dyDescent="0.2">
      <c r="D1470" s="6"/>
      <c r="E1470" s="6"/>
      <c r="F1470" s="6"/>
      <c r="G1470" s="19"/>
      <c r="H1470" s="19"/>
      <c r="I1470" s="19"/>
      <c r="J1470" s="19"/>
      <c r="K1470" s="6"/>
      <c r="L1470" s="6"/>
      <c r="M1470" s="6"/>
      <c r="N1470" s="6"/>
      <c r="O1470" s="6"/>
      <c r="P1470" s="6"/>
      <c r="Q1470" s="6"/>
      <c r="R1470" s="6"/>
      <c r="S1470" s="6"/>
      <c r="T1470" s="6"/>
    </row>
    <row r="1471" spans="4:20" x14ac:dyDescent="0.2">
      <c r="D1471" s="6"/>
      <c r="E1471" s="6"/>
      <c r="F1471" s="6"/>
      <c r="G1471" s="19"/>
      <c r="H1471" s="19"/>
      <c r="I1471" s="19"/>
      <c r="J1471" s="19"/>
      <c r="K1471" s="6"/>
      <c r="L1471" s="6"/>
      <c r="M1471" s="6"/>
      <c r="N1471" s="6"/>
      <c r="O1471" s="6"/>
      <c r="P1471" s="6"/>
      <c r="Q1471" s="6"/>
      <c r="R1471" s="6"/>
      <c r="S1471" s="6"/>
      <c r="T1471" s="6"/>
    </row>
    <row r="1472" spans="4:20" x14ac:dyDescent="0.2">
      <c r="D1472" s="6"/>
      <c r="E1472" s="6"/>
      <c r="F1472" s="6"/>
      <c r="G1472" s="19"/>
      <c r="H1472" s="19"/>
      <c r="I1472" s="19"/>
      <c r="J1472" s="19"/>
      <c r="K1472" s="6"/>
      <c r="L1472" s="6"/>
      <c r="M1472" s="6"/>
      <c r="N1472" s="6"/>
      <c r="O1472" s="6"/>
      <c r="P1472" s="6"/>
      <c r="Q1472" s="6"/>
      <c r="R1472" s="6"/>
      <c r="S1472" s="6"/>
      <c r="T1472" s="6"/>
    </row>
    <row r="1473" spans="4:20" x14ac:dyDescent="0.2">
      <c r="D1473" s="6"/>
      <c r="E1473" s="6"/>
      <c r="F1473" s="6"/>
      <c r="G1473" s="19"/>
      <c r="H1473" s="19"/>
      <c r="I1473" s="19"/>
      <c r="J1473" s="19"/>
      <c r="K1473" s="6"/>
      <c r="L1473" s="6"/>
      <c r="M1473" s="6"/>
      <c r="N1473" s="6"/>
      <c r="O1473" s="6"/>
      <c r="P1473" s="6"/>
      <c r="Q1473" s="6"/>
      <c r="R1473" s="6"/>
      <c r="S1473" s="6"/>
      <c r="T1473" s="6"/>
    </row>
    <row r="1474" spans="4:20" x14ac:dyDescent="0.2">
      <c r="D1474" s="6"/>
      <c r="E1474" s="6"/>
      <c r="F1474" s="6"/>
      <c r="G1474" s="19"/>
      <c r="H1474" s="19"/>
      <c r="I1474" s="19"/>
      <c r="J1474" s="19"/>
      <c r="K1474" s="6"/>
      <c r="L1474" s="6"/>
      <c r="M1474" s="6"/>
      <c r="N1474" s="6"/>
      <c r="O1474" s="6"/>
      <c r="P1474" s="6"/>
      <c r="Q1474" s="6"/>
      <c r="R1474" s="6"/>
      <c r="S1474" s="6"/>
      <c r="T1474" s="6"/>
    </row>
    <row r="1475" spans="4:20" x14ac:dyDescent="0.2">
      <c r="D1475" s="6"/>
      <c r="E1475" s="6"/>
      <c r="F1475" s="6"/>
      <c r="G1475" s="19"/>
      <c r="H1475" s="19"/>
      <c r="I1475" s="19"/>
      <c r="J1475" s="19"/>
      <c r="K1475" s="6"/>
      <c r="L1475" s="6"/>
      <c r="M1475" s="6"/>
      <c r="N1475" s="6"/>
      <c r="O1475" s="6"/>
      <c r="P1475" s="6"/>
      <c r="Q1475" s="6"/>
      <c r="R1475" s="6"/>
      <c r="S1475" s="6"/>
      <c r="T1475" s="6"/>
    </row>
    <row r="1476" spans="4:20" x14ac:dyDescent="0.2">
      <c r="D1476" s="6"/>
      <c r="E1476" s="6"/>
      <c r="F1476" s="6"/>
      <c r="G1476" s="19"/>
      <c r="H1476" s="19"/>
      <c r="I1476" s="19"/>
      <c r="J1476" s="19"/>
      <c r="K1476" s="6"/>
      <c r="L1476" s="6"/>
      <c r="M1476" s="6"/>
      <c r="N1476" s="6"/>
      <c r="O1476" s="6"/>
      <c r="P1476" s="6"/>
      <c r="Q1476" s="6"/>
      <c r="R1476" s="6"/>
      <c r="S1476" s="6"/>
      <c r="T1476" s="6"/>
    </row>
    <row r="1477" spans="4:20" x14ac:dyDescent="0.2">
      <c r="D1477" s="6"/>
      <c r="E1477" s="6"/>
      <c r="F1477" s="6"/>
      <c r="G1477" s="19"/>
      <c r="H1477" s="19"/>
      <c r="I1477" s="19"/>
      <c r="J1477" s="19"/>
      <c r="K1477" s="6"/>
      <c r="L1477" s="6"/>
      <c r="M1477" s="6"/>
      <c r="N1477" s="6"/>
      <c r="O1477" s="6"/>
      <c r="P1477" s="6"/>
      <c r="Q1477" s="6"/>
      <c r="R1477" s="6"/>
      <c r="S1477" s="6"/>
      <c r="T1477" s="6"/>
    </row>
    <row r="1478" spans="4:20" x14ac:dyDescent="0.2">
      <c r="D1478" s="6"/>
      <c r="E1478" s="6"/>
      <c r="F1478" s="6"/>
      <c r="G1478" s="19"/>
      <c r="H1478" s="19"/>
      <c r="I1478" s="19"/>
      <c r="J1478" s="19"/>
      <c r="K1478" s="6"/>
      <c r="L1478" s="6"/>
      <c r="M1478" s="6"/>
      <c r="N1478" s="6"/>
      <c r="O1478" s="6"/>
      <c r="P1478" s="6"/>
      <c r="Q1478" s="6"/>
      <c r="R1478" s="6"/>
      <c r="S1478" s="6"/>
      <c r="T1478" s="6"/>
    </row>
    <row r="1479" spans="4:20" x14ac:dyDescent="0.2">
      <c r="D1479" s="6"/>
      <c r="E1479" s="6"/>
      <c r="F1479" s="6"/>
      <c r="G1479" s="19"/>
      <c r="H1479" s="19"/>
      <c r="I1479" s="19"/>
      <c r="J1479" s="19"/>
      <c r="K1479" s="6"/>
      <c r="L1479" s="6"/>
      <c r="M1479" s="6"/>
      <c r="N1479" s="6"/>
      <c r="O1479" s="6"/>
      <c r="P1479" s="6"/>
      <c r="Q1479" s="6"/>
      <c r="R1479" s="6"/>
      <c r="S1479" s="6"/>
      <c r="T1479" s="6"/>
    </row>
    <row r="1480" spans="4:20" x14ac:dyDescent="0.2">
      <c r="D1480" s="6"/>
      <c r="E1480" s="6"/>
      <c r="F1480" s="6"/>
      <c r="G1480" s="19"/>
      <c r="H1480" s="19"/>
      <c r="I1480" s="19"/>
      <c r="J1480" s="19"/>
      <c r="K1480" s="6"/>
      <c r="L1480" s="6"/>
      <c r="M1480" s="6"/>
      <c r="N1480" s="6"/>
      <c r="O1480" s="6"/>
      <c r="P1480" s="6"/>
      <c r="Q1480" s="6"/>
      <c r="R1480" s="6"/>
      <c r="S1480" s="6"/>
      <c r="T1480" s="6"/>
    </row>
    <row r="1481" spans="4:20" x14ac:dyDescent="0.2">
      <c r="D1481" s="6"/>
      <c r="E1481" s="6"/>
      <c r="F1481" s="6"/>
      <c r="G1481" s="19"/>
      <c r="H1481" s="19"/>
      <c r="I1481" s="19"/>
      <c r="J1481" s="19"/>
      <c r="K1481" s="6"/>
      <c r="L1481" s="6"/>
      <c r="M1481" s="6"/>
      <c r="N1481" s="6"/>
      <c r="O1481" s="6"/>
      <c r="P1481" s="6"/>
      <c r="Q1481" s="6"/>
      <c r="R1481" s="6"/>
      <c r="S1481" s="6"/>
      <c r="T1481" s="6"/>
    </row>
    <row r="1482" spans="4:20" x14ac:dyDescent="0.2">
      <c r="D1482" s="6"/>
      <c r="E1482" s="6"/>
      <c r="F1482" s="6"/>
      <c r="G1482" s="19"/>
      <c r="H1482" s="19"/>
      <c r="I1482" s="19"/>
      <c r="J1482" s="19"/>
      <c r="K1482" s="6"/>
      <c r="L1482" s="6"/>
      <c r="M1482" s="6"/>
      <c r="N1482" s="6"/>
      <c r="O1482" s="6"/>
      <c r="P1482" s="6"/>
      <c r="Q1482" s="6"/>
      <c r="R1482" s="6"/>
      <c r="S1482" s="6"/>
      <c r="T1482" s="6"/>
    </row>
    <row r="1483" spans="4:20" x14ac:dyDescent="0.2">
      <c r="D1483" s="6"/>
      <c r="E1483" s="6"/>
      <c r="F1483" s="6"/>
      <c r="G1483" s="19"/>
      <c r="H1483" s="19"/>
      <c r="I1483" s="19"/>
      <c r="J1483" s="19"/>
      <c r="K1483" s="6"/>
      <c r="L1483" s="6"/>
      <c r="M1483" s="6"/>
      <c r="N1483" s="6"/>
      <c r="O1483" s="6"/>
      <c r="P1483" s="6"/>
      <c r="Q1483" s="6"/>
      <c r="R1483" s="6"/>
      <c r="S1483" s="6"/>
      <c r="T1483" s="6"/>
    </row>
    <row r="1484" spans="4:20" x14ac:dyDescent="0.2">
      <c r="D1484" s="6"/>
      <c r="E1484" s="6"/>
      <c r="F1484" s="6"/>
      <c r="G1484" s="19"/>
      <c r="H1484" s="19"/>
      <c r="I1484" s="19"/>
      <c r="J1484" s="19"/>
      <c r="K1484" s="6"/>
      <c r="L1484" s="6"/>
      <c r="M1484" s="6"/>
      <c r="N1484" s="6"/>
      <c r="O1484" s="6"/>
      <c r="P1484" s="6"/>
      <c r="Q1484" s="6"/>
      <c r="R1484" s="6"/>
      <c r="S1484" s="6"/>
      <c r="T1484" s="6"/>
    </row>
    <row r="1485" spans="4:20" x14ac:dyDescent="0.2">
      <c r="D1485" s="6"/>
      <c r="E1485" s="6"/>
      <c r="F1485" s="6"/>
      <c r="G1485" s="19"/>
      <c r="H1485" s="19"/>
      <c r="I1485" s="19"/>
      <c r="J1485" s="19"/>
      <c r="K1485" s="6"/>
      <c r="L1485" s="6"/>
      <c r="M1485" s="6"/>
      <c r="N1485" s="6"/>
      <c r="O1485" s="6"/>
      <c r="P1485" s="6"/>
      <c r="Q1485" s="6"/>
      <c r="R1485" s="6"/>
      <c r="S1485" s="6"/>
      <c r="T1485" s="6"/>
    </row>
    <row r="1486" spans="4:20" x14ac:dyDescent="0.2">
      <c r="D1486" s="6"/>
      <c r="E1486" s="6"/>
      <c r="F1486" s="6"/>
      <c r="G1486" s="19"/>
      <c r="H1486" s="19"/>
      <c r="I1486" s="19"/>
      <c r="J1486" s="19"/>
      <c r="K1486" s="6"/>
      <c r="L1486" s="6"/>
      <c r="M1486" s="6"/>
      <c r="N1486" s="6"/>
      <c r="O1486" s="6"/>
      <c r="P1486" s="6"/>
      <c r="Q1486" s="6"/>
      <c r="R1486" s="6"/>
      <c r="S1486" s="6"/>
      <c r="T1486" s="6"/>
    </row>
    <row r="1487" spans="4:20" x14ac:dyDescent="0.2">
      <c r="D1487" s="6"/>
      <c r="E1487" s="6"/>
      <c r="F1487" s="6"/>
      <c r="G1487" s="19"/>
      <c r="H1487" s="19"/>
      <c r="I1487" s="19"/>
      <c r="J1487" s="19"/>
      <c r="K1487" s="6"/>
      <c r="L1487" s="6"/>
      <c r="M1487" s="6"/>
      <c r="N1487" s="6"/>
      <c r="O1487" s="6"/>
      <c r="P1487" s="6"/>
      <c r="Q1487" s="6"/>
      <c r="R1487" s="6"/>
      <c r="S1487" s="6"/>
      <c r="T1487" s="6"/>
    </row>
    <row r="1488" spans="4:20" x14ac:dyDescent="0.2">
      <c r="D1488" s="6"/>
      <c r="E1488" s="6"/>
      <c r="F1488" s="6"/>
      <c r="G1488" s="19"/>
      <c r="H1488" s="19"/>
      <c r="I1488" s="19"/>
      <c r="J1488" s="19"/>
      <c r="K1488" s="6"/>
      <c r="L1488" s="6"/>
      <c r="M1488" s="6"/>
      <c r="N1488" s="6"/>
      <c r="O1488" s="6"/>
      <c r="P1488" s="6"/>
      <c r="Q1488" s="6"/>
      <c r="R1488" s="6"/>
      <c r="S1488" s="6"/>
      <c r="T1488" s="6"/>
    </row>
    <row r="1489" spans="4:20" x14ac:dyDescent="0.2">
      <c r="D1489" s="6"/>
      <c r="E1489" s="6"/>
      <c r="F1489" s="6"/>
      <c r="G1489" s="19"/>
      <c r="H1489" s="19"/>
      <c r="I1489" s="19"/>
      <c r="J1489" s="19"/>
      <c r="K1489" s="6"/>
      <c r="L1489" s="6"/>
      <c r="M1489" s="6"/>
      <c r="N1489" s="6"/>
      <c r="O1489" s="6"/>
      <c r="P1489" s="6"/>
      <c r="Q1489" s="6"/>
      <c r="R1489" s="6"/>
      <c r="S1489" s="6"/>
      <c r="T1489" s="6"/>
    </row>
    <row r="1490" spans="4:20" x14ac:dyDescent="0.2">
      <c r="D1490" s="6"/>
      <c r="E1490" s="6"/>
      <c r="F1490" s="6"/>
      <c r="G1490" s="19"/>
      <c r="H1490" s="19"/>
      <c r="I1490" s="19"/>
      <c r="J1490" s="19"/>
      <c r="K1490" s="6"/>
      <c r="L1490" s="6"/>
      <c r="M1490" s="6"/>
      <c r="N1490" s="6"/>
      <c r="O1490" s="6"/>
      <c r="P1490" s="6"/>
      <c r="Q1490" s="6"/>
      <c r="R1490" s="6"/>
      <c r="S1490" s="6"/>
      <c r="T1490" s="6"/>
    </row>
    <row r="1491" spans="4:20" x14ac:dyDescent="0.2">
      <c r="D1491" s="6"/>
      <c r="E1491" s="6"/>
      <c r="F1491" s="6"/>
      <c r="G1491" s="19"/>
      <c r="H1491" s="19"/>
      <c r="I1491" s="19"/>
      <c r="J1491" s="19"/>
      <c r="K1491" s="6"/>
      <c r="L1491" s="6"/>
      <c r="M1491" s="6"/>
      <c r="N1491" s="6"/>
      <c r="O1491" s="6"/>
      <c r="P1491" s="6"/>
      <c r="Q1491" s="6"/>
      <c r="R1491" s="6"/>
      <c r="S1491" s="6"/>
      <c r="T1491" s="6"/>
    </row>
    <row r="1492" spans="4:20" x14ac:dyDescent="0.2">
      <c r="D1492" s="6"/>
      <c r="E1492" s="6"/>
      <c r="F1492" s="6"/>
      <c r="G1492" s="19"/>
      <c r="H1492" s="19"/>
      <c r="I1492" s="19"/>
      <c r="J1492" s="19"/>
      <c r="K1492" s="6"/>
      <c r="L1492" s="6"/>
      <c r="M1492" s="6"/>
      <c r="N1492" s="6"/>
      <c r="O1492" s="6"/>
      <c r="P1492" s="6"/>
      <c r="Q1492" s="6"/>
      <c r="R1492" s="6"/>
      <c r="S1492" s="6"/>
      <c r="T1492" s="6"/>
    </row>
    <row r="1493" spans="4:20" x14ac:dyDescent="0.2">
      <c r="D1493" s="6"/>
      <c r="E1493" s="6"/>
      <c r="F1493" s="6"/>
      <c r="G1493" s="19"/>
      <c r="H1493" s="19"/>
      <c r="I1493" s="19"/>
      <c r="J1493" s="19"/>
      <c r="K1493" s="6"/>
      <c r="L1493" s="6"/>
      <c r="M1493" s="6"/>
      <c r="N1493" s="6"/>
      <c r="O1493" s="6"/>
      <c r="P1493" s="6"/>
      <c r="Q1493" s="6"/>
      <c r="R1493" s="6"/>
      <c r="S1493" s="6"/>
      <c r="T1493" s="6"/>
    </row>
    <row r="1494" spans="4:20" x14ac:dyDescent="0.2">
      <c r="D1494" s="6"/>
      <c r="E1494" s="6"/>
      <c r="F1494" s="6"/>
      <c r="G1494" s="19"/>
      <c r="H1494" s="19"/>
      <c r="I1494" s="19"/>
      <c r="J1494" s="19"/>
      <c r="K1494" s="6"/>
      <c r="L1494" s="6"/>
      <c r="M1494" s="6"/>
      <c r="N1494" s="6"/>
      <c r="O1494" s="6"/>
      <c r="P1494" s="6"/>
      <c r="Q1494" s="6"/>
      <c r="R1494" s="6"/>
      <c r="S1494" s="6"/>
      <c r="T1494" s="6"/>
    </row>
    <row r="1495" spans="4:20" x14ac:dyDescent="0.2">
      <c r="D1495" s="6"/>
      <c r="E1495" s="6"/>
      <c r="F1495" s="6"/>
      <c r="G1495" s="19"/>
      <c r="H1495" s="19"/>
      <c r="I1495" s="19"/>
      <c r="J1495" s="19"/>
      <c r="K1495" s="6"/>
      <c r="L1495" s="6"/>
      <c r="M1495" s="6"/>
      <c r="N1495" s="6"/>
      <c r="O1495" s="6"/>
      <c r="P1495" s="6"/>
      <c r="Q1495" s="6"/>
      <c r="R1495" s="6"/>
      <c r="S1495" s="6"/>
      <c r="T1495" s="6"/>
    </row>
    <row r="1496" spans="4:20" x14ac:dyDescent="0.2">
      <c r="D1496" s="6"/>
      <c r="E1496" s="6"/>
      <c r="F1496" s="6"/>
      <c r="G1496" s="19"/>
      <c r="H1496" s="19"/>
      <c r="I1496" s="19"/>
      <c r="J1496" s="19"/>
      <c r="K1496" s="6"/>
      <c r="L1496" s="6"/>
      <c r="M1496" s="6"/>
      <c r="N1496" s="6"/>
      <c r="O1496" s="6"/>
      <c r="P1496" s="6"/>
      <c r="Q1496" s="6"/>
      <c r="R1496" s="6"/>
      <c r="S1496" s="6"/>
      <c r="T1496" s="6"/>
    </row>
    <row r="1497" spans="4:20" x14ac:dyDescent="0.2">
      <c r="D1497" s="6"/>
      <c r="E1497" s="6"/>
      <c r="F1497" s="6"/>
      <c r="G1497" s="19"/>
      <c r="H1497" s="19"/>
      <c r="I1497" s="19"/>
      <c r="J1497" s="19"/>
      <c r="K1497" s="6"/>
      <c r="L1497" s="6"/>
      <c r="M1497" s="6"/>
      <c r="N1497" s="6"/>
      <c r="O1497" s="6"/>
      <c r="P1497" s="6"/>
      <c r="Q1497" s="6"/>
      <c r="R1497" s="6"/>
      <c r="S1497" s="6"/>
      <c r="T1497" s="6"/>
    </row>
    <row r="1498" spans="4:20" x14ac:dyDescent="0.2">
      <c r="D1498" s="6"/>
      <c r="E1498" s="6"/>
      <c r="F1498" s="6"/>
      <c r="G1498" s="19"/>
      <c r="H1498" s="19"/>
      <c r="I1498" s="19"/>
      <c r="J1498" s="19"/>
      <c r="K1498" s="6"/>
      <c r="L1498" s="6"/>
      <c r="M1498" s="6"/>
      <c r="N1498" s="6"/>
      <c r="O1498" s="6"/>
      <c r="P1498" s="6"/>
      <c r="Q1498" s="6"/>
      <c r="R1498" s="6"/>
      <c r="S1498" s="6"/>
      <c r="T1498" s="6"/>
    </row>
    <row r="1499" spans="4:20" x14ac:dyDescent="0.2">
      <c r="D1499" s="6"/>
      <c r="E1499" s="6"/>
      <c r="F1499" s="6"/>
      <c r="G1499" s="19"/>
      <c r="H1499" s="19"/>
      <c r="I1499" s="19"/>
      <c r="J1499" s="19"/>
      <c r="K1499" s="6"/>
      <c r="L1499" s="6"/>
      <c r="M1499" s="6"/>
      <c r="N1499" s="6"/>
      <c r="O1499" s="6"/>
      <c r="P1499" s="6"/>
      <c r="Q1499" s="6"/>
      <c r="R1499" s="6"/>
      <c r="S1499" s="6"/>
      <c r="T1499" s="6"/>
    </row>
    <row r="1500" spans="4:20" x14ac:dyDescent="0.2">
      <c r="D1500" s="6"/>
      <c r="E1500" s="6"/>
      <c r="F1500" s="6"/>
      <c r="G1500" s="19"/>
      <c r="H1500" s="19"/>
      <c r="I1500" s="19"/>
      <c r="J1500" s="19"/>
      <c r="K1500" s="6"/>
      <c r="L1500" s="6"/>
      <c r="M1500" s="6"/>
      <c r="N1500" s="6"/>
      <c r="O1500" s="6"/>
      <c r="P1500" s="6"/>
      <c r="Q1500" s="6"/>
      <c r="R1500" s="6"/>
      <c r="S1500" s="6"/>
      <c r="T1500" s="6"/>
    </row>
    <row r="1501" spans="4:20" x14ac:dyDescent="0.2">
      <c r="D1501" s="6"/>
      <c r="E1501" s="6"/>
      <c r="F1501" s="6"/>
      <c r="G1501" s="19"/>
      <c r="H1501" s="19"/>
      <c r="I1501" s="19"/>
      <c r="J1501" s="19"/>
      <c r="K1501" s="6"/>
      <c r="L1501" s="6"/>
      <c r="M1501" s="6"/>
      <c r="N1501" s="6"/>
      <c r="O1501" s="6"/>
      <c r="P1501" s="6"/>
      <c r="Q1501" s="6"/>
      <c r="R1501" s="6"/>
      <c r="S1501" s="6"/>
      <c r="T1501" s="6"/>
    </row>
    <row r="1502" spans="4:20" x14ac:dyDescent="0.2">
      <c r="D1502" s="6"/>
      <c r="E1502" s="6"/>
      <c r="F1502" s="6"/>
      <c r="G1502" s="19"/>
      <c r="H1502" s="19"/>
      <c r="I1502" s="19"/>
      <c r="J1502" s="19"/>
      <c r="K1502" s="6"/>
      <c r="L1502" s="6"/>
      <c r="M1502" s="6"/>
      <c r="N1502" s="6"/>
      <c r="O1502" s="6"/>
      <c r="P1502" s="6"/>
      <c r="Q1502" s="6"/>
      <c r="R1502" s="6"/>
      <c r="S1502" s="6"/>
      <c r="T1502" s="6"/>
    </row>
    <row r="1503" spans="4:20" x14ac:dyDescent="0.2">
      <c r="D1503" s="6"/>
      <c r="E1503" s="6"/>
      <c r="F1503" s="6"/>
      <c r="G1503" s="19"/>
      <c r="H1503" s="19"/>
      <c r="I1503" s="19"/>
      <c r="J1503" s="19"/>
      <c r="K1503" s="6"/>
      <c r="L1503" s="6"/>
      <c r="M1503" s="6"/>
      <c r="N1503" s="6"/>
      <c r="O1503" s="6"/>
      <c r="P1503" s="6"/>
      <c r="Q1503" s="6"/>
      <c r="R1503" s="6"/>
      <c r="S1503" s="6"/>
      <c r="T1503" s="6"/>
    </row>
    <row r="1504" spans="4:20" x14ac:dyDescent="0.2">
      <c r="D1504" s="6"/>
      <c r="E1504" s="6"/>
      <c r="F1504" s="6"/>
      <c r="G1504" s="19"/>
      <c r="H1504" s="19"/>
      <c r="I1504" s="19"/>
      <c r="J1504" s="19"/>
      <c r="K1504" s="6"/>
      <c r="L1504" s="6"/>
      <c r="M1504" s="6"/>
      <c r="N1504" s="6"/>
      <c r="O1504" s="6"/>
      <c r="P1504" s="6"/>
      <c r="Q1504" s="6"/>
      <c r="R1504" s="6"/>
      <c r="S1504" s="6"/>
      <c r="T1504" s="6"/>
    </row>
    <row r="1505" spans="4:20" x14ac:dyDescent="0.2">
      <c r="D1505" s="6"/>
      <c r="E1505" s="6"/>
      <c r="F1505" s="6"/>
      <c r="G1505" s="19"/>
      <c r="H1505" s="19"/>
      <c r="I1505" s="19"/>
      <c r="J1505" s="19"/>
      <c r="K1505" s="6"/>
      <c r="L1505" s="6"/>
      <c r="M1505" s="6"/>
      <c r="N1505" s="6"/>
      <c r="O1505" s="6"/>
      <c r="P1505" s="6"/>
      <c r="Q1505" s="6"/>
      <c r="R1505" s="6"/>
      <c r="S1505" s="6"/>
      <c r="T1505" s="6"/>
    </row>
    <row r="1506" spans="4:20" x14ac:dyDescent="0.2">
      <c r="D1506" s="6"/>
      <c r="E1506" s="6"/>
      <c r="F1506" s="6"/>
      <c r="G1506" s="19"/>
      <c r="H1506" s="19"/>
      <c r="I1506" s="19"/>
      <c r="J1506" s="19"/>
      <c r="K1506" s="6"/>
      <c r="L1506" s="6"/>
      <c r="M1506" s="6"/>
      <c r="N1506" s="6"/>
      <c r="O1506" s="6"/>
      <c r="P1506" s="6"/>
      <c r="Q1506" s="6"/>
      <c r="R1506" s="6"/>
      <c r="S1506" s="6"/>
      <c r="T1506" s="6"/>
    </row>
    <row r="1507" spans="4:20" x14ac:dyDescent="0.2">
      <c r="D1507" s="6"/>
      <c r="E1507" s="6"/>
      <c r="F1507" s="6"/>
      <c r="G1507" s="19"/>
      <c r="H1507" s="19"/>
      <c r="I1507" s="19"/>
      <c r="J1507" s="19"/>
      <c r="K1507" s="6"/>
      <c r="L1507" s="6"/>
      <c r="M1507" s="6"/>
      <c r="N1507" s="6"/>
      <c r="O1507" s="6"/>
      <c r="P1507" s="6"/>
      <c r="Q1507" s="6"/>
      <c r="R1507" s="6"/>
      <c r="S1507" s="6"/>
      <c r="T1507" s="6"/>
    </row>
    <row r="1508" spans="4:20" x14ac:dyDescent="0.2">
      <c r="D1508" s="6"/>
      <c r="E1508" s="6"/>
      <c r="F1508" s="6"/>
      <c r="G1508" s="19"/>
      <c r="H1508" s="19"/>
      <c r="I1508" s="19"/>
      <c r="J1508" s="19"/>
      <c r="K1508" s="6"/>
      <c r="L1508" s="6"/>
      <c r="M1508" s="6"/>
      <c r="N1508" s="6"/>
      <c r="O1508" s="6"/>
      <c r="P1508" s="6"/>
      <c r="Q1508" s="6"/>
      <c r="R1508" s="6"/>
      <c r="S1508" s="6"/>
      <c r="T1508" s="6"/>
    </row>
    <row r="1509" spans="4:20" x14ac:dyDescent="0.2">
      <c r="D1509" s="6"/>
      <c r="E1509" s="6"/>
      <c r="F1509" s="6"/>
      <c r="G1509" s="19"/>
      <c r="H1509" s="19"/>
      <c r="I1509" s="19"/>
      <c r="J1509" s="19"/>
      <c r="K1509" s="6"/>
      <c r="L1509" s="6"/>
      <c r="M1509" s="6"/>
      <c r="N1509" s="6"/>
      <c r="O1509" s="6"/>
      <c r="P1509" s="6"/>
      <c r="Q1509" s="6"/>
      <c r="R1509" s="6"/>
      <c r="S1509" s="6"/>
      <c r="T1509" s="6"/>
    </row>
    <row r="1510" spans="4:20" x14ac:dyDescent="0.2">
      <c r="D1510" s="6"/>
      <c r="E1510" s="6"/>
      <c r="F1510" s="6"/>
      <c r="G1510" s="19"/>
      <c r="H1510" s="19"/>
      <c r="I1510" s="19"/>
      <c r="J1510" s="19"/>
      <c r="K1510" s="6"/>
      <c r="L1510" s="6"/>
      <c r="M1510" s="6"/>
      <c r="N1510" s="6"/>
      <c r="O1510" s="6"/>
      <c r="P1510" s="6"/>
      <c r="Q1510" s="6"/>
      <c r="R1510" s="6"/>
      <c r="S1510" s="6"/>
      <c r="T1510" s="6"/>
    </row>
    <row r="1511" spans="4:20" x14ac:dyDescent="0.2">
      <c r="D1511" s="6"/>
      <c r="E1511" s="6"/>
      <c r="F1511" s="6"/>
      <c r="G1511" s="19"/>
      <c r="H1511" s="19"/>
      <c r="I1511" s="19"/>
      <c r="J1511" s="19"/>
      <c r="K1511" s="6"/>
      <c r="L1511" s="6"/>
      <c r="M1511" s="6"/>
      <c r="N1511" s="6"/>
      <c r="O1511" s="6"/>
      <c r="P1511" s="6"/>
      <c r="Q1511" s="6"/>
      <c r="R1511" s="6"/>
      <c r="S1511" s="6"/>
      <c r="T1511" s="6"/>
    </row>
    <row r="1512" spans="4:20" x14ac:dyDescent="0.2">
      <c r="D1512" s="6"/>
      <c r="E1512" s="6"/>
      <c r="F1512" s="6"/>
      <c r="G1512" s="19"/>
      <c r="H1512" s="19"/>
      <c r="I1512" s="19"/>
      <c r="J1512" s="19"/>
      <c r="K1512" s="6"/>
      <c r="L1512" s="6"/>
      <c r="M1512" s="6"/>
      <c r="N1512" s="6"/>
      <c r="O1512" s="6"/>
      <c r="P1512" s="6"/>
      <c r="Q1512" s="6"/>
      <c r="R1512" s="6"/>
      <c r="S1512" s="6"/>
      <c r="T1512" s="6"/>
    </row>
    <row r="1513" spans="4:20" x14ac:dyDescent="0.2">
      <c r="D1513" s="6"/>
      <c r="E1513" s="6"/>
      <c r="F1513" s="6"/>
      <c r="G1513" s="19"/>
      <c r="H1513" s="19"/>
      <c r="I1513" s="19"/>
      <c r="J1513" s="19"/>
      <c r="K1513" s="6"/>
      <c r="L1513" s="6"/>
      <c r="M1513" s="6"/>
      <c r="N1513" s="6"/>
      <c r="O1513" s="6"/>
      <c r="P1513" s="6"/>
      <c r="Q1513" s="6"/>
      <c r="R1513" s="6"/>
      <c r="S1513" s="6"/>
      <c r="T1513" s="6"/>
    </row>
    <row r="1514" spans="4:20" x14ac:dyDescent="0.2">
      <c r="D1514" s="6"/>
      <c r="E1514" s="6"/>
      <c r="F1514" s="6"/>
      <c r="G1514" s="19"/>
      <c r="H1514" s="19"/>
      <c r="I1514" s="19"/>
      <c r="J1514" s="19"/>
      <c r="K1514" s="6"/>
      <c r="L1514" s="6"/>
      <c r="M1514" s="6"/>
      <c r="N1514" s="6"/>
      <c r="O1514" s="6"/>
      <c r="P1514" s="6"/>
      <c r="Q1514" s="6"/>
      <c r="R1514" s="6"/>
      <c r="S1514" s="6"/>
      <c r="T1514" s="6"/>
    </row>
    <row r="1515" spans="4:20" x14ac:dyDescent="0.2">
      <c r="D1515" s="6"/>
      <c r="E1515" s="6"/>
      <c r="F1515" s="6"/>
      <c r="G1515" s="19"/>
      <c r="H1515" s="19"/>
      <c r="I1515" s="19"/>
      <c r="J1515" s="19"/>
      <c r="K1515" s="6"/>
      <c r="L1515" s="6"/>
      <c r="M1515" s="6"/>
      <c r="N1515" s="6"/>
      <c r="O1515" s="6"/>
      <c r="P1515" s="6"/>
      <c r="Q1515" s="6"/>
      <c r="R1515" s="6"/>
      <c r="S1515" s="6"/>
      <c r="T1515" s="6"/>
    </row>
    <row r="1516" spans="4:20" x14ac:dyDescent="0.2">
      <c r="D1516" s="6"/>
      <c r="E1516" s="6"/>
      <c r="F1516" s="6"/>
      <c r="G1516" s="19"/>
      <c r="H1516" s="19"/>
      <c r="I1516" s="19"/>
      <c r="J1516" s="19"/>
      <c r="K1516" s="6"/>
      <c r="L1516" s="6"/>
      <c r="M1516" s="6"/>
      <c r="N1516" s="6"/>
      <c r="O1516" s="6"/>
      <c r="P1516" s="6"/>
      <c r="Q1516" s="6"/>
      <c r="R1516" s="6"/>
      <c r="S1516" s="6"/>
      <c r="T1516" s="6"/>
    </row>
    <row r="1517" spans="4:20" x14ac:dyDescent="0.2">
      <c r="D1517" s="6"/>
      <c r="E1517" s="6"/>
      <c r="F1517" s="6"/>
      <c r="G1517" s="19"/>
      <c r="H1517" s="19"/>
      <c r="I1517" s="19"/>
      <c r="J1517" s="19"/>
      <c r="K1517" s="6"/>
      <c r="L1517" s="6"/>
      <c r="M1517" s="6"/>
      <c r="N1517" s="6"/>
      <c r="O1517" s="6"/>
      <c r="P1517" s="6"/>
      <c r="Q1517" s="6"/>
      <c r="R1517" s="6"/>
      <c r="S1517" s="6"/>
      <c r="T1517" s="6"/>
    </row>
    <row r="1518" spans="4:20" x14ac:dyDescent="0.2">
      <c r="D1518" s="6"/>
      <c r="E1518" s="6"/>
      <c r="F1518" s="6"/>
      <c r="G1518" s="19"/>
      <c r="H1518" s="19"/>
      <c r="I1518" s="19"/>
      <c r="J1518" s="19"/>
      <c r="K1518" s="6"/>
      <c r="L1518" s="6"/>
      <c r="M1518" s="6"/>
      <c r="N1518" s="6"/>
      <c r="O1518" s="6"/>
      <c r="P1518" s="6"/>
      <c r="Q1518" s="6"/>
      <c r="R1518" s="6"/>
      <c r="S1518" s="6"/>
      <c r="T1518" s="6"/>
    </row>
    <row r="1519" spans="4:20" x14ac:dyDescent="0.2">
      <c r="D1519" s="6"/>
      <c r="E1519" s="6"/>
      <c r="F1519" s="6"/>
      <c r="G1519" s="19"/>
      <c r="H1519" s="19"/>
      <c r="I1519" s="19"/>
      <c r="J1519" s="19"/>
      <c r="K1519" s="6"/>
      <c r="L1519" s="6"/>
      <c r="M1519" s="6"/>
      <c r="N1519" s="6"/>
      <c r="O1519" s="6"/>
      <c r="P1519" s="6"/>
      <c r="Q1519" s="6"/>
      <c r="R1519" s="6"/>
      <c r="S1519" s="6"/>
      <c r="T1519" s="6"/>
    </row>
    <row r="1520" spans="4:20" x14ac:dyDescent="0.2">
      <c r="D1520" s="6"/>
      <c r="E1520" s="6"/>
      <c r="F1520" s="6"/>
      <c r="G1520" s="19"/>
      <c r="H1520" s="19"/>
      <c r="I1520" s="19"/>
      <c r="J1520" s="19"/>
      <c r="K1520" s="6"/>
      <c r="L1520" s="6"/>
      <c r="M1520" s="6"/>
      <c r="N1520" s="6"/>
      <c r="O1520" s="6"/>
      <c r="P1520" s="6"/>
      <c r="Q1520" s="6"/>
      <c r="R1520" s="6"/>
      <c r="S1520" s="6"/>
      <c r="T1520" s="6"/>
    </row>
    <row r="1521" spans="4:20" x14ac:dyDescent="0.2">
      <c r="D1521" s="6"/>
      <c r="E1521" s="6"/>
      <c r="F1521" s="6"/>
      <c r="G1521" s="19"/>
      <c r="H1521" s="19"/>
      <c r="I1521" s="19"/>
      <c r="J1521" s="19"/>
      <c r="K1521" s="6"/>
      <c r="L1521" s="6"/>
      <c r="M1521" s="6"/>
      <c r="N1521" s="6"/>
      <c r="O1521" s="6"/>
      <c r="P1521" s="6"/>
      <c r="Q1521" s="6"/>
      <c r="R1521" s="6"/>
      <c r="S1521" s="6"/>
      <c r="T1521" s="6"/>
    </row>
    <row r="1522" spans="4:20" x14ac:dyDescent="0.2">
      <c r="D1522" s="6"/>
      <c r="E1522" s="6"/>
      <c r="F1522" s="6"/>
      <c r="G1522" s="19"/>
      <c r="H1522" s="19"/>
      <c r="I1522" s="19"/>
      <c r="J1522" s="19"/>
      <c r="K1522" s="6"/>
      <c r="L1522" s="6"/>
      <c r="M1522" s="6"/>
      <c r="N1522" s="6"/>
      <c r="O1522" s="6"/>
      <c r="P1522" s="6"/>
      <c r="Q1522" s="6"/>
      <c r="R1522" s="6"/>
      <c r="S1522" s="6"/>
      <c r="T1522" s="6"/>
    </row>
    <row r="1523" spans="4:20" x14ac:dyDescent="0.2">
      <c r="D1523" s="6"/>
      <c r="E1523" s="6"/>
      <c r="F1523" s="6"/>
      <c r="G1523" s="19"/>
      <c r="H1523" s="19"/>
      <c r="I1523" s="19"/>
      <c r="J1523" s="19"/>
      <c r="K1523" s="6"/>
      <c r="L1523" s="6"/>
      <c r="M1523" s="6"/>
      <c r="N1523" s="6"/>
      <c r="O1523" s="6"/>
      <c r="P1523" s="6"/>
      <c r="Q1523" s="6"/>
      <c r="R1523" s="6"/>
      <c r="S1523" s="6"/>
      <c r="T1523" s="6"/>
    </row>
    <row r="1524" spans="4:20" x14ac:dyDescent="0.2">
      <c r="D1524" s="6"/>
      <c r="E1524" s="6"/>
      <c r="F1524" s="6"/>
      <c r="G1524" s="19"/>
      <c r="H1524" s="19"/>
      <c r="I1524" s="19"/>
      <c r="J1524" s="19"/>
      <c r="K1524" s="6"/>
      <c r="L1524" s="6"/>
      <c r="M1524" s="6"/>
      <c r="N1524" s="6"/>
      <c r="O1524" s="6"/>
      <c r="P1524" s="6"/>
      <c r="Q1524" s="6"/>
      <c r="R1524" s="6"/>
      <c r="S1524" s="6"/>
      <c r="T1524" s="6"/>
    </row>
    <row r="1525" spans="4:20" x14ac:dyDescent="0.2">
      <c r="D1525" s="6"/>
      <c r="E1525" s="6"/>
      <c r="F1525" s="6"/>
      <c r="G1525" s="19"/>
      <c r="H1525" s="19"/>
      <c r="I1525" s="19"/>
      <c r="J1525" s="19"/>
      <c r="K1525" s="6"/>
      <c r="L1525" s="6"/>
      <c r="M1525" s="6"/>
      <c r="N1525" s="6"/>
      <c r="O1525" s="6"/>
      <c r="P1525" s="6"/>
      <c r="Q1525" s="6"/>
      <c r="R1525" s="6"/>
      <c r="S1525" s="6"/>
      <c r="T1525" s="6"/>
    </row>
    <row r="1526" spans="4:20" x14ac:dyDescent="0.2">
      <c r="D1526" s="6"/>
      <c r="E1526" s="6"/>
      <c r="F1526" s="6"/>
      <c r="G1526" s="19"/>
      <c r="H1526" s="19"/>
      <c r="I1526" s="19"/>
      <c r="J1526" s="19"/>
      <c r="K1526" s="6"/>
      <c r="L1526" s="6"/>
      <c r="M1526" s="6"/>
      <c r="N1526" s="6"/>
      <c r="O1526" s="6"/>
      <c r="P1526" s="6"/>
      <c r="Q1526" s="6"/>
      <c r="R1526" s="6"/>
      <c r="S1526" s="6"/>
      <c r="T1526" s="6"/>
    </row>
    <row r="1527" spans="4:20" x14ac:dyDescent="0.2">
      <c r="D1527" s="6"/>
      <c r="E1527" s="6"/>
      <c r="F1527" s="6"/>
      <c r="G1527" s="19"/>
      <c r="H1527" s="19"/>
      <c r="I1527" s="19"/>
      <c r="J1527" s="19"/>
      <c r="K1527" s="6"/>
      <c r="L1527" s="6"/>
      <c r="M1527" s="6"/>
      <c r="N1527" s="6"/>
      <c r="O1527" s="6"/>
      <c r="P1527" s="6"/>
      <c r="Q1527" s="6"/>
      <c r="R1527" s="6"/>
      <c r="S1527" s="6"/>
      <c r="T1527" s="6"/>
    </row>
    <row r="1528" spans="4:20" x14ac:dyDescent="0.2">
      <c r="D1528" s="6"/>
      <c r="E1528" s="6"/>
      <c r="F1528" s="6"/>
      <c r="G1528" s="19"/>
      <c r="H1528" s="19"/>
      <c r="I1528" s="19"/>
      <c r="J1528" s="19"/>
      <c r="K1528" s="6"/>
      <c r="L1528" s="6"/>
      <c r="M1528" s="6"/>
      <c r="N1528" s="6"/>
      <c r="O1528" s="6"/>
      <c r="P1528" s="6"/>
      <c r="Q1528" s="6"/>
      <c r="R1528" s="6"/>
      <c r="S1528" s="6"/>
      <c r="T1528" s="6"/>
    </row>
    <row r="1529" spans="4:20" x14ac:dyDescent="0.2">
      <c r="D1529" s="6"/>
      <c r="E1529" s="6"/>
      <c r="F1529" s="6"/>
      <c r="G1529" s="19"/>
      <c r="H1529" s="19"/>
      <c r="I1529" s="19"/>
      <c r="J1529" s="19"/>
      <c r="K1529" s="6"/>
      <c r="L1529" s="6"/>
      <c r="M1529" s="6"/>
      <c r="N1529" s="6"/>
      <c r="O1529" s="6"/>
      <c r="P1529" s="6"/>
      <c r="Q1529" s="6"/>
      <c r="R1529" s="6"/>
      <c r="S1529" s="6"/>
      <c r="T1529" s="6"/>
    </row>
    <row r="1530" spans="4:20" x14ac:dyDescent="0.2">
      <c r="D1530" s="6"/>
      <c r="E1530" s="6"/>
      <c r="F1530" s="6"/>
      <c r="G1530" s="19"/>
      <c r="H1530" s="19"/>
      <c r="I1530" s="19"/>
      <c r="J1530" s="19"/>
      <c r="K1530" s="6"/>
      <c r="L1530" s="6"/>
      <c r="M1530" s="6"/>
      <c r="N1530" s="6"/>
      <c r="O1530" s="6"/>
      <c r="P1530" s="6"/>
      <c r="Q1530" s="6"/>
      <c r="R1530" s="6"/>
      <c r="S1530" s="6"/>
      <c r="T1530" s="6"/>
    </row>
    <row r="1531" spans="4:20" x14ac:dyDescent="0.2">
      <c r="D1531" s="6"/>
      <c r="E1531" s="6"/>
      <c r="F1531" s="6"/>
      <c r="G1531" s="19"/>
      <c r="H1531" s="19"/>
      <c r="I1531" s="19"/>
      <c r="J1531" s="19"/>
      <c r="K1531" s="6"/>
      <c r="L1531" s="6"/>
      <c r="M1531" s="6"/>
      <c r="N1531" s="6"/>
      <c r="O1531" s="6"/>
      <c r="P1531" s="6"/>
      <c r="Q1531" s="6"/>
      <c r="R1531" s="6"/>
      <c r="S1531" s="6"/>
      <c r="T1531" s="6"/>
    </row>
    <row r="1532" spans="4:20" x14ac:dyDescent="0.2">
      <c r="D1532" s="6"/>
      <c r="E1532" s="6"/>
      <c r="F1532" s="6"/>
      <c r="G1532" s="19"/>
      <c r="H1532" s="19"/>
      <c r="I1532" s="19"/>
      <c r="J1532" s="19"/>
      <c r="K1532" s="6"/>
      <c r="L1532" s="6"/>
      <c r="M1532" s="6"/>
      <c r="N1532" s="6"/>
      <c r="O1532" s="6"/>
      <c r="P1532" s="6"/>
      <c r="Q1532" s="6"/>
      <c r="R1532" s="6"/>
      <c r="S1532" s="6"/>
      <c r="T1532" s="6"/>
    </row>
    <row r="1533" spans="4:20" x14ac:dyDescent="0.2">
      <c r="D1533" s="6"/>
      <c r="E1533" s="6"/>
      <c r="F1533" s="6"/>
      <c r="G1533" s="19"/>
      <c r="H1533" s="19"/>
      <c r="I1533" s="19"/>
      <c r="J1533" s="19"/>
      <c r="K1533" s="6"/>
      <c r="L1533" s="6"/>
      <c r="M1533" s="6"/>
      <c r="N1533" s="6"/>
      <c r="O1533" s="6"/>
      <c r="P1533" s="6"/>
      <c r="Q1533" s="6"/>
      <c r="R1533" s="6"/>
      <c r="S1533" s="6"/>
      <c r="T1533" s="6"/>
    </row>
    <row r="1534" spans="4:20" x14ac:dyDescent="0.2">
      <c r="D1534" s="6"/>
      <c r="E1534" s="6"/>
      <c r="F1534" s="6"/>
      <c r="G1534" s="19"/>
      <c r="H1534" s="19"/>
      <c r="I1534" s="19"/>
      <c r="J1534" s="19"/>
      <c r="K1534" s="6"/>
      <c r="L1534" s="6"/>
      <c r="M1534" s="6"/>
      <c r="N1534" s="6"/>
      <c r="O1534" s="6"/>
      <c r="P1534" s="6"/>
      <c r="Q1534" s="6"/>
      <c r="R1534" s="6"/>
      <c r="S1534" s="6"/>
      <c r="T1534" s="6"/>
    </row>
    <row r="1535" spans="4:20" x14ac:dyDescent="0.2">
      <c r="D1535" s="6"/>
      <c r="E1535" s="6"/>
      <c r="F1535" s="6"/>
      <c r="G1535" s="19"/>
      <c r="H1535" s="19"/>
      <c r="I1535" s="19"/>
      <c r="J1535" s="19"/>
      <c r="K1535" s="6"/>
      <c r="L1535" s="6"/>
      <c r="M1535" s="6"/>
      <c r="N1535" s="6"/>
      <c r="O1535" s="6"/>
      <c r="P1535" s="6"/>
      <c r="Q1535" s="6"/>
      <c r="R1535" s="6"/>
      <c r="S1535" s="6"/>
      <c r="T1535" s="6"/>
    </row>
    <row r="1536" spans="4:20" x14ac:dyDescent="0.2">
      <c r="D1536" s="6"/>
      <c r="E1536" s="6"/>
      <c r="F1536" s="6"/>
      <c r="G1536" s="19"/>
      <c r="H1536" s="19"/>
      <c r="I1536" s="19"/>
      <c r="J1536" s="19"/>
      <c r="K1536" s="6"/>
      <c r="L1536" s="6"/>
      <c r="M1536" s="6"/>
      <c r="N1536" s="6"/>
      <c r="O1536" s="6"/>
      <c r="P1536" s="6"/>
      <c r="Q1536" s="6"/>
      <c r="R1536" s="6"/>
      <c r="S1536" s="6"/>
      <c r="T1536" s="6"/>
    </row>
    <row r="1537" spans="4:20" x14ac:dyDescent="0.2">
      <c r="D1537" s="6"/>
      <c r="E1537" s="6"/>
      <c r="F1537" s="6"/>
      <c r="G1537" s="19"/>
      <c r="H1537" s="19"/>
      <c r="I1537" s="19"/>
      <c r="J1537" s="19"/>
      <c r="K1537" s="6"/>
      <c r="L1537" s="6"/>
      <c r="M1537" s="6"/>
      <c r="N1537" s="6"/>
      <c r="O1537" s="6"/>
      <c r="P1537" s="6"/>
      <c r="Q1537" s="6"/>
      <c r="R1537" s="6"/>
      <c r="S1537" s="6"/>
      <c r="T1537" s="6"/>
    </row>
    <row r="1538" spans="4:20" x14ac:dyDescent="0.2">
      <c r="D1538" s="6"/>
      <c r="E1538" s="6"/>
      <c r="F1538" s="6"/>
      <c r="G1538" s="19"/>
      <c r="H1538" s="19"/>
      <c r="I1538" s="19"/>
      <c r="J1538" s="19"/>
      <c r="K1538" s="6"/>
      <c r="L1538" s="6"/>
      <c r="M1538" s="6"/>
      <c r="N1538" s="6"/>
      <c r="O1538" s="6"/>
      <c r="P1538" s="6"/>
      <c r="Q1538" s="6"/>
      <c r="R1538" s="6"/>
      <c r="S1538" s="6"/>
      <c r="T1538" s="6"/>
    </row>
    <row r="1539" spans="4:20" x14ac:dyDescent="0.2">
      <c r="D1539" s="6"/>
      <c r="E1539" s="6"/>
      <c r="F1539" s="6"/>
      <c r="G1539" s="19"/>
      <c r="H1539" s="19"/>
      <c r="I1539" s="19"/>
      <c r="J1539" s="19"/>
      <c r="K1539" s="6"/>
      <c r="L1539" s="6"/>
      <c r="M1539" s="6"/>
      <c r="N1539" s="6"/>
      <c r="O1539" s="6"/>
      <c r="P1539" s="6"/>
      <c r="Q1539" s="6"/>
      <c r="R1539" s="6"/>
      <c r="S1539" s="6"/>
      <c r="T1539" s="6"/>
    </row>
    <row r="1540" spans="4:20" x14ac:dyDescent="0.2">
      <c r="D1540" s="6"/>
      <c r="E1540" s="6"/>
      <c r="F1540" s="6"/>
      <c r="G1540" s="19"/>
      <c r="H1540" s="19"/>
      <c r="I1540" s="19"/>
      <c r="J1540" s="19"/>
      <c r="K1540" s="6"/>
      <c r="L1540" s="6"/>
      <c r="M1540" s="6"/>
      <c r="N1540" s="6"/>
      <c r="O1540" s="6"/>
      <c r="P1540" s="6"/>
      <c r="Q1540" s="6"/>
      <c r="R1540" s="6"/>
      <c r="S1540" s="6"/>
      <c r="T1540" s="6"/>
    </row>
    <row r="1541" spans="4:20" x14ac:dyDescent="0.2">
      <c r="D1541" s="6"/>
      <c r="E1541" s="6"/>
      <c r="F1541" s="6"/>
      <c r="G1541" s="19"/>
      <c r="H1541" s="19"/>
      <c r="I1541" s="19"/>
      <c r="J1541" s="19"/>
      <c r="K1541" s="6"/>
      <c r="L1541" s="6"/>
      <c r="M1541" s="6"/>
      <c r="N1541" s="6"/>
      <c r="O1541" s="6"/>
      <c r="P1541" s="6"/>
      <c r="Q1541" s="6"/>
      <c r="R1541" s="6"/>
      <c r="S1541" s="6"/>
      <c r="T1541" s="6"/>
    </row>
    <row r="1542" spans="4:20" x14ac:dyDescent="0.2">
      <c r="D1542" s="6"/>
      <c r="E1542" s="6"/>
      <c r="F1542" s="6"/>
      <c r="G1542" s="19"/>
      <c r="H1542" s="19"/>
      <c r="I1542" s="19"/>
      <c r="J1542" s="19"/>
      <c r="K1542" s="6"/>
      <c r="L1542" s="6"/>
      <c r="M1542" s="6"/>
      <c r="N1542" s="6"/>
      <c r="O1542" s="6"/>
      <c r="P1542" s="6"/>
      <c r="Q1542" s="6"/>
      <c r="R1542" s="6"/>
      <c r="S1542" s="6"/>
      <c r="T1542" s="6"/>
    </row>
    <row r="1543" spans="4:20" x14ac:dyDescent="0.2">
      <c r="D1543" s="6"/>
      <c r="E1543" s="6"/>
      <c r="F1543" s="6"/>
      <c r="G1543" s="19"/>
      <c r="H1543" s="19"/>
      <c r="I1543" s="19"/>
      <c r="J1543" s="19"/>
      <c r="K1543" s="6"/>
      <c r="L1543" s="6"/>
      <c r="M1543" s="6"/>
      <c r="N1543" s="6"/>
      <c r="O1543" s="6"/>
      <c r="P1543" s="6"/>
      <c r="Q1543" s="6"/>
      <c r="R1543" s="6"/>
      <c r="S1543" s="6"/>
      <c r="T1543" s="6"/>
    </row>
    <row r="1544" spans="4:20" x14ac:dyDescent="0.2">
      <c r="D1544" s="6"/>
      <c r="E1544" s="6"/>
      <c r="F1544" s="6"/>
      <c r="G1544" s="19"/>
      <c r="H1544" s="19"/>
      <c r="I1544" s="19"/>
      <c r="J1544" s="19"/>
      <c r="K1544" s="6"/>
      <c r="L1544" s="6"/>
      <c r="M1544" s="6"/>
      <c r="N1544" s="6"/>
      <c r="O1544" s="6"/>
      <c r="P1544" s="6"/>
      <c r="Q1544" s="6"/>
      <c r="R1544" s="6"/>
      <c r="S1544" s="6"/>
      <c r="T1544" s="6"/>
    </row>
    <row r="1545" spans="4:20" x14ac:dyDescent="0.2">
      <c r="D1545" s="6"/>
      <c r="E1545" s="6"/>
      <c r="F1545" s="6"/>
      <c r="G1545" s="19"/>
      <c r="H1545" s="19"/>
      <c r="I1545" s="19"/>
      <c r="J1545" s="19"/>
      <c r="K1545" s="6"/>
      <c r="L1545" s="6"/>
      <c r="M1545" s="6"/>
      <c r="N1545" s="6"/>
      <c r="O1545" s="6"/>
      <c r="P1545" s="6"/>
      <c r="Q1545" s="6"/>
      <c r="R1545" s="6"/>
      <c r="S1545" s="6"/>
      <c r="T1545" s="6"/>
    </row>
    <row r="1546" spans="4:20" x14ac:dyDescent="0.2">
      <c r="D1546" s="6"/>
      <c r="E1546" s="6"/>
      <c r="F1546" s="6"/>
      <c r="G1546" s="19"/>
      <c r="H1546" s="19"/>
      <c r="I1546" s="19"/>
      <c r="J1546" s="19"/>
      <c r="K1546" s="6"/>
      <c r="L1546" s="6"/>
      <c r="M1546" s="6"/>
      <c r="N1546" s="6"/>
      <c r="O1546" s="6"/>
      <c r="P1546" s="6"/>
      <c r="Q1546" s="6"/>
      <c r="R1546" s="6"/>
      <c r="S1546" s="6"/>
      <c r="T1546" s="6"/>
    </row>
    <row r="1547" spans="4:20" x14ac:dyDescent="0.2">
      <c r="D1547" s="6"/>
      <c r="E1547" s="6"/>
      <c r="F1547" s="6"/>
      <c r="G1547" s="19"/>
      <c r="H1547" s="19"/>
      <c r="I1547" s="19"/>
      <c r="J1547" s="19"/>
      <c r="K1547" s="6"/>
      <c r="L1547" s="6"/>
      <c r="M1547" s="6"/>
      <c r="N1547" s="6"/>
      <c r="O1547" s="6"/>
      <c r="P1547" s="6"/>
      <c r="Q1547" s="6"/>
      <c r="R1547" s="6"/>
      <c r="S1547" s="6"/>
      <c r="T1547" s="6"/>
    </row>
    <row r="1548" spans="4:20" x14ac:dyDescent="0.2">
      <c r="D1548" s="6"/>
      <c r="E1548" s="6"/>
      <c r="F1548" s="6"/>
      <c r="G1548" s="19"/>
      <c r="H1548" s="19"/>
      <c r="I1548" s="19"/>
      <c r="J1548" s="19"/>
      <c r="K1548" s="6"/>
      <c r="L1548" s="6"/>
      <c r="M1548" s="6"/>
      <c r="N1548" s="6"/>
      <c r="O1548" s="6"/>
      <c r="P1548" s="6"/>
      <c r="Q1548" s="6"/>
      <c r="R1548" s="6"/>
      <c r="S1548" s="6"/>
      <c r="T1548" s="6"/>
    </row>
    <row r="1549" spans="4:20" x14ac:dyDescent="0.2">
      <c r="D1549" s="6"/>
      <c r="E1549" s="6"/>
      <c r="F1549" s="6"/>
      <c r="G1549" s="19"/>
      <c r="H1549" s="19"/>
      <c r="I1549" s="19"/>
      <c r="J1549" s="19"/>
      <c r="K1549" s="6"/>
      <c r="L1549" s="6"/>
      <c r="M1549" s="6"/>
      <c r="N1549" s="6"/>
      <c r="O1549" s="6"/>
      <c r="P1549" s="6"/>
      <c r="Q1549" s="6"/>
      <c r="R1549" s="6"/>
      <c r="S1549" s="6"/>
      <c r="T1549" s="6"/>
    </row>
    <row r="1550" spans="4:20" x14ac:dyDescent="0.2">
      <c r="D1550" s="6"/>
      <c r="E1550" s="6"/>
      <c r="F1550" s="6"/>
      <c r="G1550" s="19"/>
      <c r="H1550" s="19"/>
      <c r="I1550" s="19"/>
      <c r="J1550" s="19"/>
      <c r="K1550" s="6"/>
      <c r="L1550" s="6"/>
      <c r="M1550" s="6"/>
      <c r="N1550" s="6"/>
      <c r="O1550" s="6"/>
      <c r="P1550" s="6"/>
      <c r="Q1550" s="6"/>
      <c r="R1550" s="6"/>
      <c r="S1550" s="6"/>
      <c r="T1550" s="6"/>
    </row>
    <row r="1551" spans="4:20" x14ac:dyDescent="0.2">
      <c r="D1551" s="6"/>
      <c r="E1551" s="6"/>
      <c r="F1551" s="6"/>
      <c r="G1551" s="19"/>
      <c r="H1551" s="19"/>
      <c r="I1551" s="19"/>
      <c r="J1551" s="19"/>
      <c r="K1551" s="6"/>
      <c r="L1551" s="6"/>
      <c r="M1551" s="6"/>
      <c r="N1551" s="6"/>
      <c r="O1551" s="6"/>
      <c r="P1551" s="6"/>
      <c r="Q1551" s="6"/>
      <c r="R1551" s="6"/>
      <c r="S1551" s="6"/>
      <c r="T1551" s="6"/>
    </row>
    <row r="1552" spans="4:20" x14ac:dyDescent="0.2">
      <c r="D1552" s="6"/>
      <c r="E1552" s="6"/>
      <c r="F1552" s="6"/>
      <c r="G1552" s="19"/>
      <c r="H1552" s="19"/>
      <c r="I1552" s="19"/>
      <c r="J1552" s="19"/>
      <c r="K1552" s="6"/>
      <c r="L1552" s="6"/>
      <c r="M1552" s="6"/>
      <c r="N1552" s="6"/>
      <c r="O1552" s="6"/>
      <c r="P1552" s="6"/>
      <c r="Q1552" s="6"/>
      <c r="R1552" s="6"/>
      <c r="S1552" s="6"/>
      <c r="T1552" s="6"/>
    </row>
    <row r="1553" spans="4:20" x14ac:dyDescent="0.2">
      <c r="D1553" s="6"/>
      <c r="E1553" s="6"/>
      <c r="F1553" s="6"/>
      <c r="G1553" s="19"/>
      <c r="H1553" s="19"/>
      <c r="I1553" s="19"/>
      <c r="J1553" s="19"/>
      <c r="K1553" s="6"/>
      <c r="L1553" s="6"/>
      <c r="M1553" s="6"/>
      <c r="N1553" s="6"/>
      <c r="O1553" s="6"/>
      <c r="P1553" s="6"/>
      <c r="Q1553" s="6"/>
      <c r="R1553" s="6"/>
      <c r="S1553" s="6"/>
      <c r="T1553" s="6"/>
    </row>
    <row r="1554" spans="4:20" x14ac:dyDescent="0.2">
      <c r="D1554" s="6"/>
      <c r="E1554" s="6"/>
      <c r="F1554" s="6"/>
      <c r="G1554" s="19"/>
      <c r="H1554" s="19"/>
      <c r="I1554" s="19"/>
      <c r="J1554" s="19"/>
      <c r="K1554" s="6"/>
      <c r="L1554" s="6"/>
      <c r="M1554" s="6"/>
      <c r="N1554" s="6"/>
      <c r="O1554" s="6"/>
      <c r="P1554" s="6"/>
      <c r="Q1554" s="6"/>
      <c r="R1554" s="6"/>
      <c r="S1554" s="6"/>
      <c r="T1554" s="6"/>
    </row>
    <row r="1555" spans="4:20" x14ac:dyDescent="0.2">
      <c r="D1555" s="6"/>
      <c r="E1555" s="6"/>
      <c r="F1555" s="6"/>
      <c r="G1555" s="19"/>
      <c r="H1555" s="19"/>
      <c r="I1555" s="19"/>
      <c r="J1555" s="19"/>
      <c r="K1555" s="6"/>
      <c r="L1555" s="6"/>
      <c r="M1555" s="6"/>
      <c r="N1555" s="6"/>
      <c r="O1555" s="6"/>
      <c r="P1555" s="6"/>
      <c r="Q1555" s="6"/>
      <c r="R1555" s="6"/>
      <c r="S1555" s="6"/>
      <c r="T1555" s="6"/>
    </row>
    <row r="1556" spans="4:20" x14ac:dyDescent="0.2">
      <c r="D1556" s="6"/>
      <c r="E1556" s="6"/>
      <c r="F1556" s="6"/>
      <c r="G1556" s="19"/>
      <c r="H1556" s="19"/>
      <c r="I1556" s="19"/>
      <c r="J1556" s="19"/>
      <c r="K1556" s="6"/>
      <c r="L1556" s="6"/>
      <c r="M1556" s="6"/>
      <c r="N1556" s="6"/>
      <c r="O1556" s="6"/>
      <c r="P1556" s="6"/>
      <c r="Q1556" s="6"/>
      <c r="R1556" s="6"/>
      <c r="S1556" s="6"/>
      <c r="T1556" s="6"/>
    </row>
    <row r="1557" spans="4:20" x14ac:dyDescent="0.2">
      <c r="D1557" s="6"/>
      <c r="E1557" s="6"/>
      <c r="F1557" s="6"/>
      <c r="G1557" s="19"/>
      <c r="H1557" s="19"/>
      <c r="I1557" s="19"/>
      <c r="J1557" s="19"/>
      <c r="K1557" s="6"/>
      <c r="L1557" s="6"/>
      <c r="M1557" s="6"/>
      <c r="N1557" s="6"/>
      <c r="O1557" s="6"/>
      <c r="P1557" s="6"/>
      <c r="Q1557" s="6"/>
      <c r="R1557" s="6"/>
      <c r="S1557" s="6"/>
      <c r="T1557" s="6"/>
    </row>
    <row r="1558" spans="4:20" x14ac:dyDescent="0.2">
      <c r="D1558" s="6"/>
      <c r="E1558" s="6"/>
      <c r="F1558" s="6"/>
      <c r="G1558" s="19"/>
      <c r="H1558" s="19"/>
      <c r="I1558" s="19"/>
      <c r="J1558" s="19"/>
      <c r="K1558" s="6"/>
      <c r="L1558" s="6"/>
      <c r="M1558" s="6"/>
      <c r="N1558" s="6"/>
      <c r="O1558" s="6"/>
      <c r="P1558" s="6"/>
      <c r="Q1558" s="6"/>
      <c r="R1558" s="6"/>
      <c r="S1558" s="6"/>
      <c r="T1558" s="6"/>
    </row>
    <row r="1559" spans="4:20" x14ac:dyDescent="0.2">
      <c r="D1559" s="6"/>
      <c r="E1559" s="6"/>
      <c r="F1559" s="6"/>
      <c r="G1559" s="19"/>
      <c r="H1559" s="19"/>
      <c r="I1559" s="19"/>
      <c r="J1559" s="19"/>
      <c r="K1559" s="6"/>
      <c r="L1559" s="6"/>
      <c r="M1559" s="6"/>
      <c r="N1559" s="6"/>
      <c r="O1559" s="6"/>
      <c r="P1559" s="6"/>
      <c r="Q1559" s="6"/>
      <c r="R1559" s="6"/>
      <c r="S1559" s="6"/>
      <c r="T1559" s="6"/>
    </row>
    <row r="1560" spans="4:20" x14ac:dyDescent="0.2">
      <c r="D1560" s="6"/>
      <c r="E1560" s="6"/>
      <c r="F1560" s="6"/>
      <c r="G1560" s="19"/>
      <c r="H1560" s="19"/>
      <c r="I1560" s="19"/>
      <c r="J1560" s="19"/>
      <c r="K1560" s="6"/>
      <c r="L1560" s="6"/>
      <c r="M1560" s="6"/>
      <c r="N1560" s="6"/>
      <c r="O1560" s="6"/>
      <c r="P1560" s="6"/>
      <c r="Q1560" s="6"/>
      <c r="R1560" s="6"/>
      <c r="S1560" s="6"/>
      <c r="T1560" s="6"/>
    </row>
    <row r="1561" spans="4:20" x14ac:dyDescent="0.2">
      <c r="D1561" s="6"/>
      <c r="E1561" s="6"/>
      <c r="F1561" s="6"/>
      <c r="G1561" s="19"/>
      <c r="H1561" s="19"/>
      <c r="I1561" s="19"/>
      <c r="J1561" s="19"/>
      <c r="K1561" s="6"/>
      <c r="L1561" s="6"/>
      <c r="M1561" s="6"/>
      <c r="N1561" s="6"/>
      <c r="O1561" s="6"/>
      <c r="P1561" s="6"/>
      <c r="Q1561" s="6"/>
      <c r="R1561" s="6"/>
      <c r="S1561" s="6"/>
      <c r="T1561" s="6"/>
    </row>
    <row r="1562" spans="4:20" x14ac:dyDescent="0.2">
      <c r="D1562" s="6"/>
      <c r="E1562" s="6"/>
      <c r="F1562" s="6"/>
      <c r="G1562" s="19"/>
      <c r="H1562" s="19"/>
      <c r="I1562" s="19"/>
      <c r="J1562" s="19"/>
      <c r="K1562" s="6"/>
      <c r="L1562" s="6"/>
      <c r="M1562" s="6"/>
      <c r="N1562" s="6"/>
      <c r="O1562" s="6"/>
      <c r="P1562" s="6"/>
      <c r="Q1562" s="6"/>
      <c r="R1562" s="6"/>
      <c r="S1562" s="6"/>
      <c r="T1562" s="6"/>
    </row>
    <row r="1563" spans="4:20" x14ac:dyDescent="0.2">
      <c r="D1563" s="6"/>
      <c r="E1563" s="6"/>
      <c r="F1563" s="6"/>
      <c r="G1563" s="19"/>
      <c r="H1563" s="19"/>
      <c r="I1563" s="19"/>
      <c r="J1563" s="19"/>
      <c r="K1563" s="6"/>
      <c r="L1563" s="6"/>
      <c r="M1563" s="6"/>
      <c r="N1563" s="6"/>
      <c r="O1563" s="6"/>
      <c r="P1563" s="6"/>
      <c r="Q1563" s="6"/>
      <c r="R1563" s="6"/>
      <c r="S1563" s="6"/>
      <c r="T1563" s="6"/>
    </row>
    <row r="1564" spans="4:20" x14ac:dyDescent="0.2">
      <c r="D1564" s="6"/>
      <c r="E1564" s="6"/>
      <c r="F1564" s="6"/>
      <c r="G1564" s="19"/>
      <c r="H1564" s="19"/>
      <c r="I1564" s="19"/>
      <c r="J1564" s="19"/>
      <c r="K1564" s="6"/>
      <c r="L1564" s="6"/>
      <c r="M1564" s="6"/>
      <c r="N1564" s="6"/>
      <c r="O1564" s="6"/>
      <c r="P1564" s="6"/>
      <c r="Q1564" s="6"/>
      <c r="R1564" s="6"/>
      <c r="S1564" s="6"/>
      <c r="T1564" s="6"/>
    </row>
    <row r="1565" spans="4:20" x14ac:dyDescent="0.2">
      <c r="D1565" s="6"/>
      <c r="E1565" s="6"/>
      <c r="F1565" s="6"/>
      <c r="G1565" s="19"/>
      <c r="H1565" s="19"/>
      <c r="I1565" s="19"/>
      <c r="J1565" s="19"/>
      <c r="K1565" s="6"/>
      <c r="L1565" s="6"/>
      <c r="M1565" s="6"/>
      <c r="N1565" s="6"/>
      <c r="O1565" s="6"/>
      <c r="P1565" s="6"/>
      <c r="Q1565" s="6"/>
      <c r="R1565" s="6"/>
      <c r="S1565" s="6"/>
      <c r="T1565" s="6"/>
    </row>
    <row r="1566" spans="4:20" x14ac:dyDescent="0.2">
      <c r="D1566" s="6"/>
      <c r="E1566" s="6"/>
      <c r="F1566" s="6"/>
      <c r="G1566" s="19"/>
      <c r="H1566" s="19"/>
      <c r="I1566" s="19"/>
      <c r="J1566" s="19"/>
      <c r="K1566" s="6"/>
      <c r="L1566" s="6"/>
      <c r="M1566" s="6"/>
      <c r="N1566" s="6"/>
      <c r="O1566" s="6"/>
      <c r="P1566" s="6"/>
      <c r="Q1566" s="6"/>
      <c r="R1566" s="6"/>
      <c r="S1566" s="6"/>
      <c r="T1566" s="6"/>
    </row>
    <row r="1567" spans="4:20" x14ac:dyDescent="0.2">
      <c r="D1567" s="6"/>
      <c r="E1567" s="6"/>
      <c r="F1567" s="6"/>
      <c r="G1567" s="19"/>
      <c r="H1567" s="19"/>
      <c r="I1567" s="19"/>
      <c r="J1567" s="19"/>
      <c r="K1567" s="6"/>
      <c r="L1567" s="6"/>
      <c r="M1567" s="6"/>
      <c r="N1567" s="6"/>
      <c r="O1567" s="6"/>
      <c r="P1567" s="6"/>
      <c r="Q1567" s="6"/>
      <c r="R1567" s="6"/>
      <c r="S1567" s="6"/>
      <c r="T1567" s="6"/>
    </row>
    <row r="1568" spans="4:20" x14ac:dyDescent="0.2">
      <c r="D1568" s="6"/>
      <c r="E1568" s="6"/>
      <c r="F1568" s="6"/>
      <c r="G1568" s="19"/>
      <c r="H1568" s="19"/>
      <c r="I1568" s="19"/>
      <c r="J1568" s="19"/>
      <c r="K1568" s="6"/>
      <c r="L1568" s="6"/>
      <c r="M1568" s="6"/>
      <c r="N1568" s="6"/>
      <c r="O1568" s="6"/>
      <c r="P1568" s="6"/>
      <c r="Q1568" s="6"/>
      <c r="R1568" s="6"/>
      <c r="S1568" s="6"/>
      <c r="T1568" s="6"/>
    </row>
    <row r="1569" spans="4:20" x14ac:dyDescent="0.2">
      <c r="D1569" s="6"/>
      <c r="E1569" s="6"/>
      <c r="F1569" s="6"/>
      <c r="G1569" s="19"/>
      <c r="H1569" s="19"/>
      <c r="I1569" s="19"/>
      <c r="J1569" s="19"/>
      <c r="K1569" s="6"/>
      <c r="L1569" s="6"/>
      <c r="M1569" s="6"/>
      <c r="N1569" s="6"/>
      <c r="O1569" s="6"/>
      <c r="P1569" s="6"/>
      <c r="Q1569" s="6"/>
      <c r="R1569" s="6"/>
      <c r="S1569" s="6"/>
      <c r="T1569" s="6"/>
    </row>
    <row r="1570" spans="4:20" x14ac:dyDescent="0.2">
      <c r="D1570" s="6"/>
      <c r="E1570" s="6"/>
      <c r="F1570" s="6"/>
      <c r="G1570" s="19"/>
      <c r="H1570" s="19"/>
      <c r="I1570" s="19"/>
      <c r="J1570" s="19"/>
      <c r="K1570" s="6"/>
      <c r="L1570" s="6"/>
      <c r="M1570" s="6"/>
      <c r="N1570" s="6"/>
      <c r="O1570" s="6"/>
      <c r="P1570" s="6"/>
      <c r="Q1570" s="6"/>
      <c r="R1570" s="6"/>
      <c r="S1570" s="6"/>
      <c r="T1570" s="6"/>
    </row>
    <row r="1571" spans="4:20" x14ac:dyDescent="0.2">
      <c r="D1571" s="6"/>
      <c r="E1571" s="6"/>
      <c r="F1571" s="6"/>
      <c r="G1571" s="19"/>
      <c r="H1571" s="19"/>
      <c r="I1571" s="19"/>
      <c r="J1571" s="19"/>
      <c r="K1571" s="6"/>
      <c r="L1571" s="6"/>
      <c r="M1571" s="6"/>
      <c r="N1571" s="6"/>
      <c r="O1571" s="6"/>
      <c r="P1571" s="6"/>
      <c r="Q1571" s="6"/>
      <c r="R1571" s="6"/>
      <c r="S1571" s="6"/>
      <c r="T1571" s="6"/>
    </row>
    <row r="1572" spans="4:20" x14ac:dyDescent="0.2">
      <c r="D1572" s="6"/>
      <c r="E1572" s="6"/>
      <c r="F1572" s="6"/>
      <c r="G1572" s="19"/>
      <c r="H1572" s="19"/>
      <c r="I1572" s="19"/>
      <c r="J1572" s="19"/>
      <c r="K1572" s="6"/>
      <c r="L1572" s="6"/>
      <c r="M1572" s="6"/>
      <c r="N1572" s="6"/>
      <c r="O1572" s="6"/>
      <c r="P1572" s="6"/>
      <c r="Q1572" s="6"/>
      <c r="R1572" s="6"/>
      <c r="S1572" s="6"/>
      <c r="T1572" s="6"/>
    </row>
    <row r="1573" spans="4:20" x14ac:dyDescent="0.2">
      <c r="D1573" s="6"/>
      <c r="E1573" s="6"/>
      <c r="F1573" s="6"/>
      <c r="G1573" s="19"/>
      <c r="H1573" s="19"/>
      <c r="I1573" s="19"/>
      <c r="J1573" s="19"/>
      <c r="K1573" s="6"/>
      <c r="L1573" s="6"/>
      <c r="M1573" s="6"/>
      <c r="N1573" s="6"/>
      <c r="O1573" s="6"/>
      <c r="P1573" s="6"/>
      <c r="Q1573" s="6"/>
      <c r="R1573" s="6"/>
      <c r="S1573" s="6"/>
      <c r="T1573" s="6"/>
    </row>
    <row r="1574" spans="4:20" x14ac:dyDescent="0.2">
      <c r="D1574" s="6"/>
      <c r="E1574" s="6"/>
      <c r="F1574" s="6"/>
      <c r="G1574" s="19"/>
      <c r="H1574" s="19"/>
      <c r="I1574" s="19"/>
      <c r="J1574" s="19"/>
      <c r="K1574" s="6"/>
      <c r="L1574" s="6"/>
      <c r="M1574" s="6"/>
      <c r="N1574" s="6"/>
      <c r="O1574" s="6"/>
      <c r="P1574" s="6"/>
      <c r="Q1574" s="6"/>
      <c r="R1574" s="6"/>
      <c r="S1574" s="6"/>
      <c r="T1574" s="6"/>
    </row>
    <row r="1575" spans="4:20" x14ac:dyDescent="0.2">
      <c r="D1575" s="6"/>
      <c r="E1575" s="6"/>
      <c r="F1575" s="6"/>
      <c r="G1575" s="19"/>
      <c r="H1575" s="19"/>
      <c r="I1575" s="19"/>
      <c r="J1575" s="19"/>
      <c r="K1575" s="6"/>
      <c r="L1575" s="6"/>
      <c r="M1575" s="6"/>
      <c r="N1575" s="6"/>
      <c r="O1575" s="6"/>
      <c r="P1575" s="6"/>
      <c r="Q1575" s="6"/>
      <c r="R1575" s="6"/>
      <c r="S1575" s="6"/>
      <c r="T1575" s="6"/>
    </row>
    <row r="1576" spans="4:20" x14ac:dyDescent="0.2">
      <c r="D1576" s="6"/>
      <c r="E1576" s="6"/>
      <c r="F1576" s="6"/>
      <c r="G1576" s="19"/>
      <c r="H1576" s="19"/>
      <c r="I1576" s="19"/>
      <c r="J1576" s="19"/>
      <c r="K1576" s="6"/>
      <c r="L1576" s="6"/>
      <c r="M1576" s="6"/>
      <c r="N1576" s="6"/>
      <c r="O1576" s="6"/>
      <c r="P1576" s="6"/>
      <c r="Q1576" s="6"/>
      <c r="R1576" s="6"/>
      <c r="S1576" s="6"/>
      <c r="T1576" s="6"/>
    </row>
    <row r="1577" spans="4:20" x14ac:dyDescent="0.2">
      <c r="D1577" s="6"/>
      <c r="E1577" s="6"/>
      <c r="F1577" s="6"/>
      <c r="G1577" s="19"/>
      <c r="H1577" s="19"/>
      <c r="I1577" s="19"/>
      <c r="J1577" s="19"/>
      <c r="K1577" s="6"/>
      <c r="L1577" s="6"/>
      <c r="M1577" s="6"/>
      <c r="N1577" s="6"/>
      <c r="O1577" s="6"/>
      <c r="P1577" s="6"/>
      <c r="Q1577" s="6"/>
      <c r="R1577" s="6"/>
      <c r="S1577" s="6"/>
      <c r="T1577" s="6"/>
    </row>
    <row r="1578" spans="4:20" x14ac:dyDescent="0.2">
      <c r="D1578" s="6"/>
      <c r="E1578" s="6"/>
      <c r="F1578" s="6"/>
      <c r="G1578" s="19"/>
      <c r="H1578" s="19"/>
      <c r="I1578" s="19"/>
      <c r="J1578" s="19"/>
      <c r="K1578" s="6"/>
      <c r="L1578" s="6"/>
      <c r="M1578" s="6"/>
      <c r="N1578" s="6"/>
      <c r="O1578" s="6"/>
      <c r="P1578" s="6"/>
      <c r="Q1578" s="6"/>
      <c r="R1578" s="6"/>
      <c r="S1578" s="6"/>
      <c r="T1578" s="6"/>
    </row>
    <row r="1579" spans="4:20" x14ac:dyDescent="0.2">
      <c r="D1579" s="6"/>
      <c r="E1579" s="6"/>
      <c r="F1579" s="6"/>
      <c r="G1579" s="19"/>
      <c r="H1579" s="19"/>
      <c r="I1579" s="19"/>
      <c r="J1579" s="19"/>
      <c r="K1579" s="6"/>
      <c r="L1579" s="6"/>
      <c r="M1579" s="6"/>
      <c r="N1579" s="6"/>
      <c r="O1579" s="6"/>
      <c r="P1579" s="6"/>
      <c r="Q1579" s="6"/>
      <c r="R1579" s="6"/>
      <c r="S1579" s="6"/>
      <c r="T1579" s="6"/>
    </row>
    <row r="1580" spans="4:20" x14ac:dyDescent="0.2">
      <c r="D1580" s="6"/>
      <c r="E1580" s="6"/>
      <c r="F1580" s="6"/>
      <c r="G1580" s="19"/>
      <c r="H1580" s="19"/>
      <c r="I1580" s="19"/>
      <c r="J1580" s="19"/>
      <c r="K1580" s="6"/>
      <c r="L1580" s="6"/>
      <c r="M1580" s="6"/>
      <c r="N1580" s="6"/>
      <c r="O1580" s="6"/>
      <c r="P1580" s="6"/>
      <c r="Q1580" s="6"/>
      <c r="R1580" s="6"/>
      <c r="S1580" s="6"/>
      <c r="T1580" s="6"/>
    </row>
    <row r="1581" spans="4:20" x14ac:dyDescent="0.2">
      <c r="D1581" s="6"/>
      <c r="E1581" s="6"/>
      <c r="F1581" s="6"/>
      <c r="G1581" s="19"/>
      <c r="H1581" s="19"/>
      <c r="I1581" s="19"/>
      <c r="J1581" s="19"/>
      <c r="K1581" s="6"/>
      <c r="L1581" s="6"/>
      <c r="M1581" s="6"/>
      <c r="N1581" s="6"/>
      <c r="O1581" s="6"/>
      <c r="P1581" s="6"/>
      <c r="Q1581" s="6"/>
      <c r="R1581" s="6"/>
      <c r="S1581" s="6"/>
      <c r="T1581" s="6"/>
    </row>
    <row r="1582" spans="4:20" x14ac:dyDescent="0.2">
      <c r="D1582" s="6"/>
      <c r="E1582" s="6"/>
      <c r="F1582" s="6"/>
      <c r="G1582" s="19"/>
      <c r="H1582" s="19"/>
      <c r="I1582" s="19"/>
      <c r="J1582" s="19"/>
      <c r="K1582" s="6"/>
      <c r="L1582" s="6"/>
      <c r="M1582" s="6"/>
      <c r="N1582" s="6"/>
      <c r="O1582" s="6"/>
      <c r="P1582" s="6"/>
      <c r="Q1582" s="6"/>
      <c r="R1582" s="6"/>
      <c r="S1582" s="6"/>
      <c r="T1582" s="6"/>
    </row>
    <row r="1583" spans="4:20" x14ac:dyDescent="0.2">
      <c r="D1583" s="6"/>
      <c r="E1583" s="6"/>
      <c r="F1583" s="6"/>
      <c r="G1583" s="19"/>
      <c r="H1583" s="19"/>
      <c r="I1583" s="19"/>
      <c r="J1583" s="19"/>
      <c r="K1583" s="6"/>
      <c r="L1583" s="6"/>
      <c r="M1583" s="6"/>
      <c r="N1583" s="6"/>
      <c r="O1583" s="6"/>
      <c r="P1583" s="6"/>
      <c r="Q1583" s="6"/>
      <c r="R1583" s="6"/>
      <c r="S1583" s="6"/>
      <c r="T1583" s="6"/>
    </row>
    <row r="1584" spans="4:20" x14ac:dyDescent="0.2">
      <c r="D1584" s="6"/>
      <c r="E1584" s="6"/>
      <c r="F1584" s="6"/>
      <c r="G1584" s="19"/>
      <c r="H1584" s="19"/>
      <c r="I1584" s="19"/>
      <c r="J1584" s="19"/>
      <c r="K1584" s="6"/>
      <c r="L1584" s="6"/>
      <c r="M1584" s="6"/>
      <c r="N1584" s="6"/>
      <c r="O1584" s="6"/>
      <c r="P1584" s="6"/>
      <c r="Q1584" s="6"/>
      <c r="R1584" s="6"/>
      <c r="S1584" s="6"/>
      <c r="T1584" s="6"/>
    </row>
    <row r="1585" spans="4:20" x14ac:dyDescent="0.2">
      <c r="D1585" s="6"/>
      <c r="E1585" s="6"/>
      <c r="F1585" s="6"/>
      <c r="G1585" s="19"/>
      <c r="H1585" s="19"/>
      <c r="I1585" s="19"/>
      <c r="J1585" s="19"/>
      <c r="K1585" s="6"/>
      <c r="L1585" s="6"/>
      <c r="M1585" s="6"/>
      <c r="N1585" s="6"/>
      <c r="O1585" s="6"/>
      <c r="P1585" s="6"/>
      <c r="Q1585" s="6"/>
      <c r="R1585" s="6"/>
      <c r="S1585" s="6"/>
      <c r="T1585" s="6"/>
    </row>
    <row r="1586" spans="4:20" x14ac:dyDescent="0.2">
      <c r="D1586" s="6"/>
      <c r="E1586" s="6"/>
      <c r="F1586" s="6"/>
      <c r="G1586" s="19"/>
      <c r="H1586" s="19"/>
      <c r="I1586" s="19"/>
      <c r="J1586" s="19"/>
      <c r="K1586" s="6"/>
      <c r="L1586" s="6"/>
      <c r="M1586" s="6"/>
      <c r="N1586" s="6"/>
      <c r="O1586" s="6"/>
      <c r="P1586" s="6"/>
      <c r="Q1586" s="6"/>
      <c r="R1586" s="6"/>
      <c r="S1586" s="6"/>
      <c r="T1586" s="6"/>
    </row>
    <row r="1587" spans="4:20" x14ac:dyDescent="0.2">
      <c r="D1587" s="6"/>
      <c r="E1587" s="6"/>
      <c r="F1587" s="6"/>
      <c r="G1587" s="19"/>
      <c r="H1587" s="19"/>
      <c r="I1587" s="19"/>
      <c r="J1587" s="19"/>
      <c r="K1587" s="6"/>
      <c r="L1587" s="6"/>
      <c r="M1587" s="6"/>
      <c r="N1587" s="6"/>
      <c r="O1587" s="6"/>
      <c r="P1587" s="6"/>
      <c r="Q1587" s="6"/>
      <c r="R1587" s="6"/>
      <c r="S1587" s="6"/>
      <c r="T1587" s="6"/>
    </row>
    <row r="1588" spans="4:20" x14ac:dyDescent="0.2">
      <c r="D1588" s="6"/>
      <c r="E1588" s="6"/>
      <c r="F1588" s="6"/>
      <c r="G1588" s="19"/>
      <c r="H1588" s="19"/>
      <c r="I1588" s="19"/>
      <c r="J1588" s="19"/>
      <c r="K1588" s="6"/>
      <c r="L1588" s="6"/>
      <c r="M1588" s="6"/>
      <c r="N1588" s="6"/>
      <c r="O1588" s="6"/>
      <c r="P1588" s="6"/>
      <c r="Q1588" s="6"/>
      <c r="R1588" s="6"/>
      <c r="S1588" s="6"/>
      <c r="T1588" s="6"/>
    </row>
    <row r="1589" spans="4:20" x14ac:dyDescent="0.2">
      <c r="D1589" s="6"/>
      <c r="E1589" s="6"/>
      <c r="F1589" s="6"/>
      <c r="G1589" s="19"/>
      <c r="H1589" s="19"/>
      <c r="I1589" s="19"/>
      <c r="J1589" s="19"/>
      <c r="K1589" s="6"/>
      <c r="L1589" s="6"/>
      <c r="M1589" s="6"/>
      <c r="N1589" s="6"/>
      <c r="O1589" s="6"/>
      <c r="P1589" s="6"/>
      <c r="Q1589" s="6"/>
      <c r="R1589" s="6"/>
      <c r="S1589" s="6"/>
      <c r="T1589" s="6"/>
    </row>
    <row r="1590" spans="4:20" x14ac:dyDescent="0.2">
      <c r="D1590" s="6"/>
      <c r="E1590" s="6"/>
      <c r="F1590" s="6"/>
      <c r="G1590" s="19"/>
      <c r="H1590" s="19"/>
      <c r="I1590" s="19"/>
      <c r="J1590" s="19"/>
      <c r="K1590" s="6"/>
      <c r="L1590" s="6"/>
      <c r="M1590" s="6"/>
      <c r="N1590" s="6"/>
      <c r="O1590" s="6"/>
      <c r="P1590" s="6"/>
      <c r="Q1590" s="6"/>
      <c r="R1590" s="6"/>
      <c r="S1590" s="6"/>
      <c r="T1590" s="6"/>
    </row>
    <row r="1591" spans="4:20" x14ac:dyDescent="0.2">
      <c r="D1591" s="6"/>
      <c r="E1591" s="6"/>
      <c r="F1591" s="6"/>
      <c r="G1591" s="19"/>
      <c r="H1591" s="19"/>
      <c r="I1591" s="19"/>
      <c r="J1591" s="19"/>
      <c r="K1591" s="6"/>
      <c r="L1591" s="6"/>
      <c r="M1591" s="6"/>
      <c r="N1591" s="6"/>
      <c r="O1591" s="6"/>
      <c r="P1591" s="6"/>
      <c r="Q1591" s="6"/>
      <c r="R1591" s="6"/>
      <c r="S1591" s="6"/>
      <c r="T1591" s="6"/>
    </row>
    <row r="1592" spans="4:20" x14ac:dyDescent="0.2">
      <c r="D1592" s="6"/>
      <c r="E1592" s="6"/>
      <c r="F1592" s="6"/>
      <c r="G1592" s="19"/>
      <c r="H1592" s="19"/>
      <c r="I1592" s="19"/>
      <c r="J1592" s="19"/>
      <c r="K1592" s="6"/>
      <c r="L1592" s="6"/>
      <c r="M1592" s="6"/>
      <c r="N1592" s="6"/>
      <c r="O1592" s="6"/>
      <c r="P1592" s="6"/>
      <c r="Q1592" s="6"/>
      <c r="R1592" s="6"/>
      <c r="S1592" s="6"/>
      <c r="T1592" s="6"/>
    </row>
    <row r="1593" spans="4:20" x14ac:dyDescent="0.2">
      <c r="D1593" s="6"/>
      <c r="E1593" s="6"/>
      <c r="F1593" s="6"/>
      <c r="G1593" s="19"/>
      <c r="H1593" s="19"/>
      <c r="I1593" s="19"/>
      <c r="J1593" s="19"/>
      <c r="K1593" s="6"/>
      <c r="L1593" s="6"/>
      <c r="M1593" s="6"/>
      <c r="N1593" s="6"/>
      <c r="O1593" s="6"/>
      <c r="P1593" s="6"/>
      <c r="Q1593" s="6"/>
      <c r="R1593" s="6"/>
      <c r="S1593" s="6"/>
      <c r="T1593" s="6"/>
    </row>
    <row r="1594" spans="4:20" x14ac:dyDescent="0.2">
      <c r="D1594" s="6"/>
      <c r="E1594" s="6"/>
      <c r="F1594" s="6"/>
      <c r="G1594" s="19"/>
      <c r="H1594" s="19"/>
      <c r="I1594" s="19"/>
      <c r="J1594" s="19"/>
      <c r="K1594" s="6"/>
      <c r="L1594" s="6"/>
      <c r="M1594" s="6"/>
      <c r="N1594" s="6"/>
      <c r="O1594" s="6"/>
      <c r="P1594" s="6"/>
      <c r="Q1594" s="6"/>
      <c r="R1594" s="6"/>
      <c r="S1594" s="6"/>
      <c r="T1594" s="6"/>
    </row>
    <row r="1595" spans="4:20" x14ac:dyDescent="0.2">
      <c r="D1595" s="6"/>
      <c r="E1595" s="6"/>
      <c r="F1595" s="6"/>
      <c r="G1595" s="19"/>
      <c r="H1595" s="19"/>
      <c r="I1595" s="19"/>
      <c r="J1595" s="19"/>
      <c r="K1595" s="6"/>
      <c r="L1595" s="6"/>
      <c r="M1595" s="6"/>
      <c r="N1595" s="6"/>
      <c r="O1595" s="6"/>
      <c r="P1595" s="6"/>
      <c r="Q1595" s="6"/>
      <c r="R1595" s="6"/>
      <c r="S1595" s="6"/>
      <c r="T1595" s="6"/>
    </row>
    <row r="1596" spans="4:20" x14ac:dyDescent="0.2">
      <c r="D1596" s="6"/>
      <c r="E1596" s="6"/>
      <c r="F1596" s="6"/>
      <c r="G1596" s="19"/>
      <c r="H1596" s="19"/>
      <c r="I1596" s="19"/>
      <c r="J1596" s="19"/>
      <c r="K1596" s="6"/>
      <c r="L1596" s="6"/>
      <c r="M1596" s="6"/>
      <c r="N1596" s="6"/>
      <c r="O1596" s="6"/>
      <c r="P1596" s="6"/>
      <c r="Q1596" s="6"/>
      <c r="R1596" s="6"/>
      <c r="S1596" s="6"/>
      <c r="T1596" s="6"/>
    </row>
    <row r="1597" spans="4:20" x14ac:dyDescent="0.2">
      <c r="D1597" s="6"/>
      <c r="E1597" s="6"/>
      <c r="F1597" s="6"/>
      <c r="G1597" s="19"/>
      <c r="H1597" s="19"/>
      <c r="I1597" s="19"/>
      <c r="J1597" s="19"/>
      <c r="K1597" s="6"/>
      <c r="L1597" s="6"/>
      <c r="M1597" s="6"/>
      <c r="N1597" s="6"/>
      <c r="O1597" s="6"/>
      <c r="P1597" s="6"/>
      <c r="Q1597" s="6"/>
      <c r="R1597" s="6"/>
      <c r="S1597" s="6"/>
      <c r="T1597" s="6"/>
    </row>
    <row r="1598" spans="4:20" x14ac:dyDescent="0.2">
      <c r="D1598" s="6"/>
      <c r="E1598" s="6"/>
      <c r="F1598" s="6"/>
      <c r="G1598" s="19"/>
      <c r="H1598" s="19"/>
      <c r="I1598" s="19"/>
      <c r="J1598" s="19"/>
      <c r="K1598" s="6"/>
      <c r="L1598" s="6"/>
      <c r="M1598" s="6"/>
      <c r="N1598" s="6"/>
      <c r="O1598" s="6"/>
      <c r="P1598" s="6"/>
      <c r="Q1598" s="6"/>
      <c r="R1598" s="6"/>
      <c r="S1598" s="6"/>
      <c r="T1598" s="6"/>
    </row>
    <row r="1599" spans="4:20" x14ac:dyDescent="0.2">
      <c r="D1599" s="6"/>
      <c r="E1599" s="6"/>
      <c r="F1599" s="6"/>
      <c r="G1599" s="19"/>
      <c r="H1599" s="19"/>
      <c r="I1599" s="19"/>
      <c r="J1599" s="19"/>
      <c r="K1599" s="6"/>
      <c r="L1599" s="6"/>
      <c r="M1599" s="6"/>
      <c r="N1599" s="6"/>
      <c r="O1599" s="6"/>
      <c r="P1599" s="6"/>
      <c r="Q1599" s="6"/>
      <c r="R1599" s="6"/>
      <c r="S1599" s="6"/>
      <c r="T1599" s="6"/>
    </row>
    <row r="1600" spans="4:20" x14ac:dyDescent="0.2">
      <c r="D1600" s="6"/>
      <c r="E1600" s="6"/>
      <c r="F1600" s="6"/>
      <c r="G1600" s="19"/>
      <c r="H1600" s="19"/>
      <c r="I1600" s="19"/>
      <c r="J1600" s="19"/>
      <c r="K1600" s="6"/>
      <c r="L1600" s="6"/>
      <c r="M1600" s="6"/>
      <c r="N1600" s="6"/>
      <c r="O1600" s="6"/>
      <c r="P1600" s="6"/>
      <c r="Q1600" s="6"/>
      <c r="R1600" s="6"/>
      <c r="S1600" s="6"/>
      <c r="T1600" s="6"/>
    </row>
    <row r="1601" spans="4:20" x14ac:dyDescent="0.2">
      <c r="D1601" s="6"/>
      <c r="E1601" s="6"/>
      <c r="F1601" s="6"/>
      <c r="G1601" s="19"/>
      <c r="H1601" s="19"/>
      <c r="I1601" s="19"/>
      <c r="J1601" s="19"/>
      <c r="K1601" s="6"/>
      <c r="L1601" s="6"/>
      <c r="M1601" s="6"/>
      <c r="N1601" s="6"/>
      <c r="O1601" s="6"/>
      <c r="P1601" s="6"/>
      <c r="Q1601" s="6"/>
      <c r="R1601" s="6"/>
      <c r="S1601" s="6"/>
      <c r="T1601" s="6"/>
    </row>
    <row r="1602" spans="4:20" x14ac:dyDescent="0.2">
      <c r="D1602" s="6"/>
      <c r="E1602" s="6"/>
      <c r="F1602" s="6"/>
      <c r="G1602" s="19"/>
      <c r="H1602" s="19"/>
      <c r="I1602" s="19"/>
      <c r="J1602" s="19"/>
      <c r="K1602" s="6"/>
      <c r="L1602" s="6"/>
      <c r="M1602" s="6"/>
      <c r="N1602" s="6"/>
      <c r="O1602" s="6"/>
      <c r="P1602" s="6"/>
      <c r="Q1602" s="6"/>
      <c r="R1602" s="6"/>
      <c r="S1602" s="6"/>
      <c r="T1602" s="6"/>
    </row>
    <row r="1603" spans="4:20" x14ac:dyDescent="0.2">
      <c r="D1603" s="6"/>
      <c r="E1603" s="6"/>
      <c r="F1603" s="6"/>
      <c r="G1603" s="19"/>
      <c r="H1603" s="19"/>
      <c r="I1603" s="19"/>
      <c r="J1603" s="19"/>
      <c r="K1603" s="6"/>
      <c r="L1603" s="6"/>
      <c r="M1603" s="6"/>
      <c r="N1603" s="6"/>
      <c r="O1603" s="6"/>
      <c r="P1603" s="6"/>
      <c r="Q1603" s="6"/>
      <c r="R1603" s="6"/>
      <c r="S1603" s="6"/>
      <c r="T1603" s="6"/>
    </row>
    <row r="1604" spans="4:20" x14ac:dyDescent="0.2">
      <c r="D1604" s="6"/>
      <c r="E1604" s="6"/>
      <c r="F1604" s="6"/>
      <c r="G1604" s="19"/>
      <c r="H1604" s="19"/>
      <c r="I1604" s="19"/>
      <c r="J1604" s="19"/>
      <c r="K1604" s="6"/>
      <c r="L1604" s="6"/>
      <c r="M1604" s="6"/>
      <c r="N1604" s="6"/>
      <c r="O1604" s="6"/>
      <c r="P1604" s="6"/>
      <c r="Q1604" s="6"/>
      <c r="R1604" s="6"/>
      <c r="S1604" s="6"/>
      <c r="T1604" s="6"/>
    </row>
    <row r="1605" spans="4:20" x14ac:dyDescent="0.2">
      <c r="D1605" s="6"/>
      <c r="E1605" s="6"/>
      <c r="F1605" s="6"/>
      <c r="G1605" s="19"/>
      <c r="H1605" s="19"/>
      <c r="I1605" s="19"/>
      <c r="J1605" s="19"/>
      <c r="K1605" s="6"/>
      <c r="L1605" s="6"/>
      <c r="M1605" s="6"/>
      <c r="N1605" s="6"/>
      <c r="O1605" s="6"/>
      <c r="P1605" s="6"/>
      <c r="Q1605" s="6"/>
      <c r="R1605" s="6"/>
      <c r="S1605" s="6"/>
      <c r="T1605" s="6"/>
    </row>
    <row r="1606" spans="4:20" x14ac:dyDescent="0.2">
      <c r="D1606" s="6"/>
      <c r="E1606" s="6"/>
      <c r="F1606" s="6"/>
      <c r="G1606" s="19"/>
      <c r="H1606" s="19"/>
      <c r="I1606" s="19"/>
      <c r="J1606" s="19"/>
      <c r="K1606" s="6"/>
      <c r="L1606" s="6"/>
      <c r="M1606" s="6"/>
      <c r="N1606" s="6"/>
      <c r="O1606" s="6"/>
      <c r="P1606" s="6"/>
      <c r="Q1606" s="6"/>
      <c r="R1606" s="6"/>
      <c r="S1606" s="6"/>
      <c r="T1606" s="6"/>
    </row>
    <row r="1607" spans="4:20" x14ac:dyDescent="0.2">
      <c r="D1607" s="6"/>
      <c r="E1607" s="6"/>
      <c r="F1607" s="6"/>
      <c r="G1607" s="19"/>
      <c r="H1607" s="19"/>
      <c r="I1607" s="19"/>
      <c r="J1607" s="19"/>
      <c r="K1607" s="6"/>
      <c r="L1607" s="6"/>
      <c r="M1607" s="6"/>
      <c r="N1607" s="6"/>
      <c r="O1607" s="6"/>
      <c r="P1607" s="6"/>
      <c r="Q1607" s="6"/>
      <c r="R1607" s="6"/>
      <c r="S1607" s="6"/>
      <c r="T1607" s="6"/>
    </row>
    <row r="1608" spans="4:20" x14ac:dyDescent="0.2">
      <c r="D1608" s="6"/>
      <c r="E1608" s="6"/>
      <c r="F1608" s="6"/>
      <c r="G1608" s="19"/>
      <c r="H1608" s="19"/>
      <c r="I1608" s="19"/>
      <c r="J1608" s="19"/>
      <c r="K1608" s="6"/>
      <c r="L1608" s="6"/>
      <c r="M1608" s="6"/>
      <c r="N1608" s="6"/>
      <c r="O1608" s="6"/>
      <c r="P1608" s="6"/>
      <c r="Q1608" s="6"/>
      <c r="R1608" s="6"/>
      <c r="S1608" s="6"/>
      <c r="T1608" s="6"/>
    </row>
    <row r="1609" spans="4:20" x14ac:dyDescent="0.2">
      <c r="D1609" s="6"/>
      <c r="E1609" s="6"/>
      <c r="F1609" s="6"/>
      <c r="G1609" s="19"/>
      <c r="H1609" s="19"/>
      <c r="I1609" s="19"/>
      <c r="J1609" s="19"/>
      <c r="K1609" s="6"/>
      <c r="L1609" s="6"/>
      <c r="M1609" s="6"/>
      <c r="N1609" s="6"/>
      <c r="O1609" s="6"/>
      <c r="P1609" s="6"/>
      <c r="Q1609" s="6"/>
      <c r="R1609" s="6"/>
      <c r="S1609" s="6"/>
      <c r="T1609" s="6"/>
    </row>
    <row r="1610" spans="4:20" x14ac:dyDescent="0.2">
      <c r="D1610" s="6"/>
      <c r="E1610" s="6"/>
      <c r="F1610" s="6"/>
      <c r="G1610" s="19"/>
      <c r="H1610" s="19"/>
      <c r="I1610" s="19"/>
      <c r="J1610" s="19"/>
      <c r="K1610" s="6"/>
      <c r="L1610" s="6"/>
      <c r="M1610" s="6"/>
      <c r="N1610" s="6"/>
      <c r="O1610" s="6"/>
      <c r="P1610" s="6"/>
      <c r="Q1610" s="6"/>
      <c r="R1610" s="6"/>
      <c r="S1610" s="6"/>
      <c r="T1610" s="6"/>
    </row>
    <row r="1611" spans="4:20" x14ac:dyDescent="0.2">
      <c r="D1611" s="6"/>
      <c r="E1611" s="6"/>
      <c r="F1611" s="6"/>
      <c r="G1611" s="19"/>
      <c r="H1611" s="19"/>
      <c r="I1611" s="19"/>
      <c r="J1611" s="19"/>
      <c r="K1611" s="6"/>
      <c r="L1611" s="6"/>
      <c r="M1611" s="6"/>
      <c r="N1611" s="6"/>
      <c r="O1611" s="6"/>
      <c r="P1611" s="6"/>
      <c r="Q1611" s="6"/>
      <c r="R1611" s="6"/>
      <c r="S1611" s="6"/>
      <c r="T1611" s="6"/>
    </row>
    <row r="1612" spans="4:20" x14ac:dyDescent="0.2">
      <c r="D1612" s="6"/>
      <c r="E1612" s="6"/>
      <c r="F1612" s="6"/>
      <c r="G1612" s="19"/>
      <c r="H1612" s="19"/>
      <c r="I1612" s="19"/>
      <c r="J1612" s="19"/>
      <c r="K1612" s="6"/>
      <c r="L1612" s="6"/>
      <c r="M1612" s="6"/>
      <c r="N1612" s="6"/>
      <c r="O1612" s="6"/>
      <c r="P1612" s="6"/>
      <c r="Q1612" s="6"/>
      <c r="R1612" s="6"/>
      <c r="S1612" s="6"/>
      <c r="T1612" s="6"/>
    </row>
    <row r="1613" spans="4:20" x14ac:dyDescent="0.2">
      <c r="D1613" s="6"/>
      <c r="E1613" s="6"/>
      <c r="F1613" s="6"/>
      <c r="G1613" s="19"/>
      <c r="H1613" s="19"/>
      <c r="I1613" s="19"/>
      <c r="J1613" s="19"/>
      <c r="K1613" s="6"/>
      <c r="L1613" s="6"/>
      <c r="M1613" s="6"/>
      <c r="N1613" s="6"/>
      <c r="O1613" s="6"/>
      <c r="P1613" s="6"/>
      <c r="Q1613" s="6"/>
      <c r="R1613" s="6"/>
      <c r="S1613" s="6"/>
      <c r="T1613" s="6"/>
    </row>
    <row r="1614" spans="4:20" x14ac:dyDescent="0.2">
      <c r="D1614" s="6"/>
      <c r="E1614" s="6"/>
      <c r="F1614" s="6"/>
      <c r="G1614" s="19"/>
      <c r="H1614" s="19"/>
      <c r="I1614" s="19"/>
      <c r="J1614" s="19"/>
      <c r="K1614" s="6"/>
      <c r="L1614" s="6"/>
      <c r="M1614" s="6"/>
      <c r="N1614" s="6"/>
      <c r="O1614" s="6"/>
      <c r="P1614" s="6"/>
      <c r="Q1614" s="6"/>
      <c r="R1614" s="6"/>
      <c r="S1614" s="6"/>
      <c r="T1614" s="6"/>
    </row>
    <row r="1615" spans="4:20" x14ac:dyDescent="0.2">
      <c r="D1615" s="6"/>
      <c r="E1615" s="6"/>
      <c r="F1615" s="6"/>
      <c r="G1615" s="19"/>
      <c r="H1615" s="19"/>
      <c r="I1615" s="19"/>
      <c r="J1615" s="19"/>
      <c r="K1615" s="6"/>
      <c r="L1615" s="6"/>
      <c r="M1615" s="6"/>
      <c r="N1615" s="6"/>
      <c r="O1615" s="6"/>
      <c r="P1615" s="6"/>
      <c r="Q1615" s="6"/>
      <c r="R1615" s="6"/>
      <c r="S1615" s="6"/>
      <c r="T1615" s="6"/>
    </row>
    <row r="1616" spans="4:20" x14ac:dyDescent="0.2">
      <c r="D1616" s="6"/>
      <c r="E1616" s="6"/>
      <c r="F1616" s="6"/>
      <c r="G1616" s="19"/>
      <c r="H1616" s="19"/>
      <c r="I1616" s="19"/>
      <c r="J1616" s="19"/>
      <c r="K1616" s="6"/>
      <c r="L1616" s="6"/>
      <c r="M1616" s="6"/>
      <c r="N1616" s="6"/>
      <c r="O1616" s="6"/>
      <c r="P1616" s="6"/>
      <c r="Q1616" s="6"/>
      <c r="R1616" s="6"/>
      <c r="S1616" s="6"/>
      <c r="T1616" s="6"/>
    </row>
    <row r="1617" spans="4:20" x14ac:dyDescent="0.2">
      <c r="D1617" s="6"/>
      <c r="E1617" s="6"/>
      <c r="F1617" s="6"/>
      <c r="G1617" s="19"/>
      <c r="H1617" s="19"/>
      <c r="I1617" s="19"/>
      <c r="J1617" s="19"/>
      <c r="K1617" s="6"/>
      <c r="L1617" s="6"/>
      <c r="M1617" s="6"/>
      <c r="N1617" s="6"/>
      <c r="O1617" s="6"/>
      <c r="P1617" s="6"/>
      <c r="Q1617" s="6"/>
      <c r="R1617" s="6"/>
      <c r="S1617" s="6"/>
      <c r="T1617" s="6"/>
    </row>
    <row r="1618" spans="4:20" x14ac:dyDescent="0.2">
      <c r="D1618" s="6"/>
      <c r="E1618" s="6"/>
      <c r="F1618" s="6"/>
      <c r="G1618" s="19"/>
      <c r="H1618" s="19"/>
      <c r="I1618" s="19"/>
      <c r="J1618" s="19"/>
      <c r="K1618" s="6"/>
      <c r="L1618" s="6"/>
      <c r="M1618" s="6"/>
      <c r="N1618" s="6"/>
      <c r="O1618" s="6"/>
      <c r="P1618" s="6"/>
      <c r="Q1618" s="6"/>
      <c r="R1618" s="6"/>
      <c r="S1618" s="6"/>
      <c r="T1618" s="6"/>
    </row>
    <row r="1619" spans="4:20" x14ac:dyDescent="0.2">
      <c r="D1619" s="6"/>
      <c r="E1619" s="6"/>
      <c r="F1619" s="6"/>
      <c r="G1619" s="19"/>
      <c r="H1619" s="19"/>
      <c r="I1619" s="19"/>
      <c r="J1619" s="19"/>
      <c r="K1619" s="6"/>
      <c r="L1619" s="6"/>
      <c r="M1619" s="6"/>
      <c r="N1619" s="6"/>
      <c r="O1619" s="6"/>
      <c r="P1619" s="6"/>
      <c r="Q1619" s="6"/>
      <c r="R1619" s="6"/>
      <c r="S1619" s="6"/>
      <c r="T1619" s="6"/>
    </row>
    <row r="1620" spans="4:20" x14ac:dyDescent="0.2">
      <c r="D1620" s="6"/>
      <c r="E1620" s="6"/>
      <c r="F1620" s="6"/>
      <c r="G1620" s="19"/>
      <c r="H1620" s="19"/>
      <c r="I1620" s="19"/>
      <c r="J1620" s="19"/>
      <c r="K1620" s="6"/>
      <c r="L1620" s="6"/>
      <c r="M1620" s="6"/>
      <c r="N1620" s="6"/>
      <c r="O1620" s="6"/>
      <c r="P1620" s="6"/>
      <c r="Q1620" s="6"/>
      <c r="R1620" s="6"/>
      <c r="S1620" s="6"/>
      <c r="T1620" s="6"/>
    </row>
    <row r="1621" spans="4:20" x14ac:dyDescent="0.2">
      <c r="D1621" s="6"/>
      <c r="E1621" s="6"/>
      <c r="F1621" s="6"/>
      <c r="G1621" s="19"/>
      <c r="H1621" s="19"/>
      <c r="I1621" s="19"/>
      <c r="J1621" s="19"/>
      <c r="K1621" s="6"/>
      <c r="L1621" s="6"/>
      <c r="M1621" s="6"/>
      <c r="N1621" s="6"/>
      <c r="O1621" s="6"/>
      <c r="P1621" s="6"/>
      <c r="Q1621" s="6"/>
      <c r="R1621" s="6"/>
      <c r="S1621" s="6"/>
      <c r="T1621" s="6"/>
    </row>
    <row r="1622" spans="4:20" x14ac:dyDescent="0.2">
      <c r="D1622" s="6"/>
      <c r="E1622" s="6"/>
      <c r="F1622" s="6"/>
      <c r="G1622" s="19"/>
      <c r="H1622" s="19"/>
      <c r="I1622" s="19"/>
      <c r="J1622" s="19"/>
      <c r="K1622" s="6"/>
      <c r="L1622" s="6"/>
      <c r="M1622" s="6"/>
      <c r="N1622" s="6"/>
      <c r="O1622" s="6"/>
      <c r="P1622" s="6"/>
      <c r="Q1622" s="6"/>
      <c r="R1622" s="6"/>
      <c r="S1622" s="6"/>
      <c r="T1622" s="6"/>
    </row>
    <row r="1623" spans="4:20" x14ac:dyDescent="0.2">
      <c r="D1623" s="6"/>
      <c r="E1623" s="6"/>
      <c r="F1623" s="6"/>
      <c r="G1623" s="19"/>
      <c r="H1623" s="19"/>
      <c r="I1623" s="19"/>
      <c r="J1623" s="19"/>
      <c r="K1623" s="6"/>
      <c r="L1623" s="6"/>
      <c r="M1623" s="6"/>
      <c r="N1623" s="6"/>
      <c r="O1623" s="6"/>
      <c r="P1623" s="6"/>
      <c r="Q1623" s="6"/>
      <c r="R1623" s="6"/>
      <c r="S1623" s="6"/>
      <c r="T1623" s="6"/>
    </row>
    <row r="1624" spans="4:20" x14ac:dyDescent="0.2">
      <c r="D1624" s="6"/>
      <c r="E1624" s="6"/>
      <c r="F1624" s="6"/>
      <c r="G1624" s="19"/>
      <c r="H1624" s="19"/>
      <c r="I1624" s="19"/>
      <c r="J1624" s="19"/>
      <c r="K1624" s="6"/>
      <c r="L1624" s="6"/>
      <c r="M1624" s="6"/>
      <c r="N1624" s="6"/>
      <c r="O1624" s="6"/>
      <c r="P1624" s="6"/>
      <c r="Q1624" s="6"/>
      <c r="R1624" s="6"/>
      <c r="S1624" s="6"/>
      <c r="T1624" s="6"/>
    </row>
    <row r="1625" spans="4:20" x14ac:dyDescent="0.2">
      <c r="D1625" s="6"/>
      <c r="E1625" s="6"/>
      <c r="F1625" s="6"/>
      <c r="G1625" s="19"/>
      <c r="H1625" s="19"/>
      <c r="I1625" s="19"/>
      <c r="J1625" s="19"/>
      <c r="K1625" s="6"/>
      <c r="L1625" s="6"/>
      <c r="M1625" s="6"/>
      <c r="N1625" s="6"/>
      <c r="O1625" s="6"/>
      <c r="P1625" s="6"/>
      <c r="Q1625" s="6"/>
      <c r="R1625" s="6"/>
      <c r="S1625" s="6"/>
      <c r="T1625" s="6"/>
    </row>
    <row r="1626" spans="4:20" x14ac:dyDescent="0.2">
      <c r="D1626" s="6"/>
      <c r="E1626" s="6"/>
      <c r="F1626" s="6"/>
      <c r="G1626" s="19"/>
      <c r="H1626" s="19"/>
      <c r="I1626" s="19"/>
      <c r="J1626" s="19"/>
      <c r="K1626" s="6"/>
      <c r="L1626" s="6"/>
      <c r="M1626" s="6"/>
      <c r="N1626" s="6"/>
      <c r="O1626" s="6"/>
      <c r="P1626" s="6"/>
      <c r="Q1626" s="6"/>
      <c r="R1626" s="6"/>
      <c r="S1626" s="6"/>
      <c r="T1626" s="6"/>
    </row>
    <row r="1627" spans="4:20" x14ac:dyDescent="0.2">
      <c r="D1627" s="6"/>
      <c r="E1627" s="6"/>
      <c r="F1627" s="6"/>
      <c r="G1627" s="19"/>
      <c r="H1627" s="19"/>
      <c r="I1627" s="19"/>
      <c r="J1627" s="19"/>
      <c r="K1627" s="6"/>
      <c r="L1627" s="6"/>
      <c r="M1627" s="6"/>
      <c r="N1627" s="6"/>
      <c r="O1627" s="6"/>
      <c r="P1627" s="6"/>
      <c r="Q1627" s="6"/>
      <c r="R1627" s="6"/>
      <c r="S1627" s="6"/>
      <c r="T1627" s="6"/>
    </row>
    <row r="1628" spans="4:20" x14ac:dyDescent="0.2">
      <c r="D1628" s="6"/>
      <c r="E1628" s="6"/>
      <c r="F1628" s="6"/>
      <c r="G1628" s="19"/>
      <c r="H1628" s="19"/>
      <c r="I1628" s="19"/>
      <c r="J1628" s="19"/>
      <c r="K1628" s="6"/>
      <c r="L1628" s="6"/>
      <c r="M1628" s="6"/>
      <c r="N1628" s="6"/>
      <c r="O1628" s="6"/>
      <c r="P1628" s="6"/>
      <c r="Q1628" s="6"/>
      <c r="R1628" s="6"/>
      <c r="S1628" s="6"/>
      <c r="T1628" s="6"/>
    </row>
    <row r="1629" spans="4:20" x14ac:dyDescent="0.2">
      <c r="D1629" s="6"/>
      <c r="E1629" s="6"/>
      <c r="F1629" s="6"/>
      <c r="G1629" s="19"/>
      <c r="H1629" s="19"/>
      <c r="I1629" s="19"/>
      <c r="J1629" s="19"/>
      <c r="K1629" s="6"/>
      <c r="L1629" s="6"/>
      <c r="M1629" s="6"/>
      <c r="N1629" s="6"/>
      <c r="O1629" s="6"/>
      <c r="P1629" s="6"/>
      <c r="Q1629" s="6"/>
      <c r="R1629" s="6"/>
      <c r="S1629" s="6"/>
      <c r="T1629" s="6"/>
    </row>
    <row r="1630" spans="4:20" x14ac:dyDescent="0.2">
      <c r="D1630" s="6"/>
      <c r="E1630" s="6"/>
      <c r="F1630" s="6"/>
      <c r="G1630" s="19"/>
      <c r="H1630" s="19"/>
      <c r="I1630" s="19"/>
      <c r="J1630" s="19"/>
      <c r="K1630" s="6"/>
      <c r="L1630" s="6"/>
      <c r="M1630" s="6"/>
      <c r="N1630" s="6"/>
      <c r="O1630" s="6"/>
      <c r="P1630" s="6"/>
      <c r="Q1630" s="6"/>
      <c r="R1630" s="6"/>
      <c r="S1630" s="6"/>
      <c r="T1630" s="6"/>
    </row>
    <row r="1631" spans="4:20" x14ac:dyDescent="0.2">
      <c r="D1631" s="6"/>
      <c r="E1631" s="6"/>
      <c r="F1631" s="6"/>
      <c r="G1631" s="19"/>
      <c r="H1631" s="19"/>
      <c r="I1631" s="19"/>
      <c r="J1631" s="19"/>
      <c r="K1631" s="6"/>
      <c r="L1631" s="6"/>
      <c r="M1631" s="6"/>
      <c r="N1631" s="6"/>
      <c r="O1631" s="6"/>
      <c r="P1631" s="6"/>
      <c r="Q1631" s="6"/>
      <c r="R1631" s="6"/>
      <c r="S1631" s="6"/>
      <c r="T1631" s="6"/>
    </row>
    <row r="1632" spans="4:20" x14ac:dyDescent="0.2">
      <c r="D1632" s="6"/>
      <c r="E1632" s="6"/>
      <c r="F1632" s="6"/>
      <c r="G1632" s="19"/>
      <c r="H1632" s="19"/>
      <c r="I1632" s="19"/>
      <c r="J1632" s="19"/>
      <c r="K1632" s="6"/>
      <c r="L1632" s="6"/>
      <c r="M1632" s="6"/>
      <c r="N1632" s="6"/>
      <c r="O1632" s="6"/>
      <c r="P1632" s="6"/>
      <c r="Q1632" s="6"/>
      <c r="R1632" s="6"/>
      <c r="S1632" s="6"/>
      <c r="T1632" s="6"/>
    </row>
    <row r="1633" spans="4:20" x14ac:dyDescent="0.2">
      <c r="D1633" s="6"/>
      <c r="E1633" s="6"/>
      <c r="F1633" s="6"/>
      <c r="G1633" s="19"/>
      <c r="H1633" s="19"/>
      <c r="I1633" s="19"/>
      <c r="J1633" s="19"/>
      <c r="K1633" s="6"/>
      <c r="L1633" s="6"/>
      <c r="M1633" s="6"/>
      <c r="N1633" s="6"/>
      <c r="O1633" s="6"/>
      <c r="P1633" s="6"/>
      <c r="Q1633" s="6"/>
      <c r="R1633" s="6"/>
      <c r="S1633" s="6"/>
      <c r="T1633" s="6"/>
    </row>
    <row r="1634" spans="4:20" x14ac:dyDescent="0.2">
      <c r="D1634" s="6"/>
      <c r="E1634" s="6"/>
      <c r="F1634" s="6"/>
      <c r="G1634" s="19"/>
      <c r="H1634" s="19"/>
      <c r="I1634" s="19"/>
      <c r="J1634" s="19"/>
      <c r="K1634" s="6"/>
      <c r="L1634" s="6"/>
      <c r="M1634" s="6"/>
      <c r="N1634" s="6"/>
      <c r="O1634" s="6"/>
      <c r="P1634" s="6"/>
      <c r="Q1634" s="6"/>
      <c r="R1634" s="6"/>
      <c r="S1634" s="6"/>
      <c r="T1634" s="6"/>
    </row>
    <row r="1635" spans="4:20" x14ac:dyDescent="0.2">
      <c r="D1635" s="6"/>
      <c r="E1635" s="6"/>
      <c r="F1635" s="6"/>
      <c r="G1635" s="19"/>
      <c r="H1635" s="19"/>
      <c r="I1635" s="19"/>
      <c r="J1635" s="19"/>
      <c r="K1635" s="6"/>
      <c r="L1635" s="6"/>
      <c r="M1635" s="6"/>
      <c r="N1635" s="6"/>
      <c r="O1635" s="6"/>
      <c r="P1635" s="6"/>
      <c r="Q1635" s="6"/>
      <c r="R1635" s="6"/>
      <c r="S1635" s="6"/>
      <c r="T1635" s="6"/>
    </row>
    <row r="1636" spans="4:20" x14ac:dyDescent="0.2">
      <c r="D1636" s="6"/>
      <c r="E1636" s="6"/>
      <c r="F1636" s="6"/>
      <c r="G1636" s="19"/>
      <c r="H1636" s="19"/>
      <c r="I1636" s="19"/>
      <c r="J1636" s="19"/>
      <c r="K1636" s="6"/>
      <c r="L1636" s="6"/>
      <c r="M1636" s="6"/>
      <c r="N1636" s="6"/>
      <c r="O1636" s="6"/>
      <c r="P1636" s="6"/>
      <c r="Q1636" s="6"/>
      <c r="R1636" s="6"/>
      <c r="S1636" s="6"/>
      <c r="T1636" s="6"/>
    </row>
    <row r="1637" spans="4:20" x14ac:dyDescent="0.2">
      <c r="D1637" s="6"/>
      <c r="E1637" s="6"/>
      <c r="F1637" s="6"/>
      <c r="G1637" s="19"/>
      <c r="H1637" s="19"/>
      <c r="I1637" s="19"/>
      <c r="J1637" s="19"/>
      <c r="K1637" s="6"/>
      <c r="L1637" s="6"/>
      <c r="M1637" s="6"/>
      <c r="N1637" s="6"/>
      <c r="O1637" s="6"/>
      <c r="P1637" s="6"/>
      <c r="Q1637" s="6"/>
      <c r="R1637" s="6"/>
      <c r="S1637" s="6"/>
      <c r="T1637" s="6"/>
    </row>
    <row r="1638" spans="4:20" x14ac:dyDescent="0.2">
      <c r="D1638" s="6"/>
      <c r="E1638" s="6"/>
      <c r="F1638" s="6"/>
      <c r="G1638" s="19"/>
      <c r="H1638" s="19"/>
      <c r="I1638" s="19"/>
      <c r="J1638" s="19"/>
      <c r="K1638" s="6"/>
      <c r="L1638" s="6"/>
      <c r="M1638" s="6"/>
      <c r="N1638" s="6"/>
      <c r="O1638" s="6"/>
      <c r="P1638" s="6"/>
      <c r="Q1638" s="6"/>
      <c r="R1638" s="6"/>
      <c r="S1638" s="6"/>
      <c r="T1638" s="6"/>
    </row>
    <row r="1639" spans="4:20" x14ac:dyDescent="0.2">
      <c r="D1639" s="6"/>
      <c r="E1639" s="6"/>
      <c r="F1639" s="6"/>
      <c r="G1639" s="19"/>
      <c r="H1639" s="19"/>
      <c r="I1639" s="19"/>
      <c r="J1639" s="19"/>
      <c r="K1639" s="6"/>
      <c r="L1639" s="6"/>
      <c r="M1639" s="6"/>
      <c r="N1639" s="6"/>
      <c r="O1639" s="6"/>
      <c r="P1639" s="6"/>
      <c r="Q1639" s="6"/>
      <c r="R1639" s="6"/>
      <c r="S1639" s="6"/>
      <c r="T1639" s="6"/>
    </row>
    <row r="1640" spans="4:20" x14ac:dyDescent="0.2">
      <c r="D1640" s="6"/>
      <c r="E1640" s="6"/>
      <c r="F1640" s="6"/>
      <c r="G1640" s="19"/>
      <c r="H1640" s="19"/>
      <c r="I1640" s="19"/>
      <c r="J1640" s="19"/>
      <c r="K1640" s="6"/>
      <c r="L1640" s="6"/>
      <c r="M1640" s="6"/>
      <c r="N1640" s="6"/>
      <c r="O1640" s="6"/>
      <c r="P1640" s="6"/>
      <c r="Q1640" s="6"/>
      <c r="R1640" s="6"/>
      <c r="S1640" s="6"/>
      <c r="T1640" s="6"/>
    </row>
    <row r="1641" spans="4:20" x14ac:dyDescent="0.2">
      <c r="D1641" s="6"/>
      <c r="E1641" s="6"/>
      <c r="F1641" s="6"/>
      <c r="G1641" s="19"/>
      <c r="H1641" s="19"/>
      <c r="I1641" s="19"/>
      <c r="J1641" s="19"/>
      <c r="K1641" s="6"/>
      <c r="L1641" s="6"/>
      <c r="M1641" s="6"/>
      <c r="N1641" s="6"/>
      <c r="O1641" s="6"/>
      <c r="P1641" s="6"/>
      <c r="Q1641" s="6"/>
      <c r="R1641" s="6"/>
      <c r="S1641" s="6"/>
      <c r="T1641" s="6"/>
    </row>
    <row r="1642" spans="4:20" x14ac:dyDescent="0.2">
      <c r="D1642" s="6"/>
      <c r="E1642" s="6"/>
      <c r="F1642" s="6"/>
      <c r="G1642" s="19"/>
      <c r="H1642" s="19"/>
      <c r="I1642" s="19"/>
      <c r="J1642" s="19"/>
      <c r="K1642" s="6"/>
      <c r="L1642" s="6"/>
      <c r="M1642" s="6"/>
      <c r="N1642" s="6"/>
      <c r="O1642" s="6"/>
      <c r="P1642" s="6"/>
      <c r="Q1642" s="6"/>
      <c r="R1642" s="6"/>
      <c r="S1642" s="6"/>
      <c r="T1642" s="6"/>
    </row>
    <row r="1643" spans="4:20" x14ac:dyDescent="0.2">
      <c r="D1643" s="6"/>
      <c r="E1643" s="6"/>
      <c r="F1643" s="6"/>
      <c r="G1643" s="19"/>
      <c r="H1643" s="19"/>
      <c r="I1643" s="19"/>
      <c r="J1643" s="19"/>
      <c r="K1643" s="6"/>
      <c r="L1643" s="6"/>
      <c r="M1643" s="6"/>
      <c r="N1643" s="6"/>
      <c r="O1643" s="6"/>
      <c r="P1643" s="6"/>
      <c r="Q1643" s="6"/>
      <c r="R1643" s="6"/>
      <c r="S1643" s="6"/>
      <c r="T1643" s="6"/>
    </row>
    <row r="1644" spans="4:20" x14ac:dyDescent="0.2">
      <c r="D1644" s="6"/>
      <c r="E1644" s="6"/>
      <c r="F1644" s="6"/>
      <c r="G1644" s="19"/>
      <c r="H1644" s="19"/>
      <c r="I1644" s="19"/>
      <c r="J1644" s="19"/>
      <c r="K1644" s="6"/>
      <c r="L1644" s="6"/>
      <c r="M1644" s="6"/>
      <c r="N1644" s="6"/>
      <c r="O1644" s="6"/>
      <c r="P1644" s="6"/>
      <c r="Q1644" s="6"/>
      <c r="R1644" s="6"/>
      <c r="S1644" s="6"/>
      <c r="T1644" s="6"/>
    </row>
    <row r="1645" spans="4:20" x14ac:dyDescent="0.2">
      <c r="D1645" s="6"/>
      <c r="E1645" s="6"/>
      <c r="F1645" s="6"/>
      <c r="G1645" s="19"/>
      <c r="H1645" s="19"/>
      <c r="I1645" s="19"/>
      <c r="J1645" s="19"/>
      <c r="K1645" s="6"/>
      <c r="L1645" s="6"/>
      <c r="M1645" s="6"/>
      <c r="N1645" s="6"/>
      <c r="O1645" s="6"/>
      <c r="P1645" s="6"/>
      <c r="Q1645" s="6"/>
      <c r="R1645" s="6"/>
      <c r="S1645" s="6"/>
      <c r="T1645" s="6"/>
    </row>
    <row r="1646" spans="4:20" x14ac:dyDescent="0.2">
      <c r="D1646" s="6"/>
      <c r="E1646" s="6"/>
      <c r="F1646" s="6"/>
      <c r="G1646" s="19"/>
      <c r="H1646" s="19"/>
      <c r="I1646" s="19"/>
      <c r="J1646" s="19"/>
      <c r="K1646" s="6"/>
      <c r="L1646" s="6"/>
      <c r="M1646" s="6"/>
      <c r="N1646" s="6"/>
      <c r="O1646" s="6"/>
      <c r="P1646" s="6"/>
      <c r="Q1646" s="6"/>
      <c r="R1646" s="6"/>
      <c r="S1646" s="6"/>
      <c r="T1646" s="6"/>
    </row>
    <row r="1647" spans="4:20" x14ac:dyDescent="0.2">
      <c r="D1647" s="6"/>
      <c r="E1647" s="6"/>
      <c r="F1647" s="6"/>
      <c r="G1647" s="19"/>
      <c r="H1647" s="19"/>
      <c r="I1647" s="19"/>
      <c r="J1647" s="19"/>
      <c r="K1647" s="6"/>
      <c r="L1647" s="6"/>
      <c r="M1647" s="6"/>
      <c r="N1647" s="6"/>
      <c r="O1647" s="6"/>
      <c r="P1647" s="6"/>
      <c r="Q1647" s="6"/>
      <c r="R1647" s="6"/>
      <c r="S1647" s="6"/>
      <c r="T1647" s="6"/>
    </row>
    <row r="1648" spans="4:20" x14ac:dyDescent="0.2">
      <c r="D1648" s="6"/>
      <c r="E1648" s="6"/>
      <c r="F1648" s="6"/>
      <c r="G1648" s="19"/>
      <c r="H1648" s="19"/>
      <c r="I1648" s="19"/>
      <c r="J1648" s="19"/>
      <c r="K1648" s="6"/>
      <c r="L1648" s="6"/>
      <c r="M1648" s="6"/>
      <c r="N1648" s="6"/>
      <c r="O1648" s="6"/>
      <c r="P1648" s="6"/>
      <c r="Q1648" s="6"/>
      <c r="R1648" s="6"/>
      <c r="S1648" s="6"/>
      <c r="T1648" s="6"/>
    </row>
    <row r="1649" spans="4:20" x14ac:dyDescent="0.2">
      <c r="D1649" s="6"/>
      <c r="E1649" s="6"/>
      <c r="F1649" s="6"/>
      <c r="G1649" s="19"/>
      <c r="H1649" s="19"/>
      <c r="I1649" s="19"/>
      <c r="J1649" s="19"/>
      <c r="K1649" s="6"/>
      <c r="L1649" s="6"/>
      <c r="M1649" s="6"/>
      <c r="N1649" s="6"/>
      <c r="O1649" s="6"/>
      <c r="P1649" s="6"/>
      <c r="Q1649" s="6"/>
      <c r="R1649" s="6"/>
      <c r="S1649" s="6"/>
      <c r="T1649" s="6"/>
    </row>
    <row r="1650" spans="4:20" x14ac:dyDescent="0.2">
      <c r="D1650" s="6"/>
      <c r="E1650" s="6"/>
      <c r="F1650" s="6"/>
      <c r="G1650" s="19"/>
      <c r="H1650" s="19"/>
      <c r="I1650" s="19"/>
      <c r="J1650" s="19"/>
      <c r="K1650" s="6"/>
      <c r="L1650" s="6"/>
      <c r="M1650" s="6"/>
      <c r="N1650" s="6"/>
      <c r="O1650" s="6"/>
      <c r="P1650" s="6"/>
      <c r="Q1650" s="6"/>
      <c r="R1650" s="6"/>
      <c r="S1650" s="6"/>
      <c r="T1650" s="6"/>
    </row>
    <row r="1651" spans="4:20" x14ac:dyDescent="0.2">
      <c r="D1651" s="6"/>
      <c r="E1651" s="6"/>
      <c r="F1651" s="6"/>
      <c r="G1651" s="19"/>
      <c r="H1651" s="19"/>
      <c r="I1651" s="19"/>
      <c r="J1651" s="19"/>
      <c r="K1651" s="6"/>
      <c r="L1651" s="6"/>
      <c r="M1651" s="6"/>
      <c r="N1651" s="6"/>
      <c r="O1651" s="6"/>
      <c r="P1651" s="6"/>
      <c r="Q1651" s="6"/>
      <c r="R1651" s="6"/>
      <c r="S1651" s="6"/>
      <c r="T1651" s="6"/>
    </row>
    <row r="1652" spans="4:20" x14ac:dyDescent="0.2">
      <c r="D1652" s="6"/>
      <c r="E1652" s="6"/>
      <c r="F1652" s="6"/>
      <c r="G1652" s="19"/>
      <c r="H1652" s="19"/>
      <c r="I1652" s="19"/>
      <c r="J1652" s="19"/>
      <c r="K1652" s="6"/>
      <c r="L1652" s="6"/>
      <c r="M1652" s="6"/>
      <c r="N1652" s="6"/>
      <c r="O1652" s="6"/>
      <c r="P1652" s="6"/>
      <c r="Q1652" s="6"/>
      <c r="R1652" s="6"/>
      <c r="S1652" s="6"/>
      <c r="T1652" s="6"/>
    </row>
    <row r="1653" spans="4:20" x14ac:dyDescent="0.2">
      <c r="D1653" s="6"/>
      <c r="E1653" s="6"/>
      <c r="F1653" s="6"/>
      <c r="G1653" s="19"/>
      <c r="H1653" s="19"/>
      <c r="I1653" s="19"/>
      <c r="J1653" s="19"/>
      <c r="K1653" s="6"/>
      <c r="L1653" s="6"/>
      <c r="M1653" s="6"/>
      <c r="N1653" s="6"/>
      <c r="O1653" s="6"/>
      <c r="P1653" s="6"/>
      <c r="Q1653" s="6"/>
      <c r="R1653" s="6"/>
      <c r="S1653" s="6"/>
      <c r="T1653" s="6"/>
    </row>
    <row r="1654" spans="4:20" x14ac:dyDescent="0.2">
      <c r="D1654" s="6"/>
      <c r="E1654" s="6"/>
      <c r="F1654" s="6"/>
      <c r="G1654" s="19"/>
      <c r="H1654" s="19"/>
      <c r="I1654" s="19"/>
      <c r="J1654" s="19"/>
      <c r="K1654" s="6"/>
      <c r="L1654" s="6"/>
      <c r="M1654" s="6"/>
      <c r="N1654" s="6"/>
      <c r="O1654" s="6"/>
      <c r="P1654" s="6"/>
      <c r="Q1654" s="6"/>
      <c r="R1654" s="6"/>
      <c r="S1654" s="6"/>
      <c r="T1654" s="6"/>
    </row>
    <row r="1655" spans="4:20" x14ac:dyDescent="0.2">
      <c r="D1655" s="6"/>
      <c r="E1655" s="6"/>
      <c r="F1655" s="6"/>
      <c r="G1655" s="19"/>
      <c r="H1655" s="19"/>
      <c r="I1655" s="19"/>
      <c r="J1655" s="19"/>
      <c r="K1655" s="6"/>
      <c r="L1655" s="6"/>
      <c r="M1655" s="6"/>
      <c r="N1655" s="6"/>
      <c r="O1655" s="6"/>
      <c r="P1655" s="6"/>
      <c r="Q1655" s="6"/>
      <c r="R1655" s="6"/>
      <c r="S1655" s="6"/>
      <c r="T1655" s="6"/>
    </row>
    <row r="1656" spans="4:20" x14ac:dyDescent="0.2">
      <c r="D1656" s="6"/>
      <c r="E1656" s="6"/>
      <c r="F1656" s="6"/>
      <c r="G1656" s="19"/>
      <c r="H1656" s="19"/>
      <c r="I1656" s="19"/>
      <c r="J1656" s="19"/>
      <c r="K1656" s="6"/>
      <c r="L1656" s="6"/>
      <c r="M1656" s="6"/>
      <c r="N1656" s="6"/>
      <c r="O1656" s="6"/>
      <c r="P1656" s="6"/>
      <c r="Q1656" s="6"/>
      <c r="R1656" s="6"/>
      <c r="S1656" s="6"/>
      <c r="T1656" s="6"/>
    </row>
    <row r="1657" spans="4:20" x14ac:dyDescent="0.2">
      <c r="D1657" s="6"/>
      <c r="E1657" s="6"/>
      <c r="F1657" s="6"/>
      <c r="G1657" s="19"/>
      <c r="H1657" s="19"/>
      <c r="I1657" s="19"/>
      <c r="J1657" s="19"/>
      <c r="K1657" s="6"/>
      <c r="L1657" s="6"/>
      <c r="M1657" s="6"/>
      <c r="N1657" s="6"/>
      <c r="O1657" s="6"/>
      <c r="P1657" s="6"/>
      <c r="Q1657" s="6"/>
      <c r="R1657" s="6"/>
      <c r="S1657" s="6"/>
      <c r="T1657" s="6"/>
    </row>
    <row r="1658" spans="4:20" x14ac:dyDescent="0.2">
      <c r="D1658" s="6"/>
      <c r="E1658" s="6"/>
      <c r="F1658" s="6"/>
      <c r="G1658" s="19"/>
      <c r="H1658" s="19"/>
      <c r="I1658" s="19"/>
      <c r="J1658" s="19"/>
      <c r="K1658" s="6"/>
      <c r="L1658" s="6"/>
      <c r="M1658" s="6"/>
      <c r="N1658" s="6"/>
      <c r="O1658" s="6"/>
      <c r="P1658" s="6"/>
      <c r="Q1658" s="6"/>
      <c r="R1658" s="6"/>
      <c r="S1658" s="6"/>
      <c r="T1658" s="6"/>
    </row>
    <row r="1659" spans="4:20" x14ac:dyDescent="0.2">
      <c r="D1659" s="6"/>
      <c r="E1659" s="6"/>
      <c r="F1659" s="6"/>
      <c r="G1659" s="19"/>
      <c r="H1659" s="19"/>
      <c r="I1659" s="19"/>
      <c r="J1659" s="19"/>
      <c r="K1659" s="6"/>
      <c r="L1659" s="6"/>
      <c r="M1659" s="6"/>
      <c r="N1659" s="6"/>
      <c r="O1659" s="6"/>
      <c r="P1659" s="6"/>
      <c r="Q1659" s="6"/>
      <c r="R1659" s="6"/>
      <c r="S1659" s="6"/>
      <c r="T1659" s="6"/>
    </row>
    <row r="1660" spans="4:20" x14ac:dyDescent="0.2">
      <c r="D1660" s="6"/>
      <c r="E1660" s="6"/>
      <c r="F1660" s="6"/>
      <c r="G1660" s="19"/>
      <c r="H1660" s="19"/>
      <c r="I1660" s="19"/>
      <c r="J1660" s="19"/>
      <c r="K1660" s="6"/>
      <c r="L1660" s="6"/>
      <c r="M1660" s="6"/>
      <c r="N1660" s="6"/>
      <c r="O1660" s="6"/>
      <c r="P1660" s="6"/>
      <c r="Q1660" s="6"/>
      <c r="R1660" s="6"/>
      <c r="S1660" s="6"/>
      <c r="T1660" s="6"/>
    </row>
    <row r="1661" spans="4:20" x14ac:dyDescent="0.2">
      <c r="D1661" s="6"/>
      <c r="E1661" s="6"/>
      <c r="F1661" s="6"/>
      <c r="G1661" s="19"/>
      <c r="H1661" s="19"/>
      <c r="I1661" s="19"/>
      <c r="J1661" s="19"/>
      <c r="K1661" s="6"/>
      <c r="L1661" s="6"/>
      <c r="M1661" s="6"/>
      <c r="N1661" s="6"/>
      <c r="O1661" s="6"/>
      <c r="P1661" s="6"/>
      <c r="Q1661" s="6"/>
      <c r="R1661" s="6"/>
      <c r="S1661" s="6"/>
      <c r="T1661" s="6"/>
    </row>
    <row r="1662" spans="4:20" x14ac:dyDescent="0.2">
      <c r="D1662" s="6"/>
      <c r="E1662" s="6"/>
      <c r="F1662" s="6"/>
      <c r="G1662" s="19"/>
      <c r="H1662" s="19"/>
      <c r="I1662" s="19"/>
      <c r="J1662" s="19"/>
      <c r="K1662" s="6"/>
      <c r="L1662" s="6"/>
      <c r="M1662" s="6"/>
      <c r="N1662" s="6"/>
      <c r="O1662" s="6"/>
      <c r="P1662" s="6"/>
      <c r="Q1662" s="6"/>
      <c r="R1662" s="6"/>
      <c r="S1662" s="6"/>
      <c r="T1662" s="6"/>
    </row>
    <row r="1663" spans="4:20" x14ac:dyDescent="0.2">
      <c r="D1663" s="6"/>
      <c r="E1663" s="6"/>
      <c r="F1663" s="6"/>
      <c r="G1663" s="19"/>
      <c r="H1663" s="19"/>
      <c r="I1663" s="19"/>
      <c r="J1663" s="19"/>
      <c r="K1663" s="6"/>
      <c r="L1663" s="6"/>
      <c r="M1663" s="6"/>
      <c r="N1663" s="6"/>
      <c r="O1663" s="6"/>
      <c r="P1663" s="6"/>
      <c r="Q1663" s="6"/>
      <c r="R1663" s="6"/>
      <c r="S1663" s="6"/>
      <c r="T1663" s="6"/>
    </row>
    <row r="1664" spans="4:20" x14ac:dyDescent="0.2">
      <c r="D1664" s="6"/>
      <c r="E1664" s="6"/>
      <c r="F1664" s="6"/>
      <c r="G1664" s="19"/>
      <c r="H1664" s="19"/>
      <c r="I1664" s="19"/>
      <c r="J1664" s="19"/>
      <c r="K1664" s="6"/>
      <c r="L1664" s="6"/>
      <c r="M1664" s="6"/>
      <c r="N1664" s="6"/>
      <c r="O1664" s="6"/>
      <c r="P1664" s="6"/>
      <c r="Q1664" s="6"/>
      <c r="R1664" s="6"/>
      <c r="S1664" s="6"/>
      <c r="T1664" s="6"/>
    </row>
    <row r="1665" spans="4:20" x14ac:dyDescent="0.2">
      <c r="D1665" s="6"/>
      <c r="E1665" s="6"/>
      <c r="F1665" s="6"/>
      <c r="G1665" s="19"/>
      <c r="H1665" s="19"/>
      <c r="I1665" s="19"/>
      <c r="J1665" s="19"/>
      <c r="K1665" s="6"/>
      <c r="L1665" s="6"/>
      <c r="M1665" s="6"/>
      <c r="N1665" s="6"/>
      <c r="O1665" s="6"/>
      <c r="P1665" s="6"/>
      <c r="Q1665" s="6"/>
      <c r="R1665" s="6"/>
      <c r="S1665" s="6"/>
      <c r="T1665" s="6"/>
    </row>
    <row r="1666" spans="4:20" x14ac:dyDescent="0.2">
      <c r="D1666" s="6"/>
      <c r="E1666" s="6"/>
      <c r="F1666" s="6"/>
      <c r="G1666" s="19"/>
      <c r="H1666" s="19"/>
      <c r="I1666" s="19"/>
      <c r="J1666" s="19"/>
      <c r="K1666" s="6"/>
      <c r="L1666" s="6"/>
      <c r="M1666" s="6"/>
      <c r="N1666" s="6"/>
      <c r="O1666" s="6"/>
      <c r="P1666" s="6"/>
      <c r="Q1666" s="6"/>
      <c r="R1666" s="6"/>
      <c r="S1666" s="6"/>
      <c r="T1666" s="6"/>
    </row>
    <row r="1667" spans="4:20" x14ac:dyDescent="0.2">
      <c r="D1667" s="6"/>
      <c r="E1667" s="6"/>
      <c r="F1667" s="6"/>
      <c r="G1667" s="19"/>
      <c r="H1667" s="19"/>
      <c r="I1667" s="19"/>
      <c r="J1667" s="19"/>
      <c r="K1667" s="6"/>
      <c r="L1667" s="6"/>
      <c r="M1667" s="6"/>
      <c r="N1667" s="6"/>
      <c r="O1667" s="6"/>
      <c r="P1667" s="6"/>
      <c r="Q1667" s="6"/>
      <c r="R1667" s="6"/>
      <c r="S1667" s="6"/>
      <c r="T1667" s="6"/>
    </row>
    <row r="1668" spans="4:20" x14ac:dyDescent="0.2">
      <c r="D1668" s="6"/>
      <c r="E1668" s="6"/>
      <c r="F1668" s="6"/>
      <c r="G1668" s="19"/>
      <c r="H1668" s="19"/>
      <c r="I1668" s="19"/>
      <c r="J1668" s="19"/>
      <c r="K1668" s="6"/>
      <c r="L1668" s="6"/>
      <c r="M1668" s="6"/>
      <c r="N1668" s="6"/>
      <c r="O1668" s="6"/>
      <c r="P1668" s="6"/>
      <c r="Q1668" s="6"/>
      <c r="R1668" s="6"/>
      <c r="S1668" s="6"/>
      <c r="T1668" s="6"/>
    </row>
    <row r="1669" spans="4:20" x14ac:dyDescent="0.2">
      <c r="D1669" s="6"/>
      <c r="E1669" s="6"/>
      <c r="F1669" s="6"/>
      <c r="G1669" s="19"/>
      <c r="H1669" s="19"/>
      <c r="I1669" s="19"/>
      <c r="J1669" s="19"/>
      <c r="K1669" s="6"/>
      <c r="L1669" s="6"/>
      <c r="M1669" s="6"/>
      <c r="N1669" s="6"/>
      <c r="O1669" s="6"/>
      <c r="P1669" s="6"/>
      <c r="Q1669" s="6"/>
      <c r="R1669" s="6"/>
      <c r="S1669" s="6"/>
      <c r="T1669" s="6"/>
    </row>
    <row r="1670" spans="4:20" x14ac:dyDescent="0.2">
      <c r="D1670" s="6"/>
      <c r="E1670" s="6"/>
      <c r="F1670" s="6"/>
      <c r="G1670" s="19"/>
      <c r="H1670" s="19"/>
      <c r="I1670" s="19"/>
      <c r="J1670" s="19"/>
      <c r="K1670" s="6"/>
      <c r="L1670" s="6"/>
      <c r="M1670" s="6"/>
      <c r="N1670" s="6"/>
      <c r="O1670" s="6"/>
      <c r="P1670" s="6"/>
      <c r="Q1670" s="6"/>
      <c r="R1670" s="6"/>
      <c r="S1670" s="6"/>
      <c r="T1670" s="6"/>
    </row>
    <row r="1671" spans="4:20" x14ac:dyDescent="0.2">
      <c r="D1671" s="6"/>
      <c r="E1671" s="6"/>
      <c r="F1671" s="6"/>
      <c r="G1671" s="19"/>
      <c r="H1671" s="19"/>
      <c r="I1671" s="19"/>
      <c r="J1671" s="19"/>
      <c r="K1671" s="6"/>
      <c r="L1671" s="6"/>
      <c r="M1671" s="6"/>
      <c r="N1671" s="6"/>
      <c r="O1671" s="6"/>
      <c r="P1671" s="6"/>
      <c r="Q1671" s="6"/>
      <c r="R1671" s="6"/>
      <c r="S1671" s="6"/>
      <c r="T1671" s="6"/>
    </row>
    <row r="1672" spans="4:20" x14ac:dyDescent="0.2">
      <c r="D1672" s="6"/>
      <c r="E1672" s="6"/>
      <c r="F1672" s="6"/>
      <c r="G1672" s="19"/>
      <c r="H1672" s="19"/>
      <c r="I1672" s="19"/>
      <c r="J1672" s="19"/>
      <c r="K1672" s="6"/>
      <c r="L1672" s="6"/>
      <c r="M1672" s="6"/>
      <c r="N1672" s="6"/>
      <c r="O1672" s="6"/>
      <c r="P1672" s="6"/>
      <c r="Q1672" s="6"/>
      <c r="R1672" s="6"/>
      <c r="S1672" s="6"/>
      <c r="T1672" s="6"/>
    </row>
    <row r="1673" spans="4:20" x14ac:dyDescent="0.2">
      <c r="D1673" s="6"/>
      <c r="E1673" s="6"/>
      <c r="F1673" s="6"/>
      <c r="G1673" s="19"/>
      <c r="H1673" s="19"/>
      <c r="I1673" s="19"/>
      <c r="J1673" s="19"/>
      <c r="K1673" s="6"/>
      <c r="L1673" s="6"/>
      <c r="M1673" s="6"/>
      <c r="N1673" s="6"/>
      <c r="O1673" s="6"/>
      <c r="P1673" s="6"/>
      <c r="Q1673" s="6"/>
      <c r="R1673" s="6"/>
      <c r="S1673" s="6"/>
      <c r="T1673" s="6"/>
    </row>
    <row r="1674" spans="4:20" x14ac:dyDescent="0.2">
      <c r="D1674" s="6"/>
      <c r="E1674" s="6"/>
      <c r="F1674" s="6"/>
      <c r="G1674" s="19"/>
      <c r="H1674" s="19"/>
      <c r="I1674" s="19"/>
      <c r="J1674" s="19"/>
      <c r="K1674" s="6"/>
      <c r="L1674" s="6"/>
      <c r="M1674" s="6"/>
      <c r="N1674" s="6"/>
      <c r="O1674" s="6"/>
      <c r="P1674" s="6"/>
      <c r="Q1674" s="6"/>
      <c r="R1674" s="6"/>
      <c r="S1674" s="6"/>
      <c r="T1674" s="6"/>
    </row>
    <row r="1675" spans="4:20" x14ac:dyDescent="0.2">
      <c r="D1675" s="6"/>
      <c r="E1675" s="6"/>
      <c r="F1675" s="6"/>
      <c r="G1675" s="19"/>
      <c r="H1675" s="19"/>
      <c r="I1675" s="19"/>
      <c r="J1675" s="19"/>
      <c r="K1675" s="6"/>
      <c r="L1675" s="6"/>
      <c r="M1675" s="6"/>
      <c r="N1675" s="6"/>
      <c r="O1675" s="6"/>
      <c r="P1675" s="6"/>
      <c r="Q1675" s="6"/>
      <c r="R1675" s="6"/>
      <c r="S1675" s="6"/>
      <c r="T1675" s="6"/>
    </row>
    <row r="1676" spans="4:20" x14ac:dyDescent="0.2">
      <c r="D1676" s="6"/>
      <c r="E1676" s="6"/>
      <c r="F1676" s="6"/>
      <c r="G1676" s="19"/>
      <c r="H1676" s="19"/>
      <c r="I1676" s="19"/>
      <c r="J1676" s="19"/>
      <c r="K1676" s="6"/>
      <c r="L1676" s="6"/>
      <c r="M1676" s="6"/>
      <c r="N1676" s="6"/>
      <c r="O1676" s="6"/>
      <c r="P1676" s="6"/>
      <c r="Q1676" s="6"/>
      <c r="R1676" s="6"/>
      <c r="S1676" s="6"/>
      <c r="T1676" s="6"/>
    </row>
    <row r="1677" spans="4:20" x14ac:dyDescent="0.2">
      <c r="D1677" s="6"/>
      <c r="E1677" s="6"/>
      <c r="F1677" s="6"/>
      <c r="G1677" s="19"/>
      <c r="H1677" s="19"/>
      <c r="I1677" s="19"/>
      <c r="J1677" s="19"/>
      <c r="K1677" s="6"/>
      <c r="L1677" s="6"/>
      <c r="M1677" s="6"/>
      <c r="N1677" s="6"/>
      <c r="O1677" s="6"/>
      <c r="P1677" s="6"/>
      <c r="Q1677" s="6"/>
      <c r="R1677" s="6"/>
      <c r="S1677" s="6"/>
      <c r="T1677" s="6"/>
    </row>
    <row r="1678" spans="4:20" x14ac:dyDescent="0.2">
      <c r="D1678" s="6"/>
      <c r="E1678" s="6"/>
      <c r="F1678" s="6"/>
      <c r="G1678" s="19"/>
      <c r="H1678" s="19"/>
      <c r="I1678" s="19"/>
      <c r="J1678" s="19"/>
      <c r="K1678" s="6"/>
      <c r="L1678" s="6"/>
      <c r="M1678" s="6"/>
      <c r="N1678" s="6"/>
      <c r="O1678" s="6"/>
      <c r="P1678" s="6"/>
      <c r="Q1678" s="6"/>
      <c r="R1678" s="6"/>
      <c r="S1678" s="6"/>
      <c r="T1678" s="6"/>
    </row>
    <row r="1679" spans="4:20" x14ac:dyDescent="0.2">
      <c r="D1679" s="6"/>
      <c r="E1679" s="6"/>
      <c r="F1679" s="6"/>
      <c r="G1679" s="19"/>
      <c r="H1679" s="19"/>
      <c r="I1679" s="19"/>
      <c r="J1679" s="19"/>
      <c r="K1679" s="6"/>
      <c r="L1679" s="6"/>
      <c r="M1679" s="6"/>
      <c r="N1679" s="6"/>
      <c r="O1679" s="6"/>
      <c r="P1679" s="6"/>
      <c r="Q1679" s="6"/>
      <c r="R1679" s="6"/>
      <c r="S1679" s="6"/>
      <c r="T1679" s="6"/>
    </row>
    <row r="1680" spans="4:20" x14ac:dyDescent="0.2">
      <c r="D1680" s="6"/>
      <c r="E1680" s="6"/>
      <c r="F1680" s="6"/>
      <c r="G1680" s="19"/>
      <c r="H1680" s="19"/>
      <c r="I1680" s="19"/>
      <c r="J1680" s="19"/>
      <c r="K1680" s="6"/>
      <c r="L1680" s="6"/>
      <c r="M1680" s="6"/>
      <c r="N1680" s="6"/>
      <c r="O1680" s="6"/>
      <c r="P1680" s="6"/>
      <c r="Q1680" s="6"/>
      <c r="R1680" s="6"/>
      <c r="S1680" s="6"/>
      <c r="T1680" s="6"/>
    </row>
    <row r="1681" spans="4:20" x14ac:dyDescent="0.2">
      <c r="D1681" s="6"/>
      <c r="E1681" s="6"/>
      <c r="F1681" s="6"/>
      <c r="G1681" s="19"/>
      <c r="H1681" s="19"/>
      <c r="I1681" s="19"/>
      <c r="J1681" s="19"/>
      <c r="K1681" s="6"/>
      <c r="L1681" s="6"/>
      <c r="M1681" s="6"/>
      <c r="N1681" s="6"/>
      <c r="O1681" s="6"/>
      <c r="P1681" s="6"/>
      <c r="Q1681" s="6"/>
      <c r="R1681" s="6"/>
      <c r="S1681" s="6"/>
      <c r="T1681" s="6"/>
    </row>
    <row r="1682" spans="4:20" x14ac:dyDescent="0.2">
      <c r="D1682" s="6"/>
      <c r="E1682" s="6"/>
      <c r="F1682" s="6"/>
      <c r="G1682" s="19"/>
      <c r="H1682" s="19"/>
      <c r="I1682" s="19"/>
      <c r="J1682" s="19"/>
      <c r="K1682" s="6"/>
      <c r="L1682" s="6"/>
      <c r="M1682" s="6"/>
      <c r="N1682" s="6"/>
      <c r="O1682" s="6"/>
      <c r="P1682" s="6"/>
      <c r="Q1682" s="6"/>
      <c r="R1682" s="6"/>
      <c r="S1682" s="6"/>
      <c r="T1682" s="6"/>
    </row>
    <row r="1683" spans="4:20" x14ac:dyDescent="0.2">
      <c r="D1683" s="6"/>
      <c r="E1683" s="6"/>
      <c r="F1683" s="6"/>
      <c r="G1683" s="19"/>
      <c r="H1683" s="19"/>
      <c r="I1683" s="19"/>
      <c r="J1683" s="19"/>
      <c r="K1683" s="6"/>
      <c r="L1683" s="6"/>
      <c r="M1683" s="6"/>
      <c r="N1683" s="6"/>
      <c r="O1683" s="6"/>
      <c r="P1683" s="6"/>
      <c r="Q1683" s="6"/>
      <c r="R1683" s="6"/>
      <c r="S1683" s="6"/>
      <c r="T1683" s="6"/>
    </row>
    <row r="1684" spans="4:20" x14ac:dyDescent="0.2">
      <c r="D1684" s="6"/>
      <c r="E1684" s="6"/>
      <c r="F1684" s="6"/>
      <c r="G1684" s="19"/>
      <c r="H1684" s="19"/>
      <c r="I1684" s="19"/>
      <c r="J1684" s="19"/>
      <c r="K1684" s="6"/>
      <c r="L1684" s="6"/>
      <c r="M1684" s="6"/>
      <c r="N1684" s="6"/>
      <c r="O1684" s="6"/>
      <c r="P1684" s="6"/>
      <c r="Q1684" s="6"/>
      <c r="R1684" s="6"/>
      <c r="S1684" s="6"/>
      <c r="T1684" s="6"/>
    </row>
    <row r="1685" spans="4:20" x14ac:dyDescent="0.2">
      <c r="D1685" s="6"/>
      <c r="E1685" s="6"/>
      <c r="F1685" s="6"/>
      <c r="G1685" s="19"/>
      <c r="H1685" s="19"/>
      <c r="I1685" s="19"/>
      <c r="J1685" s="19"/>
      <c r="K1685" s="6"/>
      <c r="L1685" s="6"/>
      <c r="M1685" s="6"/>
      <c r="N1685" s="6"/>
      <c r="O1685" s="6"/>
      <c r="P1685" s="6"/>
      <c r="Q1685" s="6"/>
      <c r="R1685" s="6"/>
      <c r="S1685" s="6"/>
      <c r="T1685" s="6"/>
    </row>
    <row r="1686" spans="4:20" x14ac:dyDescent="0.2">
      <c r="D1686" s="6"/>
      <c r="E1686" s="6"/>
      <c r="F1686" s="6"/>
      <c r="G1686" s="19"/>
      <c r="H1686" s="19"/>
      <c r="I1686" s="19"/>
      <c r="J1686" s="19"/>
      <c r="K1686" s="6"/>
      <c r="L1686" s="6"/>
      <c r="M1686" s="6"/>
      <c r="N1686" s="6"/>
      <c r="O1686" s="6"/>
      <c r="P1686" s="6"/>
      <c r="Q1686" s="6"/>
      <c r="R1686" s="6"/>
      <c r="S1686" s="6"/>
      <c r="T1686" s="6"/>
    </row>
    <row r="1687" spans="4:20" x14ac:dyDescent="0.2">
      <c r="D1687" s="6"/>
      <c r="E1687" s="6"/>
      <c r="F1687" s="6"/>
      <c r="G1687" s="19"/>
      <c r="H1687" s="19"/>
      <c r="I1687" s="19"/>
      <c r="J1687" s="19"/>
      <c r="K1687" s="6"/>
      <c r="L1687" s="6"/>
      <c r="M1687" s="6"/>
      <c r="N1687" s="6"/>
      <c r="O1687" s="6"/>
      <c r="P1687" s="6"/>
      <c r="Q1687" s="6"/>
      <c r="R1687" s="6"/>
      <c r="S1687" s="6"/>
      <c r="T1687" s="6"/>
    </row>
    <row r="1688" spans="4:20" x14ac:dyDescent="0.2">
      <c r="D1688" s="6"/>
      <c r="E1688" s="6"/>
      <c r="F1688" s="6"/>
      <c r="G1688" s="19"/>
      <c r="H1688" s="19"/>
      <c r="I1688" s="19"/>
      <c r="J1688" s="19"/>
      <c r="K1688" s="6"/>
      <c r="L1688" s="6"/>
      <c r="M1688" s="6"/>
      <c r="N1688" s="6"/>
      <c r="O1688" s="6"/>
      <c r="P1688" s="6"/>
      <c r="Q1688" s="6"/>
      <c r="R1688" s="6"/>
      <c r="S1688" s="6"/>
      <c r="T1688" s="6"/>
    </row>
    <row r="1689" spans="4:20" x14ac:dyDescent="0.2">
      <c r="D1689" s="6"/>
      <c r="E1689" s="6"/>
      <c r="F1689" s="6"/>
      <c r="G1689" s="19"/>
      <c r="H1689" s="19"/>
      <c r="I1689" s="19"/>
      <c r="J1689" s="19"/>
      <c r="K1689" s="6"/>
      <c r="L1689" s="6"/>
      <c r="M1689" s="6"/>
      <c r="N1689" s="6"/>
      <c r="O1689" s="6"/>
      <c r="P1689" s="6"/>
      <c r="Q1689" s="6"/>
      <c r="R1689" s="6"/>
      <c r="S1689" s="6"/>
      <c r="T1689" s="6"/>
    </row>
    <row r="1690" spans="4:20" x14ac:dyDescent="0.2">
      <c r="D1690" s="6"/>
      <c r="E1690" s="6"/>
      <c r="F1690" s="6"/>
      <c r="G1690" s="19"/>
      <c r="H1690" s="19"/>
      <c r="I1690" s="19"/>
      <c r="J1690" s="19"/>
      <c r="K1690" s="6"/>
      <c r="L1690" s="6"/>
      <c r="M1690" s="6"/>
      <c r="N1690" s="6"/>
      <c r="O1690" s="6"/>
      <c r="P1690" s="6"/>
      <c r="Q1690" s="6"/>
      <c r="R1690" s="6"/>
      <c r="S1690" s="6"/>
      <c r="T1690" s="6"/>
    </row>
    <row r="1691" spans="4:20" x14ac:dyDescent="0.2">
      <c r="D1691" s="6"/>
      <c r="E1691" s="6"/>
      <c r="F1691" s="6"/>
      <c r="G1691" s="19"/>
      <c r="H1691" s="19"/>
      <c r="I1691" s="19"/>
      <c r="J1691" s="19"/>
      <c r="K1691" s="6"/>
      <c r="L1691" s="6"/>
      <c r="M1691" s="6"/>
      <c r="N1691" s="6"/>
      <c r="O1691" s="6"/>
      <c r="P1691" s="6"/>
      <c r="Q1691" s="6"/>
      <c r="R1691" s="6"/>
      <c r="S1691" s="6"/>
      <c r="T1691" s="6"/>
    </row>
    <row r="1692" spans="4:20" x14ac:dyDescent="0.2">
      <c r="D1692" s="6"/>
      <c r="E1692" s="6"/>
      <c r="F1692" s="6"/>
      <c r="G1692" s="19"/>
      <c r="H1692" s="19"/>
      <c r="I1692" s="19"/>
      <c r="J1692" s="19"/>
      <c r="K1692" s="6"/>
      <c r="L1692" s="6"/>
      <c r="M1692" s="6"/>
      <c r="N1692" s="6"/>
      <c r="O1692" s="6"/>
      <c r="P1692" s="6"/>
      <c r="Q1692" s="6"/>
      <c r="R1692" s="6"/>
      <c r="S1692" s="6"/>
      <c r="T1692" s="6"/>
    </row>
    <row r="1693" spans="4:20" x14ac:dyDescent="0.2">
      <c r="D1693" s="6"/>
      <c r="E1693" s="6"/>
      <c r="F1693" s="6"/>
      <c r="G1693" s="19"/>
      <c r="H1693" s="19"/>
      <c r="I1693" s="19"/>
      <c r="J1693" s="19"/>
      <c r="K1693" s="6"/>
      <c r="L1693" s="6"/>
      <c r="M1693" s="6"/>
      <c r="N1693" s="6"/>
      <c r="O1693" s="6"/>
      <c r="P1693" s="6"/>
      <c r="Q1693" s="6"/>
      <c r="R1693" s="6"/>
      <c r="S1693" s="6"/>
      <c r="T1693" s="6"/>
    </row>
    <row r="1694" spans="4:20" x14ac:dyDescent="0.2">
      <c r="D1694" s="6"/>
      <c r="E1694" s="6"/>
      <c r="F1694" s="6"/>
      <c r="G1694" s="19"/>
      <c r="H1694" s="19"/>
      <c r="I1694" s="19"/>
      <c r="J1694" s="19"/>
      <c r="K1694" s="6"/>
      <c r="L1694" s="6"/>
      <c r="M1694" s="6"/>
      <c r="N1694" s="6"/>
      <c r="O1694" s="6"/>
      <c r="P1694" s="6"/>
      <c r="Q1694" s="6"/>
      <c r="R1694" s="6"/>
      <c r="S1694" s="6"/>
      <c r="T1694" s="6"/>
    </row>
    <row r="1695" spans="4:20" x14ac:dyDescent="0.2">
      <c r="D1695" s="6"/>
      <c r="E1695" s="6"/>
      <c r="F1695" s="6"/>
      <c r="G1695" s="19"/>
      <c r="H1695" s="19"/>
      <c r="I1695" s="19"/>
      <c r="J1695" s="19"/>
      <c r="K1695" s="6"/>
      <c r="L1695" s="6"/>
      <c r="M1695" s="6"/>
      <c r="N1695" s="6"/>
      <c r="O1695" s="6"/>
      <c r="P1695" s="6"/>
      <c r="Q1695" s="6"/>
      <c r="R1695" s="6"/>
      <c r="S1695" s="6"/>
      <c r="T1695" s="6"/>
    </row>
    <row r="1696" spans="4:20" x14ac:dyDescent="0.2">
      <c r="D1696" s="6"/>
      <c r="E1696" s="6"/>
      <c r="F1696" s="6"/>
      <c r="G1696" s="19"/>
      <c r="H1696" s="19"/>
      <c r="I1696" s="19"/>
      <c r="J1696" s="19"/>
      <c r="K1696" s="6"/>
      <c r="L1696" s="6"/>
      <c r="M1696" s="6"/>
      <c r="N1696" s="6"/>
      <c r="O1696" s="6"/>
      <c r="P1696" s="6"/>
      <c r="Q1696" s="6"/>
      <c r="R1696" s="6"/>
      <c r="S1696" s="6"/>
      <c r="T1696" s="6"/>
    </row>
    <row r="1697" spans="4:20" x14ac:dyDescent="0.2">
      <c r="D1697" s="6"/>
      <c r="E1697" s="6"/>
      <c r="F1697" s="6"/>
      <c r="G1697" s="19"/>
      <c r="H1697" s="19"/>
      <c r="I1697" s="19"/>
      <c r="J1697" s="19"/>
      <c r="K1697" s="6"/>
      <c r="L1697" s="6"/>
      <c r="M1697" s="6"/>
      <c r="N1697" s="6"/>
      <c r="O1697" s="6"/>
      <c r="P1697" s="6"/>
      <c r="Q1697" s="6"/>
      <c r="R1697" s="6"/>
      <c r="S1697" s="6"/>
      <c r="T1697" s="6"/>
    </row>
    <row r="1698" spans="4:20" x14ac:dyDescent="0.2">
      <c r="D1698" s="6"/>
      <c r="E1698" s="6"/>
      <c r="F1698" s="6"/>
      <c r="G1698" s="19"/>
      <c r="H1698" s="19"/>
      <c r="I1698" s="19"/>
      <c r="J1698" s="19"/>
      <c r="K1698" s="6"/>
      <c r="L1698" s="6"/>
      <c r="M1698" s="6"/>
      <c r="N1698" s="6"/>
      <c r="O1698" s="6"/>
      <c r="P1698" s="6"/>
      <c r="Q1698" s="6"/>
      <c r="R1698" s="6"/>
      <c r="S1698" s="6"/>
      <c r="T1698" s="6"/>
    </row>
    <row r="1699" spans="4:20" x14ac:dyDescent="0.2">
      <c r="D1699" s="6"/>
      <c r="E1699" s="6"/>
      <c r="F1699" s="6"/>
      <c r="G1699" s="19"/>
      <c r="H1699" s="19"/>
      <c r="I1699" s="19"/>
      <c r="J1699" s="19"/>
      <c r="K1699" s="6"/>
      <c r="L1699" s="6"/>
      <c r="M1699" s="6"/>
      <c r="N1699" s="6"/>
      <c r="O1699" s="6"/>
      <c r="P1699" s="6"/>
      <c r="Q1699" s="6"/>
      <c r="R1699" s="6"/>
      <c r="S1699" s="6"/>
      <c r="T1699" s="6"/>
    </row>
    <row r="1700" spans="4:20" x14ac:dyDescent="0.2">
      <c r="D1700" s="6"/>
      <c r="E1700" s="6"/>
      <c r="F1700" s="6"/>
      <c r="G1700" s="19"/>
      <c r="H1700" s="19"/>
      <c r="I1700" s="19"/>
      <c r="J1700" s="19"/>
      <c r="K1700" s="6"/>
      <c r="L1700" s="6"/>
      <c r="M1700" s="6"/>
      <c r="N1700" s="6"/>
      <c r="O1700" s="6"/>
      <c r="P1700" s="6"/>
      <c r="Q1700" s="6"/>
      <c r="R1700" s="6"/>
      <c r="S1700" s="6"/>
      <c r="T1700" s="6"/>
    </row>
    <row r="1701" spans="4:20" x14ac:dyDescent="0.2">
      <c r="D1701" s="6"/>
      <c r="E1701" s="6"/>
      <c r="F1701" s="6"/>
      <c r="G1701" s="19"/>
      <c r="H1701" s="19"/>
      <c r="I1701" s="19"/>
      <c r="J1701" s="19"/>
      <c r="K1701" s="6"/>
      <c r="L1701" s="6"/>
      <c r="M1701" s="6"/>
      <c r="N1701" s="6"/>
      <c r="O1701" s="6"/>
      <c r="P1701" s="6"/>
      <c r="Q1701" s="6"/>
      <c r="R1701" s="6"/>
      <c r="S1701" s="6"/>
      <c r="T1701" s="6"/>
    </row>
    <row r="1702" spans="4:20" x14ac:dyDescent="0.2">
      <c r="D1702" s="6"/>
      <c r="E1702" s="6"/>
      <c r="F1702" s="6"/>
      <c r="G1702" s="19"/>
      <c r="H1702" s="19"/>
      <c r="I1702" s="19"/>
      <c r="J1702" s="19"/>
      <c r="K1702" s="6"/>
      <c r="L1702" s="6"/>
      <c r="M1702" s="6"/>
      <c r="N1702" s="6"/>
      <c r="O1702" s="6"/>
      <c r="P1702" s="6"/>
      <c r="Q1702" s="6"/>
      <c r="R1702" s="6"/>
      <c r="S1702" s="6"/>
      <c r="T1702" s="6"/>
    </row>
    <row r="1703" spans="4:20" x14ac:dyDescent="0.2">
      <c r="D1703" s="6"/>
      <c r="E1703" s="6"/>
      <c r="F1703" s="6"/>
      <c r="G1703" s="19"/>
      <c r="H1703" s="19"/>
      <c r="I1703" s="19"/>
      <c r="J1703" s="19"/>
      <c r="K1703" s="6"/>
      <c r="L1703" s="6"/>
      <c r="M1703" s="6"/>
      <c r="N1703" s="6"/>
      <c r="O1703" s="6"/>
      <c r="P1703" s="6"/>
      <c r="Q1703" s="6"/>
      <c r="R1703" s="6"/>
      <c r="S1703" s="6"/>
      <c r="T1703" s="6"/>
    </row>
    <row r="1704" spans="4:20" x14ac:dyDescent="0.2">
      <c r="D1704" s="6"/>
      <c r="E1704" s="6"/>
      <c r="F1704" s="6"/>
      <c r="G1704" s="19"/>
      <c r="H1704" s="19"/>
      <c r="I1704" s="19"/>
      <c r="J1704" s="19"/>
      <c r="K1704" s="6"/>
      <c r="L1704" s="6"/>
      <c r="M1704" s="6"/>
      <c r="N1704" s="6"/>
      <c r="O1704" s="6"/>
      <c r="P1704" s="6"/>
      <c r="Q1704" s="6"/>
      <c r="R1704" s="6"/>
      <c r="S1704" s="6"/>
      <c r="T1704" s="6"/>
    </row>
    <row r="1705" spans="4:20" x14ac:dyDescent="0.2">
      <c r="D1705" s="6"/>
      <c r="E1705" s="6"/>
      <c r="F1705" s="6"/>
      <c r="G1705" s="19"/>
      <c r="H1705" s="19"/>
      <c r="I1705" s="19"/>
      <c r="J1705" s="19"/>
      <c r="K1705" s="6"/>
      <c r="L1705" s="6"/>
      <c r="M1705" s="6"/>
      <c r="N1705" s="6"/>
      <c r="O1705" s="6"/>
      <c r="P1705" s="6"/>
      <c r="Q1705" s="6"/>
      <c r="R1705" s="6"/>
      <c r="S1705" s="6"/>
      <c r="T1705" s="6"/>
    </row>
    <row r="1706" spans="4:20" x14ac:dyDescent="0.2">
      <c r="D1706" s="6"/>
      <c r="E1706" s="6"/>
      <c r="F1706" s="6"/>
      <c r="G1706" s="19"/>
      <c r="H1706" s="19"/>
      <c r="I1706" s="19"/>
      <c r="J1706" s="19"/>
      <c r="K1706" s="6"/>
      <c r="L1706" s="6"/>
      <c r="M1706" s="6"/>
      <c r="N1706" s="6"/>
      <c r="O1706" s="6"/>
      <c r="P1706" s="6"/>
      <c r="Q1706" s="6"/>
      <c r="R1706" s="6"/>
      <c r="S1706" s="6"/>
      <c r="T1706" s="6"/>
    </row>
    <row r="1707" spans="4:20" x14ac:dyDescent="0.2">
      <c r="D1707" s="6"/>
      <c r="E1707" s="6"/>
      <c r="F1707" s="6"/>
      <c r="G1707" s="19"/>
      <c r="H1707" s="19"/>
      <c r="I1707" s="19"/>
      <c r="J1707" s="19"/>
      <c r="K1707" s="6"/>
      <c r="L1707" s="6"/>
      <c r="M1707" s="6"/>
      <c r="N1707" s="6"/>
      <c r="O1707" s="6"/>
      <c r="P1707" s="6"/>
      <c r="Q1707" s="6"/>
      <c r="R1707" s="6"/>
      <c r="S1707" s="6"/>
      <c r="T1707" s="6"/>
    </row>
    <row r="1708" spans="4:20" x14ac:dyDescent="0.2">
      <c r="D1708" s="6"/>
      <c r="E1708" s="6"/>
      <c r="F1708" s="6"/>
      <c r="G1708" s="19"/>
      <c r="H1708" s="19"/>
      <c r="I1708" s="19"/>
      <c r="J1708" s="19"/>
      <c r="K1708" s="6"/>
      <c r="L1708" s="6"/>
      <c r="M1708" s="6"/>
      <c r="N1708" s="6"/>
      <c r="O1708" s="6"/>
      <c r="P1708" s="6"/>
      <c r="Q1708" s="6"/>
      <c r="R1708" s="6"/>
      <c r="S1708" s="6"/>
      <c r="T1708" s="6"/>
    </row>
    <row r="1709" spans="4:20" x14ac:dyDescent="0.2">
      <c r="D1709" s="6"/>
      <c r="E1709" s="6"/>
      <c r="F1709" s="6"/>
      <c r="G1709" s="19"/>
      <c r="H1709" s="19"/>
      <c r="I1709" s="19"/>
      <c r="J1709" s="19"/>
      <c r="K1709" s="6"/>
      <c r="L1709" s="6"/>
      <c r="M1709" s="6"/>
      <c r="N1709" s="6"/>
      <c r="O1709" s="6"/>
      <c r="P1709" s="6"/>
      <c r="Q1709" s="6"/>
      <c r="R1709" s="6"/>
      <c r="S1709" s="6"/>
      <c r="T1709" s="6"/>
    </row>
    <row r="1710" spans="4:20" x14ac:dyDescent="0.2">
      <c r="D1710" s="6"/>
      <c r="E1710" s="6"/>
      <c r="F1710" s="6"/>
      <c r="G1710" s="19"/>
      <c r="H1710" s="19"/>
      <c r="I1710" s="19"/>
      <c r="J1710" s="19"/>
      <c r="K1710" s="6"/>
      <c r="L1710" s="6"/>
      <c r="M1710" s="6"/>
      <c r="N1710" s="6"/>
      <c r="O1710" s="6"/>
      <c r="P1710" s="6"/>
      <c r="Q1710" s="6"/>
      <c r="R1710" s="6"/>
      <c r="S1710" s="6"/>
      <c r="T1710" s="6"/>
    </row>
    <row r="1711" spans="4:20" x14ac:dyDescent="0.2">
      <c r="D1711" s="6"/>
      <c r="E1711" s="6"/>
      <c r="F1711" s="6"/>
      <c r="G1711" s="19"/>
      <c r="H1711" s="19"/>
      <c r="I1711" s="19"/>
      <c r="J1711" s="19"/>
      <c r="K1711" s="6"/>
      <c r="L1711" s="6"/>
      <c r="M1711" s="6"/>
      <c r="N1711" s="6"/>
      <c r="O1711" s="6"/>
      <c r="P1711" s="6"/>
      <c r="Q1711" s="6"/>
      <c r="R1711" s="6"/>
      <c r="S1711" s="6"/>
      <c r="T1711" s="6"/>
    </row>
    <row r="1712" spans="4:20" x14ac:dyDescent="0.2">
      <c r="D1712" s="6"/>
      <c r="E1712" s="6"/>
      <c r="F1712" s="6"/>
      <c r="G1712" s="19"/>
      <c r="H1712" s="19"/>
      <c r="I1712" s="19"/>
      <c r="J1712" s="19"/>
      <c r="K1712" s="6"/>
      <c r="L1712" s="6"/>
      <c r="M1712" s="6"/>
      <c r="N1712" s="6"/>
      <c r="O1712" s="6"/>
      <c r="P1712" s="6"/>
      <c r="Q1712" s="6"/>
      <c r="R1712" s="6"/>
      <c r="S1712" s="6"/>
      <c r="T1712" s="6"/>
    </row>
    <row r="1713" spans="4:20" x14ac:dyDescent="0.2">
      <c r="D1713" s="6"/>
      <c r="E1713" s="6"/>
      <c r="F1713" s="6"/>
      <c r="G1713" s="19"/>
      <c r="H1713" s="19"/>
      <c r="I1713" s="19"/>
      <c r="J1713" s="19"/>
      <c r="K1713" s="6"/>
      <c r="L1713" s="6"/>
      <c r="M1713" s="6"/>
      <c r="N1713" s="6"/>
      <c r="O1713" s="6"/>
      <c r="P1713" s="6"/>
      <c r="Q1713" s="6"/>
      <c r="R1713" s="6"/>
      <c r="S1713" s="6"/>
      <c r="T1713" s="6"/>
    </row>
    <row r="1714" spans="4:20" x14ac:dyDescent="0.2">
      <c r="D1714" s="6"/>
      <c r="E1714" s="6"/>
      <c r="F1714" s="6"/>
      <c r="G1714" s="19"/>
      <c r="H1714" s="19"/>
      <c r="I1714" s="19"/>
      <c r="J1714" s="19"/>
      <c r="K1714" s="6"/>
      <c r="L1714" s="6"/>
      <c r="M1714" s="6"/>
      <c r="N1714" s="6"/>
      <c r="O1714" s="6"/>
      <c r="P1714" s="6"/>
      <c r="Q1714" s="6"/>
      <c r="R1714" s="6"/>
      <c r="S1714" s="6"/>
      <c r="T1714" s="6"/>
    </row>
    <row r="1715" spans="4:20" x14ac:dyDescent="0.2">
      <c r="D1715" s="6"/>
      <c r="E1715" s="6"/>
      <c r="F1715" s="6"/>
      <c r="G1715" s="19"/>
      <c r="H1715" s="19"/>
      <c r="I1715" s="19"/>
      <c r="J1715" s="19"/>
      <c r="K1715" s="6"/>
      <c r="L1715" s="6"/>
      <c r="M1715" s="6"/>
      <c r="N1715" s="6"/>
      <c r="O1715" s="6"/>
      <c r="P1715" s="6"/>
      <c r="Q1715" s="6"/>
      <c r="R1715" s="6"/>
      <c r="S1715" s="6"/>
      <c r="T1715" s="6"/>
    </row>
    <row r="1716" spans="4:20" x14ac:dyDescent="0.2">
      <c r="D1716" s="6"/>
      <c r="E1716" s="6"/>
      <c r="F1716" s="6"/>
      <c r="G1716" s="19"/>
      <c r="H1716" s="19"/>
      <c r="I1716" s="19"/>
      <c r="J1716" s="19"/>
      <c r="K1716" s="6"/>
      <c r="L1716" s="6"/>
      <c r="M1716" s="6"/>
      <c r="N1716" s="6"/>
      <c r="O1716" s="6"/>
      <c r="P1716" s="6"/>
      <c r="Q1716" s="6"/>
      <c r="R1716" s="6"/>
      <c r="S1716" s="6"/>
      <c r="T1716" s="6"/>
    </row>
    <row r="1717" spans="4:20" x14ac:dyDescent="0.2">
      <c r="D1717" s="6"/>
      <c r="E1717" s="6"/>
      <c r="F1717" s="6"/>
      <c r="G1717" s="19"/>
      <c r="H1717" s="19"/>
      <c r="I1717" s="19"/>
      <c r="J1717" s="19"/>
      <c r="K1717" s="6"/>
      <c r="L1717" s="6"/>
      <c r="M1717" s="6"/>
      <c r="N1717" s="6"/>
      <c r="O1717" s="6"/>
      <c r="P1717" s="6"/>
      <c r="Q1717" s="6"/>
      <c r="R1717" s="6"/>
      <c r="S1717" s="6"/>
      <c r="T1717" s="6"/>
    </row>
    <row r="1718" spans="4:20" x14ac:dyDescent="0.2">
      <c r="D1718" s="6"/>
      <c r="E1718" s="6"/>
      <c r="F1718" s="6"/>
      <c r="G1718" s="19"/>
      <c r="H1718" s="19"/>
      <c r="I1718" s="19"/>
      <c r="J1718" s="19"/>
      <c r="K1718" s="6"/>
      <c r="L1718" s="6"/>
      <c r="M1718" s="6"/>
      <c r="N1718" s="6"/>
      <c r="O1718" s="6"/>
      <c r="P1718" s="6"/>
      <c r="Q1718" s="6"/>
      <c r="R1718" s="6"/>
      <c r="S1718" s="6"/>
      <c r="T1718" s="6"/>
    </row>
    <row r="1719" spans="4:20" x14ac:dyDescent="0.2">
      <c r="D1719" s="6"/>
      <c r="E1719" s="6"/>
      <c r="F1719" s="6"/>
      <c r="G1719" s="19"/>
      <c r="H1719" s="19"/>
      <c r="I1719" s="19"/>
      <c r="J1719" s="19"/>
      <c r="K1719" s="6"/>
      <c r="L1719" s="6"/>
      <c r="M1719" s="6"/>
      <c r="N1719" s="6"/>
      <c r="O1719" s="6"/>
      <c r="P1719" s="6"/>
      <c r="Q1719" s="6"/>
      <c r="R1719" s="6"/>
      <c r="S1719" s="6"/>
      <c r="T1719" s="6"/>
    </row>
    <row r="1720" spans="4:20" x14ac:dyDescent="0.2">
      <c r="D1720" s="6"/>
      <c r="E1720" s="6"/>
      <c r="F1720" s="6"/>
      <c r="G1720" s="19"/>
      <c r="H1720" s="19"/>
      <c r="I1720" s="19"/>
      <c r="J1720" s="19"/>
      <c r="K1720" s="6"/>
      <c r="L1720" s="6"/>
      <c r="M1720" s="6"/>
      <c r="N1720" s="6"/>
      <c r="O1720" s="6"/>
      <c r="P1720" s="6"/>
      <c r="Q1720" s="6"/>
      <c r="R1720" s="6"/>
      <c r="S1720" s="6"/>
      <c r="T1720" s="6"/>
    </row>
    <row r="1721" spans="4:20" x14ac:dyDescent="0.2">
      <c r="D1721" s="6"/>
      <c r="E1721" s="6"/>
      <c r="F1721" s="6"/>
      <c r="G1721" s="19"/>
      <c r="H1721" s="19"/>
      <c r="I1721" s="19"/>
      <c r="J1721" s="19"/>
      <c r="K1721" s="6"/>
      <c r="L1721" s="6"/>
      <c r="M1721" s="6"/>
      <c r="N1721" s="6"/>
      <c r="O1721" s="6"/>
      <c r="P1721" s="6"/>
      <c r="Q1721" s="6"/>
      <c r="R1721" s="6"/>
      <c r="S1721" s="6"/>
      <c r="T1721" s="6"/>
    </row>
    <row r="1722" spans="4:20" x14ac:dyDescent="0.2">
      <c r="D1722" s="6"/>
      <c r="E1722" s="6"/>
      <c r="F1722" s="6"/>
      <c r="G1722" s="19"/>
      <c r="H1722" s="19"/>
      <c r="I1722" s="19"/>
      <c r="J1722" s="19"/>
      <c r="K1722" s="6"/>
      <c r="L1722" s="6"/>
      <c r="M1722" s="6"/>
      <c r="N1722" s="6"/>
      <c r="O1722" s="6"/>
      <c r="P1722" s="6"/>
      <c r="Q1722" s="6"/>
      <c r="R1722" s="6"/>
      <c r="S1722" s="6"/>
      <c r="T1722" s="6"/>
    </row>
    <row r="1723" spans="4:20" x14ac:dyDescent="0.2">
      <c r="D1723" s="6"/>
      <c r="E1723" s="6"/>
      <c r="F1723" s="6"/>
      <c r="G1723" s="19"/>
      <c r="H1723" s="19"/>
      <c r="I1723" s="19"/>
      <c r="J1723" s="19"/>
      <c r="K1723" s="6"/>
      <c r="L1723" s="6"/>
      <c r="M1723" s="6"/>
      <c r="N1723" s="6"/>
      <c r="O1723" s="6"/>
      <c r="P1723" s="6"/>
      <c r="Q1723" s="6"/>
      <c r="R1723" s="6"/>
      <c r="S1723" s="6"/>
      <c r="T1723" s="6"/>
    </row>
    <row r="1724" spans="4:20" x14ac:dyDescent="0.2">
      <c r="D1724" s="6"/>
      <c r="E1724" s="6"/>
      <c r="F1724" s="6"/>
      <c r="G1724" s="19"/>
      <c r="H1724" s="19"/>
      <c r="I1724" s="19"/>
      <c r="J1724" s="19"/>
      <c r="K1724" s="6"/>
      <c r="L1724" s="6"/>
      <c r="M1724" s="6"/>
      <c r="N1724" s="6"/>
      <c r="O1724" s="6"/>
      <c r="P1724" s="6"/>
      <c r="Q1724" s="6"/>
      <c r="R1724" s="6"/>
      <c r="S1724" s="6"/>
      <c r="T1724" s="6"/>
    </row>
    <row r="1725" spans="4:20" x14ac:dyDescent="0.2">
      <c r="D1725" s="6"/>
      <c r="E1725" s="6"/>
      <c r="F1725" s="6"/>
      <c r="G1725" s="19"/>
      <c r="H1725" s="19"/>
      <c r="I1725" s="19"/>
      <c r="J1725" s="19"/>
      <c r="K1725" s="6"/>
      <c r="L1725" s="6"/>
      <c r="M1725" s="6"/>
      <c r="N1725" s="6"/>
      <c r="O1725" s="6"/>
      <c r="P1725" s="6"/>
      <c r="Q1725" s="6"/>
      <c r="R1725" s="6"/>
      <c r="S1725" s="6"/>
      <c r="T1725" s="6"/>
    </row>
    <row r="1726" spans="4:20" x14ac:dyDescent="0.2">
      <c r="D1726" s="6"/>
      <c r="E1726" s="6"/>
      <c r="F1726" s="6"/>
      <c r="G1726" s="19"/>
      <c r="H1726" s="19"/>
      <c r="I1726" s="19"/>
      <c r="J1726" s="19"/>
      <c r="K1726" s="6"/>
      <c r="L1726" s="6"/>
      <c r="M1726" s="6"/>
      <c r="N1726" s="6"/>
      <c r="O1726" s="6"/>
      <c r="P1726" s="6"/>
      <c r="Q1726" s="6"/>
      <c r="R1726" s="6"/>
      <c r="S1726" s="6"/>
      <c r="T1726" s="6"/>
    </row>
    <row r="1727" spans="4:20" x14ac:dyDescent="0.2">
      <c r="D1727" s="6"/>
      <c r="E1727" s="6"/>
      <c r="F1727" s="6"/>
      <c r="G1727" s="19"/>
      <c r="H1727" s="19"/>
      <c r="I1727" s="19"/>
      <c r="J1727" s="19"/>
      <c r="K1727" s="6"/>
      <c r="L1727" s="6"/>
      <c r="M1727" s="6"/>
      <c r="N1727" s="6"/>
      <c r="O1727" s="6"/>
      <c r="P1727" s="6"/>
      <c r="Q1727" s="6"/>
      <c r="R1727" s="6"/>
      <c r="S1727" s="6"/>
      <c r="T1727" s="6"/>
    </row>
    <row r="1728" spans="4:20" x14ac:dyDescent="0.2">
      <c r="D1728" s="6"/>
      <c r="E1728" s="6"/>
      <c r="F1728" s="6"/>
      <c r="G1728" s="19"/>
      <c r="H1728" s="19"/>
      <c r="I1728" s="19"/>
      <c r="J1728" s="19"/>
      <c r="K1728" s="6"/>
      <c r="L1728" s="6"/>
      <c r="M1728" s="6"/>
      <c r="N1728" s="6"/>
      <c r="O1728" s="6"/>
      <c r="P1728" s="6"/>
      <c r="Q1728" s="6"/>
      <c r="R1728" s="6"/>
      <c r="S1728" s="6"/>
      <c r="T1728" s="6"/>
    </row>
    <row r="1729" spans="4:20" x14ac:dyDescent="0.2">
      <c r="D1729" s="6"/>
      <c r="E1729" s="6"/>
      <c r="F1729" s="6"/>
      <c r="G1729" s="19"/>
      <c r="H1729" s="19"/>
      <c r="I1729" s="19"/>
      <c r="J1729" s="19"/>
      <c r="K1729" s="6"/>
      <c r="L1729" s="6"/>
      <c r="M1729" s="6"/>
      <c r="N1729" s="6"/>
      <c r="O1729" s="6"/>
      <c r="P1729" s="6"/>
      <c r="Q1729" s="6"/>
      <c r="R1729" s="6"/>
      <c r="S1729" s="6"/>
      <c r="T1729" s="6"/>
    </row>
    <row r="1730" spans="4:20" x14ac:dyDescent="0.2">
      <c r="D1730" s="6"/>
      <c r="E1730" s="6"/>
      <c r="F1730" s="6"/>
      <c r="G1730" s="19"/>
      <c r="H1730" s="19"/>
      <c r="I1730" s="19"/>
      <c r="J1730" s="19"/>
      <c r="K1730" s="6"/>
      <c r="L1730" s="6"/>
      <c r="M1730" s="6"/>
      <c r="N1730" s="6"/>
      <c r="O1730" s="6"/>
      <c r="P1730" s="6"/>
      <c r="Q1730" s="6"/>
      <c r="R1730" s="6"/>
      <c r="S1730" s="6"/>
      <c r="T1730" s="6"/>
    </row>
    <row r="1731" spans="4:20" x14ac:dyDescent="0.2">
      <c r="D1731" s="6"/>
      <c r="E1731" s="6"/>
      <c r="F1731" s="6"/>
      <c r="G1731" s="19"/>
      <c r="H1731" s="19"/>
      <c r="I1731" s="19"/>
      <c r="J1731" s="19"/>
      <c r="K1731" s="6"/>
      <c r="L1731" s="6"/>
      <c r="M1731" s="6"/>
      <c r="N1731" s="6"/>
      <c r="O1731" s="6"/>
      <c r="P1731" s="6"/>
      <c r="Q1731" s="6"/>
      <c r="R1731" s="6"/>
      <c r="S1731" s="6"/>
      <c r="T1731" s="6"/>
    </row>
    <row r="1732" spans="4:20" x14ac:dyDescent="0.2">
      <c r="D1732" s="6"/>
      <c r="E1732" s="6"/>
      <c r="F1732" s="6"/>
      <c r="G1732" s="19"/>
      <c r="H1732" s="19"/>
      <c r="I1732" s="19"/>
      <c r="J1732" s="19"/>
      <c r="K1732" s="6"/>
      <c r="L1732" s="6"/>
      <c r="M1732" s="6"/>
      <c r="N1732" s="6"/>
      <c r="O1732" s="6"/>
      <c r="P1732" s="6"/>
      <c r="Q1732" s="6"/>
      <c r="R1732" s="6"/>
      <c r="S1732" s="6"/>
      <c r="T1732" s="6"/>
    </row>
    <row r="1733" spans="4:20" x14ac:dyDescent="0.2">
      <c r="D1733" s="6"/>
      <c r="E1733" s="6"/>
      <c r="F1733" s="6"/>
      <c r="G1733" s="19"/>
      <c r="H1733" s="19"/>
      <c r="I1733" s="19"/>
      <c r="J1733" s="19"/>
      <c r="K1733" s="6"/>
      <c r="L1733" s="6"/>
      <c r="M1733" s="6"/>
      <c r="N1733" s="6"/>
      <c r="O1733" s="6"/>
      <c r="P1733" s="6"/>
      <c r="Q1733" s="6"/>
      <c r="R1733" s="6"/>
      <c r="S1733" s="6"/>
      <c r="T1733" s="6"/>
    </row>
    <row r="1734" spans="4:20" x14ac:dyDescent="0.2">
      <c r="D1734" s="6"/>
      <c r="E1734" s="6"/>
      <c r="F1734" s="6"/>
      <c r="G1734" s="19"/>
      <c r="H1734" s="19"/>
      <c r="I1734" s="19"/>
      <c r="J1734" s="19"/>
      <c r="K1734" s="6"/>
      <c r="L1734" s="6"/>
      <c r="M1734" s="6"/>
      <c r="N1734" s="6"/>
      <c r="O1734" s="6"/>
      <c r="P1734" s="6"/>
      <c r="Q1734" s="6"/>
      <c r="R1734" s="6"/>
      <c r="S1734" s="6"/>
      <c r="T1734" s="6"/>
    </row>
    <row r="1735" spans="4:20" x14ac:dyDescent="0.2">
      <c r="D1735" s="6"/>
      <c r="E1735" s="6"/>
      <c r="F1735" s="6"/>
      <c r="G1735" s="19"/>
      <c r="H1735" s="19"/>
      <c r="I1735" s="19"/>
      <c r="J1735" s="19"/>
      <c r="K1735" s="6"/>
      <c r="L1735" s="6"/>
      <c r="M1735" s="6"/>
      <c r="N1735" s="6"/>
      <c r="O1735" s="6"/>
      <c r="P1735" s="6"/>
      <c r="Q1735" s="6"/>
      <c r="R1735" s="6"/>
      <c r="S1735" s="6"/>
      <c r="T1735" s="6"/>
    </row>
    <row r="1736" spans="4:20" x14ac:dyDescent="0.2">
      <c r="D1736" s="6"/>
      <c r="E1736" s="6"/>
      <c r="F1736" s="6"/>
      <c r="G1736" s="19"/>
      <c r="H1736" s="19"/>
      <c r="I1736" s="19"/>
      <c r="J1736" s="19"/>
      <c r="K1736" s="6"/>
      <c r="L1736" s="6"/>
      <c r="M1736" s="6"/>
      <c r="N1736" s="6"/>
      <c r="O1736" s="6"/>
      <c r="P1736" s="6"/>
      <c r="Q1736" s="6"/>
      <c r="R1736" s="6"/>
      <c r="S1736" s="6"/>
      <c r="T1736" s="6"/>
    </row>
    <row r="1737" spans="4:20" x14ac:dyDescent="0.2">
      <c r="D1737" s="6"/>
      <c r="E1737" s="6"/>
      <c r="F1737" s="6"/>
      <c r="G1737" s="19"/>
      <c r="H1737" s="19"/>
      <c r="I1737" s="19"/>
      <c r="J1737" s="19"/>
      <c r="K1737" s="6"/>
      <c r="L1737" s="6"/>
      <c r="M1737" s="6"/>
      <c r="N1737" s="6"/>
      <c r="O1737" s="6"/>
      <c r="P1737" s="6"/>
      <c r="Q1737" s="6"/>
      <c r="R1737" s="6"/>
      <c r="S1737" s="6"/>
      <c r="T1737" s="6"/>
    </row>
    <row r="1738" spans="4:20" x14ac:dyDescent="0.2">
      <c r="D1738" s="6"/>
      <c r="E1738" s="6"/>
      <c r="F1738" s="6"/>
      <c r="G1738" s="19"/>
      <c r="H1738" s="19"/>
      <c r="I1738" s="19"/>
      <c r="J1738" s="19"/>
      <c r="K1738" s="6"/>
      <c r="L1738" s="6"/>
      <c r="M1738" s="6"/>
      <c r="N1738" s="6"/>
      <c r="O1738" s="6"/>
      <c r="P1738" s="6"/>
      <c r="Q1738" s="6"/>
      <c r="R1738" s="6"/>
      <c r="S1738" s="6"/>
      <c r="T1738" s="6"/>
    </row>
    <row r="1739" spans="4:20" x14ac:dyDescent="0.2">
      <c r="D1739" s="6"/>
      <c r="E1739" s="6"/>
      <c r="F1739" s="6"/>
      <c r="G1739" s="19"/>
      <c r="H1739" s="19"/>
      <c r="I1739" s="19"/>
      <c r="J1739" s="19"/>
      <c r="K1739" s="6"/>
      <c r="L1739" s="6"/>
      <c r="M1739" s="6"/>
      <c r="N1739" s="6"/>
      <c r="O1739" s="6"/>
      <c r="P1739" s="6"/>
      <c r="Q1739" s="6"/>
      <c r="R1739" s="6"/>
      <c r="S1739" s="6"/>
      <c r="T1739" s="6"/>
    </row>
    <row r="1740" spans="4:20" x14ac:dyDescent="0.2">
      <c r="D1740" s="6"/>
      <c r="E1740" s="6"/>
      <c r="F1740" s="6"/>
      <c r="G1740" s="19"/>
      <c r="H1740" s="19"/>
      <c r="I1740" s="19"/>
      <c r="J1740" s="19"/>
      <c r="K1740" s="6"/>
      <c r="L1740" s="6"/>
      <c r="M1740" s="6"/>
      <c r="N1740" s="6"/>
      <c r="O1740" s="6"/>
      <c r="P1740" s="6"/>
      <c r="Q1740" s="6"/>
      <c r="R1740" s="6"/>
      <c r="S1740" s="6"/>
      <c r="T1740" s="6"/>
    </row>
    <row r="1741" spans="4:20" x14ac:dyDescent="0.2">
      <c r="D1741" s="6"/>
      <c r="E1741" s="6"/>
      <c r="F1741" s="6"/>
      <c r="G1741" s="19"/>
      <c r="H1741" s="19"/>
      <c r="I1741" s="19"/>
      <c r="J1741" s="19"/>
      <c r="K1741" s="6"/>
      <c r="L1741" s="6"/>
      <c r="M1741" s="6"/>
      <c r="N1741" s="6"/>
      <c r="O1741" s="6"/>
      <c r="P1741" s="6"/>
      <c r="Q1741" s="6"/>
      <c r="R1741" s="6"/>
      <c r="S1741" s="6"/>
      <c r="T1741" s="6"/>
    </row>
    <row r="1742" spans="4:20" x14ac:dyDescent="0.2">
      <c r="D1742" s="6"/>
      <c r="E1742" s="6"/>
      <c r="F1742" s="6"/>
      <c r="G1742" s="19"/>
      <c r="H1742" s="19"/>
      <c r="I1742" s="19"/>
      <c r="J1742" s="19"/>
      <c r="K1742" s="6"/>
      <c r="L1742" s="6"/>
      <c r="M1742" s="6"/>
      <c r="N1742" s="6"/>
      <c r="O1742" s="6"/>
      <c r="P1742" s="6"/>
      <c r="Q1742" s="6"/>
      <c r="R1742" s="6"/>
      <c r="S1742" s="6"/>
      <c r="T1742" s="6"/>
    </row>
    <row r="1743" spans="4:20" x14ac:dyDescent="0.2">
      <c r="D1743" s="6"/>
      <c r="E1743" s="6"/>
      <c r="F1743" s="6"/>
      <c r="G1743" s="19"/>
      <c r="H1743" s="19"/>
      <c r="I1743" s="19"/>
      <c r="J1743" s="19"/>
      <c r="K1743" s="6"/>
      <c r="L1743" s="6"/>
      <c r="M1743" s="6"/>
      <c r="N1743" s="6"/>
      <c r="O1743" s="6"/>
      <c r="P1743" s="6"/>
      <c r="Q1743" s="6"/>
      <c r="R1743" s="6"/>
      <c r="S1743" s="6"/>
      <c r="T1743" s="6"/>
    </row>
    <row r="1744" spans="4:20" x14ac:dyDescent="0.2">
      <c r="D1744" s="6"/>
      <c r="E1744" s="6"/>
      <c r="F1744" s="6"/>
      <c r="G1744" s="19"/>
      <c r="H1744" s="19"/>
      <c r="I1744" s="19"/>
      <c r="J1744" s="19"/>
      <c r="K1744" s="6"/>
      <c r="L1744" s="6"/>
      <c r="M1744" s="6"/>
      <c r="N1744" s="6"/>
      <c r="O1744" s="6"/>
      <c r="P1744" s="6"/>
      <c r="Q1744" s="6"/>
      <c r="R1744" s="6"/>
      <c r="S1744" s="6"/>
      <c r="T1744" s="6"/>
    </row>
    <row r="1745" spans="4:20" x14ac:dyDescent="0.2">
      <c r="D1745" s="6"/>
      <c r="E1745" s="6"/>
      <c r="F1745" s="6"/>
      <c r="G1745" s="19"/>
      <c r="H1745" s="19"/>
      <c r="I1745" s="19"/>
      <c r="J1745" s="19"/>
      <c r="K1745" s="6"/>
      <c r="L1745" s="6"/>
      <c r="M1745" s="6"/>
      <c r="N1745" s="6"/>
      <c r="O1745" s="6"/>
      <c r="P1745" s="6"/>
      <c r="Q1745" s="6"/>
      <c r="R1745" s="6"/>
      <c r="S1745" s="6"/>
      <c r="T1745" s="6"/>
    </row>
    <row r="1746" spans="4:20" x14ac:dyDescent="0.2">
      <c r="D1746" s="6"/>
      <c r="E1746" s="6"/>
      <c r="F1746" s="6"/>
      <c r="G1746" s="19"/>
      <c r="H1746" s="19"/>
      <c r="I1746" s="19"/>
      <c r="J1746" s="19"/>
      <c r="K1746" s="6"/>
      <c r="L1746" s="6"/>
      <c r="M1746" s="6"/>
      <c r="N1746" s="6"/>
      <c r="O1746" s="6"/>
      <c r="P1746" s="6"/>
      <c r="Q1746" s="6"/>
      <c r="R1746" s="6"/>
      <c r="S1746" s="6"/>
      <c r="T1746" s="6"/>
    </row>
    <row r="1747" spans="4:20" x14ac:dyDescent="0.2">
      <c r="D1747" s="6"/>
      <c r="E1747" s="6"/>
      <c r="F1747" s="6"/>
      <c r="G1747" s="19"/>
      <c r="H1747" s="19"/>
      <c r="I1747" s="19"/>
      <c r="J1747" s="19"/>
      <c r="K1747" s="6"/>
      <c r="L1747" s="6"/>
      <c r="M1747" s="6"/>
      <c r="N1747" s="6"/>
      <c r="O1747" s="6"/>
      <c r="P1747" s="6"/>
      <c r="Q1747" s="6"/>
      <c r="R1747" s="6"/>
      <c r="S1747" s="6"/>
      <c r="T1747" s="6"/>
    </row>
    <row r="1748" spans="4:20" x14ac:dyDescent="0.2">
      <c r="D1748" s="6"/>
      <c r="E1748" s="6"/>
      <c r="F1748" s="6"/>
      <c r="G1748" s="19"/>
      <c r="H1748" s="19"/>
      <c r="I1748" s="19"/>
      <c r="J1748" s="19"/>
      <c r="K1748" s="6"/>
      <c r="L1748" s="6"/>
      <c r="M1748" s="6"/>
      <c r="N1748" s="6"/>
      <c r="O1748" s="6"/>
      <c r="P1748" s="6"/>
      <c r="Q1748" s="6"/>
      <c r="R1748" s="6"/>
      <c r="S1748" s="6"/>
      <c r="T1748" s="6"/>
    </row>
    <row r="1749" spans="4:20" x14ac:dyDescent="0.2">
      <c r="D1749" s="6"/>
      <c r="E1749" s="6"/>
      <c r="F1749" s="6"/>
      <c r="G1749" s="19"/>
      <c r="H1749" s="19"/>
      <c r="I1749" s="19"/>
      <c r="J1749" s="19"/>
      <c r="K1749" s="6"/>
      <c r="L1749" s="6"/>
      <c r="M1749" s="6"/>
      <c r="N1749" s="6"/>
      <c r="O1749" s="6"/>
      <c r="P1749" s="6"/>
      <c r="Q1749" s="6"/>
      <c r="R1749" s="6"/>
      <c r="S1749" s="6"/>
      <c r="T1749" s="6"/>
    </row>
    <row r="1750" spans="4:20" x14ac:dyDescent="0.2">
      <c r="D1750" s="6"/>
      <c r="E1750" s="6"/>
      <c r="F1750" s="6"/>
      <c r="G1750" s="19"/>
      <c r="H1750" s="19"/>
      <c r="I1750" s="19"/>
      <c r="J1750" s="19"/>
      <c r="K1750" s="6"/>
      <c r="L1750" s="6"/>
      <c r="M1750" s="6"/>
      <c r="N1750" s="6"/>
      <c r="O1750" s="6"/>
      <c r="P1750" s="6"/>
      <c r="Q1750" s="6"/>
      <c r="R1750" s="6"/>
      <c r="S1750" s="6"/>
      <c r="T1750" s="6"/>
    </row>
    <row r="1751" spans="4:20" x14ac:dyDescent="0.2">
      <c r="D1751" s="6"/>
      <c r="E1751" s="6"/>
      <c r="F1751" s="6"/>
      <c r="G1751" s="19"/>
      <c r="H1751" s="19"/>
      <c r="I1751" s="19"/>
      <c r="J1751" s="19"/>
      <c r="K1751" s="6"/>
      <c r="L1751" s="6"/>
      <c r="M1751" s="6"/>
      <c r="N1751" s="6"/>
      <c r="O1751" s="6"/>
      <c r="P1751" s="6"/>
      <c r="Q1751" s="6"/>
      <c r="R1751" s="6"/>
      <c r="S1751" s="6"/>
      <c r="T1751" s="6"/>
    </row>
    <row r="1752" spans="4:20" x14ac:dyDescent="0.2">
      <c r="D1752" s="6"/>
      <c r="E1752" s="6"/>
      <c r="F1752" s="6"/>
      <c r="G1752" s="19"/>
      <c r="H1752" s="19"/>
      <c r="I1752" s="19"/>
      <c r="J1752" s="19"/>
      <c r="K1752" s="6"/>
      <c r="L1752" s="6"/>
      <c r="M1752" s="6"/>
      <c r="N1752" s="6"/>
      <c r="O1752" s="6"/>
      <c r="P1752" s="6"/>
      <c r="Q1752" s="6"/>
      <c r="R1752" s="6"/>
      <c r="S1752" s="6"/>
      <c r="T1752" s="6"/>
    </row>
    <row r="1753" spans="4:20" x14ac:dyDescent="0.2">
      <c r="D1753" s="6"/>
      <c r="E1753" s="6"/>
      <c r="F1753" s="6"/>
      <c r="G1753" s="19"/>
      <c r="H1753" s="19"/>
      <c r="I1753" s="19"/>
      <c r="J1753" s="19"/>
      <c r="K1753" s="6"/>
      <c r="L1753" s="6"/>
      <c r="M1753" s="6"/>
      <c r="N1753" s="6"/>
      <c r="O1753" s="6"/>
      <c r="P1753" s="6"/>
      <c r="Q1753" s="6"/>
      <c r="R1753" s="6"/>
      <c r="S1753" s="6"/>
      <c r="T1753" s="6"/>
    </row>
    <row r="1754" spans="4:20" x14ac:dyDescent="0.2">
      <c r="D1754" s="6"/>
      <c r="E1754" s="6"/>
      <c r="F1754" s="6"/>
      <c r="G1754" s="19"/>
      <c r="H1754" s="19"/>
      <c r="I1754" s="19"/>
      <c r="J1754" s="19"/>
      <c r="K1754" s="6"/>
      <c r="L1754" s="6"/>
      <c r="M1754" s="6"/>
      <c r="N1754" s="6"/>
      <c r="O1754" s="6"/>
      <c r="P1754" s="6"/>
      <c r="Q1754" s="6"/>
      <c r="R1754" s="6"/>
      <c r="S1754" s="6"/>
      <c r="T1754" s="6"/>
    </row>
    <row r="1755" spans="4:20" x14ac:dyDescent="0.2">
      <c r="D1755" s="6"/>
      <c r="E1755" s="6"/>
      <c r="F1755" s="6"/>
      <c r="G1755" s="19"/>
      <c r="H1755" s="19"/>
      <c r="I1755" s="19"/>
      <c r="J1755" s="19"/>
      <c r="K1755" s="6"/>
      <c r="L1755" s="6"/>
      <c r="M1755" s="6"/>
      <c r="N1755" s="6"/>
      <c r="O1755" s="6"/>
      <c r="P1755" s="6"/>
      <c r="Q1755" s="6"/>
      <c r="R1755" s="6"/>
      <c r="S1755" s="6"/>
      <c r="T1755" s="6"/>
    </row>
    <row r="1756" spans="4:20" x14ac:dyDescent="0.2">
      <c r="D1756" s="6"/>
      <c r="E1756" s="6"/>
      <c r="F1756" s="6"/>
      <c r="G1756" s="19"/>
      <c r="H1756" s="19"/>
      <c r="I1756" s="19"/>
      <c r="J1756" s="19"/>
      <c r="K1756" s="6"/>
      <c r="L1756" s="6"/>
      <c r="M1756" s="6"/>
      <c r="N1756" s="6"/>
      <c r="O1756" s="6"/>
      <c r="P1756" s="6"/>
      <c r="Q1756" s="6"/>
      <c r="R1756" s="6"/>
      <c r="S1756" s="6"/>
      <c r="T1756" s="6"/>
    </row>
    <row r="1757" spans="4:20" x14ac:dyDescent="0.2">
      <c r="D1757" s="6"/>
      <c r="E1757" s="6"/>
      <c r="F1757" s="6"/>
      <c r="G1757" s="19"/>
      <c r="H1757" s="19"/>
      <c r="I1757" s="19"/>
      <c r="J1757" s="19"/>
      <c r="K1757" s="6"/>
      <c r="L1757" s="6"/>
      <c r="M1757" s="6"/>
      <c r="N1757" s="6"/>
      <c r="O1757" s="6"/>
      <c r="P1757" s="6"/>
      <c r="Q1757" s="6"/>
      <c r="R1757" s="6"/>
      <c r="S1757" s="6"/>
      <c r="T1757" s="6"/>
    </row>
    <row r="1758" spans="4:20" x14ac:dyDescent="0.2">
      <c r="D1758" s="6"/>
      <c r="E1758" s="6"/>
      <c r="F1758" s="6"/>
      <c r="G1758" s="19"/>
      <c r="H1758" s="19"/>
      <c r="I1758" s="19"/>
      <c r="J1758" s="19"/>
      <c r="K1758" s="6"/>
      <c r="L1758" s="6"/>
      <c r="M1758" s="6"/>
      <c r="N1758" s="6"/>
      <c r="O1758" s="6"/>
      <c r="P1758" s="6"/>
      <c r="Q1758" s="6"/>
      <c r="R1758" s="6"/>
      <c r="S1758" s="6"/>
      <c r="T1758" s="6"/>
    </row>
    <row r="1759" spans="4:20" x14ac:dyDescent="0.2">
      <c r="D1759" s="6"/>
      <c r="E1759" s="6"/>
      <c r="F1759" s="6"/>
      <c r="G1759" s="19"/>
      <c r="H1759" s="19"/>
      <c r="I1759" s="19"/>
      <c r="J1759" s="19"/>
      <c r="K1759" s="6"/>
      <c r="L1759" s="6"/>
      <c r="M1759" s="6"/>
      <c r="N1759" s="6"/>
      <c r="O1759" s="6"/>
      <c r="P1759" s="6"/>
      <c r="Q1759" s="6"/>
      <c r="R1759" s="6"/>
      <c r="S1759" s="6"/>
      <c r="T1759" s="6"/>
    </row>
    <row r="1760" spans="4:20" x14ac:dyDescent="0.2">
      <c r="D1760" s="6"/>
      <c r="E1760" s="6"/>
      <c r="F1760" s="6"/>
      <c r="G1760" s="19"/>
      <c r="H1760" s="19"/>
      <c r="I1760" s="19"/>
      <c r="J1760" s="19"/>
      <c r="K1760" s="6"/>
      <c r="L1760" s="6"/>
      <c r="M1760" s="6"/>
      <c r="N1760" s="6"/>
      <c r="O1760" s="6"/>
      <c r="P1760" s="6"/>
      <c r="Q1760" s="6"/>
      <c r="R1760" s="6"/>
      <c r="S1760" s="6"/>
      <c r="T1760" s="6"/>
    </row>
    <row r="1761" spans="4:20" x14ac:dyDescent="0.2">
      <c r="D1761" s="6"/>
      <c r="E1761" s="6"/>
      <c r="F1761" s="6"/>
      <c r="G1761" s="19"/>
      <c r="H1761" s="19"/>
      <c r="I1761" s="19"/>
      <c r="J1761" s="19"/>
      <c r="K1761" s="6"/>
      <c r="L1761" s="6"/>
      <c r="M1761" s="6"/>
      <c r="N1761" s="6"/>
      <c r="O1761" s="6"/>
      <c r="P1761" s="6"/>
      <c r="Q1761" s="6"/>
      <c r="R1761" s="6"/>
      <c r="S1761" s="6"/>
      <c r="T1761" s="6"/>
    </row>
    <row r="1762" spans="4:20" x14ac:dyDescent="0.2">
      <c r="D1762" s="6"/>
      <c r="E1762" s="6"/>
      <c r="F1762" s="6"/>
      <c r="G1762" s="19"/>
      <c r="H1762" s="19"/>
      <c r="I1762" s="19"/>
      <c r="J1762" s="19"/>
      <c r="K1762" s="6"/>
      <c r="L1762" s="6"/>
      <c r="M1762" s="6"/>
      <c r="N1762" s="6"/>
      <c r="O1762" s="6"/>
      <c r="P1762" s="6"/>
      <c r="Q1762" s="6"/>
      <c r="R1762" s="6"/>
      <c r="S1762" s="6"/>
      <c r="T1762" s="6"/>
    </row>
    <row r="1763" spans="4:20" x14ac:dyDescent="0.2">
      <c r="D1763" s="6"/>
      <c r="E1763" s="6"/>
      <c r="F1763" s="6"/>
      <c r="G1763" s="19"/>
      <c r="H1763" s="19"/>
      <c r="I1763" s="19"/>
      <c r="J1763" s="19"/>
      <c r="K1763" s="6"/>
      <c r="L1763" s="6"/>
      <c r="M1763" s="6"/>
      <c r="N1763" s="6"/>
      <c r="O1763" s="6"/>
      <c r="P1763" s="6"/>
      <c r="Q1763" s="6"/>
      <c r="R1763" s="6"/>
      <c r="S1763" s="6"/>
      <c r="T1763" s="6"/>
    </row>
    <row r="1764" spans="4:20" x14ac:dyDescent="0.2">
      <c r="D1764" s="6"/>
      <c r="E1764" s="6"/>
      <c r="F1764" s="6"/>
      <c r="G1764" s="19"/>
      <c r="H1764" s="19"/>
      <c r="I1764" s="19"/>
      <c r="J1764" s="19"/>
      <c r="K1764" s="6"/>
      <c r="L1764" s="6"/>
      <c r="M1764" s="6"/>
      <c r="N1764" s="6"/>
      <c r="O1764" s="6"/>
      <c r="P1764" s="6"/>
      <c r="Q1764" s="6"/>
      <c r="R1764" s="6"/>
      <c r="S1764" s="6"/>
      <c r="T1764" s="6"/>
    </row>
    <row r="1765" spans="4:20" x14ac:dyDescent="0.2">
      <c r="D1765" s="6"/>
      <c r="E1765" s="6"/>
      <c r="F1765" s="6"/>
      <c r="G1765" s="19"/>
      <c r="H1765" s="19"/>
      <c r="I1765" s="19"/>
      <c r="J1765" s="19"/>
      <c r="K1765" s="6"/>
      <c r="L1765" s="6"/>
      <c r="M1765" s="6"/>
      <c r="N1765" s="6"/>
      <c r="O1765" s="6"/>
      <c r="P1765" s="6"/>
      <c r="Q1765" s="6"/>
      <c r="R1765" s="6"/>
      <c r="S1765" s="6"/>
      <c r="T1765" s="6"/>
    </row>
    <row r="1766" spans="4:20" x14ac:dyDescent="0.2">
      <c r="D1766" s="6"/>
      <c r="E1766" s="6"/>
      <c r="F1766" s="6"/>
      <c r="G1766" s="19"/>
      <c r="H1766" s="19"/>
      <c r="I1766" s="19"/>
      <c r="J1766" s="19"/>
      <c r="K1766" s="6"/>
      <c r="L1766" s="6"/>
      <c r="M1766" s="6"/>
      <c r="N1766" s="6"/>
      <c r="O1766" s="6"/>
      <c r="P1766" s="6"/>
      <c r="Q1766" s="6"/>
      <c r="R1766" s="6"/>
      <c r="S1766" s="6"/>
      <c r="T1766" s="6"/>
    </row>
    <row r="1767" spans="4:20" x14ac:dyDescent="0.2">
      <c r="D1767" s="6"/>
      <c r="E1767" s="6"/>
      <c r="F1767" s="6"/>
      <c r="G1767" s="19"/>
      <c r="H1767" s="19"/>
      <c r="I1767" s="19"/>
      <c r="J1767" s="19"/>
      <c r="K1767" s="6"/>
      <c r="L1767" s="6"/>
      <c r="M1767" s="6"/>
      <c r="N1767" s="6"/>
      <c r="O1767" s="6"/>
      <c r="P1767" s="6"/>
      <c r="Q1767" s="6"/>
      <c r="R1767" s="6"/>
      <c r="S1767" s="6"/>
      <c r="T1767" s="6"/>
    </row>
    <row r="1768" spans="4:20" x14ac:dyDescent="0.2">
      <c r="D1768" s="6"/>
      <c r="E1768" s="6"/>
      <c r="F1768" s="6"/>
      <c r="G1768" s="19"/>
      <c r="H1768" s="19"/>
      <c r="I1768" s="19"/>
      <c r="J1768" s="19"/>
      <c r="K1768" s="6"/>
      <c r="L1768" s="6"/>
      <c r="M1768" s="6"/>
      <c r="N1768" s="6"/>
      <c r="O1768" s="6"/>
      <c r="P1768" s="6"/>
      <c r="Q1768" s="6"/>
      <c r="R1768" s="6"/>
      <c r="S1768" s="6"/>
      <c r="T1768" s="6"/>
    </row>
    <row r="1769" spans="4:20" x14ac:dyDescent="0.2">
      <c r="D1769" s="6"/>
      <c r="E1769" s="6"/>
      <c r="F1769" s="6"/>
      <c r="G1769" s="19"/>
      <c r="H1769" s="19"/>
      <c r="I1769" s="19"/>
      <c r="J1769" s="19"/>
      <c r="K1769" s="6"/>
      <c r="L1769" s="6"/>
      <c r="M1769" s="6"/>
      <c r="N1769" s="6"/>
      <c r="O1769" s="6"/>
      <c r="P1769" s="6"/>
      <c r="Q1769" s="6"/>
      <c r="R1769" s="6"/>
      <c r="S1769" s="6"/>
      <c r="T1769" s="6"/>
    </row>
    <row r="1770" spans="4:20" x14ac:dyDescent="0.2">
      <c r="D1770" s="6"/>
      <c r="E1770" s="6"/>
      <c r="F1770" s="6"/>
      <c r="G1770" s="19"/>
      <c r="H1770" s="19"/>
      <c r="I1770" s="19"/>
      <c r="J1770" s="19"/>
      <c r="K1770" s="6"/>
      <c r="L1770" s="6"/>
      <c r="M1770" s="6"/>
      <c r="N1770" s="6"/>
      <c r="O1770" s="6"/>
      <c r="P1770" s="6"/>
      <c r="Q1770" s="6"/>
      <c r="R1770" s="6"/>
      <c r="S1770" s="6"/>
      <c r="T1770" s="6"/>
    </row>
    <row r="1771" spans="4:20" x14ac:dyDescent="0.2">
      <c r="D1771" s="6"/>
      <c r="E1771" s="6"/>
      <c r="F1771" s="6"/>
      <c r="G1771" s="19"/>
      <c r="H1771" s="19"/>
      <c r="I1771" s="19"/>
      <c r="J1771" s="19"/>
      <c r="K1771" s="6"/>
      <c r="L1771" s="6"/>
      <c r="M1771" s="6"/>
      <c r="N1771" s="6"/>
      <c r="O1771" s="6"/>
      <c r="P1771" s="6"/>
      <c r="Q1771" s="6"/>
      <c r="R1771" s="6"/>
      <c r="S1771" s="6"/>
      <c r="T1771" s="6"/>
    </row>
    <row r="1772" spans="4:20" x14ac:dyDescent="0.2">
      <c r="D1772" s="6"/>
      <c r="E1772" s="6"/>
      <c r="F1772" s="6"/>
      <c r="G1772" s="19"/>
      <c r="H1772" s="19"/>
      <c r="I1772" s="19"/>
      <c r="J1772" s="19"/>
      <c r="K1772" s="6"/>
      <c r="L1772" s="6"/>
      <c r="M1772" s="6"/>
      <c r="N1772" s="6"/>
      <c r="O1772" s="6"/>
      <c r="P1772" s="6"/>
      <c r="Q1772" s="6"/>
      <c r="R1772" s="6"/>
      <c r="S1772" s="6"/>
      <c r="T1772" s="6"/>
    </row>
    <row r="1773" spans="4:20" x14ac:dyDescent="0.2">
      <c r="D1773" s="6"/>
      <c r="E1773" s="6"/>
      <c r="F1773" s="6"/>
      <c r="G1773" s="19"/>
      <c r="H1773" s="19"/>
      <c r="I1773" s="19"/>
      <c r="J1773" s="19"/>
      <c r="K1773" s="6"/>
      <c r="L1773" s="6"/>
      <c r="M1773" s="6"/>
      <c r="N1773" s="6"/>
      <c r="O1773" s="6"/>
      <c r="P1773" s="6"/>
      <c r="Q1773" s="6"/>
      <c r="R1773" s="6"/>
      <c r="S1773" s="6"/>
      <c r="T1773" s="6"/>
    </row>
    <row r="1774" spans="4:20" x14ac:dyDescent="0.2">
      <c r="D1774" s="6"/>
      <c r="E1774" s="6"/>
      <c r="F1774" s="6"/>
      <c r="G1774" s="19"/>
      <c r="H1774" s="19"/>
      <c r="I1774" s="19"/>
      <c r="J1774" s="19"/>
      <c r="K1774" s="6"/>
      <c r="L1774" s="6"/>
      <c r="M1774" s="6"/>
      <c r="N1774" s="6"/>
      <c r="O1774" s="6"/>
      <c r="P1774" s="6"/>
      <c r="Q1774" s="6"/>
      <c r="R1774" s="6"/>
      <c r="S1774" s="6"/>
      <c r="T1774" s="6"/>
    </row>
    <row r="1775" spans="4:20" x14ac:dyDescent="0.2">
      <c r="D1775" s="6"/>
      <c r="E1775" s="6"/>
      <c r="F1775" s="6"/>
      <c r="G1775" s="19"/>
      <c r="H1775" s="19"/>
      <c r="I1775" s="19"/>
      <c r="J1775" s="19"/>
      <c r="K1775" s="6"/>
      <c r="L1775" s="6"/>
      <c r="M1775" s="6"/>
      <c r="N1775" s="6"/>
      <c r="O1775" s="6"/>
      <c r="P1775" s="6"/>
      <c r="Q1775" s="6"/>
      <c r="R1775" s="6"/>
      <c r="S1775" s="6"/>
      <c r="T1775" s="6"/>
    </row>
    <row r="1776" spans="4:20" x14ac:dyDescent="0.2">
      <c r="D1776" s="6"/>
      <c r="E1776" s="6"/>
      <c r="F1776" s="6"/>
      <c r="G1776" s="19"/>
      <c r="H1776" s="19"/>
      <c r="I1776" s="19"/>
      <c r="J1776" s="19"/>
      <c r="K1776" s="6"/>
      <c r="L1776" s="6"/>
      <c r="M1776" s="6"/>
      <c r="N1776" s="6"/>
      <c r="O1776" s="6"/>
      <c r="P1776" s="6"/>
      <c r="Q1776" s="6"/>
      <c r="R1776" s="6"/>
      <c r="S1776" s="6"/>
      <c r="T1776" s="6"/>
    </row>
    <row r="1777" spans="4:20" x14ac:dyDescent="0.2">
      <c r="D1777" s="6"/>
      <c r="E1777" s="6"/>
      <c r="F1777" s="6"/>
      <c r="G1777" s="19"/>
      <c r="H1777" s="19"/>
      <c r="I1777" s="19"/>
      <c r="J1777" s="19"/>
      <c r="K1777" s="6"/>
      <c r="L1777" s="6"/>
      <c r="M1777" s="6"/>
      <c r="N1777" s="6"/>
      <c r="O1777" s="6"/>
      <c r="P1777" s="6"/>
      <c r="Q1777" s="6"/>
      <c r="R1777" s="6"/>
      <c r="S1777" s="6"/>
      <c r="T1777" s="6"/>
    </row>
    <row r="1778" spans="4:20" x14ac:dyDescent="0.2">
      <c r="D1778" s="6"/>
      <c r="E1778" s="6"/>
      <c r="F1778" s="6"/>
      <c r="G1778" s="19"/>
      <c r="H1778" s="19"/>
      <c r="I1778" s="19"/>
      <c r="J1778" s="19"/>
      <c r="K1778" s="6"/>
      <c r="L1778" s="6"/>
      <c r="M1778" s="6"/>
      <c r="N1778" s="6"/>
      <c r="O1778" s="6"/>
      <c r="P1778" s="6"/>
      <c r="Q1778" s="6"/>
      <c r="R1778" s="6"/>
      <c r="S1778" s="6"/>
      <c r="T1778" s="6"/>
    </row>
    <row r="1779" spans="4:20" x14ac:dyDescent="0.2">
      <c r="D1779" s="6"/>
      <c r="E1779" s="6"/>
      <c r="F1779" s="6"/>
      <c r="G1779" s="19"/>
      <c r="H1779" s="19"/>
      <c r="I1779" s="19"/>
      <c r="J1779" s="19"/>
      <c r="K1779" s="6"/>
      <c r="L1779" s="6"/>
      <c r="M1779" s="6"/>
      <c r="N1779" s="6"/>
      <c r="O1779" s="6"/>
      <c r="P1779" s="6"/>
      <c r="Q1779" s="6"/>
      <c r="R1779" s="6"/>
      <c r="S1779" s="6"/>
      <c r="T1779" s="6"/>
    </row>
    <row r="1780" spans="4:20" x14ac:dyDescent="0.2">
      <c r="D1780" s="6"/>
      <c r="E1780" s="6"/>
      <c r="F1780" s="6"/>
      <c r="G1780" s="19"/>
      <c r="H1780" s="19"/>
      <c r="I1780" s="19"/>
      <c r="J1780" s="19"/>
      <c r="K1780" s="6"/>
      <c r="L1780" s="6"/>
      <c r="M1780" s="6"/>
      <c r="N1780" s="6"/>
      <c r="O1780" s="6"/>
      <c r="P1780" s="6"/>
      <c r="Q1780" s="6"/>
      <c r="R1780" s="6"/>
      <c r="S1780" s="6"/>
      <c r="T1780" s="6"/>
    </row>
    <row r="1781" spans="4:20" x14ac:dyDescent="0.2">
      <c r="D1781" s="6"/>
      <c r="E1781" s="6"/>
      <c r="F1781" s="6"/>
      <c r="G1781" s="19"/>
      <c r="H1781" s="19"/>
      <c r="I1781" s="19"/>
      <c r="J1781" s="19"/>
      <c r="K1781" s="6"/>
      <c r="L1781" s="6"/>
      <c r="M1781" s="6"/>
      <c r="N1781" s="6"/>
      <c r="O1781" s="6"/>
      <c r="P1781" s="6"/>
      <c r="Q1781" s="6"/>
      <c r="R1781" s="6"/>
      <c r="S1781" s="6"/>
      <c r="T1781" s="6"/>
    </row>
    <row r="1782" spans="4:20" x14ac:dyDescent="0.2">
      <c r="D1782" s="6"/>
      <c r="E1782" s="6"/>
      <c r="F1782" s="6"/>
      <c r="G1782" s="19"/>
      <c r="H1782" s="19"/>
      <c r="I1782" s="19"/>
      <c r="J1782" s="19"/>
      <c r="K1782" s="6"/>
      <c r="L1782" s="6"/>
      <c r="M1782" s="6"/>
      <c r="N1782" s="6"/>
      <c r="O1782" s="6"/>
      <c r="P1782" s="6"/>
      <c r="Q1782" s="6"/>
      <c r="R1782" s="6"/>
      <c r="S1782" s="6"/>
      <c r="T1782" s="6"/>
    </row>
    <row r="1783" spans="4:20" x14ac:dyDescent="0.2">
      <c r="D1783" s="6"/>
      <c r="E1783" s="6"/>
      <c r="F1783" s="6"/>
      <c r="G1783" s="19"/>
      <c r="H1783" s="19"/>
      <c r="I1783" s="19"/>
      <c r="J1783" s="19"/>
      <c r="K1783" s="6"/>
      <c r="L1783" s="6"/>
      <c r="M1783" s="6"/>
      <c r="N1783" s="6"/>
      <c r="O1783" s="6"/>
      <c r="P1783" s="6"/>
      <c r="Q1783" s="6"/>
      <c r="R1783" s="6"/>
      <c r="S1783" s="6"/>
      <c r="T1783" s="6"/>
    </row>
    <row r="1784" spans="4:20" x14ac:dyDescent="0.2">
      <c r="D1784" s="6"/>
      <c r="E1784" s="6"/>
      <c r="F1784" s="6"/>
      <c r="G1784" s="19"/>
      <c r="H1784" s="19"/>
      <c r="I1784" s="19"/>
      <c r="J1784" s="19"/>
      <c r="K1784" s="6"/>
      <c r="L1784" s="6"/>
      <c r="M1784" s="6"/>
      <c r="N1784" s="6"/>
      <c r="O1784" s="6"/>
      <c r="P1784" s="6"/>
      <c r="Q1784" s="6"/>
      <c r="R1784" s="6"/>
      <c r="S1784" s="6"/>
      <c r="T1784" s="6"/>
    </row>
    <row r="1785" spans="4:20" x14ac:dyDescent="0.2">
      <c r="D1785" s="6"/>
      <c r="E1785" s="6"/>
      <c r="F1785" s="6"/>
      <c r="G1785" s="19"/>
      <c r="H1785" s="19"/>
      <c r="I1785" s="19"/>
      <c r="J1785" s="19"/>
      <c r="K1785" s="6"/>
      <c r="L1785" s="6"/>
      <c r="M1785" s="6"/>
      <c r="N1785" s="6"/>
      <c r="O1785" s="6"/>
      <c r="P1785" s="6"/>
      <c r="Q1785" s="6"/>
      <c r="R1785" s="6"/>
      <c r="S1785" s="6"/>
      <c r="T1785" s="6"/>
    </row>
    <row r="1786" spans="4:20" x14ac:dyDescent="0.2">
      <c r="D1786" s="6"/>
      <c r="E1786" s="6"/>
      <c r="F1786" s="6"/>
      <c r="G1786" s="19"/>
      <c r="H1786" s="19"/>
      <c r="I1786" s="19"/>
      <c r="J1786" s="19"/>
      <c r="K1786" s="6"/>
      <c r="L1786" s="6"/>
      <c r="M1786" s="6"/>
      <c r="N1786" s="6"/>
      <c r="O1786" s="6"/>
      <c r="P1786" s="6"/>
      <c r="Q1786" s="6"/>
      <c r="R1786" s="6"/>
      <c r="S1786" s="6"/>
      <c r="T1786" s="6"/>
    </row>
    <row r="1787" spans="4:20" x14ac:dyDescent="0.2">
      <c r="D1787" s="6"/>
      <c r="E1787" s="6"/>
      <c r="F1787" s="6"/>
      <c r="G1787" s="19"/>
      <c r="H1787" s="19"/>
      <c r="I1787" s="19"/>
      <c r="J1787" s="19"/>
      <c r="K1787" s="6"/>
      <c r="L1787" s="6"/>
      <c r="M1787" s="6"/>
      <c r="N1787" s="6"/>
      <c r="O1787" s="6"/>
      <c r="P1787" s="6"/>
      <c r="Q1787" s="6"/>
      <c r="R1787" s="6"/>
      <c r="S1787" s="6"/>
      <c r="T1787" s="6"/>
    </row>
    <row r="1788" spans="4:20" x14ac:dyDescent="0.2">
      <c r="D1788" s="6"/>
      <c r="E1788" s="6"/>
      <c r="F1788" s="6"/>
      <c r="G1788" s="19"/>
      <c r="H1788" s="19"/>
      <c r="I1788" s="19"/>
      <c r="J1788" s="19"/>
      <c r="K1788" s="6"/>
      <c r="L1788" s="6"/>
      <c r="M1788" s="6"/>
      <c r="N1788" s="6"/>
      <c r="O1788" s="6"/>
      <c r="P1788" s="6"/>
      <c r="Q1788" s="6"/>
      <c r="R1788" s="6"/>
      <c r="S1788" s="6"/>
      <c r="T1788" s="6"/>
    </row>
    <row r="1789" spans="4:20" x14ac:dyDescent="0.2">
      <c r="D1789" s="6"/>
      <c r="E1789" s="6"/>
      <c r="F1789" s="6"/>
      <c r="G1789" s="19"/>
      <c r="H1789" s="19"/>
      <c r="I1789" s="19"/>
      <c r="J1789" s="19"/>
      <c r="K1789" s="6"/>
      <c r="L1789" s="6"/>
      <c r="M1789" s="6"/>
      <c r="N1789" s="6"/>
      <c r="O1789" s="6"/>
      <c r="P1789" s="6"/>
      <c r="Q1789" s="6"/>
      <c r="R1789" s="6"/>
      <c r="S1789" s="6"/>
      <c r="T1789" s="6"/>
    </row>
    <row r="1790" spans="4:20" x14ac:dyDescent="0.2">
      <c r="D1790" s="6"/>
      <c r="E1790" s="6"/>
      <c r="F1790" s="6"/>
      <c r="G1790" s="19"/>
      <c r="H1790" s="19"/>
      <c r="I1790" s="19"/>
      <c r="J1790" s="19"/>
      <c r="K1790" s="6"/>
      <c r="L1790" s="6"/>
      <c r="M1790" s="6"/>
      <c r="N1790" s="6"/>
      <c r="O1790" s="6"/>
      <c r="P1790" s="6"/>
      <c r="Q1790" s="6"/>
      <c r="R1790" s="6"/>
      <c r="S1790" s="6"/>
      <c r="T1790" s="6"/>
    </row>
    <row r="1791" spans="4:20" x14ac:dyDescent="0.2">
      <c r="D1791" s="6"/>
      <c r="E1791" s="6"/>
      <c r="F1791" s="6"/>
      <c r="G1791" s="19"/>
      <c r="H1791" s="19"/>
      <c r="I1791" s="19"/>
      <c r="J1791" s="19"/>
      <c r="K1791" s="6"/>
      <c r="L1791" s="6"/>
      <c r="M1791" s="6"/>
      <c r="N1791" s="6"/>
      <c r="O1791" s="6"/>
      <c r="P1791" s="6"/>
      <c r="Q1791" s="6"/>
      <c r="R1791" s="6"/>
      <c r="S1791" s="6"/>
      <c r="T1791" s="6"/>
    </row>
    <row r="1792" spans="4:20" x14ac:dyDescent="0.2">
      <c r="D1792" s="6"/>
      <c r="E1792" s="6"/>
      <c r="F1792" s="6"/>
      <c r="G1792" s="19"/>
      <c r="H1792" s="19"/>
      <c r="I1792" s="19"/>
      <c r="J1792" s="19"/>
      <c r="K1792" s="6"/>
      <c r="L1792" s="6"/>
      <c r="M1792" s="6"/>
      <c r="N1792" s="6"/>
      <c r="O1792" s="6"/>
      <c r="P1792" s="6"/>
      <c r="Q1792" s="6"/>
      <c r="R1792" s="6"/>
      <c r="S1792" s="6"/>
      <c r="T1792" s="6"/>
    </row>
    <row r="1793" spans="4:20" x14ac:dyDescent="0.2">
      <c r="D1793" s="6"/>
      <c r="E1793" s="6"/>
      <c r="F1793" s="6"/>
      <c r="G1793" s="19"/>
      <c r="H1793" s="19"/>
      <c r="I1793" s="19"/>
      <c r="J1793" s="19"/>
      <c r="K1793" s="6"/>
      <c r="L1793" s="6"/>
      <c r="M1793" s="6"/>
      <c r="N1793" s="6"/>
      <c r="O1793" s="6"/>
      <c r="P1793" s="6"/>
      <c r="Q1793" s="6"/>
      <c r="R1793" s="6"/>
      <c r="S1793" s="6"/>
      <c r="T1793" s="6"/>
    </row>
    <row r="1794" spans="4:20" x14ac:dyDescent="0.2">
      <c r="D1794" s="6"/>
      <c r="E1794" s="6"/>
      <c r="F1794" s="6"/>
      <c r="G1794" s="19"/>
      <c r="H1794" s="19"/>
      <c r="I1794" s="19"/>
      <c r="J1794" s="19"/>
      <c r="K1794" s="6"/>
      <c r="L1794" s="6"/>
      <c r="M1794" s="6"/>
      <c r="N1794" s="6"/>
      <c r="O1794" s="6"/>
      <c r="P1794" s="6"/>
      <c r="Q1794" s="6"/>
      <c r="R1794" s="6"/>
      <c r="S1794" s="6"/>
      <c r="T1794" s="6"/>
    </row>
    <row r="1795" spans="4:20" x14ac:dyDescent="0.2">
      <c r="D1795" s="6"/>
      <c r="E1795" s="6"/>
      <c r="F1795" s="6"/>
      <c r="G1795" s="19"/>
      <c r="H1795" s="19"/>
      <c r="I1795" s="19"/>
      <c r="J1795" s="19"/>
      <c r="K1795" s="6"/>
      <c r="L1795" s="6"/>
      <c r="M1795" s="6"/>
      <c r="N1795" s="6"/>
      <c r="O1795" s="6"/>
      <c r="P1795" s="6"/>
      <c r="Q1795" s="6"/>
      <c r="R1795" s="6"/>
      <c r="S1795" s="6"/>
      <c r="T1795" s="6"/>
    </row>
    <row r="1796" spans="4:20" x14ac:dyDescent="0.2">
      <c r="D1796" s="6"/>
      <c r="E1796" s="6"/>
      <c r="F1796" s="6"/>
      <c r="G1796" s="19"/>
      <c r="H1796" s="19"/>
      <c r="I1796" s="19"/>
      <c r="J1796" s="19"/>
      <c r="K1796" s="6"/>
      <c r="L1796" s="6"/>
      <c r="M1796" s="6"/>
      <c r="N1796" s="6"/>
      <c r="O1796" s="6"/>
      <c r="P1796" s="6"/>
      <c r="Q1796" s="6"/>
      <c r="R1796" s="6"/>
      <c r="S1796" s="6"/>
      <c r="T1796" s="6"/>
    </row>
    <row r="1797" spans="4:20" x14ac:dyDescent="0.2">
      <c r="D1797" s="6"/>
      <c r="E1797" s="6"/>
      <c r="F1797" s="6"/>
      <c r="G1797" s="19"/>
      <c r="H1797" s="19"/>
      <c r="I1797" s="19"/>
      <c r="J1797" s="19"/>
      <c r="K1797" s="6"/>
      <c r="L1797" s="6"/>
      <c r="M1797" s="6"/>
      <c r="N1797" s="6"/>
      <c r="O1797" s="6"/>
      <c r="P1797" s="6"/>
      <c r="Q1797" s="6"/>
      <c r="R1797" s="6"/>
      <c r="S1797" s="6"/>
      <c r="T1797" s="6"/>
    </row>
    <row r="1798" spans="4:20" x14ac:dyDescent="0.2">
      <c r="D1798" s="6"/>
      <c r="E1798" s="6"/>
      <c r="F1798" s="6"/>
      <c r="G1798" s="19"/>
      <c r="H1798" s="19"/>
      <c r="I1798" s="19"/>
      <c r="J1798" s="19"/>
      <c r="K1798" s="6"/>
      <c r="L1798" s="6"/>
      <c r="M1798" s="6"/>
      <c r="N1798" s="6"/>
      <c r="O1798" s="6"/>
      <c r="P1798" s="6"/>
      <c r="Q1798" s="6"/>
      <c r="R1798" s="6"/>
      <c r="S1798" s="6"/>
      <c r="T1798" s="6"/>
    </row>
    <row r="1799" spans="4:20" x14ac:dyDescent="0.2">
      <c r="D1799" s="6"/>
      <c r="E1799" s="6"/>
      <c r="F1799" s="6"/>
      <c r="G1799" s="19"/>
      <c r="H1799" s="19"/>
      <c r="I1799" s="19"/>
      <c r="J1799" s="19"/>
      <c r="K1799" s="6"/>
      <c r="L1799" s="6"/>
      <c r="M1799" s="6"/>
      <c r="N1799" s="6"/>
      <c r="O1799" s="6"/>
      <c r="P1799" s="6"/>
      <c r="Q1799" s="6"/>
      <c r="R1799" s="6"/>
      <c r="S1799" s="6"/>
      <c r="T1799" s="6"/>
    </row>
    <row r="1800" spans="4:20" x14ac:dyDescent="0.2">
      <c r="D1800" s="6"/>
      <c r="E1800" s="6"/>
      <c r="F1800" s="6"/>
      <c r="G1800" s="19"/>
      <c r="H1800" s="19"/>
      <c r="I1800" s="19"/>
      <c r="J1800" s="19"/>
      <c r="K1800" s="6"/>
      <c r="L1800" s="6"/>
      <c r="M1800" s="6"/>
      <c r="N1800" s="6"/>
      <c r="O1800" s="6"/>
      <c r="P1800" s="6"/>
      <c r="Q1800" s="6"/>
      <c r="R1800" s="6"/>
      <c r="S1800" s="6"/>
      <c r="T1800" s="6"/>
    </row>
    <row r="1801" spans="4:20" x14ac:dyDescent="0.2">
      <c r="D1801" s="6"/>
      <c r="E1801" s="6"/>
      <c r="F1801" s="6"/>
      <c r="G1801" s="19"/>
      <c r="H1801" s="19"/>
      <c r="I1801" s="19"/>
      <c r="J1801" s="19"/>
      <c r="K1801" s="6"/>
      <c r="L1801" s="6"/>
      <c r="M1801" s="6"/>
      <c r="N1801" s="6"/>
      <c r="O1801" s="6"/>
      <c r="P1801" s="6"/>
      <c r="Q1801" s="6"/>
      <c r="R1801" s="6"/>
      <c r="S1801" s="6"/>
      <c r="T1801" s="6"/>
    </row>
    <row r="1802" spans="4:20" x14ac:dyDescent="0.2">
      <c r="D1802" s="6"/>
      <c r="E1802" s="6"/>
      <c r="F1802" s="6"/>
      <c r="G1802" s="19"/>
      <c r="H1802" s="19"/>
      <c r="I1802" s="19"/>
      <c r="J1802" s="19"/>
      <c r="K1802" s="6"/>
      <c r="L1802" s="6"/>
      <c r="M1802" s="6"/>
      <c r="N1802" s="6"/>
      <c r="O1802" s="6"/>
      <c r="P1802" s="6"/>
      <c r="Q1802" s="6"/>
      <c r="R1802" s="6"/>
      <c r="S1802" s="6"/>
      <c r="T1802" s="6"/>
    </row>
    <row r="1803" spans="4:20" x14ac:dyDescent="0.2">
      <c r="D1803" s="6"/>
      <c r="E1803" s="6"/>
      <c r="F1803" s="6"/>
      <c r="G1803" s="19"/>
      <c r="H1803" s="19"/>
      <c r="I1803" s="19"/>
      <c r="J1803" s="19"/>
      <c r="K1803" s="6"/>
      <c r="L1803" s="6"/>
      <c r="M1803" s="6"/>
      <c r="N1803" s="6"/>
      <c r="O1803" s="6"/>
      <c r="P1803" s="6"/>
      <c r="Q1803" s="6"/>
      <c r="R1803" s="6"/>
      <c r="S1803" s="6"/>
      <c r="T1803" s="6"/>
    </row>
    <row r="1804" spans="4:20" x14ac:dyDescent="0.2">
      <c r="D1804" s="6"/>
      <c r="E1804" s="6"/>
      <c r="F1804" s="6"/>
      <c r="G1804" s="19"/>
      <c r="H1804" s="19"/>
      <c r="I1804" s="19"/>
      <c r="J1804" s="19"/>
      <c r="K1804" s="6"/>
      <c r="L1804" s="6"/>
      <c r="M1804" s="6"/>
      <c r="N1804" s="6"/>
      <c r="O1804" s="6"/>
      <c r="P1804" s="6"/>
      <c r="Q1804" s="6"/>
      <c r="R1804" s="6"/>
      <c r="S1804" s="6"/>
      <c r="T1804" s="6"/>
    </row>
    <row r="1805" spans="4:20" x14ac:dyDescent="0.2">
      <c r="D1805" s="6"/>
      <c r="E1805" s="6"/>
      <c r="F1805" s="6"/>
      <c r="G1805" s="19"/>
      <c r="H1805" s="19"/>
      <c r="I1805" s="19"/>
      <c r="J1805" s="19"/>
      <c r="K1805" s="6"/>
      <c r="L1805" s="6"/>
      <c r="M1805" s="6"/>
      <c r="N1805" s="6"/>
      <c r="O1805" s="6"/>
      <c r="P1805" s="6"/>
      <c r="Q1805" s="6"/>
      <c r="R1805" s="6"/>
      <c r="S1805" s="6"/>
      <c r="T1805" s="6"/>
    </row>
    <row r="1806" spans="4:20" x14ac:dyDescent="0.2">
      <c r="D1806" s="6"/>
      <c r="E1806" s="6"/>
      <c r="F1806" s="6"/>
      <c r="G1806" s="19"/>
      <c r="H1806" s="19"/>
      <c r="I1806" s="19"/>
      <c r="J1806" s="19"/>
      <c r="K1806" s="6"/>
      <c r="L1806" s="6"/>
      <c r="M1806" s="6"/>
      <c r="N1806" s="6"/>
      <c r="O1806" s="6"/>
      <c r="P1806" s="6"/>
      <c r="Q1806" s="6"/>
      <c r="R1806" s="6"/>
      <c r="S1806" s="6"/>
      <c r="T1806" s="6"/>
    </row>
    <row r="1807" spans="4:20" x14ac:dyDescent="0.2">
      <c r="D1807" s="6"/>
      <c r="E1807" s="6"/>
      <c r="F1807" s="6"/>
      <c r="G1807" s="19"/>
      <c r="H1807" s="19"/>
      <c r="I1807" s="19"/>
      <c r="J1807" s="19"/>
      <c r="K1807" s="6"/>
      <c r="L1807" s="6"/>
      <c r="M1807" s="6"/>
      <c r="N1807" s="6"/>
      <c r="O1807" s="6"/>
      <c r="P1807" s="6"/>
      <c r="Q1807" s="6"/>
      <c r="R1807" s="6"/>
      <c r="S1807" s="6"/>
      <c r="T1807" s="6"/>
    </row>
    <row r="1808" spans="4:20" x14ac:dyDescent="0.2">
      <c r="D1808" s="6"/>
      <c r="E1808" s="6"/>
      <c r="F1808" s="6"/>
      <c r="G1808" s="19"/>
      <c r="H1808" s="19"/>
      <c r="I1808" s="19"/>
      <c r="J1808" s="19"/>
      <c r="K1808" s="6"/>
      <c r="L1808" s="6"/>
      <c r="M1808" s="6"/>
      <c r="N1808" s="6"/>
      <c r="O1808" s="6"/>
      <c r="P1808" s="6"/>
      <c r="Q1808" s="6"/>
      <c r="R1808" s="6"/>
      <c r="S1808" s="6"/>
      <c r="T1808" s="6"/>
    </row>
    <row r="1809" spans="4:20" x14ac:dyDescent="0.2">
      <c r="D1809" s="6"/>
      <c r="E1809" s="6"/>
      <c r="F1809" s="6"/>
      <c r="G1809" s="19"/>
      <c r="H1809" s="19"/>
      <c r="I1809" s="19"/>
      <c r="J1809" s="19"/>
      <c r="K1809" s="6"/>
      <c r="L1809" s="6"/>
      <c r="M1809" s="6"/>
      <c r="N1809" s="6"/>
      <c r="O1809" s="6"/>
      <c r="P1809" s="6"/>
      <c r="Q1809" s="6"/>
      <c r="R1809" s="6"/>
      <c r="S1809" s="6"/>
      <c r="T1809" s="6"/>
    </row>
    <row r="1810" spans="4:20" x14ac:dyDescent="0.2">
      <c r="D1810" s="6"/>
      <c r="E1810" s="6"/>
      <c r="F1810" s="6"/>
      <c r="G1810" s="19"/>
      <c r="H1810" s="19"/>
      <c r="I1810" s="19"/>
      <c r="J1810" s="19"/>
      <c r="K1810" s="6"/>
      <c r="L1810" s="6"/>
      <c r="M1810" s="6"/>
      <c r="N1810" s="6"/>
      <c r="O1810" s="6"/>
      <c r="P1810" s="6"/>
      <c r="Q1810" s="6"/>
      <c r="R1810" s="6"/>
      <c r="S1810" s="6"/>
      <c r="T1810" s="6"/>
    </row>
    <row r="1811" spans="4:20" x14ac:dyDescent="0.2">
      <c r="D1811" s="6"/>
      <c r="E1811" s="6"/>
      <c r="F1811" s="6"/>
      <c r="G1811" s="19"/>
      <c r="H1811" s="19"/>
      <c r="I1811" s="19"/>
      <c r="J1811" s="19"/>
      <c r="K1811" s="6"/>
      <c r="L1811" s="6"/>
      <c r="M1811" s="6"/>
      <c r="N1811" s="6"/>
      <c r="O1811" s="6"/>
      <c r="P1811" s="6"/>
      <c r="Q1811" s="6"/>
      <c r="R1811" s="6"/>
      <c r="S1811" s="6"/>
      <c r="T1811" s="6"/>
    </row>
    <row r="1812" spans="4:20" x14ac:dyDescent="0.2">
      <c r="D1812" s="6"/>
      <c r="E1812" s="6"/>
      <c r="F1812" s="6"/>
      <c r="G1812" s="19"/>
      <c r="H1812" s="19"/>
      <c r="I1812" s="19"/>
      <c r="J1812" s="19"/>
      <c r="K1812" s="6"/>
      <c r="L1812" s="6"/>
      <c r="M1812" s="6"/>
      <c r="N1812" s="6"/>
      <c r="O1812" s="6"/>
      <c r="P1812" s="6"/>
      <c r="Q1812" s="6"/>
      <c r="R1812" s="6"/>
      <c r="S1812" s="6"/>
      <c r="T1812" s="6"/>
    </row>
    <row r="1813" spans="4:20" x14ac:dyDescent="0.2">
      <c r="D1813" s="6"/>
      <c r="E1813" s="6"/>
      <c r="F1813" s="6"/>
      <c r="G1813" s="19"/>
      <c r="H1813" s="19"/>
      <c r="I1813" s="19"/>
      <c r="J1813" s="19"/>
      <c r="K1813" s="6"/>
      <c r="L1813" s="6"/>
      <c r="M1813" s="6"/>
      <c r="N1813" s="6"/>
      <c r="O1813" s="6"/>
      <c r="P1813" s="6"/>
      <c r="Q1813" s="6"/>
      <c r="R1813" s="6"/>
      <c r="S1813" s="6"/>
      <c r="T1813" s="6"/>
    </row>
    <row r="1814" spans="4:20" x14ac:dyDescent="0.2">
      <c r="D1814" s="6"/>
      <c r="E1814" s="6"/>
      <c r="F1814" s="6"/>
      <c r="G1814" s="19"/>
      <c r="H1814" s="19"/>
      <c r="I1814" s="19"/>
      <c r="J1814" s="19"/>
      <c r="K1814" s="6"/>
      <c r="L1814" s="6"/>
      <c r="M1814" s="6"/>
      <c r="N1814" s="6"/>
      <c r="O1814" s="6"/>
      <c r="P1814" s="6"/>
      <c r="Q1814" s="6"/>
      <c r="R1814" s="6"/>
      <c r="S1814" s="6"/>
      <c r="T1814" s="6"/>
    </row>
    <row r="1815" spans="4:20" x14ac:dyDescent="0.2">
      <c r="D1815" s="6"/>
      <c r="E1815" s="6"/>
      <c r="F1815" s="6"/>
      <c r="G1815" s="19"/>
      <c r="H1815" s="19"/>
      <c r="I1815" s="19"/>
      <c r="J1815" s="19"/>
      <c r="K1815" s="6"/>
      <c r="L1815" s="6"/>
      <c r="M1815" s="6"/>
      <c r="N1815" s="6"/>
      <c r="O1815" s="6"/>
      <c r="P1815" s="6"/>
      <c r="Q1815" s="6"/>
      <c r="R1815" s="6"/>
      <c r="S1815" s="6"/>
      <c r="T1815" s="6"/>
    </row>
    <row r="1816" spans="4:20" x14ac:dyDescent="0.2">
      <c r="D1816" s="6"/>
      <c r="E1816" s="6"/>
      <c r="F1816" s="6"/>
      <c r="G1816" s="19"/>
      <c r="H1816" s="19"/>
      <c r="I1816" s="19"/>
      <c r="J1816" s="19"/>
      <c r="K1816" s="6"/>
      <c r="L1816" s="6"/>
      <c r="M1816" s="6"/>
      <c r="N1816" s="6"/>
      <c r="O1816" s="6"/>
      <c r="P1816" s="6"/>
      <c r="Q1816" s="6"/>
      <c r="R1816" s="6"/>
      <c r="S1816" s="6"/>
      <c r="T1816" s="6"/>
    </row>
    <row r="1817" spans="4:20" x14ac:dyDescent="0.2">
      <c r="D1817" s="6"/>
      <c r="E1817" s="6"/>
      <c r="F1817" s="6"/>
      <c r="G1817" s="19"/>
      <c r="H1817" s="19"/>
      <c r="I1817" s="19"/>
      <c r="J1817" s="19"/>
      <c r="K1817" s="6"/>
      <c r="L1817" s="6"/>
      <c r="M1817" s="6"/>
      <c r="N1817" s="6"/>
      <c r="O1817" s="6"/>
      <c r="P1817" s="6"/>
      <c r="Q1817" s="6"/>
      <c r="R1817" s="6"/>
      <c r="S1817" s="6"/>
      <c r="T1817" s="6"/>
    </row>
    <row r="1818" spans="4:20" x14ac:dyDescent="0.2">
      <c r="D1818" s="6"/>
      <c r="E1818" s="6"/>
      <c r="F1818" s="6"/>
      <c r="G1818" s="19"/>
      <c r="H1818" s="19"/>
      <c r="I1818" s="19"/>
      <c r="J1818" s="19"/>
      <c r="K1818" s="6"/>
      <c r="L1818" s="6"/>
      <c r="M1818" s="6"/>
      <c r="N1818" s="6"/>
      <c r="O1818" s="6"/>
      <c r="P1818" s="6"/>
      <c r="Q1818" s="6"/>
      <c r="R1818" s="6"/>
      <c r="S1818" s="6"/>
      <c r="T1818" s="6"/>
    </row>
    <row r="1819" spans="4:20" x14ac:dyDescent="0.2">
      <c r="D1819" s="6"/>
      <c r="E1819" s="6"/>
      <c r="F1819" s="6"/>
      <c r="G1819" s="19"/>
      <c r="H1819" s="19"/>
      <c r="I1819" s="19"/>
      <c r="J1819" s="19"/>
      <c r="K1819" s="6"/>
      <c r="L1819" s="6"/>
      <c r="M1819" s="6"/>
      <c r="N1819" s="6"/>
      <c r="O1819" s="6"/>
      <c r="P1819" s="6"/>
      <c r="Q1819" s="6"/>
      <c r="R1819" s="6"/>
      <c r="S1819" s="6"/>
      <c r="T1819" s="6"/>
    </row>
    <row r="1820" spans="4:20" x14ac:dyDescent="0.2">
      <c r="D1820" s="6"/>
      <c r="E1820" s="6"/>
      <c r="F1820" s="6"/>
      <c r="G1820" s="19"/>
      <c r="H1820" s="19"/>
      <c r="I1820" s="19"/>
      <c r="J1820" s="19"/>
      <c r="K1820" s="6"/>
      <c r="L1820" s="6"/>
      <c r="M1820" s="6"/>
      <c r="N1820" s="6"/>
      <c r="O1820" s="6"/>
      <c r="P1820" s="6"/>
      <c r="Q1820" s="6"/>
      <c r="R1820" s="6"/>
      <c r="S1820" s="6"/>
      <c r="T1820" s="6"/>
    </row>
    <row r="1821" spans="4:20" x14ac:dyDescent="0.2">
      <c r="D1821" s="6"/>
      <c r="E1821" s="6"/>
      <c r="F1821" s="6"/>
      <c r="G1821" s="19"/>
      <c r="H1821" s="19"/>
      <c r="I1821" s="19"/>
      <c r="J1821" s="19"/>
      <c r="K1821" s="6"/>
      <c r="L1821" s="6"/>
      <c r="M1821" s="6"/>
      <c r="N1821" s="6"/>
      <c r="O1821" s="6"/>
      <c r="P1821" s="6"/>
      <c r="Q1821" s="6"/>
      <c r="R1821" s="6"/>
      <c r="S1821" s="6"/>
      <c r="T1821" s="6"/>
    </row>
    <row r="1822" spans="4:20" x14ac:dyDescent="0.2">
      <c r="D1822" s="6"/>
      <c r="E1822" s="6"/>
      <c r="F1822" s="6"/>
      <c r="G1822" s="19"/>
      <c r="H1822" s="19"/>
      <c r="I1822" s="19"/>
      <c r="J1822" s="19"/>
      <c r="K1822" s="6"/>
      <c r="L1822" s="6"/>
      <c r="M1822" s="6"/>
      <c r="N1822" s="6"/>
      <c r="O1822" s="6"/>
      <c r="P1822" s="6"/>
      <c r="Q1822" s="6"/>
      <c r="R1822" s="6"/>
      <c r="S1822" s="6"/>
      <c r="T1822" s="6"/>
    </row>
    <row r="1823" spans="4:20" x14ac:dyDescent="0.2">
      <c r="D1823" s="6"/>
      <c r="E1823" s="6"/>
      <c r="F1823" s="6"/>
      <c r="G1823" s="19"/>
      <c r="H1823" s="19"/>
      <c r="I1823" s="19"/>
      <c r="J1823" s="19"/>
      <c r="K1823" s="6"/>
      <c r="L1823" s="6"/>
      <c r="M1823" s="6"/>
      <c r="N1823" s="6"/>
      <c r="O1823" s="6"/>
      <c r="P1823" s="6"/>
      <c r="Q1823" s="6"/>
      <c r="R1823" s="6"/>
      <c r="S1823" s="6"/>
      <c r="T1823" s="6"/>
    </row>
    <row r="1824" spans="4:20" x14ac:dyDescent="0.2">
      <c r="D1824" s="6"/>
      <c r="E1824" s="6"/>
      <c r="F1824" s="6"/>
      <c r="G1824" s="19"/>
      <c r="H1824" s="19"/>
      <c r="I1824" s="19"/>
      <c r="J1824" s="19"/>
      <c r="K1824" s="6"/>
      <c r="L1824" s="6"/>
      <c r="M1824" s="6"/>
      <c r="N1824" s="6"/>
      <c r="O1824" s="6"/>
      <c r="P1824" s="6"/>
      <c r="Q1824" s="6"/>
      <c r="R1824" s="6"/>
      <c r="S1824" s="6"/>
      <c r="T1824" s="6"/>
    </row>
    <row r="1825" spans="4:20" x14ac:dyDescent="0.2">
      <c r="D1825" s="6"/>
      <c r="E1825" s="6"/>
      <c r="F1825" s="6"/>
      <c r="G1825" s="19"/>
      <c r="H1825" s="19"/>
      <c r="I1825" s="19"/>
      <c r="J1825" s="19"/>
      <c r="K1825" s="6"/>
      <c r="L1825" s="6"/>
      <c r="M1825" s="6"/>
      <c r="N1825" s="6"/>
      <c r="O1825" s="6"/>
      <c r="P1825" s="6"/>
      <c r="Q1825" s="6"/>
      <c r="R1825" s="6"/>
      <c r="S1825" s="6"/>
      <c r="T1825" s="6"/>
    </row>
    <row r="1826" spans="4:20" x14ac:dyDescent="0.2">
      <c r="D1826" s="6"/>
      <c r="E1826" s="6"/>
      <c r="F1826" s="6"/>
      <c r="G1826" s="19"/>
      <c r="H1826" s="19"/>
      <c r="I1826" s="19"/>
      <c r="J1826" s="19"/>
      <c r="K1826" s="6"/>
      <c r="L1826" s="6"/>
      <c r="M1826" s="6"/>
      <c r="N1826" s="6"/>
      <c r="O1826" s="6"/>
      <c r="P1826" s="6"/>
      <c r="Q1826" s="6"/>
      <c r="R1826" s="6"/>
      <c r="S1826" s="6"/>
      <c r="T1826" s="6"/>
    </row>
    <row r="1827" spans="4:20" x14ac:dyDescent="0.2">
      <c r="D1827" s="6"/>
      <c r="E1827" s="6"/>
      <c r="F1827" s="6"/>
      <c r="G1827" s="19"/>
      <c r="H1827" s="19"/>
      <c r="I1827" s="19"/>
      <c r="J1827" s="19"/>
      <c r="K1827" s="6"/>
      <c r="L1827" s="6"/>
      <c r="M1827" s="6"/>
      <c r="N1827" s="6"/>
      <c r="O1827" s="6"/>
      <c r="P1827" s="6"/>
      <c r="Q1827" s="6"/>
      <c r="R1827" s="6"/>
      <c r="S1827" s="6"/>
      <c r="T1827" s="6"/>
    </row>
    <row r="1828" spans="4:20" x14ac:dyDescent="0.2">
      <c r="D1828" s="6"/>
      <c r="E1828" s="6"/>
      <c r="F1828" s="6"/>
      <c r="G1828" s="19"/>
      <c r="H1828" s="19"/>
      <c r="I1828" s="19"/>
      <c r="J1828" s="19"/>
      <c r="K1828" s="6"/>
      <c r="L1828" s="6"/>
      <c r="M1828" s="6"/>
      <c r="N1828" s="6"/>
      <c r="O1828" s="6"/>
      <c r="P1828" s="6"/>
      <c r="Q1828" s="6"/>
      <c r="R1828" s="6"/>
      <c r="S1828" s="6"/>
      <c r="T1828" s="6"/>
    </row>
    <row r="1829" spans="4:20" x14ac:dyDescent="0.2">
      <c r="D1829" s="6"/>
      <c r="E1829" s="6"/>
      <c r="F1829" s="6"/>
      <c r="G1829" s="19"/>
      <c r="H1829" s="19"/>
      <c r="I1829" s="19"/>
      <c r="J1829" s="19"/>
      <c r="K1829" s="6"/>
      <c r="L1829" s="6"/>
      <c r="M1829" s="6"/>
      <c r="N1829" s="6"/>
      <c r="O1829" s="6"/>
      <c r="P1829" s="6"/>
      <c r="Q1829" s="6"/>
      <c r="R1829" s="6"/>
      <c r="S1829" s="6"/>
      <c r="T1829" s="6"/>
    </row>
    <row r="1830" spans="4:20" x14ac:dyDescent="0.2">
      <c r="D1830" s="6"/>
      <c r="E1830" s="6"/>
      <c r="F1830" s="6"/>
      <c r="G1830" s="19"/>
      <c r="H1830" s="19"/>
      <c r="I1830" s="19"/>
      <c r="J1830" s="19"/>
      <c r="K1830" s="6"/>
      <c r="L1830" s="6"/>
      <c r="M1830" s="6"/>
      <c r="N1830" s="6"/>
      <c r="O1830" s="6"/>
      <c r="P1830" s="6"/>
      <c r="Q1830" s="6"/>
      <c r="R1830" s="6"/>
      <c r="S1830" s="6"/>
      <c r="T1830" s="6"/>
    </row>
    <row r="1831" spans="4:20" x14ac:dyDescent="0.2">
      <c r="D1831" s="6"/>
      <c r="E1831" s="6"/>
      <c r="F1831" s="6"/>
      <c r="G1831" s="19"/>
      <c r="H1831" s="19"/>
      <c r="I1831" s="19"/>
      <c r="J1831" s="19"/>
      <c r="K1831" s="6"/>
      <c r="L1831" s="6"/>
      <c r="M1831" s="6"/>
      <c r="N1831" s="6"/>
      <c r="O1831" s="6"/>
      <c r="P1831" s="6"/>
      <c r="Q1831" s="6"/>
      <c r="R1831" s="6"/>
      <c r="S1831" s="6"/>
      <c r="T1831" s="6"/>
    </row>
    <row r="1832" spans="4:20" x14ac:dyDescent="0.2">
      <c r="D1832" s="6"/>
      <c r="E1832" s="6"/>
      <c r="F1832" s="6"/>
      <c r="G1832" s="19"/>
      <c r="H1832" s="19"/>
      <c r="I1832" s="19"/>
      <c r="J1832" s="19"/>
      <c r="K1832" s="6"/>
      <c r="L1832" s="6"/>
      <c r="M1832" s="6"/>
      <c r="N1832" s="6"/>
      <c r="O1832" s="6"/>
      <c r="P1832" s="6"/>
      <c r="Q1832" s="6"/>
      <c r="R1832" s="6"/>
      <c r="S1832" s="6"/>
      <c r="T1832" s="6"/>
    </row>
    <row r="1833" spans="4:20" x14ac:dyDescent="0.2">
      <c r="D1833" s="6"/>
      <c r="E1833" s="6"/>
      <c r="F1833" s="6"/>
      <c r="G1833" s="19"/>
      <c r="H1833" s="19"/>
      <c r="I1833" s="19"/>
      <c r="J1833" s="19"/>
      <c r="K1833" s="6"/>
      <c r="L1833" s="6"/>
      <c r="M1833" s="6"/>
      <c r="N1833" s="6"/>
      <c r="O1833" s="6"/>
      <c r="P1833" s="6"/>
      <c r="Q1833" s="6"/>
      <c r="R1833" s="6"/>
      <c r="S1833" s="6"/>
      <c r="T1833" s="6"/>
    </row>
    <row r="1834" spans="4:20" x14ac:dyDescent="0.2">
      <c r="D1834" s="6"/>
      <c r="E1834" s="6"/>
      <c r="F1834" s="6"/>
      <c r="G1834" s="19"/>
      <c r="H1834" s="19"/>
      <c r="I1834" s="19"/>
      <c r="J1834" s="19"/>
      <c r="K1834" s="6"/>
      <c r="L1834" s="6"/>
      <c r="M1834" s="6"/>
      <c r="N1834" s="6"/>
      <c r="O1834" s="6"/>
      <c r="P1834" s="6"/>
      <c r="Q1834" s="6"/>
      <c r="R1834" s="6"/>
      <c r="S1834" s="6"/>
      <c r="T1834" s="6"/>
    </row>
    <row r="1835" spans="4:20" x14ac:dyDescent="0.2">
      <c r="D1835" s="6"/>
      <c r="E1835" s="6"/>
      <c r="F1835" s="6"/>
      <c r="G1835" s="19"/>
      <c r="H1835" s="19"/>
      <c r="I1835" s="19"/>
      <c r="J1835" s="19"/>
      <c r="K1835" s="6"/>
      <c r="L1835" s="6"/>
      <c r="M1835" s="6"/>
      <c r="N1835" s="6"/>
      <c r="O1835" s="6"/>
      <c r="P1835" s="6"/>
      <c r="Q1835" s="6"/>
      <c r="R1835" s="6"/>
      <c r="S1835" s="6"/>
      <c r="T1835" s="6"/>
    </row>
    <row r="1836" spans="4:20" x14ac:dyDescent="0.2">
      <c r="D1836" s="6"/>
      <c r="E1836" s="6"/>
      <c r="F1836" s="6"/>
      <c r="G1836" s="19"/>
      <c r="H1836" s="19"/>
      <c r="I1836" s="19"/>
      <c r="J1836" s="19"/>
      <c r="K1836" s="6"/>
      <c r="L1836" s="6"/>
      <c r="M1836" s="6"/>
      <c r="N1836" s="6"/>
      <c r="O1836" s="6"/>
      <c r="P1836" s="6"/>
      <c r="Q1836" s="6"/>
      <c r="R1836" s="6"/>
      <c r="S1836" s="6"/>
      <c r="T1836" s="6"/>
    </row>
    <row r="1837" spans="4:20" x14ac:dyDescent="0.2">
      <c r="D1837" s="6"/>
      <c r="E1837" s="6"/>
      <c r="F1837" s="6"/>
      <c r="G1837" s="19"/>
      <c r="H1837" s="19"/>
      <c r="I1837" s="19"/>
      <c r="J1837" s="19"/>
      <c r="K1837" s="6"/>
      <c r="L1837" s="6"/>
      <c r="M1837" s="6"/>
      <c r="N1837" s="6"/>
      <c r="O1837" s="6"/>
      <c r="P1837" s="6"/>
      <c r="Q1837" s="6"/>
      <c r="R1837" s="6"/>
      <c r="S1837" s="6"/>
      <c r="T1837" s="6"/>
    </row>
    <row r="1838" spans="4:20" x14ac:dyDescent="0.2">
      <c r="D1838" s="6"/>
      <c r="E1838" s="6"/>
      <c r="F1838" s="6"/>
      <c r="G1838" s="19"/>
      <c r="H1838" s="19"/>
      <c r="I1838" s="19"/>
      <c r="J1838" s="19"/>
      <c r="K1838" s="6"/>
      <c r="L1838" s="6"/>
      <c r="M1838" s="6"/>
      <c r="N1838" s="6"/>
      <c r="O1838" s="6"/>
      <c r="P1838" s="6"/>
      <c r="Q1838" s="6"/>
      <c r="R1838" s="6"/>
      <c r="S1838" s="6"/>
      <c r="T1838" s="6"/>
    </row>
    <row r="1839" spans="4:20" x14ac:dyDescent="0.2">
      <c r="D1839" s="6"/>
      <c r="E1839" s="6"/>
      <c r="F1839" s="6"/>
      <c r="G1839" s="19"/>
      <c r="H1839" s="19"/>
      <c r="I1839" s="19"/>
      <c r="J1839" s="19"/>
      <c r="K1839" s="6"/>
      <c r="L1839" s="6"/>
      <c r="M1839" s="6"/>
      <c r="N1839" s="6"/>
      <c r="O1839" s="6"/>
      <c r="P1839" s="6"/>
      <c r="Q1839" s="6"/>
      <c r="R1839" s="6"/>
      <c r="S1839" s="6"/>
      <c r="T1839" s="6"/>
    </row>
    <row r="1840" spans="4:20" x14ac:dyDescent="0.2">
      <c r="D1840" s="6"/>
      <c r="E1840" s="6"/>
      <c r="F1840" s="6"/>
      <c r="G1840" s="19"/>
      <c r="H1840" s="19"/>
      <c r="I1840" s="19"/>
      <c r="J1840" s="19"/>
      <c r="K1840" s="6"/>
      <c r="L1840" s="6"/>
      <c r="M1840" s="6"/>
      <c r="N1840" s="6"/>
      <c r="O1840" s="6"/>
      <c r="P1840" s="6"/>
      <c r="Q1840" s="6"/>
      <c r="R1840" s="6"/>
      <c r="S1840" s="6"/>
      <c r="T1840" s="6"/>
    </row>
    <row r="1841" spans="4:20" x14ac:dyDescent="0.2">
      <c r="D1841" s="6"/>
      <c r="E1841" s="6"/>
      <c r="F1841" s="6"/>
      <c r="G1841" s="19"/>
      <c r="H1841" s="19"/>
      <c r="I1841" s="19"/>
      <c r="J1841" s="19"/>
      <c r="K1841" s="6"/>
      <c r="L1841" s="6"/>
      <c r="M1841" s="6"/>
      <c r="N1841" s="6"/>
      <c r="O1841" s="6"/>
      <c r="P1841" s="6"/>
      <c r="Q1841" s="6"/>
      <c r="R1841" s="6"/>
      <c r="S1841" s="6"/>
      <c r="T1841" s="6"/>
    </row>
    <row r="1842" spans="4:20" x14ac:dyDescent="0.2">
      <c r="D1842" s="6"/>
      <c r="E1842" s="6"/>
      <c r="F1842" s="6"/>
      <c r="G1842" s="19"/>
      <c r="H1842" s="19"/>
      <c r="I1842" s="19"/>
      <c r="J1842" s="19"/>
      <c r="K1842" s="6"/>
      <c r="L1842" s="6"/>
      <c r="M1842" s="6"/>
      <c r="N1842" s="6"/>
      <c r="O1842" s="6"/>
      <c r="P1842" s="6"/>
      <c r="Q1842" s="6"/>
      <c r="R1842" s="6"/>
      <c r="S1842" s="6"/>
      <c r="T1842" s="6"/>
    </row>
    <row r="1843" spans="4:20" x14ac:dyDescent="0.2">
      <c r="D1843" s="6"/>
      <c r="E1843" s="6"/>
      <c r="F1843" s="6"/>
      <c r="G1843" s="19"/>
      <c r="H1843" s="19"/>
      <c r="I1843" s="19"/>
      <c r="J1843" s="19"/>
      <c r="K1843" s="6"/>
      <c r="L1843" s="6"/>
      <c r="M1843" s="6"/>
      <c r="N1843" s="6"/>
      <c r="O1843" s="6"/>
      <c r="P1843" s="6"/>
      <c r="Q1843" s="6"/>
      <c r="R1843" s="6"/>
      <c r="S1843" s="6"/>
      <c r="T1843" s="6"/>
    </row>
    <row r="1844" spans="4:20" x14ac:dyDescent="0.2">
      <c r="D1844" s="6"/>
      <c r="E1844" s="6"/>
      <c r="F1844" s="6"/>
      <c r="G1844" s="19"/>
      <c r="H1844" s="19"/>
      <c r="I1844" s="19"/>
      <c r="J1844" s="19"/>
      <c r="K1844" s="6"/>
      <c r="L1844" s="6"/>
      <c r="M1844" s="6"/>
      <c r="N1844" s="6"/>
      <c r="O1844" s="6"/>
      <c r="P1844" s="6"/>
      <c r="Q1844" s="6"/>
      <c r="R1844" s="6"/>
      <c r="S1844" s="6"/>
      <c r="T1844" s="6"/>
    </row>
    <row r="1845" spans="4:20" x14ac:dyDescent="0.2">
      <c r="D1845" s="6"/>
      <c r="E1845" s="6"/>
      <c r="F1845" s="6"/>
      <c r="G1845" s="19"/>
      <c r="H1845" s="19"/>
      <c r="I1845" s="19"/>
      <c r="J1845" s="19"/>
      <c r="K1845" s="6"/>
      <c r="L1845" s="6"/>
      <c r="M1845" s="6"/>
      <c r="N1845" s="6"/>
      <c r="O1845" s="6"/>
      <c r="P1845" s="6"/>
      <c r="Q1845" s="6"/>
      <c r="R1845" s="6"/>
      <c r="S1845" s="6"/>
      <c r="T1845" s="6"/>
    </row>
    <row r="1846" spans="4:20" x14ac:dyDescent="0.2">
      <c r="D1846" s="6"/>
      <c r="E1846" s="6"/>
      <c r="F1846" s="6"/>
      <c r="G1846" s="19"/>
      <c r="H1846" s="19"/>
      <c r="I1846" s="19"/>
      <c r="J1846" s="19"/>
      <c r="K1846" s="6"/>
      <c r="L1846" s="6"/>
      <c r="M1846" s="6"/>
      <c r="N1846" s="6"/>
      <c r="O1846" s="6"/>
      <c r="P1846" s="6"/>
      <c r="Q1846" s="6"/>
      <c r="R1846" s="6"/>
      <c r="S1846" s="6"/>
      <c r="T1846" s="6"/>
    </row>
    <row r="1847" spans="4:20" x14ac:dyDescent="0.2">
      <c r="D1847" s="6"/>
      <c r="E1847" s="6"/>
      <c r="F1847" s="6"/>
      <c r="G1847" s="19"/>
      <c r="H1847" s="19"/>
      <c r="I1847" s="19"/>
      <c r="J1847" s="19"/>
      <c r="K1847" s="6"/>
      <c r="L1847" s="6"/>
      <c r="M1847" s="6"/>
      <c r="N1847" s="6"/>
      <c r="O1847" s="6"/>
      <c r="P1847" s="6"/>
      <c r="Q1847" s="6"/>
      <c r="R1847" s="6"/>
      <c r="S1847" s="6"/>
      <c r="T1847" s="6"/>
    </row>
    <row r="1848" spans="4:20" x14ac:dyDescent="0.2">
      <c r="D1848" s="6"/>
      <c r="E1848" s="6"/>
      <c r="F1848" s="6"/>
      <c r="G1848" s="19"/>
      <c r="H1848" s="19"/>
      <c r="I1848" s="19"/>
      <c r="J1848" s="19"/>
      <c r="K1848" s="6"/>
      <c r="L1848" s="6"/>
      <c r="M1848" s="6"/>
      <c r="N1848" s="6"/>
      <c r="O1848" s="6"/>
      <c r="P1848" s="6"/>
      <c r="Q1848" s="6"/>
      <c r="R1848" s="6"/>
      <c r="S1848" s="6"/>
      <c r="T1848" s="6"/>
    </row>
    <row r="1849" spans="4:20" x14ac:dyDescent="0.2">
      <c r="D1849" s="6"/>
      <c r="E1849" s="6"/>
      <c r="F1849" s="6"/>
      <c r="G1849" s="19"/>
      <c r="H1849" s="19"/>
      <c r="I1849" s="19"/>
      <c r="J1849" s="19"/>
      <c r="K1849" s="6"/>
      <c r="L1849" s="6"/>
      <c r="M1849" s="6"/>
      <c r="N1849" s="6"/>
      <c r="O1849" s="6"/>
      <c r="P1849" s="6"/>
      <c r="Q1849" s="6"/>
      <c r="R1849" s="6"/>
      <c r="S1849" s="6"/>
      <c r="T1849" s="6"/>
    </row>
    <row r="1850" spans="4:20" x14ac:dyDescent="0.2">
      <c r="D1850" s="6"/>
      <c r="E1850" s="6"/>
      <c r="F1850" s="6"/>
      <c r="G1850" s="19"/>
      <c r="H1850" s="19"/>
      <c r="I1850" s="19"/>
      <c r="J1850" s="19"/>
      <c r="K1850" s="6"/>
      <c r="L1850" s="6"/>
      <c r="M1850" s="6"/>
      <c r="N1850" s="6"/>
      <c r="O1850" s="6"/>
      <c r="P1850" s="6"/>
      <c r="Q1850" s="6"/>
      <c r="R1850" s="6"/>
      <c r="S1850" s="6"/>
      <c r="T1850" s="6"/>
    </row>
    <row r="1851" spans="4:20" x14ac:dyDescent="0.2">
      <c r="D1851" s="6"/>
      <c r="E1851" s="6"/>
      <c r="F1851" s="6"/>
      <c r="G1851" s="19"/>
      <c r="H1851" s="19"/>
      <c r="I1851" s="19"/>
      <c r="J1851" s="19"/>
      <c r="K1851" s="6"/>
      <c r="L1851" s="6"/>
      <c r="M1851" s="6"/>
      <c r="N1851" s="6"/>
      <c r="O1851" s="6"/>
      <c r="P1851" s="6"/>
      <c r="Q1851" s="6"/>
      <c r="R1851" s="6"/>
      <c r="S1851" s="6"/>
      <c r="T1851" s="6"/>
    </row>
    <row r="1852" spans="4:20" x14ac:dyDescent="0.2">
      <c r="D1852" s="6"/>
      <c r="E1852" s="6"/>
      <c r="F1852" s="6"/>
      <c r="G1852" s="19"/>
      <c r="H1852" s="19"/>
      <c r="I1852" s="19"/>
      <c r="J1852" s="19"/>
      <c r="K1852" s="6"/>
      <c r="L1852" s="6"/>
      <c r="M1852" s="6"/>
      <c r="N1852" s="6"/>
      <c r="O1852" s="6"/>
      <c r="P1852" s="6"/>
      <c r="Q1852" s="6"/>
      <c r="R1852" s="6"/>
      <c r="S1852" s="6"/>
      <c r="T1852" s="6"/>
    </row>
    <row r="1853" spans="4:20" x14ac:dyDescent="0.2">
      <c r="D1853" s="6"/>
      <c r="E1853" s="6"/>
      <c r="F1853" s="6"/>
      <c r="G1853" s="19"/>
      <c r="H1853" s="19"/>
      <c r="I1853" s="19"/>
      <c r="J1853" s="19"/>
      <c r="K1853" s="6"/>
      <c r="L1853" s="6"/>
      <c r="M1853" s="6"/>
      <c r="N1853" s="6"/>
      <c r="O1853" s="6"/>
      <c r="P1853" s="6"/>
      <c r="Q1853" s="6"/>
      <c r="R1853" s="6"/>
      <c r="S1853" s="6"/>
      <c r="T1853" s="6"/>
    </row>
    <row r="1854" spans="4:20" x14ac:dyDescent="0.2">
      <c r="D1854" s="6"/>
      <c r="E1854" s="6"/>
      <c r="F1854" s="6"/>
      <c r="G1854" s="19"/>
      <c r="H1854" s="19"/>
      <c r="I1854" s="19"/>
      <c r="J1854" s="19"/>
      <c r="K1854" s="6"/>
      <c r="L1854" s="6"/>
      <c r="M1854" s="6"/>
      <c r="N1854" s="6"/>
      <c r="O1854" s="6"/>
      <c r="P1854" s="6"/>
      <c r="Q1854" s="6"/>
      <c r="R1854" s="6"/>
      <c r="S1854" s="6"/>
      <c r="T1854" s="6"/>
    </row>
    <row r="1855" spans="4:20" x14ac:dyDescent="0.2">
      <c r="D1855" s="6"/>
      <c r="E1855" s="6"/>
      <c r="F1855" s="6"/>
      <c r="G1855" s="19"/>
      <c r="H1855" s="19"/>
      <c r="I1855" s="19"/>
      <c r="J1855" s="19"/>
      <c r="K1855" s="6"/>
      <c r="L1855" s="6"/>
      <c r="M1855" s="6"/>
      <c r="N1855" s="6"/>
      <c r="O1855" s="6"/>
      <c r="P1855" s="6"/>
      <c r="Q1855" s="6"/>
      <c r="R1855" s="6"/>
      <c r="S1855" s="6"/>
      <c r="T1855" s="6"/>
    </row>
    <row r="1856" spans="4:20" x14ac:dyDescent="0.2">
      <c r="D1856" s="6"/>
      <c r="E1856" s="6"/>
      <c r="F1856" s="6"/>
      <c r="G1856" s="19"/>
      <c r="H1856" s="19"/>
      <c r="I1856" s="19"/>
      <c r="J1856" s="19"/>
      <c r="K1856" s="6"/>
      <c r="L1856" s="6"/>
      <c r="M1856" s="6"/>
      <c r="N1856" s="6"/>
      <c r="O1856" s="6"/>
      <c r="P1856" s="6"/>
      <c r="Q1856" s="6"/>
      <c r="R1856" s="6"/>
      <c r="S1856" s="6"/>
      <c r="T1856" s="6"/>
    </row>
    <row r="1857" spans="4:20" x14ac:dyDescent="0.2">
      <c r="D1857" s="6"/>
      <c r="E1857" s="6"/>
      <c r="F1857" s="6"/>
      <c r="G1857" s="19"/>
      <c r="H1857" s="19"/>
      <c r="I1857" s="19"/>
      <c r="J1857" s="19"/>
      <c r="K1857" s="6"/>
      <c r="L1857" s="6"/>
      <c r="M1857" s="6"/>
      <c r="N1857" s="6"/>
      <c r="O1857" s="6"/>
      <c r="P1857" s="6"/>
      <c r="Q1857" s="6"/>
      <c r="R1857" s="6"/>
      <c r="S1857" s="6"/>
      <c r="T1857" s="6"/>
    </row>
    <row r="1858" spans="4:20" x14ac:dyDescent="0.2">
      <c r="D1858" s="6"/>
      <c r="E1858" s="6"/>
      <c r="F1858" s="6"/>
      <c r="G1858" s="19"/>
      <c r="H1858" s="19"/>
      <c r="I1858" s="19"/>
      <c r="J1858" s="19"/>
      <c r="K1858" s="6"/>
      <c r="L1858" s="6"/>
      <c r="M1858" s="6"/>
      <c r="N1858" s="6"/>
      <c r="O1858" s="6"/>
      <c r="P1858" s="6"/>
      <c r="Q1858" s="6"/>
      <c r="R1858" s="6"/>
      <c r="S1858" s="6"/>
      <c r="T1858" s="6"/>
    </row>
    <row r="1859" spans="4:20" x14ac:dyDescent="0.2">
      <c r="D1859" s="6"/>
      <c r="E1859" s="6"/>
      <c r="F1859" s="6"/>
      <c r="G1859" s="19"/>
      <c r="H1859" s="19"/>
      <c r="I1859" s="19"/>
      <c r="J1859" s="19"/>
      <c r="K1859" s="6"/>
      <c r="L1859" s="6"/>
      <c r="M1859" s="6"/>
      <c r="N1859" s="6"/>
      <c r="O1859" s="6"/>
      <c r="P1859" s="6"/>
      <c r="Q1859" s="6"/>
      <c r="R1859" s="6"/>
      <c r="S1859" s="6"/>
      <c r="T1859" s="6"/>
    </row>
    <row r="1860" spans="4:20" x14ac:dyDescent="0.2">
      <c r="D1860" s="6"/>
      <c r="E1860" s="6"/>
      <c r="F1860" s="6"/>
      <c r="G1860" s="19"/>
      <c r="H1860" s="19"/>
      <c r="I1860" s="19"/>
      <c r="J1860" s="19"/>
      <c r="K1860" s="6"/>
      <c r="L1860" s="6"/>
      <c r="M1860" s="6"/>
      <c r="N1860" s="6"/>
      <c r="O1860" s="6"/>
      <c r="P1860" s="6"/>
      <c r="Q1860" s="6"/>
      <c r="R1860" s="6"/>
      <c r="S1860" s="6"/>
      <c r="T1860" s="6"/>
    </row>
    <row r="1861" spans="4:20" x14ac:dyDescent="0.2">
      <c r="D1861" s="6"/>
      <c r="E1861" s="6"/>
      <c r="F1861" s="6"/>
      <c r="G1861" s="19"/>
      <c r="H1861" s="19"/>
      <c r="I1861" s="19"/>
      <c r="J1861" s="19"/>
      <c r="K1861" s="6"/>
      <c r="L1861" s="6"/>
      <c r="M1861" s="6"/>
      <c r="N1861" s="6"/>
      <c r="O1861" s="6"/>
      <c r="P1861" s="6"/>
      <c r="Q1861" s="6"/>
      <c r="R1861" s="6"/>
      <c r="S1861" s="6"/>
      <c r="T1861" s="6"/>
    </row>
    <row r="1862" spans="4:20" x14ac:dyDescent="0.2">
      <c r="D1862" s="6"/>
      <c r="E1862" s="6"/>
      <c r="F1862" s="6"/>
      <c r="G1862" s="19"/>
      <c r="H1862" s="19"/>
      <c r="I1862" s="19"/>
      <c r="J1862" s="19"/>
      <c r="K1862" s="6"/>
      <c r="L1862" s="6"/>
      <c r="M1862" s="6"/>
      <c r="N1862" s="6"/>
      <c r="O1862" s="6"/>
      <c r="P1862" s="6"/>
      <c r="Q1862" s="6"/>
      <c r="R1862" s="6"/>
      <c r="S1862" s="6"/>
      <c r="T1862" s="6"/>
    </row>
    <row r="1863" spans="4:20" x14ac:dyDescent="0.2">
      <c r="D1863" s="6"/>
      <c r="E1863" s="6"/>
      <c r="F1863" s="6"/>
      <c r="G1863" s="19"/>
      <c r="H1863" s="19"/>
      <c r="I1863" s="19"/>
      <c r="J1863" s="19"/>
      <c r="K1863" s="6"/>
      <c r="L1863" s="6"/>
      <c r="M1863" s="6"/>
      <c r="N1863" s="6"/>
      <c r="O1863" s="6"/>
      <c r="P1863" s="6"/>
      <c r="Q1863" s="6"/>
      <c r="R1863" s="6"/>
      <c r="S1863" s="6"/>
      <c r="T1863" s="6"/>
    </row>
    <row r="1864" spans="4:20" x14ac:dyDescent="0.2">
      <c r="D1864" s="6"/>
      <c r="E1864" s="6"/>
      <c r="F1864" s="6"/>
      <c r="G1864" s="19"/>
      <c r="H1864" s="19"/>
      <c r="I1864" s="19"/>
      <c r="J1864" s="19"/>
      <c r="K1864" s="6"/>
      <c r="L1864" s="6"/>
      <c r="M1864" s="6"/>
      <c r="N1864" s="6"/>
      <c r="O1864" s="6"/>
      <c r="P1864" s="6"/>
      <c r="Q1864" s="6"/>
      <c r="R1864" s="6"/>
      <c r="S1864" s="6"/>
      <c r="T1864" s="6"/>
    </row>
    <row r="1865" spans="4:20" x14ac:dyDescent="0.2">
      <c r="D1865" s="6"/>
      <c r="E1865" s="6"/>
      <c r="F1865" s="6"/>
      <c r="G1865" s="19"/>
      <c r="H1865" s="19"/>
      <c r="I1865" s="19"/>
      <c r="J1865" s="19"/>
      <c r="K1865" s="6"/>
      <c r="L1865" s="6"/>
      <c r="M1865" s="6"/>
      <c r="N1865" s="6"/>
      <c r="O1865" s="6"/>
      <c r="P1865" s="6"/>
      <c r="Q1865" s="6"/>
      <c r="R1865" s="6"/>
      <c r="S1865" s="6"/>
      <c r="T1865" s="6"/>
    </row>
    <row r="1866" spans="4:20" x14ac:dyDescent="0.2">
      <c r="D1866" s="6"/>
      <c r="E1866" s="6"/>
      <c r="F1866" s="6"/>
      <c r="G1866" s="19"/>
      <c r="H1866" s="19"/>
      <c r="I1866" s="19"/>
      <c r="J1866" s="19"/>
      <c r="K1866" s="6"/>
      <c r="L1866" s="6"/>
      <c r="M1866" s="6"/>
      <c r="N1866" s="6"/>
      <c r="O1866" s="6"/>
      <c r="P1866" s="6"/>
      <c r="Q1866" s="6"/>
      <c r="R1866" s="6"/>
      <c r="S1866" s="6"/>
      <c r="T1866" s="6"/>
    </row>
    <row r="1867" spans="4:20" x14ac:dyDescent="0.2">
      <c r="D1867" s="6"/>
      <c r="E1867" s="6"/>
      <c r="F1867" s="6"/>
      <c r="G1867" s="19"/>
      <c r="H1867" s="19"/>
      <c r="I1867" s="19"/>
      <c r="J1867" s="19"/>
      <c r="K1867" s="6"/>
      <c r="L1867" s="6"/>
      <c r="M1867" s="6"/>
      <c r="N1867" s="6"/>
      <c r="O1867" s="6"/>
      <c r="P1867" s="6"/>
      <c r="Q1867" s="6"/>
      <c r="R1867" s="6"/>
      <c r="S1867" s="6"/>
      <c r="T1867" s="6"/>
    </row>
    <row r="1868" spans="4:20" x14ac:dyDescent="0.2">
      <c r="D1868" s="6"/>
      <c r="E1868" s="6"/>
      <c r="F1868" s="6"/>
      <c r="G1868" s="19"/>
      <c r="H1868" s="19"/>
      <c r="I1868" s="19"/>
      <c r="J1868" s="19"/>
      <c r="K1868" s="6"/>
      <c r="L1868" s="6"/>
      <c r="M1868" s="6"/>
      <c r="N1868" s="6"/>
      <c r="O1868" s="6"/>
      <c r="P1868" s="6"/>
      <c r="Q1868" s="6"/>
      <c r="R1868" s="6"/>
      <c r="S1868" s="6"/>
      <c r="T1868" s="6"/>
    </row>
    <row r="1869" spans="4:20" x14ac:dyDescent="0.2">
      <c r="D1869" s="6"/>
      <c r="E1869" s="6"/>
      <c r="F1869" s="6"/>
      <c r="G1869" s="19"/>
      <c r="H1869" s="19"/>
      <c r="I1869" s="19"/>
      <c r="J1869" s="19"/>
      <c r="K1869" s="6"/>
      <c r="L1869" s="6"/>
      <c r="M1869" s="6"/>
      <c r="N1869" s="6"/>
      <c r="O1869" s="6"/>
      <c r="P1869" s="6"/>
      <c r="Q1869" s="6"/>
      <c r="R1869" s="6"/>
      <c r="S1869" s="6"/>
      <c r="T1869" s="6"/>
    </row>
    <row r="1870" spans="4:20" x14ac:dyDescent="0.2">
      <c r="D1870" s="6"/>
      <c r="E1870" s="6"/>
      <c r="F1870" s="6"/>
      <c r="G1870" s="19"/>
      <c r="H1870" s="19"/>
      <c r="I1870" s="19"/>
      <c r="J1870" s="19"/>
      <c r="K1870" s="6"/>
      <c r="L1870" s="6"/>
      <c r="M1870" s="6"/>
      <c r="N1870" s="6"/>
      <c r="O1870" s="6"/>
      <c r="P1870" s="6"/>
      <c r="Q1870" s="6"/>
      <c r="R1870" s="6"/>
      <c r="S1870" s="6"/>
      <c r="T1870" s="6"/>
    </row>
    <row r="1871" spans="4:20" x14ac:dyDescent="0.2">
      <c r="D1871" s="6"/>
      <c r="E1871" s="6"/>
      <c r="F1871" s="6"/>
      <c r="G1871" s="19"/>
      <c r="H1871" s="19"/>
      <c r="I1871" s="19"/>
      <c r="J1871" s="19"/>
      <c r="K1871" s="6"/>
      <c r="L1871" s="6"/>
      <c r="M1871" s="6"/>
      <c r="N1871" s="6"/>
      <c r="O1871" s="6"/>
      <c r="P1871" s="6"/>
      <c r="Q1871" s="6"/>
      <c r="R1871" s="6"/>
      <c r="S1871" s="6"/>
      <c r="T1871" s="6"/>
    </row>
    <row r="1872" spans="4:20" x14ac:dyDescent="0.2">
      <c r="D1872" s="6"/>
      <c r="E1872" s="6"/>
      <c r="F1872" s="6"/>
      <c r="G1872" s="19"/>
      <c r="H1872" s="19"/>
      <c r="I1872" s="19"/>
      <c r="J1872" s="19"/>
      <c r="K1872" s="6"/>
      <c r="L1872" s="6"/>
      <c r="M1872" s="6"/>
      <c r="N1872" s="6"/>
      <c r="O1872" s="6"/>
      <c r="P1872" s="6"/>
      <c r="Q1872" s="6"/>
      <c r="R1872" s="6"/>
      <c r="S1872" s="6"/>
      <c r="T1872" s="6"/>
    </row>
    <row r="1873" spans="4:20" x14ac:dyDescent="0.2">
      <c r="D1873" s="6"/>
      <c r="E1873" s="6"/>
      <c r="F1873" s="6"/>
      <c r="G1873" s="19"/>
      <c r="H1873" s="19"/>
      <c r="I1873" s="19"/>
      <c r="J1873" s="19"/>
      <c r="K1873" s="6"/>
      <c r="L1873" s="6"/>
      <c r="M1873" s="6"/>
      <c r="N1873" s="6"/>
      <c r="O1873" s="6"/>
      <c r="P1873" s="6"/>
      <c r="Q1873" s="6"/>
      <c r="R1873" s="6"/>
      <c r="S1873" s="6"/>
      <c r="T1873" s="6"/>
    </row>
    <row r="1874" spans="4:20" x14ac:dyDescent="0.2">
      <c r="D1874" s="6"/>
      <c r="E1874" s="6"/>
      <c r="F1874" s="6"/>
      <c r="G1874" s="19"/>
      <c r="H1874" s="19"/>
      <c r="I1874" s="19"/>
      <c r="J1874" s="19"/>
      <c r="K1874" s="6"/>
      <c r="L1874" s="6"/>
      <c r="M1874" s="6"/>
      <c r="N1874" s="6"/>
      <c r="O1874" s="6"/>
      <c r="P1874" s="6"/>
      <c r="Q1874" s="6"/>
      <c r="R1874" s="6"/>
      <c r="S1874" s="6"/>
      <c r="T1874" s="6"/>
    </row>
    <row r="1875" spans="4:20" x14ac:dyDescent="0.2">
      <c r="D1875" s="6"/>
      <c r="E1875" s="6"/>
      <c r="F1875" s="6"/>
      <c r="G1875" s="19"/>
      <c r="H1875" s="19"/>
      <c r="I1875" s="19"/>
      <c r="J1875" s="19"/>
      <c r="K1875" s="6"/>
      <c r="L1875" s="6"/>
      <c r="M1875" s="6"/>
      <c r="N1875" s="6"/>
      <c r="O1875" s="6"/>
      <c r="P1875" s="6"/>
      <c r="Q1875" s="6"/>
      <c r="R1875" s="6"/>
      <c r="S1875" s="6"/>
      <c r="T1875" s="6"/>
    </row>
    <row r="1876" spans="4:20" x14ac:dyDescent="0.2">
      <c r="D1876" s="6"/>
      <c r="E1876" s="6"/>
      <c r="F1876" s="6"/>
      <c r="G1876" s="19"/>
      <c r="H1876" s="19"/>
      <c r="I1876" s="19"/>
      <c r="J1876" s="19"/>
      <c r="K1876" s="6"/>
      <c r="L1876" s="6"/>
      <c r="M1876" s="6"/>
      <c r="N1876" s="6"/>
      <c r="O1876" s="6"/>
      <c r="P1876" s="6"/>
      <c r="Q1876" s="6"/>
      <c r="R1876" s="6"/>
      <c r="S1876" s="6"/>
      <c r="T1876" s="6"/>
    </row>
    <row r="1877" spans="4:20" x14ac:dyDescent="0.2">
      <c r="D1877" s="6"/>
      <c r="E1877" s="6"/>
      <c r="F1877" s="6"/>
      <c r="G1877" s="19"/>
      <c r="H1877" s="19"/>
      <c r="I1877" s="19"/>
      <c r="J1877" s="19"/>
      <c r="K1877" s="6"/>
      <c r="L1877" s="6"/>
      <c r="M1877" s="6"/>
      <c r="N1877" s="6"/>
      <c r="O1877" s="6"/>
      <c r="P1877" s="6"/>
      <c r="Q1877" s="6"/>
      <c r="R1877" s="6"/>
      <c r="S1877" s="6"/>
      <c r="T1877" s="6"/>
    </row>
    <row r="1878" spans="4:20" x14ac:dyDescent="0.2">
      <c r="D1878" s="6"/>
      <c r="E1878" s="6"/>
      <c r="F1878" s="6"/>
      <c r="G1878" s="19"/>
      <c r="H1878" s="19"/>
      <c r="I1878" s="19"/>
      <c r="J1878" s="19"/>
      <c r="K1878" s="6"/>
      <c r="L1878" s="6"/>
      <c r="M1878" s="6"/>
      <c r="N1878" s="6"/>
      <c r="O1878" s="6"/>
      <c r="P1878" s="6"/>
      <c r="Q1878" s="6"/>
      <c r="R1878" s="6"/>
      <c r="S1878" s="6"/>
      <c r="T1878" s="6"/>
    </row>
    <row r="1879" spans="4:20" x14ac:dyDescent="0.2">
      <c r="D1879" s="6"/>
      <c r="E1879" s="6"/>
      <c r="F1879" s="6"/>
      <c r="G1879" s="19"/>
      <c r="H1879" s="19"/>
      <c r="I1879" s="19"/>
      <c r="J1879" s="19"/>
      <c r="K1879" s="6"/>
      <c r="L1879" s="6"/>
      <c r="M1879" s="6"/>
      <c r="N1879" s="6"/>
      <c r="O1879" s="6"/>
      <c r="P1879" s="6"/>
      <c r="Q1879" s="6"/>
      <c r="R1879" s="6"/>
      <c r="S1879" s="6"/>
      <c r="T1879" s="6"/>
    </row>
    <row r="1880" spans="4:20" x14ac:dyDescent="0.2">
      <c r="D1880" s="6"/>
      <c r="E1880" s="6"/>
      <c r="F1880" s="6"/>
      <c r="G1880" s="19"/>
      <c r="H1880" s="19"/>
      <c r="I1880" s="19"/>
      <c r="J1880" s="19"/>
      <c r="K1880" s="6"/>
      <c r="L1880" s="6"/>
      <c r="M1880" s="6"/>
      <c r="N1880" s="6"/>
      <c r="O1880" s="6"/>
      <c r="P1880" s="6"/>
      <c r="Q1880" s="6"/>
      <c r="R1880" s="6"/>
      <c r="S1880" s="6"/>
      <c r="T1880" s="6"/>
    </row>
    <row r="1881" spans="4:20" x14ac:dyDescent="0.2">
      <c r="D1881" s="6"/>
      <c r="E1881" s="6"/>
      <c r="F1881" s="6"/>
      <c r="G1881" s="19"/>
      <c r="H1881" s="19"/>
      <c r="I1881" s="19"/>
      <c r="J1881" s="19"/>
      <c r="K1881" s="6"/>
      <c r="L1881" s="6"/>
      <c r="M1881" s="6"/>
      <c r="N1881" s="6"/>
      <c r="O1881" s="6"/>
      <c r="P1881" s="6"/>
      <c r="Q1881" s="6"/>
      <c r="R1881" s="6"/>
      <c r="S1881" s="6"/>
      <c r="T1881" s="6"/>
    </row>
    <row r="1882" spans="4:20" x14ac:dyDescent="0.2">
      <c r="D1882" s="6"/>
      <c r="E1882" s="6"/>
      <c r="F1882" s="6"/>
      <c r="G1882" s="19"/>
      <c r="H1882" s="19"/>
      <c r="I1882" s="19"/>
      <c r="J1882" s="19"/>
      <c r="K1882" s="6"/>
      <c r="L1882" s="6"/>
      <c r="M1882" s="6"/>
      <c r="N1882" s="6"/>
      <c r="O1882" s="6"/>
      <c r="P1882" s="6"/>
      <c r="Q1882" s="6"/>
      <c r="R1882" s="6"/>
      <c r="S1882" s="6"/>
      <c r="T1882" s="6"/>
    </row>
    <row r="1883" spans="4:20" x14ac:dyDescent="0.2">
      <c r="D1883" s="6"/>
      <c r="E1883" s="6"/>
      <c r="F1883" s="6"/>
      <c r="G1883" s="19"/>
      <c r="H1883" s="19"/>
      <c r="I1883" s="19"/>
      <c r="J1883" s="19"/>
      <c r="K1883" s="6"/>
      <c r="L1883" s="6"/>
      <c r="M1883" s="6"/>
      <c r="N1883" s="6"/>
      <c r="O1883" s="6"/>
      <c r="P1883" s="6"/>
      <c r="Q1883" s="6"/>
      <c r="R1883" s="6"/>
      <c r="S1883" s="6"/>
      <c r="T1883" s="6"/>
    </row>
    <row r="1884" spans="4:20" x14ac:dyDescent="0.2">
      <c r="D1884" s="6"/>
      <c r="E1884" s="6"/>
      <c r="F1884" s="6"/>
      <c r="G1884" s="19"/>
      <c r="H1884" s="19"/>
      <c r="I1884" s="19"/>
      <c r="J1884" s="19"/>
      <c r="K1884" s="6"/>
      <c r="L1884" s="6"/>
      <c r="M1884" s="6"/>
      <c r="N1884" s="6"/>
      <c r="O1884" s="6"/>
      <c r="P1884" s="6"/>
      <c r="Q1884" s="6"/>
      <c r="R1884" s="6"/>
      <c r="S1884" s="6"/>
      <c r="T1884" s="6"/>
    </row>
    <row r="1885" spans="4:20" x14ac:dyDescent="0.2">
      <c r="D1885" s="6"/>
      <c r="E1885" s="6"/>
      <c r="F1885" s="6"/>
      <c r="G1885" s="19"/>
      <c r="H1885" s="19"/>
      <c r="I1885" s="19"/>
      <c r="J1885" s="19"/>
      <c r="K1885" s="6"/>
      <c r="L1885" s="6"/>
      <c r="M1885" s="6"/>
      <c r="N1885" s="6"/>
      <c r="O1885" s="6"/>
      <c r="P1885" s="6"/>
      <c r="Q1885" s="6"/>
      <c r="R1885" s="6"/>
      <c r="S1885" s="6"/>
      <c r="T1885" s="6"/>
    </row>
    <row r="1886" spans="4:20" x14ac:dyDescent="0.2">
      <c r="D1886" s="6"/>
      <c r="E1886" s="6"/>
      <c r="F1886" s="6"/>
      <c r="G1886" s="19"/>
      <c r="H1886" s="19"/>
      <c r="I1886" s="19"/>
      <c r="J1886" s="19"/>
      <c r="K1886" s="6"/>
      <c r="L1886" s="6"/>
      <c r="M1886" s="6"/>
      <c r="N1886" s="6"/>
      <c r="O1886" s="6"/>
      <c r="P1886" s="6"/>
      <c r="Q1886" s="6"/>
      <c r="R1886" s="6"/>
      <c r="S1886" s="6"/>
      <c r="T1886" s="6"/>
    </row>
    <row r="1887" spans="4:20" x14ac:dyDescent="0.2">
      <c r="D1887" s="6"/>
      <c r="E1887" s="6"/>
      <c r="F1887" s="6"/>
      <c r="G1887" s="19"/>
      <c r="H1887" s="19"/>
      <c r="I1887" s="19"/>
      <c r="J1887" s="19"/>
      <c r="K1887" s="6"/>
      <c r="L1887" s="6"/>
      <c r="M1887" s="6"/>
      <c r="N1887" s="6"/>
      <c r="O1887" s="6"/>
      <c r="P1887" s="6"/>
      <c r="Q1887" s="6"/>
      <c r="R1887" s="6"/>
      <c r="S1887" s="6"/>
      <c r="T1887" s="6"/>
    </row>
    <row r="1888" spans="4:20" x14ac:dyDescent="0.2">
      <c r="D1888" s="6"/>
      <c r="E1888" s="6"/>
      <c r="F1888" s="6"/>
      <c r="G1888" s="19"/>
      <c r="H1888" s="19"/>
      <c r="I1888" s="19"/>
      <c r="J1888" s="19"/>
      <c r="K1888" s="6"/>
      <c r="L1888" s="6"/>
      <c r="M1888" s="6"/>
      <c r="N1888" s="6"/>
      <c r="O1888" s="6"/>
      <c r="P1888" s="6"/>
      <c r="Q1888" s="6"/>
      <c r="R1888" s="6"/>
      <c r="S1888" s="6"/>
      <c r="T1888" s="6"/>
    </row>
    <row r="1889" spans="4:20" x14ac:dyDescent="0.2">
      <c r="D1889" s="6"/>
      <c r="E1889" s="6"/>
      <c r="F1889" s="6"/>
      <c r="G1889" s="19"/>
      <c r="H1889" s="19"/>
      <c r="I1889" s="19"/>
      <c r="J1889" s="19"/>
      <c r="K1889" s="6"/>
      <c r="L1889" s="6"/>
      <c r="M1889" s="6"/>
      <c r="N1889" s="6"/>
      <c r="O1889" s="6"/>
      <c r="P1889" s="6"/>
      <c r="Q1889" s="6"/>
      <c r="R1889" s="6"/>
      <c r="S1889" s="6"/>
      <c r="T1889" s="6"/>
    </row>
    <row r="1890" spans="4:20" x14ac:dyDescent="0.2">
      <c r="D1890" s="6"/>
      <c r="E1890" s="6"/>
      <c r="F1890" s="6"/>
      <c r="G1890" s="19"/>
      <c r="H1890" s="19"/>
      <c r="I1890" s="19"/>
      <c r="J1890" s="19"/>
      <c r="K1890" s="6"/>
      <c r="L1890" s="6"/>
      <c r="M1890" s="6"/>
      <c r="N1890" s="6"/>
      <c r="O1890" s="6"/>
      <c r="P1890" s="6"/>
      <c r="Q1890" s="6"/>
      <c r="R1890" s="6"/>
      <c r="S1890" s="6"/>
      <c r="T1890" s="6"/>
    </row>
    <row r="1891" spans="4:20" x14ac:dyDescent="0.2">
      <c r="D1891" s="6"/>
      <c r="E1891" s="6"/>
      <c r="F1891" s="6"/>
      <c r="G1891" s="19"/>
      <c r="H1891" s="19"/>
      <c r="I1891" s="19"/>
      <c r="J1891" s="19"/>
      <c r="K1891" s="6"/>
      <c r="L1891" s="6"/>
      <c r="M1891" s="6"/>
      <c r="N1891" s="6"/>
      <c r="O1891" s="6"/>
      <c r="P1891" s="6"/>
      <c r="Q1891" s="6"/>
      <c r="R1891" s="6"/>
      <c r="S1891" s="6"/>
      <c r="T1891" s="6"/>
    </row>
    <row r="1892" spans="4:20" x14ac:dyDescent="0.2">
      <c r="D1892" s="6"/>
      <c r="E1892" s="6"/>
      <c r="F1892" s="6"/>
      <c r="G1892" s="19"/>
      <c r="H1892" s="19"/>
      <c r="I1892" s="19"/>
      <c r="J1892" s="19"/>
      <c r="K1892" s="6"/>
      <c r="L1892" s="6"/>
      <c r="M1892" s="6"/>
      <c r="N1892" s="6"/>
      <c r="O1892" s="6"/>
      <c r="P1892" s="6"/>
      <c r="Q1892" s="6"/>
      <c r="R1892" s="6"/>
      <c r="S1892" s="6"/>
      <c r="T1892" s="6"/>
    </row>
    <row r="1893" spans="4:20" x14ac:dyDescent="0.2">
      <c r="D1893" s="6"/>
      <c r="E1893" s="6"/>
      <c r="F1893" s="6"/>
      <c r="G1893" s="19"/>
      <c r="H1893" s="19"/>
      <c r="I1893" s="19"/>
      <c r="J1893" s="19"/>
      <c r="K1893" s="6"/>
      <c r="L1893" s="6"/>
      <c r="M1893" s="6"/>
      <c r="N1893" s="6"/>
      <c r="O1893" s="6"/>
      <c r="P1893" s="6"/>
      <c r="Q1893" s="6"/>
      <c r="R1893" s="6"/>
      <c r="S1893" s="6"/>
      <c r="T1893" s="6"/>
    </row>
    <row r="1894" spans="4:20" x14ac:dyDescent="0.2">
      <c r="D1894" s="6"/>
      <c r="E1894" s="6"/>
      <c r="F1894" s="6"/>
      <c r="G1894" s="19"/>
      <c r="H1894" s="19"/>
      <c r="I1894" s="19"/>
      <c r="J1894" s="19"/>
      <c r="K1894" s="6"/>
      <c r="L1894" s="6"/>
      <c r="M1894" s="6"/>
      <c r="N1894" s="6"/>
      <c r="O1894" s="6"/>
      <c r="P1894" s="6"/>
      <c r="Q1894" s="6"/>
      <c r="R1894" s="6"/>
      <c r="S1894" s="6"/>
      <c r="T1894" s="6"/>
    </row>
    <row r="1895" spans="4:20" x14ac:dyDescent="0.2">
      <c r="D1895" s="6"/>
      <c r="E1895" s="6"/>
      <c r="F1895" s="6"/>
      <c r="G1895" s="19"/>
      <c r="H1895" s="19"/>
      <c r="I1895" s="19"/>
      <c r="J1895" s="19"/>
      <c r="K1895" s="6"/>
      <c r="L1895" s="6"/>
      <c r="M1895" s="6"/>
      <c r="N1895" s="6"/>
      <c r="O1895" s="6"/>
      <c r="P1895" s="6"/>
      <c r="Q1895" s="6"/>
      <c r="R1895" s="6"/>
      <c r="S1895" s="6"/>
      <c r="T1895" s="6"/>
    </row>
    <row r="1896" spans="4:20" x14ac:dyDescent="0.2">
      <c r="D1896" s="6"/>
      <c r="E1896" s="6"/>
      <c r="F1896" s="6"/>
      <c r="G1896" s="19"/>
      <c r="H1896" s="19"/>
      <c r="I1896" s="19"/>
      <c r="J1896" s="19"/>
      <c r="K1896" s="6"/>
      <c r="L1896" s="6"/>
      <c r="M1896" s="6"/>
      <c r="N1896" s="6"/>
      <c r="O1896" s="6"/>
      <c r="P1896" s="6"/>
      <c r="Q1896" s="6"/>
      <c r="R1896" s="6"/>
      <c r="S1896" s="6"/>
      <c r="T1896" s="6"/>
    </row>
    <row r="1897" spans="4:20" x14ac:dyDescent="0.2">
      <c r="D1897" s="6"/>
      <c r="E1897" s="6"/>
      <c r="F1897" s="6"/>
      <c r="G1897" s="19"/>
      <c r="H1897" s="19"/>
      <c r="I1897" s="19"/>
      <c r="J1897" s="19"/>
      <c r="K1897" s="6"/>
      <c r="L1897" s="6"/>
      <c r="M1897" s="6"/>
      <c r="N1897" s="6"/>
      <c r="O1897" s="6"/>
      <c r="P1897" s="6"/>
      <c r="Q1897" s="6"/>
      <c r="R1897" s="6"/>
      <c r="S1897" s="6"/>
      <c r="T1897" s="6"/>
    </row>
    <row r="1898" spans="4:20" x14ac:dyDescent="0.2">
      <c r="D1898" s="6"/>
      <c r="E1898" s="6"/>
      <c r="F1898" s="6"/>
      <c r="G1898" s="19"/>
      <c r="H1898" s="19"/>
      <c r="I1898" s="19"/>
      <c r="J1898" s="19"/>
      <c r="K1898" s="6"/>
      <c r="L1898" s="6"/>
      <c r="M1898" s="6"/>
      <c r="N1898" s="6"/>
      <c r="O1898" s="6"/>
      <c r="P1898" s="6"/>
      <c r="Q1898" s="6"/>
      <c r="R1898" s="6"/>
      <c r="S1898" s="6"/>
      <c r="T1898" s="6"/>
    </row>
    <row r="1899" spans="4:20" x14ac:dyDescent="0.2">
      <c r="D1899" s="6"/>
      <c r="E1899" s="6"/>
      <c r="F1899" s="6"/>
      <c r="G1899" s="19"/>
      <c r="H1899" s="19"/>
      <c r="I1899" s="19"/>
      <c r="J1899" s="19"/>
      <c r="K1899" s="6"/>
      <c r="L1899" s="6"/>
      <c r="M1899" s="6"/>
      <c r="N1899" s="6"/>
      <c r="O1899" s="6"/>
      <c r="P1899" s="6"/>
      <c r="Q1899" s="6"/>
      <c r="R1899" s="6"/>
      <c r="S1899" s="6"/>
      <c r="T1899" s="6"/>
    </row>
    <row r="1900" spans="4:20" x14ac:dyDescent="0.2">
      <c r="D1900" s="6"/>
      <c r="E1900" s="6"/>
      <c r="F1900" s="6"/>
      <c r="G1900" s="19"/>
      <c r="H1900" s="19"/>
      <c r="I1900" s="19"/>
      <c r="J1900" s="19"/>
      <c r="K1900" s="6"/>
      <c r="L1900" s="6"/>
      <c r="M1900" s="6"/>
      <c r="N1900" s="6"/>
      <c r="O1900" s="6"/>
      <c r="P1900" s="6"/>
      <c r="Q1900" s="6"/>
      <c r="R1900" s="6"/>
      <c r="S1900" s="6"/>
      <c r="T1900" s="6"/>
    </row>
    <row r="1901" spans="4:20" x14ac:dyDescent="0.2">
      <c r="D1901" s="6"/>
      <c r="E1901" s="6"/>
      <c r="F1901" s="6"/>
      <c r="G1901" s="19"/>
      <c r="H1901" s="19"/>
      <c r="I1901" s="19"/>
      <c r="J1901" s="19"/>
      <c r="K1901" s="6"/>
      <c r="L1901" s="6"/>
      <c r="M1901" s="6"/>
      <c r="N1901" s="6"/>
      <c r="O1901" s="6"/>
      <c r="P1901" s="6"/>
      <c r="Q1901" s="6"/>
      <c r="R1901" s="6"/>
      <c r="S1901" s="6"/>
      <c r="T1901" s="6"/>
    </row>
    <row r="1902" spans="4:20" x14ac:dyDescent="0.2">
      <c r="D1902" s="6"/>
      <c r="E1902" s="6"/>
      <c r="F1902" s="6"/>
      <c r="G1902" s="19"/>
      <c r="H1902" s="19"/>
      <c r="I1902" s="19"/>
      <c r="J1902" s="19"/>
      <c r="K1902" s="6"/>
      <c r="L1902" s="6"/>
      <c r="M1902" s="6"/>
      <c r="N1902" s="6"/>
      <c r="O1902" s="6"/>
      <c r="P1902" s="6"/>
      <c r="Q1902" s="6"/>
      <c r="R1902" s="6"/>
      <c r="S1902" s="6"/>
      <c r="T1902" s="6"/>
    </row>
    <row r="1903" spans="4:20" x14ac:dyDescent="0.2">
      <c r="D1903" s="6"/>
      <c r="E1903" s="6"/>
      <c r="F1903" s="6"/>
      <c r="G1903" s="19"/>
      <c r="H1903" s="19"/>
      <c r="I1903" s="19"/>
      <c r="J1903" s="19"/>
      <c r="K1903" s="6"/>
      <c r="L1903" s="6"/>
      <c r="M1903" s="6"/>
      <c r="N1903" s="6"/>
      <c r="O1903" s="6"/>
      <c r="P1903" s="6"/>
      <c r="Q1903" s="6"/>
      <c r="R1903" s="6"/>
      <c r="S1903" s="6"/>
      <c r="T1903" s="6"/>
    </row>
    <row r="1904" spans="4:20" x14ac:dyDescent="0.2">
      <c r="D1904" s="6"/>
      <c r="E1904" s="6"/>
      <c r="F1904" s="6"/>
      <c r="G1904" s="19"/>
      <c r="H1904" s="19"/>
      <c r="I1904" s="19"/>
      <c r="J1904" s="19"/>
      <c r="K1904" s="6"/>
      <c r="L1904" s="6"/>
      <c r="M1904" s="6"/>
      <c r="N1904" s="6"/>
      <c r="O1904" s="6"/>
      <c r="P1904" s="6"/>
      <c r="Q1904" s="6"/>
      <c r="R1904" s="6"/>
      <c r="S1904" s="6"/>
      <c r="T1904" s="6"/>
    </row>
    <row r="1905" spans="4:20" x14ac:dyDescent="0.2">
      <c r="D1905" s="6"/>
      <c r="E1905" s="6"/>
      <c r="F1905" s="6"/>
      <c r="G1905" s="19"/>
      <c r="H1905" s="19"/>
      <c r="I1905" s="19"/>
      <c r="J1905" s="19"/>
      <c r="K1905" s="6"/>
      <c r="L1905" s="6"/>
      <c r="M1905" s="6"/>
      <c r="N1905" s="6"/>
      <c r="O1905" s="6"/>
      <c r="P1905" s="6"/>
      <c r="Q1905" s="6"/>
      <c r="R1905" s="6"/>
      <c r="S1905" s="6"/>
      <c r="T1905" s="6"/>
    </row>
    <row r="1906" spans="4:20" x14ac:dyDescent="0.2">
      <c r="D1906" s="6"/>
      <c r="E1906" s="6"/>
      <c r="F1906" s="6"/>
      <c r="G1906" s="19"/>
      <c r="H1906" s="19"/>
      <c r="I1906" s="19"/>
      <c r="J1906" s="19"/>
      <c r="K1906" s="6"/>
      <c r="L1906" s="6"/>
      <c r="M1906" s="6"/>
      <c r="N1906" s="6"/>
      <c r="O1906" s="6"/>
      <c r="P1906" s="6"/>
      <c r="Q1906" s="6"/>
      <c r="R1906" s="6"/>
      <c r="S1906" s="6"/>
      <c r="T1906" s="6"/>
    </row>
    <row r="1907" spans="4:20" x14ac:dyDescent="0.2">
      <c r="D1907" s="6"/>
      <c r="E1907" s="6"/>
      <c r="F1907" s="6"/>
      <c r="G1907" s="19"/>
      <c r="H1907" s="19"/>
      <c r="I1907" s="19"/>
      <c r="J1907" s="19"/>
      <c r="K1907" s="6"/>
      <c r="L1907" s="6"/>
      <c r="M1907" s="6"/>
      <c r="N1907" s="6"/>
      <c r="O1907" s="6"/>
      <c r="P1907" s="6"/>
      <c r="Q1907" s="6"/>
      <c r="R1907" s="6"/>
      <c r="S1907" s="6"/>
      <c r="T1907" s="6"/>
    </row>
    <row r="1908" spans="4:20" x14ac:dyDescent="0.2">
      <c r="D1908" s="6"/>
      <c r="E1908" s="6"/>
      <c r="F1908" s="6"/>
      <c r="G1908" s="19"/>
      <c r="H1908" s="19"/>
      <c r="I1908" s="19"/>
      <c r="J1908" s="19"/>
      <c r="K1908" s="6"/>
      <c r="L1908" s="6"/>
      <c r="M1908" s="6"/>
      <c r="N1908" s="6"/>
      <c r="O1908" s="6"/>
      <c r="P1908" s="6"/>
      <c r="Q1908" s="6"/>
      <c r="R1908" s="6"/>
      <c r="S1908" s="6"/>
      <c r="T1908" s="6"/>
    </row>
    <row r="1909" spans="4:20" x14ac:dyDescent="0.2">
      <c r="D1909" s="6"/>
      <c r="E1909" s="6"/>
      <c r="F1909" s="6"/>
      <c r="G1909" s="19"/>
      <c r="H1909" s="19"/>
      <c r="I1909" s="19"/>
      <c r="J1909" s="19"/>
      <c r="K1909" s="6"/>
      <c r="L1909" s="6"/>
      <c r="M1909" s="6"/>
      <c r="N1909" s="6"/>
      <c r="O1909" s="6"/>
      <c r="P1909" s="6"/>
      <c r="Q1909" s="6"/>
      <c r="R1909" s="6"/>
      <c r="S1909" s="6"/>
      <c r="T1909" s="6"/>
    </row>
    <row r="1910" spans="4:20" x14ac:dyDescent="0.2">
      <c r="D1910" s="6"/>
      <c r="E1910" s="6"/>
      <c r="F1910" s="6"/>
      <c r="G1910" s="19"/>
      <c r="H1910" s="19"/>
      <c r="I1910" s="19"/>
      <c r="J1910" s="19"/>
      <c r="K1910" s="6"/>
      <c r="L1910" s="6"/>
      <c r="M1910" s="6"/>
      <c r="N1910" s="6"/>
      <c r="O1910" s="6"/>
      <c r="P1910" s="6"/>
      <c r="Q1910" s="6"/>
      <c r="R1910" s="6"/>
      <c r="S1910" s="6"/>
      <c r="T1910" s="6"/>
    </row>
    <row r="1911" spans="4:20" x14ac:dyDescent="0.2">
      <c r="D1911" s="6"/>
      <c r="E1911" s="6"/>
      <c r="F1911" s="6"/>
      <c r="G1911" s="19"/>
      <c r="H1911" s="19"/>
      <c r="I1911" s="19"/>
      <c r="J1911" s="19"/>
      <c r="K1911" s="6"/>
      <c r="L1911" s="6"/>
      <c r="M1911" s="6"/>
      <c r="N1911" s="6"/>
      <c r="O1911" s="6"/>
      <c r="P1911" s="6"/>
      <c r="Q1911" s="6"/>
      <c r="R1911" s="6"/>
      <c r="S1911" s="6"/>
      <c r="T1911" s="6"/>
    </row>
    <row r="1912" spans="4:20" x14ac:dyDescent="0.2">
      <c r="D1912" s="6"/>
      <c r="E1912" s="6"/>
      <c r="F1912" s="6"/>
      <c r="G1912" s="19"/>
      <c r="H1912" s="19"/>
      <c r="I1912" s="19"/>
      <c r="J1912" s="19"/>
      <c r="K1912" s="6"/>
      <c r="L1912" s="6"/>
      <c r="M1912" s="6"/>
      <c r="N1912" s="6"/>
      <c r="O1912" s="6"/>
      <c r="P1912" s="6"/>
      <c r="Q1912" s="6"/>
      <c r="R1912" s="6"/>
      <c r="S1912" s="6"/>
      <c r="T1912" s="6"/>
    </row>
    <row r="1913" spans="4:20" x14ac:dyDescent="0.2">
      <c r="D1913" s="6"/>
      <c r="E1913" s="6"/>
      <c r="F1913" s="6"/>
      <c r="G1913" s="19"/>
      <c r="H1913" s="19"/>
      <c r="I1913" s="19"/>
      <c r="J1913" s="19"/>
      <c r="K1913" s="6"/>
      <c r="L1913" s="6"/>
      <c r="M1913" s="6"/>
      <c r="N1913" s="6"/>
      <c r="O1913" s="6"/>
      <c r="P1913" s="6"/>
      <c r="Q1913" s="6"/>
      <c r="R1913" s="6"/>
      <c r="S1913" s="6"/>
      <c r="T1913" s="6"/>
    </row>
    <row r="1914" spans="4:20" x14ac:dyDescent="0.2">
      <c r="D1914" s="6"/>
      <c r="E1914" s="6"/>
      <c r="F1914" s="6"/>
      <c r="G1914" s="19"/>
      <c r="H1914" s="19"/>
      <c r="I1914" s="19"/>
      <c r="J1914" s="19"/>
      <c r="K1914" s="6"/>
      <c r="L1914" s="6"/>
      <c r="M1914" s="6"/>
      <c r="N1914" s="6"/>
      <c r="O1914" s="6"/>
      <c r="P1914" s="6"/>
      <c r="Q1914" s="6"/>
      <c r="R1914" s="6"/>
      <c r="S1914" s="6"/>
      <c r="T1914" s="6"/>
    </row>
    <row r="1915" spans="4:20" x14ac:dyDescent="0.2">
      <c r="D1915" s="6"/>
      <c r="E1915" s="6"/>
      <c r="F1915" s="6"/>
      <c r="G1915" s="19"/>
      <c r="H1915" s="19"/>
      <c r="I1915" s="19"/>
      <c r="J1915" s="19"/>
      <c r="K1915" s="6"/>
      <c r="L1915" s="6"/>
      <c r="M1915" s="6"/>
      <c r="N1915" s="6"/>
      <c r="O1915" s="6"/>
      <c r="P1915" s="6"/>
      <c r="Q1915" s="6"/>
      <c r="R1915" s="6"/>
      <c r="S1915" s="6"/>
      <c r="T1915" s="6"/>
    </row>
    <row r="1916" spans="4:20" x14ac:dyDescent="0.2">
      <c r="D1916" s="6"/>
      <c r="E1916" s="6"/>
      <c r="F1916" s="6"/>
      <c r="G1916" s="19"/>
      <c r="H1916" s="19"/>
      <c r="I1916" s="19"/>
      <c r="J1916" s="19"/>
      <c r="K1916" s="6"/>
      <c r="L1916" s="6"/>
      <c r="M1916" s="6"/>
      <c r="N1916" s="6"/>
      <c r="O1916" s="6"/>
      <c r="P1916" s="6"/>
      <c r="Q1916" s="6"/>
      <c r="R1916" s="6"/>
      <c r="S1916" s="6"/>
      <c r="T1916" s="6"/>
    </row>
    <row r="1917" spans="4:20" x14ac:dyDescent="0.2">
      <c r="D1917" s="6"/>
      <c r="E1917" s="6"/>
      <c r="F1917" s="6"/>
      <c r="G1917" s="19"/>
      <c r="H1917" s="19"/>
      <c r="I1917" s="19"/>
      <c r="J1917" s="19"/>
      <c r="K1917" s="6"/>
      <c r="L1917" s="6"/>
      <c r="M1917" s="6"/>
      <c r="N1917" s="6"/>
      <c r="O1917" s="6"/>
      <c r="P1917" s="6"/>
      <c r="Q1917" s="6"/>
      <c r="R1917" s="6"/>
      <c r="S1917" s="6"/>
      <c r="T1917" s="6"/>
    </row>
    <row r="1918" spans="4:20" x14ac:dyDescent="0.2">
      <c r="D1918" s="6"/>
      <c r="E1918" s="6"/>
      <c r="F1918" s="6"/>
      <c r="G1918" s="19"/>
      <c r="H1918" s="19"/>
      <c r="I1918" s="19"/>
      <c r="J1918" s="19"/>
      <c r="K1918" s="6"/>
      <c r="L1918" s="6"/>
      <c r="M1918" s="6"/>
      <c r="N1918" s="6"/>
      <c r="O1918" s="6"/>
      <c r="P1918" s="6"/>
      <c r="Q1918" s="6"/>
      <c r="R1918" s="6"/>
      <c r="S1918" s="6"/>
      <c r="T1918" s="6"/>
    </row>
    <row r="1919" spans="4:20" x14ac:dyDescent="0.2">
      <c r="D1919" s="6"/>
      <c r="E1919" s="6"/>
      <c r="F1919" s="6"/>
      <c r="G1919" s="19"/>
      <c r="H1919" s="19"/>
      <c r="I1919" s="19"/>
      <c r="J1919" s="19"/>
      <c r="K1919" s="6"/>
      <c r="L1919" s="6"/>
      <c r="M1919" s="6"/>
      <c r="N1919" s="6"/>
      <c r="O1919" s="6"/>
      <c r="P1919" s="6"/>
      <c r="Q1919" s="6"/>
      <c r="R1919" s="6"/>
      <c r="S1919" s="6"/>
      <c r="T1919" s="6"/>
    </row>
    <row r="1920" spans="4:20" x14ac:dyDescent="0.2">
      <c r="D1920" s="6"/>
      <c r="E1920" s="6"/>
      <c r="F1920" s="6"/>
      <c r="G1920" s="19"/>
      <c r="H1920" s="19"/>
      <c r="I1920" s="19"/>
      <c r="J1920" s="19"/>
      <c r="K1920" s="6"/>
      <c r="L1920" s="6"/>
      <c r="M1920" s="6"/>
      <c r="N1920" s="6"/>
      <c r="O1920" s="6"/>
      <c r="P1920" s="6"/>
      <c r="Q1920" s="6"/>
      <c r="R1920" s="6"/>
      <c r="S1920" s="6"/>
      <c r="T1920" s="6"/>
    </row>
    <row r="1921" spans="4:20" x14ac:dyDescent="0.2">
      <c r="D1921" s="6"/>
      <c r="E1921" s="6"/>
      <c r="F1921" s="6"/>
      <c r="G1921" s="19"/>
      <c r="H1921" s="19"/>
      <c r="I1921" s="19"/>
      <c r="J1921" s="19"/>
      <c r="K1921" s="6"/>
      <c r="L1921" s="6"/>
      <c r="M1921" s="6"/>
      <c r="N1921" s="6"/>
      <c r="O1921" s="6"/>
      <c r="P1921" s="6"/>
      <c r="Q1921" s="6"/>
      <c r="R1921" s="6"/>
      <c r="S1921" s="6"/>
      <c r="T1921" s="6"/>
    </row>
    <row r="1922" spans="4:20" x14ac:dyDescent="0.2">
      <c r="D1922" s="6"/>
      <c r="E1922" s="6"/>
      <c r="F1922" s="6"/>
      <c r="G1922" s="19"/>
      <c r="H1922" s="19"/>
      <c r="I1922" s="19"/>
      <c r="J1922" s="19"/>
      <c r="K1922" s="6"/>
      <c r="L1922" s="6"/>
      <c r="M1922" s="6"/>
      <c r="N1922" s="6"/>
      <c r="O1922" s="6"/>
      <c r="P1922" s="6"/>
      <c r="Q1922" s="6"/>
      <c r="R1922" s="6"/>
      <c r="S1922" s="6"/>
      <c r="T1922" s="6"/>
    </row>
    <row r="1923" spans="4:20" x14ac:dyDescent="0.2">
      <c r="D1923" s="6"/>
      <c r="E1923" s="6"/>
      <c r="F1923" s="6"/>
      <c r="G1923" s="19"/>
      <c r="H1923" s="19"/>
      <c r="I1923" s="19"/>
      <c r="J1923" s="19"/>
      <c r="K1923" s="6"/>
      <c r="L1923" s="6"/>
      <c r="M1923" s="6"/>
      <c r="N1923" s="6"/>
      <c r="O1923" s="6"/>
      <c r="P1923" s="6"/>
      <c r="Q1923" s="6"/>
      <c r="R1923" s="6"/>
      <c r="S1923" s="6"/>
      <c r="T1923" s="6"/>
    </row>
    <row r="1924" spans="4:20" x14ac:dyDescent="0.2">
      <c r="D1924" s="6"/>
      <c r="E1924" s="6"/>
      <c r="F1924" s="6"/>
      <c r="G1924" s="19"/>
      <c r="H1924" s="19"/>
      <c r="I1924" s="19"/>
      <c r="J1924" s="19"/>
      <c r="K1924" s="6"/>
      <c r="L1924" s="6"/>
      <c r="M1924" s="6"/>
      <c r="N1924" s="6"/>
      <c r="O1924" s="6"/>
      <c r="P1924" s="6"/>
      <c r="Q1924" s="6"/>
      <c r="R1924" s="6"/>
      <c r="S1924" s="6"/>
      <c r="T1924" s="6"/>
    </row>
    <row r="1925" spans="4:20" x14ac:dyDescent="0.2">
      <c r="D1925" s="6"/>
      <c r="E1925" s="6"/>
      <c r="F1925" s="6"/>
      <c r="G1925" s="19"/>
      <c r="H1925" s="19"/>
      <c r="I1925" s="19"/>
      <c r="J1925" s="19"/>
      <c r="K1925" s="6"/>
      <c r="L1925" s="6"/>
      <c r="M1925" s="6"/>
      <c r="N1925" s="6"/>
      <c r="O1925" s="6"/>
      <c r="P1925" s="6"/>
      <c r="Q1925" s="6"/>
      <c r="R1925" s="6"/>
      <c r="S1925" s="6"/>
      <c r="T1925" s="6"/>
    </row>
    <row r="1926" spans="4:20" x14ac:dyDescent="0.2">
      <c r="D1926" s="6"/>
      <c r="E1926" s="6"/>
      <c r="F1926" s="6"/>
      <c r="G1926" s="19"/>
      <c r="H1926" s="19"/>
      <c r="I1926" s="19"/>
      <c r="J1926" s="19"/>
      <c r="K1926" s="6"/>
      <c r="L1926" s="6"/>
      <c r="M1926" s="6"/>
      <c r="N1926" s="6"/>
      <c r="O1926" s="6"/>
      <c r="P1926" s="6"/>
      <c r="Q1926" s="6"/>
      <c r="R1926" s="6"/>
      <c r="S1926" s="6"/>
      <c r="T1926" s="6"/>
    </row>
    <row r="1927" spans="4:20" x14ac:dyDescent="0.2">
      <c r="D1927" s="6"/>
      <c r="E1927" s="6"/>
      <c r="F1927" s="6"/>
      <c r="G1927" s="19"/>
      <c r="H1927" s="19"/>
      <c r="I1927" s="19"/>
      <c r="J1927" s="19"/>
      <c r="K1927" s="6"/>
      <c r="L1927" s="6"/>
      <c r="M1927" s="6"/>
      <c r="N1927" s="6"/>
      <c r="O1927" s="6"/>
      <c r="P1927" s="6"/>
      <c r="Q1927" s="6"/>
      <c r="R1927" s="6"/>
      <c r="S1927" s="6"/>
      <c r="T1927" s="6"/>
    </row>
    <row r="1928" spans="4:20" x14ac:dyDescent="0.2">
      <c r="D1928" s="6"/>
      <c r="E1928" s="6"/>
      <c r="F1928" s="6"/>
      <c r="G1928" s="19"/>
      <c r="H1928" s="19"/>
      <c r="I1928" s="19"/>
      <c r="J1928" s="19"/>
      <c r="K1928" s="6"/>
      <c r="L1928" s="6"/>
      <c r="M1928" s="6"/>
      <c r="N1928" s="6"/>
      <c r="O1928" s="6"/>
      <c r="P1928" s="6"/>
      <c r="Q1928" s="6"/>
      <c r="R1928" s="6"/>
      <c r="S1928" s="6"/>
      <c r="T1928" s="6"/>
    </row>
    <row r="1929" spans="4:20" x14ac:dyDescent="0.2">
      <c r="D1929" s="6"/>
      <c r="E1929" s="6"/>
      <c r="F1929" s="6"/>
      <c r="G1929" s="19"/>
      <c r="H1929" s="19"/>
      <c r="I1929" s="19"/>
      <c r="J1929" s="19"/>
      <c r="K1929" s="6"/>
      <c r="L1929" s="6"/>
      <c r="M1929" s="6"/>
      <c r="N1929" s="6"/>
      <c r="O1929" s="6"/>
      <c r="P1929" s="6"/>
      <c r="Q1929" s="6"/>
      <c r="R1929" s="6"/>
      <c r="S1929" s="6"/>
      <c r="T1929" s="6"/>
    </row>
    <row r="1930" spans="4:20" x14ac:dyDescent="0.2">
      <c r="D1930" s="6"/>
      <c r="E1930" s="6"/>
      <c r="F1930" s="6"/>
      <c r="G1930" s="19"/>
      <c r="H1930" s="19"/>
      <c r="I1930" s="19"/>
      <c r="J1930" s="19"/>
      <c r="K1930" s="6"/>
      <c r="L1930" s="6"/>
      <c r="M1930" s="6"/>
      <c r="N1930" s="6"/>
      <c r="O1930" s="6"/>
      <c r="P1930" s="6"/>
      <c r="Q1930" s="6"/>
      <c r="R1930" s="6"/>
      <c r="S1930" s="6"/>
      <c r="T1930" s="6"/>
    </row>
    <row r="1931" spans="4:20" x14ac:dyDescent="0.2">
      <c r="D1931" s="6"/>
      <c r="E1931" s="6"/>
      <c r="F1931" s="6"/>
      <c r="G1931" s="19"/>
      <c r="H1931" s="19"/>
      <c r="I1931" s="19"/>
      <c r="J1931" s="19"/>
      <c r="K1931" s="6"/>
      <c r="L1931" s="6"/>
      <c r="M1931" s="6"/>
      <c r="N1931" s="6"/>
      <c r="O1931" s="6"/>
      <c r="P1931" s="6"/>
      <c r="Q1931" s="6"/>
      <c r="R1931" s="6"/>
      <c r="S1931" s="6"/>
      <c r="T1931" s="6"/>
    </row>
    <row r="1932" spans="4:20" x14ac:dyDescent="0.2">
      <c r="D1932" s="6"/>
      <c r="E1932" s="6"/>
      <c r="F1932" s="6"/>
      <c r="G1932" s="19"/>
      <c r="H1932" s="19"/>
      <c r="I1932" s="19"/>
      <c r="J1932" s="19"/>
      <c r="K1932" s="6"/>
      <c r="L1932" s="6"/>
      <c r="M1932" s="6"/>
      <c r="N1932" s="6"/>
      <c r="O1932" s="6"/>
      <c r="P1932" s="6"/>
      <c r="Q1932" s="6"/>
      <c r="R1932" s="6"/>
      <c r="S1932" s="6"/>
      <c r="T1932" s="6"/>
    </row>
    <row r="1933" spans="4:20" x14ac:dyDescent="0.2">
      <c r="D1933" s="6"/>
      <c r="E1933" s="6"/>
      <c r="F1933" s="6"/>
      <c r="G1933" s="19"/>
      <c r="H1933" s="19"/>
      <c r="I1933" s="19"/>
      <c r="J1933" s="19"/>
      <c r="K1933" s="6"/>
      <c r="L1933" s="6"/>
      <c r="M1933" s="6"/>
      <c r="N1933" s="6"/>
      <c r="O1933" s="6"/>
      <c r="P1933" s="6"/>
      <c r="Q1933" s="6"/>
      <c r="R1933" s="6"/>
      <c r="S1933" s="6"/>
      <c r="T1933" s="6"/>
    </row>
    <row r="1934" spans="4:20" x14ac:dyDescent="0.2">
      <c r="D1934" s="6"/>
      <c r="E1934" s="6"/>
      <c r="F1934" s="6"/>
      <c r="G1934" s="19"/>
      <c r="H1934" s="19"/>
      <c r="I1934" s="19"/>
      <c r="J1934" s="19"/>
      <c r="K1934" s="6"/>
      <c r="L1934" s="6"/>
      <c r="M1934" s="6"/>
      <c r="N1934" s="6"/>
      <c r="O1934" s="6"/>
      <c r="P1934" s="6"/>
      <c r="Q1934" s="6"/>
      <c r="R1934" s="6"/>
      <c r="S1934" s="6"/>
      <c r="T1934" s="6"/>
    </row>
    <row r="1935" spans="4:20" x14ac:dyDescent="0.2">
      <c r="D1935" s="6"/>
      <c r="E1935" s="6"/>
      <c r="F1935" s="6"/>
      <c r="G1935" s="19"/>
      <c r="H1935" s="19"/>
      <c r="I1935" s="19"/>
      <c r="J1935" s="19"/>
      <c r="K1935" s="6"/>
      <c r="L1935" s="6"/>
      <c r="M1935" s="6"/>
      <c r="N1935" s="6"/>
      <c r="O1935" s="6"/>
      <c r="P1935" s="6"/>
      <c r="Q1935" s="6"/>
      <c r="R1935" s="6"/>
      <c r="S1935" s="6"/>
      <c r="T1935" s="6"/>
    </row>
    <row r="1936" spans="4:20" x14ac:dyDescent="0.2">
      <c r="D1936" s="6"/>
      <c r="E1936" s="6"/>
      <c r="F1936" s="6"/>
      <c r="G1936" s="19"/>
      <c r="H1936" s="19"/>
      <c r="I1936" s="19"/>
      <c r="J1936" s="19"/>
      <c r="K1936" s="6"/>
      <c r="L1936" s="6"/>
      <c r="M1936" s="6"/>
      <c r="N1936" s="6"/>
      <c r="O1936" s="6"/>
      <c r="P1936" s="6"/>
      <c r="Q1936" s="6"/>
      <c r="R1936" s="6"/>
      <c r="S1936" s="6"/>
      <c r="T1936" s="6"/>
    </row>
    <row r="1937" spans="4:20" x14ac:dyDescent="0.2">
      <c r="D1937" s="6"/>
      <c r="E1937" s="6"/>
      <c r="F1937" s="6"/>
      <c r="G1937" s="19"/>
      <c r="H1937" s="19"/>
      <c r="I1937" s="19"/>
      <c r="J1937" s="19"/>
      <c r="K1937" s="6"/>
      <c r="L1937" s="6"/>
      <c r="M1937" s="6"/>
      <c r="N1937" s="6"/>
      <c r="O1937" s="6"/>
      <c r="P1937" s="6"/>
      <c r="Q1937" s="6"/>
      <c r="R1937" s="6"/>
      <c r="S1937" s="6"/>
      <c r="T1937" s="6"/>
    </row>
    <row r="1938" spans="4:20" x14ac:dyDescent="0.2">
      <c r="D1938" s="6"/>
      <c r="E1938" s="6"/>
      <c r="F1938" s="6"/>
      <c r="G1938" s="19"/>
      <c r="H1938" s="19"/>
      <c r="I1938" s="19"/>
      <c r="J1938" s="19"/>
      <c r="K1938" s="6"/>
      <c r="L1938" s="6"/>
      <c r="M1938" s="6"/>
      <c r="N1938" s="6"/>
      <c r="O1938" s="6"/>
      <c r="P1938" s="6"/>
      <c r="Q1938" s="6"/>
      <c r="R1938" s="6"/>
      <c r="S1938" s="6"/>
      <c r="T1938" s="6"/>
    </row>
    <row r="1939" spans="4:20" x14ac:dyDescent="0.2">
      <c r="D1939" s="6"/>
      <c r="E1939" s="6"/>
      <c r="F1939" s="6"/>
      <c r="G1939" s="19"/>
      <c r="H1939" s="19"/>
      <c r="I1939" s="19"/>
      <c r="J1939" s="19"/>
      <c r="K1939" s="6"/>
      <c r="L1939" s="6"/>
      <c r="M1939" s="6"/>
      <c r="N1939" s="6"/>
      <c r="O1939" s="6"/>
      <c r="P1939" s="6"/>
      <c r="Q1939" s="6"/>
      <c r="R1939" s="6"/>
      <c r="S1939" s="6"/>
      <c r="T1939" s="6"/>
    </row>
    <row r="1940" spans="4:20" x14ac:dyDescent="0.2">
      <c r="D1940" s="6"/>
      <c r="E1940" s="6"/>
      <c r="F1940" s="6"/>
      <c r="G1940" s="19"/>
      <c r="H1940" s="19"/>
      <c r="I1940" s="19"/>
      <c r="J1940" s="19"/>
      <c r="K1940" s="6"/>
      <c r="L1940" s="6"/>
      <c r="M1940" s="6"/>
      <c r="N1940" s="6"/>
      <c r="O1940" s="6"/>
      <c r="P1940" s="6"/>
      <c r="Q1940" s="6"/>
      <c r="R1940" s="6"/>
      <c r="S1940" s="6"/>
      <c r="T1940" s="6"/>
    </row>
    <row r="1941" spans="4:20" x14ac:dyDescent="0.2">
      <c r="D1941" s="6"/>
      <c r="E1941" s="6"/>
      <c r="F1941" s="6"/>
      <c r="G1941" s="19"/>
      <c r="H1941" s="19"/>
      <c r="I1941" s="19"/>
      <c r="J1941" s="19"/>
      <c r="K1941" s="6"/>
      <c r="L1941" s="6"/>
      <c r="M1941" s="6"/>
      <c r="N1941" s="6"/>
      <c r="O1941" s="6"/>
      <c r="P1941" s="6"/>
      <c r="Q1941" s="6"/>
      <c r="R1941" s="6"/>
      <c r="S1941" s="6"/>
      <c r="T1941" s="6"/>
    </row>
    <row r="1942" spans="4:20" x14ac:dyDescent="0.2">
      <c r="D1942" s="6"/>
      <c r="E1942" s="6"/>
      <c r="F1942" s="6"/>
      <c r="G1942" s="19"/>
      <c r="H1942" s="19"/>
      <c r="I1942" s="19"/>
      <c r="J1942" s="19"/>
      <c r="K1942" s="6"/>
      <c r="L1942" s="6"/>
      <c r="M1942" s="6"/>
      <c r="N1942" s="6"/>
      <c r="O1942" s="6"/>
      <c r="P1942" s="6"/>
      <c r="Q1942" s="6"/>
      <c r="R1942" s="6"/>
      <c r="S1942" s="6"/>
      <c r="T1942" s="6"/>
    </row>
    <row r="1943" spans="4:20" x14ac:dyDescent="0.2">
      <c r="D1943" s="6"/>
      <c r="E1943" s="6"/>
      <c r="F1943" s="6"/>
      <c r="G1943" s="19"/>
      <c r="H1943" s="19"/>
      <c r="I1943" s="19"/>
      <c r="J1943" s="19"/>
      <c r="K1943" s="6"/>
      <c r="L1943" s="6"/>
      <c r="M1943" s="6"/>
      <c r="N1943" s="6"/>
      <c r="O1943" s="6"/>
      <c r="P1943" s="6"/>
      <c r="Q1943" s="6"/>
      <c r="R1943" s="6"/>
      <c r="S1943" s="6"/>
      <c r="T1943" s="6"/>
    </row>
    <row r="1944" spans="4:20" x14ac:dyDescent="0.2">
      <c r="D1944" s="6"/>
      <c r="E1944" s="6"/>
      <c r="F1944" s="6"/>
      <c r="G1944" s="19"/>
      <c r="H1944" s="19"/>
      <c r="I1944" s="19"/>
      <c r="J1944" s="19"/>
      <c r="K1944" s="6"/>
      <c r="L1944" s="6"/>
      <c r="M1944" s="6"/>
      <c r="N1944" s="6"/>
      <c r="O1944" s="6"/>
      <c r="P1944" s="6"/>
      <c r="Q1944" s="6"/>
      <c r="R1944" s="6"/>
      <c r="S1944" s="6"/>
      <c r="T1944" s="6"/>
    </row>
    <row r="1945" spans="4:20" x14ac:dyDescent="0.2">
      <c r="D1945" s="6"/>
      <c r="E1945" s="6"/>
      <c r="F1945" s="6"/>
      <c r="G1945" s="19"/>
      <c r="H1945" s="19"/>
      <c r="I1945" s="19"/>
      <c r="J1945" s="19"/>
      <c r="K1945" s="6"/>
      <c r="L1945" s="6"/>
      <c r="M1945" s="6"/>
      <c r="N1945" s="6"/>
      <c r="O1945" s="6"/>
      <c r="P1945" s="6"/>
      <c r="Q1945" s="6"/>
      <c r="R1945" s="6"/>
      <c r="S1945" s="6"/>
      <c r="T1945" s="6"/>
    </row>
    <row r="1946" spans="4:20" x14ac:dyDescent="0.2">
      <c r="D1946" s="6"/>
      <c r="E1946" s="6"/>
      <c r="F1946" s="6"/>
      <c r="G1946" s="19"/>
      <c r="H1946" s="19"/>
      <c r="I1946" s="19"/>
      <c r="J1946" s="19"/>
      <c r="K1946" s="6"/>
      <c r="L1946" s="6"/>
      <c r="M1946" s="6"/>
      <c r="N1946" s="6"/>
      <c r="O1946" s="6"/>
      <c r="P1946" s="6"/>
      <c r="Q1946" s="6"/>
      <c r="R1946" s="6"/>
      <c r="S1946" s="6"/>
      <c r="T1946" s="6"/>
    </row>
    <row r="1947" spans="4:20" x14ac:dyDescent="0.2">
      <c r="D1947" s="6"/>
      <c r="E1947" s="6"/>
      <c r="F1947" s="6"/>
      <c r="G1947" s="19"/>
      <c r="H1947" s="19"/>
      <c r="I1947" s="19"/>
      <c r="J1947" s="19"/>
      <c r="K1947" s="6"/>
      <c r="L1947" s="6"/>
      <c r="M1947" s="6"/>
      <c r="N1947" s="6"/>
      <c r="O1947" s="6"/>
      <c r="P1947" s="6"/>
      <c r="Q1947" s="6"/>
      <c r="R1947" s="6"/>
      <c r="S1947" s="6"/>
      <c r="T1947" s="6"/>
    </row>
    <row r="1948" spans="4:20" x14ac:dyDescent="0.2">
      <c r="D1948" s="6"/>
      <c r="E1948" s="6"/>
      <c r="F1948" s="6"/>
      <c r="G1948" s="19"/>
      <c r="H1948" s="19"/>
      <c r="I1948" s="19"/>
      <c r="J1948" s="19"/>
      <c r="K1948" s="6"/>
      <c r="L1948" s="6"/>
      <c r="M1948" s="6"/>
      <c r="N1948" s="6"/>
      <c r="O1948" s="6"/>
      <c r="P1948" s="6"/>
      <c r="Q1948" s="6"/>
      <c r="R1948" s="6"/>
      <c r="S1948" s="6"/>
      <c r="T1948" s="6"/>
    </row>
    <row r="1949" spans="4:20" x14ac:dyDescent="0.2">
      <c r="D1949" s="6"/>
      <c r="E1949" s="6"/>
      <c r="F1949" s="6"/>
      <c r="G1949" s="19"/>
      <c r="H1949" s="19"/>
      <c r="I1949" s="19"/>
      <c r="J1949" s="19"/>
      <c r="K1949" s="6"/>
      <c r="L1949" s="6"/>
      <c r="M1949" s="6"/>
      <c r="N1949" s="6"/>
      <c r="O1949" s="6"/>
      <c r="P1949" s="6"/>
      <c r="Q1949" s="6"/>
      <c r="R1949" s="6"/>
      <c r="S1949" s="6"/>
      <c r="T1949" s="6"/>
    </row>
    <row r="1950" spans="4:20" x14ac:dyDescent="0.2">
      <c r="D1950" s="6"/>
      <c r="E1950" s="6"/>
      <c r="F1950" s="6"/>
      <c r="G1950" s="19"/>
      <c r="H1950" s="19"/>
      <c r="I1950" s="19"/>
      <c r="J1950" s="19"/>
      <c r="K1950" s="6"/>
      <c r="L1950" s="6"/>
      <c r="M1950" s="6"/>
      <c r="N1950" s="6"/>
      <c r="O1950" s="6"/>
      <c r="P1950" s="6"/>
      <c r="Q1950" s="6"/>
      <c r="R1950" s="6"/>
      <c r="S1950" s="6"/>
      <c r="T1950" s="6"/>
    </row>
    <row r="1951" spans="4:20" x14ac:dyDescent="0.2">
      <c r="D1951" s="6"/>
      <c r="E1951" s="6"/>
      <c r="F1951" s="6"/>
      <c r="G1951" s="19"/>
      <c r="H1951" s="19"/>
      <c r="I1951" s="19"/>
      <c r="J1951" s="19"/>
      <c r="K1951" s="6"/>
      <c r="L1951" s="6"/>
      <c r="M1951" s="6"/>
      <c r="N1951" s="6"/>
      <c r="O1951" s="6"/>
      <c r="P1951" s="6"/>
      <c r="Q1951" s="6"/>
      <c r="R1951" s="6"/>
      <c r="S1951" s="6"/>
      <c r="T1951" s="6"/>
    </row>
    <row r="1952" spans="4:20" x14ac:dyDescent="0.2">
      <c r="D1952" s="6"/>
      <c r="E1952" s="6"/>
      <c r="F1952" s="6"/>
      <c r="G1952" s="19"/>
      <c r="H1952" s="19"/>
      <c r="I1952" s="19"/>
      <c r="J1952" s="19"/>
      <c r="K1952" s="6"/>
      <c r="L1952" s="6"/>
      <c r="M1952" s="6"/>
      <c r="N1952" s="6"/>
      <c r="O1952" s="6"/>
      <c r="P1952" s="6"/>
      <c r="Q1952" s="6"/>
      <c r="R1952" s="6"/>
      <c r="S1952" s="6"/>
      <c r="T1952" s="6"/>
    </row>
    <row r="1953" spans="4:20" x14ac:dyDescent="0.2">
      <c r="D1953" s="6"/>
      <c r="E1953" s="6"/>
      <c r="F1953" s="6"/>
      <c r="G1953" s="19"/>
      <c r="H1953" s="19"/>
      <c r="I1953" s="19"/>
      <c r="J1953" s="19"/>
      <c r="K1953" s="6"/>
      <c r="L1953" s="6"/>
      <c r="M1953" s="6"/>
      <c r="N1953" s="6"/>
      <c r="O1953" s="6"/>
      <c r="P1953" s="6"/>
      <c r="Q1953" s="6"/>
      <c r="R1953" s="6"/>
      <c r="S1953" s="6"/>
      <c r="T1953" s="6"/>
    </row>
    <row r="1954" spans="4:20" x14ac:dyDescent="0.2">
      <c r="D1954" s="6"/>
      <c r="E1954" s="6"/>
      <c r="F1954" s="6"/>
      <c r="G1954" s="19"/>
      <c r="H1954" s="19"/>
      <c r="I1954" s="19"/>
      <c r="J1954" s="19"/>
      <c r="K1954" s="6"/>
      <c r="L1954" s="6"/>
      <c r="M1954" s="6"/>
      <c r="N1954" s="6"/>
      <c r="O1954" s="6"/>
      <c r="P1954" s="6"/>
      <c r="Q1954" s="6"/>
      <c r="R1954" s="6"/>
      <c r="S1954" s="6"/>
      <c r="T1954" s="6"/>
    </row>
    <row r="1955" spans="4:20" x14ac:dyDescent="0.2">
      <c r="D1955" s="6"/>
      <c r="E1955" s="6"/>
      <c r="F1955" s="6"/>
      <c r="G1955" s="19"/>
      <c r="H1955" s="19"/>
      <c r="I1955" s="19"/>
      <c r="J1955" s="19"/>
      <c r="K1955" s="6"/>
      <c r="L1955" s="6"/>
      <c r="M1955" s="6"/>
      <c r="N1955" s="6"/>
      <c r="O1955" s="6"/>
      <c r="P1955" s="6"/>
      <c r="Q1955" s="6"/>
      <c r="R1955" s="6"/>
      <c r="S1955" s="6"/>
      <c r="T1955" s="6"/>
    </row>
    <row r="1956" spans="4:20" x14ac:dyDescent="0.2">
      <c r="D1956" s="6"/>
      <c r="E1956" s="6"/>
      <c r="F1956" s="6"/>
      <c r="G1956" s="19"/>
      <c r="H1956" s="19"/>
      <c r="I1956" s="19"/>
      <c r="J1956" s="19"/>
      <c r="K1956" s="6"/>
      <c r="L1956" s="6"/>
      <c r="M1956" s="6"/>
      <c r="N1956" s="6"/>
      <c r="O1956" s="6"/>
      <c r="P1956" s="6"/>
      <c r="Q1956" s="6"/>
      <c r="R1956" s="6"/>
      <c r="S1956" s="6"/>
      <c r="T1956" s="6"/>
    </row>
    <row r="1957" spans="4:20" x14ac:dyDescent="0.2">
      <c r="D1957" s="6"/>
      <c r="E1957" s="6"/>
      <c r="F1957" s="6"/>
      <c r="G1957" s="19"/>
      <c r="H1957" s="19"/>
      <c r="I1957" s="19"/>
      <c r="J1957" s="19"/>
      <c r="K1957" s="6"/>
      <c r="L1957" s="6"/>
      <c r="M1957" s="6"/>
      <c r="N1957" s="6"/>
      <c r="O1957" s="6"/>
      <c r="P1957" s="6"/>
      <c r="Q1957" s="6"/>
      <c r="R1957" s="6"/>
      <c r="S1957" s="6"/>
      <c r="T1957" s="6"/>
    </row>
    <row r="1958" spans="4:20" x14ac:dyDescent="0.2">
      <c r="D1958" s="6"/>
      <c r="E1958" s="6"/>
      <c r="F1958" s="6"/>
      <c r="G1958" s="19"/>
      <c r="H1958" s="19"/>
      <c r="I1958" s="19"/>
      <c r="J1958" s="19"/>
      <c r="K1958" s="6"/>
      <c r="L1958" s="6"/>
      <c r="M1958" s="6"/>
      <c r="N1958" s="6"/>
      <c r="O1958" s="6"/>
      <c r="P1958" s="6"/>
      <c r="Q1958" s="6"/>
      <c r="R1958" s="6"/>
      <c r="S1958" s="6"/>
      <c r="T1958" s="6"/>
    </row>
    <row r="1959" spans="4:20" x14ac:dyDescent="0.2">
      <c r="D1959" s="6"/>
      <c r="E1959" s="6"/>
      <c r="F1959" s="6"/>
      <c r="G1959" s="19"/>
      <c r="H1959" s="19"/>
      <c r="I1959" s="19"/>
      <c r="J1959" s="19"/>
      <c r="K1959" s="6"/>
      <c r="L1959" s="6"/>
      <c r="M1959" s="6"/>
      <c r="N1959" s="6"/>
      <c r="O1959" s="6"/>
      <c r="P1959" s="6"/>
      <c r="Q1959" s="6"/>
      <c r="R1959" s="6"/>
      <c r="S1959" s="6"/>
      <c r="T1959" s="6"/>
    </row>
    <row r="1960" spans="4:20" x14ac:dyDescent="0.2">
      <c r="D1960" s="6"/>
      <c r="E1960" s="6"/>
      <c r="F1960" s="6"/>
      <c r="G1960" s="19"/>
      <c r="H1960" s="19"/>
      <c r="I1960" s="19"/>
      <c r="J1960" s="19"/>
      <c r="K1960" s="6"/>
      <c r="L1960" s="6"/>
      <c r="M1960" s="6"/>
      <c r="N1960" s="6"/>
      <c r="O1960" s="6"/>
      <c r="P1960" s="6"/>
      <c r="Q1960" s="6"/>
      <c r="R1960" s="6"/>
      <c r="S1960" s="6"/>
      <c r="T1960" s="6"/>
    </row>
    <row r="1961" spans="4:20" x14ac:dyDescent="0.2">
      <c r="D1961" s="6"/>
      <c r="E1961" s="6"/>
      <c r="F1961" s="6"/>
      <c r="G1961" s="19"/>
      <c r="H1961" s="19"/>
      <c r="I1961" s="19"/>
      <c r="J1961" s="19"/>
      <c r="K1961" s="6"/>
      <c r="L1961" s="6"/>
      <c r="M1961" s="6"/>
      <c r="N1961" s="6"/>
      <c r="O1961" s="6"/>
      <c r="P1961" s="6"/>
      <c r="Q1961" s="6"/>
      <c r="R1961" s="6"/>
      <c r="S1961" s="6"/>
      <c r="T1961" s="6"/>
    </row>
    <row r="1962" spans="4:20" x14ac:dyDescent="0.2">
      <c r="D1962" s="6"/>
      <c r="E1962" s="6"/>
      <c r="F1962" s="6"/>
      <c r="G1962" s="19"/>
      <c r="H1962" s="19"/>
      <c r="I1962" s="19"/>
      <c r="J1962" s="19"/>
      <c r="K1962" s="6"/>
      <c r="L1962" s="6"/>
      <c r="M1962" s="6"/>
      <c r="N1962" s="6"/>
      <c r="O1962" s="6"/>
      <c r="P1962" s="6"/>
      <c r="Q1962" s="6"/>
      <c r="R1962" s="6"/>
      <c r="S1962" s="6"/>
      <c r="T1962" s="6"/>
    </row>
    <row r="1963" spans="4:20" x14ac:dyDescent="0.2">
      <c r="D1963" s="6"/>
      <c r="E1963" s="6"/>
      <c r="F1963" s="6"/>
      <c r="G1963" s="19"/>
      <c r="H1963" s="19"/>
      <c r="I1963" s="19"/>
      <c r="J1963" s="19"/>
      <c r="K1963" s="6"/>
      <c r="L1963" s="6"/>
      <c r="M1963" s="6"/>
      <c r="N1963" s="6"/>
      <c r="O1963" s="6"/>
      <c r="P1963" s="6"/>
      <c r="Q1963" s="6"/>
      <c r="R1963" s="6"/>
      <c r="S1963" s="6"/>
      <c r="T1963" s="6"/>
    </row>
    <row r="1964" spans="4:20" x14ac:dyDescent="0.2">
      <c r="D1964" s="6"/>
      <c r="E1964" s="6"/>
      <c r="F1964" s="6"/>
      <c r="G1964" s="19"/>
      <c r="H1964" s="19"/>
      <c r="I1964" s="19"/>
      <c r="J1964" s="19"/>
      <c r="K1964" s="6"/>
      <c r="L1964" s="6"/>
      <c r="M1964" s="6"/>
      <c r="N1964" s="6"/>
      <c r="O1964" s="6"/>
      <c r="P1964" s="6"/>
      <c r="Q1964" s="6"/>
      <c r="R1964" s="6"/>
      <c r="S1964" s="6"/>
      <c r="T1964" s="6"/>
    </row>
    <row r="1965" spans="4:20" x14ac:dyDescent="0.2">
      <c r="D1965" s="6"/>
      <c r="E1965" s="6"/>
      <c r="F1965" s="6"/>
      <c r="G1965" s="19"/>
      <c r="H1965" s="19"/>
      <c r="I1965" s="19"/>
      <c r="J1965" s="19"/>
      <c r="K1965" s="6"/>
      <c r="L1965" s="6"/>
      <c r="M1965" s="6"/>
      <c r="N1965" s="6"/>
      <c r="O1965" s="6"/>
      <c r="P1965" s="6"/>
      <c r="Q1965" s="6"/>
      <c r="R1965" s="6"/>
      <c r="S1965" s="6"/>
      <c r="T1965" s="6"/>
    </row>
    <row r="1966" spans="4:20" x14ac:dyDescent="0.2">
      <c r="D1966" s="6"/>
      <c r="E1966" s="6"/>
      <c r="F1966" s="6"/>
      <c r="G1966" s="19"/>
      <c r="H1966" s="19"/>
      <c r="I1966" s="19"/>
      <c r="J1966" s="19"/>
      <c r="K1966" s="6"/>
      <c r="L1966" s="6"/>
      <c r="M1966" s="6"/>
      <c r="N1966" s="6"/>
      <c r="O1966" s="6"/>
      <c r="P1966" s="6"/>
      <c r="Q1966" s="6"/>
      <c r="R1966" s="6"/>
      <c r="S1966" s="6"/>
      <c r="T1966" s="6"/>
    </row>
    <row r="1967" spans="4:20" x14ac:dyDescent="0.2">
      <c r="D1967" s="6"/>
      <c r="E1967" s="6"/>
      <c r="F1967" s="6"/>
      <c r="G1967" s="19"/>
      <c r="H1967" s="19"/>
      <c r="I1967" s="19"/>
      <c r="J1967" s="19"/>
      <c r="K1967" s="6"/>
      <c r="L1967" s="6"/>
      <c r="M1967" s="6"/>
      <c r="N1967" s="6"/>
      <c r="O1967" s="6"/>
      <c r="P1967" s="6"/>
      <c r="Q1967" s="6"/>
      <c r="R1967" s="6"/>
      <c r="S1967" s="6"/>
      <c r="T1967" s="6"/>
    </row>
    <row r="1968" spans="4:20" x14ac:dyDescent="0.2">
      <c r="D1968" s="6"/>
      <c r="E1968" s="6"/>
      <c r="F1968" s="6"/>
      <c r="G1968" s="19"/>
      <c r="H1968" s="19"/>
      <c r="I1968" s="19"/>
      <c r="J1968" s="19"/>
      <c r="K1968" s="6"/>
      <c r="L1968" s="6"/>
      <c r="M1968" s="6"/>
      <c r="N1968" s="6"/>
      <c r="O1968" s="6"/>
      <c r="P1968" s="6"/>
      <c r="Q1968" s="6"/>
      <c r="R1968" s="6"/>
      <c r="S1968" s="6"/>
      <c r="T1968" s="6"/>
    </row>
    <row r="1969" spans="4:20" x14ac:dyDescent="0.2">
      <c r="D1969" s="6"/>
      <c r="E1969" s="6"/>
      <c r="F1969" s="6"/>
      <c r="G1969" s="19"/>
      <c r="H1969" s="19"/>
      <c r="I1969" s="19"/>
      <c r="J1969" s="19"/>
      <c r="K1969" s="6"/>
      <c r="L1969" s="6"/>
      <c r="M1969" s="6"/>
      <c r="N1969" s="6"/>
      <c r="O1969" s="6"/>
      <c r="P1969" s="6"/>
      <c r="Q1969" s="6"/>
      <c r="R1969" s="6"/>
      <c r="S1969" s="6"/>
      <c r="T1969" s="6"/>
    </row>
    <row r="1970" spans="4:20" x14ac:dyDescent="0.2">
      <c r="D1970" s="6"/>
      <c r="E1970" s="6"/>
      <c r="F1970" s="6"/>
      <c r="G1970" s="19"/>
      <c r="H1970" s="19"/>
      <c r="I1970" s="19"/>
      <c r="J1970" s="19"/>
      <c r="K1970" s="6"/>
      <c r="L1970" s="6"/>
      <c r="M1970" s="6"/>
      <c r="N1970" s="6"/>
      <c r="O1970" s="6"/>
      <c r="P1970" s="6"/>
      <c r="Q1970" s="6"/>
      <c r="R1970" s="6"/>
      <c r="S1970" s="6"/>
      <c r="T1970" s="6"/>
    </row>
    <row r="1971" spans="4:20" x14ac:dyDescent="0.2">
      <c r="D1971" s="6"/>
      <c r="E1971" s="6"/>
      <c r="F1971" s="6"/>
      <c r="G1971" s="19"/>
      <c r="H1971" s="19"/>
      <c r="I1971" s="19"/>
      <c r="J1971" s="19"/>
      <c r="K1971" s="6"/>
      <c r="L1971" s="6"/>
      <c r="M1971" s="6"/>
      <c r="N1971" s="6"/>
      <c r="O1971" s="6"/>
      <c r="P1971" s="6"/>
      <c r="Q1971" s="6"/>
      <c r="R1971" s="6"/>
      <c r="S1971" s="6"/>
      <c r="T1971" s="6"/>
    </row>
    <row r="1972" spans="4:20" x14ac:dyDescent="0.2">
      <c r="D1972" s="6"/>
      <c r="E1972" s="6"/>
      <c r="F1972" s="6"/>
      <c r="G1972" s="19"/>
      <c r="H1972" s="19"/>
      <c r="I1972" s="19"/>
      <c r="J1972" s="19"/>
      <c r="K1972" s="6"/>
      <c r="L1972" s="6"/>
      <c r="M1972" s="6"/>
      <c r="N1972" s="6"/>
      <c r="O1972" s="6"/>
      <c r="P1972" s="6"/>
      <c r="Q1972" s="6"/>
      <c r="R1972" s="6"/>
      <c r="S1972" s="6"/>
      <c r="T1972" s="6"/>
    </row>
    <row r="1973" spans="4:20" x14ac:dyDescent="0.2">
      <c r="D1973" s="6"/>
      <c r="E1973" s="6"/>
      <c r="F1973" s="6"/>
      <c r="G1973" s="19"/>
      <c r="H1973" s="19"/>
      <c r="I1973" s="19"/>
      <c r="J1973" s="19"/>
      <c r="K1973" s="6"/>
      <c r="L1973" s="6"/>
      <c r="M1973" s="6"/>
      <c r="N1973" s="6"/>
      <c r="O1973" s="6"/>
      <c r="P1973" s="6"/>
      <c r="Q1973" s="6"/>
      <c r="R1973" s="6"/>
      <c r="S1973" s="6"/>
      <c r="T1973" s="6"/>
    </row>
    <row r="1974" spans="4:20" x14ac:dyDescent="0.2">
      <c r="D1974" s="6"/>
      <c r="E1974" s="6"/>
      <c r="F1974" s="6"/>
      <c r="G1974" s="19"/>
      <c r="H1974" s="19"/>
      <c r="I1974" s="19"/>
      <c r="J1974" s="19"/>
      <c r="K1974" s="6"/>
      <c r="L1974" s="6"/>
      <c r="M1974" s="6"/>
      <c r="N1974" s="6"/>
      <c r="O1974" s="6"/>
      <c r="P1974" s="6"/>
      <c r="Q1974" s="6"/>
      <c r="R1974" s="6"/>
      <c r="S1974" s="6"/>
      <c r="T1974" s="6"/>
    </row>
    <row r="1975" spans="4:20" x14ac:dyDescent="0.2">
      <c r="D1975" s="6"/>
      <c r="E1975" s="6"/>
      <c r="F1975" s="6"/>
      <c r="G1975" s="19"/>
      <c r="H1975" s="19"/>
      <c r="I1975" s="19"/>
      <c r="J1975" s="19"/>
      <c r="K1975" s="6"/>
      <c r="L1975" s="6"/>
      <c r="M1975" s="6"/>
      <c r="N1975" s="6"/>
      <c r="O1975" s="6"/>
      <c r="P1975" s="6"/>
      <c r="Q1975" s="6"/>
      <c r="R1975" s="6"/>
      <c r="S1975" s="6"/>
      <c r="T1975" s="6"/>
    </row>
    <row r="1976" spans="4:20" x14ac:dyDescent="0.2">
      <c r="D1976" s="6"/>
      <c r="E1976" s="6"/>
      <c r="F1976" s="6"/>
      <c r="G1976" s="19"/>
      <c r="H1976" s="19"/>
      <c r="I1976" s="19"/>
      <c r="J1976" s="19"/>
      <c r="K1976" s="6"/>
      <c r="L1976" s="6"/>
      <c r="M1976" s="6"/>
      <c r="N1976" s="6"/>
      <c r="O1976" s="6"/>
      <c r="P1976" s="6"/>
      <c r="Q1976" s="6"/>
      <c r="R1976" s="6"/>
      <c r="S1976" s="6"/>
      <c r="T1976" s="6"/>
    </row>
    <row r="1977" spans="4:20" x14ac:dyDescent="0.2">
      <c r="D1977" s="6"/>
      <c r="E1977" s="6"/>
      <c r="F1977" s="6"/>
      <c r="G1977" s="19"/>
      <c r="H1977" s="19"/>
      <c r="I1977" s="19"/>
      <c r="J1977" s="19"/>
      <c r="K1977" s="6"/>
      <c r="L1977" s="6"/>
      <c r="M1977" s="6"/>
      <c r="N1977" s="6"/>
      <c r="O1977" s="6"/>
      <c r="P1977" s="6"/>
      <c r="Q1977" s="6"/>
      <c r="R1977" s="6"/>
      <c r="S1977" s="6"/>
      <c r="T1977" s="6"/>
    </row>
    <row r="1978" spans="4:20" x14ac:dyDescent="0.2">
      <c r="D1978" s="6"/>
      <c r="E1978" s="6"/>
      <c r="F1978" s="6"/>
      <c r="G1978" s="19"/>
      <c r="H1978" s="19"/>
      <c r="I1978" s="19"/>
      <c r="J1978" s="19"/>
      <c r="K1978" s="6"/>
      <c r="L1978" s="6"/>
      <c r="M1978" s="6"/>
      <c r="N1978" s="6"/>
      <c r="O1978" s="6"/>
      <c r="P1978" s="6"/>
      <c r="Q1978" s="6"/>
      <c r="R1978" s="6"/>
      <c r="S1978" s="6"/>
      <c r="T1978" s="6"/>
    </row>
    <row r="1979" spans="4:20" x14ac:dyDescent="0.2">
      <c r="D1979" s="6"/>
      <c r="E1979" s="6"/>
      <c r="F1979" s="6"/>
      <c r="G1979" s="19"/>
      <c r="H1979" s="19"/>
      <c r="I1979" s="19"/>
      <c r="J1979" s="19"/>
      <c r="K1979" s="6"/>
      <c r="L1979" s="6"/>
      <c r="M1979" s="6"/>
      <c r="N1979" s="6"/>
      <c r="O1979" s="6"/>
      <c r="P1979" s="6"/>
      <c r="Q1979" s="6"/>
      <c r="R1979" s="6"/>
      <c r="S1979" s="6"/>
      <c r="T1979" s="6"/>
    </row>
    <row r="1980" spans="4:20" x14ac:dyDescent="0.2">
      <c r="D1980" s="6"/>
      <c r="E1980" s="6"/>
      <c r="F1980" s="6"/>
      <c r="G1980" s="19"/>
      <c r="H1980" s="19"/>
      <c r="I1980" s="19"/>
      <c r="J1980" s="19"/>
      <c r="K1980" s="6"/>
      <c r="L1980" s="6"/>
      <c r="M1980" s="6"/>
      <c r="N1980" s="6"/>
      <c r="O1980" s="6"/>
      <c r="P1980" s="6"/>
      <c r="Q1980" s="6"/>
      <c r="R1980" s="6"/>
      <c r="S1980" s="6"/>
      <c r="T1980" s="6"/>
    </row>
    <row r="1981" spans="4:20" x14ac:dyDescent="0.2">
      <c r="D1981" s="6"/>
      <c r="E1981" s="6"/>
      <c r="F1981" s="6"/>
      <c r="G1981" s="19"/>
      <c r="H1981" s="19"/>
      <c r="I1981" s="19"/>
      <c r="J1981" s="19"/>
      <c r="K1981" s="6"/>
      <c r="L1981" s="6"/>
      <c r="M1981" s="6"/>
      <c r="N1981" s="6"/>
      <c r="O1981" s="6"/>
      <c r="P1981" s="6"/>
      <c r="Q1981" s="6"/>
      <c r="R1981" s="6"/>
      <c r="S1981" s="6"/>
      <c r="T1981" s="6"/>
    </row>
    <row r="1982" spans="4:20" x14ac:dyDescent="0.2">
      <c r="D1982" s="6"/>
      <c r="E1982" s="6"/>
      <c r="F1982" s="6"/>
      <c r="G1982" s="19"/>
      <c r="H1982" s="19"/>
      <c r="I1982" s="19"/>
      <c r="J1982" s="19"/>
      <c r="K1982" s="6"/>
      <c r="L1982" s="6"/>
      <c r="M1982" s="6"/>
      <c r="N1982" s="6"/>
      <c r="O1982" s="6"/>
      <c r="P1982" s="6"/>
      <c r="Q1982" s="6"/>
      <c r="R1982" s="6"/>
      <c r="S1982" s="6"/>
      <c r="T1982" s="6"/>
    </row>
    <row r="1983" spans="4:20" x14ac:dyDescent="0.2">
      <c r="D1983" s="6"/>
      <c r="E1983" s="6"/>
      <c r="F1983" s="6"/>
      <c r="G1983" s="19"/>
      <c r="H1983" s="19"/>
      <c r="I1983" s="19"/>
      <c r="J1983" s="19"/>
      <c r="K1983" s="6"/>
      <c r="L1983" s="6"/>
      <c r="M1983" s="6"/>
      <c r="N1983" s="6"/>
      <c r="O1983" s="6"/>
      <c r="P1983" s="6"/>
      <c r="Q1983" s="6"/>
      <c r="R1983" s="6"/>
      <c r="S1983" s="6"/>
      <c r="T1983" s="6"/>
    </row>
    <row r="1984" spans="4:20" x14ac:dyDescent="0.2">
      <c r="D1984" s="6"/>
      <c r="E1984" s="6"/>
      <c r="F1984" s="6"/>
      <c r="G1984" s="19"/>
      <c r="H1984" s="19"/>
      <c r="I1984" s="19"/>
      <c r="J1984" s="19"/>
      <c r="K1984" s="6"/>
      <c r="L1984" s="6"/>
      <c r="M1984" s="6"/>
      <c r="N1984" s="6"/>
      <c r="O1984" s="6"/>
      <c r="P1984" s="6"/>
      <c r="Q1984" s="6"/>
      <c r="R1984" s="6"/>
      <c r="S1984" s="6"/>
      <c r="T1984" s="6"/>
    </row>
    <row r="1985" spans="4:20" x14ac:dyDescent="0.2">
      <c r="D1985" s="6"/>
      <c r="E1985" s="6"/>
      <c r="F1985" s="6"/>
      <c r="G1985" s="19"/>
      <c r="H1985" s="19"/>
      <c r="I1985" s="19"/>
      <c r="J1985" s="19"/>
      <c r="K1985" s="6"/>
      <c r="L1985" s="6"/>
      <c r="M1985" s="6"/>
      <c r="N1985" s="6"/>
      <c r="O1985" s="6"/>
      <c r="P1985" s="6"/>
      <c r="Q1985" s="6"/>
      <c r="R1985" s="6"/>
      <c r="S1985" s="6"/>
      <c r="T1985" s="6"/>
    </row>
    <row r="1986" spans="4:20" x14ac:dyDescent="0.2">
      <c r="D1986" s="6"/>
      <c r="E1986" s="6"/>
      <c r="F1986" s="6"/>
      <c r="G1986" s="19"/>
      <c r="H1986" s="19"/>
      <c r="I1986" s="19"/>
      <c r="J1986" s="19"/>
      <c r="K1986" s="6"/>
      <c r="L1986" s="6"/>
      <c r="M1986" s="6"/>
      <c r="N1986" s="6"/>
      <c r="O1986" s="6"/>
      <c r="P1986" s="6"/>
      <c r="Q1986" s="6"/>
      <c r="R1986" s="6"/>
      <c r="S1986" s="6"/>
      <c r="T1986" s="6"/>
    </row>
    <row r="1987" spans="4:20" x14ac:dyDescent="0.2">
      <c r="D1987" s="6"/>
      <c r="E1987" s="6"/>
      <c r="F1987" s="6"/>
      <c r="G1987" s="19"/>
      <c r="H1987" s="19"/>
      <c r="I1987" s="19"/>
      <c r="J1987" s="19"/>
      <c r="K1987" s="6"/>
      <c r="L1987" s="6"/>
      <c r="M1987" s="6"/>
      <c r="N1987" s="6"/>
      <c r="O1987" s="6"/>
      <c r="P1987" s="6"/>
      <c r="Q1987" s="6"/>
      <c r="R1987" s="6"/>
      <c r="S1987" s="6"/>
      <c r="T1987" s="6"/>
    </row>
    <row r="1988" spans="4:20" x14ac:dyDescent="0.2">
      <c r="D1988" s="6"/>
      <c r="E1988" s="6"/>
      <c r="F1988" s="6"/>
      <c r="G1988" s="19"/>
      <c r="H1988" s="19"/>
      <c r="I1988" s="19"/>
      <c r="J1988" s="19"/>
      <c r="K1988" s="6"/>
      <c r="L1988" s="6"/>
      <c r="M1988" s="6"/>
      <c r="N1988" s="6"/>
      <c r="O1988" s="6"/>
      <c r="P1988" s="6"/>
      <c r="Q1988" s="6"/>
      <c r="R1988" s="6"/>
      <c r="S1988" s="6"/>
      <c r="T1988" s="6"/>
    </row>
    <row r="1989" spans="4:20" x14ac:dyDescent="0.2">
      <c r="D1989" s="6"/>
      <c r="E1989" s="6"/>
      <c r="F1989" s="6"/>
      <c r="G1989" s="19"/>
      <c r="H1989" s="19"/>
      <c r="I1989" s="19"/>
      <c r="J1989" s="19"/>
      <c r="K1989" s="6"/>
      <c r="L1989" s="6"/>
      <c r="M1989" s="6"/>
      <c r="N1989" s="6"/>
      <c r="O1989" s="6"/>
      <c r="P1989" s="6"/>
      <c r="Q1989" s="6"/>
      <c r="R1989" s="6"/>
      <c r="S1989" s="6"/>
      <c r="T1989" s="6"/>
    </row>
    <row r="1990" spans="4:20" x14ac:dyDescent="0.2">
      <c r="D1990" s="6"/>
      <c r="E1990" s="6"/>
      <c r="F1990" s="6"/>
      <c r="G1990" s="19"/>
      <c r="H1990" s="19"/>
      <c r="I1990" s="19"/>
      <c r="J1990" s="19"/>
      <c r="K1990" s="6"/>
      <c r="L1990" s="6"/>
      <c r="M1990" s="6"/>
      <c r="N1990" s="6"/>
      <c r="O1990" s="6"/>
      <c r="P1990" s="6"/>
      <c r="Q1990" s="6"/>
      <c r="R1990" s="6"/>
      <c r="S1990" s="6"/>
      <c r="T1990" s="6"/>
    </row>
    <row r="1991" spans="4:20" x14ac:dyDescent="0.2">
      <c r="D1991" s="6"/>
      <c r="E1991" s="6"/>
      <c r="F1991" s="6"/>
      <c r="G1991" s="19"/>
      <c r="H1991" s="19"/>
      <c r="I1991" s="19"/>
      <c r="J1991" s="19"/>
      <c r="K1991" s="6"/>
      <c r="L1991" s="6"/>
      <c r="M1991" s="6"/>
      <c r="N1991" s="6"/>
      <c r="O1991" s="6"/>
      <c r="P1991" s="6"/>
      <c r="Q1991" s="6"/>
      <c r="R1991" s="6"/>
      <c r="S1991" s="6"/>
      <c r="T1991" s="6"/>
    </row>
    <row r="1992" spans="4:20" x14ac:dyDescent="0.2">
      <c r="D1992" s="6"/>
      <c r="E1992" s="6"/>
      <c r="F1992" s="6"/>
      <c r="G1992" s="19"/>
      <c r="H1992" s="19"/>
      <c r="I1992" s="19"/>
      <c r="J1992" s="19"/>
      <c r="K1992" s="6"/>
      <c r="L1992" s="6"/>
      <c r="M1992" s="6"/>
      <c r="N1992" s="6"/>
      <c r="O1992" s="6"/>
      <c r="P1992" s="6"/>
      <c r="Q1992" s="6"/>
      <c r="R1992" s="6"/>
      <c r="S1992" s="6"/>
      <c r="T1992" s="6"/>
    </row>
    <row r="1993" spans="4:20" x14ac:dyDescent="0.2">
      <c r="D1993" s="6"/>
      <c r="E1993" s="6"/>
      <c r="F1993" s="6"/>
      <c r="G1993" s="19"/>
      <c r="H1993" s="19"/>
      <c r="I1993" s="19"/>
      <c r="J1993" s="19"/>
      <c r="K1993" s="6"/>
      <c r="L1993" s="6"/>
      <c r="M1993" s="6"/>
      <c r="N1993" s="6"/>
      <c r="O1993" s="6"/>
      <c r="P1993" s="6"/>
      <c r="Q1993" s="6"/>
      <c r="R1993" s="6"/>
      <c r="S1993" s="6"/>
      <c r="T1993" s="6"/>
    </row>
    <row r="1994" spans="4:20" x14ac:dyDescent="0.2">
      <c r="D1994" s="6"/>
      <c r="E1994" s="6"/>
      <c r="F1994" s="6"/>
      <c r="G1994" s="19"/>
      <c r="H1994" s="19"/>
      <c r="I1994" s="19"/>
      <c r="J1994" s="19"/>
      <c r="K1994" s="6"/>
      <c r="L1994" s="6"/>
      <c r="M1994" s="6"/>
      <c r="N1994" s="6"/>
      <c r="O1994" s="6"/>
      <c r="P1994" s="6"/>
      <c r="Q1994" s="6"/>
      <c r="R1994" s="6"/>
      <c r="S1994" s="6"/>
      <c r="T1994" s="6"/>
    </row>
    <row r="1995" spans="4:20" x14ac:dyDescent="0.2">
      <c r="D1995" s="6"/>
      <c r="E1995" s="6"/>
      <c r="F1995" s="6"/>
      <c r="G1995" s="19"/>
      <c r="H1995" s="19"/>
      <c r="I1995" s="19"/>
      <c r="J1995" s="19"/>
      <c r="K1995" s="6"/>
      <c r="L1995" s="6"/>
      <c r="M1995" s="6"/>
      <c r="N1995" s="6"/>
      <c r="O1995" s="6"/>
      <c r="P1995" s="6"/>
      <c r="Q1995" s="6"/>
      <c r="R1995" s="6"/>
      <c r="S1995" s="6"/>
      <c r="T1995" s="6"/>
    </row>
    <row r="1996" spans="4:20" x14ac:dyDescent="0.2">
      <c r="D1996" s="6"/>
      <c r="E1996" s="6"/>
      <c r="F1996" s="6"/>
      <c r="G1996" s="19"/>
      <c r="H1996" s="19"/>
      <c r="I1996" s="19"/>
      <c r="J1996" s="19"/>
      <c r="K1996" s="6"/>
      <c r="L1996" s="6"/>
      <c r="M1996" s="6"/>
      <c r="N1996" s="6"/>
      <c r="O1996" s="6"/>
      <c r="P1996" s="6"/>
      <c r="Q1996" s="6"/>
      <c r="R1996" s="6"/>
      <c r="S1996" s="6"/>
      <c r="T1996" s="6"/>
    </row>
    <row r="1997" spans="4:20" x14ac:dyDescent="0.2">
      <c r="D1997" s="6"/>
      <c r="E1997" s="6"/>
      <c r="F1997" s="6"/>
      <c r="G1997" s="19"/>
      <c r="H1997" s="19"/>
      <c r="I1997" s="19"/>
      <c r="J1997" s="19"/>
      <c r="K1997" s="6"/>
      <c r="L1997" s="6"/>
      <c r="M1997" s="6"/>
      <c r="N1997" s="6"/>
      <c r="O1997" s="6"/>
      <c r="P1997" s="6"/>
      <c r="Q1997" s="6"/>
      <c r="R1997" s="6"/>
      <c r="S1997" s="6"/>
      <c r="T1997" s="6"/>
    </row>
    <row r="1998" spans="4:20" x14ac:dyDescent="0.2">
      <c r="D1998" s="6"/>
      <c r="E1998" s="6"/>
      <c r="F1998" s="6"/>
      <c r="G1998" s="19"/>
      <c r="H1998" s="19"/>
      <c r="I1998" s="19"/>
      <c r="J1998" s="19"/>
      <c r="K1998" s="6"/>
      <c r="L1998" s="6"/>
      <c r="M1998" s="6"/>
      <c r="N1998" s="6"/>
      <c r="O1998" s="6"/>
      <c r="P1998" s="6"/>
      <c r="Q1998" s="6"/>
      <c r="R1998" s="6"/>
      <c r="S1998" s="6"/>
      <c r="T1998" s="6"/>
    </row>
    <row r="1999" spans="4:20" x14ac:dyDescent="0.2">
      <c r="D1999" s="6"/>
      <c r="E1999" s="6"/>
      <c r="F1999" s="6"/>
      <c r="G1999" s="19"/>
      <c r="H1999" s="19"/>
      <c r="I1999" s="19"/>
      <c r="J1999" s="19"/>
      <c r="K1999" s="6"/>
      <c r="L1999" s="6"/>
      <c r="M1999" s="6"/>
      <c r="N1999" s="6"/>
      <c r="O1999" s="6"/>
      <c r="P1999" s="6"/>
      <c r="Q1999" s="6"/>
      <c r="R1999" s="6"/>
      <c r="S1999" s="6"/>
      <c r="T1999" s="6"/>
    </row>
    <row r="2000" spans="4:20" x14ac:dyDescent="0.2">
      <c r="D2000" s="6"/>
      <c r="E2000" s="6"/>
      <c r="F2000" s="6"/>
      <c r="G2000" s="19"/>
      <c r="H2000" s="19"/>
      <c r="I2000" s="19"/>
      <c r="J2000" s="19"/>
      <c r="K2000" s="6"/>
      <c r="L2000" s="6"/>
      <c r="M2000" s="6"/>
      <c r="N2000" s="6"/>
      <c r="O2000" s="6"/>
      <c r="P2000" s="6"/>
      <c r="Q2000" s="6"/>
      <c r="R2000" s="6"/>
      <c r="S2000" s="6"/>
      <c r="T2000" s="6"/>
    </row>
    <row r="2001" spans="4:20" x14ac:dyDescent="0.2">
      <c r="D2001" s="6"/>
      <c r="E2001" s="6"/>
      <c r="F2001" s="6"/>
      <c r="G2001" s="19"/>
      <c r="H2001" s="19"/>
      <c r="I2001" s="19"/>
      <c r="J2001" s="19"/>
      <c r="K2001" s="6"/>
      <c r="L2001" s="6"/>
      <c r="M2001" s="6"/>
      <c r="N2001" s="6"/>
      <c r="O2001" s="6"/>
      <c r="P2001" s="6"/>
      <c r="Q2001" s="6"/>
      <c r="R2001" s="6"/>
      <c r="S2001" s="6"/>
      <c r="T2001" s="6"/>
    </row>
    <row r="2002" spans="4:20" x14ac:dyDescent="0.2">
      <c r="D2002" s="6"/>
      <c r="E2002" s="6"/>
      <c r="F2002" s="6"/>
      <c r="G2002" s="19"/>
      <c r="H2002" s="19"/>
      <c r="I2002" s="19"/>
      <c r="J2002" s="19"/>
      <c r="K2002" s="6"/>
      <c r="L2002" s="6"/>
      <c r="M2002" s="6"/>
      <c r="N2002" s="6"/>
      <c r="O2002" s="6"/>
      <c r="P2002" s="6"/>
      <c r="Q2002" s="6"/>
      <c r="R2002" s="6"/>
      <c r="S2002" s="6"/>
      <c r="T2002" s="6"/>
    </row>
    <row r="2003" spans="4:20" x14ac:dyDescent="0.2">
      <c r="D2003" s="6"/>
      <c r="E2003" s="6"/>
      <c r="F2003" s="6"/>
      <c r="G2003" s="19"/>
      <c r="H2003" s="19"/>
      <c r="I2003" s="19"/>
      <c r="J2003" s="19"/>
      <c r="K2003" s="6"/>
      <c r="L2003" s="6"/>
      <c r="M2003" s="6"/>
      <c r="N2003" s="6"/>
      <c r="O2003" s="6"/>
      <c r="P2003" s="6"/>
      <c r="Q2003" s="6"/>
      <c r="R2003" s="6"/>
      <c r="S2003" s="6"/>
      <c r="T2003" s="6"/>
    </row>
    <row r="2004" spans="4:20" x14ac:dyDescent="0.2">
      <c r="D2004" s="6"/>
      <c r="E2004" s="6"/>
      <c r="F2004" s="6"/>
      <c r="G2004" s="19"/>
      <c r="H2004" s="19"/>
      <c r="I2004" s="19"/>
      <c r="J2004" s="19"/>
      <c r="K2004" s="6"/>
      <c r="L2004" s="6"/>
      <c r="M2004" s="6"/>
      <c r="N2004" s="6"/>
      <c r="O2004" s="6"/>
      <c r="P2004" s="6"/>
      <c r="Q2004" s="6"/>
      <c r="R2004" s="6"/>
      <c r="S2004" s="6"/>
      <c r="T2004" s="6"/>
    </row>
    <row r="2005" spans="4:20" x14ac:dyDescent="0.2">
      <c r="D2005" s="6"/>
      <c r="E2005" s="6"/>
      <c r="F2005" s="6"/>
      <c r="G2005" s="19"/>
      <c r="H2005" s="19"/>
      <c r="I2005" s="19"/>
      <c r="J2005" s="19"/>
      <c r="K2005" s="6"/>
      <c r="L2005" s="6"/>
      <c r="M2005" s="6"/>
      <c r="N2005" s="6"/>
      <c r="O2005" s="6"/>
      <c r="P2005" s="6"/>
      <c r="Q2005" s="6"/>
      <c r="R2005" s="6"/>
      <c r="S2005" s="6"/>
      <c r="T2005" s="6"/>
    </row>
    <row r="2006" spans="4:20" x14ac:dyDescent="0.2">
      <c r="D2006" s="6"/>
      <c r="E2006" s="6"/>
      <c r="F2006" s="6"/>
      <c r="G2006" s="19"/>
      <c r="H2006" s="19"/>
      <c r="I2006" s="19"/>
      <c r="J2006" s="19"/>
      <c r="K2006" s="6"/>
      <c r="L2006" s="6"/>
      <c r="M2006" s="6"/>
      <c r="N2006" s="6"/>
      <c r="O2006" s="6"/>
      <c r="P2006" s="6"/>
      <c r="Q2006" s="6"/>
      <c r="R2006" s="6"/>
      <c r="S2006" s="6"/>
      <c r="T2006" s="6"/>
    </row>
    <row r="2007" spans="4:20" x14ac:dyDescent="0.2">
      <c r="D2007" s="6"/>
      <c r="E2007" s="6"/>
      <c r="F2007" s="6"/>
      <c r="G2007" s="19"/>
      <c r="H2007" s="19"/>
      <c r="I2007" s="19"/>
      <c r="J2007" s="19"/>
      <c r="K2007" s="6"/>
      <c r="L2007" s="6"/>
      <c r="M2007" s="6"/>
      <c r="N2007" s="6"/>
      <c r="O2007" s="6"/>
      <c r="P2007" s="6"/>
      <c r="Q2007" s="6"/>
      <c r="R2007" s="6"/>
      <c r="S2007" s="6"/>
      <c r="T2007" s="6"/>
    </row>
    <row r="2008" spans="4:20" x14ac:dyDescent="0.2">
      <c r="D2008" s="6"/>
      <c r="E2008" s="6"/>
      <c r="F2008" s="6"/>
      <c r="G2008" s="19"/>
      <c r="H2008" s="19"/>
      <c r="I2008" s="19"/>
      <c r="J2008" s="19"/>
      <c r="K2008" s="6"/>
      <c r="L2008" s="6"/>
      <c r="M2008" s="6"/>
      <c r="N2008" s="6"/>
      <c r="O2008" s="6"/>
      <c r="P2008" s="6"/>
      <c r="Q2008" s="6"/>
      <c r="R2008" s="6"/>
      <c r="S2008" s="6"/>
      <c r="T2008" s="6"/>
    </row>
    <row r="2009" spans="4:20" x14ac:dyDescent="0.2">
      <c r="D2009" s="6"/>
      <c r="E2009" s="6"/>
      <c r="F2009" s="6"/>
      <c r="G2009" s="19"/>
      <c r="H2009" s="19"/>
      <c r="I2009" s="19"/>
      <c r="J2009" s="19"/>
      <c r="K2009" s="6"/>
      <c r="L2009" s="6"/>
      <c r="M2009" s="6"/>
      <c r="N2009" s="6"/>
      <c r="O2009" s="6"/>
      <c r="P2009" s="6"/>
      <c r="Q2009" s="6"/>
      <c r="R2009" s="6"/>
      <c r="S2009" s="6"/>
      <c r="T2009" s="6"/>
    </row>
    <row r="2010" spans="4:20" x14ac:dyDescent="0.2">
      <c r="D2010" s="6"/>
      <c r="E2010" s="6"/>
      <c r="F2010" s="6"/>
      <c r="G2010" s="19"/>
      <c r="H2010" s="19"/>
      <c r="I2010" s="19"/>
      <c r="J2010" s="19"/>
      <c r="K2010" s="6"/>
      <c r="L2010" s="6"/>
      <c r="M2010" s="6"/>
      <c r="N2010" s="6"/>
      <c r="O2010" s="6"/>
      <c r="P2010" s="6"/>
      <c r="Q2010" s="6"/>
      <c r="R2010" s="6"/>
      <c r="S2010" s="6"/>
      <c r="T2010" s="6"/>
    </row>
    <row r="2011" spans="4:20" x14ac:dyDescent="0.2">
      <c r="D2011" s="6"/>
      <c r="E2011" s="6"/>
      <c r="F2011" s="6"/>
      <c r="G2011" s="19"/>
      <c r="H2011" s="19"/>
      <c r="I2011" s="19"/>
      <c r="J2011" s="19"/>
      <c r="K2011" s="6"/>
      <c r="L2011" s="6"/>
      <c r="M2011" s="6"/>
      <c r="N2011" s="6"/>
      <c r="O2011" s="6"/>
      <c r="P2011" s="6"/>
      <c r="Q2011" s="6"/>
      <c r="R2011" s="6"/>
      <c r="S2011" s="6"/>
      <c r="T2011" s="6"/>
    </row>
    <row r="2012" spans="4:20" x14ac:dyDescent="0.2">
      <c r="D2012" s="6"/>
      <c r="E2012" s="6"/>
      <c r="F2012" s="6"/>
      <c r="G2012" s="19"/>
      <c r="H2012" s="19"/>
      <c r="I2012" s="19"/>
      <c r="J2012" s="19"/>
      <c r="K2012" s="6"/>
      <c r="L2012" s="6"/>
      <c r="M2012" s="6"/>
      <c r="N2012" s="6"/>
      <c r="O2012" s="6"/>
      <c r="P2012" s="6"/>
      <c r="Q2012" s="6"/>
      <c r="R2012" s="6"/>
      <c r="S2012" s="6"/>
      <c r="T2012" s="6"/>
    </row>
    <row r="2013" spans="4:20" x14ac:dyDescent="0.2">
      <c r="D2013" s="6"/>
      <c r="E2013" s="6"/>
      <c r="F2013" s="6"/>
      <c r="G2013" s="19"/>
      <c r="H2013" s="19"/>
      <c r="I2013" s="19"/>
      <c r="J2013" s="19"/>
      <c r="K2013" s="6"/>
      <c r="L2013" s="6"/>
      <c r="M2013" s="6"/>
      <c r="N2013" s="6"/>
      <c r="O2013" s="6"/>
      <c r="P2013" s="6"/>
      <c r="Q2013" s="6"/>
      <c r="R2013" s="6"/>
      <c r="S2013" s="6"/>
      <c r="T2013" s="6"/>
    </row>
    <row r="2014" spans="4:20" x14ac:dyDescent="0.2">
      <c r="D2014" s="6"/>
      <c r="E2014" s="6"/>
      <c r="F2014" s="6"/>
      <c r="G2014" s="19"/>
      <c r="H2014" s="19"/>
      <c r="I2014" s="19"/>
      <c r="J2014" s="19"/>
      <c r="K2014" s="6"/>
      <c r="L2014" s="6"/>
      <c r="M2014" s="6"/>
      <c r="N2014" s="6"/>
      <c r="O2014" s="6"/>
      <c r="P2014" s="6"/>
      <c r="Q2014" s="6"/>
      <c r="R2014" s="6"/>
      <c r="S2014" s="6"/>
      <c r="T2014" s="6"/>
    </row>
    <row r="2015" spans="4:20" x14ac:dyDescent="0.2">
      <c r="D2015" s="6"/>
      <c r="E2015" s="6"/>
      <c r="F2015" s="6"/>
      <c r="G2015" s="19"/>
      <c r="H2015" s="19"/>
      <c r="I2015" s="19"/>
      <c r="J2015" s="19"/>
      <c r="K2015" s="6"/>
      <c r="L2015" s="6"/>
      <c r="M2015" s="6"/>
      <c r="N2015" s="6"/>
      <c r="O2015" s="6"/>
      <c r="P2015" s="6"/>
      <c r="Q2015" s="6"/>
      <c r="R2015" s="6"/>
      <c r="S2015" s="6"/>
      <c r="T2015" s="6"/>
    </row>
    <row r="2016" spans="4:20" x14ac:dyDescent="0.2">
      <c r="D2016" s="6"/>
      <c r="E2016" s="6"/>
      <c r="F2016" s="6"/>
      <c r="G2016" s="19"/>
      <c r="H2016" s="19"/>
      <c r="I2016" s="19"/>
      <c r="J2016" s="19"/>
      <c r="K2016" s="6"/>
      <c r="L2016" s="6"/>
      <c r="M2016" s="6"/>
      <c r="N2016" s="6"/>
      <c r="O2016" s="6"/>
      <c r="P2016" s="6"/>
      <c r="Q2016" s="6"/>
      <c r="R2016" s="6"/>
      <c r="S2016" s="6"/>
      <c r="T2016" s="6"/>
    </row>
    <row r="2017" spans="4:20" x14ac:dyDescent="0.2">
      <c r="D2017" s="6"/>
      <c r="E2017" s="6"/>
      <c r="F2017" s="6"/>
      <c r="G2017" s="19"/>
      <c r="H2017" s="19"/>
      <c r="I2017" s="19"/>
      <c r="J2017" s="19"/>
      <c r="K2017" s="6"/>
      <c r="L2017" s="6"/>
      <c r="M2017" s="6"/>
      <c r="N2017" s="6"/>
      <c r="O2017" s="6"/>
      <c r="P2017" s="6"/>
      <c r="Q2017" s="6"/>
      <c r="R2017" s="6"/>
      <c r="S2017" s="6"/>
      <c r="T2017" s="6"/>
    </row>
    <row r="2018" spans="4:20" x14ac:dyDescent="0.2">
      <c r="D2018" s="6"/>
      <c r="E2018" s="6"/>
      <c r="F2018" s="6"/>
      <c r="G2018" s="19"/>
      <c r="H2018" s="19"/>
      <c r="I2018" s="19"/>
      <c r="J2018" s="19"/>
      <c r="K2018" s="6"/>
      <c r="L2018" s="6"/>
      <c r="M2018" s="6"/>
      <c r="N2018" s="6"/>
      <c r="O2018" s="6"/>
      <c r="P2018" s="6"/>
      <c r="Q2018" s="6"/>
      <c r="R2018" s="6"/>
      <c r="S2018" s="6"/>
      <c r="T2018" s="6"/>
    </row>
    <row r="2019" spans="4:20" x14ac:dyDescent="0.2">
      <c r="D2019" s="6"/>
      <c r="E2019" s="6"/>
      <c r="F2019" s="6"/>
      <c r="G2019" s="19"/>
      <c r="H2019" s="19"/>
      <c r="I2019" s="19"/>
      <c r="J2019" s="19"/>
      <c r="K2019" s="6"/>
      <c r="L2019" s="6"/>
      <c r="M2019" s="6"/>
      <c r="N2019" s="6"/>
      <c r="O2019" s="6"/>
      <c r="P2019" s="6"/>
      <c r="Q2019" s="6"/>
      <c r="R2019" s="6"/>
      <c r="S2019" s="6"/>
      <c r="T2019" s="6"/>
    </row>
    <row r="2020" spans="4:20" x14ac:dyDescent="0.2">
      <c r="D2020" s="6"/>
      <c r="E2020" s="6"/>
      <c r="F2020" s="6"/>
      <c r="G2020" s="19"/>
      <c r="H2020" s="19"/>
      <c r="I2020" s="19"/>
      <c r="J2020" s="19"/>
      <c r="K2020" s="6"/>
      <c r="L2020" s="6"/>
      <c r="M2020" s="6"/>
      <c r="N2020" s="6"/>
      <c r="O2020" s="6"/>
      <c r="P2020" s="6"/>
      <c r="Q2020" s="6"/>
      <c r="R2020" s="6"/>
      <c r="S2020" s="6"/>
      <c r="T2020" s="6"/>
    </row>
    <row r="2021" spans="4:20" x14ac:dyDescent="0.2">
      <c r="D2021" s="6"/>
      <c r="E2021" s="6"/>
      <c r="F2021" s="6"/>
      <c r="G2021" s="19"/>
      <c r="H2021" s="19"/>
      <c r="I2021" s="19"/>
      <c r="J2021" s="19"/>
      <c r="K2021" s="6"/>
      <c r="L2021" s="6"/>
      <c r="M2021" s="6"/>
      <c r="N2021" s="6"/>
      <c r="O2021" s="6"/>
      <c r="P2021" s="6"/>
      <c r="Q2021" s="6"/>
      <c r="R2021" s="6"/>
      <c r="S2021" s="6"/>
      <c r="T2021" s="6"/>
    </row>
    <row r="2022" spans="4:20" x14ac:dyDescent="0.2">
      <c r="D2022" s="6"/>
      <c r="E2022" s="6"/>
      <c r="F2022" s="6"/>
      <c r="G2022" s="19"/>
      <c r="H2022" s="19"/>
      <c r="I2022" s="19"/>
      <c r="J2022" s="19"/>
      <c r="K2022" s="6"/>
      <c r="L2022" s="6"/>
      <c r="M2022" s="6"/>
      <c r="N2022" s="6"/>
      <c r="O2022" s="6"/>
      <c r="P2022" s="6"/>
      <c r="Q2022" s="6"/>
      <c r="R2022" s="6"/>
      <c r="S2022" s="6"/>
      <c r="T2022" s="6"/>
    </row>
    <row r="2023" spans="4:20" x14ac:dyDescent="0.2">
      <c r="D2023" s="6"/>
      <c r="E2023" s="6"/>
      <c r="F2023" s="6"/>
      <c r="G2023" s="19"/>
      <c r="H2023" s="19"/>
      <c r="I2023" s="19"/>
      <c r="J2023" s="19"/>
      <c r="K2023" s="6"/>
      <c r="L2023" s="6"/>
      <c r="M2023" s="6"/>
      <c r="N2023" s="6"/>
      <c r="O2023" s="6"/>
      <c r="P2023" s="6"/>
      <c r="Q2023" s="6"/>
      <c r="R2023" s="6"/>
      <c r="S2023" s="6"/>
      <c r="T2023" s="6"/>
    </row>
    <row r="2024" spans="4:20" x14ac:dyDescent="0.2">
      <c r="D2024" s="6"/>
      <c r="E2024" s="6"/>
      <c r="F2024" s="6"/>
      <c r="G2024" s="19"/>
      <c r="H2024" s="19"/>
      <c r="I2024" s="19"/>
      <c r="J2024" s="19"/>
      <c r="K2024" s="6"/>
      <c r="L2024" s="6"/>
      <c r="M2024" s="6"/>
      <c r="N2024" s="6"/>
      <c r="O2024" s="6"/>
      <c r="P2024" s="6"/>
      <c r="Q2024" s="6"/>
      <c r="R2024" s="6"/>
      <c r="S2024" s="6"/>
      <c r="T2024" s="6"/>
    </row>
    <row r="2025" spans="4:20" x14ac:dyDescent="0.2">
      <c r="D2025" s="6"/>
      <c r="E2025" s="6"/>
      <c r="F2025" s="6"/>
      <c r="G2025" s="19"/>
      <c r="H2025" s="19"/>
      <c r="I2025" s="19"/>
      <c r="J2025" s="19"/>
      <c r="K2025" s="6"/>
      <c r="L2025" s="6"/>
      <c r="M2025" s="6"/>
      <c r="N2025" s="6"/>
      <c r="O2025" s="6"/>
      <c r="P2025" s="6"/>
      <c r="Q2025" s="6"/>
      <c r="R2025" s="6"/>
      <c r="S2025" s="6"/>
      <c r="T2025" s="6"/>
    </row>
    <row r="2026" spans="4:20" x14ac:dyDescent="0.2">
      <c r="D2026" s="6"/>
      <c r="E2026" s="6"/>
      <c r="F2026" s="6"/>
      <c r="G2026" s="19"/>
      <c r="H2026" s="19"/>
      <c r="I2026" s="19"/>
      <c r="J2026" s="19"/>
      <c r="K2026" s="6"/>
      <c r="L2026" s="6"/>
      <c r="M2026" s="6"/>
      <c r="N2026" s="6"/>
      <c r="O2026" s="6"/>
      <c r="P2026" s="6"/>
      <c r="Q2026" s="6"/>
      <c r="R2026" s="6"/>
      <c r="S2026" s="6"/>
      <c r="T2026" s="6"/>
    </row>
    <row r="2027" spans="4:20" x14ac:dyDescent="0.2">
      <c r="D2027" s="6"/>
      <c r="E2027" s="6"/>
      <c r="F2027" s="6"/>
      <c r="G2027" s="19"/>
      <c r="H2027" s="19"/>
      <c r="I2027" s="19"/>
      <c r="J2027" s="19"/>
      <c r="K2027" s="6"/>
      <c r="L2027" s="6"/>
      <c r="M2027" s="6"/>
      <c r="N2027" s="6"/>
      <c r="O2027" s="6"/>
      <c r="P2027" s="6"/>
      <c r="Q2027" s="6"/>
      <c r="R2027" s="6"/>
      <c r="S2027" s="6"/>
      <c r="T2027" s="6"/>
    </row>
    <row r="2028" spans="4:20" x14ac:dyDescent="0.2">
      <c r="D2028" s="6"/>
      <c r="E2028" s="6"/>
      <c r="F2028" s="6"/>
      <c r="G2028" s="19"/>
      <c r="H2028" s="19"/>
      <c r="I2028" s="19"/>
      <c r="J2028" s="19"/>
      <c r="K2028" s="6"/>
      <c r="L2028" s="6"/>
      <c r="M2028" s="6"/>
      <c r="N2028" s="6"/>
      <c r="O2028" s="6"/>
      <c r="P2028" s="6"/>
      <c r="Q2028" s="6"/>
      <c r="R2028" s="6"/>
      <c r="S2028" s="6"/>
      <c r="T2028" s="6"/>
    </row>
    <row r="2029" spans="4:20" x14ac:dyDescent="0.2">
      <c r="D2029" s="6"/>
      <c r="E2029" s="6"/>
      <c r="F2029" s="6"/>
      <c r="G2029" s="19"/>
      <c r="H2029" s="19"/>
      <c r="I2029" s="19"/>
      <c r="J2029" s="19"/>
      <c r="K2029" s="6"/>
      <c r="L2029" s="6"/>
      <c r="M2029" s="6"/>
      <c r="N2029" s="6"/>
      <c r="O2029" s="6"/>
      <c r="P2029" s="6"/>
      <c r="Q2029" s="6"/>
      <c r="R2029" s="6"/>
      <c r="S2029" s="6"/>
      <c r="T2029" s="6"/>
    </row>
    <row r="2030" spans="4:20" x14ac:dyDescent="0.2">
      <c r="D2030" s="6"/>
      <c r="E2030" s="6"/>
      <c r="F2030" s="6"/>
      <c r="G2030" s="19"/>
      <c r="H2030" s="19"/>
      <c r="I2030" s="19"/>
      <c r="J2030" s="19"/>
      <c r="K2030" s="6"/>
      <c r="L2030" s="6"/>
      <c r="M2030" s="6"/>
      <c r="N2030" s="6"/>
      <c r="O2030" s="6"/>
      <c r="P2030" s="6"/>
      <c r="Q2030" s="6"/>
      <c r="R2030" s="6"/>
      <c r="S2030" s="6"/>
      <c r="T2030" s="6"/>
    </row>
    <row r="2031" spans="4:20" x14ac:dyDescent="0.2">
      <c r="D2031" s="6"/>
      <c r="E2031" s="6"/>
      <c r="F2031" s="6"/>
      <c r="G2031" s="19"/>
      <c r="H2031" s="19"/>
      <c r="I2031" s="19"/>
      <c r="J2031" s="19"/>
      <c r="K2031" s="6"/>
      <c r="L2031" s="6"/>
      <c r="M2031" s="6"/>
      <c r="N2031" s="6"/>
      <c r="O2031" s="6"/>
      <c r="P2031" s="6"/>
      <c r="Q2031" s="6"/>
      <c r="R2031" s="6"/>
      <c r="S2031" s="6"/>
      <c r="T2031" s="6"/>
    </row>
    <row r="2032" spans="4:20" x14ac:dyDescent="0.2">
      <c r="D2032" s="6"/>
      <c r="E2032" s="6"/>
      <c r="F2032" s="6"/>
      <c r="G2032" s="19"/>
      <c r="H2032" s="19"/>
      <c r="I2032" s="19"/>
      <c r="J2032" s="19"/>
      <c r="K2032" s="6"/>
      <c r="L2032" s="6"/>
      <c r="M2032" s="6"/>
      <c r="N2032" s="6"/>
      <c r="O2032" s="6"/>
      <c r="P2032" s="6"/>
      <c r="Q2032" s="6"/>
      <c r="R2032" s="6"/>
      <c r="S2032" s="6"/>
      <c r="T2032" s="6"/>
    </row>
    <row r="2033" spans="4:20" x14ac:dyDescent="0.2">
      <c r="D2033" s="6"/>
      <c r="E2033" s="6"/>
      <c r="F2033" s="6"/>
      <c r="G2033" s="19"/>
      <c r="H2033" s="19"/>
      <c r="I2033" s="19"/>
      <c r="J2033" s="19"/>
      <c r="K2033" s="6"/>
      <c r="L2033" s="6"/>
      <c r="M2033" s="6"/>
      <c r="N2033" s="6"/>
      <c r="O2033" s="6"/>
      <c r="P2033" s="6"/>
      <c r="Q2033" s="6"/>
      <c r="R2033" s="6"/>
      <c r="S2033" s="6"/>
      <c r="T2033" s="6"/>
    </row>
    <row r="2034" spans="4:20" x14ac:dyDescent="0.2">
      <c r="D2034" s="6"/>
      <c r="E2034" s="6"/>
      <c r="F2034" s="6"/>
      <c r="G2034" s="19"/>
      <c r="H2034" s="19"/>
      <c r="I2034" s="19"/>
      <c r="J2034" s="19"/>
      <c r="K2034" s="6"/>
      <c r="L2034" s="6"/>
      <c r="M2034" s="6"/>
      <c r="N2034" s="6"/>
      <c r="O2034" s="6"/>
      <c r="P2034" s="6"/>
      <c r="Q2034" s="6"/>
      <c r="R2034" s="6"/>
      <c r="S2034" s="6"/>
      <c r="T2034" s="6"/>
    </row>
    <row r="2035" spans="4:20" x14ac:dyDescent="0.2">
      <c r="D2035" s="6"/>
      <c r="E2035" s="6"/>
      <c r="F2035" s="6"/>
      <c r="G2035" s="19"/>
      <c r="H2035" s="19"/>
      <c r="I2035" s="19"/>
      <c r="J2035" s="19"/>
      <c r="K2035" s="6"/>
      <c r="L2035" s="6"/>
      <c r="M2035" s="6"/>
      <c r="N2035" s="6"/>
      <c r="O2035" s="6"/>
      <c r="P2035" s="6"/>
      <c r="Q2035" s="6"/>
      <c r="R2035" s="6"/>
      <c r="S2035" s="6"/>
      <c r="T2035" s="6"/>
    </row>
    <row r="2036" spans="4:20" x14ac:dyDescent="0.2">
      <c r="D2036" s="6"/>
      <c r="E2036" s="6"/>
      <c r="F2036" s="6"/>
      <c r="G2036" s="19"/>
      <c r="H2036" s="19"/>
      <c r="I2036" s="19"/>
      <c r="J2036" s="19"/>
      <c r="K2036" s="6"/>
      <c r="L2036" s="6"/>
      <c r="M2036" s="6"/>
      <c r="N2036" s="6"/>
      <c r="O2036" s="6"/>
      <c r="P2036" s="6"/>
      <c r="Q2036" s="6"/>
      <c r="R2036" s="6"/>
      <c r="S2036" s="6"/>
      <c r="T2036" s="6"/>
    </row>
    <row r="2037" spans="4:20" x14ac:dyDescent="0.2">
      <c r="D2037" s="6"/>
      <c r="E2037" s="6"/>
      <c r="F2037" s="6"/>
      <c r="G2037" s="19"/>
      <c r="H2037" s="19"/>
      <c r="I2037" s="19"/>
      <c r="J2037" s="19"/>
      <c r="K2037" s="6"/>
      <c r="L2037" s="6"/>
      <c r="M2037" s="6"/>
      <c r="N2037" s="6"/>
      <c r="O2037" s="6"/>
      <c r="P2037" s="6"/>
      <c r="Q2037" s="6"/>
      <c r="R2037" s="6"/>
      <c r="S2037" s="6"/>
      <c r="T2037" s="6"/>
    </row>
    <row r="2038" spans="4:20" x14ac:dyDescent="0.2">
      <c r="D2038" s="6"/>
      <c r="E2038" s="6"/>
      <c r="F2038" s="6"/>
      <c r="G2038" s="19"/>
      <c r="H2038" s="19"/>
      <c r="I2038" s="19"/>
      <c r="J2038" s="19"/>
      <c r="K2038" s="6"/>
      <c r="L2038" s="6"/>
      <c r="M2038" s="6"/>
      <c r="N2038" s="6"/>
      <c r="O2038" s="6"/>
      <c r="P2038" s="6"/>
      <c r="Q2038" s="6"/>
      <c r="R2038" s="6"/>
      <c r="S2038" s="6"/>
      <c r="T2038" s="6"/>
    </row>
    <row r="2039" spans="4:20" x14ac:dyDescent="0.2">
      <c r="D2039" s="6"/>
      <c r="E2039" s="6"/>
      <c r="F2039" s="6"/>
      <c r="G2039" s="19"/>
      <c r="H2039" s="19"/>
      <c r="I2039" s="19"/>
      <c r="J2039" s="19"/>
      <c r="K2039" s="6"/>
      <c r="L2039" s="6"/>
      <c r="M2039" s="6"/>
      <c r="N2039" s="6"/>
      <c r="O2039" s="6"/>
      <c r="P2039" s="6"/>
      <c r="Q2039" s="6"/>
      <c r="R2039" s="6"/>
      <c r="S2039" s="6"/>
      <c r="T2039" s="6"/>
    </row>
    <row r="2040" spans="4:20" x14ac:dyDescent="0.2">
      <c r="D2040" s="6"/>
      <c r="E2040" s="6"/>
      <c r="F2040" s="6"/>
      <c r="G2040" s="19"/>
      <c r="H2040" s="19"/>
      <c r="I2040" s="19"/>
      <c r="J2040" s="19"/>
      <c r="K2040" s="6"/>
      <c r="L2040" s="6"/>
      <c r="M2040" s="6"/>
      <c r="N2040" s="6"/>
      <c r="O2040" s="6"/>
      <c r="P2040" s="6"/>
      <c r="Q2040" s="6"/>
      <c r="R2040" s="6"/>
      <c r="S2040" s="6"/>
      <c r="T2040" s="6"/>
    </row>
    <row r="2041" spans="4:20" x14ac:dyDescent="0.2">
      <c r="D2041" s="6"/>
      <c r="E2041" s="6"/>
      <c r="F2041" s="6"/>
      <c r="G2041" s="19"/>
      <c r="H2041" s="19"/>
      <c r="I2041" s="19"/>
      <c r="J2041" s="19"/>
      <c r="K2041" s="6"/>
      <c r="L2041" s="6"/>
      <c r="M2041" s="6"/>
      <c r="N2041" s="6"/>
      <c r="O2041" s="6"/>
      <c r="P2041" s="6"/>
      <c r="Q2041" s="6"/>
      <c r="R2041" s="6"/>
      <c r="S2041" s="6"/>
      <c r="T2041" s="6"/>
    </row>
    <row r="2042" spans="4:20" x14ac:dyDescent="0.2">
      <c r="D2042" s="6"/>
      <c r="E2042" s="6"/>
      <c r="F2042" s="6"/>
      <c r="G2042" s="19"/>
      <c r="H2042" s="19"/>
      <c r="I2042" s="19"/>
      <c r="J2042" s="19"/>
      <c r="K2042" s="6"/>
      <c r="L2042" s="6"/>
      <c r="M2042" s="6"/>
      <c r="N2042" s="6"/>
      <c r="O2042" s="6"/>
      <c r="P2042" s="6"/>
      <c r="Q2042" s="6"/>
      <c r="R2042" s="6"/>
      <c r="S2042" s="6"/>
      <c r="T2042" s="6"/>
    </row>
    <row r="2043" spans="4:20" x14ac:dyDescent="0.2">
      <c r="D2043" s="6"/>
      <c r="E2043" s="6"/>
      <c r="F2043" s="6"/>
      <c r="G2043" s="19"/>
      <c r="H2043" s="19"/>
      <c r="I2043" s="19"/>
      <c r="J2043" s="19"/>
      <c r="K2043" s="6"/>
      <c r="L2043" s="6"/>
      <c r="M2043" s="6"/>
      <c r="N2043" s="6"/>
      <c r="O2043" s="6"/>
      <c r="P2043" s="6"/>
      <c r="Q2043" s="6"/>
      <c r="R2043" s="6"/>
      <c r="S2043" s="6"/>
      <c r="T2043" s="6"/>
    </row>
    <row r="2044" spans="4:20" x14ac:dyDescent="0.2">
      <c r="D2044" s="6"/>
      <c r="E2044" s="6"/>
      <c r="F2044" s="6"/>
      <c r="G2044" s="19"/>
      <c r="H2044" s="19"/>
      <c r="I2044" s="19"/>
      <c r="J2044" s="19"/>
      <c r="K2044" s="6"/>
      <c r="L2044" s="6"/>
      <c r="M2044" s="6"/>
      <c r="N2044" s="6"/>
      <c r="O2044" s="6"/>
      <c r="P2044" s="6"/>
      <c r="Q2044" s="6"/>
      <c r="R2044" s="6"/>
      <c r="S2044" s="6"/>
      <c r="T2044" s="6"/>
    </row>
    <row r="2045" spans="4:20" x14ac:dyDescent="0.2">
      <c r="D2045" s="6"/>
      <c r="E2045" s="6"/>
      <c r="F2045" s="6"/>
      <c r="G2045" s="19"/>
      <c r="H2045" s="19"/>
      <c r="I2045" s="19"/>
      <c r="J2045" s="19"/>
      <c r="K2045" s="6"/>
      <c r="L2045" s="6"/>
      <c r="M2045" s="6"/>
      <c r="N2045" s="6"/>
      <c r="O2045" s="6"/>
      <c r="P2045" s="6"/>
      <c r="Q2045" s="6"/>
      <c r="R2045" s="6"/>
      <c r="S2045" s="6"/>
      <c r="T2045" s="6"/>
    </row>
    <row r="2046" spans="4:20" x14ac:dyDescent="0.2">
      <c r="D2046" s="6"/>
      <c r="E2046" s="6"/>
      <c r="F2046" s="6"/>
      <c r="G2046" s="19"/>
      <c r="H2046" s="19"/>
      <c r="I2046" s="19"/>
      <c r="J2046" s="19"/>
      <c r="K2046" s="6"/>
      <c r="L2046" s="6"/>
      <c r="M2046" s="6"/>
      <c r="N2046" s="6"/>
      <c r="O2046" s="6"/>
      <c r="P2046" s="6"/>
      <c r="Q2046" s="6"/>
      <c r="R2046" s="6"/>
      <c r="S2046" s="6"/>
      <c r="T2046" s="6"/>
    </row>
    <row r="2047" spans="4:20" x14ac:dyDescent="0.2">
      <c r="D2047" s="6"/>
      <c r="E2047" s="6"/>
      <c r="F2047" s="6"/>
      <c r="G2047" s="19"/>
      <c r="H2047" s="19"/>
      <c r="I2047" s="19"/>
      <c r="J2047" s="19"/>
      <c r="K2047" s="6"/>
      <c r="L2047" s="6"/>
      <c r="M2047" s="6"/>
      <c r="N2047" s="6"/>
      <c r="O2047" s="6"/>
      <c r="P2047" s="6"/>
      <c r="Q2047" s="6"/>
      <c r="R2047" s="6"/>
      <c r="S2047" s="6"/>
      <c r="T2047" s="6"/>
    </row>
    <row r="2048" spans="4:20" x14ac:dyDescent="0.2">
      <c r="D2048" s="6"/>
      <c r="E2048" s="6"/>
      <c r="F2048" s="6"/>
      <c r="G2048" s="19"/>
      <c r="H2048" s="19"/>
      <c r="I2048" s="19"/>
      <c r="J2048" s="19"/>
      <c r="K2048" s="6"/>
      <c r="L2048" s="6"/>
      <c r="M2048" s="6"/>
      <c r="N2048" s="6"/>
      <c r="O2048" s="6"/>
      <c r="P2048" s="6"/>
      <c r="Q2048" s="6"/>
      <c r="R2048" s="6"/>
      <c r="S2048" s="6"/>
      <c r="T2048" s="6"/>
    </row>
    <row r="2049" spans="4:20" x14ac:dyDescent="0.2">
      <c r="D2049" s="6"/>
      <c r="E2049" s="6"/>
      <c r="F2049" s="6"/>
      <c r="G2049" s="19"/>
      <c r="H2049" s="19"/>
      <c r="I2049" s="19"/>
      <c r="J2049" s="19"/>
      <c r="K2049" s="6"/>
      <c r="L2049" s="6"/>
      <c r="M2049" s="6"/>
      <c r="N2049" s="6"/>
      <c r="O2049" s="6"/>
      <c r="P2049" s="6"/>
      <c r="Q2049" s="6"/>
      <c r="R2049" s="6"/>
      <c r="S2049" s="6"/>
      <c r="T2049" s="6"/>
    </row>
    <row r="2050" spans="4:20" x14ac:dyDescent="0.2">
      <c r="D2050" s="6"/>
      <c r="E2050" s="6"/>
      <c r="F2050" s="6"/>
      <c r="G2050" s="19"/>
      <c r="H2050" s="19"/>
      <c r="I2050" s="19"/>
      <c r="J2050" s="19"/>
      <c r="K2050" s="6"/>
      <c r="L2050" s="6"/>
      <c r="M2050" s="6"/>
      <c r="N2050" s="6"/>
      <c r="O2050" s="6"/>
      <c r="P2050" s="6"/>
      <c r="Q2050" s="6"/>
      <c r="R2050" s="6"/>
      <c r="S2050" s="6"/>
      <c r="T2050" s="6"/>
    </row>
    <row r="2051" spans="4:20" x14ac:dyDescent="0.2">
      <c r="D2051" s="6"/>
      <c r="E2051" s="6"/>
      <c r="F2051" s="6"/>
      <c r="G2051" s="19"/>
      <c r="H2051" s="19"/>
      <c r="I2051" s="19"/>
      <c r="J2051" s="19"/>
      <c r="K2051" s="6"/>
      <c r="L2051" s="6"/>
      <c r="M2051" s="6"/>
      <c r="N2051" s="6"/>
      <c r="O2051" s="6"/>
      <c r="P2051" s="6"/>
      <c r="Q2051" s="6"/>
      <c r="R2051" s="6"/>
      <c r="S2051" s="6"/>
      <c r="T2051" s="6"/>
    </row>
    <row r="2052" spans="4:20" x14ac:dyDescent="0.2">
      <c r="D2052" s="6"/>
      <c r="E2052" s="6"/>
      <c r="F2052" s="6"/>
      <c r="G2052" s="19"/>
      <c r="H2052" s="19"/>
      <c r="I2052" s="19"/>
      <c r="J2052" s="19"/>
      <c r="K2052" s="6"/>
      <c r="L2052" s="6"/>
      <c r="M2052" s="6"/>
      <c r="N2052" s="6"/>
      <c r="O2052" s="6"/>
      <c r="P2052" s="6"/>
      <c r="Q2052" s="6"/>
      <c r="R2052" s="6"/>
      <c r="S2052" s="6"/>
      <c r="T2052" s="6"/>
    </row>
    <row r="2053" spans="4:20" x14ac:dyDescent="0.2">
      <c r="D2053" s="6"/>
      <c r="E2053" s="6"/>
      <c r="F2053" s="6"/>
      <c r="G2053" s="19"/>
      <c r="H2053" s="19"/>
      <c r="I2053" s="19"/>
      <c r="J2053" s="19"/>
      <c r="K2053" s="6"/>
      <c r="L2053" s="6"/>
      <c r="M2053" s="6"/>
      <c r="N2053" s="6"/>
      <c r="O2053" s="6"/>
      <c r="P2053" s="6"/>
      <c r="Q2053" s="6"/>
      <c r="R2053" s="6"/>
      <c r="S2053" s="6"/>
      <c r="T2053" s="6"/>
    </row>
    <row r="2054" spans="4:20" x14ac:dyDescent="0.2">
      <c r="D2054" s="6"/>
      <c r="E2054" s="6"/>
      <c r="F2054" s="6"/>
      <c r="G2054" s="19"/>
      <c r="H2054" s="19"/>
      <c r="I2054" s="19"/>
      <c r="J2054" s="19"/>
      <c r="K2054" s="6"/>
      <c r="L2054" s="6"/>
      <c r="M2054" s="6"/>
      <c r="N2054" s="6"/>
      <c r="O2054" s="6"/>
      <c r="P2054" s="6"/>
      <c r="Q2054" s="6"/>
      <c r="R2054" s="6"/>
      <c r="S2054" s="6"/>
      <c r="T2054" s="6"/>
    </row>
    <row r="2055" spans="4:20" x14ac:dyDescent="0.2">
      <c r="D2055" s="6"/>
      <c r="E2055" s="6"/>
      <c r="F2055" s="6"/>
      <c r="G2055" s="19"/>
      <c r="H2055" s="19"/>
      <c r="I2055" s="19"/>
      <c r="J2055" s="19"/>
      <c r="K2055" s="6"/>
      <c r="L2055" s="6"/>
      <c r="M2055" s="6"/>
      <c r="N2055" s="6"/>
      <c r="O2055" s="6"/>
      <c r="P2055" s="6"/>
      <c r="Q2055" s="6"/>
      <c r="R2055" s="6"/>
      <c r="S2055" s="6"/>
      <c r="T2055" s="6"/>
    </row>
    <row r="2056" spans="4:20" x14ac:dyDescent="0.2">
      <c r="D2056" s="6"/>
      <c r="E2056" s="6"/>
      <c r="F2056" s="6"/>
      <c r="G2056" s="19"/>
      <c r="H2056" s="19"/>
      <c r="I2056" s="19"/>
      <c r="J2056" s="19"/>
      <c r="K2056" s="6"/>
      <c r="L2056" s="6"/>
      <c r="M2056" s="6"/>
      <c r="N2056" s="6"/>
      <c r="O2056" s="6"/>
      <c r="P2056" s="6"/>
      <c r="Q2056" s="6"/>
      <c r="R2056" s="6"/>
      <c r="S2056" s="6"/>
      <c r="T2056" s="6"/>
    </row>
    <row r="2057" spans="4:20" x14ac:dyDescent="0.2">
      <c r="D2057" s="6"/>
      <c r="E2057" s="6"/>
      <c r="F2057" s="6"/>
      <c r="G2057" s="19"/>
      <c r="H2057" s="19"/>
      <c r="I2057" s="19"/>
      <c r="J2057" s="19"/>
      <c r="K2057" s="6"/>
      <c r="L2057" s="6"/>
      <c r="M2057" s="6"/>
      <c r="N2057" s="6"/>
      <c r="O2057" s="6"/>
      <c r="P2057" s="6"/>
      <c r="Q2057" s="6"/>
      <c r="R2057" s="6"/>
      <c r="S2057" s="6"/>
      <c r="T2057" s="6"/>
    </row>
    <row r="2058" spans="4:20" x14ac:dyDescent="0.2">
      <c r="D2058" s="6"/>
      <c r="E2058" s="6"/>
      <c r="F2058" s="6"/>
      <c r="G2058" s="19"/>
      <c r="H2058" s="19"/>
      <c r="I2058" s="19"/>
      <c r="J2058" s="19"/>
      <c r="K2058" s="6"/>
      <c r="L2058" s="6"/>
      <c r="M2058" s="6"/>
      <c r="N2058" s="6"/>
      <c r="O2058" s="6"/>
      <c r="P2058" s="6"/>
      <c r="Q2058" s="6"/>
      <c r="R2058" s="6"/>
      <c r="S2058" s="6"/>
      <c r="T2058" s="6"/>
    </row>
    <row r="2059" spans="4:20" x14ac:dyDescent="0.2">
      <c r="D2059" s="6"/>
      <c r="E2059" s="6"/>
      <c r="F2059" s="6"/>
      <c r="G2059" s="19"/>
      <c r="H2059" s="19"/>
      <c r="I2059" s="19"/>
      <c r="J2059" s="19"/>
      <c r="K2059" s="6"/>
      <c r="L2059" s="6"/>
      <c r="M2059" s="6"/>
      <c r="N2059" s="6"/>
      <c r="O2059" s="6"/>
      <c r="P2059" s="6"/>
      <c r="Q2059" s="6"/>
      <c r="R2059" s="6"/>
      <c r="S2059" s="6"/>
      <c r="T2059" s="6"/>
    </row>
    <row r="2060" spans="4:20" x14ac:dyDescent="0.2">
      <c r="D2060" s="6"/>
      <c r="E2060" s="6"/>
      <c r="F2060" s="6"/>
      <c r="G2060" s="19"/>
      <c r="H2060" s="19"/>
      <c r="I2060" s="19"/>
      <c r="J2060" s="19"/>
      <c r="K2060" s="6"/>
      <c r="L2060" s="6"/>
      <c r="M2060" s="6"/>
      <c r="N2060" s="6"/>
      <c r="O2060" s="6"/>
      <c r="P2060" s="6"/>
      <c r="Q2060" s="6"/>
      <c r="R2060" s="6"/>
      <c r="S2060" s="6"/>
      <c r="T2060" s="6"/>
    </row>
    <row r="2061" spans="4:20" x14ac:dyDescent="0.2">
      <c r="D2061" s="6"/>
      <c r="E2061" s="6"/>
      <c r="F2061" s="6"/>
      <c r="G2061" s="19"/>
      <c r="H2061" s="19"/>
      <c r="I2061" s="19"/>
      <c r="J2061" s="19"/>
      <c r="K2061" s="6"/>
      <c r="L2061" s="6"/>
      <c r="M2061" s="6"/>
      <c r="N2061" s="6"/>
      <c r="O2061" s="6"/>
      <c r="P2061" s="6"/>
      <c r="Q2061" s="6"/>
      <c r="R2061" s="6"/>
      <c r="S2061" s="6"/>
      <c r="T2061" s="6"/>
    </row>
    <row r="2062" spans="4:20" x14ac:dyDescent="0.2">
      <c r="D2062" s="6"/>
      <c r="E2062" s="6"/>
      <c r="F2062" s="6"/>
      <c r="G2062" s="19"/>
      <c r="H2062" s="19"/>
      <c r="I2062" s="19"/>
      <c r="J2062" s="19"/>
      <c r="K2062" s="6"/>
      <c r="L2062" s="6"/>
      <c r="M2062" s="6"/>
      <c r="N2062" s="6"/>
      <c r="O2062" s="6"/>
      <c r="P2062" s="6"/>
      <c r="Q2062" s="6"/>
      <c r="R2062" s="6"/>
      <c r="S2062" s="6"/>
      <c r="T2062" s="6"/>
    </row>
    <row r="2063" spans="4:20" x14ac:dyDescent="0.2">
      <c r="D2063" s="6"/>
      <c r="E2063" s="6"/>
      <c r="F2063" s="6"/>
      <c r="G2063" s="19"/>
      <c r="H2063" s="19"/>
      <c r="I2063" s="19"/>
      <c r="J2063" s="19"/>
      <c r="K2063" s="6"/>
      <c r="L2063" s="6"/>
      <c r="M2063" s="6"/>
      <c r="N2063" s="6"/>
      <c r="O2063" s="6"/>
      <c r="P2063" s="6"/>
      <c r="Q2063" s="6"/>
      <c r="R2063" s="6"/>
      <c r="S2063" s="6"/>
      <c r="T2063" s="6"/>
    </row>
    <row r="2064" spans="4:20" x14ac:dyDescent="0.2">
      <c r="D2064" s="6"/>
      <c r="E2064" s="6"/>
      <c r="F2064" s="6"/>
      <c r="G2064" s="19"/>
      <c r="H2064" s="19"/>
      <c r="I2064" s="19"/>
      <c r="J2064" s="19"/>
      <c r="K2064" s="6"/>
      <c r="L2064" s="6"/>
      <c r="M2064" s="6"/>
      <c r="N2064" s="6"/>
      <c r="O2064" s="6"/>
      <c r="P2064" s="6"/>
      <c r="Q2064" s="6"/>
      <c r="R2064" s="6"/>
      <c r="S2064" s="6"/>
      <c r="T2064" s="6"/>
    </row>
    <row r="2065" spans="4:20" x14ac:dyDescent="0.2">
      <c r="D2065" s="6"/>
      <c r="E2065" s="6"/>
      <c r="F2065" s="6"/>
      <c r="G2065" s="19"/>
      <c r="H2065" s="19"/>
      <c r="I2065" s="19"/>
      <c r="J2065" s="19"/>
      <c r="K2065" s="6"/>
      <c r="L2065" s="6"/>
      <c r="M2065" s="6"/>
      <c r="N2065" s="6"/>
      <c r="O2065" s="6"/>
      <c r="P2065" s="6"/>
      <c r="Q2065" s="6"/>
      <c r="R2065" s="6"/>
      <c r="S2065" s="6"/>
      <c r="T2065" s="6"/>
    </row>
    <row r="2066" spans="4:20" x14ac:dyDescent="0.2">
      <c r="D2066" s="6"/>
      <c r="E2066" s="6"/>
      <c r="F2066" s="6"/>
      <c r="G2066" s="19"/>
      <c r="H2066" s="19"/>
      <c r="I2066" s="19"/>
      <c r="J2066" s="19"/>
      <c r="K2066" s="6"/>
      <c r="L2066" s="6"/>
      <c r="M2066" s="6"/>
      <c r="N2066" s="6"/>
      <c r="O2066" s="6"/>
      <c r="P2066" s="6"/>
      <c r="Q2066" s="6"/>
      <c r="R2066" s="6"/>
      <c r="S2066" s="6"/>
      <c r="T2066" s="6"/>
    </row>
    <row r="2067" spans="4:20" x14ac:dyDescent="0.2">
      <c r="D2067" s="6"/>
      <c r="E2067" s="6"/>
      <c r="F2067" s="6"/>
      <c r="G2067" s="19"/>
      <c r="H2067" s="19"/>
      <c r="I2067" s="19"/>
      <c r="J2067" s="19"/>
      <c r="K2067" s="6"/>
      <c r="L2067" s="6"/>
      <c r="M2067" s="6"/>
      <c r="N2067" s="6"/>
      <c r="O2067" s="6"/>
      <c r="P2067" s="6"/>
      <c r="Q2067" s="6"/>
      <c r="R2067" s="6"/>
      <c r="S2067" s="6"/>
      <c r="T2067" s="6"/>
    </row>
    <row r="2068" spans="4:20" x14ac:dyDescent="0.2">
      <c r="D2068" s="6"/>
      <c r="E2068" s="6"/>
      <c r="F2068" s="6"/>
      <c r="G2068" s="19"/>
      <c r="H2068" s="19"/>
      <c r="I2068" s="19"/>
      <c r="J2068" s="19"/>
      <c r="K2068" s="6"/>
      <c r="L2068" s="6"/>
      <c r="M2068" s="6"/>
      <c r="N2068" s="6"/>
      <c r="O2068" s="6"/>
      <c r="P2068" s="6"/>
      <c r="Q2068" s="6"/>
      <c r="R2068" s="6"/>
      <c r="S2068" s="6"/>
      <c r="T2068" s="6"/>
    </row>
    <row r="2069" spans="4:20" x14ac:dyDescent="0.2">
      <c r="D2069" s="6"/>
      <c r="E2069" s="6"/>
      <c r="F2069" s="6"/>
      <c r="G2069" s="19"/>
      <c r="H2069" s="19"/>
      <c r="I2069" s="19"/>
      <c r="J2069" s="19"/>
      <c r="K2069" s="6"/>
      <c r="L2069" s="6"/>
      <c r="M2069" s="6"/>
      <c r="N2069" s="6"/>
      <c r="O2069" s="6"/>
      <c r="P2069" s="6"/>
      <c r="Q2069" s="6"/>
      <c r="R2069" s="6"/>
      <c r="S2069" s="6"/>
      <c r="T2069" s="6"/>
    </row>
    <row r="2070" spans="4:20" x14ac:dyDescent="0.2">
      <c r="D2070" s="6"/>
      <c r="E2070" s="6"/>
      <c r="F2070" s="6"/>
      <c r="G2070" s="19"/>
      <c r="H2070" s="19"/>
      <c r="I2070" s="19"/>
      <c r="J2070" s="19"/>
      <c r="K2070" s="6"/>
      <c r="L2070" s="6"/>
      <c r="M2070" s="6"/>
      <c r="N2070" s="6"/>
      <c r="O2070" s="6"/>
      <c r="P2070" s="6"/>
      <c r="Q2070" s="6"/>
      <c r="R2070" s="6"/>
      <c r="S2070" s="6"/>
      <c r="T2070" s="6"/>
    </row>
    <row r="2071" spans="4:20" x14ac:dyDescent="0.2">
      <c r="D2071" s="6"/>
      <c r="E2071" s="6"/>
      <c r="F2071" s="6"/>
      <c r="G2071" s="19"/>
      <c r="H2071" s="19"/>
      <c r="I2071" s="19"/>
      <c r="J2071" s="19"/>
      <c r="K2071" s="6"/>
      <c r="L2071" s="6"/>
      <c r="M2071" s="6"/>
      <c r="N2071" s="6"/>
      <c r="O2071" s="6"/>
      <c r="P2071" s="6"/>
      <c r="Q2071" s="6"/>
      <c r="R2071" s="6"/>
      <c r="S2071" s="6"/>
      <c r="T2071" s="6"/>
    </row>
    <row r="2072" spans="4:20" x14ac:dyDescent="0.2">
      <c r="D2072" s="6"/>
      <c r="E2072" s="6"/>
      <c r="F2072" s="6"/>
      <c r="G2072" s="19"/>
      <c r="H2072" s="19"/>
      <c r="I2072" s="19"/>
      <c r="J2072" s="19"/>
      <c r="K2072" s="6"/>
      <c r="L2072" s="6"/>
      <c r="M2072" s="6"/>
      <c r="N2072" s="6"/>
      <c r="O2072" s="6"/>
      <c r="P2072" s="6"/>
      <c r="Q2072" s="6"/>
      <c r="R2072" s="6"/>
      <c r="S2072" s="6"/>
      <c r="T2072" s="6"/>
    </row>
    <row r="2073" spans="4:20" x14ac:dyDescent="0.2">
      <c r="D2073" s="6"/>
      <c r="E2073" s="6"/>
      <c r="F2073" s="6"/>
      <c r="G2073" s="19"/>
      <c r="H2073" s="19"/>
      <c r="I2073" s="19"/>
      <c r="J2073" s="19"/>
      <c r="K2073" s="6"/>
      <c r="L2073" s="6"/>
      <c r="M2073" s="6"/>
      <c r="N2073" s="6"/>
      <c r="O2073" s="6"/>
      <c r="P2073" s="6"/>
      <c r="Q2073" s="6"/>
      <c r="R2073" s="6"/>
      <c r="S2073" s="6"/>
      <c r="T2073" s="6"/>
    </row>
    <row r="2074" spans="4:20" x14ac:dyDescent="0.2">
      <c r="D2074" s="6"/>
      <c r="E2074" s="6"/>
      <c r="F2074" s="6"/>
      <c r="G2074" s="19"/>
      <c r="H2074" s="19"/>
      <c r="I2074" s="19"/>
      <c r="J2074" s="19"/>
      <c r="K2074" s="6"/>
      <c r="L2074" s="6"/>
      <c r="M2074" s="6"/>
      <c r="N2074" s="6"/>
      <c r="O2074" s="6"/>
      <c r="P2074" s="6"/>
      <c r="Q2074" s="6"/>
      <c r="R2074" s="6"/>
      <c r="S2074" s="6"/>
      <c r="T2074" s="6"/>
    </row>
    <row r="2075" spans="4:20" x14ac:dyDescent="0.2">
      <c r="D2075" s="6"/>
      <c r="E2075" s="6"/>
      <c r="F2075" s="6"/>
      <c r="G2075" s="19"/>
      <c r="H2075" s="19"/>
      <c r="I2075" s="19"/>
      <c r="J2075" s="19"/>
      <c r="K2075" s="6"/>
      <c r="L2075" s="6"/>
      <c r="M2075" s="6"/>
      <c r="N2075" s="6"/>
      <c r="O2075" s="6"/>
      <c r="P2075" s="6"/>
      <c r="Q2075" s="6"/>
      <c r="R2075" s="6"/>
      <c r="S2075" s="6"/>
      <c r="T2075" s="6"/>
    </row>
    <row r="2076" spans="4:20" x14ac:dyDescent="0.2">
      <c r="D2076" s="6"/>
      <c r="E2076" s="6"/>
      <c r="F2076" s="6"/>
      <c r="G2076" s="19"/>
      <c r="H2076" s="19"/>
      <c r="I2076" s="19"/>
      <c r="J2076" s="19"/>
      <c r="K2076" s="6"/>
      <c r="L2076" s="6"/>
      <c r="M2076" s="6"/>
      <c r="N2076" s="6"/>
      <c r="O2076" s="6"/>
      <c r="P2076" s="6"/>
      <c r="Q2076" s="6"/>
      <c r="R2076" s="6"/>
      <c r="S2076" s="6"/>
      <c r="T2076" s="6"/>
    </row>
    <row r="2077" spans="4:20" x14ac:dyDescent="0.2">
      <c r="D2077" s="6"/>
      <c r="E2077" s="6"/>
      <c r="F2077" s="6"/>
      <c r="G2077" s="19"/>
      <c r="H2077" s="19"/>
      <c r="I2077" s="19"/>
      <c r="J2077" s="19"/>
      <c r="K2077" s="6"/>
      <c r="L2077" s="6"/>
      <c r="M2077" s="6"/>
      <c r="N2077" s="6"/>
      <c r="O2077" s="6"/>
      <c r="P2077" s="6"/>
      <c r="Q2077" s="6"/>
      <c r="R2077" s="6"/>
      <c r="S2077" s="6"/>
      <c r="T2077" s="6"/>
    </row>
    <row r="2078" spans="4:20" x14ac:dyDescent="0.2">
      <c r="D2078" s="6"/>
      <c r="E2078" s="6"/>
      <c r="F2078" s="6"/>
      <c r="G2078" s="19"/>
      <c r="H2078" s="19"/>
      <c r="I2078" s="19"/>
      <c r="J2078" s="19"/>
      <c r="K2078" s="6"/>
      <c r="L2078" s="6"/>
      <c r="M2078" s="6"/>
      <c r="N2078" s="6"/>
      <c r="O2078" s="6"/>
      <c r="P2078" s="6"/>
      <c r="Q2078" s="6"/>
      <c r="R2078" s="6"/>
      <c r="S2078" s="6"/>
      <c r="T2078" s="6"/>
    </row>
    <row r="2079" spans="4:20" x14ac:dyDescent="0.2">
      <c r="D2079" s="6"/>
      <c r="E2079" s="6"/>
      <c r="F2079" s="6"/>
      <c r="G2079" s="19"/>
      <c r="H2079" s="19"/>
      <c r="I2079" s="19"/>
      <c r="J2079" s="19"/>
      <c r="K2079" s="6"/>
      <c r="L2079" s="6"/>
      <c r="M2079" s="6"/>
      <c r="N2079" s="6"/>
      <c r="O2079" s="6"/>
      <c r="P2079" s="6"/>
      <c r="Q2079" s="6"/>
      <c r="R2079" s="6"/>
      <c r="S2079" s="6"/>
      <c r="T2079" s="6"/>
    </row>
    <row r="2080" spans="4:20" x14ac:dyDescent="0.2">
      <c r="D2080" s="6"/>
      <c r="E2080" s="6"/>
      <c r="F2080" s="6"/>
      <c r="G2080" s="19"/>
      <c r="H2080" s="19"/>
      <c r="I2080" s="19"/>
      <c r="J2080" s="19"/>
      <c r="K2080" s="6"/>
      <c r="L2080" s="6"/>
      <c r="M2080" s="6"/>
      <c r="N2080" s="6"/>
      <c r="O2080" s="6"/>
      <c r="P2080" s="6"/>
      <c r="Q2080" s="6"/>
      <c r="R2080" s="6"/>
      <c r="S2080" s="6"/>
      <c r="T2080" s="6"/>
    </row>
    <row r="2081" spans="4:20" x14ac:dyDescent="0.2">
      <c r="D2081" s="6"/>
      <c r="E2081" s="6"/>
      <c r="F2081" s="6"/>
      <c r="G2081" s="19"/>
      <c r="H2081" s="19"/>
      <c r="I2081" s="19"/>
      <c r="J2081" s="19"/>
      <c r="K2081" s="6"/>
      <c r="L2081" s="6"/>
      <c r="M2081" s="6"/>
      <c r="N2081" s="6"/>
      <c r="O2081" s="6"/>
      <c r="P2081" s="6"/>
      <c r="Q2081" s="6"/>
      <c r="R2081" s="6"/>
      <c r="S2081" s="6"/>
      <c r="T2081" s="6"/>
    </row>
    <row r="2082" spans="4:20" x14ac:dyDescent="0.2">
      <c r="D2082" s="6"/>
      <c r="E2082" s="6"/>
      <c r="F2082" s="6"/>
      <c r="G2082" s="19"/>
      <c r="H2082" s="19"/>
      <c r="I2082" s="19"/>
      <c r="J2082" s="19"/>
      <c r="K2082" s="6"/>
      <c r="L2082" s="6"/>
      <c r="M2082" s="6"/>
      <c r="N2082" s="6"/>
      <c r="O2082" s="6"/>
      <c r="P2082" s="6"/>
      <c r="Q2082" s="6"/>
      <c r="R2082" s="6"/>
      <c r="S2082" s="6"/>
      <c r="T2082" s="6"/>
    </row>
    <row r="2083" spans="4:20" x14ac:dyDescent="0.2">
      <c r="D2083" s="6"/>
      <c r="E2083" s="6"/>
      <c r="F2083" s="6"/>
      <c r="G2083" s="19"/>
      <c r="H2083" s="19"/>
      <c r="I2083" s="19"/>
      <c r="J2083" s="19"/>
      <c r="K2083" s="6"/>
      <c r="L2083" s="6"/>
      <c r="M2083" s="6"/>
      <c r="N2083" s="6"/>
      <c r="O2083" s="6"/>
      <c r="P2083" s="6"/>
      <c r="Q2083" s="6"/>
      <c r="R2083" s="6"/>
      <c r="S2083" s="6"/>
      <c r="T2083" s="6"/>
    </row>
    <row r="2084" spans="4:20" x14ac:dyDescent="0.2">
      <c r="D2084" s="6"/>
      <c r="E2084" s="6"/>
      <c r="F2084" s="6"/>
      <c r="G2084" s="19"/>
      <c r="H2084" s="19"/>
      <c r="I2084" s="19"/>
      <c r="J2084" s="19"/>
      <c r="K2084" s="6"/>
      <c r="L2084" s="6"/>
      <c r="M2084" s="6"/>
      <c r="N2084" s="6"/>
      <c r="O2084" s="6"/>
      <c r="P2084" s="6"/>
      <c r="Q2084" s="6"/>
      <c r="R2084" s="6"/>
      <c r="S2084" s="6"/>
      <c r="T2084" s="6"/>
    </row>
    <row r="2085" spans="4:20" x14ac:dyDescent="0.2">
      <c r="D2085" s="6"/>
      <c r="E2085" s="6"/>
      <c r="F2085" s="6"/>
      <c r="G2085" s="19"/>
      <c r="H2085" s="19"/>
      <c r="I2085" s="19"/>
      <c r="J2085" s="19"/>
      <c r="K2085" s="6"/>
      <c r="L2085" s="6"/>
      <c r="M2085" s="6"/>
      <c r="N2085" s="6"/>
      <c r="O2085" s="6"/>
      <c r="P2085" s="6"/>
      <c r="Q2085" s="6"/>
      <c r="R2085" s="6"/>
      <c r="S2085" s="6"/>
      <c r="T2085" s="6"/>
    </row>
    <row r="2086" spans="4:20" x14ac:dyDescent="0.2">
      <c r="D2086" s="6"/>
      <c r="E2086" s="6"/>
      <c r="F2086" s="6"/>
      <c r="G2086" s="19"/>
      <c r="H2086" s="19"/>
      <c r="I2086" s="19"/>
      <c r="J2086" s="19"/>
      <c r="K2086" s="6"/>
      <c r="L2086" s="6"/>
      <c r="M2086" s="6"/>
      <c r="N2086" s="6"/>
      <c r="O2086" s="6"/>
      <c r="P2086" s="6"/>
      <c r="Q2086" s="6"/>
      <c r="R2086" s="6"/>
      <c r="S2086" s="6"/>
      <c r="T2086" s="6"/>
    </row>
    <row r="2087" spans="4:20" x14ac:dyDescent="0.2">
      <c r="D2087" s="6"/>
      <c r="E2087" s="6"/>
      <c r="F2087" s="6"/>
      <c r="G2087" s="19"/>
      <c r="H2087" s="19"/>
      <c r="I2087" s="19"/>
      <c r="J2087" s="19"/>
      <c r="K2087" s="6"/>
      <c r="L2087" s="6"/>
      <c r="M2087" s="6"/>
      <c r="N2087" s="6"/>
      <c r="O2087" s="6"/>
      <c r="P2087" s="6"/>
      <c r="Q2087" s="6"/>
      <c r="R2087" s="6"/>
      <c r="S2087" s="6"/>
      <c r="T2087" s="6"/>
    </row>
    <row r="2088" spans="4:20" x14ac:dyDescent="0.2">
      <c r="D2088" s="6"/>
      <c r="E2088" s="6"/>
      <c r="F2088" s="6"/>
      <c r="G2088" s="19"/>
      <c r="H2088" s="19"/>
      <c r="I2088" s="19"/>
      <c r="J2088" s="19"/>
      <c r="K2088" s="6"/>
      <c r="L2088" s="6"/>
      <c r="M2088" s="6"/>
      <c r="N2088" s="6"/>
      <c r="O2088" s="6"/>
      <c r="P2088" s="6"/>
      <c r="Q2088" s="6"/>
      <c r="R2088" s="6"/>
      <c r="S2088" s="6"/>
      <c r="T2088" s="6"/>
    </row>
    <row r="2089" spans="4:20" x14ac:dyDescent="0.2">
      <c r="D2089" s="6"/>
      <c r="E2089" s="6"/>
      <c r="F2089" s="6"/>
      <c r="G2089" s="19"/>
      <c r="H2089" s="19"/>
      <c r="I2089" s="19"/>
      <c r="J2089" s="19"/>
      <c r="K2089" s="6"/>
      <c r="L2089" s="6"/>
      <c r="M2089" s="6"/>
      <c r="N2089" s="6"/>
      <c r="O2089" s="6"/>
      <c r="P2089" s="6"/>
      <c r="Q2089" s="6"/>
      <c r="R2089" s="6"/>
      <c r="S2089" s="6"/>
      <c r="T2089" s="6"/>
    </row>
    <row r="2090" spans="4:20" x14ac:dyDescent="0.2">
      <c r="D2090" s="6"/>
      <c r="E2090" s="6"/>
      <c r="F2090" s="6"/>
      <c r="G2090" s="19"/>
      <c r="H2090" s="19"/>
      <c r="I2090" s="19"/>
      <c r="J2090" s="19"/>
      <c r="K2090" s="6"/>
      <c r="L2090" s="6"/>
      <c r="M2090" s="6"/>
      <c r="N2090" s="6"/>
      <c r="O2090" s="6"/>
      <c r="P2090" s="6"/>
      <c r="Q2090" s="6"/>
      <c r="R2090" s="6"/>
      <c r="S2090" s="6"/>
      <c r="T2090" s="6"/>
    </row>
    <row r="2091" spans="4:20" x14ac:dyDescent="0.2">
      <c r="D2091" s="6"/>
      <c r="E2091" s="6"/>
      <c r="F2091" s="6"/>
      <c r="G2091" s="19"/>
      <c r="H2091" s="19"/>
      <c r="I2091" s="19"/>
      <c r="J2091" s="19"/>
      <c r="K2091" s="6"/>
      <c r="L2091" s="6"/>
      <c r="M2091" s="6"/>
      <c r="N2091" s="6"/>
      <c r="O2091" s="6"/>
      <c r="P2091" s="6"/>
      <c r="Q2091" s="6"/>
      <c r="R2091" s="6"/>
      <c r="S2091" s="6"/>
      <c r="T2091" s="6"/>
    </row>
    <row r="2092" spans="4:20" x14ac:dyDescent="0.2">
      <c r="D2092" s="6"/>
      <c r="E2092" s="6"/>
      <c r="F2092" s="6"/>
      <c r="G2092" s="19"/>
      <c r="H2092" s="19"/>
      <c r="I2092" s="19"/>
      <c r="J2092" s="19"/>
      <c r="K2092" s="6"/>
      <c r="L2092" s="6"/>
      <c r="M2092" s="6"/>
      <c r="N2092" s="6"/>
      <c r="O2092" s="6"/>
      <c r="P2092" s="6"/>
      <c r="Q2092" s="6"/>
      <c r="R2092" s="6"/>
      <c r="S2092" s="6"/>
      <c r="T2092" s="6"/>
    </row>
    <row r="2093" spans="4:20" x14ac:dyDescent="0.2">
      <c r="D2093" s="6"/>
      <c r="E2093" s="6"/>
      <c r="F2093" s="6"/>
      <c r="G2093" s="19"/>
      <c r="H2093" s="19"/>
      <c r="I2093" s="19"/>
      <c r="J2093" s="19"/>
      <c r="K2093" s="6"/>
      <c r="L2093" s="6"/>
      <c r="M2093" s="6"/>
      <c r="N2093" s="6"/>
      <c r="O2093" s="6"/>
      <c r="P2093" s="6"/>
      <c r="Q2093" s="6"/>
      <c r="R2093" s="6"/>
      <c r="S2093" s="6"/>
      <c r="T2093" s="6"/>
    </row>
    <row r="2094" spans="4:20" x14ac:dyDescent="0.2">
      <c r="D2094" s="6"/>
      <c r="E2094" s="6"/>
      <c r="F2094" s="6"/>
      <c r="G2094" s="19"/>
      <c r="H2094" s="19"/>
      <c r="I2094" s="19"/>
      <c r="J2094" s="19"/>
      <c r="K2094" s="6"/>
      <c r="L2094" s="6"/>
      <c r="M2094" s="6"/>
      <c r="N2094" s="6"/>
      <c r="O2094" s="6"/>
      <c r="P2094" s="6"/>
      <c r="Q2094" s="6"/>
      <c r="R2094" s="6"/>
      <c r="S2094" s="6"/>
      <c r="T2094" s="6"/>
    </row>
    <row r="2095" spans="4:20" x14ac:dyDescent="0.2">
      <c r="D2095" s="6"/>
      <c r="E2095" s="6"/>
      <c r="F2095" s="6"/>
      <c r="G2095" s="19"/>
      <c r="H2095" s="19"/>
      <c r="I2095" s="19"/>
      <c r="J2095" s="19"/>
      <c r="K2095" s="6"/>
      <c r="L2095" s="6"/>
      <c r="M2095" s="6"/>
      <c r="N2095" s="6"/>
      <c r="O2095" s="6"/>
      <c r="P2095" s="6"/>
      <c r="Q2095" s="6"/>
      <c r="R2095" s="6"/>
      <c r="S2095" s="6"/>
      <c r="T2095" s="6"/>
    </row>
    <row r="2096" spans="4:20" x14ac:dyDescent="0.2">
      <c r="D2096" s="6"/>
      <c r="E2096" s="6"/>
      <c r="F2096" s="6"/>
      <c r="G2096" s="19"/>
      <c r="H2096" s="19"/>
      <c r="I2096" s="19"/>
      <c r="J2096" s="19"/>
      <c r="K2096" s="6"/>
      <c r="L2096" s="6"/>
      <c r="M2096" s="6"/>
      <c r="N2096" s="6"/>
      <c r="O2096" s="6"/>
      <c r="P2096" s="6"/>
      <c r="Q2096" s="6"/>
      <c r="R2096" s="6"/>
      <c r="S2096" s="6"/>
      <c r="T2096" s="6"/>
    </row>
    <row r="2097" spans="4:20" x14ac:dyDescent="0.2">
      <c r="D2097" s="6"/>
      <c r="E2097" s="6"/>
      <c r="F2097" s="6"/>
      <c r="G2097" s="19"/>
      <c r="H2097" s="19"/>
      <c r="I2097" s="19"/>
      <c r="J2097" s="19"/>
      <c r="K2097" s="6"/>
      <c r="L2097" s="6"/>
      <c r="M2097" s="6"/>
      <c r="N2097" s="6"/>
      <c r="O2097" s="6"/>
      <c r="P2097" s="6"/>
      <c r="Q2097" s="6"/>
      <c r="R2097" s="6"/>
      <c r="S2097" s="6"/>
      <c r="T2097" s="6"/>
    </row>
    <row r="2098" spans="4:20" x14ac:dyDescent="0.2">
      <c r="D2098" s="6"/>
      <c r="E2098" s="6"/>
      <c r="F2098" s="6"/>
      <c r="G2098" s="19"/>
      <c r="H2098" s="19"/>
      <c r="I2098" s="19"/>
      <c r="J2098" s="19"/>
      <c r="K2098" s="6"/>
      <c r="L2098" s="6"/>
      <c r="M2098" s="6"/>
      <c r="N2098" s="6"/>
      <c r="O2098" s="6"/>
      <c r="P2098" s="6"/>
      <c r="Q2098" s="6"/>
      <c r="R2098" s="6"/>
      <c r="S2098" s="6"/>
      <c r="T2098" s="6"/>
    </row>
    <row r="2099" spans="4:20" x14ac:dyDescent="0.2">
      <c r="D2099" s="6"/>
      <c r="E2099" s="6"/>
      <c r="F2099" s="6"/>
      <c r="G2099" s="19"/>
      <c r="H2099" s="19"/>
      <c r="I2099" s="19"/>
      <c r="J2099" s="19"/>
      <c r="K2099" s="6"/>
      <c r="L2099" s="6"/>
      <c r="M2099" s="6"/>
      <c r="N2099" s="6"/>
      <c r="O2099" s="6"/>
      <c r="P2099" s="6"/>
      <c r="Q2099" s="6"/>
      <c r="R2099" s="6"/>
      <c r="S2099" s="6"/>
      <c r="T2099" s="6"/>
    </row>
    <row r="2100" spans="4:20" x14ac:dyDescent="0.2">
      <c r="D2100" s="6"/>
      <c r="E2100" s="6"/>
      <c r="F2100" s="6"/>
      <c r="G2100" s="19"/>
      <c r="H2100" s="19"/>
      <c r="I2100" s="19"/>
      <c r="J2100" s="19"/>
      <c r="K2100" s="6"/>
      <c r="L2100" s="6"/>
      <c r="M2100" s="6"/>
      <c r="N2100" s="6"/>
      <c r="O2100" s="6"/>
      <c r="P2100" s="6"/>
      <c r="Q2100" s="6"/>
      <c r="R2100" s="6"/>
      <c r="S2100" s="6"/>
      <c r="T2100" s="6"/>
    </row>
    <row r="2101" spans="4:20" x14ac:dyDescent="0.2">
      <c r="D2101" s="6"/>
      <c r="E2101" s="6"/>
      <c r="F2101" s="6"/>
      <c r="G2101" s="19"/>
      <c r="H2101" s="19"/>
      <c r="I2101" s="19"/>
      <c r="J2101" s="19"/>
      <c r="K2101" s="6"/>
      <c r="L2101" s="6"/>
      <c r="M2101" s="6"/>
      <c r="N2101" s="6"/>
      <c r="O2101" s="6"/>
      <c r="P2101" s="6"/>
      <c r="Q2101" s="6"/>
      <c r="R2101" s="6"/>
      <c r="S2101" s="6"/>
      <c r="T2101" s="6"/>
    </row>
    <row r="2102" spans="4:20" x14ac:dyDescent="0.2">
      <c r="D2102" s="6"/>
      <c r="E2102" s="6"/>
      <c r="F2102" s="6"/>
      <c r="G2102" s="19"/>
      <c r="H2102" s="19"/>
      <c r="I2102" s="19"/>
      <c r="J2102" s="19"/>
      <c r="K2102" s="6"/>
      <c r="L2102" s="6"/>
      <c r="M2102" s="6"/>
      <c r="N2102" s="6"/>
      <c r="O2102" s="6"/>
      <c r="P2102" s="6"/>
      <c r="Q2102" s="6"/>
      <c r="R2102" s="6"/>
      <c r="S2102" s="6"/>
      <c r="T2102" s="6"/>
    </row>
    <row r="2103" spans="4:20" x14ac:dyDescent="0.2">
      <c r="D2103" s="6"/>
      <c r="E2103" s="6"/>
      <c r="F2103" s="6"/>
      <c r="G2103" s="19"/>
      <c r="H2103" s="19"/>
      <c r="I2103" s="19"/>
      <c r="J2103" s="19"/>
      <c r="K2103" s="6"/>
      <c r="L2103" s="6"/>
      <c r="M2103" s="6"/>
      <c r="N2103" s="6"/>
      <c r="O2103" s="6"/>
      <c r="P2103" s="6"/>
      <c r="Q2103" s="6"/>
      <c r="R2103" s="6"/>
      <c r="S2103" s="6"/>
      <c r="T2103" s="6"/>
    </row>
    <row r="2104" spans="4:20" x14ac:dyDescent="0.2">
      <c r="D2104" s="6"/>
      <c r="E2104" s="6"/>
      <c r="F2104" s="6"/>
      <c r="G2104" s="19"/>
      <c r="H2104" s="19"/>
      <c r="I2104" s="19"/>
      <c r="J2104" s="19"/>
      <c r="K2104" s="6"/>
      <c r="L2104" s="6"/>
      <c r="M2104" s="6"/>
      <c r="N2104" s="6"/>
      <c r="O2104" s="6"/>
      <c r="P2104" s="6"/>
      <c r="Q2104" s="6"/>
      <c r="R2104" s="6"/>
      <c r="S2104" s="6"/>
      <c r="T2104" s="6"/>
    </row>
    <row r="2105" spans="4:20" x14ac:dyDescent="0.2">
      <c r="D2105" s="6"/>
      <c r="E2105" s="6"/>
      <c r="F2105" s="6"/>
      <c r="G2105" s="19"/>
      <c r="H2105" s="19"/>
      <c r="I2105" s="19"/>
      <c r="J2105" s="19"/>
      <c r="K2105" s="6"/>
      <c r="L2105" s="6"/>
      <c r="M2105" s="6"/>
      <c r="N2105" s="6"/>
      <c r="O2105" s="6"/>
      <c r="P2105" s="6"/>
      <c r="Q2105" s="6"/>
      <c r="R2105" s="6"/>
      <c r="S2105" s="6"/>
      <c r="T2105" s="6"/>
    </row>
    <row r="2106" spans="4:20" x14ac:dyDescent="0.2">
      <c r="D2106" s="6"/>
      <c r="E2106" s="6"/>
      <c r="F2106" s="6"/>
      <c r="G2106" s="19"/>
      <c r="H2106" s="19"/>
      <c r="I2106" s="19"/>
      <c r="J2106" s="19"/>
      <c r="K2106" s="6"/>
      <c r="L2106" s="6"/>
      <c r="M2106" s="6"/>
      <c r="N2106" s="6"/>
      <c r="O2106" s="6"/>
      <c r="P2106" s="6"/>
      <c r="Q2106" s="6"/>
      <c r="R2106" s="6"/>
      <c r="S2106" s="6"/>
      <c r="T2106" s="6"/>
    </row>
    <row r="2107" spans="4:20" x14ac:dyDescent="0.2">
      <c r="D2107" s="6"/>
      <c r="E2107" s="6"/>
      <c r="F2107" s="6"/>
      <c r="G2107" s="19"/>
      <c r="H2107" s="19"/>
      <c r="I2107" s="19"/>
      <c r="J2107" s="19"/>
      <c r="K2107" s="6"/>
      <c r="L2107" s="6"/>
      <c r="M2107" s="6"/>
      <c r="N2107" s="6"/>
      <c r="O2107" s="6"/>
      <c r="P2107" s="6"/>
      <c r="Q2107" s="6"/>
      <c r="R2107" s="6"/>
      <c r="S2107" s="6"/>
      <c r="T2107" s="6"/>
    </row>
    <row r="2108" spans="4:20" x14ac:dyDescent="0.2">
      <c r="D2108" s="6"/>
      <c r="E2108" s="6"/>
      <c r="F2108" s="6"/>
      <c r="G2108" s="19"/>
      <c r="H2108" s="19"/>
      <c r="I2108" s="19"/>
      <c r="J2108" s="19"/>
      <c r="K2108" s="6"/>
      <c r="L2108" s="6"/>
      <c r="M2108" s="6"/>
      <c r="N2108" s="6"/>
      <c r="O2108" s="6"/>
      <c r="P2108" s="6"/>
      <c r="Q2108" s="6"/>
      <c r="R2108" s="6"/>
      <c r="S2108" s="6"/>
      <c r="T2108" s="6"/>
    </row>
    <row r="2109" spans="4:20" x14ac:dyDescent="0.2">
      <c r="D2109" s="6"/>
      <c r="E2109" s="6"/>
      <c r="F2109" s="6"/>
      <c r="G2109" s="19"/>
      <c r="H2109" s="19"/>
      <c r="I2109" s="19"/>
      <c r="J2109" s="19"/>
      <c r="K2109" s="6"/>
      <c r="L2109" s="6"/>
      <c r="M2109" s="6"/>
      <c r="N2109" s="6"/>
      <c r="O2109" s="6"/>
      <c r="P2109" s="6"/>
      <c r="Q2109" s="6"/>
      <c r="R2109" s="6"/>
      <c r="S2109" s="6"/>
      <c r="T2109" s="6"/>
    </row>
    <row r="2110" spans="4:20" x14ac:dyDescent="0.2">
      <c r="D2110" s="6"/>
      <c r="E2110" s="6"/>
      <c r="F2110" s="6"/>
      <c r="G2110" s="19"/>
      <c r="H2110" s="19"/>
      <c r="I2110" s="19"/>
      <c r="J2110" s="19"/>
      <c r="K2110" s="6"/>
      <c r="L2110" s="6"/>
      <c r="M2110" s="6"/>
      <c r="N2110" s="6"/>
      <c r="O2110" s="6"/>
      <c r="P2110" s="6"/>
      <c r="Q2110" s="6"/>
      <c r="R2110" s="6"/>
      <c r="S2110" s="6"/>
      <c r="T2110" s="6"/>
    </row>
    <row r="2111" spans="4:20" x14ac:dyDescent="0.2">
      <c r="D2111" s="6"/>
      <c r="E2111" s="6"/>
      <c r="F2111" s="6"/>
      <c r="G2111" s="19"/>
      <c r="H2111" s="19"/>
      <c r="I2111" s="19"/>
      <c r="J2111" s="19"/>
      <c r="K2111" s="6"/>
      <c r="L2111" s="6"/>
      <c r="M2111" s="6"/>
      <c r="N2111" s="6"/>
      <c r="O2111" s="6"/>
      <c r="P2111" s="6"/>
      <c r="Q2111" s="6"/>
      <c r="R2111" s="6"/>
      <c r="S2111" s="6"/>
      <c r="T2111" s="6"/>
    </row>
    <row r="2112" spans="4:20" x14ac:dyDescent="0.2">
      <c r="D2112" s="6"/>
      <c r="E2112" s="6"/>
      <c r="F2112" s="6"/>
      <c r="G2112" s="19"/>
      <c r="H2112" s="19"/>
      <c r="I2112" s="19"/>
      <c r="J2112" s="19"/>
      <c r="K2112" s="6"/>
      <c r="L2112" s="6"/>
      <c r="M2112" s="6"/>
      <c r="N2112" s="6"/>
      <c r="O2112" s="6"/>
      <c r="P2112" s="6"/>
      <c r="Q2112" s="6"/>
      <c r="R2112" s="6"/>
      <c r="S2112" s="6"/>
      <c r="T2112" s="6"/>
    </row>
    <row r="2113" spans="4:20" x14ac:dyDescent="0.2">
      <c r="D2113" s="6"/>
      <c r="E2113" s="6"/>
      <c r="F2113" s="6"/>
      <c r="G2113" s="19"/>
      <c r="H2113" s="19"/>
      <c r="I2113" s="19"/>
      <c r="J2113" s="19"/>
      <c r="K2113" s="6"/>
      <c r="L2113" s="6"/>
      <c r="M2113" s="6"/>
      <c r="N2113" s="6"/>
      <c r="O2113" s="6"/>
      <c r="P2113" s="6"/>
      <c r="Q2113" s="6"/>
      <c r="R2113" s="6"/>
      <c r="S2113" s="6"/>
      <c r="T2113" s="6"/>
    </row>
    <row r="2114" spans="4:20" x14ac:dyDescent="0.2">
      <c r="D2114" s="6"/>
      <c r="E2114" s="6"/>
      <c r="F2114" s="6"/>
      <c r="G2114" s="19"/>
      <c r="H2114" s="19"/>
      <c r="I2114" s="19"/>
      <c r="J2114" s="19"/>
      <c r="K2114" s="6"/>
      <c r="L2114" s="6"/>
      <c r="M2114" s="6"/>
      <c r="N2114" s="6"/>
      <c r="O2114" s="6"/>
      <c r="P2114" s="6"/>
      <c r="Q2114" s="6"/>
      <c r="R2114" s="6"/>
      <c r="S2114" s="6"/>
      <c r="T2114" s="6"/>
    </row>
    <row r="2115" spans="4:20" x14ac:dyDescent="0.2">
      <c r="D2115" s="6"/>
      <c r="E2115" s="6"/>
      <c r="F2115" s="6"/>
      <c r="G2115" s="19"/>
      <c r="H2115" s="19"/>
      <c r="I2115" s="19"/>
      <c r="J2115" s="19"/>
      <c r="K2115" s="6"/>
      <c r="L2115" s="6"/>
      <c r="M2115" s="6"/>
      <c r="N2115" s="6"/>
      <c r="O2115" s="6"/>
      <c r="P2115" s="6"/>
      <c r="Q2115" s="6"/>
      <c r="R2115" s="6"/>
      <c r="S2115" s="6"/>
      <c r="T2115" s="6"/>
    </row>
    <row r="2116" spans="4:20" x14ac:dyDescent="0.2">
      <c r="D2116" s="6"/>
      <c r="E2116" s="6"/>
      <c r="F2116" s="6"/>
      <c r="G2116" s="19"/>
      <c r="H2116" s="19"/>
      <c r="I2116" s="19"/>
      <c r="J2116" s="19"/>
      <c r="K2116" s="6"/>
      <c r="L2116" s="6"/>
      <c r="M2116" s="6"/>
      <c r="N2116" s="6"/>
      <c r="O2116" s="6"/>
      <c r="P2116" s="6"/>
      <c r="Q2116" s="6"/>
      <c r="R2116" s="6"/>
      <c r="S2116" s="6"/>
      <c r="T2116" s="6"/>
    </row>
    <row r="2117" spans="4:20" x14ac:dyDescent="0.2">
      <c r="D2117" s="6"/>
      <c r="E2117" s="6"/>
      <c r="F2117" s="6"/>
      <c r="G2117" s="19"/>
      <c r="H2117" s="19"/>
      <c r="I2117" s="19"/>
      <c r="J2117" s="19"/>
      <c r="K2117" s="6"/>
      <c r="L2117" s="6"/>
      <c r="M2117" s="6"/>
      <c r="N2117" s="6"/>
      <c r="O2117" s="6"/>
      <c r="P2117" s="6"/>
      <c r="Q2117" s="6"/>
      <c r="R2117" s="6"/>
      <c r="S2117" s="6"/>
      <c r="T2117" s="6"/>
    </row>
    <row r="2118" spans="4:20" x14ac:dyDescent="0.2">
      <c r="D2118" s="6"/>
      <c r="E2118" s="6"/>
      <c r="F2118" s="6"/>
      <c r="G2118" s="19"/>
      <c r="H2118" s="19"/>
      <c r="I2118" s="19"/>
      <c r="J2118" s="19"/>
      <c r="K2118" s="6"/>
      <c r="L2118" s="6"/>
      <c r="M2118" s="6"/>
      <c r="N2118" s="6"/>
      <c r="O2118" s="6"/>
      <c r="P2118" s="6"/>
      <c r="Q2118" s="6"/>
      <c r="R2118" s="6"/>
      <c r="S2118" s="6"/>
      <c r="T2118" s="6"/>
    </row>
    <row r="2119" spans="4:20" x14ac:dyDescent="0.2">
      <c r="D2119" s="6"/>
      <c r="E2119" s="6"/>
      <c r="F2119" s="6"/>
      <c r="G2119" s="19"/>
      <c r="H2119" s="19"/>
      <c r="I2119" s="19"/>
      <c r="J2119" s="19"/>
      <c r="K2119" s="6"/>
      <c r="L2119" s="6"/>
      <c r="M2119" s="6"/>
      <c r="N2119" s="6"/>
      <c r="O2119" s="6"/>
      <c r="P2119" s="6"/>
      <c r="Q2119" s="6"/>
      <c r="R2119" s="6"/>
      <c r="S2119" s="6"/>
      <c r="T2119" s="6"/>
    </row>
    <row r="2120" spans="4:20" x14ac:dyDescent="0.2">
      <c r="D2120" s="6"/>
      <c r="E2120" s="6"/>
      <c r="F2120" s="6"/>
      <c r="G2120" s="19"/>
      <c r="H2120" s="19"/>
      <c r="I2120" s="19"/>
      <c r="J2120" s="19"/>
      <c r="K2120" s="6"/>
      <c r="L2120" s="6"/>
      <c r="M2120" s="6"/>
      <c r="N2120" s="6"/>
      <c r="O2120" s="6"/>
      <c r="P2120" s="6"/>
      <c r="Q2120" s="6"/>
      <c r="R2120" s="6"/>
      <c r="S2120" s="6"/>
      <c r="T2120" s="6"/>
    </row>
    <row r="2121" spans="4:20" x14ac:dyDescent="0.2">
      <c r="D2121" s="6"/>
      <c r="E2121" s="6"/>
      <c r="F2121" s="6"/>
      <c r="G2121" s="19"/>
      <c r="H2121" s="19"/>
      <c r="I2121" s="19"/>
      <c r="J2121" s="19"/>
      <c r="K2121" s="6"/>
      <c r="L2121" s="6"/>
      <c r="M2121" s="6"/>
      <c r="N2121" s="6"/>
      <c r="O2121" s="6"/>
      <c r="P2121" s="6"/>
      <c r="Q2121" s="6"/>
      <c r="R2121" s="6"/>
      <c r="S2121" s="6"/>
      <c r="T2121" s="6"/>
    </row>
    <row r="2122" spans="4:20" x14ac:dyDescent="0.2">
      <c r="D2122" s="6"/>
      <c r="E2122" s="6"/>
      <c r="F2122" s="6"/>
      <c r="G2122" s="19"/>
      <c r="H2122" s="19"/>
      <c r="I2122" s="19"/>
      <c r="J2122" s="19"/>
      <c r="K2122" s="6"/>
      <c r="L2122" s="6"/>
      <c r="M2122" s="6"/>
      <c r="N2122" s="6"/>
      <c r="O2122" s="6"/>
      <c r="P2122" s="6"/>
      <c r="Q2122" s="6"/>
      <c r="R2122" s="6"/>
      <c r="S2122" s="6"/>
      <c r="T2122" s="6"/>
    </row>
    <row r="2123" spans="4:20" x14ac:dyDescent="0.2">
      <c r="D2123" s="6"/>
      <c r="E2123" s="6"/>
      <c r="F2123" s="6"/>
      <c r="G2123" s="19"/>
      <c r="H2123" s="19"/>
      <c r="I2123" s="19"/>
      <c r="J2123" s="19"/>
      <c r="K2123" s="6"/>
      <c r="L2123" s="6"/>
      <c r="M2123" s="6"/>
      <c r="N2123" s="6"/>
      <c r="O2123" s="6"/>
      <c r="P2123" s="6"/>
      <c r="Q2123" s="6"/>
      <c r="R2123" s="6"/>
      <c r="S2123" s="6"/>
      <c r="T2123" s="6"/>
    </row>
    <row r="2124" spans="4:20" x14ac:dyDescent="0.2">
      <c r="D2124" s="6"/>
      <c r="E2124" s="6"/>
      <c r="F2124" s="6"/>
      <c r="G2124" s="19"/>
      <c r="H2124" s="19"/>
      <c r="I2124" s="19"/>
      <c r="J2124" s="19"/>
      <c r="K2124" s="6"/>
      <c r="L2124" s="6"/>
      <c r="M2124" s="6"/>
      <c r="N2124" s="6"/>
      <c r="O2124" s="6"/>
      <c r="P2124" s="6"/>
      <c r="Q2124" s="6"/>
      <c r="R2124" s="6"/>
      <c r="S2124" s="6"/>
      <c r="T2124" s="6"/>
    </row>
    <row r="2125" spans="4:20" x14ac:dyDescent="0.2">
      <c r="D2125" s="6"/>
      <c r="E2125" s="6"/>
      <c r="F2125" s="6"/>
      <c r="G2125" s="19"/>
      <c r="H2125" s="19"/>
      <c r="I2125" s="19"/>
      <c r="J2125" s="19"/>
      <c r="K2125" s="6"/>
      <c r="L2125" s="6"/>
      <c r="M2125" s="6"/>
      <c r="N2125" s="6"/>
      <c r="O2125" s="6"/>
      <c r="P2125" s="6"/>
      <c r="Q2125" s="6"/>
      <c r="R2125" s="6"/>
      <c r="S2125" s="6"/>
      <c r="T2125" s="6"/>
    </row>
    <row r="2126" spans="4:20" x14ac:dyDescent="0.2">
      <c r="D2126" s="6"/>
      <c r="E2126" s="6"/>
      <c r="F2126" s="6"/>
      <c r="G2126" s="19"/>
      <c r="H2126" s="19"/>
      <c r="I2126" s="19"/>
      <c r="J2126" s="19"/>
      <c r="K2126" s="6"/>
      <c r="L2126" s="6"/>
      <c r="M2126" s="6"/>
      <c r="N2126" s="6"/>
      <c r="O2126" s="6"/>
      <c r="P2126" s="6"/>
      <c r="Q2126" s="6"/>
      <c r="R2126" s="6"/>
      <c r="S2126" s="6"/>
      <c r="T2126" s="6"/>
    </row>
    <row r="2127" spans="4:20" x14ac:dyDescent="0.2">
      <c r="D2127" s="6"/>
      <c r="E2127" s="6"/>
      <c r="F2127" s="6"/>
      <c r="G2127" s="19"/>
      <c r="H2127" s="19"/>
      <c r="I2127" s="19"/>
      <c r="J2127" s="19"/>
      <c r="K2127" s="6"/>
      <c r="L2127" s="6"/>
      <c r="M2127" s="6"/>
      <c r="N2127" s="6"/>
      <c r="O2127" s="6"/>
      <c r="P2127" s="6"/>
      <c r="Q2127" s="6"/>
      <c r="R2127" s="6"/>
      <c r="S2127" s="6"/>
      <c r="T2127" s="6"/>
    </row>
    <row r="2128" spans="4:20" x14ac:dyDescent="0.2">
      <c r="D2128" s="6"/>
      <c r="E2128" s="6"/>
      <c r="F2128" s="6"/>
      <c r="G2128" s="19"/>
      <c r="H2128" s="19"/>
      <c r="I2128" s="19"/>
      <c r="J2128" s="19"/>
      <c r="K2128" s="6"/>
      <c r="L2128" s="6"/>
      <c r="M2128" s="6"/>
      <c r="N2128" s="6"/>
      <c r="O2128" s="6"/>
      <c r="P2128" s="6"/>
      <c r="Q2128" s="6"/>
      <c r="R2128" s="6"/>
      <c r="S2128" s="6"/>
      <c r="T2128" s="6"/>
    </row>
    <row r="2129" spans="4:20" x14ac:dyDescent="0.2">
      <c r="D2129" s="6"/>
      <c r="E2129" s="6"/>
      <c r="F2129" s="6"/>
      <c r="G2129" s="19"/>
      <c r="H2129" s="19"/>
      <c r="I2129" s="19"/>
      <c r="J2129" s="19"/>
      <c r="K2129" s="6"/>
      <c r="L2129" s="6"/>
      <c r="M2129" s="6"/>
      <c r="N2129" s="6"/>
      <c r="O2129" s="6"/>
      <c r="P2129" s="6"/>
      <c r="Q2129" s="6"/>
      <c r="R2129" s="6"/>
      <c r="S2129" s="6"/>
      <c r="T2129" s="6"/>
    </row>
    <row r="2130" spans="4:20" x14ac:dyDescent="0.2">
      <c r="D2130" s="6"/>
      <c r="E2130" s="6"/>
      <c r="F2130" s="6"/>
      <c r="G2130" s="19"/>
      <c r="H2130" s="19"/>
      <c r="I2130" s="19"/>
      <c r="J2130" s="19"/>
      <c r="K2130" s="6"/>
      <c r="L2130" s="6"/>
      <c r="M2130" s="6"/>
      <c r="N2130" s="6"/>
      <c r="O2130" s="6"/>
      <c r="P2130" s="6"/>
      <c r="Q2130" s="6"/>
      <c r="R2130" s="6"/>
      <c r="S2130" s="6"/>
      <c r="T2130" s="6"/>
    </row>
    <row r="2131" spans="4:20" x14ac:dyDescent="0.2">
      <c r="D2131" s="6"/>
      <c r="E2131" s="6"/>
      <c r="F2131" s="6"/>
      <c r="G2131" s="19"/>
      <c r="H2131" s="19"/>
      <c r="I2131" s="19"/>
      <c r="J2131" s="19"/>
      <c r="K2131" s="6"/>
      <c r="L2131" s="6"/>
      <c r="M2131" s="6"/>
      <c r="N2131" s="6"/>
      <c r="O2131" s="6"/>
      <c r="P2131" s="6"/>
      <c r="Q2131" s="6"/>
      <c r="R2131" s="6"/>
      <c r="S2131" s="6"/>
      <c r="T2131" s="6"/>
    </row>
    <row r="2132" spans="4:20" x14ac:dyDescent="0.2">
      <c r="D2132" s="6"/>
      <c r="E2132" s="6"/>
      <c r="F2132" s="6"/>
      <c r="G2132" s="19"/>
      <c r="H2132" s="19"/>
      <c r="I2132" s="19"/>
      <c r="J2132" s="19"/>
      <c r="K2132" s="6"/>
      <c r="L2132" s="6"/>
      <c r="M2132" s="6"/>
      <c r="N2132" s="6"/>
      <c r="O2132" s="6"/>
      <c r="P2132" s="6"/>
      <c r="Q2132" s="6"/>
      <c r="R2132" s="6"/>
      <c r="S2132" s="6"/>
      <c r="T2132" s="6"/>
    </row>
    <row r="2133" spans="4:20" x14ac:dyDescent="0.2">
      <c r="D2133" s="6"/>
      <c r="E2133" s="6"/>
      <c r="F2133" s="6"/>
      <c r="G2133" s="19"/>
      <c r="H2133" s="19"/>
      <c r="I2133" s="19"/>
      <c r="J2133" s="19"/>
      <c r="K2133" s="6"/>
      <c r="L2133" s="6"/>
      <c r="M2133" s="6"/>
      <c r="N2133" s="6"/>
      <c r="O2133" s="6"/>
      <c r="P2133" s="6"/>
      <c r="Q2133" s="6"/>
      <c r="R2133" s="6"/>
      <c r="S2133" s="6"/>
      <c r="T2133" s="6"/>
    </row>
    <row r="2134" spans="4:20" x14ac:dyDescent="0.2">
      <c r="D2134" s="6"/>
      <c r="E2134" s="6"/>
      <c r="F2134" s="6"/>
      <c r="G2134" s="19"/>
      <c r="H2134" s="19"/>
      <c r="I2134" s="19"/>
      <c r="J2134" s="19"/>
      <c r="K2134" s="6"/>
      <c r="L2134" s="6"/>
      <c r="M2134" s="6"/>
      <c r="N2134" s="6"/>
      <c r="O2134" s="6"/>
      <c r="P2134" s="6"/>
      <c r="Q2134" s="6"/>
      <c r="R2134" s="6"/>
      <c r="S2134" s="6"/>
      <c r="T2134" s="6"/>
    </row>
    <row r="2135" spans="4:20" x14ac:dyDescent="0.2">
      <c r="D2135" s="6"/>
      <c r="E2135" s="6"/>
      <c r="F2135" s="6"/>
      <c r="G2135" s="19"/>
      <c r="H2135" s="19"/>
      <c r="I2135" s="19"/>
      <c r="J2135" s="19"/>
      <c r="K2135" s="6"/>
      <c r="L2135" s="6"/>
      <c r="M2135" s="6"/>
      <c r="N2135" s="6"/>
      <c r="O2135" s="6"/>
      <c r="P2135" s="6"/>
      <c r="Q2135" s="6"/>
      <c r="R2135" s="6"/>
      <c r="S2135" s="6"/>
      <c r="T2135" s="6"/>
    </row>
    <row r="2136" spans="4:20" x14ac:dyDescent="0.2">
      <c r="D2136" s="6"/>
      <c r="E2136" s="6"/>
      <c r="F2136" s="6"/>
      <c r="G2136" s="19"/>
      <c r="H2136" s="19"/>
      <c r="I2136" s="19"/>
      <c r="J2136" s="19"/>
      <c r="K2136" s="6"/>
      <c r="L2136" s="6"/>
      <c r="M2136" s="6"/>
      <c r="N2136" s="6"/>
      <c r="O2136" s="6"/>
      <c r="P2136" s="6"/>
      <c r="Q2136" s="6"/>
      <c r="R2136" s="6"/>
      <c r="S2136" s="6"/>
      <c r="T2136" s="6"/>
    </row>
    <row r="2137" spans="4:20" x14ac:dyDescent="0.2">
      <c r="D2137" s="6"/>
      <c r="E2137" s="6"/>
      <c r="F2137" s="6"/>
      <c r="G2137" s="19"/>
      <c r="H2137" s="19"/>
      <c r="I2137" s="19"/>
      <c r="J2137" s="19"/>
      <c r="K2137" s="6"/>
      <c r="L2137" s="6"/>
      <c r="M2137" s="6"/>
      <c r="N2137" s="6"/>
      <c r="O2137" s="6"/>
      <c r="P2137" s="6"/>
      <c r="Q2137" s="6"/>
      <c r="R2137" s="6"/>
      <c r="S2137" s="6"/>
      <c r="T2137" s="6"/>
    </row>
    <row r="2138" spans="4:20" x14ac:dyDescent="0.2">
      <c r="D2138" s="6"/>
      <c r="E2138" s="6"/>
      <c r="F2138" s="6"/>
      <c r="G2138" s="19"/>
      <c r="H2138" s="19"/>
      <c r="I2138" s="19"/>
      <c r="J2138" s="19"/>
      <c r="K2138" s="6"/>
      <c r="L2138" s="6"/>
      <c r="M2138" s="6"/>
      <c r="N2138" s="6"/>
      <c r="O2138" s="6"/>
      <c r="P2138" s="6"/>
      <c r="Q2138" s="6"/>
      <c r="R2138" s="6"/>
      <c r="S2138" s="6"/>
      <c r="T2138" s="6"/>
    </row>
    <row r="2139" spans="4:20" x14ac:dyDescent="0.2">
      <c r="D2139" s="6"/>
      <c r="E2139" s="6"/>
      <c r="F2139" s="6"/>
      <c r="G2139" s="19"/>
      <c r="H2139" s="19"/>
      <c r="I2139" s="19"/>
      <c r="J2139" s="19"/>
      <c r="K2139" s="6"/>
      <c r="L2139" s="6"/>
      <c r="M2139" s="6"/>
      <c r="N2139" s="6"/>
      <c r="O2139" s="6"/>
      <c r="P2139" s="6"/>
      <c r="Q2139" s="6"/>
      <c r="R2139" s="6"/>
      <c r="S2139" s="6"/>
      <c r="T2139" s="6"/>
    </row>
    <row r="2140" spans="4:20" x14ac:dyDescent="0.2">
      <c r="D2140" s="6"/>
      <c r="E2140" s="6"/>
      <c r="F2140" s="6"/>
      <c r="G2140" s="19"/>
      <c r="H2140" s="19"/>
      <c r="I2140" s="19"/>
      <c r="J2140" s="19"/>
      <c r="K2140" s="6"/>
      <c r="L2140" s="6"/>
      <c r="M2140" s="6"/>
      <c r="N2140" s="6"/>
      <c r="O2140" s="6"/>
      <c r="P2140" s="6"/>
      <c r="Q2140" s="6"/>
      <c r="R2140" s="6"/>
      <c r="S2140" s="6"/>
      <c r="T2140" s="6"/>
    </row>
    <row r="2141" spans="4:20" x14ac:dyDescent="0.2">
      <c r="D2141" s="6"/>
      <c r="E2141" s="6"/>
      <c r="F2141" s="6"/>
      <c r="G2141" s="19"/>
      <c r="H2141" s="19"/>
      <c r="I2141" s="19"/>
      <c r="J2141" s="19"/>
      <c r="K2141" s="6"/>
      <c r="L2141" s="6"/>
      <c r="M2141" s="6"/>
      <c r="N2141" s="6"/>
      <c r="O2141" s="6"/>
      <c r="P2141" s="6"/>
      <c r="Q2141" s="6"/>
      <c r="R2141" s="6"/>
      <c r="S2141" s="6"/>
      <c r="T2141" s="6"/>
    </row>
    <row r="2142" spans="4:20" x14ac:dyDescent="0.2">
      <c r="D2142" s="6"/>
      <c r="E2142" s="6"/>
      <c r="F2142" s="6"/>
      <c r="G2142" s="19"/>
      <c r="H2142" s="19"/>
      <c r="I2142" s="19"/>
      <c r="J2142" s="19"/>
      <c r="K2142" s="6"/>
      <c r="L2142" s="6"/>
      <c r="M2142" s="6"/>
      <c r="N2142" s="6"/>
      <c r="O2142" s="6"/>
      <c r="P2142" s="6"/>
      <c r="Q2142" s="6"/>
      <c r="R2142" s="6"/>
      <c r="S2142" s="6"/>
      <c r="T2142" s="6"/>
    </row>
    <row r="2143" spans="4:20" x14ac:dyDescent="0.2">
      <c r="D2143" s="6"/>
      <c r="E2143" s="6"/>
      <c r="F2143" s="6"/>
      <c r="G2143" s="19"/>
      <c r="H2143" s="19"/>
      <c r="I2143" s="19"/>
      <c r="J2143" s="19"/>
      <c r="K2143" s="6"/>
      <c r="L2143" s="6"/>
      <c r="M2143" s="6"/>
      <c r="N2143" s="6"/>
      <c r="O2143" s="6"/>
      <c r="P2143" s="6"/>
      <c r="Q2143" s="6"/>
      <c r="R2143" s="6"/>
      <c r="S2143" s="6"/>
      <c r="T2143" s="6"/>
    </row>
    <row r="2144" spans="4:20" x14ac:dyDescent="0.2">
      <c r="D2144" s="6"/>
      <c r="E2144" s="6"/>
      <c r="F2144" s="6"/>
      <c r="G2144" s="19"/>
      <c r="H2144" s="19"/>
      <c r="I2144" s="19"/>
      <c r="J2144" s="19"/>
      <c r="K2144" s="6"/>
      <c r="L2144" s="6"/>
      <c r="M2144" s="6"/>
      <c r="N2144" s="6"/>
      <c r="O2144" s="6"/>
      <c r="P2144" s="6"/>
      <c r="Q2144" s="6"/>
      <c r="R2144" s="6"/>
      <c r="S2144" s="6"/>
      <c r="T2144" s="6"/>
    </row>
    <row r="2145" spans="4:20" x14ac:dyDescent="0.2">
      <c r="D2145" s="6"/>
      <c r="E2145" s="6"/>
      <c r="F2145" s="6"/>
      <c r="G2145" s="19"/>
      <c r="H2145" s="19"/>
      <c r="I2145" s="19"/>
      <c r="J2145" s="19"/>
      <c r="K2145" s="6"/>
      <c r="L2145" s="6"/>
      <c r="M2145" s="6"/>
      <c r="N2145" s="6"/>
      <c r="O2145" s="6"/>
      <c r="P2145" s="6"/>
      <c r="Q2145" s="6"/>
      <c r="R2145" s="6"/>
      <c r="S2145" s="6"/>
      <c r="T2145" s="6"/>
    </row>
    <row r="2146" spans="4:20" x14ac:dyDescent="0.2">
      <c r="D2146" s="6"/>
      <c r="E2146" s="6"/>
      <c r="F2146" s="6"/>
      <c r="G2146" s="19"/>
      <c r="H2146" s="19"/>
      <c r="I2146" s="19"/>
      <c r="J2146" s="19"/>
      <c r="K2146" s="6"/>
      <c r="L2146" s="6"/>
      <c r="M2146" s="6"/>
      <c r="N2146" s="6"/>
      <c r="O2146" s="6"/>
      <c r="P2146" s="6"/>
      <c r="Q2146" s="6"/>
      <c r="R2146" s="6"/>
      <c r="S2146" s="6"/>
      <c r="T2146" s="6"/>
    </row>
    <row r="2147" spans="4:20" x14ac:dyDescent="0.2">
      <c r="D2147" s="6"/>
      <c r="E2147" s="6"/>
      <c r="F2147" s="6"/>
      <c r="G2147" s="19"/>
      <c r="H2147" s="19"/>
      <c r="I2147" s="19"/>
      <c r="J2147" s="19"/>
      <c r="K2147" s="6"/>
      <c r="L2147" s="6"/>
      <c r="M2147" s="6"/>
      <c r="N2147" s="6"/>
      <c r="O2147" s="6"/>
      <c r="P2147" s="6"/>
      <c r="Q2147" s="6"/>
      <c r="R2147" s="6"/>
      <c r="S2147" s="6"/>
      <c r="T2147" s="6"/>
    </row>
    <row r="2148" spans="4:20" x14ac:dyDescent="0.2">
      <c r="D2148" s="6"/>
      <c r="E2148" s="6"/>
      <c r="F2148" s="6"/>
      <c r="G2148" s="19"/>
      <c r="H2148" s="19"/>
      <c r="I2148" s="19"/>
      <c r="J2148" s="19"/>
      <c r="K2148" s="6"/>
      <c r="L2148" s="6"/>
      <c r="M2148" s="6"/>
      <c r="N2148" s="6"/>
      <c r="O2148" s="6"/>
      <c r="P2148" s="6"/>
      <c r="Q2148" s="6"/>
      <c r="R2148" s="6"/>
      <c r="S2148" s="6"/>
      <c r="T2148" s="6"/>
    </row>
    <row r="2149" spans="4:20" x14ac:dyDescent="0.2">
      <c r="D2149" s="6"/>
      <c r="E2149" s="6"/>
      <c r="F2149" s="6"/>
      <c r="G2149" s="19"/>
      <c r="H2149" s="19"/>
      <c r="I2149" s="19"/>
      <c r="J2149" s="19"/>
      <c r="K2149" s="6"/>
      <c r="L2149" s="6"/>
      <c r="M2149" s="6"/>
      <c r="N2149" s="6"/>
      <c r="O2149" s="6"/>
      <c r="P2149" s="6"/>
      <c r="Q2149" s="6"/>
      <c r="R2149" s="6"/>
      <c r="S2149" s="6"/>
      <c r="T2149" s="6"/>
    </row>
    <row r="2150" spans="4:20" x14ac:dyDescent="0.2">
      <c r="D2150" s="6"/>
      <c r="E2150" s="6"/>
      <c r="F2150" s="6"/>
      <c r="G2150" s="19"/>
      <c r="H2150" s="19"/>
      <c r="I2150" s="19"/>
      <c r="J2150" s="19"/>
      <c r="K2150" s="6"/>
      <c r="L2150" s="6"/>
      <c r="M2150" s="6"/>
      <c r="N2150" s="6"/>
      <c r="O2150" s="6"/>
      <c r="P2150" s="6"/>
      <c r="Q2150" s="6"/>
      <c r="R2150" s="6"/>
      <c r="S2150" s="6"/>
      <c r="T2150" s="6"/>
    </row>
    <row r="2151" spans="4:20" x14ac:dyDescent="0.2">
      <c r="D2151" s="6"/>
      <c r="E2151" s="6"/>
      <c r="F2151" s="6"/>
      <c r="G2151" s="19"/>
      <c r="H2151" s="19"/>
      <c r="I2151" s="19"/>
      <c r="J2151" s="19"/>
      <c r="K2151" s="6"/>
      <c r="L2151" s="6"/>
      <c r="M2151" s="6"/>
      <c r="N2151" s="6"/>
      <c r="O2151" s="6"/>
      <c r="P2151" s="6"/>
      <c r="Q2151" s="6"/>
      <c r="R2151" s="6"/>
      <c r="S2151" s="6"/>
      <c r="T2151" s="6"/>
    </row>
    <row r="2152" spans="4:20" x14ac:dyDescent="0.2">
      <c r="D2152" s="6"/>
      <c r="E2152" s="6"/>
      <c r="F2152" s="6"/>
      <c r="G2152" s="19"/>
      <c r="H2152" s="19"/>
      <c r="I2152" s="19"/>
      <c r="J2152" s="19"/>
      <c r="K2152" s="6"/>
      <c r="L2152" s="6"/>
      <c r="M2152" s="6"/>
      <c r="N2152" s="6"/>
      <c r="O2152" s="6"/>
      <c r="P2152" s="6"/>
      <c r="Q2152" s="6"/>
      <c r="R2152" s="6"/>
      <c r="S2152" s="6"/>
      <c r="T2152" s="6"/>
    </row>
    <row r="2153" spans="4:20" x14ac:dyDescent="0.2">
      <c r="D2153" s="6"/>
      <c r="E2153" s="6"/>
      <c r="F2153" s="6"/>
      <c r="G2153" s="19"/>
      <c r="H2153" s="19"/>
      <c r="I2153" s="19"/>
      <c r="J2153" s="19"/>
      <c r="K2153" s="6"/>
      <c r="L2153" s="6"/>
      <c r="M2153" s="6"/>
      <c r="N2153" s="6"/>
      <c r="O2153" s="6"/>
      <c r="P2153" s="6"/>
      <c r="Q2153" s="6"/>
      <c r="R2153" s="6"/>
      <c r="S2153" s="6"/>
      <c r="T2153" s="6"/>
    </row>
    <row r="2154" spans="4:20" x14ac:dyDescent="0.2">
      <c r="D2154" s="6"/>
      <c r="E2154" s="6"/>
      <c r="F2154" s="6"/>
      <c r="G2154" s="19"/>
      <c r="H2154" s="19"/>
      <c r="I2154" s="19"/>
      <c r="J2154" s="19"/>
      <c r="K2154" s="6"/>
      <c r="L2154" s="6"/>
      <c r="M2154" s="6"/>
      <c r="N2154" s="6"/>
      <c r="O2154" s="6"/>
      <c r="P2154" s="6"/>
      <c r="Q2154" s="6"/>
      <c r="R2154" s="6"/>
      <c r="S2154" s="6"/>
      <c r="T2154" s="6"/>
    </row>
    <row r="2155" spans="4:20" x14ac:dyDescent="0.2">
      <c r="D2155" s="6"/>
      <c r="E2155" s="6"/>
      <c r="F2155" s="6"/>
      <c r="G2155" s="19"/>
      <c r="H2155" s="19"/>
      <c r="I2155" s="19"/>
      <c r="J2155" s="19"/>
      <c r="K2155" s="6"/>
      <c r="L2155" s="6"/>
      <c r="M2155" s="6"/>
      <c r="N2155" s="6"/>
      <c r="O2155" s="6"/>
      <c r="P2155" s="6"/>
      <c r="Q2155" s="6"/>
      <c r="R2155" s="6"/>
      <c r="S2155" s="6"/>
      <c r="T2155" s="6"/>
    </row>
    <row r="2156" spans="4:20" x14ac:dyDescent="0.2">
      <c r="D2156" s="6"/>
      <c r="E2156" s="6"/>
      <c r="F2156" s="6"/>
      <c r="G2156" s="19"/>
      <c r="H2156" s="19"/>
      <c r="I2156" s="19"/>
      <c r="J2156" s="19"/>
      <c r="K2156" s="6"/>
      <c r="L2156" s="6"/>
      <c r="M2156" s="6"/>
      <c r="N2156" s="6"/>
      <c r="O2156" s="6"/>
      <c r="P2156" s="6"/>
      <c r="Q2156" s="6"/>
      <c r="R2156" s="6"/>
      <c r="S2156" s="6"/>
      <c r="T2156" s="6"/>
    </row>
    <row r="2157" spans="4:20" x14ac:dyDescent="0.2">
      <c r="D2157" s="6"/>
      <c r="E2157" s="6"/>
      <c r="F2157" s="6"/>
      <c r="G2157" s="19"/>
      <c r="H2157" s="19"/>
      <c r="I2157" s="19"/>
      <c r="J2157" s="19"/>
      <c r="K2157" s="6"/>
      <c r="L2157" s="6"/>
      <c r="M2157" s="6"/>
      <c r="N2157" s="6"/>
      <c r="O2157" s="6"/>
      <c r="P2157" s="6"/>
      <c r="Q2157" s="6"/>
      <c r="R2157" s="6"/>
      <c r="S2157" s="6"/>
      <c r="T2157" s="6"/>
    </row>
    <row r="2158" spans="4:20" x14ac:dyDescent="0.2">
      <c r="D2158" s="6"/>
      <c r="E2158" s="6"/>
      <c r="F2158" s="6"/>
      <c r="G2158" s="19"/>
      <c r="H2158" s="19"/>
      <c r="I2158" s="19"/>
      <c r="J2158" s="19"/>
      <c r="K2158" s="6"/>
      <c r="L2158" s="6"/>
      <c r="M2158" s="6"/>
      <c r="N2158" s="6"/>
      <c r="O2158" s="6"/>
      <c r="P2158" s="6"/>
      <c r="Q2158" s="6"/>
      <c r="R2158" s="6"/>
      <c r="S2158" s="6"/>
      <c r="T2158" s="6"/>
    </row>
    <row r="2159" spans="4:20" x14ac:dyDescent="0.2">
      <c r="D2159" s="6"/>
      <c r="E2159" s="6"/>
      <c r="F2159" s="6"/>
      <c r="G2159" s="19"/>
      <c r="H2159" s="19"/>
      <c r="I2159" s="19"/>
      <c r="J2159" s="19"/>
      <c r="K2159" s="6"/>
      <c r="L2159" s="6"/>
      <c r="M2159" s="6"/>
      <c r="N2159" s="6"/>
      <c r="O2159" s="6"/>
      <c r="P2159" s="6"/>
      <c r="Q2159" s="6"/>
      <c r="R2159" s="6"/>
      <c r="S2159" s="6"/>
      <c r="T2159" s="6"/>
    </row>
    <row r="2160" spans="4:20" x14ac:dyDescent="0.2">
      <c r="D2160" s="6"/>
      <c r="E2160" s="6"/>
      <c r="F2160" s="6"/>
      <c r="G2160" s="19"/>
      <c r="H2160" s="19"/>
      <c r="I2160" s="19"/>
      <c r="J2160" s="19"/>
      <c r="K2160" s="6"/>
      <c r="L2160" s="6"/>
      <c r="M2160" s="6"/>
      <c r="N2160" s="6"/>
      <c r="O2160" s="6"/>
      <c r="P2160" s="6"/>
      <c r="Q2160" s="6"/>
      <c r="R2160" s="6"/>
      <c r="S2160" s="6"/>
      <c r="T2160" s="6"/>
    </row>
    <row r="2161" spans="4:20" x14ac:dyDescent="0.2">
      <c r="D2161" s="6"/>
      <c r="E2161" s="6"/>
      <c r="F2161" s="6"/>
      <c r="G2161" s="19"/>
      <c r="H2161" s="19"/>
      <c r="I2161" s="19"/>
      <c r="J2161" s="19"/>
      <c r="K2161" s="6"/>
      <c r="L2161" s="6"/>
      <c r="M2161" s="6"/>
      <c r="N2161" s="6"/>
      <c r="O2161" s="6"/>
      <c r="P2161" s="6"/>
      <c r="Q2161" s="6"/>
      <c r="R2161" s="6"/>
      <c r="S2161" s="6"/>
      <c r="T2161" s="6"/>
    </row>
    <row r="2162" spans="4:20" x14ac:dyDescent="0.2">
      <c r="D2162" s="6"/>
      <c r="E2162" s="6"/>
      <c r="F2162" s="6"/>
      <c r="G2162" s="19"/>
      <c r="H2162" s="19"/>
      <c r="I2162" s="19"/>
      <c r="J2162" s="19"/>
      <c r="K2162" s="6"/>
      <c r="L2162" s="6"/>
      <c r="M2162" s="6"/>
      <c r="N2162" s="6"/>
      <c r="O2162" s="6"/>
      <c r="P2162" s="6"/>
      <c r="Q2162" s="6"/>
      <c r="R2162" s="6"/>
      <c r="S2162" s="6"/>
      <c r="T2162" s="6"/>
    </row>
    <row r="2163" spans="4:20" x14ac:dyDescent="0.2">
      <c r="D2163" s="6"/>
      <c r="E2163" s="6"/>
      <c r="F2163" s="6"/>
      <c r="G2163" s="19"/>
      <c r="H2163" s="19"/>
      <c r="I2163" s="19"/>
      <c r="J2163" s="19"/>
      <c r="K2163" s="6"/>
      <c r="L2163" s="6"/>
      <c r="M2163" s="6"/>
      <c r="N2163" s="6"/>
      <c r="O2163" s="6"/>
      <c r="P2163" s="6"/>
      <c r="Q2163" s="6"/>
      <c r="R2163" s="6"/>
      <c r="S2163" s="6"/>
      <c r="T2163" s="6"/>
    </row>
    <row r="2164" spans="4:20" x14ac:dyDescent="0.2">
      <c r="D2164" s="6"/>
      <c r="E2164" s="6"/>
      <c r="F2164" s="6"/>
      <c r="G2164" s="19"/>
      <c r="H2164" s="19"/>
      <c r="I2164" s="19"/>
      <c r="J2164" s="19"/>
      <c r="K2164" s="6"/>
      <c r="L2164" s="6"/>
      <c r="M2164" s="6"/>
      <c r="N2164" s="6"/>
      <c r="O2164" s="6"/>
      <c r="P2164" s="6"/>
      <c r="Q2164" s="6"/>
      <c r="R2164" s="6"/>
      <c r="S2164" s="6"/>
      <c r="T2164" s="6"/>
    </row>
    <row r="2165" spans="4:20" x14ac:dyDescent="0.2">
      <c r="D2165" s="6"/>
      <c r="E2165" s="6"/>
      <c r="F2165" s="6"/>
      <c r="G2165" s="19"/>
      <c r="H2165" s="19"/>
      <c r="I2165" s="19"/>
      <c r="J2165" s="19"/>
      <c r="K2165" s="6"/>
      <c r="L2165" s="6"/>
      <c r="M2165" s="6"/>
      <c r="N2165" s="6"/>
      <c r="O2165" s="6"/>
      <c r="P2165" s="6"/>
      <c r="Q2165" s="6"/>
      <c r="R2165" s="6"/>
      <c r="S2165" s="6"/>
      <c r="T2165" s="6"/>
    </row>
    <row r="2166" spans="4:20" x14ac:dyDescent="0.2">
      <c r="D2166" s="6"/>
      <c r="E2166" s="6"/>
      <c r="F2166" s="6"/>
      <c r="G2166" s="19"/>
      <c r="H2166" s="19"/>
      <c r="I2166" s="19"/>
      <c r="J2166" s="19"/>
      <c r="K2166" s="6"/>
      <c r="L2166" s="6"/>
      <c r="M2166" s="6"/>
      <c r="N2166" s="6"/>
      <c r="O2166" s="6"/>
      <c r="P2166" s="6"/>
      <c r="Q2166" s="6"/>
      <c r="R2166" s="6"/>
      <c r="S2166" s="6"/>
      <c r="T2166" s="6"/>
    </row>
    <row r="2167" spans="4:20" x14ac:dyDescent="0.2">
      <c r="D2167" s="6"/>
      <c r="E2167" s="6"/>
      <c r="F2167" s="6"/>
      <c r="G2167" s="19"/>
      <c r="H2167" s="19"/>
      <c r="I2167" s="19"/>
      <c r="J2167" s="19"/>
      <c r="K2167" s="6"/>
      <c r="L2167" s="6"/>
      <c r="M2167" s="6"/>
      <c r="N2167" s="6"/>
      <c r="O2167" s="6"/>
      <c r="P2167" s="6"/>
      <c r="Q2167" s="6"/>
      <c r="R2167" s="6"/>
      <c r="S2167" s="6"/>
      <c r="T2167" s="6"/>
    </row>
    <row r="2168" spans="4:20" x14ac:dyDescent="0.2">
      <c r="D2168" s="6"/>
      <c r="E2168" s="6"/>
      <c r="F2168" s="6"/>
      <c r="G2168" s="19"/>
      <c r="H2168" s="19"/>
      <c r="I2168" s="19"/>
      <c r="J2168" s="19"/>
      <c r="K2168" s="6"/>
      <c r="L2168" s="6"/>
      <c r="M2168" s="6"/>
      <c r="N2168" s="6"/>
      <c r="O2168" s="6"/>
      <c r="P2168" s="6"/>
      <c r="Q2168" s="6"/>
      <c r="R2168" s="6"/>
      <c r="S2168" s="6"/>
      <c r="T2168" s="6"/>
    </row>
    <row r="2169" spans="4:20" x14ac:dyDescent="0.2">
      <c r="D2169" s="6"/>
      <c r="E2169" s="6"/>
      <c r="F2169" s="6"/>
      <c r="G2169" s="19"/>
      <c r="H2169" s="19"/>
      <c r="I2169" s="19"/>
      <c r="J2169" s="19"/>
      <c r="K2169" s="6"/>
      <c r="L2169" s="6"/>
      <c r="M2169" s="6"/>
      <c r="N2169" s="6"/>
      <c r="O2169" s="6"/>
      <c r="P2169" s="6"/>
      <c r="Q2169" s="6"/>
      <c r="R2169" s="6"/>
      <c r="S2169" s="6"/>
      <c r="T2169" s="6"/>
    </row>
    <row r="2170" spans="4:20" x14ac:dyDescent="0.2">
      <c r="D2170" s="6"/>
      <c r="E2170" s="6"/>
      <c r="F2170" s="6"/>
      <c r="G2170" s="19"/>
      <c r="H2170" s="19"/>
      <c r="I2170" s="19"/>
      <c r="J2170" s="19"/>
      <c r="K2170" s="6"/>
      <c r="L2170" s="6"/>
      <c r="M2170" s="6"/>
      <c r="N2170" s="6"/>
      <c r="O2170" s="6"/>
      <c r="P2170" s="6"/>
      <c r="Q2170" s="6"/>
      <c r="R2170" s="6"/>
      <c r="S2170" s="6"/>
      <c r="T2170" s="6"/>
    </row>
    <row r="2171" spans="4:20" x14ac:dyDescent="0.2">
      <c r="D2171" s="6"/>
      <c r="E2171" s="6"/>
      <c r="F2171" s="6"/>
      <c r="G2171" s="19"/>
      <c r="H2171" s="19"/>
      <c r="I2171" s="19"/>
      <c r="J2171" s="19"/>
      <c r="K2171" s="6"/>
      <c r="L2171" s="6"/>
      <c r="M2171" s="6"/>
      <c r="N2171" s="6"/>
      <c r="O2171" s="6"/>
      <c r="P2171" s="6"/>
      <c r="Q2171" s="6"/>
      <c r="R2171" s="6"/>
      <c r="S2171" s="6"/>
      <c r="T2171" s="6"/>
    </row>
    <row r="2172" spans="4:20" x14ac:dyDescent="0.2">
      <c r="D2172" s="6"/>
      <c r="E2172" s="6"/>
      <c r="F2172" s="6"/>
      <c r="G2172" s="19"/>
      <c r="H2172" s="19"/>
      <c r="I2172" s="19"/>
      <c r="J2172" s="19"/>
      <c r="K2172" s="6"/>
      <c r="L2172" s="6"/>
      <c r="M2172" s="6"/>
      <c r="N2172" s="6"/>
      <c r="O2172" s="6"/>
      <c r="P2172" s="6"/>
      <c r="Q2172" s="6"/>
      <c r="R2172" s="6"/>
      <c r="S2172" s="6"/>
      <c r="T2172" s="6"/>
    </row>
    <row r="2173" spans="4:20" x14ac:dyDescent="0.2">
      <c r="D2173" s="6"/>
      <c r="E2173" s="6"/>
      <c r="F2173" s="6"/>
      <c r="G2173" s="19"/>
      <c r="H2173" s="19"/>
      <c r="I2173" s="19"/>
      <c r="J2173" s="19"/>
      <c r="K2173" s="6"/>
      <c r="L2173" s="6"/>
      <c r="M2173" s="6"/>
      <c r="N2173" s="6"/>
      <c r="O2173" s="6"/>
      <c r="P2173" s="6"/>
      <c r="Q2173" s="6"/>
      <c r="R2173" s="6"/>
      <c r="S2173" s="6"/>
      <c r="T2173" s="6"/>
    </row>
    <row r="2174" spans="4:20" x14ac:dyDescent="0.2">
      <c r="D2174" s="6"/>
      <c r="E2174" s="6"/>
      <c r="F2174" s="6"/>
      <c r="G2174" s="19"/>
      <c r="H2174" s="19"/>
      <c r="I2174" s="19"/>
      <c r="J2174" s="19"/>
      <c r="K2174" s="6"/>
      <c r="L2174" s="6"/>
      <c r="M2174" s="6"/>
      <c r="N2174" s="6"/>
      <c r="O2174" s="6"/>
      <c r="P2174" s="6"/>
      <c r="Q2174" s="6"/>
      <c r="R2174" s="6"/>
      <c r="S2174" s="6"/>
      <c r="T2174" s="6"/>
    </row>
    <row r="2175" spans="4:20" x14ac:dyDescent="0.2">
      <c r="D2175" s="6"/>
      <c r="E2175" s="6"/>
      <c r="F2175" s="6"/>
      <c r="G2175" s="19"/>
      <c r="H2175" s="19"/>
      <c r="I2175" s="19"/>
      <c r="J2175" s="19"/>
      <c r="K2175" s="6"/>
      <c r="L2175" s="6"/>
      <c r="M2175" s="6"/>
      <c r="N2175" s="6"/>
      <c r="O2175" s="6"/>
      <c r="P2175" s="6"/>
      <c r="Q2175" s="6"/>
      <c r="R2175" s="6"/>
      <c r="S2175" s="6"/>
      <c r="T2175" s="6"/>
    </row>
    <row r="2176" spans="4:20" x14ac:dyDescent="0.2">
      <c r="D2176" s="6"/>
      <c r="E2176" s="6"/>
      <c r="F2176" s="6"/>
      <c r="G2176" s="19"/>
      <c r="H2176" s="19"/>
      <c r="I2176" s="19"/>
      <c r="J2176" s="19"/>
      <c r="K2176" s="6"/>
      <c r="L2176" s="6"/>
      <c r="M2176" s="6"/>
      <c r="N2176" s="6"/>
      <c r="O2176" s="6"/>
      <c r="P2176" s="6"/>
      <c r="Q2176" s="6"/>
      <c r="R2176" s="6"/>
      <c r="S2176" s="6"/>
      <c r="T2176" s="6"/>
    </row>
    <row r="2177" spans="4:20" x14ac:dyDescent="0.2">
      <c r="D2177" s="6"/>
      <c r="E2177" s="6"/>
      <c r="F2177" s="6"/>
      <c r="G2177" s="19"/>
      <c r="H2177" s="19"/>
      <c r="I2177" s="19"/>
      <c r="J2177" s="19"/>
      <c r="K2177" s="6"/>
      <c r="L2177" s="6"/>
      <c r="M2177" s="6"/>
      <c r="N2177" s="6"/>
      <c r="O2177" s="6"/>
      <c r="P2177" s="6"/>
      <c r="Q2177" s="6"/>
      <c r="R2177" s="6"/>
      <c r="S2177" s="6"/>
      <c r="T2177" s="6"/>
    </row>
    <row r="2178" spans="4:20" x14ac:dyDescent="0.2">
      <c r="D2178" s="6"/>
      <c r="E2178" s="6"/>
      <c r="F2178" s="6"/>
      <c r="G2178" s="19"/>
      <c r="H2178" s="19"/>
      <c r="I2178" s="19"/>
      <c r="J2178" s="19"/>
      <c r="K2178" s="6"/>
      <c r="L2178" s="6"/>
      <c r="M2178" s="6"/>
      <c r="N2178" s="6"/>
      <c r="O2178" s="6"/>
      <c r="P2178" s="6"/>
      <c r="Q2178" s="6"/>
      <c r="R2178" s="6"/>
      <c r="S2178" s="6"/>
      <c r="T2178" s="6"/>
    </row>
    <row r="2179" spans="4:20" x14ac:dyDescent="0.2">
      <c r="D2179" s="6"/>
      <c r="E2179" s="6"/>
      <c r="F2179" s="6"/>
      <c r="G2179" s="19"/>
      <c r="H2179" s="19"/>
      <c r="I2179" s="19"/>
      <c r="J2179" s="19"/>
      <c r="K2179" s="6"/>
      <c r="L2179" s="6"/>
      <c r="M2179" s="6"/>
      <c r="N2179" s="6"/>
      <c r="O2179" s="6"/>
      <c r="P2179" s="6"/>
      <c r="Q2179" s="6"/>
      <c r="R2179" s="6"/>
      <c r="S2179" s="6"/>
      <c r="T2179" s="6"/>
    </row>
    <row r="2180" spans="4:20" x14ac:dyDescent="0.2">
      <c r="D2180" s="6"/>
      <c r="E2180" s="6"/>
      <c r="F2180" s="6"/>
      <c r="G2180" s="19"/>
      <c r="H2180" s="19"/>
      <c r="I2180" s="19"/>
      <c r="J2180" s="19"/>
      <c r="K2180" s="6"/>
      <c r="L2180" s="6"/>
      <c r="M2180" s="6"/>
      <c r="N2180" s="6"/>
      <c r="O2180" s="6"/>
      <c r="P2180" s="6"/>
      <c r="Q2180" s="6"/>
      <c r="R2180" s="6"/>
      <c r="S2180" s="6"/>
      <c r="T2180" s="6"/>
    </row>
    <row r="2181" spans="4:20" x14ac:dyDescent="0.2">
      <c r="D2181" s="6"/>
      <c r="E2181" s="6"/>
      <c r="F2181" s="6"/>
      <c r="G2181" s="19"/>
      <c r="H2181" s="19"/>
      <c r="I2181" s="19"/>
      <c r="J2181" s="19"/>
      <c r="K2181" s="6"/>
      <c r="L2181" s="6"/>
      <c r="M2181" s="6"/>
      <c r="N2181" s="6"/>
      <c r="O2181" s="6"/>
      <c r="P2181" s="6"/>
      <c r="Q2181" s="6"/>
      <c r="R2181" s="6"/>
      <c r="S2181" s="6"/>
      <c r="T2181" s="6"/>
    </row>
    <row r="2182" spans="4:20" x14ac:dyDescent="0.2">
      <c r="D2182" s="6"/>
      <c r="E2182" s="6"/>
      <c r="F2182" s="6"/>
      <c r="G2182" s="19"/>
      <c r="H2182" s="19"/>
      <c r="I2182" s="19"/>
      <c r="J2182" s="19"/>
      <c r="K2182" s="6"/>
      <c r="L2182" s="6"/>
      <c r="M2182" s="6"/>
      <c r="N2182" s="6"/>
      <c r="O2182" s="6"/>
      <c r="P2182" s="6"/>
      <c r="Q2182" s="6"/>
      <c r="R2182" s="6"/>
      <c r="S2182" s="6"/>
      <c r="T2182" s="6"/>
    </row>
    <row r="2183" spans="4:20" x14ac:dyDescent="0.2">
      <c r="D2183" s="6"/>
      <c r="E2183" s="6"/>
      <c r="F2183" s="6"/>
      <c r="G2183" s="19"/>
      <c r="H2183" s="19"/>
      <c r="I2183" s="19"/>
      <c r="J2183" s="19"/>
      <c r="K2183" s="6"/>
      <c r="L2183" s="6"/>
      <c r="M2183" s="6"/>
      <c r="N2183" s="6"/>
      <c r="O2183" s="6"/>
      <c r="P2183" s="6"/>
      <c r="Q2183" s="6"/>
      <c r="R2183" s="6"/>
      <c r="S2183" s="6"/>
      <c r="T2183" s="6"/>
    </row>
    <row r="2184" spans="4:20" x14ac:dyDescent="0.2">
      <c r="D2184" s="6"/>
      <c r="E2184" s="6"/>
      <c r="F2184" s="6"/>
      <c r="G2184" s="19"/>
      <c r="H2184" s="19"/>
      <c r="I2184" s="19"/>
      <c r="J2184" s="19"/>
      <c r="K2184" s="6"/>
      <c r="L2184" s="6"/>
      <c r="M2184" s="6"/>
      <c r="N2184" s="6"/>
      <c r="O2184" s="6"/>
      <c r="P2184" s="6"/>
      <c r="Q2184" s="6"/>
      <c r="R2184" s="6"/>
      <c r="S2184" s="6"/>
      <c r="T2184" s="6"/>
    </row>
    <row r="2185" spans="4:20" x14ac:dyDescent="0.2">
      <c r="D2185" s="6"/>
      <c r="E2185" s="6"/>
      <c r="F2185" s="6"/>
      <c r="G2185" s="19"/>
      <c r="H2185" s="19"/>
      <c r="I2185" s="19"/>
      <c r="J2185" s="19"/>
      <c r="K2185" s="6"/>
      <c r="L2185" s="6"/>
      <c r="M2185" s="6"/>
      <c r="N2185" s="6"/>
      <c r="O2185" s="6"/>
      <c r="P2185" s="6"/>
      <c r="Q2185" s="6"/>
      <c r="R2185" s="6"/>
      <c r="S2185" s="6"/>
      <c r="T2185" s="6"/>
    </row>
    <row r="2186" spans="4:20" x14ac:dyDescent="0.2">
      <c r="D2186" s="6"/>
      <c r="E2186" s="6"/>
      <c r="F2186" s="6"/>
      <c r="G2186" s="19"/>
      <c r="H2186" s="19"/>
      <c r="I2186" s="19"/>
      <c r="J2186" s="19"/>
      <c r="K2186" s="6"/>
      <c r="L2186" s="6"/>
      <c r="M2186" s="6"/>
      <c r="N2186" s="6"/>
      <c r="O2186" s="6"/>
      <c r="P2186" s="6"/>
      <c r="Q2186" s="6"/>
      <c r="R2186" s="6"/>
      <c r="S2186" s="6"/>
      <c r="T2186" s="6"/>
    </row>
    <row r="2187" spans="4:20" x14ac:dyDescent="0.2">
      <c r="D2187" s="6"/>
      <c r="E2187" s="6"/>
      <c r="F2187" s="6"/>
      <c r="G2187" s="19"/>
      <c r="H2187" s="19"/>
      <c r="I2187" s="19"/>
      <c r="J2187" s="19"/>
      <c r="K2187" s="6"/>
      <c r="L2187" s="6"/>
      <c r="M2187" s="6"/>
      <c r="N2187" s="6"/>
      <c r="O2187" s="6"/>
      <c r="P2187" s="6"/>
      <c r="Q2187" s="6"/>
      <c r="R2187" s="6"/>
      <c r="S2187" s="6"/>
      <c r="T2187" s="6"/>
    </row>
    <row r="2188" spans="4:20" x14ac:dyDescent="0.2">
      <c r="D2188" s="6"/>
      <c r="E2188" s="6"/>
      <c r="F2188" s="6"/>
      <c r="G2188" s="19"/>
      <c r="H2188" s="19"/>
      <c r="I2188" s="19"/>
      <c r="J2188" s="19"/>
      <c r="K2188" s="6"/>
      <c r="L2188" s="6"/>
      <c r="M2188" s="6"/>
      <c r="N2188" s="6"/>
      <c r="O2188" s="6"/>
      <c r="P2188" s="6"/>
      <c r="Q2188" s="6"/>
      <c r="R2188" s="6"/>
      <c r="S2188" s="6"/>
      <c r="T2188" s="6"/>
    </row>
    <row r="2189" spans="4:20" x14ac:dyDescent="0.2">
      <c r="D2189" s="6"/>
      <c r="E2189" s="6"/>
      <c r="F2189" s="6"/>
      <c r="G2189" s="19"/>
      <c r="H2189" s="19"/>
      <c r="I2189" s="19"/>
      <c r="J2189" s="19"/>
      <c r="K2189" s="6"/>
      <c r="L2189" s="6"/>
      <c r="M2189" s="6"/>
      <c r="N2189" s="6"/>
      <c r="O2189" s="6"/>
      <c r="P2189" s="6"/>
      <c r="Q2189" s="6"/>
      <c r="R2189" s="6"/>
      <c r="S2189" s="6"/>
      <c r="T2189" s="6"/>
    </row>
    <row r="2190" spans="4:20" x14ac:dyDescent="0.2">
      <c r="D2190" s="6"/>
      <c r="E2190" s="6"/>
      <c r="F2190" s="6"/>
      <c r="G2190" s="19"/>
      <c r="H2190" s="19"/>
      <c r="I2190" s="19"/>
      <c r="J2190" s="19"/>
      <c r="K2190" s="6"/>
      <c r="L2190" s="6"/>
      <c r="M2190" s="6"/>
      <c r="N2190" s="6"/>
      <c r="O2190" s="6"/>
      <c r="P2190" s="6"/>
      <c r="Q2190" s="6"/>
      <c r="R2190" s="6"/>
      <c r="S2190" s="6"/>
      <c r="T2190" s="6"/>
    </row>
    <row r="2191" spans="4:20" x14ac:dyDescent="0.2">
      <c r="D2191" s="6"/>
      <c r="E2191" s="6"/>
      <c r="F2191" s="6"/>
      <c r="G2191" s="19"/>
      <c r="H2191" s="19"/>
      <c r="I2191" s="19"/>
      <c r="J2191" s="19"/>
      <c r="K2191" s="6"/>
      <c r="L2191" s="6"/>
      <c r="M2191" s="6"/>
      <c r="N2191" s="6"/>
      <c r="O2191" s="6"/>
      <c r="P2191" s="6"/>
      <c r="Q2191" s="6"/>
      <c r="R2191" s="6"/>
      <c r="S2191" s="6"/>
      <c r="T2191" s="6"/>
    </row>
    <row r="2192" spans="4:20" x14ac:dyDescent="0.2">
      <c r="D2192" s="6"/>
      <c r="E2192" s="6"/>
      <c r="F2192" s="6"/>
      <c r="G2192" s="19"/>
      <c r="H2192" s="19"/>
      <c r="I2192" s="19"/>
      <c r="J2192" s="19"/>
      <c r="K2192" s="6"/>
      <c r="L2192" s="6"/>
      <c r="M2192" s="6"/>
      <c r="N2192" s="6"/>
      <c r="O2192" s="6"/>
      <c r="P2192" s="6"/>
      <c r="Q2192" s="6"/>
      <c r="R2192" s="6"/>
      <c r="S2192" s="6"/>
      <c r="T2192" s="6"/>
    </row>
    <row r="2193" spans="4:20" x14ac:dyDescent="0.2">
      <c r="D2193" s="6"/>
      <c r="E2193" s="6"/>
      <c r="F2193" s="6"/>
      <c r="G2193" s="19"/>
      <c r="H2193" s="19"/>
      <c r="I2193" s="19"/>
      <c r="J2193" s="19"/>
      <c r="K2193" s="6"/>
      <c r="L2193" s="6"/>
      <c r="M2193" s="6"/>
      <c r="N2193" s="6"/>
      <c r="O2193" s="6"/>
      <c r="P2193" s="6"/>
      <c r="Q2193" s="6"/>
      <c r="R2193" s="6"/>
      <c r="S2193" s="6"/>
      <c r="T2193" s="6"/>
    </row>
    <row r="2194" spans="4:20" x14ac:dyDescent="0.2">
      <c r="D2194" s="6"/>
      <c r="E2194" s="6"/>
      <c r="F2194" s="6"/>
      <c r="G2194" s="19"/>
      <c r="H2194" s="19"/>
      <c r="I2194" s="19"/>
      <c r="J2194" s="19"/>
      <c r="K2194" s="6"/>
      <c r="L2194" s="6"/>
      <c r="M2194" s="6"/>
      <c r="N2194" s="6"/>
      <c r="O2194" s="6"/>
      <c r="P2194" s="6"/>
      <c r="Q2194" s="6"/>
      <c r="R2194" s="6"/>
      <c r="S2194" s="6"/>
      <c r="T2194" s="6"/>
    </row>
    <row r="2195" spans="4:20" x14ac:dyDescent="0.2">
      <c r="D2195" s="6"/>
      <c r="E2195" s="6"/>
      <c r="F2195" s="6"/>
      <c r="G2195" s="19"/>
      <c r="H2195" s="19"/>
      <c r="I2195" s="19"/>
      <c r="J2195" s="19"/>
      <c r="K2195" s="6"/>
      <c r="L2195" s="6"/>
      <c r="M2195" s="6"/>
      <c r="N2195" s="6"/>
      <c r="O2195" s="6"/>
      <c r="P2195" s="6"/>
      <c r="Q2195" s="6"/>
      <c r="R2195" s="6"/>
      <c r="S2195" s="6"/>
      <c r="T2195" s="6"/>
    </row>
    <row r="2196" spans="4:20" x14ac:dyDescent="0.2">
      <c r="D2196" s="6"/>
      <c r="E2196" s="6"/>
      <c r="F2196" s="6"/>
      <c r="G2196" s="19"/>
      <c r="H2196" s="19"/>
      <c r="I2196" s="19"/>
      <c r="J2196" s="19"/>
      <c r="K2196" s="6"/>
      <c r="L2196" s="6"/>
      <c r="M2196" s="6"/>
      <c r="N2196" s="6"/>
      <c r="O2196" s="6"/>
      <c r="P2196" s="6"/>
      <c r="Q2196" s="6"/>
      <c r="R2196" s="6"/>
      <c r="S2196" s="6"/>
      <c r="T2196" s="6"/>
    </row>
    <row r="2197" spans="4:20" x14ac:dyDescent="0.2">
      <c r="D2197" s="6"/>
      <c r="E2197" s="6"/>
      <c r="F2197" s="6"/>
      <c r="G2197" s="19"/>
      <c r="H2197" s="19"/>
      <c r="I2197" s="19"/>
      <c r="J2197" s="19"/>
      <c r="K2197" s="6"/>
      <c r="L2197" s="6"/>
      <c r="M2197" s="6"/>
      <c r="N2197" s="6"/>
      <c r="O2197" s="6"/>
      <c r="P2197" s="6"/>
      <c r="Q2197" s="6"/>
      <c r="R2197" s="6"/>
      <c r="S2197" s="6"/>
      <c r="T2197" s="6"/>
    </row>
    <row r="2198" spans="4:20" x14ac:dyDescent="0.2">
      <c r="D2198" s="6"/>
      <c r="E2198" s="6"/>
      <c r="F2198" s="6"/>
      <c r="G2198" s="19"/>
      <c r="H2198" s="19"/>
      <c r="I2198" s="19"/>
      <c r="J2198" s="19"/>
      <c r="K2198" s="6"/>
      <c r="L2198" s="6"/>
      <c r="M2198" s="6"/>
      <c r="N2198" s="6"/>
      <c r="O2198" s="6"/>
      <c r="P2198" s="6"/>
      <c r="Q2198" s="6"/>
      <c r="R2198" s="6"/>
      <c r="S2198" s="6"/>
      <c r="T2198" s="6"/>
    </row>
    <row r="2199" spans="4:20" x14ac:dyDescent="0.2">
      <c r="D2199" s="6"/>
      <c r="E2199" s="6"/>
      <c r="F2199" s="6"/>
      <c r="G2199" s="19"/>
      <c r="H2199" s="19"/>
      <c r="I2199" s="19"/>
      <c r="J2199" s="19"/>
      <c r="K2199" s="6"/>
      <c r="L2199" s="6"/>
      <c r="M2199" s="6"/>
      <c r="N2199" s="6"/>
      <c r="O2199" s="6"/>
      <c r="P2199" s="6"/>
      <c r="Q2199" s="6"/>
      <c r="R2199" s="6"/>
      <c r="S2199" s="6"/>
      <c r="T2199" s="6"/>
    </row>
    <row r="2200" spans="4:20" x14ac:dyDescent="0.2">
      <c r="D2200" s="6"/>
      <c r="E2200" s="6"/>
      <c r="F2200" s="6"/>
      <c r="G2200" s="19"/>
      <c r="H2200" s="19"/>
      <c r="I2200" s="19"/>
      <c r="J2200" s="19"/>
      <c r="K2200" s="6"/>
      <c r="L2200" s="6"/>
      <c r="M2200" s="6"/>
      <c r="N2200" s="6"/>
      <c r="O2200" s="6"/>
      <c r="P2200" s="6"/>
      <c r="Q2200" s="6"/>
      <c r="R2200" s="6"/>
      <c r="S2200" s="6"/>
      <c r="T2200" s="6"/>
    </row>
    <row r="2201" spans="4:20" x14ac:dyDescent="0.2">
      <c r="D2201" s="6"/>
      <c r="E2201" s="6"/>
      <c r="F2201" s="6"/>
      <c r="G2201" s="19"/>
      <c r="H2201" s="19"/>
      <c r="I2201" s="19"/>
      <c r="J2201" s="19"/>
      <c r="K2201" s="6"/>
      <c r="L2201" s="6"/>
      <c r="M2201" s="6"/>
      <c r="N2201" s="6"/>
      <c r="O2201" s="6"/>
      <c r="P2201" s="6"/>
      <c r="Q2201" s="6"/>
      <c r="R2201" s="6"/>
      <c r="S2201" s="6"/>
      <c r="T2201" s="6"/>
    </row>
    <row r="2202" spans="4:20" x14ac:dyDescent="0.2">
      <c r="D2202" s="6"/>
      <c r="E2202" s="6"/>
      <c r="F2202" s="6"/>
      <c r="G2202" s="19"/>
      <c r="H2202" s="19"/>
      <c r="I2202" s="19"/>
      <c r="J2202" s="19"/>
      <c r="K2202" s="6"/>
      <c r="L2202" s="6"/>
      <c r="M2202" s="6"/>
      <c r="N2202" s="6"/>
      <c r="O2202" s="6"/>
      <c r="P2202" s="6"/>
      <c r="Q2202" s="6"/>
      <c r="R2202" s="6"/>
      <c r="S2202" s="6"/>
      <c r="T2202" s="6"/>
    </row>
    <row r="2203" spans="4:20" x14ac:dyDescent="0.2">
      <c r="D2203" s="6"/>
      <c r="E2203" s="6"/>
      <c r="F2203" s="6"/>
      <c r="G2203" s="19"/>
      <c r="H2203" s="19"/>
      <c r="I2203" s="19"/>
      <c r="J2203" s="19"/>
      <c r="K2203" s="6"/>
      <c r="L2203" s="6"/>
      <c r="M2203" s="6"/>
      <c r="N2203" s="6"/>
      <c r="O2203" s="6"/>
      <c r="P2203" s="6"/>
      <c r="Q2203" s="6"/>
      <c r="R2203" s="6"/>
      <c r="S2203" s="6"/>
      <c r="T2203" s="6"/>
    </row>
    <row r="2204" spans="4:20" x14ac:dyDescent="0.2">
      <c r="D2204" s="6"/>
      <c r="E2204" s="6"/>
      <c r="F2204" s="6"/>
      <c r="G2204" s="19"/>
      <c r="H2204" s="19"/>
      <c r="I2204" s="19"/>
      <c r="J2204" s="19"/>
      <c r="K2204" s="6"/>
      <c r="L2204" s="6"/>
      <c r="M2204" s="6"/>
      <c r="N2204" s="6"/>
      <c r="O2204" s="6"/>
      <c r="P2204" s="6"/>
      <c r="Q2204" s="6"/>
      <c r="R2204" s="6"/>
      <c r="S2204" s="6"/>
      <c r="T2204" s="6"/>
    </row>
    <row r="2205" spans="4:20" x14ac:dyDescent="0.2">
      <c r="D2205" s="6"/>
      <c r="E2205" s="6"/>
      <c r="F2205" s="6"/>
      <c r="G2205" s="19"/>
      <c r="H2205" s="19"/>
      <c r="I2205" s="19"/>
      <c r="J2205" s="19"/>
      <c r="K2205" s="6"/>
      <c r="L2205" s="6"/>
      <c r="M2205" s="6"/>
      <c r="N2205" s="6"/>
      <c r="O2205" s="6"/>
      <c r="P2205" s="6"/>
      <c r="Q2205" s="6"/>
      <c r="R2205" s="6"/>
      <c r="S2205" s="6"/>
      <c r="T2205" s="6"/>
    </row>
    <row r="2206" spans="4:20" x14ac:dyDescent="0.2">
      <c r="D2206" s="6"/>
      <c r="E2206" s="6"/>
      <c r="F2206" s="6"/>
      <c r="G2206" s="19"/>
      <c r="H2206" s="19"/>
      <c r="I2206" s="19"/>
      <c r="J2206" s="19"/>
      <c r="K2206" s="6"/>
      <c r="L2206" s="6"/>
      <c r="M2206" s="6"/>
      <c r="N2206" s="6"/>
      <c r="O2206" s="6"/>
      <c r="P2206" s="6"/>
      <c r="Q2206" s="6"/>
      <c r="R2206" s="6"/>
      <c r="S2206" s="6"/>
      <c r="T2206" s="6"/>
    </row>
    <row r="2207" spans="4:20" x14ac:dyDescent="0.2">
      <c r="D2207" s="6"/>
      <c r="E2207" s="6"/>
      <c r="F2207" s="6"/>
      <c r="G2207" s="19"/>
      <c r="H2207" s="19"/>
      <c r="I2207" s="19"/>
      <c r="J2207" s="19"/>
      <c r="K2207" s="6"/>
      <c r="L2207" s="6"/>
      <c r="M2207" s="6"/>
      <c r="N2207" s="6"/>
      <c r="O2207" s="6"/>
      <c r="P2207" s="6"/>
      <c r="Q2207" s="6"/>
      <c r="R2207" s="6"/>
      <c r="S2207" s="6"/>
      <c r="T2207" s="6"/>
    </row>
    <row r="2208" spans="4:20" x14ac:dyDescent="0.2">
      <c r="D2208" s="6"/>
      <c r="E2208" s="6"/>
      <c r="F2208" s="6"/>
      <c r="G2208" s="19"/>
      <c r="H2208" s="19"/>
      <c r="I2208" s="19"/>
      <c r="J2208" s="19"/>
      <c r="K2208" s="6"/>
      <c r="L2208" s="6"/>
      <c r="M2208" s="6"/>
      <c r="N2208" s="6"/>
      <c r="O2208" s="6"/>
      <c r="P2208" s="6"/>
      <c r="Q2208" s="6"/>
      <c r="R2208" s="6"/>
      <c r="S2208" s="6"/>
      <c r="T2208" s="6"/>
    </row>
    <row r="2209" spans="4:20" x14ac:dyDescent="0.2">
      <c r="D2209" s="6"/>
      <c r="E2209" s="6"/>
      <c r="F2209" s="6"/>
      <c r="G2209" s="19"/>
      <c r="H2209" s="19"/>
      <c r="I2209" s="19"/>
      <c r="J2209" s="19"/>
      <c r="K2209" s="6"/>
      <c r="L2209" s="6"/>
      <c r="M2209" s="6"/>
      <c r="N2209" s="6"/>
      <c r="O2209" s="6"/>
      <c r="P2209" s="6"/>
      <c r="Q2209" s="6"/>
      <c r="R2209" s="6"/>
      <c r="S2209" s="6"/>
      <c r="T2209" s="6"/>
    </row>
    <row r="2210" spans="4:20" x14ac:dyDescent="0.2">
      <c r="D2210" s="6"/>
      <c r="E2210" s="6"/>
      <c r="F2210" s="6"/>
      <c r="G2210" s="19"/>
      <c r="H2210" s="19"/>
      <c r="I2210" s="19"/>
      <c r="J2210" s="19"/>
      <c r="K2210" s="6"/>
      <c r="L2210" s="6"/>
      <c r="M2210" s="6"/>
      <c r="N2210" s="6"/>
      <c r="O2210" s="6"/>
      <c r="P2210" s="6"/>
      <c r="Q2210" s="6"/>
      <c r="R2210" s="6"/>
      <c r="S2210" s="6"/>
      <c r="T2210" s="6"/>
    </row>
    <row r="2211" spans="4:20" x14ac:dyDescent="0.2">
      <c r="D2211" s="6"/>
      <c r="E2211" s="6"/>
      <c r="F2211" s="6"/>
      <c r="G2211" s="19"/>
      <c r="H2211" s="19"/>
      <c r="I2211" s="19"/>
      <c r="J2211" s="19"/>
      <c r="K2211" s="6"/>
      <c r="L2211" s="6"/>
      <c r="M2211" s="6"/>
      <c r="N2211" s="6"/>
      <c r="O2211" s="6"/>
      <c r="P2211" s="6"/>
      <c r="Q2211" s="6"/>
      <c r="R2211" s="6"/>
      <c r="S2211" s="6"/>
      <c r="T2211" s="6"/>
    </row>
    <row r="2212" spans="4:20" x14ac:dyDescent="0.2">
      <c r="D2212" s="6"/>
      <c r="E2212" s="6"/>
      <c r="F2212" s="6"/>
      <c r="G2212" s="19"/>
      <c r="H2212" s="19"/>
      <c r="I2212" s="19"/>
      <c r="J2212" s="19"/>
      <c r="K2212" s="6"/>
      <c r="L2212" s="6"/>
      <c r="M2212" s="6"/>
      <c r="N2212" s="6"/>
      <c r="O2212" s="6"/>
      <c r="P2212" s="6"/>
      <c r="Q2212" s="6"/>
      <c r="R2212" s="6"/>
      <c r="S2212" s="6"/>
      <c r="T2212" s="6"/>
    </row>
    <row r="2213" spans="4:20" x14ac:dyDescent="0.2">
      <c r="D2213" s="6"/>
      <c r="E2213" s="6"/>
      <c r="F2213" s="6"/>
      <c r="G2213" s="19"/>
      <c r="H2213" s="19"/>
      <c r="I2213" s="19"/>
      <c r="J2213" s="19"/>
      <c r="K2213" s="6"/>
      <c r="L2213" s="6"/>
      <c r="M2213" s="6"/>
      <c r="N2213" s="6"/>
      <c r="O2213" s="6"/>
      <c r="P2213" s="6"/>
      <c r="Q2213" s="6"/>
      <c r="R2213" s="6"/>
      <c r="S2213" s="6"/>
      <c r="T2213" s="6"/>
    </row>
    <row r="2214" spans="4:20" x14ac:dyDescent="0.2">
      <c r="D2214" s="6"/>
      <c r="E2214" s="6"/>
      <c r="F2214" s="6"/>
      <c r="G2214" s="19"/>
      <c r="H2214" s="19"/>
      <c r="I2214" s="19"/>
      <c r="J2214" s="19"/>
      <c r="K2214" s="6"/>
      <c r="L2214" s="6"/>
      <c r="M2214" s="6"/>
      <c r="N2214" s="6"/>
      <c r="O2214" s="6"/>
      <c r="P2214" s="6"/>
      <c r="Q2214" s="6"/>
      <c r="R2214" s="6"/>
      <c r="S2214" s="6"/>
      <c r="T2214" s="6"/>
    </row>
    <row r="2215" spans="4:20" x14ac:dyDescent="0.2">
      <c r="D2215" s="6"/>
      <c r="E2215" s="6"/>
      <c r="F2215" s="6"/>
      <c r="G2215" s="19"/>
      <c r="H2215" s="19"/>
      <c r="I2215" s="19"/>
      <c r="J2215" s="19"/>
      <c r="K2215" s="6"/>
      <c r="L2215" s="6"/>
      <c r="M2215" s="6"/>
      <c r="N2215" s="6"/>
      <c r="O2215" s="6"/>
      <c r="P2215" s="6"/>
      <c r="Q2215" s="6"/>
      <c r="R2215" s="6"/>
      <c r="S2215" s="6"/>
      <c r="T2215" s="6"/>
    </row>
    <row r="2216" spans="4:20" x14ac:dyDescent="0.2">
      <c r="D2216" s="6"/>
      <c r="E2216" s="6"/>
      <c r="F2216" s="6"/>
      <c r="G2216" s="19"/>
      <c r="H2216" s="19"/>
      <c r="I2216" s="19"/>
      <c r="J2216" s="19"/>
      <c r="K2216" s="6"/>
      <c r="L2216" s="6"/>
      <c r="M2216" s="6"/>
      <c r="N2216" s="6"/>
      <c r="O2216" s="6"/>
      <c r="P2216" s="6"/>
      <c r="Q2216" s="6"/>
      <c r="R2216" s="6"/>
      <c r="S2216" s="6"/>
      <c r="T2216" s="6"/>
    </row>
    <row r="2217" spans="4:20" x14ac:dyDescent="0.2">
      <c r="D2217" s="6"/>
      <c r="E2217" s="6"/>
      <c r="F2217" s="6"/>
      <c r="G2217" s="19"/>
      <c r="H2217" s="19"/>
      <c r="I2217" s="19"/>
      <c r="J2217" s="19"/>
      <c r="K2217" s="6"/>
      <c r="L2217" s="6"/>
      <c r="M2217" s="6"/>
      <c r="N2217" s="6"/>
      <c r="O2217" s="6"/>
      <c r="P2217" s="6"/>
      <c r="Q2217" s="6"/>
      <c r="R2217" s="6"/>
      <c r="S2217" s="6"/>
      <c r="T2217" s="6"/>
    </row>
    <row r="2218" spans="4:20" x14ac:dyDescent="0.2">
      <c r="D2218" s="6"/>
      <c r="E2218" s="6"/>
      <c r="F2218" s="6"/>
      <c r="G2218" s="19"/>
      <c r="H2218" s="19"/>
      <c r="I2218" s="19"/>
      <c r="J2218" s="19"/>
      <c r="K2218" s="6"/>
      <c r="L2218" s="6"/>
      <c r="M2218" s="6"/>
      <c r="N2218" s="6"/>
      <c r="O2218" s="6"/>
      <c r="P2218" s="6"/>
      <c r="Q2218" s="6"/>
      <c r="R2218" s="6"/>
      <c r="S2218" s="6"/>
      <c r="T2218" s="6"/>
    </row>
    <row r="2219" spans="4:20" x14ac:dyDescent="0.2">
      <c r="D2219" s="6"/>
      <c r="E2219" s="6"/>
      <c r="F2219" s="6"/>
      <c r="G2219" s="19"/>
      <c r="H2219" s="19"/>
      <c r="I2219" s="19"/>
      <c r="J2219" s="19"/>
      <c r="K2219" s="6"/>
      <c r="L2219" s="6"/>
      <c r="M2219" s="6"/>
      <c r="N2219" s="6"/>
      <c r="O2219" s="6"/>
      <c r="P2219" s="6"/>
      <c r="Q2219" s="6"/>
      <c r="R2219" s="6"/>
      <c r="S2219" s="6"/>
      <c r="T2219" s="6"/>
    </row>
    <row r="2220" spans="4:20" x14ac:dyDescent="0.2">
      <c r="D2220" s="6"/>
      <c r="E2220" s="6"/>
      <c r="F2220" s="6"/>
      <c r="G2220" s="19"/>
      <c r="H2220" s="19"/>
      <c r="I2220" s="19"/>
      <c r="J2220" s="19"/>
      <c r="K2220" s="6"/>
      <c r="L2220" s="6"/>
      <c r="M2220" s="6"/>
      <c r="N2220" s="6"/>
      <c r="O2220" s="6"/>
      <c r="P2220" s="6"/>
      <c r="Q2220" s="6"/>
      <c r="R2220" s="6"/>
      <c r="S2220" s="6"/>
      <c r="T2220" s="6"/>
    </row>
    <row r="2221" spans="4:20" x14ac:dyDescent="0.2">
      <c r="D2221" s="6"/>
      <c r="E2221" s="6"/>
      <c r="F2221" s="6"/>
      <c r="G2221" s="19"/>
      <c r="H2221" s="19"/>
      <c r="I2221" s="19"/>
      <c r="J2221" s="19"/>
      <c r="K2221" s="6"/>
      <c r="L2221" s="6"/>
      <c r="M2221" s="6"/>
      <c r="N2221" s="6"/>
      <c r="O2221" s="6"/>
      <c r="P2221" s="6"/>
      <c r="Q2221" s="6"/>
      <c r="R2221" s="6"/>
      <c r="S2221" s="6"/>
      <c r="T2221" s="6"/>
    </row>
    <row r="2222" spans="4:20" x14ac:dyDescent="0.2">
      <c r="D2222" s="6"/>
      <c r="E2222" s="6"/>
      <c r="F2222" s="6"/>
      <c r="G2222" s="19"/>
      <c r="H2222" s="19"/>
      <c r="I2222" s="19"/>
      <c r="J2222" s="19"/>
      <c r="K2222" s="6"/>
      <c r="L2222" s="6"/>
      <c r="M2222" s="6"/>
      <c r="N2222" s="6"/>
      <c r="O2222" s="6"/>
      <c r="P2222" s="6"/>
      <c r="Q2222" s="6"/>
      <c r="R2222" s="6"/>
      <c r="S2222" s="6"/>
      <c r="T2222" s="6"/>
    </row>
    <row r="2223" spans="4:20" x14ac:dyDescent="0.2">
      <c r="D2223" s="6"/>
      <c r="E2223" s="6"/>
      <c r="F2223" s="6"/>
      <c r="G2223" s="19"/>
      <c r="H2223" s="19"/>
      <c r="I2223" s="19"/>
      <c r="J2223" s="19"/>
      <c r="K2223" s="6"/>
      <c r="L2223" s="6"/>
      <c r="M2223" s="6"/>
      <c r="N2223" s="6"/>
      <c r="O2223" s="6"/>
      <c r="P2223" s="6"/>
      <c r="Q2223" s="6"/>
      <c r="R2223" s="6"/>
      <c r="S2223" s="6"/>
      <c r="T2223" s="6"/>
    </row>
    <row r="2224" spans="4:20" x14ac:dyDescent="0.2">
      <c r="D2224" s="6"/>
      <c r="E2224" s="6"/>
      <c r="F2224" s="6"/>
      <c r="G2224" s="19"/>
      <c r="H2224" s="19"/>
      <c r="I2224" s="19"/>
      <c r="J2224" s="19"/>
      <c r="K2224" s="6"/>
      <c r="L2224" s="6"/>
      <c r="M2224" s="6"/>
      <c r="N2224" s="6"/>
      <c r="O2224" s="6"/>
      <c r="P2224" s="6"/>
      <c r="Q2224" s="6"/>
      <c r="R2224" s="6"/>
      <c r="S2224" s="6"/>
      <c r="T2224" s="6"/>
    </row>
    <row r="2225" spans="4:20" x14ac:dyDescent="0.2">
      <c r="D2225" s="6"/>
      <c r="E2225" s="6"/>
      <c r="F2225" s="6"/>
      <c r="G2225" s="19"/>
      <c r="H2225" s="19"/>
      <c r="I2225" s="19"/>
      <c r="J2225" s="19"/>
      <c r="K2225" s="6"/>
      <c r="L2225" s="6"/>
      <c r="M2225" s="6"/>
      <c r="N2225" s="6"/>
      <c r="O2225" s="6"/>
      <c r="P2225" s="6"/>
      <c r="Q2225" s="6"/>
      <c r="R2225" s="6"/>
      <c r="S2225" s="6"/>
      <c r="T2225" s="6"/>
    </row>
    <row r="2226" spans="4:20" x14ac:dyDescent="0.2">
      <c r="D2226" s="6"/>
      <c r="E2226" s="6"/>
      <c r="F2226" s="6"/>
      <c r="G2226" s="19"/>
      <c r="H2226" s="19"/>
      <c r="I2226" s="19"/>
      <c r="J2226" s="19"/>
      <c r="K2226" s="6"/>
      <c r="L2226" s="6"/>
      <c r="M2226" s="6"/>
      <c r="N2226" s="6"/>
      <c r="O2226" s="6"/>
      <c r="P2226" s="6"/>
      <c r="Q2226" s="6"/>
      <c r="R2226" s="6"/>
      <c r="S2226" s="6"/>
      <c r="T2226" s="6"/>
    </row>
    <row r="2227" spans="4:20" x14ac:dyDescent="0.2">
      <c r="D2227" s="6"/>
      <c r="E2227" s="6"/>
      <c r="F2227" s="6"/>
      <c r="G2227" s="19"/>
      <c r="H2227" s="19"/>
      <c r="I2227" s="19"/>
      <c r="J2227" s="19"/>
      <c r="K2227" s="6"/>
      <c r="L2227" s="6"/>
      <c r="M2227" s="6"/>
      <c r="N2227" s="6"/>
      <c r="O2227" s="6"/>
      <c r="P2227" s="6"/>
      <c r="Q2227" s="6"/>
      <c r="R2227" s="6"/>
      <c r="S2227" s="6"/>
      <c r="T2227" s="6"/>
    </row>
    <row r="2228" spans="4:20" x14ac:dyDescent="0.2">
      <c r="D2228" s="6"/>
      <c r="E2228" s="6"/>
      <c r="F2228" s="6"/>
      <c r="G2228" s="19"/>
      <c r="H2228" s="19"/>
      <c r="I2228" s="19"/>
      <c r="J2228" s="19"/>
      <c r="K2228" s="6"/>
      <c r="L2228" s="6"/>
      <c r="M2228" s="6"/>
      <c r="N2228" s="6"/>
      <c r="O2228" s="6"/>
      <c r="P2228" s="6"/>
      <c r="Q2228" s="6"/>
      <c r="R2228" s="6"/>
      <c r="S2228" s="6"/>
      <c r="T2228" s="6"/>
    </row>
    <row r="2229" spans="4:20" x14ac:dyDescent="0.2">
      <c r="D2229" s="6"/>
      <c r="E2229" s="6"/>
      <c r="F2229" s="6"/>
      <c r="G2229" s="19"/>
      <c r="H2229" s="19"/>
      <c r="I2229" s="19"/>
      <c r="J2229" s="19"/>
      <c r="K2229" s="6"/>
      <c r="L2229" s="6"/>
      <c r="M2229" s="6"/>
      <c r="N2229" s="6"/>
      <c r="O2229" s="6"/>
      <c r="P2229" s="6"/>
      <c r="Q2229" s="6"/>
      <c r="R2229" s="6"/>
      <c r="S2229" s="6"/>
      <c r="T2229" s="6"/>
    </row>
    <row r="2230" spans="4:20" x14ac:dyDescent="0.2">
      <c r="D2230" s="6"/>
      <c r="E2230" s="6"/>
      <c r="F2230" s="6"/>
      <c r="G2230" s="19"/>
      <c r="H2230" s="19"/>
      <c r="I2230" s="19"/>
      <c r="J2230" s="19"/>
      <c r="K2230" s="6"/>
      <c r="L2230" s="6"/>
      <c r="M2230" s="6"/>
      <c r="N2230" s="6"/>
      <c r="O2230" s="6"/>
      <c r="P2230" s="6"/>
      <c r="Q2230" s="6"/>
      <c r="R2230" s="6"/>
      <c r="S2230" s="6"/>
      <c r="T2230" s="6"/>
    </row>
    <row r="2231" spans="4:20" x14ac:dyDescent="0.2">
      <c r="D2231" s="6"/>
      <c r="E2231" s="6"/>
      <c r="F2231" s="6"/>
      <c r="G2231" s="19"/>
      <c r="H2231" s="19"/>
      <c r="I2231" s="19"/>
      <c r="J2231" s="19"/>
      <c r="K2231" s="6"/>
      <c r="L2231" s="6"/>
      <c r="M2231" s="6"/>
      <c r="N2231" s="6"/>
      <c r="O2231" s="6"/>
      <c r="P2231" s="6"/>
      <c r="Q2231" s="6"/>
      <c r="R2231" s="6"/>
      <c r="S2231" s="6"/>
      <c r="T2231" s="6"/>
    </row>
    <row r="2232" spans="4:20" x14ac:dyDescent="0.2">
      <c r="D2232" s="6"/>
      <c r="E2232" s="6"/>
      <c r="F2232" s="6"/>
      <c r="G2232" s="19"/>
      <c r="H2232" s="19"/>
      <c r="I2232" s="19"/>
      <c r="J2232" s="19"/>
      <c r="K2232" s="6"/>
      <c r="L2232" s="6"/>
      <c r="M2232" s="6"/>
      <c r="N2232" s="6"/>
      <c r="O2232" s="6"/>
      <c r="P2232" s="6"/>
      <c r="Q2232" s="6"/>
      <c r="R2232" s="6"/>
      <c r="S2232" s="6"/>
      <c r="T2232" s="6"/>
    </row>
    <row r="2233" spans="4:20" x14ac:dyDescent="0.2">
      <c r="D2233" s="6"/>
      <c r="E2233" s="6"/>
      <c r="F2233" s="6"/>
      <c r="G2233" s="19"/>
      <c r="H2233" s="19"/>
      <c r="I2233" s="19"/>
      <c r="J2233" s="19"/>
      <c r="K2233" s="6"/>
      <c r="L2233" s="6"/>
      <c r="M2233" s="6"/>
      <c r="N2233" s="6"/>
      <c r="O2233" s="6"/>
      <c r="P2233" s="6"/>
      <c r="Q2233" s="6"/>
      <c r="R2233" s="6"/>
      <c r="S2233" s="6"/>
      <c r="T2233" s="6"/>
    </row>
    <row r="2234" spans="4:20" x14ac:dyDescent="0.2">
      <c r="D2234" s="6"/>
      <c r="E2234" s="6"/>
      <c r="F2234" s="6"/>
      <c r="G2234" s="19"/>
      <c r="H2234" s="19"/>
      <c r="I2234" s="19"/>
      <c r="J2234" s="19"/>
      <c r="K2234" s="6"/>
      <c r="L2234" s="6"/>
      <c r="M2234" s="6"/>
      <c r="N2234" s="6"/>
      <c r="O2234" s="6"/>
      <c r="P2234" s="6"/>
      <c r="Q2234" s="6"/>
      <c r="R2234" s="6"/>
      <c r="S2234" s="6"/>
      <c r="T2234" s="6"/>
    </row>
    <row r="2235" spans="4:20" x14ac:dyDescent="0.2">
      <c r="D2235" s="6"/>
      <c r="E2235" s="6"/>
      <c r="F2235" s="6"/>
      <c r="G2235" s="19"/>
      <c r="H2235" s="19"/>
      <c r="I2235" s="19"/>
      <c r="J2235" s="19"/>
      <c r="K2235" s="6"/>
      <c r="L2235" s="6"/>
      <c r="M2235" s="6"/>
      <c r="N2235" s="6"/>
      <c r="O2235" s="6"/>
      <c r="P2235" s="6"/>
      <c r="Q2235" s="6"/>
      <c r="R2235" s="6"/>
      <c r="S2235" s="6"/>
      <c r="T2235" s="6"/>
    </row>
    <row r="2236" spans="4:20" x14ac:dyDescent="0.2">
      <c r="D2236" s="6"/>
      <c r="E2236" s="6"/>
      <c r="F2236" s="6"/>
      <c r="G2236" s="19"/>
      <c r="H2236" s="19"/>
      <c r="I2236" s="19"/>
      <c r="J2236" s="19"/>
      <c r="K2236" s="6"/>
      <c r="L2236" s="6"/>
      <c r="M2236" s="6"/>
      <c r="N2236" s="6"/>
      <c r="O2236" s="6"/>
      <c r="P2236" s="6"/>
      <c r="Q2236" s="6"/>
      <c r="R2236" s="6"/>
      <c r="S2236" s="6"/>
      <c r="T2236" s="6"/>
    </row>
    <row r="2237" spans="4:20" x14ac:dyDescent="0.2">
      <c r="D2237" s="6"/>
      <c r="E2237" s="6"/>
      <c r="F2237" s="6"/>
      <c r="G2237" s="19"/>
      <c r="H2237" s="19"/>
      <c r="I2237" s="19"/>
      <c r="J2237" s="19"/>
      <c r="K2237" s="6"/>
      <c r="L2237" s="6"/>
      <c r="M2237" s="6"/>
      <c r="N2237" s="6"/>
      <c r="O2237" s="6"/>
      <c r="P2237" s="6"/>
      <c r="Q2237" s="6"/>
      <c r="R2237" s="6"/>
      <c r="S2237" s="6"/>
      <c r="T2237" s="6"/>
    </row>
    <row r="2238" spans="4:20" x14ac:dyDescent="0.2">
      <c r="D2238" s="6"/>
      <c r="E2238" s="6"/>
      <c r="F2238" s="6"/>
      <c r="G2238" s="19"/>
      <c r="H2238" s="19"/>
      <c r="I2238" s="19"/>
      <c r="J2238" s="19"/>
      <c r="K2238" s="6"/>
      <c r="L2238" s="6"/>
      <c r="M2238" s="6"/>
      <c r="N2238" s="6"/>
      <c r="O2238" s="6"/>
      <c r="P2238" s="6"/>
      <c r="Q2238" s="6"/>
      <c r="R2238" s="6"/>
      <c r="S2238" s="6"/>
      <c r="T2238" s="6"/>
    </row>
    <row r="2239" spans="4:20" x14ac:dyDescent="0.2">
      <c r="D2239" s="6"/>
      <c r="E2239" s="6"/>
      <c r="F2239" s="6"/>
      <c r="G2239" s="19"/>
      <c r="H2239" s="19"/>
      <c r="I2239" s="19"/>
      <c r="J2239" s="19"/>
      <c r="K2239" s="6"/>
      <c r="L2239" s="6"/>
      <c r="M2239" s="6"/>
      <c r="N2239" s="6"/>
      <c r="O2239" s="6"/>
      <c r="P2239" s="6"/>
      <c r="Q2239" s="6"/>
      <c r="R2239" s="6"/>
      <c r="S2239" s="6"/>
      <c r="T2239" s="6"/>
    </row>
    <row r="2240" spans="4:20" x14ac:dyDescent="0.2">
      <c r="D2240" s="6"/>
      <c r="E2240" s="6"/>
      <c r="F2240" s="6"/>
      <c r="G2240" s="19"/>
      <c r="H2240" s="19"/>
      <c r="I2240" s="19"/>
      <c r="J2240" s="19"/>
      <c r="K2240" s="6"/>
      <c r="L2240" s="6"/>
      <c r="M2240" s="6"/>
      <c r="N2240" s="6"/>
      <c r="O2240" s="6"/>
      <c r="P2240" s="6"/>
      <c r="Q2240" s="6"/>
      <c r="R2240" s="6"/>
      <c r="S2240" s="6"/>
      <c r="T2240" s="6"/>
    </row>
    <row r="2241" spans="4:20" x14ac:dyDescent="0.2">
      <c r="D2241" s="6"/>
      <c r="E2241" s="6"/>
      <c r="F2241" s="6"/>
      <c r="G2241" s="19"/>
      <c r="H2241" s="19"/>
      <c r="I2241" s="19"/>
      <c r="J2241" s="19"/>
      <c r="K2241" s="6"/>
      <c r="L2241" s="6"/>
      <c r="M2241" s="6"/>
      <c r="N2241" s="6"/>
      <c r="O2241" s="6"/>
      <c r="P2241" s="6"/>
      <c r="Q2241" s="6"/>
      <c r="R2241" s="6"/>
      <c r="S2241" s="6"/>
      <c r="T2241" s="6"/>
    </row>
    <row r="2242" spans="4:20" x14ac:dyDescent="0.2">
      <c r="D2242" s="6"/>
      <c r="E2242" s="6"/>
      <c r="F2242" s="6"/>
      <c r="G2242" s="19"/>
      <c r="H2242" s="19"/>
      <c r="I2242" s="19"/>
      <c r="J2242" s="19"/>
      <c r="K2242" s="6"/>
      <c r="L2242" s="6"/>
      <c r="M2242" s="6"/>
      <c r="N2242" s="6"/>
      <c r="O2242" s="6"/>
      <c r="P2242" s="6"/>
      <c r="Q2242" s="6"/>
      <c r="R2242" s="6"/>
      <c r="S2242" s="6"/>
      <c r="T2242" s="6"/>
    </row>
    <row r="2243" spans="4:20" x14ac:dyDescent="0.2">
      <c r="D2243" s="6"/>
      <c r="E2243" s="6"/>
      <c r="F2243" s="6"/>
      <c r="G2243" s="19"/>
      <c r="H2243" s="19"/>
      <c r="I2243" s="19"/>
      <c r="J2243" s="19"/>
      <c r="K2243" s="6"/>
      <c r="L2243" s="6"/>
      <c r="M2243" s="6"/>
      <c r="N2243" s="6"/>
      <c r="O2243" s="6"/>
      <c r="P2243" s="6"/>
      <c r="Q2243" s="6"/>
      <c r="R2243" s="6"/>
      <c r="S2243" s="6"/>
      <c r="T2243" s="6"/>
    </row>
    <row r="2244" spans="4:20" x14ac:dyDescent="0.2">
      <c r="D2244" s="6"/>
      <c r="E2244" s="6"/>
      <c r="F2244" s="6"/>
      <c r="G2244" s="19"/>
      <c r="H2244" s="19"/>
      <c r="I2244" s="19"/>
      <c r="J2244" s="19"/>
      <c r="K2244" s="6"/>
      <c r="L2244" s="6"/>
      <c r="M2244" s="6"/>
      <c r="N2244" s="6"/>
      <c r="O2244" s="6"/>
      <c r="P2244" s="6"/>
      <c r="Q2244" s="6"/>
      <c r="R2244" s="6"/>
      <c r="S2244" s="6"/>
      <c r="T2244" s="6"/>
    </row>
    <row r="2245" spans="4:20" x14ac:dyDescent="0.2">
      <c r="D2245" s="6"/>
      <c r="E2245" s="6"/>
      <c r="F2245" s="6"/>
      <c r="G2245" s="19"/>
      <c r="H2245" s="19"/>
      <c r="I2245" s="19"/>
      <c r="J2245" s="19"/>
      <c r="K2245" s="6"/>
      <c r="L2245" s="6"/>
      <c r="M2245" s="6"/>
      <c r="N2245" s="6"/>
      <c r="O2245" s="6"/>
      <c r="P2245" s="6"/>
      <c r="Q2245" s="6"/>
      <c r="R2245" s="6"/>
      <c r="S2245" s="6"/>
      <c r="T2245" s="6"/>
    </row>
    <row r="2246" spans="4:20" x14ac:dyDescent="0.2">
      <c r="D2246" s="6"/>
      <c r="E2246" s="6"/>
      <c r="F2246" s="6"/>
      <c r="G2246" s="19"/>
      <c r="H2246" s="19"/>
      <c r="I2246" s="19"/>
      <c r="J2246" s="19"/>
      <c r="K2246" s="6"/>
      <c r="L2246" s="6"/>
      <c r="M2246" s="6"/>
      <c r="N2246" s="6"/>
      <c r="O2246" s="6"/>
      <c r="P2246" s="6"/>
      <c r="Q2246" s="6"/>
      <c r="R2246" s="6"/>
      <c r="S2246" s="6"/>
      <c r="T2246" s="6"/>
    </row>
    <row r="2247" spans="4:20" x14ac:dyDescent="0.2">
      <c r="D2247" s="6"/>
      <c r="E2247" s="6"/>
      <c r="F2247" s="6"/>
      <c r="G2247" s="19"/>
      <c r="H2247" s="19"/>
      <c r="I2247" s="19"/>
      <c r="J2247" s="19"/>
      <c r="K2247" s="6"/>
      <c r="L2247" s="6"/>
      <c r="M2247" s="6"/>
      <c r="N2247" s="6"/>
      <c r="O2247" s="6"/>
      <c r="P2247" s="6"/>
      <c r="Q2247" s="6"/>
      <c r="R2247" s="6"/>
      <c r="S2247" s="6"/>
      <c r="T2247" s="6"/>
    </row>
    <row r="2248" spans="4:20" x14ac:dyDescent="0.2">
      <c r="D2248" s="6"/>
      <c r="E2248" s="6"/>
      <c r="F2248" s="6"/>
      <c r="G2248" s="19"/>
      <c r="H2248" s="19"/>
      <c r="I2248" s="19"/>
      <c r="J2248" s="19"/>
      <c r="K2248" s="6"/>
      <c r="L2248" s="6"/>
      <c r="M2248" s="6"/>
      <c r="N2248" s="6"/>
      <c r="O2248" s="6"/>
      <c r="P2248" s="6"/>
      <c r="Q2248" s="6"/>
      <c r="R2248" s="6"/>
      <c r="S2248" s="6"/>
      <c r="T2248" s="6"/>
    </row>
    <row r="2249" spans="4:20" x14ac:dyDescent="0.2">
      <c r="D2249" s="6"/>
      <c r="E2249" s="6"/>
      <c r="F2249" s="6"/>
      <c r="G2249" s="19"/>
      <c r="H2249" s="19"/>
      <c r="I2249" s="19"/>
      <c r="J2249" s="19"/>
      <c r="K2249" s="6"/>
      <c r="L2249" s="6"/>
      <c r="M2249" s="6"/>
      <c r="N2249" s="6"/>
      <c r="O2249" s="6"/>
      <c r="P2249" s="6"/>
      <c r="Q2249" s="6"/>
      <c r="R2249" s="6"/>
      <c r="S2249" s="6"/>
      <c r="T2249" s="6"/>
    </row>
    <row r="2250" spans="4:20" x14ac:dyDescent="0.2">
      <c r="D2250" s="6"/>
      <c r="E2250" s="6"/>
      <c r="F2250" s="6"/>
      <c r="G2250" s="19"/>
      <c r="H2250" s="19"/>
      <c r="I2250" s="19"/>
      <c r="J2250" s="19"/>
      <c r="K2250" s="6"/>
      <c r="L2250" s="6"/>
      <c r="M2250" s="6"/>
      <c r="N2250" s="6"/>
      <c r="O2250" s="6"/>
      <c r="P2250" s="6"/>
      <c r="Q2250" s="6"/>
      <c r="R2250" s="6"/>
      <c r="S2250" s="6"/>
      <c r="T2250" s="6"/>
    </row>
    <row r="2251" spans="4:20" x14ac:dyDescent="0.2">
      <c r="D2251" s="6"/>
      <c r="E2251" s="6"/>
      <c r="F2251" s="6"/>
      <c r="G2251" s="19"/>
      <c r="H2251" s="19"/>
      <c r="I2251" s="19"/>
      <c r="J2251" s="19"/>
      <c r="K2251" s="6"/>
      <c r="L2251" s="6"/>
      <c r="M2251" s="6"/>
      <c r="N2251" s="6"/>
      <c r="O2251" s="6"/>
      <c r="P2251" s="6"/>
      <c r="Q2251" s="6"/>
      <c r="R2251" s="6"/>
      <c r="S2251" s="6"/>
      <c r="T2251" s="6"/>
    </row>
    <row r="2252" spans="4:20" x14ac:dyDescent="0.2">
      <c r="D2252" s="6"/>
      <c r="E2252" s="6"/>
      <c r="F2252" s="6"/>
      <c r="G2252" s="19"/>
      <c r="H2252" s="19"/>
      <c r="I2252" s="19"/>
      <c r="J2252" s="19"/>
      <c r="K2252" s="6"/>
      <c r="L2252" s="6"/>
      <c r="M2252" s="6"/>
      <c r="N2252" s="6"/>
      <c r="O2252" s="6"/>
      <c r="P2252" s="6"/>
      <c r="Q2252" s="6"/>
      <c r="R2252" s="6"/>
      <c r="S2252" s="6"/>
      <c r="T2252" s="6"/>
    </row>
    <row r="2253" spans="4:20" x14ac:dyDescent="0.2">
      <c r="D2253" s="6"/>
      <c r="E2253" s="6"/>
      <c r="F2253" s="6"/>
      <c r="G2253" s="19"/>
      <c r="H2253" s="19"/>
      <c r="I2253" s="19"/>
      <c r="J2253" s="19"/>
      <c r="K2253" s="6"/>
      <c r="L2253" s="6"/>
      <c r="M2253" s="6"/>
      <c r="N2253" s="6"/>
      <c r="O2253" s="6"/>
      <c r="P2253" s="6"/>
      <c r="Q2253" s="6"/>
      <c r="R2253" s="6"/>
      <c r="S2253" s="6"/>
      <c r="T2253" s="6"/>
    </row>
    <row r="2254" spans="4:20" x14ac:dyDescent="0.2">
      <c r="D2254" s="6"/>
      <c r="E2254" s="6"/>
      <c r="F2254" s="6"/>
      <c r="G2254" s="19"/>
      <c r="H2254" s="19"/>
      <c r="I2254" s="19"/>
      <c r="J2254" s="19"/>
      <c r="K2254" s="6"/>
      <c r="L2254" s="6"/>
      <c r="M2254" s="6"/>
      <c r="N2254" s="6"/>
      <c r="O2254" s="6"/>
      <c r="P2254" s="6"/>
      <c r="Q2254" s="6"/>
      <c r="R2254" s="6"/>
      <c r="S2254" s="6"/>
      <c r="T2254" s="6"/>
    </row>
    <row r="2255" spans="4:20" x14ac:dyDescent="0.2">
      <c r="D2255" s="6"/>
      <c r="E2255" s="6"/>
      <c r="F2255" s="6"/>
      <c r="G2255" s="19"/>
      <c r="H2255" s="19"/>
      <c r="I2255" s="19"/>
      <c r="J2255" s="19"/>
      <c r="K2255" s="6"/>
      <c r="L2255" s="6"/>
      <c r="M2255" s="6"/>
      <c r="N2255" s="6"/>
      <c r="O2255" s="6"/>
      <c r="P2255" s="6"/>
      <c r="Q2255" s="6"/>
      <c r="R2255" s="6"/>
      <c r="S2255" s="6"/>
      <c r="T2255" s="6"/>
    </row>
    <row r="2256" spans="4:20" x14ac:dyDescent="0.2">
      <c r="D2256" s="6"/>
      <c r="E2256" s="6"/>
      <c r="F2256" s="6"/>
      <c r="G2256" s="19"/>
      <c r="H2256" s="19"/>
      <c r="I2256" s="19"/>
      <c r="J2256" s="19"/>
      <c r="K2256" s="6"/>
      <c r="L2256" s="6"/>
      <c r="M2256" s="6"/>
      <c r="N2256" s="6"/>
      <c r="O2256" s="6"/>
      <c r="P2256" s="6"/>
      <c r="Q2256" s="6"/>
      <c r="R2256" s="6"/>
      <c r="S2256" s="6"/>
      <c r="T2256" s="6"/>
    </row>
    <row r="2257" spans="4:20" x14ac:dyDescent="0.2">
      <c r="D2257" s="6"/>
      <c r="E2257" s="6"/>
      <c r="F2257" s="6"/>
      <c r="G2257" s="19"/>
      <c r="H2257" s="19"/>
      <c r="I2257" s="19"/>
      <c r="J2257" s="19"/>
      <c r="K2257" s="6"/>
      <c r="L2257" s="6"/>
      <c r="M2257" s="6"/>
      <c r="N2257" s="6"/>
      <c r="O2257" s="6"/>
      <c r="P2257" s="6"/>
      <c r="Q2257" s="6"/>
      <c r="R2257" s="6"/>
      <c r="S2257" s="6"/>
      <c r="T2257" s="6"/>
    </row>
    <row r="2258" spans="4:20" x14ac:dyDescent="0.2">
      <c r="D2258" s="6"/>
      <c r="E2258" s="6"/>
      <c r="F2258" s="6"/>
      <c r="G2258" s="19"/>
      <c r="H2258" s="19"/>
      <c r="I2258" s="19"/>
      <c r="J2258" s="19"/>
      <c r="K2258" s="6"/>
      <c r="L2258" s="6"/>
      <c r="M2258" s="6"/>
      <c r="N2258" s="6"/>
      <c r="O2258" s="6"/>
      <c r="P2258" s="6"/>
      <c r="Q2258" s="6"/>
      <c r="R2258" s="6"/>
      <c r="S2258" s="6"/>
      <c r="T2258" s="6"/>
    </row>
    <row r="2259" spans="4:20" x14ac:dyDescent="0.2">
      <c r="D2259" s="6"/>
      <c r="E2259" s="6"/>
      <c r="F2259" s="6"/>
      <c r="G2259" s="19"/>
      <c r="H2259" s="19"/>
      <c r="I2259" s="19"/>
      <c r="J2259" s="19"/>
      <c r="K2259" s="6"/>
      <c r="L2259" s="6"/>
      <c r="M2259" s="6"/>
      <c r="N2259" s="6"/>
      <c r="O2259" s="6"/>
      <c r="P2259" s="6"/>
      <c r="Q2259" s="6"/>
      <c r="R2259" s="6"/>
      <c r="S2259" s="6"/>
      <c r="T2259" s="6"/>
    </row>
    <row r="2260" spans="4:20" x14ac:dyDescent="0.2">
      <c r="D2260" s="6"/>
      <c r="E2260" s="6"/>
      <c r="F2260" s="6"/>
      <c r="G2260" s="19"/>
      <c r="H2260" s="19"/>
      <c r="I2260" s="19"/>
      <c r="J2260" s="19"/>
      <c r="K2260" s="6"/>
      <c r="L2260" s="6"/>
      <c r="M2260" s="6"/>
      <c r="N2260" s="6"/>
      <c r="O2260" s="6"/>
      <c r="P2260" s="6"/>
      <c r="Q2260" s="6"/>
      <c r="R2260" s="6"/>
      <c r="S2260" s="6"/>
      <c r="T2260" s="6"/>
    </row>
    <row r="2261" spans="4:20" x14ac:dyDescent="0.2">
      <c r="D2261" s="6"/>
      <c r="E2261" s="6"/>
      <c r="F2261" s="6"/>
      <c r="G2261" s="19"/>
      <c r="H2261" s="19"/>
      <c r="I2261" s="19"/>
      <c r="J2261" s="19"/>
      <c r="K2261" s="6"/>
      <c r="L2261" s="6"/>
      <c r="M2261" s="6"/>
      <c r="N2261" s="6"/>
      <c r="O2261" s="6"/>
      <c r="P2261" s="6"/>
      <c r="Q2261" s="6"/>
      <c r="R2261" s="6"/>
      <c r="S2261" s="6"/>
      <c r="T2261" s="6"/>
    </row>
    <row r="2262" spans="4:20" x14ac:dyDescent="0.2">
      <c r="D2262" s="6"/>
      <c r="E2262" s="6"/>
      <c r="F2262" s="6"/>
      <c r="G2262" s="19"/>
      <c r="H2262" s="19"/>
      <c r="I2262" s="19"/>
      <c r="J2262" s="19"/>
      <c r="K2262" s="6"/>
      <c r="L2262" s="6"/>
      <c r="M2262" s="6"/>
      <c r="N2262" s="6"/>
      <c r="O2262" s="6"/>
      <c r="P2262" s="6"/>
      <c r="Q2262" s="6"/>
      <c r="R2262" s="6"/>
      <c r="S2262" s="6"/>
      <c r="T2262" s="6"/>
    </row>
    <row r="2263" spans="4:20" x14ac:dyDescent="0.2">
      <c r="D2263" s="6"/>
      <c r="E2263" s="6"/>
      <c r="F2263" s="6"/>
      <c r="G2263" s="19"/>
      <c r="H2263" s="19"/>
      <c r="I2263" s="19"/>
      <c r="J2263" s="19"/>
      <c r="K2263" s="6"/>
      <c r="L2263" s="6"/>
      <c r="M2263" s="6"/>
      <c r="N2263" s="6"/>
      <c r="O2263" s="6"/>
      <c r="P2263" s="6"/>
      <c r="Q2263" s="6"/>
      <c r="R2263" s="6"/>
      <c r="S2263" s="6"/>
      <c r="T2263" s="6"/>
    </row>
    <row r="2264" spans="4:20" x14ac:dyDescent="0.2">
      <c r="D2264" s="6"/>
      <c r="E2264" s="6"/>
      <c r="F2264" s="6"/>
      <c r="G2264" s="19"/>
      <c r="H2264" s="19"/>
      <c r="I2264" s="19"/>
      <c r="J2264" s="19"/>
      <c r="K2264" s="6"/>
      <c r="L2264" s="6"/>
      <c r="M2264" s="6"/>
      <c r="N2264" s="6"/>
      <c r="O2264" s="6"/>
      <c r="P2264" s="6"/>
      <c r="Q2264" s="6"/>
      <c r="R2264" s="6"/>
      <c r="S2264" s="6"/>
      <c r="T2264" s="6"/>
    </row>
    <row r="2265" spans="4:20" x14ac:dyDescent="0.2">
      <c r="D2265" s="6"/>
      <c r="E2265" s="6"/>
      <c r="F2265" s="6"/>
      <c r="G2265" s="19"/>
      <c r="H2265" s="19"/>
      <c r="I2265" s="19"/>
      <c r="J2265" s="19"/>
      <c r="K2265" s="6"/>
      <c r="L2265" s="6"/>
      <c r="M2265" s="6"/>
      <c r="N2265" s="6"/>
      <c r="O2265" s="6"/>
      <c r="P2265" s="6"/>
      <c r="Q2265" s="6"/>
      <c r="R2265" s="6"/>
      <c r="S2265" s="6"/>
      <c r="T2265" s="6"/>
    </row>
    <row r="2266" spans="4:20" x14ac:dyDescent="0.2">
      <c r="D2266" s="6"/>
      <c r="E2266" s="6"/>
      <c r="F2266" s="6"/>
      <c r="G2266" s="19"/>
      <c r="H2266" s="19"/>
      <c r="I2266" s="19"/>
      <c r="J2266" s="19"/>
      <c r="K2266" s="6"/>
      <c r="L2266" s="6"/>
      <c r="M2266" s="6"/>
      <c r="N2266" s="6"/>
      <c r="O2266" s="6"/>
      <c r="P2266" s="6"/>
      <c r="Q2266" s="6"/>
      <c r="R2266" s="6"/>
      <c r="S2266" s="6"/>
      <c r="T2266" s="6"/>
    </row>
    <row r="2267" spans="4:20" x14ac:dyDescent="0.2">
      <c r="D2267" s="6"/>
      <c r="E2267" s="6"/>
      <c r="F2267" s="6"/>
      <c r="G2267" s="19"/>
      <c r="H2267" s="19"/>
      <c r="I2267" s="19"/>
      <c r="J2267" s="19"/>
      <c r="K2267" s="6"/>
      <c r="L2267" s="6"/>
      <c r="M2267" s="6"/>
      <c r="N2267" s="6"/>
      <c r="O2267" s="6"/>
      <c r="P2267" s="6"/>
      <c r="Q2267" s="6"/>
      <c r="R2267" s="6"/>
      <c r="S2267" s="6"/>
      <c r="T2267" s="6"/>
    </row>
    <row r="2268" spans="4:20" x14ac:dyDescent="0.2">
      <c r="D2268" s="6"/>
      <c r="E2268" s="6"/>
      <c r="F2268" s="6"/>
      <c r="G2268" s="19"/>
      <c r="H2268" s="19"/>
      <c r="I2268" s="19"/>
      <c r="J2268" s="19"/>
      <c r="K2268" s="6"/>
      <c r="L2268" s="6"/>
      <c r="M2268" s="6"/>
      <c r="N2268" s="6"/>
      <c r="O2268" s="6"/>
      <c r="P2268" s="6"/>
      <c r="Q2268" s="6"/>
      <c r="R2268" s="6"/>
      <c r="S2268" s="6"/>
      <c r="T2268" s="6"/>
    </row>
    <row r="2269" spans="4:20" x14ac:dyDescent="0.2">
      <c r="D2269" s="6"/>
      <c r="E2269" s="6"/>
      <c r="F2269" s="6"/>
      <c r="G2269" s="19"/>
      <c r="H2269" s="19"/>
      <c r="I2269" s="19"/>
      <c r="J2269" s="19"/>
      <c r="K2269" s="6"/>
      <c r="L2269" s="6"/>
      <c r="M2269" s="6"/>
      <c r="N2269" s="6"/>
      <c r="O2269" s="6"/>
      <c r="P2269" s="6"/>
      <c r="Q2269" s="6"/>
      <c r="R2269" s="6"/>
      <c r="S2269" s="6"/>
      <c r="T2269" s="6"/>
    </row>
    <row r="2270" spans="4:20" x14ac:dyDescent="0.2">
      <c r="D2270" s="6"/>
      <c r="E2270" s="6"/>
      <c r="F2270" s="6"/>
      <c r="G2270" s="19"/>
      <c r="H2270" s="19"/>
      <c r="I2270" s="19"/>
      <c r="J2270" s="19"/>
      <c r="K2270" s="6"/>
      <c r="L2270" s="6"/>
      <c r="M2270" s="6"/>
      <c r="N2270" s="6"/>
      <c r="O2270" s="6"/>
      <c r="P2270" s="6"/>
      <c r="Q2270" s="6"/>
      <c r="R2270" s="6"/>
      <c r="S2270" s="6"/>
      <c r="T2270" s="6"/>
    </row>
    <row r="2271" spans="4:20" x14ac:dyDescent="0.2">
      <c r="D2271" s="6"/>
      <c r="E2271" s="6"/>
      <c r="F2271" s="6"/>
      <c r="G2271" s="19"/>
      <c r="H2271" s="19"/>
      <c r="I2271" s="19"/>
      <c r="J2271" s="19"/>
      <c r="K2271" s="6"/>
      <c r="L2271" s="6"/>
      <c r="M2271" s="6"/>
      <c r="N2271" s="6"/>
      <c r="O2271" s="6"/>
      <c r="P2271" s="6"/>
      <c r="Q2271" s="6"/>
      <c r="R2271" s="6"/>
      <c r="S2271" s="6"/>
      <c r="T2271" s="6"/>
    </row>
    <row r="2272" spans="4:20" x14ac:dyDescent="0.2">
      <c r="D2272" s="6"/>
      <c r="E2272" s="6"/>
      <c r="F2272" s="6"/>
      <c r="G2272" s="19"/>
      <c r="H2272" s="19"/>
      <c r="I2272" s="19"/>
      <c r="J2272" s="19"/>
      <c r="K2272" s="6"/>
      <c r="L2272" s="6"/>
      <c r="M2272" s="6"/>
      <c r="N2272" s="6"/>
      <c r="O2272" s="6"/>
      <c r="P2272" s="6"/>
      <c r="Q2272" s="6"/>
      <c r="R2272" s="6"/>
      <c r="S2272" s="6"/>
      <c r="T2272" s="6"/>
    </row>
    <row r="2273" spans="4:20" x14ac:dyDescent="0.2">
      <c r="D2273" s="6"/>
      <c r="E2273" s="6"/>
      <c r="F2273" s="6"/>
      <c r="G2273" s="19"/>
      <c r="H2273" s="19"/>
      <c r="I2273" s="19"/>
      <c r="J2273" s="19"/>
      <c r="K2273" s="6"/>
      <c r="L2273" s="6"/>
      <c r="M2273" s="6"/>
      <c r="N2273" s="6"/>
      <c r="O2273" s="6"/>
      <c r="P2273" s="6"/>
      <c r="Q2273" s="6"/>
      <c r="R2273" s="6"/>
      <c r="S2273" s="6"/>
      <c r="T2273" s="6"/>
    </row>
    <row r="2274" spans="4:20" x14ac:dyDescent="0.2">
      <c r="D2274" s="6"/>
      <c r="E2274" s="6"/>
      <c r="F2274" s="6"/>
      <c r="G2274" s="19"/>
      <c r="H2274" s="19"/>
      <c r="I2274" s="19"/>
      <c r="J2274" s="19"/>
      <c r="K2274" s="6"/>
      <c r="L2274" s="6"/>
      <c r="M2274" s="6"/>
      <c r="N2274" s="6"/>
      <c r="O2274" s="6"/>
      <c r="P2274" s="6"/>
      <c r="Q2274" s="6"/>
      <c r="R2274" s="6"/>
      <c r="S2274" s="6"/>
      <c r="T2274" s="6"/>
    </row>
    <row r="2275" spans="4:20" x14ac:dyDescent="0.2">
      <c r="D2275" s="6"/>
      <c r="E2275" s="6"/>
      <c r="F2275" s="6"/>
      <c r="G2275" s="19"/>
      <c r="H2275" s="19"/>
      <c r="I2275" s="19"/>
      <c r="J2275" s="19"/>
      <c r="K2275" s="6"/>
      <c r="L2275" s="6"/>
      <c r="M2275" s="6"/>
      <c r="N2275" s="6"/>
      <c r="O2275" s="6"/>
      <c r="P2275" s="6"/>
      <c r="Q2275" s="6"/>
      <c r="R2275" s="6"/>
      <c r="S2275" s="6"/>
      <c r="T2275" s="6"/>
    </row>
    <row r="2276" spans="4:20" x14ac:dyDescent="0.2">
      <c r="D2276" s="6"/>
      <c r="E2276" s="6"/>
      <c r="F2276" s="6"/>
      <c r="G2276" s="19"/>
      <c r="H2276" s="19"/>
      <c r="I2276" s="19"/>
      <c r="J2276" s="19"/>
      <c r="K2276" s="6"/>
      <c r="L2276" s="6"/>
      <c r="M2276" s="6"/>
      <c r="N2276" s="6"/>
      <c r="O2276" s="6"/>
      <c r="P2276" s="6"/>
      <c r="Q2276" s="6"/>
      <c r="R2276" s="6"/>
      <c r="S2276" s="6"/>
      <c r="T2276" s="6"/>
    </row>
    <row r="2277" spans="4:20" x14ac:dyDescent="0.2">
      <c r="D2277" s="6"/>
      <c r="E2277" s="6"/>
      <c r="F2277" s="6"/>
      <c r="G2277" s="19"/>
      <c r="H2277" s="19"/>
      <c r="I2277" s="19"/>
      <c r="J2277" s="19"/>
      <c r="K2277" s="6"/>
      <c r="L2277" s="6"/>
      <c r="M2277" s="6"/>
      <c r="N2277" s="6"/>
      <c r="O2277" s="6"/>
      <c r="P2277" s="6"/>
      <c r="Q2277" s="6"/>
      <c r="R2277" s="6"/>
      <c r="S2277" s="6"/>
      <c r="T2277" s="6"/>
    </row>
    <row r="2278" spans="4:20" x14ac:dyDescent="0.2">
      <c r="D2278" s="6"/>
      <c r="E2278" s="6"/>
      <c r="F2278" s="6"/>
      <c r="G2278" s="19"/>
      <c r="H2278" s="19"/>
      <c r="I2278" s="19"/>
      <c r="J2278" s="19"/>
      <c r="K2278" s="6"/>
      <c r="L2278" s="6"/>
      <c r="M2278" s="6"/>
      <c r="N2278" s="6"/>
      <c r="O2278" s="6"/>
      <c r="P2278" s="6"/>
      <c r="Q2278" s="6"/>
      <c r="R2278" s="6"/>
      <c r="S2278" s="6"/>
      <c r="T2278" s="6"/>
    </row>
    <row r="2279" spans="4:20" x14ac:dyDescent="0.2">
      <c r="D2279" s="6"/>
      <c r="E2279" s="6"/>
      <c r="F2279" s="6"/>
      <c r="G2279" s="19"/>
      <c r="H2279" s="19"/>
      <c r="I2279" s="19"/>
      <c r="J2279" s="19"/>
      <c r="K2279" s="6"/>
      <c r="L2279" s="6"/>
      <c r="M2279" s="6"/>
      <c r="N2279" s="6"/>
      <c r="O2279" s="6"/>
      <c r="P2279" s="6"/>
      <c r="Q2279" s="6"/>
      <c r="R2279" s="6"/>
      <c r="S2279" s="6"/>
      <c r="T2279" s="6"/>
    </row>
    <row r="2280" spans="4:20" x14ac:dyDescent="0.2">
      <c r="D2280" s="6"/>
      <c r="E2280" s="6"/>
      <c r="F2280" s="6"/>
      <c r="G2280" s="19"/>
      <c r="H2280" s="19"/>
      <c r="I2280" s="19"/>
      <c r="J2280" s="19"/>
      <c r="K2280" s="6"/>
      <c r="L2280" s="6"/>
      <c r="M2280" s="6"/>
      <c r="N2280" s="6"/>
      <c r="O2280" s="6"/>
      <c r="P2280" s="6"/>
      <c r="Q2280" s="6"/>
      <c r="R2280" s="6"/>
      <c r="S2280" s="6"/>
      <c r="T2280" s="6"/>
    </row>
    <row r="2281" spans="4:20" x14ac:dyDescent="0.2">
      <c r="D2281" s="6"/>
      <c r="E2281" s="6"/>
      <c r="F2281" s="6"/>
      <c r="G2281" s="19"/>
      <c r="H2281" s="19"/>
      <c r="I2281" s="19"/>
      <c r="J2281" s="19"/>
      <c r="K2281" s="6"/>
      <c r="L2281" s="6"/>
      <c r="M2281" s="6"/>
      <c r="N2281" s="6"/>
      <c r="O2281" s="6"/>
      <c r="P2281" s="6"/>
      <c r="Q2281" s="6"/>
      <c r="R2281" s="6"/>
      <c r="S2281" s="6"/>
      <c r="T2281" s="6"/>
    </row>
    <row r="2282" spans="4:20" x14ac:dyDescent="0.2">
      <c r="D2282" s="6"/>
      <c r="E2282" s="6"/>
      <c r="F2282" s="6"/>
      <c r="G2282" s="19"/>
      <c r="H2282" s="19"/>
      <c r="I2282" s="19"/>
      <c r="J2282" s="19"/>
      <c r="K2282" s="6"/>
      <c r="L2282" s="6"/>
      <c r="M2282" s="6"/>
      <c r="N2282" s="6"/>
      <c r="O2282" s="6"/>
      <c r="P2282" s="6"/>
      <c r="Q2282" s="6"/>
      <c r="R2282" s="6"/>
      <c r="S2282" s="6"/>
      <c r="T2282" s="6"/>
    </row>
    <row r="2283" spans="4:20" x14ac:dyDescent="0.2">
      <c r="D2283" s="6"/>
      <c r="E2283" s="6"/>
      <c r="F2283" s="6"/>
      <c r="G2283" s="19"/>
      <c r="H2283" s="19"/>
      <c r="I2283" s="19"/>
      <c r="J2283" s="19"/>
      <c r="K2283" s="6"/>
      <c r="L2283" s="6"/>
      <c r="M2283" s="6"/>
      <c r="N2283" s="6"/>
      <c r="O2283" s="6"/>
      <c r="P2283" s="6"/>
      <c r="Q2283" s="6"/>
      <c r="R2283" s="6"/>
      <c r="S2283" s="6"/>
      <c r="T2283" s="6"/>
    </row>
    <row r="2284" spans="4:20" x14ac:dyDescent="0.2">
      <c r="D2284" s="6"/>
      <c r="E2284" s="6"/>
      <c r="F2284" s="6"/>
      <c r="G2284" s="19"/>
      <c r="H2284" s="19"/>
      <c r="I2284" s="19"/>
      <c r="J2284" s="19"/>
      <c r="K2284" s="6"/>
      <c r="L2284" s="6"/>
      <c r="M2284" s="6"/>
      <c r="N2284" s="6"/>
      <c r="O2284" s="6"/>
      <c r="P2284" s="6"/>
      <c r="Q2284" s="6"/>
      <c r="R2284" s="6"/>
      <c r="S2284" s="6"/>
      <c r="T2284" s="6"/>
    </row>
    <row r="2285" spans="4:20" x14ac:dyDescent="0.2">
      <c r="D2285" s="6"/>
      <c r="E2285" s="6"/>
      <c r="F2285" s="6"/>
      <c r="G2285" s="19"/>
      <c r="H2285" s="19"/>
      <c r="I2285" s="19"/>
      <c r="J2285" s="19"/>
      <c r="K2285" s="6"/>
      <c r="L2285" s="6"/>
      <c r="M2285" s="6"/>
      <c r="N2285" s="6"/>
      <c r="O2285" s="6"/>
      <c r="P2285" s="6"/>
      <c r="Q2285" s="6"/>
      <c r="R2285" s="6"/>
      <c r="S2285" s="6"/>
      <c r="T2285" s="6"/>
    </row>
    <row r="2286" spans="4:20" x14ac:dyDescent="0.2">
      <c r="D2286" s="6"/>
      <c r="E2286" s="6"/>
      <c r="F2286" s="6"/>
      <c r="G2286" s="19"/>
      <c r="H2286" s="19"/>
      <c r="I2286" s="19"/>
      <c r="J2286" s="19"/>
      <c r="K2286" s="6"/>
      <c r="L2286" s="6"/>
      <c r="M2286" s="6"/>
      <c r="N2286" s="6"/>
      <c r="O2286" s="6"/>
      <c r="P2286" s="6"/>
      <c r="Q2286" s="6"/>
      <c r="R2286" s="6"/>
      <c r="S2286" s="6"/>
      <c r="T2286" s="6"/>
    </row>
    <row r="2287" spans="4:20" x14ac:dyDescent="0.2">
      <c r="D2287" s="6"/>
      <c r="E2287" s="6"/>
      <c r="F2287" s="6"/>
      <c r="G2287" s="19"/>
      <c r="H2287" s="19"/>
      <c r="I2287" s="19"/>
      <c r="J2287" s="19"/>
      <c r="K2287" s="6"/>
      <c r="L2287" s="6"/>
      <c r="M2287" s="6"/>
      <c r="N2287" s="6"/>
      <c r="O2287" s="6"/>
      <c r="P2287" s="6"/>
      <c r="Q2287" s="6"/>
      <c r="R2287" s="6"/>
      <c r="S2287" s="6"/>
      <c r="T2287" s="6"/>
    </row>
    <row r="2288" spans="4:20" x14ac:dyDescent="0.2">
      <c r="D2288" s="6"/>
      <c r="E2288" s="6"/>
      <c r="F2288" s="6"/>
      <c r="G2288" s="19"/>
      <c r="H2288" s="19"/>
      <c r="I2288" s="19"/>
      <c r="J2288" s="19"/>
      <c r="K2288" s="6"/>
      <c r="L2288" s="6"/>
      <c r="M2288" s="6"/>
      <c r="N2288" s="6"/>
      <c r="O2288" s="6"/>
      <c r="P2288" s="6"/>
      <c r="Q2288" s="6"/>
      <c r="R2288" s="6"/>
      <c r="S2288" s="6"/>
      <c r="T2288" s="6"/>
    </row>
    <row r="2289" spans="4:20" x14ac:dyDescent="0.2">
      <c r="D2289" s="6"/>
      <c r="E2289" s="6"/>
      <c r="F2289" s="6"/>
      <c r="G2289" s="19"/>
      <c r="H2289" s="19"/>
      <c r="I2289" s="19"/>
      <c r="J2289" s="19"/>
      <c r="K2289" s="6"/>
      <c r="L2289" s="6"/>
      <c r="M2289" s="6"/>
      <c r="N2289" s="6"/>
      <c r="O2289" s="6"/>
      <c r="P2289" s="6"/>
      <c r="Q2289" s="6"/>
      <c r="R2289" s="6"/>
      <c r="S2289" s="6"/>
      <c r="T2289" s="6"/>
    </row>
    <row r="2290" spans="4:20" x14ac:dyDescent="0.2">
      <c r="D2290" s="6"/>
      <c r="E2290" s="6"/>
      <c r="F2290" s="6"/>
      <c r="G2290" s="19"/>
      <c r="H2290" s="19"/>
      <c r="I2290" s="19"/>
      <c r="J2290" s="19"/>
      <c r="K2290" s="6"/>
      <c r="L2290" s="6"/>
      <c r="M2290" s="6"/>
      <c r="N2290" s="6"/>
      <c r="O2290" s="6"/>
      <c r="P2290" s="6"/>
      <c r="Q2290" s="6"/>
      <c r="R2290" s="6"/>
      <c r="S2290" s="6"/>
      <c r="T2290" s="6"/>
    </row>
    <row r="2291" spans="4:20" x14ac:dyDescent="0.2">
      <c r="D2291" s="6"/>
      <c r="E2291" s="6"/>
      <c r="F2291" s="6"/>
      <c r="G2291" s="19"/>
      <c r="H2291" s="19"/>
      <c r="I2291" s="19"/>
      <c r="J2291" s="19"/>
      <c r="K2291" s="6"/>
      <c r="L2291" s="6"/>
      <c r="M2291" s="6"/>
      <c r="N2291" s="6"/>
      <c r="O2291" s="6"/>
      <c r="P2291" s="6"/>
      <c r="Q2291" s="6"/>
      <c r="R2291" s="6"/>
      <c r="S2291" s="6"/>
      <c r="T2291" s="6"/>
    </row>
    <row r="2292" spans="4:20" x14ac:dyDescent="0.2">
      <c r="D2292" s="6"/>
      <c r="E2292" s="6"/>
      <c r="F2292" s="6"/>
      <c r="G2292" s="19"/>
      <c r="H2292" s="19"/>
      <c r="I2292" s="19"/>
      <c r="J2292" s="19"/>
      <c r="K2292" s="6"/>
      <c r="L2292" s="6"/>
      <c r="M2292" s="6"/>
      <c r="N2292" s="6"/>
      <c r="O2292" s="6"/>
      <c r="P2292" s="6"/>
      <c r="Q2292" s="6"/>
      <c r="R2292" s="6"/>
      <c r="S2292" s="6"/>
      <c r="T2292" s="6"/>
    </row>
    <row r="2293" spans="4:20" x14ac:dyDescent="0.2">
      <c r="D2293" s="6"/>
      <c r="E2293" s="6"/>
      <c r="F2293" s="6"/>
      <c r="G2293" s="19"/>
      <c r="H2293" s="19"/>
      <c r="I2293" s="19"/>
      <c r="J2293" s="19"/>
      <c r="K2293" s="6"/>
      <c r="L2293" s="6"/>
      <c r="M2293" s="6"/>
      <c r="N2293" s="6"/>
      <c r="O2293" s="6"/>
      <c r="P2293" s="6"/>
      <c r="Q2293" s="6"/>
      <c r="R2293" s="6"/>
      <c r="S2293" s="6"/>
      <c r="T2293" s="6"/>
    </row>
    <row r="2294" spans="4:20" x14ac:dyDescent="0.2">
      <c r="D2294" s="6"/>
      <c r="E2294" s="6"/>
      <c r="F2294" s="6"/>
      <c r="G2294" s="19"/>
      <c r="H2294" s="19"/>
      <c r="I2294" s="19"/>
      <c r="J2294" s="19"/>
      <c r="K2294" s="6"/>
      <c r="L2294" s="6"/>
      <c r="M2294" s="6"/>
      <c r="N2294" s="6"/>
      <c r="O2294" s="6"/>
      <c r="P2294" s="6"/>
      <c r="Q2294" s="6"/>
      <c r="R2294" s="6"/>
      <c r="S2294" s="6"/>
      <c r="T2294" s="6"/>
    </row>
    <row r="2295" spans="4:20" x14ac:dyDescent="0.2">
      <c r="D2295" s="6"/>
      <c r="E2295" s="6"/>
      <c r="F2295" s="6"/>
      <c r="G2295" s="19"/>
      <c r="H2295" s="19"/>
      <c r="I2295" s="19"/>
      <c r="J2295" s="19"/>
      <c r="K2295" s="6"/>
      <c r="L2295" s="6"/>
      <c r="M2295" s="6"/>
      <c r="N2295" s="6"/>
      <c r="O2295" s="6"/>
      <c r="P2295" s="6"/>
      <c r="Q2295" s="6"/>
      <c r="R2295" s="6"/>
      <c r="S2295" s="6"/>
      <c r="T2295" s="6"/>
    </row>
    <row r="2296" spans="4:20" x14ac:dyDescent="0.2">
      <c r="D2296" s="6"/>
      <c r="E2296" s="6"/>
      <c r="F2296" s="6"/>
      <c r="G2296" s="19"/>
      <c r="H2296" s="19"/>
      <c r="I2296" s="19"/>
      <c r="J2296" s="19"/>
      <c r="K2296" s="6"/>
      <c r="L2296" s="6"/>
      <c r="M2296" s="6"/>
      <c r="N2296" s="6"/>
      <c r="O2296" s="6"/>
      <c r="P2296" s="6"/>
      <c r="Q2296" s="6"/>
      <c r="R2296" s="6"/>
      <c r="S2296" s="6"/>
      <c r="T2296" s="6"/>
    </row>
    <row r="2297" spans="4:20" x14ac:dyDescent="0.2">
      <c r="D2297" s="6"/>
      <c r="E2297" s="6"/>
      <c r="F2297" s="6"/>
      <c r="G2297" s="19"/>
      <c r="H2297" s="19"/>
      <c r="I2297" s="19"/>
      <c r="J2297" s="19"/>
      <c r="K2297" s="6"/>
      <c r="L2297" s="6"/>
      <c r="M2297" s="6"/>
      <c r="N2297" s="6"/>
      <c r="O2297" s="6"/>
      <c r="P2297" s="6"/>
      <c r="Q2297" s="6"/>
      <c r="R2297" s="6"/>
      <c r="S2297" s="6"/>
      <c r="T2297" s="6"/>
    </row>
    <row r="2298" spans="4:20" x14ac:dyDescent="0.2">
      <c r="D2298" s="6"/>
      <c r="E2298" s="6"/>
      <c r="F2298" s="6"/>
      <c r="G2298" s="19"/>
      <c r="H2298" s="19"/>
      <c r="I2298" s="19"/>
      <c r="J2298" s="19"/>
      <c r="K2298" s="6"/>
      <c r="L2298" s="6"/>
      <c r="M2298" s="6"/>
      <c r="N2298" s="6"/>
      <c r="O2298" s="6"/>
      <c r="P2298" s="6"/>
      <c r="Q2298" s="6"/>
      <c r="R2298" s="6"/>
      <c r="S2298" s="6"/>
      <c r="T2298" s="6"/>
    </row>
    <row r="2299" spans="4:20" x14ac:dyDescent="0.2">
      <c r="D2299" s="6"/>
      <c r="E2299" s="6"/>
      <c r="F2299" s="6"/>
      <c r="G2299" s="19"/>
      <c r="H2299" s="19"/>
      <c r="I2299" s="19"/>
      <c r="J2299" s="19"/>
      <c r="K2299" s="6"/>
      <c r="L2299" s="6"/>
      <c r="M2299" s="6"/>
      <c r="N2299" s="6"/>
      <c r="O2299" s="6"/>
      <c r="P2299" s="6"/>
      <c r="Q2299" s="6"/>
      <c r="R2299" s="6"/>
      <c r="S2299" s="6"/>
      <c r="T2299" s="6"/>
    </row>
    <row r="2300" spans="4:20" x14ac:dyDescent="0.2">
      <c r="D2300" s="6"/>
      <c r="E2300" s="6"/>
      <c r="F2300" s="6"/>
      <c r="G2300" s="19"/>
      <c r="H2300" s="19"/>
      <c r="I2300" s="19"/>
      <c r="J2300" s="19"/>
      <c r="K2300" s="6"/>
      <c r="L2300" s="6"/>
      <c r="M2300" s="6"/>
      <c r="N2300" s="6"/>
      <c r="O2300" s="6"/>
      <c r="P2300" s="6"/>
      <c r="Q2300" s="6"/>
      <c r="R2300" s="6"/>
      <c r="S2300" s="6"/>
      <c r="T2300" s="6"/>
    </row>
    <row r="2301" spans="4:20" x14ac:dyDescent="0.2">
      <c r="D2301" s="6"/>
      <c r="E2301" s="6"/>
      <c r="F2301" s="6"/>
      <c r="G2301" s="19"/>
      <c r="H2301" s="19"/>
      <c r="I2301" s="19"/>
      <c r="J2301" s="19"/>
      <c r="K2301" s="6"/>
      <c r="L2301" s="6"/>
      <c r="M2301" s="6"/>
      <c r="N2301" s="6"/>
      <c r="O2301" s="6"/>
      <c r="P2301" s="6"/>
      <c r="Q2301" s="6"/>
      <c r="R2301" s="6"/>
      <c r="S2301" s="6"/>
      <c r="T2301" s="6"/>
    </row>
    <row r="2302" spans="4:20" x14ac:dyDescent="0.2">
      <c r="D2302" s="6"/>
      <c r="E2302" s="6"/>
      <c r="F2302" s="6"/>
      <c r="G2302" s="19"/>
      <c r="H2302" s="19"/>
      <c r="I2302" s="19"/>
      <c r="J2302" s="19"/>
      <c r="K2302" s="6"/>
      <c r="L2302" s="6"/>
      <c r="M2302" s="6"/>
      <c r="N2302" s="6"/>
      <c r="O2302" s="6"/>
      <c r="P2302" s="6"/>
      <c r="Q2302" s="6"/>
      <c r="R2302" s="6"/>
      <c r="S2302" s="6"/>
      <c r="T2302" s="6"/>
    </row>
    <row r="2303" spans="4:20" x14ac:dyDescent="0.2">
      <c r="D2303" s="6"/>
      <c r="E2303" s="6"/>
      <c r="F2303" s="6"/>
      <c r="G2303" s="19"/>
      <c r="H2303" s="19"/>
      <c r="I2303" s="19"/>
      <c r="J2303" s="19"/>
      <c r="K2303" s="6"/>
      <c r="L2303" s="6"/>
      <c r="M2303" s="6"/>
      <c r="N2303" s="6"/>
      <c r="O2303" s="6"/>
      <c r="P2303" s="6"/>
      <c r="Q2303" s="6"/>
      <c r="R2303" s="6"/>
      <c r="S2303" s="6"/>
      <c r="T2303" s="6"/>
    </row>
    <row r="2304" spans="4:20" x14ac:dyDescent="0.2">
      <c r="D2304" s="6"/>
      <c r="E2304" s="6"/>
      <c r="F2304" s="6"/>
      <c r="G2304" s="19"/>
      <c r="H2304" s="19"/>
      <c r="I2304" s="19"/>
      <c r="J2304" s="19"/>
      <c r="K2304" s="6"/>
      <c r="L2304" s="6"/>
      <c r="M2304" s="6"/>
      <c r="N2304" s="6"/>
      <c r="O2304" s="6"/>
      <c r="P2304" s="6"/>
      <c r="Q2304" s="6"/>
      <c r="R2304" s="6"/>
      <c r="S2304" s="6"/>
      <c r="T2304" s="6"/>
    </row>
    <row r="2305" spans="4:20" x14ac:dyDescent="0.2">
      <c r="D2305" s="6"/>
      <c r="E2305" s="6"/>
      <c r="F2305" s="6"/>
      <c r="G2305" s="19"/>
      <c r="H2305" s="19"/>
      <c r="I2305" s="19"/>
      <c r="J2305" s="19"/>
      <c r="K2305" s="6"/>
      <c r="L2305" s="6"/>
      <c r="M2305" s="6"/>
      <c r="N2305" s="6"/>
      <c r="O2305" s="6"/>
      <c r="P2305" s="6"/>
      <c r="Q2305" s="6"/>
      <c r="R2305" s="6"/>
      <c r="S2305" s="6"/>
      <c r="T2305" s="6"/>
    </row>
    <row r="2306" spans="4:20" x14ac:dyDescent="0.2">
      <c r="D2306" s="6"/>
      <c r="E2306" s="6"/>
      <c r="F2306" s="6"/>
      <c r="G2306" s="19"/>
      <c r="H2306" s="19"/>
      <c r="I2306" s="19"/>
      <c r="J2306" s="19"/>
      <c r="K2306" s="6"/>
      <c r="L2306" s="6"/>
      <c r="M2306" s="6"/>
      <c r="N2306" s="6"/>
      <c r="O2306" s="6"/>
      <c r="P2306" s="6"/>
      <c r="Q2306" s="6"/>
      <c r="R2306" s="6"/>
      <c r="S2306" s="6"/>
      <c r="T2306" s="6"/>
    </row>
    <row r="2307" spans="4:20" x14ac:dyDescent="0.2">
      <c r="D2307" s="6"/>
      <c r="E2307" s="6"/>
      <c r="F2307" s="6"/>
      <c r="G2307" s="19"/>
      <c r="H2307" s="19"/>
      <c r="I2307" s="19"/>
      <c r="J2307" s="19"/>
      <c r="K2307" s="6"/>
      <c r="L2307" s="6"/>
      <c r="M2307" s="6"/>
      <c r="N2307" s="6"/>
      <c r="O2307" s="6"/>
      <c r="P2307" s="6"/>
      <c r="Q2307" s="6"/>
      <c r="R2307" s="6"/>
      <c r="S2307" s="6"/>
      <c r="T2307" s="6"/>
    </row>
    <row r="2308" spans="4:20" x14ac:dyDescent="0.2">
      <c r="D2308" s="6"/>
      <c r="E2308" s="6"/>
      <c r="F2308" s="6"/>
      <c r="G2308" s="19"/>
      <c r="H2308" s="19"/>
      <c r="I2308" s="19"/>
      <c r="J2308" s="19"/>
      <c r="K2308" s="6"/>
      <c r="L2308" s="6"/>
      <c r="M2308" s="6"/>
      <c r="N2308" s="6"/>
      <c r="O2308" s="6"/>
      <c r="P2308" s="6"/>
      <c r="Q2308" s="6"/>
      <c r="R2308" s="6"/>
      <c r="S2308" s="6"/>
      <c r="T2308" s="6"/>
    </row>
    <row r="2309" spans="4:20" x14ac:dyDescent="0.2">
      <c r="D2309" s="6"/>
      <c r="E2309" s="6"/>
      <c r="F2309" s="6"/>
      <c r="G2309" s="19"/>
      <c r="H2309" s="19"/>
      <c r="I2309" s="19"/>
      <c r="J2309" s="19"/>
      <c r="K2309" s="6"/>
      <c r="L2309" s="6"/>
      <c r="M2309" s="6"/>
      <c r="N2309" s="6"/>
      <c r="O2309" s="6"/>
      <c r="P2309" s="6"/>
      <c r="Q2309" s="6"/>
      <c r="R2309" s="6"/>
      <c r="S2309" s="6"/>
      <c r="T2309" s="6"/>
    </row>
    <row r="2310" spans="4:20" x14ac:dyDescent="0.2">
      <c r="D2310" s="6"/>
      <c r="E2310" s="6"/>
      <c r="F2310" s="6"/>
      <c r="G2310" s="19"/>
      <c r="H2310" s="19"/>
      <c r="I2310" s="19"/>
      <c r="J2310" s="19"/>
      <c r="K2310" s="6"/>
      <c r="L2310" s="6"/>
      <c r="M2310" s="6"/>
      <c r="N2310" s="6"/>
      <c r="O2310" s="6"/>
      <c r="P2310" s="6"/>
      <c r="Q2310" s="6"/>
      <c r="R2310" s="6"/>
      <c r="S2310" s="6"/>
      <c r="T2310" s="6"/>
    </row>
    <row r="2311" spans="4:20" x14ac:dyDescent="0.2">
      <c r="D2311" s="6"/>
      <c r="E2311" s="6"/>
      <c r="F2311" s="6"/>
      <c r="G2311" s="19"/>
      <c r="H2311" s="19"/>
      <c r="I2311" s="19"/>
      <c r="J2311" s="19"/>
      <c r="K2311" s="6"/>
      <c r="L2311" s="6"/>
      <c r="M2311" s="6"/>
      <c r="N2311" s="6"/>
      <c r="O2311" s="6"/>
      <c r="P2311" s="6"/>
      <c r="Q2311" s="6"/>
      <c r="R2311" s="6"/>
      <c r="S2311" s="6"/>
      <c r="T2311" s="6"/>
    </row>
    <row r="2312" spans="4:20" x14ac:dyDescent="0.2">
      <c r="D2312" s="6"/>
      <c r="E2312" s="6"/>
      <c r="F2312" s="6"/>
      <c r="G2312" s="19"/>
      <c r="H2312" s="19"/>
      <c r="I2312" s="19"/>
      <c r="J2312" s="19"/>
      <c r="K2312" s="6"/>
      <c r="L2312" s="6"/>
      <c r="M2312" s="6"/>
      <c r="N2312" s="6"/>
      <c r="O2312" s="6"/>
      <c r="P2312" s="6"/>
      <c r="Q2312" s="6"/>
      <c r="R2312" s="6"/>
      <c r="S2312" s="6"/>
      <c r="T2312" s="6"/>
    </row>
    <row r="2313" spans="4:20" x14ac:dyDescent="0.2">
      <c r="D2313" s="6"/>
      <c r="E2313" s="6"/>
      <c r="F2313" s="6"/>
      <c r="G2313" s="19"/>
      <c r="H2313" s="19"/>
      <c r="I2313" s="19"/>
      <c r="J2313" s="19"/>
      <c r="K2313" s="6"/>
      <c r="L2313" s="6"/>
      <c r="M2313" s="6"/>
      <c r="N2313" s="6"/>
      <c r="O2313" s="6"/>
      <c r="P2313" s="6"/>
      <c r="Q2313" s="6"/>
      <c r="R2313" s="6"/>
      <c r="S2313" s="6"/>
      <c r="T2313" s="6"/>
    </row>
    <row r="2314" spans="4:20" x14ac:dyDescent="0.2">
      <c r="D2314" s="6"/>
      <c r="E2314" s="6"/>
      <c r="F2314" s="6"/>
      <c r="G2314" s="19"/>
      <c r="H2314" s="19"/>
      <c r="I2314" s="19"/>
      <c r="J2314" s="19"/>
      <c r="K2314" s="6"/>
      <c r="L2314" s="6"/>
      <c r="M2314" s="6"/>
      <c r="N2314" s="6"/>
      <c r="O2314" s="6"/>
      <c r="P2314" s="6"/>
      <c r="Q2314" s="6"/>
      <c r="R2314" s="6"/>
      <c r="S2314" s="6"/>
      <c r="T2314" s="6"/>
    </row>
    <row r="2315" spans="4:20" x14ac:dyDescent="0.2">
      <c r="D2315" s="6"/>
      <c r="E2315" s="6"/>
      <c r="F2315" s="6"/>
      <c r="G2315" s="19"/>
      <c r="H2315" s="19"/>
      <c r="I2315" s="19"/>
      <c r="J2315" s="19"/>
      <c r="K2315" s="6"/>
      <c r="L2315" s="6"/>
      <c r="M2315" s="6"/>
      <c r="N2315" s="6"/>
      <c r="O2315" s="6"/>
      <c r="P2315" s="6"/>
      <c r="Q2315" s="6"/>
      <c r="R2315" s="6"/>
      <c r="S2315" s="6"/>
      <c r="T2315" s="6"/>
    </row>
    <row r="2316" spans="4:20" x14ac:dyDescent="0.2">
      <c r="D2316" s="6"/>
      <c r="E2316" s="6"/>
      <c r="F2316" s="6"/>
      <c r="G2316" s="19"/>
      <c r="H2316" s="19"/>
      <c r="I2316" s="19"/>
      <c r="J2316" s="19"/>
      <c r="K2316" s="6"/>
      <c r="L2316" s="6"/>
      <c r="M2316" s="6"/>
      <c r="N2316" s="6"/>
      <c r="O2316" s="6"/>
      <c r="P2316" s="6"/>
      <c r="Q2316" s="6"/>
      <c r="R2316" s="6"/>
      <c r="S2316" s="6"/>
      <c r="T2316" s="6"/>
    </row>
    <row r="2317" spans="4:20" x14ac:dyDescent="0.2">
      <c r="D2317" s="6"/>
      <c r="E2317" s="6"/>
      <c r="F2317" s="6"/>
      <c r="G2317" s="19"/>
      <c r="H2317" s="19"/>
      <c r="I2317" s="19"/>
      <c r="J2317" s="19"/>
      <c r="K2317" s="6"/>
      <c r="L2317" s="6"/>
      <c r="M2317" s="6"/>
      <c r="N2317" s="6"/>
      <c r="O2317" s="6"/>
      <c r="P2317" s="6"/>
      <c r="Q2317" s="6"/>
      <c r="R2317" s="6"/>
      <c r="S2317" s="6"/>
      <c r="T2317" s="6"/>
    </row>
    <row r="2318" spans="4:20" x14ac:dyDescent="0.2">
      <c r="D2318" s="6"/>
      <c r="E2318" s="6"/>
      <c r="F2318" s="6"/>
      <c r="G2318" s="19"/>
      <c r="H2318" s="19"/>
      <c r="I2318" s="19"/>
      <c r="J2318" s="19"/>
      <c r="K2318" s="6"/>
      <c r="L2318" s="6"/>
      <c r="M2318" s="6"/>
      <c r="N2318" s="6"/>
      <c r="O2318" s="6"/>
      <c r="P2318" s="6"/>
      <c r="Q2318" s="6"/>
      <c r="R2318" s="6"/>
      <c r="S2318" s="6"/>
      <c r="T2318" s="6"/>
    </row>
    <row r="2319" spans="4:20" x14ac:dyDescent="0.2">
      <c r="D2319" s="6"/>
      <c r="E2319" s="6"/>
      <c r="F2319" s="6"/>
      <c r="G2319" s="19"/>
      <c r="H2319" s="19"/>
      <c r="I2319" s="19"/>
      <c r="J2319" s="19"/>
      <c r="K2319" s="6"/>
      <c r="L2319" s="6"/>
      <c r="M2319" s="6"/>
      <c r="N2319" s="6"/>
      <c r="O2319" s="6"/>
      <c r="P2319" s="6"/>
      <c r="Q2319" s="6"/>
      <c r="R2319" s="6"/>
      <c r="S2319" s="6"/>
      <c r="T2319" s="6"/>
    </row>
    <row r="2320" spans="4:20" x14ac:dyDescent="0.2">
      <c r="D2320" s="6"/>
      <c r="E2320" s="6"/>
      <c r="F2320" s="6"/>
      <c r="G2320" s="19"/>
      <c r="H2320" s="19"/>
      <c r="I2320" s="19"/>
      <c r="J2320" s="19"/>
      <c r="K2320" s="6"/>
      <c r="L2320" s="6"/>
      <c r="M2320" s="6"/>
      <c r="N2320" s="6"/>
      <c r="O2320" s="6"/>
      <c r="P2320" s="6"/>
      <c r="Q2320" s="6"/>
      <c r="R2320" s="6"/>
      <c r="S2320" s="6"/>
      <c r="T2320" s="6"/>
    </row>
    <row r="2321" spans="4:20" x14ac:dyDescent="0.2">
      <c r="D2321" s="6"/>
      <c r="E2321" s="6"/>
      <c r="F2321" s="6"/>
      <c r="G2321" s="19"/>
      <c r="H2321" s="19"/>
      <c r="I2321" s="19"/>
      <c r="J2321" s="19"/>
      <c r="K2321" s="6"/>
      <c r="L2321" s="6"/>
      <c r="M2321" s="6"/>
      <c r="N2321" s="6"/>
      <c r="O2321" s="6"/>
      <c r="P2321" s="6"/>
      <c r="Q2321" s="6"/>
      <c r="R2321" s="6"/>
      <c r="S2321" s="6"/>
      <c r="T2321" s="6"/>
    </row>
    <row r="2322" spans="4:20" x14ac:dyDescent="0.2">
      <c r="D2322" s="6"/>
      <c r="E2322" s="6"/>
      <c r="F2322" s="6"/>
      <c r="G2322" s="19"/>
      <c r="H2322" s="19"/>
      <c r="I2322" s="19"/>
      <c r="J2322" s="19"/>
      <c r="K2322" s="6"/>
      <c r="L2322" s="6"/>
      <c r="M2322" s="6"/>
      <c r="N2322" s="6"/>
      <c r="O2322" s="6"/>
      <c r="P2322" s="6"/>
      <c r="Q2322" s="6"/>
      <c r="R2322" s="6"/>
      <c r="S2322" s="6"/>
      <c r="T2322" s="6"/>
    </row>
    <row r="2323" spans="4:20" x14ac:dyDescent="0.2">
      <c r="D2323" s="6"/>
      <c r="E2323" s="6"/>
      <c r="F2323" s="6"/>
      <c r="G2323" s="19"/>
      <c r="H2323" s="19"/>
      <c r="I2323" s="19"/>
      <c r="J2323" s="19"/>
      <c r="K2323" s="6"/>
      <c r="L2323" s="6"/>
      <c r="M2323" s="6"/>
      <c r="N2323" s="6"/>
      <c r="O2323" s="6"/>
      <c r="P2323" s="6"/>
      <c r="Q2323" s="6"/>
      <c r="R2323" s="6"/>
      <c r="S2323" s="6"/>
      <c r="T2323" s="6"/>
    </row>
    <row r="2324" spans="4:20" x14ac:dyDescent="0.2">
      <c r="D2324" s="6"/>
      <c r="E2324" s="6"/>
      <c r="F2324" s="6"/>
      <c r="G2324" s="19"/>
      <c r="H2324" s="19"/>
      <c r="I2324" s="19"/>
      <c r="J2324" s="19"/>
      <c r="K2324" s="6"/>
      <c r="L2324" s="6"/>
      <c r="M2324" s="6"/>
      <c r="N2324" s="6"/>
      <c r="O2324" s="6"/>
      <c r="P2324" s="6"/>
      <c r="Q2324" s="6"/>
      <c r="R2324" s="6"/>
      <c r="S2324" s="6"/>
      <c r="T2324" s="6"/>
    </row>
    <row r="2325" spans="4:20" x14ac:dyDescent="0.2">
      <c r="D2325" s="6"/>
      <c r="E2325" s="6"/>
      <c r="F2325" s="6"/>
      <c r="G2325" s="19"/>
      <c r="H2325" s="19"/>
      <c r="I2325" s="19"/>
      <c r="J2325" s="19"/>
      <c r="K2325" s="6"/>
      <c r="L2325" s="6"/>
      <c r="M2325" s="6"/>
      <c r="N2325" s="6"/>
      <c r="O2325" s="6"/>
      <c r="P2325" s="6"/>
      <c r="Q2325" s="6"/>
      <c r="R2325" s="6"/>
      <c r="S2325" s="6"/>
      <c r="T2325" s="6"/>
    </row>
    <row r="2326" spans="4:20" x14ac:dyDescent="0.2">
      <c r="D2326" s="6"/>
      <c r="E2326" s="6"/>
      <c r="F2326" s="6"/>
      <c r="G2326" s="19"/>
      <c r="H2326" s="19"/>
      <c r="I2326" s="19"/>
      <c r="J2326" s="19"/>
      <c r="K2326" s="6"/>
      <c r="L2326" s="6"/>
      <c r="M2326" s="6"/>
      <c r="N2326" s="6"/>
      <c r="O2326" s="6"/>
      <c r="P2326" s="6"/>
      <c r="Q2326" s="6"/>
      <c r="R2326" s="6"/>
      <c r="S2326" s="6"/>
      <c r="T2326" s="6"/>
    </row>
    <row r="2327" spans="4:20" x14ac:dyDescent="0.2">
      <c r="D2327" s="6"/>
      <c r="E2327" s="6"/>
      <c r="F2327" s="6"/>
      <c r="G2327" s="19"/>
      <c r="H2327" s="19"/>
      <c r="I2327" s="19"/>
      <c r="J2327" s="19"/>
      <c r="K2327" s="6"/>
      <c r="L2327" s="6"/>
      <c r="M2327" s="6"/>
      <c r="N2327" s="6"/>
      <c r="O2327" s="6"/>
      <c r="P2327" s="6"/>
      <c r="Q2327" s="6"/>
      <c r="R2327" s="6"/>
      <c r="S2327" s="6"/>
      <c r="T2327" s="6"/>
    </row>
    <row r="2328" spans="4:20" x14ac:dyDescent="0.2">
      <c r="D2328" s="6"/>
      <c r="E2328" s="6"/>
      <c r="F2328" s="6"/>
      <c r="G2328" s="19"/>
      <c r="H2328" s="19"/>
      <c r="I2328" s="19"/>
      <c r="J2328" s="19"/>
      <c r="K2328" s="6"/>
      <c r="L2328" s="6"/>
      <c r="M2328" s="6"/>
      <c r="N2328" s="6"/>
      <c r="O2328" s="6"/>
      <c r="P2328" s="6"/>
      <c r="Q2328" s="6"/>
      <c r="R2328" s="6"/>
      <c r="S2328" s="6"/>
      <c r="T2328" s="6"/>
    </row>
    <row r="2329" spans="4:20" x14ac:dyDescent="0.2">
      <c r="D2329" s="6"/>
      <c r="E2329" s="6"/>
      <c r="F2329" s="6"/>
      <c r="G2329" s="19"/>
      <c r="H2329" s="19"/>
      <c r="I2329" s="19"/>
      <c r="J2329" s="19"/>
      <c r="K2329" s="6"/>
      <c r="L2329" s="6"/>
      <c r="M2329" s="6"/>
      <c r="N2329" s="6"/>
      <c r="O2329" s="6"/>
      <c r="P2329" s="6"/>
      <c r="Q2329" s="6"/>
      <c r="R2329" s="6"/>
      <c r="S2329" s="6"/>
      <c r="T2329" s="6"/>
    </row>
    <row r="2330" spans="4:20" x14ac:dyDescent="0.2">
      <c r="D2330" s="6"/>
      <c r="E2330" s="6"/>
      <c r="F2330" s="6"/>
      <c r="G2330" s="19"/>
      <c r="H2330" s="19"/>
      <c r="I2330" s="19"/>
      <c r="J2330" s="19"/>
      <c r="K2330" s="6"/>
      <c r="L2330" s="6"/>
      <c r="M2330" s="6"/>
      <c r="N2330" s="6"/>
      <c r="O2330" s="6"/>
      <c r="P2330" s="6"/>
      <c r="Q2330" s="6"/>
      <c r="R2330" s="6"/>
      <c r="S2330" s="6"/>
      <c r="T2330" s="6"/>
    </row>
    <row r="2331" spans="4:20" x14ac:dyDescent="0.2">
      <c r="D2331" s="6"/>
      <c r="E2331" s="6"/>
      <c r="F2331" s="6"/>
      <c r="G2331" s="19"/>
      <c r="H2331" s="19"/>
      <c r="I2331" s="19"/>
      <c r="J2331" s="19"/>
      <c r="K2331" s="6"/>
      <c r="L2331" s="6"/>
      <c r="M2331" s="6"/>
      <c r="N2331" s="6"/>
      <c r="O2331" s="6"/>
      <c r="P2331" s="6"/>
      <c r="Q2331" s="6"/>
      <c r="R2331" s="6"/>
      <c r="S2331" s="6"/>
      <c r="T2331" s="6"/>
    </row>
    <row r="2332" spans="4:20" x14ac:dyDescent="0.2">
      <c r="D2332" s="6"/>
      <c r="E2332" s="6"/>
      <c r="F2332" s="6"/>
      <c r="G2332" s="19"/>
      <c r="H2332" s="19"/>
      <c r="I2332" s="19"/>
      <c r="J2332" s="19"/>
      <c r="K2332" s="6"/>
      <c r="L2332" s="6"/>
      <c r="M2332" s="6"/>
      <c r="N2332" s="6"/>
      <c r="O2332" s="6"/>
      <c r="P2332" s="6"/>
      <c r="Q2332" s="6"/>
      <c r="R2332" s="6"/>
      <c r="S2332" s="6"/>
      <c r="T2332" s="6"/>
    </row>
    <row r="2333" spans="4:20" x14ac:dyDescent="0.2">
      <c r="D2333" s="6"/>
      <c r="E2333" s="6"/>
      <c r="F2333" s="6"/>
      <c r="G2333" s="19"/>
      <c r="H2333" s="19"/>
      <c r="I2333" s="19"/>
      <c r="J2333" s="19"/>
      <c r="K2333" s="6"/>
      <c r="L2333" s="6"/>
      <c r="M2333" s="6"/>
      <c r="N2333" s="6"/>
      <c r="O2333" s="6"/>
      <c r="P2333" s="6"/>
      <c r="Q2333" s="6"/>
      <c r="R2333" s="6"/>
      <c r="S2333" s="6"/>
      <c r="T2333" s="6"/>
    </row>
    <row r="2334" spans="4:20" x14ac:dyDescent="0.2">
      <c r="D2334" s="6"/>
      <c r="E2334" s="6"/>
      <c r="F2334" s="6"/>
      <c r="G2334" s="19"/>
      <c r="H2334" s="19"/>
      <c r="I2334" s="19"/>
      <c r="J2334" s="19"/>
      <c r="K2334" s="6"/>
      <c r="L2334" s="6"/>
      <c r="M2334" s="6"/>
      <c r="N2334" s="6"/>
      <c r="O2334" s="6"/>
      <c r="P2334" s="6"/>
      <c r="Q2334" s="6"/>
      <c r="R2334" s="6"/>
      <c r="S2334" s="6"/>
      <c r="T2334" s="6"/>
    </row>
    <row r="2335" spans="4:20" x14ac:dyDescent="0.2">
      <c r="D2335" s="6"/>
      <c r="E2335" s="6"/>
      <c r="F2335" s="6"/>
      <c r="G2335" s="19"/>
      <c r="H2335" s="19"/>
      <c r="I2335" s="19"/>
      <c r="J2335" s="19"/>
      <c r="K2335" s="6"/>
      <c r="L2335" s="6"/>
      <c r="M2335" s="6"/>
      <c r="N2335" s="6"/>
      <c r="O2335" s="6"/>
      <c r="P2335" s="6"/>
      <c r="Q2335" s="6"/>
      <c r="R2335" s="6"/>
      <c r="S2335" s="6"/>
      <c r="T2335" s="6"/>
    </row>
    <row r="2336" spans="4:20" x14ac:dyDescent="0.2">
      <c r="D2336" s="6"/>
      <c r="E2336" s="6"/>
      <c r="F2336" s="6"/>
      <c r="G2336" s="19"/>
      <c r="H2336" s="19"/>
      <c r="I2336" s="19"/>
      <c r="J2336" s="19"/>
      <c r="K2336" s="6"/>
      <c r="L2336" s="6"/>
      <c r="M2336" s="6"/>
      <c r="N2336" s="6"/>
      <c r="O2336" s="6"/>
      <c r="P2336" s="6"/>
      <c r="Q2336" s="6"/>
      <c r="R2336" s="6"/>
      <c r="S2336" s="6"/>
      <c r="T2336" s="6"/>
    </row>
    <row r="2337" spans="4:20" x14ac:dyDescent="0.2">
      <c r="D2337" s="6"/>
      <c r="E2337" s="6"/>
      <c r="F2337" s="6"/>
      <c r="G2337" s="19"/>
      <c r="H2337" s="19"/>
      <c r="I2337" s="19"/>
      <c r="J2337" s="19"/>
      <c r="K2337" s="6"/>
      <c r="L2337" s="6"/>
      <c r="M2337" s="6"/>
      <c r="N2337" s="6"/>
      <c r="O2337" s="6"/>
      <c r="P2337" s="6"/>
      <c r="Q2337" s="6"/>
      <c r="R2337" s="6"/>
      <c r="S2337" s="6"/>
      <c r="T2337" s="6"/>
    </row>
    <row r="2338" spans="4:20" x14ac:dyDescent="0.2">
      <c r="D2338" s="6"/>
      <c r="E2338" s="6"/>
      <c r="F2338" s="6"/>
      <c r="G2338" s="19"/>
      <c r="H2338" s="19"/>
      <c r="I2338" s="19"/>
      <c r="J2338" s="19"/>
      <c r="K2338" s="6"/>
      <c r="L2338" s="6"/>
      <c r="M2338" s="6"/>
      <c r="N2338" s="6"/>
      <c r="O2338" s="6"/>
      <c r="P2338" s="6"/>
      <c r="Q2338" s="6"/>
      <c r="R2338" s="6"/>
      <c r="S2338" s="6"/>
      <c r="T2338" s="6"/>
    </row>
    <row r="2339" spans="4:20" x14ac:dyDescent="0.2">
      <c r="D2339" s="6"/>
      <c r="E2339" s="6"/>
      <c r="F2339" s="6"/>
      <c r="G2339" s="19"/>
      <c r="H2339" s="19"/>
      <c r="I2339" s="19"/>
      <c r="J2339" s="19"/>
      <c r="K2339" s="6"/>
      <c r="L2339" s="6"/>
      <c r="M2339" s="6"/>
      <c r="N2339" s="6"/>
      <c r="O2339" s="6"/>
      <c r="P2339" s="6"/>
      <c r="Q2339" s="6"/>
      <c r="R2339" s="6"/>
      <c r="S2339" s="6"/>
      <c r="T2339" s="6"/>
    </row>
    <row r="2340" spans="4:20" x14ac:dyDescent="0.2">
      <c r="D2340" s="6"/>
      <c r="E2340" s="6"/>
      <c r="F2340" s="6"/>
      <c r="G2340" s="19"/>
      <c r="H2340" s="19"/>
      <c r="I2340" s="19"/>
      <c r="J2340" s="19"/>
      <c r="K2340" s="6"/>
      <c r="L2340" s="6"/>
      <c r="M2340" s="6"/>
      <c r="N2340" s="6"/>
      <c r="O2340" s="6"/>
      <c r="P2340" s="6"/>
      <c r="Q2340" s="6"/>
      <c r="R2340" s="6"/>
      <c r="S2340" s="6"/>
      <c r="T2340" s="6"/>
    </row>
    <row r="2341" spans="4:20" x14ac:dyDescent="0.2">
      <c r="D2341" s="6"/>
      <c r="E2341" s="6"/>
      <c r="F2341" s="6"/>
      <c r="G2341" s="19"/>
      <c r="H2341" s="19"/>
      <c r="I2341" s="19"/>
      <c r="J2341" s="19"/>
      <c r="K2341" s="6"/>
      <c r="L2341" s="6"/>
      <c r="M2341" s="6"/>
      <c r="N2341" s="6"/>
      <c r="O2341" s="6"/>
      <c r="P2341" s="6"/>
      <c r="Q2341" s="6"/>
      <c r="R2341" s="6"/>
      <c r="S2341" s="6"/>
      <c r="T2341" s="6"/>
    </row>
    <row r="2342" spans="4:20" x14ac:dyDescent="0.2">
      <c r="D2342" s="6"/>
      <c r="E2342" s="6"/>
      <c r="F2342" s="6"/>
      <c r="G2342" s="19"/>
      <c r="H2342" s="19"/>
      <c r="I2342" s="19"/>
      <c r="J2342" s="19"/>
      <c r="K2342" s="6"/>
      <c r="L2342" s="6"/>
      <c r="M2342" s="6"/>
      <c r="N2342" s="6"/>
      <c r="O2342" s="6"/>
      <c r="P2342" s="6"/>
      <c r="Q2342" s="6"/>
      <c r="R2342" s="6"/>
      <c r="S2342" s="6"/>
      <c r="T2342" s="6"/>
    </row>
    <row r="2343" spans="4:20" x14ac:dyDescent="0.2">
      <c r="D2343" s="6"/>
      <c r="E2343" s="6"/>
      <c r="F2343" s="6"/>
      <c r="G2343" s="19"/>
      <c r="H2343" s="19"/>
      <c r="I2343" s="19"/>
      <c r="J2343" s="19"/>
      <c r="K2343" s="6"/>
      <c r="L2343" s="6"/>
      <c r="M2343" s="6"/>
      <c r="N2343" s="6"/>
      <c r="O2343" s="6"/>
      <c r="P2343" s="6"/>
      <c r="Q2343" s="6"/>
      <c r="R2343" s="6"/>
      <c r="S2343" s="6"/>
      <c r="T2343" s="6"/>
    </row>
    <row r="2344" spans="4:20" x14ac:dyDescent="0.2">
      <c r="D2344" s="6"/>
      <c r="E2344" s="6"/>
      <c r="F2344" s="6"/>
      <c r="G2344" s="19"/>
      <c r="H2344" s="19"/>
      <c r="I2344" s="19"/>
      <c r="J2344" s="19"/>
      <c r="K2344" s="6"/>
      <c r="L2344" s="6"/>
      <c r="M2344" s="6"/>
      <c r="N2344" s="6"/>
      <c r="O2344" s="6"/>
      <c r="P2344" s="6"/>
      <c r="Q2344" s="6"/>
      <c r="R2344" s="6"/>
      <c r="S2344" s="6"/>
      <c r="T2344" s="6"/>
    </row>
    <row r="2345" spans="4:20" x14ac:dyDescent="0.2">
      <c r="D2345" s="6"/>
      <c r="E2345" s="6"/>
      <c r="F2345" s="6"/>
      <c r="G2345" s="19"/>
      <c r="H2345" s="19"/>
      <c r="I2345" s="19"/>
      <c r="J2345" s="19"/>
      <c r="K2345" s="6"/>
      <c r="L2345" s="6"/>
      <c r="M2345" s="6"/>
      <c r="N2345" s="6"/>
      <c r="O2345" s="6"/>
      <c r="P2345" s="6"/>
      <c r="Q2345" s="6"/>
      <c r="R2345" s="6"/>
      <c r="S2345" s="6"/>
      <c r="T2345" s="6"/>
    </row>
    <row r="2346" spans="4:20" x14ac:dyDescent="0.2">
      <c r="D2346" s="6"/>
      <c r="E2346" s="6"/>
      <c r="F2346" s="6"/>
      <c r="G2346" s="19"/>
      <c r="H2346" s="19"/>
      <c r="I2346" s="19"/>
      <c r="J2346" s="19"/>
      <c r="K2346" s="6"/>
      <c r="L2346" s="6"/>
      <c r="M2346" s="6"/>
      <c r="N2346" s="6"/>
      <c r="O2346" s="6"/>
      <c r="P2346" s="6"/>
      <c r="Q2346" s="6"/>
      <c r="R2346" s="6"/>
      <c r="S2346" s="6"/>
      <c r="T2346" s="6"/>
    </row>
    <row r="2347" spans="4:20" x14ac:dyDescent="0.2">
      <c r="D2347" s="6"/>
      <c r="E2347" s="6"/>
      <c r="F2347" s="6"/>
      <c r="G2347" s="19"/>
      <c r="H2347" s="19"/>
      <c r="I2347" s="19"/>
      <c r="J2347" s="19"/>
      <c r="K2347" s="6"/>
      <c r="L2347" s="6"/>
      <c r="M2347" s="6"/>
      <c r="N2347" s="6"/>
      <c r="O2347" s="6"/>
      <c r="P2347" s="6"/>
      <c r="Q2347" s="6"/>
      <c r="R2347" s="6"/>
      <c r="S2347" s="6"/>
      <c r="T2347" s="6"/>
    </row>
    <row r="2348" spans="4:20" x14ac:dyDescent="0.2">
      <c r="D2348" s="6"/>
      <c r="E2348" s="6"/>
      <c r="F2348" s="6"/>
      <c r="G2348" s="19"/>
      <c r="H2348" s="19"/>
      <c r="I2348" s="19"/>
      <c r="J2348" s="19"/>
      <c r="K2348" s="6"/>
      <c r="L2348" s="6"/>
      <c r="M2348" s="6"/>
      <c r="N2348" s="6"/>
      <c r="O2348" s="6"/>
      <c r="P2348" s="6"/>
      <c r="Q2348" s="6"/>
      <c r="R2348" s="6"/>
      <c r="S2348" s="6"/>
      <c r="T2348" s="6"/>
    </row>
    <row r="2349" spans="4:20" x14ac:dyDescent="0.2">
      <c r="D2349" s="6"/>
      <c r="E2349" s="6"/>
      <c r="F2349" s="6"/>
      <c r="G2349" s="19"/>
      <c r="H2349" s="19"/>
      <c r="I2349" s="19"/>
      <c r="J2349" s="19"/>
      <c r="K2349" s="6"/>
      <c r="L2349" s="6"/>
      <c r="M2349" s="6"/>
      <c r="N2349" s="6"/>
      <c r="O2349" s="6"/>
      <c r="P2349" s="6"/>
      <c r="Q2349" s="6"/>
      <c r="R2349" s="6"/>
      <c r="S2349" s="6"/>
      <c r="T2349" s="6"/>
    </row>
    <row r="2350" spans="4:20" x14ac:dyDescent="0.2">
      <c r="D2350" s="6"/>
      <c r="E2350" s="6"/>
      <c r="F2350" s="6"/>
      <c r="G2350" s="19"/>
      <c r="H2350" s="19"/>
      <c r="I2350" s="19"/>
      <c r="J2350" s="19"/>
      <c r="K2350" s="6"/>
      <c r="L2350" s="6"/>
      <c r="M2350" s="6"/>
      <c r="N2350" s="6"/>
      <c r="O2350" s="6"/>
      <c r="P2350" s="6"/>
      <c r="Q2350" s="6"/>
      <c r="R2350" s="6"/>
      <c r="S2350" s="6"/>
      <c r="T2350" s="6"/>
    </row>
    <row r="2351" spans="4:20" x14ac:dyDescent="0.2">
      <c r="D2351" s="6"/>
      <c r="E2351" s="6"/>
      <c r="F2351" s="6"/>
      <c r="G2351" s="19"/>
      <c r="H2351" s="19"/>
      <c r="I2351" s="19"/>
      <c r="J2351" s="19"/>
      <c r="K2351" s="6"/>
      <c r="L2351" s="6"/>
      <c r="M2351" s="6"/>
      <c r="N2351" s="6"/>
      <c r="O2351" s="6"/>
      <c r="P2351" s="6"/>
      <c r="Q2351" s="6"/>
      <c r="R2351" s="6"/>
      <c r="S2351" s="6"/>
      <c r="T2351" s="6"/>
    </row>
    <row r="2352" spans="4:20" x14ac:dyDescent="0.2">
      <c r="D2352" s="6"/>
      <c r="E2352" s="6"/>
      <c r="F2352" s="6"/>
      <c r="G2352" s="19"/>
      <c r="H2352" s="19"/>
      <c r="I2352" s="19"/>
      <c r="J2352" s="19"/>
      <c r="K2352" s="6"/>
      <c r="L2352" s="6"/>
      <c r="M2352" s="6"/>
      <c r="N2352" s="6"/>
      <c r="O2352" s="6"/>
      <c r="P2352" s="6"/>
      <c r="Q2352" s="6"/>
      <c r="R2352" s="6"/>
      <c r="S2352" s="6"/>
      <c r="T2352" s="6"/>
    </row>
    <row r="2353" spans="4:20" x14ac:dyDescent="0.2">
      <c r="D2353" s="6"/>
      <c r="E2353" s="6"/>
      <c r="F2353" s="6"/>
      <c r="G2353" s="19"/>
      <c r="H2353" s="19"/>
      <c r="I2353" s="19"/>
      <c r="J2353" s="19"/>
      <c r="K2353" s="6"/>
      <c r="L2353" s="6"/>
      <c r="M2353" s="6"/>
      <c r="N2353" s="6"/>
      <c r="O2353" s="6"/>
      <c r="P2353" s="6"/>
      <c r="Q2353" s="6"/>
      <c r="R2353" s="6"/>
      <c r="S2353" s="6"/>
      <c r="T2353" s="6"/>
    </row>
    <row r="2354" spans="4:20" x14ac:dyDescent="0.2">
      <c r="D2354" s="6"/>
      <c r="E2354" s="6"/>
      <c r="F2354" s="6"/>
      <c r="G2354" s="19"/>
      <c r="H2354" s="19"/>
      <c r="I2354" s="19"/>
      <c r="J2354" s="19"/>
      <c r="K2354" s="6"/>
      <c r="L2354" s="6"/>
      <c r="M2354" s="6"/>
      <c r="N2354" s="6"/>
      <c r="O2354" s="6"/>
      <c r="P2354" s="6"/>
      <c r="Q2354" s="6"/>
      <c r="R2354" s="6"/>
      <c r="S2354" s="6"/>
      <c r="T2354" s="6"/>
    </row>
    <row r="2355" spans="4:20" x14ac:dyDescent="0.2">
      <c r="D2355" s="6"/>
      <c r="E2355" s="6"/>
      <c r="F2355" s="6"/>
      <c r="G2355" s="19"/>
      <c r="H2355" s="19"/>
      <c r="I2355" s="19"/>
      <c r="J2355" s="19"/>
      <c r="K2355" s="6"/>
      <c r="L2355" s="6"/>
      <c r="M2355" s="6"/>
      <c r="N2355" s="6"/>
      <c r="O2355" s="6"/>
      <c r="P2355" s="6"/>
      <c r="Q2355" s="6"/>
      <c r="R2355" s="6"/>
      <c r="S2355" s="6"/>
      <c r="T2355" s="6"/>
    </row>
    <row r="2356" spans="4:20" x14ac:dyDescent="0.2">
      <c r="D2356" s="6"/>
      <c r="E2356" s="6"/>
      <c r="F2356" s="6"/>
      <c r="G2356" s="19"/>
      <c r="H2356" s="19"/>
      <c r="I2356" s="19"/>
      <c r="J2356" s="19"/>
      <c r="K2356" s="6"/>
      <c r="L2356" s="6"/>
      <c r="M2356" s="6"/>
      <c r="N2356" s="6"/>
      <c r="O2356" s="6"/>
      <c r="P2356" s="6"/>
      <c r="Q2356" s="6"/>
      <c r="R2356" s="6"/>
      <c r="S2356" s="6"/>
      <c r="T2356" s="6"/>
    </row>
    <row r="2357" spans="4:20" x14ac:dyDescent="0.2">
      <c r="D2357" s="6"/>
      <c r="E2357" s="6"/>
      <c r="F2357" s="6"/>
      <c r="G2357" s="19"/>
      <c r="H2357" s="19"/>
      <c r="I2357" s="19"/>
      <c r="J2357" s="19"/>
      <c r="K2357" s="6"/>
      <c r="L2357" s="6"/>
      <c r="M2357" s="6"/>
      <c r="N2357" s="6"/>
      <c r="O2357" s="6"/>
      <c r="P2357" s="6"/>
      <c r="Q2357" s="6"/>
      <c r="R2357" s="6"/>
      <c r="S2357" s="6"/>
      <c r="T2357" s="6"/>
    </row>
    <row r="2358" spans="4:20" x14ac:dyDescent="0.2">
      <c r="D2358" s="6"/>
      <c r="E2358" s="6"/>
      <c r="F2358" s="6"/>
      <c r="G2358" s="19"/>
      <c r="H2358" s="19"/>
      <c r="I2358" s="19"/>
      <c r="J2358" s="19"/>
      <c r="K2358" s="6"/>
      <c r="L2358" s="6"/>
      <c r="M2358" s="6"/>
      <c r="N2358" s="6"/>
      <c r="O2358" s="6"/>
      <c r="P2358" s="6"/>
      <c r="Q2358" s="6"/>
      <c r="R2358" s="6"/>
      <c r="S2358" s="6"/>
      <c r="T2358" s="6"/>
    </row>
    <row r="2359" spans="4:20" x14ac:dyDescent="0.2">
      <c r="D2359" s="6"/>
      <c r="E2359" s="6"/>
      <c r="F2359" s="6"/>
      <c r="G2359" s="19"/>
      <c r="H2359" s="19"/>
      <c r="I2359" s="19"/>
      <c r="J2359" s="19"/>
      <c r="K2359" s="6"/>
      <c r="L2359" s="6"/>
      <c r="M2359" s="6"/>
      <c r="N2359" s="6"/>
      <c r="O2359" s="6"/>
      <c r="P2359" s="6"/>
      <c r="Q2359" s="6"/>
      <c r="R2359" s="6"/>
      <c r="S2359" s="6"/>
      <c r="T2359" s="6"/>
    </row>
    <row r="2360" spans="4:20" x14ac:dyDescent="0.2">
      <c r="D2360" s="6"/>
      <c r="E2360" s="6"/>
      <c r="F2360" s="6"/>
      <c r="G2360" s="19"/>
      <c r="H2360" s="19"/>
      <c r="I2360" s="19"/>
      <c r="J2360" s="19"/>
      <c r="K2360" s="6"/>
      <c r="L2360" s="6"/>
      <c r="M2360" s="6"/>
      <c r="N2360" s="6"/>
      <c r="O2360" s="6"/>
      <c r="P2360" s="6"/>
      <c r="Q2360" s="6"/>
      <c r="R2360" s="6"/>
      <c r="S2360" s="6"/>
      <c r="T2360" s="6"/>
    </row>
    <row r="2361" spans="4:20" x14ac:dyDescent="0.2">
      <c r="D2361" s="6"/>
      <c r="E2361" s="6"/>
      <c r="F2361" s="6"/>
      <c r="G2361" s="19"/>
      <c r="H2361" s="19"/>
      <c r="I2361" s="19"/>
      <c r="J2361" s="19"/>
      <c r="K2361" s="6"/>
      <c r="L2361" s="6"/>
      <c r="M2361" s="6"/>
      <c r="N2361" s="6"/>
      <c r="O2361" s="6"/>
      <c r="P2361" s="6"/>
      <c r="Q2361" s="6"/>
      <c r="R2361" s="6"/>
      <c r="S2361" s="6"/>
      <c r="T2361" s="6"/>
    </row>
    <row r="2362" spans="4:20" x14ac:dyDescent="0.2">
      <c r="D2362" s="6"/>
      <c r="E2362" s="6"/>
      <c r="F2362" s="6"/>
      <c r="G2362" s="19"/>
      <c r="H2362" s="19"/>
      <c r="I2362" s="19"/>
      <c r="J2362" s="19"/>
      <c r="K2362" s="6"/>
      <c r="L2362" s="6"/>
      <c r="M2362" s="6"/>
      <c r="N2362" s="6"/>
      <c r="O2362" s="6"/>
      <c r="P2362" s="6"/>
      <c r="Q2362" s="6"/>
      <c r="R2362" s="6"/>
      <c r="S2362" s="6"/>
      <c r="T2362" s="6"/>
    </row>
    <row r="2363" spans="4:20" x14ac:dyDescent="0.2">
      <c r="D2363" s="6"/>
      <c r="E2363" s="6"/>
      <c r="F2363" s="6"/>
      <c r="G2363" s="19"/>
      <c r="H2363" s="19"/>
      <c r="I2363" s="19"/>
      <c r="J2363" s="19"/>
      <c r="K2363" s="6"/>
      <c r="L2363" s="6"/>
      <c r="M2363" s="6"/>
      <c r="N2363" s="6"/>
      <c r="O2363" s="6"/>
      <c r="P2363" s="6"/>
      <c r="Q2363" s="6"/>
      <c r="R2363" s="6"/>
      <c r="S2363" s="6"/>
      <c r="T2363" s="6"/>
    </row>
    <row r="2364" spans="4:20" x14ac:dyDescent="0.2">
      <c r="D2364" s="6"/>
      <c r="E2364" s="6"/>
      <c r="F2364" s="6"/>
      <c r="G2364" s="19"/>
      <c r="H2364" s="19"/>
      <c r="I2364" s="19"/>
      <c r="J2364" s="19"/>
      <c r="K2364" s="6"/>
      <c r="L2364" s="6"/>
      <c r="M2364" s="6"/>
      <c r="N2364" s="6"/>
      <c r="O2364" s="6"/>
      <c r="P2364" s="6"/>
      <c r="Q2364" s="6"/>
      <c r="R2364" s="6"/>
      <c r="S2364" s="6"/>
      <c r="T2364" s="6"/>
    </row>
    <row r="2365" spans="4:20" x14ac:dyDescent="0.2">
      <c r="D2365" s="6"/>
      <c r="E2365" s="6"/>
      <c r="F2365" s="6"/>
      <c r="G2365" s="19"/>
      <c r="H2365" s="19"/>
      <c r="I2365" s="19"/>
      <c r="J2365" s="19"/>
      <c r="K2365" s="6"/>
      <c r="L2365" s="6"/>
      <c r="M2365" s="6"/>
      <c r="N2365" s="6"/>
      <c r="O2365" s="6"/>
      <c r="P2365" s="6"/>
      <c r="Q2365" s="6"/>
      <c r="R2365" s="6"/>
      <c r="S2365" s="6"/>
      <c r="T2365" s="6"/>
    </row>
    <row r="2366" spans="4:20" x14ac:dyDescent="0.2">
      <c r="D2366" s="6"/>
      <c r="E2366" s="6"/>
      <c r="F2366" s="6"/>
      <c r="G2366" s="19"/>
      <c r="H2366" s="19"/>
      <c r="I2366" s="19"/>
      <c r="J2366" s="19"/>
      <c r="K2366" s="6"/>
      <c r="L2366" s="6"/>
      <c r="M2366" s="6"/>
      <c r="N2366" s="6"/>
      <c r="O2366" s="6"/>
      <c r="P2366" s="6"/>
      <c r="Q2366" s="6"/>
      <c r="R2366" s="6"/>
      <c r="S2366" s="6"/>
      <c r="T2366" s="6"/>
    </row>
    <row r="2367" spans="4:20" x14ac:dyDescent="0.2">
      <c r="D2367" s="6"/>
      <c r="E2367" s="6"/>
      <c r="F2367" s="6"/>
      <c r="G2367" s="19"/>
      <c r="H2367" s="19"/>
      <c r="I2367" s="19"/>
      <c r="J2367" s="19"/>
      <c r="K2367" s="6"/>
      <c r="L2367" s="6"/>
      <c r="M2367" s="6"/>
      <c r="N2367" s="6"/>
      <c r="O2367" s="6"/>
      <c r="P2367" s="6"/>
      <c r="Q2367" s="6"/>
      <c r="R2367" s="6"/>
      <c r="S2367" s="6"/>
      <c r="T2367" s="6"/>
    </row>
    <row r="2368" spans="4:20" x14ac:dyDescent="0.2">
      <c r="D2368" s="6"/>
      <c r="E2368" s="6"/>
      <c r="F2368" s="6"/>
      <c r="G2368" s="19"/>
      <c r="H2368" s="19"/>
      <c r="I2368" s="19"/>
      <c r="J2368" s="19"/>
      <c r="K2368" s="6"/>
      <c r="L2368" s="6"/>
      <c r="M2368" s="6"/>
      <c r="N2368" s="6"/>
      <c r="O2368" s="6"/>
      <c r="P2368" s="6"/>
      <c r="Q2368" s="6"/>
      <c r="R2368" s="6"/>
      <c r="S2368" s="6"/>
      <c r="T2368" s="6"/>
    </row>
    <row r="2369" spans="4:20" x14ac:dyDescent="0.2">
      <c r="D2369" s="6"/>
      <c r="E2369" s="6"/>
      <c r="F2369" s="6"/>
      <c r="G2369" s="19"/>
      <c r="H2369" s="19"/>
      <c r="I2369" s="19"/>
      <c r="J2369" s="19"/>
      <c r="K2369" s="6"/>
      <c r="L2369" s="6"/>
      <c r="M2369" s="6"/>
      <c r="N2369" s="6"/>
      <c r="O2369" s="6"/>
      <c r="P2369" s="6"/>
      <c r="Q2369" s="6"/>
      <c r="R2369" s="6"/>
      <c r="S2369" s="6"/>
      <c r="T2369" s="6"/>
    </row>
    <row r="2370" spans="4:20" x14ac:dyDescent="0.2">
      <c r="D2370" s="6"/>
      <c r="E2370" s="6"/>
      <c r="F2370" s="6"/>
      <c r="G2370" s="19"/>
      <c r="H2370" s="19"/>
      <c r="I2370" s="19"/>
      <c r="J2370" s="19"/>
      <c r="K2370" s="6"/>
      <c r="L2370" s="6"/>
      <c r="M2370" s="6"/>
      <c r="N2370" s="6"/>
      <c r="O2370" s="6"/>
      <c r="P2370" s="6"/>
      <c r="Q2370" s="6"/>
      <c r="R2370" s="6"/>
      <c r="S2370" s="6"/>
      <c r="T2370" s="6"/>
    </row>
    <row r="2371" spans="4:20" x14ac:dyDescent="0.2">
      <c r="D2371" s="6"/>
      <c r="E2371" s="6"/>
      <c r="F2371" s="6"/>
      <c r="G2371" s="19"/>
      <c r="H2371" s="19"/>
      <c r="I2371" s="19"/>
      <c r="J2371" s="19"/>
      <c r="K2371" s="6"/>
      <c r="L2371" s="6"/>
      <c r="M2371" s="6"/>
      <c r="N2371" s="6"/>
      <c r="O2371" s="6"/>
      <c r="P2371" s="6"/>
      <c r="Q2371" s="6"/>
      <c r="R2371" s="6"/>
      <c r="S2371" s="6"/>
      <c r="T2371" s="6"/>
    </row>
    <row r="2372" spans="4:20" x14ac:dyDescent="0.2">
      <c r="D2372" s="6"/>
      <c r="E2372" s="6"/>
      <c r="F2372" s="6"/>
      <c r="G2372" s="19"/>
      <c r="H2372" s="19"/>
      <c r="I2372" s="19"/>
      <c r="J2372" s="19"/>
      <c r="K2372" s="6"/>
      <c r="L2372" s="6"/>
      <c r="M2372" s="6"/>
      <c r="N2372" s="6"/>
      <c r="O2372" s="6"/>
      <c r="P2372" s="6"/>
      <c r="Q2372" s="6"/>
      <c r="R2372" s="6"/>
      <c r="S2372" s="6"/>
      <c r="T2372" s="6"/>
    </row>
    <row r="2373" spans="4:20" x14ac:dyDescent="0.2">
      <c r="D2373" s="6"/>
      <c r="E2373" s="6"/>
      <c r="F2373" s="6"/>
      <c r="G2373" s="19"/>
      <c r="H2373" s="19"/>
      <c r="I2373" s="19"/>
      <c r="J2373" s="19"/>
      <c r="K2373" s="6"/>
      <c r="L2373" s="6"/>
      <c r="M2373" s="6"/>
      <c r="N2373" s="6"/>
      <c r="O2373" s="6"/>
      <c r="P2373" s="6"/>
      <c r="Q2373" s="6"/>
      <c r="R2373" s="6"/>
      <c r="S2373" s="6"/>
      <c r="T2373" s="6"/>
    </row>
    <row r="2374" spans="4:20" x14ac:dyDescent="0.2">
      <c r="D2374" s="6"/>
      <c r="E2374" s="6"/>
      <c r="F2374" s="6"/>
      <c r="G2374" s="19"/>
      <c r="H2374" s="19"/>
      <c r="I2374" s="19"/>
      <c r="J2374" s="19"/>
      <c r="K2374" s="6"/>
      <c r="L2374" s="6"/>
      <c r="M2374" s="6"/>
      <c r="N2374" s="6"/>
      <c r="O2374" s="6"/>
      <c r="P2374" s="6"/>
      <c r="Q2374" s="6"/>
      <c r="R2374" s="6"/>
      <c r="S2374" s="6"/>
      <c r="T2374" s="6"/>
    </row>
    <row r="2375" spans="4:20" x14ac:dyDescent="0.2">
      <c r="D2375" s="6"/>
      <c r="E2375" s="6"/>
      <c r="F2375" s="6"/>
      <c r="G2375" s="19"/>
      <c r="H2375" s="19"/>
      <c r="I2375" s="19"/>
      <c r="J2375" s="19"/>
      <c r="K2375" s="6"/>
      <c r="L2375" s="6"/>
      <c r="M2375" s="6"/>
      <c r="N2375" s="6"/>
      <c r="O2375" s="6"/>
      <c r="P2375" s="6"/>
      <c r="Q2375" s="6"/>
      <c r="R2375" s="6"/>
      <c r="S2375" s="6"/>
      <c r="T2375" s="6"/>
    </row>
    <row r="2376" spans="4:20" x14ac:dyDescent="0.2">
      <c r="D2376" s="6"/>
      <c r="E2376" s="6"/>
      <c r="F2376" s="6"/>
      <c r="G2376" s="19"/>
      <c r="H2376" s="19"/>
      <c r="I2376" s="19"/>
      <c r="J2376" s="19"/>
      <c r="K2376" s="6"/>
      <c r="L2376" s="6"/>
      <c r="M2376" s="6"/>
      <c r="N2376" s="6"/>
      <c r="O2376" s="6"/>
      <c r="P2376" s="6"/>
      <c r="Q2376" s="6"/>
      <c r="R2376" s="6"/>
      <c r="S2376" s="6"/>
      <c r="T2376" s="6"/>
    </row>
    <row r="2377" spans="4:20" x14ac:dyDescent="0.2">
      <c r="D2377" s="6"/>
      <c r="E2377" s="6"/>
      <c r="F2377" s="6"/>
      <c r="G2377" s="19"/>
      <c r="H2377" s="19"/>
      <c r="I2377" s="19"/>
      <c r="J2377" s="19"/>
      <c r="K2377" s="6"/>
      <c r="L2377" s="6"/>
      <c r="M2377" s="6"/>
      <c r="N2377" s="6"/>
      <c r="O2377" s="6"/>
      <c r="P2377" s="6"/>
      <c r="Q2377" s="6"/>
      <c r="R2377" s="6"/>
      <c r="S2377" s="6"/>
      <c r="T2377" s="6"/>
    </row>
    <row r="2378" spans="4:20" x14ac:dyDescent="0.2">
      <c r="D2378" s="6"/>
      <c r="E2378" s="6"/>
      <c r="F2378" s="6"/>
      <c r="G2378" s="19"/>
      <c r="H2378" s="19"/>
      <c r="I2378" s="19"/>
      <c r="J2378" s="19"/>
      <c r="K2378" s="6"/>
      <c r="L2378" s="6"/>
      <c r="M2378" s="6"/>
      <c r="N2378" s="6"/>
      <c r="O2378" s="6"/>
      <c r="P2378" s="6"/>
      <c r="Q2378" s="6"/>
      <c r="R2378" s="6"/>
      <c r="S2378" s="6"/>
      <c r="T2378" s="6"/>
    </row>
    <row r="2379" spans="4:20" x14ac:dyDescent="0.2">
      <c r="D2379" s="6"/>
      <c r="E2379" s="6"/>
      <c r="F2379" s="6"/>
      <c r="G2379" s="19"/>
      <c r="H2379" s="19"/>
      <c r="I2379" s="19"/>
      <c r="J2379" s="19"/>
      <c r="K2379" s="6"/>
      <c r="L2379" s="6"/>
      <c r="M2379" s="6"/>
      <c r="N2379" s="6"/>
      <c r="O2379" s="6"/>
      <c r="P2379" s="6"/>
      <c r="Q2379" s="6"/>
      <c r="R2379" s="6"/>
      <c r="S2379" s="6"/>
      <c r="T2379" s="6"/>
    </row>
    <row r="2380" spans="4:20" x14ac:dyDescent="0.2">
      <c r="D2380" s="6"/>
      <c r="E2380" s="6"/>
      <c r="F2380" s="6"/>
      <c r="G2380" s="19"/>
      <c r="H2380" s="19"/>
      <c r="I2380" s="19"/>
      <c r="J2380" s="19"/>
      <c r="K2380" s="6"/>
      <c r="L2380" s="6"/>
      <c r="M2380" s="6"/>
      <c r="N2380" s="6"/>
      <c r="O2380" s="6"/>
      <c r="P2380" s="6"/>
      <c r="Q2380" s="6"/>
      <c r="R2380" s="6"/>
      <c r="S2380" s="6"/>
      <c r="T2380" s="6"/>
    </row>
    <row r="2381" spans="4:20" x14ac:dyDescent="0.2">
      <c r="D2381" s="6"/>
      <c r="E2381" s="6"/>
      <c r="F2381" s="6"/>
      <c r="G2381" s="19"/>
      <c r="H2381" s="19"/>
      <c r="I2381" s="19"/>
      <c r="J2381" s="19"/>
      <c r="K2381" s="6"/>
      <c r="L2381" s="6"/>
      <c r="M2381" s="6"/>
      <c r="N2381" s="6"/>
      <c r="O2381" s="6"/>
      <c r="P2381" s="6"/>
      <c r="Q2381" s="6"/>
      <c r="R2381" s="6"/>
      <c r="S2381" s="6"/>
      <c r="T2381" s="6"/>
    </row>
    <row r="2382" spans="4:20" x14ac:dyDescent="0.2">
      <c r="D2382" s="6"/>
      <c r="E2382" s="6"/>
      <c r="F2382" s="6"/>
      <c r="G2382" s="19"/>
      <c r="H2382" s="19"/>
      <c r="I2382" s="19"/>
      <c r="J2382" s="19"/>
      <c r="K2382" s="6"/>
      <c r="L2382" s="6"/>
      <c r="M2382" s="6"/>
      <c r="N2382" s="6"/>
      <c r="O2382" s="6"/>
      <c r="P2382" s="6"/>
      <c r="Q2382" s="6"/>
      <c r="R2382" s="6"/>
      <c r="S2382" s="6"/>
      <c r="T2382" s="6"/>
    </row>
    <row r="2383" spans="4:20" x14ac:dyDescent="0.2">
      <c r="D2383" s="6"/>
      <c r="E2383" s="6"/>
      <c r="F2383" s="6"/>
      <c r="G2383" s="19"/>
      <c r="H2383" s="19"/>
      <c r="I2383" s="19"/>
      <c r="J2383" s="19"/>
      <c r="K2383" s="6"/>
      <c r="L2383" s="6"/>
      <c r="M2383" s="6"/>
      <c r="N2383" s="6"/>
      <c r="O2383" s="6"/>
      <c r="P2383" s="6"/>
      <c r="Q2383" s="6"/>
      <c r="R2383" s="6"/>
      <c r="S2383" s="6"/>
      <c r="T2383" s="6"/>
    </row>
    <row r="2384" spans="4:20" x14ac:dyDescent="0.2">
      <c r="D2384" s="6"/>
      <c r="E2384" s="6"/>
      <c r="F2384" s="6"/>
      <c r="G2384" s="19"/>
      <c r="H2384" s="19"/>
      <c r="I2384" s="19"/>
      <c r="J2384" s="19"/>
      <c r="K2384" s="6"/>
      <c r="L2384" s="6"/>
      <c r="M2384" s="6"/>
      <c r="N2384" s="6"/>
      <c r="O2384" s="6"/>
      <c r="P2384" s="6"/>
      <c r="Q2384" s="6"/>
      <c r="R2384" s="6"/>
      <c r="S2384" s="6"/>
      <c r="T2384" s="6"/>
    </row>
    <row r="2385" spans="4:20" x14ac:dyDescent="0.2">
      <c r="D2385" s="6"/>
      <c r="E2385" s="6"/>
      <c r="F2385" s="6"/>
      <c r="G2385" s="19"/>
      <c r="H2385" s="19"/>
      <c r="I2385" s="19"/>
      <c r="J2385" s="19"/>
      <c r="K2385" s="6"/>
      <c r="L2385" s="6"/>
      <c r="M2385" s="6"/>
      <c r="N2385" s="6"/>
      <c r="O2385" s="6"/>
      <c r="P2385" s="6"/>
      <c r="Q2385" s="6"/>
      <c r="R2385" s="6"/>
      <c r="S2385" s="6"/>
      <c r="T2385" s="6"/>
    </row>
    <row r="2386" spans="4:20" x14ac:dyDescent="0.2">
      <c r="D2386" s="6"/>
      <c r="E2386" s="6"/>
      <c r="F2386" s="6"/>
      <c r="G2386" s="19"/>
      <c r="H2386" s="19"/>
      <c r="I2386" s="19"/>
      <c r="J2386" s="19"/>
      <c r="K2386" s="6"/>
      <c r="L2386" s="6"/>
      <c r="M2386" s="6"/>
      <c r="N2386" s="6"/>
      <c r="O2386" s="6"/>
      <c r="P2386" s="6"/>
      <c r="Q2386" s="6"/>
      <c r="R2386" s="6"/>
      <c r="S2386" s="6"/>
      <c r="T2386" s="6"/>
    </row>
    <row r="2387" spans="4:20" x14ac:dyDescent="0.2">
      <c r="D2387" s="6"/>
      <c r="E2387" s="6"/>
      <c r="F2387" s="6"/>
      <c r="G2387" s="19"/>
      <c r="H2387" s="19"/>
      <c r="I2387" s="19"/>
      <c r="J2387" s="19"/>
      <c r="K2387" s="6"/>
      <c r="L2387" s="6"/>
      <c r="M2387" s="6"/>
      <c r="N2387" s="6"/>
      <c r="O2387" s="6"/>
      <c r="P2387" s="6"/>
      <c r="Q2387" s="6"/>
      <c r="R2387" s="6"/>
      <c r="S2387" s="6"/>
      <c r="T2387" s="6"/>
    </row>
    <row r="2388" spans="4:20" x14ac:dyDescent="0.2">
      <c r="D2388" s="6"/>
      <c r="E2388" s="6"/>
      <c r="F2388" s="6"/>
      <c r="G2388" s="19"/>
      <c r="H2388" s="19"/>
      <c r="I2388" s="19"/>
      <c r="J2388" s="19"/>
      <c r="K2388" s="6"/>
      <c r="L2388" s="6"/>
      <c r="M2388" s="6"/>
      <c r="N2388" s="6"/>
      <c r="O2388" s="6"/>
      <c r="P2388" s="6"/>
      <c r="Q2388" s="6"/>
      <c r="R2388" s="6"/>
      <c r="S2388" s="6"/>
      <c r="T2388" s="6"/>
    </row>
    <row r="2389" spans="4:20" x14ac:dyDescent="0.2">
      <c r="D2389" s="6"/>
      <c r="E2389" s="6"/>
      <c r="F2389" s="6"/>
      <c r="G2389" s="19"/>
      <c r="H2389" s="19"/>
      <c r="I2389" s="19"/>
      <c r="J2389" s="19"/>
      <c r="K2389" s="6"/>
      <c r="L2389" s="6"/>
      <c r="M2389" s="6"/>
      <c r="N2389" s="6"/>
      <c r="O2389" s="6"/>
      <c r="P2389" s="6"/>
      <c r="Q2389" s="6"/>
      <c r="R2389" s="6"/>
      <c r="S2389" s="6"/>
      <c r="T2389" s="6"/>
    </row>
    <row r="2390" spans="4:20" x14ac:dyDescent="0.2">
      <c r="D2390" s="6"/>
      <c r="E2390" s="6"/>
      <c r="F2390" s="6"/>
      <c r="G2390" s="19"/>
      <c r="H2390" s="19"/>
      <c r="I2390" s="19"/>
      <c r="J2390" s="19"/>
      <c r="K2390" s="6"/>
      <c r="L2390" s="6"/>
      <c r="M2390" s="6"/>
      <c r="N2390" s="6"/>
      <c r="O2390" s="6"/>
      <c r="P2390" s="6"/>
      <c r="Q2390" s="6"/>
      <c r="R2390" s="6"/>
      <c r="S2390" s="6"/>
      <c r="T2390" s="6"/>
    </row>
    <row r="2391" spans="4:20" x14ac:dyDescent="0.2">
      <c r="D2391" s="6"/>
      <c r="E2391" s="6"/>
      <c r="F2391" s="6"/>
      <c r="G2391" s="19"/>
      <c r="H2391" s="19"/>
      <c r="I2391" s="19"/>
      <c r="J2391" s="19"/>
      <c r="K2391" s="6"/>
      <c r="L2391" s="6"/>
      <c r="M2391" s="6"/>
      <c r="N2391" s="6"/>
      <c r="O2391" s="6"/>
      <c r="P2391" s="6"/>
      <c r="Q2391" s="6"/>
      <c r="R2391" s="6"/>
      <c r="S2391" s="6"/>
      <c r="T2391" s="6"/>
    </row>
    <row r="2392" spans="4:20" x14ac:dyDescent="0.2">
      <c r="D2392" s="6"/>
      <c r="E2392" s="6"/>
      <c r="F2392" s="6"/>
      <c r="G2392" s="19"/>
      <c r="H2392" s="19"/>
      <c r="I2392" s="19"/>
      <c r="J2392" s="19"/>
      <c r="K2392" s="6"/>
      <c r="L2392" s="6"/>
      <c r="M2392" s="6"/>
      <c r="N2392" s="6"/>
      <c r="O2392" s="6"/>
      <c r="P2392" s="6"/>
      <c r="Q2392" s="6"/>
      <c r="R2392" s="6"/>
      <c r="S2392" s="6"/>
      <c r="T2392" s="6"/>
    </row>
    <row r="2393" spans="4:20" x14ac:dyDescent="0.2">
      <c r="D2393" s="6"/>
      <c r="E2393" s="6"/>
      <c r="F2393" s="6"/>
      <c r="G2393" s="19"/>
      <c r="H2393" s="19"/>
      <c r="I2393" s="19"/>
      <c r="J2393" s="19"/>
      <c r="K2393" s="6"/>
      <c r="L2393" s="6"/>
      <c r="M2393" s="6"/>
      <c r="N2393" s="6"/>
      <c r="O2393" s="6"/>
      <c r="P2393" s="6"/>
      <c r="Q2393" s="6"/>
      <c r="R2393" s="6"/>
      <c r="S2393" s="6"/>
      <c r="T2393" s="6"/>
    </row>
    <row r="2394" spans="4:20" x14ac:dyDescent="0.2">
      <c r="D2394" s="6"/>
      <c r="E2394" s="6"/>
      <c r="F2394" s="6"/>
      <c r="G2394" s="19"/>
      <c r="H2394" s="19"/>
      <c r="I2394" s="19"/>
      <c r="J2394" s="19"/>
      <c r="K2394" s="6"/>
      <c r="L2394" s="6"/>
      <c r="M2394" s="6"/>
      <c r="N2394" s="6"/>
      <c r="O2394" s="6"/>
      <c r="P2394" s="6"/>
      <c r="Q2394" s="6"/>
      <c r="R2394" s="6"/>
      <c r="S2394" s="6"/>
      <c r="T2394" s="6"/>
    </row>
    <row r="2395" spans="4:20" x14ac:dyDescent="0.2">
      <c r="D2395" s="6"/>
      <c r="E2395" s="6"/>
      <c r="F2395" s="6"/>
      <c r="G2395" s="19"/>
      <c r="H2395" s="19"/>
      <c r="I2395" s="19"/>
      <c r="J2395" s="19"/>
      <c r="K2395" s="6"/>
      <c r="L2395" s="6"/>
      <c r="M2395" s="6"/>
      <c r="N2395" s="6"/>
      <c r="O2395" s="6"/>
      <c r="P2395" s="6"/>
      <c r="Q2395" s="6"/>
      <c r="R2395" s="6"/>
      <c r="S2395" s="6"/>
      <c r="T2395" s="6"/>
    </row>
    <row r="2396" spans="4:20" x14ac:dyDescent="0.2">
      <c r="D2396" s="6"/>
      <c r="E2396" s="6"/>
      <c r="F2396" s="6"/>
      <c r="G2396" s="19"/>
      <c r="H2396" s="19"/>
      <c r="I2396" s="19"/>
      <c r="J2396" s="19"/>
      <c r="K2396" s="6"/>
      <c r="L2396" s="6"/>
      <c r="M2396" s="6"/>
      <c r="N2396" s="6"/>
      <c r="O2396" s="6"/>
      <c r="P2396" s="6"/>
      <c r="Q2396" s="6"/>
      <c r="R2396" s="6"/>
      <c r="S2396" s="6"/>
      <c r="T2396" s="6"/>
    </row>
    <row r="2397" spans="4:20" x14ac:dyDescent="0.2">
      <c r="D2397" s="6"/>
      <c r="E2397" s="6"/>
      <c r="F2397" s="6"/>
      <c r="G2397" s="19"/>
      <c r="H2397" s="19"/>
      <c r="I2397" s="19"/>
      <c r="J2397" s="19"/>
      <c r="K2397" s="6"/>
      <c r="L2397" s="6"/>
      <c r="M2397" s="6"/>
      <c r="N2397" s="6"/>
      <c r="O2397" s="6"/>
      <c r="P2397" s="6"/>
      <c r="Q2397" s="6"/>
      <c r="R2397" s="6"/>
      <c r="S2397" s="6"/>
      <c r="T2397" s="6"/>
    </row>
    <row r="2398" spans="4:20" x14ac:dyDescent="0.2">
      <c r="D2398" s="6"/>
      <c r="E2398" s="6"/>
      <c r="F2398" s="6"/>
      <c r="G2398" s="19"/>
      <c r="H2398" s="19"/>
      <c r="I2398" s="19"/>
      <c r="J2398" s="19"/>
      <c r="K2398" s="6"/>
      <c r="L2398" s="6"/>
      <c r="M2398" s="6"/>
      <c r="N2398" s="6"/>
      <c r="O2398" s="6"/>
      <c r="P2398" s="6"/>
      <c r="Q2398" s="6"/>
      <c r="R2398" s="6"/>
      <c r="S2398" s="6"/>
      <c r="T2398" s="6"/>
    </row>
    <row r="2399" spans="4:20" x14ac:dyDescent="0.2">
      <c r="D2399" s="6"/>
      <c r="E2399" s="6"/>
      <c r="F2399" s="6"/>
      <c r="G2399" s="19"/>
      <c r="H2399" s="19"/>
      <c r="I2399" s="19"/>
      <c r="J2399" s="19"/>
      <c r="K2399" s="6"/>
      <c r="L2399" s="6"/>
      <c r="M2399" s="6"/>
      <c r="N2399" s="6"/>
      <c r="O2399" s="6"/>
      <c r="P2399" s="6"/>
      <c r="Q2399" s="6"/>
      <c r="R2399" s="6"/>
      <c r="S2399" s="6"/>
      <c r="T2399" s="6"/>
    </row>
    <row r="2400" spans="4:20" x14ac:dyDescent="0.2">
      <c r="D2400" s="6"/>
      <c r="E2400" s="6"/>
      <c r="F2400" s="6"/>
      <c r="G2400" s="19"/>
      <c r="H2400" s="19"/>
      <c r="I2400" s="19"/>
      <c r="J2400" s="19"/>
      <c r="K2400" s="6"/>
      <c r="L2400" s="6"/>
      <c r="M2400" s="6"/>
      <c r="N2400" s="6"/>
      <c r="O2400" s="6"/>
      <c r="P2400" s="6"/>
      <c r="Q2400" s="6"/>
      <c r="R2400" s="6"/>
      <c r="S2400" s="6"/>
      <c r="T2400" s="6"/>
    </row>
    <row r="2401" spans="4:20" x14ac:dyDescent="0.2">
      <c r="D2401" s="6"/>
      <c r="E2401" s="6"/>
      <c r="F2401" s="6"/>
      <c r="G2401" s="19"/>
      <c r="H2401" s="19"/>
      <c r="I2401" s="19"/>
      <c r="J2401" s="19"/>
      <c r="K2401" s="6"/>
      <c r="L2401" s="6"/>
      <c r="M2401" s="6"/>
      <c r="N2401" s="6"/>
      <c r="O2401" s="6"/>
      <c r="P2401" s="6"/>
      <c r="Q2401" s="6"/>
      <c r="R2401" s="6"/>
      <c r="S2401" s="6"/>
      <c r="T2401" s="6"/>
    </row>
    <row r="2402" spans="4:20" x14ac:dyDescent="0.2">
      <c r="D2402" s="6"/>
      <c r="E2402" s="6"/>
      <c r="F2402" s="6"/>
      <c r="G2402" s="19"/>
      <c r="H2402" s="19"/>
      <c r="I2402" s="19"/>
      <c r="J2402" s="19"/>
      <c r="K2402" s="6"/>
      <c r="L2402" s="6"/>
      <c r="M2402" s="6"/>
      <c r="N2402" s="6"/>
      <c r="O2402" s="6"/>
      <c r="P2402" s="6"/>
      <c r="Q2402" s="6"/>
      <c r="R2402" s="6"/>
      <c r="S2402" s="6"/>
      <c r="T2402" s="6"/>
    </row>
    <row r="2403" spans="4:20" x14ac:dyDescent="0.2">
      <c r="D2403" s="6"/>
      <c r="E2403" s="6"/>
      <c r="F2403" s="6"/>
      <c r="G2403" s="19"/>
      <c r="H2403" s="19"/>
      <c r="I2403" s="19"/>
      <c r="J2403" s="19"/>
      <c r="K2403" s="6"/>
      <c r="L2403" s="6"/>
      <c r="M2403" s="6"/>
      <c r="N2403" s="6"/>
      <c r="O2403" s="6"/>
      <c r="P2403" s="6"/>
      <c r="Q2403" s="6"/>
      <c r="R2403" s="6"/>
      <c r="S2403" s="6"/>
      <c r="T2403" s="6"/>
    </row>
    <row r="2404" spans="4:20" x14ac:dyDescent="0.2">
      <c r="D2404" s="6"/>
      <c r="E2404" s="6"/>
      <c r="F2404" s="6"/>
      <c r="G2404" s="19"/>
      <c r="H2404" s="19"/>
      <c r="I2404" s="19"/>
      <c r="J2404" s="19"/>
      <c r="K2404" s="6"/>
      <c r="L2404" s="6"/>
      <c r="M2404" s="6"/>
      <c r="N2404" s="6"/>
      <c r="O2404" s="6"/>
      <c r="P2404" s="6"/>
      <c r="Q2404" s="6"/>
      <c r="R2404" s="6"/>
      <c r="S2404" s="6"/>
      <c r="T2404" s="6"/>
    </row>
    <row r="2405" spans="4:20" x14ac:dyDescent="0.2">
      <c r="D2405" s="6"/>
      <c r="E2405" s="6"/>
      <c r="F2405" s="6"/>
      <c r="G2405" s="19"/>
      <c r="H2405" s="19"/>
      <c r="I2405" s="19"/>
      <c r="J2405" s="19"/>
      <c r="K2405" s="6"/>
      <c r="L2405" s="6"/>
      <c r="M2405" s="6"/>
      <c r="N2405" s="6"/>
      <c r="O2405" s="6"/>
      <c r="P2405" s="6"/>
      <c r="Q2405" s="6"/>
      <c r="R2405" s="6"/>
      <c r="S2405" s="6"/>
      <c r="T2405" s="6"/>
    </row>
    <row r="2406" spans="4:20" x14ac:dyDescent="0.2">
      <c r="D2406" s="6"/>
      <c r="E2406" s="6"/>
      <c r="F2406" s="6"/>
      <c r="G2406" s="19"/>
      <c r="H2406" s="19"/>
      <c r="I2406" s="19"/>
      <c r="J2406" s="19"/>
      <c r="K2406" s="6"/>
      <c r="L2406" s="6"/>
      <c r="M2406" s="6"/>
      <c r="N2406" s="6"/>
      <c r="O2406" s="6"/>
      <c r="P2406" s="6"/>
      <c r="Q2406" s="6"/>
      <c r="R2406" s="6"/>
      <c r="S2406" s="6"/>
      <c r="T2406" s="6"/>
    </row>
    <row r="2407" spans="4:20" x14ac:dyDescent="0.2">
      <c r="D2407" s="6"/>
      <c r="E2407" s="6"/>
      <c r="F2407" s="6"/>
      <c r="G2407" s="19"/>
      <c r="H2407" s="19"/>
      <c r="I2407" s="19"/>
      <c r="J2407" s="19"/>
      <c r="K2407" s="6"/>
      <c r="L2407" s="6"/>
      <c r="M2407" s="6"/>
      <c r="N2407" s="6"/>
      <c r="O2407" s="6"/>
      <c r="P2407" s="6"/>
      <c r="Q2407" s="6"/>
      <c r="R2407" s="6"/>
      <c r="S2407" s="6"/>
      <c r="T2407" s="6"/>
    </row>
    <row r="2408" spans="4:20" x14ac:dyDescent="0.2">
      <c r="D2408" s="6"/>
      <c r="E2408" s="6"/>
      <c r="F2408" s="6"/>
      <c r="G2408" s="19"/>
      <c r="H2408" s="19"/>
      <c r="I2408" s="19"/>
      <c r="J2408" s="19"/>
      <c r="K2408" s="6"/>
      <c r="L2408" s="6"/>
      <c r="M2408" s="6"/>
      <c r="N2408" s="6"/>
      <c r="O2408" s="6"/>
      <c r="P2408" s="6"/>
      <c r="Q2408" s="6"/>
      <c r="R2408" s="6"/>
      <c r="S2408" s="6"/>
      <c r="T2408" s="6"/>
    </row>
    <row r="2409" spans="4:20" x14ac:dyDescent="0.2">
      <c r="D2409" s="6"/>
      <c r="E2409" s="6"/>
      <c r="F2409" s="6"/>
      <c r="G2409" s="19"/>
      <c r="H2409" s="19"/>
      <c r="I2409" s="19"/>
      <c r="J2409" s="19"/>
      <c r="K2409" s="6"/>
      <c r="L2409" s="6"/>
      <c r="M2409" s="6"/>
      <c r="N2409" s="6"/>
      <c r="O2409" s="6"/>
      <c r="P2409" s="6"/>
      <c r="Q2409" s="6"/>
      <c r="R2409" s="6"/>
      <c r="S2409" s="6"/>
      <c r="T2409" s="6"/>
    </row>
    <row r="2410" spans="4:20" x14ac:dyDescent="0.2">
      <c r="D2410" s="6"/>
      <c r="E2410" s="6"/>
      <c r="F2410" s="6"/>
      <c r="G2410" s="19"/>
      <c r="H2410" s="19"/>
      <c r="I2410" s="19"/>
      <c r="J2410" s="19"/>
      <c r="K2410" s="6"/>
      <c r="L2410" s="6"/>
      <c r="M2410" s="6"/>
      <c r="N2410" s="6"/>
      <c r="O2410" s="6"/>
      <c r="P2410" s="6"/>
      <c r="Q2410" s="6"/>
      <c r="R2410" s="6"/>
      <c r="S2410" s="6"/>
      <c r="T2410" s="6"/>
    </row>
    <row r="2411" spans="4:20" x14ac:dyDescent="0.2">
      <c r="D2411" s="6"/>
      <c r="E2411" s="6"/>
      <c r="F2411" s="6"/>
      <c r="G2411" s="19"/>
      <c r="H2411" s="19"/>
      <c r="I2411" s="19"/>
      <c r="J2411" s="19"/>
      <c r="K2411" s="6"/>
      <c r="L2411" s="6"/>
      <c r="M2411" s="6"/>
      <c r="N2411" s="6"/>
      <c r="O2411" s="6"/>
      <c r="P2411" s="6"/>
      <c r="Q2411" s="6"/>
      <c r="R2411" s="6"/>
      <c r="S2411" s="6"/>
      <c r="T2411" s="6"/>
    </row>
    <row r="2412" spans="4:20" x14ac:dyDescent="0.2">
      <c r="D2412" s="6"/>
      <c r="E2412" s="6"/>
      <c r="F2412" s="6"/>
      <c r="G2412" s="19"/>
      <c r="H2412" s="19"/>
      <c r="I2412" s="19"/>
      <c r="J2412" s="19"/>
      <c r="K2412" s="6"/>
      <c r="L2412" s="6"/>
      <c r="M2412" s="6"/>
      <c r="N2412" s="6"/>
      <c r="O2412" s="6"/>
      <c r="P2412" s="6"/>
      <c r="Q2412" s="6"/>
      <c r="R2412" s="6"/>
      <c r="S2412" s="6"/>
      <c r="T2412" s="6"/>
    </row>
    <row r="2413" spans="4:20" x14ac:dyDescent="0.2">
      <c r="D2413" s="6"/>
      <c r="E2413" s="6"/>
      <c r="F2413" s="6"/>
      <c r="G2413" s="19"/>
      <c r="H2413" s="19"/>
      <c r="I2413" s="19"/>
      <c r="J2413" s="19"/>
      <c r="K2413" s="6"/>
      <c r="L2413" s="6"/>
      <c r="M2413" s="6"/>
      <c r="N2413" s="6"/>
      <c r="O2413" s="6"/>
      <c r="P2413" s="6"/>
      <c r="Q2413" s="6"/>
      <c r="R2413" s="6"/>
      <c r="S2413" s="6"/>
      <c r="T2413" s="6"/>
    </row>
    <row r="2414" spans="4:20" x14ac:dyDescent="0.2">
      <c r="D2414" s="6"/>
      <c r="E2414" s="6"/>
      <c r="F2414" s="6"/>
      <c r="G2414" s="19"/>
      <c r="H2414" s="19"/>
      <c r="I2414" s="19"/>
      <c r="J2414" s="19"/>
      <c r="K2414" s="6"/>
      <c r="L2414" s="6"/>
      <c r="M2414" s="6"/>
      <c r="N2414" s="6"/>
      <c r="O2414" s="6"/>
      <c r="P2414" s="6"/>
      <c r="Q2414" s="6"/>
      <c r="R2414" s="6"/>
      <c r="S2414" s="6"/>
      <c r="T2414" s="6"/>
    </row>
    <row r="2415" spans="4:20" x14ac:dyDescent="0.2">
      <c r="D2415" s="6"/>
      <c r="E2415" s="6"/>
      <c r="F2415" s="6"/>
      <c r="G2415" s="19"/>
      <c r="H2415" s="19"/>
      <c r="I2415" s="19"/>
      <c r="J2415" s="19"/>
      <c r="K2415" s="6"/>
      <c r="L2415" s="6"/>
      <c r="M2415" s="6"/>
      <c r="N2415" s="6"/>
      <c r="O2415" s="6"/>
      <c r="P2415" s="6"/>
      <c r="Q2415" s="6"/>
      <c r="R2415" s="6"/>
      <c r="S2415" s="6"/>
      <c r="T2415" s="6"/>
    </row>
    <row r="2416" spans="4:20" x14ac:dyDescent="0.2">
      <c r="D2416" s="6"/>
      <c r="E2416" s="6"/>
      <c r="F2416" s="6"/>
      <c r="G2416" s="19"/>
      <c r="H2416" s="19"/>
      <c r="I2416" s="19"/>
      <c r="J2416" s="19"/>
      <c r="K2416" s="6"/>
      <c r="L2416" s="6"/>
      <c r="M2416" s="6"/>
      <c r="N2416" s="6"/>
      <c r="O2416" s="6"/>
      <c r="P2416" s="6"/>
      <c r="Q2416" s="6"/>
      <c r="R2416" s="6"/>
      <c r="S2416" s="6"/>
      <c r="T2416" s="6"/>
    </row>
    <row r="2417" spans="4:20" x14ac:dyDescent="0.2">
      <c r="D2417" s="6"/>
      <c r="E2417" s="6"/>
      <c r="F2417" s="6"/>
      <c r="G2417" s="19"/>
      <c r="H2417" s="19"/>
      <c r="I2417" s="19"/>
      <c r="J2417" s="19"/>
      <c r="K2417" s="6"/>
      <c r="L2417" s="6"/>
      <c r="M2417" s="6"/>
      <c r="N2417" s="6"/>
      <c r="O2417" s="6"/>
      <c r="P2417" s="6"/>
      <c r="Q2417" s="6"/>
      <c r="R2417" s="6"/>
      <c r="S2417" s="6"/>
      <c r="T2417" s="6"/>
    </row>
    <row r="2418" spans="4:20" x14ac:dyDescent="0.2">
      <c r="D2418" s="6"/>
      <c r="E2418" s="6"/>
      <c r="F2418" s="6"/>
      <c r="G2418" s="19"/>
      <c r="H2418" s="19"/>
      <c r="I2418" s="19"/>
      <c r="J2418" s="19"/>
      <c r="K2418" s="6"/>
      <c r="L2418" s="6"/>
      <c r="M2418" s="6"/>
      <c r="N2418" s="6"/>
      <c r="O2418" s="6"/>
      <c r="P2418" s="6"/>
      <c r="Q2418" s="6"/>
      <c r="R2418" s="6"/>
      <c r="S2418" s="6"/>
      <c r="T2418" s="6"/>
    </row>
    <row r="2419" spans="4:20" x14ac:dyDescent="0.2">
      <c r="D2419" s="6"/>
      <c r="E2419" s="6"/>
      <c r="F2419" s="6"/>
      <c r="G2419" s="19"/>
      <c r="H2419" s="19"/>
      <c r="I2419" s="19"/>
      <c r="J2419" s="19"/>
      <c r="K2419" s="6"/>
      <c r="L2419" s="6"/>
      <c r="M2419" s="6"/>
      <c r="N2419" s="6"/>
      <c r="O2419" s="6"/>
      <c r="P2419" s="6"/>
      <c r="Q2419" s="6"/>
      <c r="R2419" s="6"/>
      <c r="S2419" s="6"/>
      <c r="T2419" s="6"/>
    </row>
    <row r="2420" spans="4:20" x14ac:dyDescent="0.2">
      <c r="D2420" s="6"/>
      <c r="E2420" s="6"/>
      <c r="F2420" s="6"/>
      <c r="G2420" s="19"/>
      <c r="H2420" s="19"/>
      <c r="I2420" s="19"/>
      <c r="J2420" s="19"/>
      <c r="K2420" s="6"/>
      <c r="L2420" s="6"/>
      <c r="M2420" s="6"/>
      <c r="N2420" s="6"/>
      <c r="O2420" s="6"/>
      <c r="P2420" s="6"/>
      <c r="Q2420" s="6"/>
      <c r="R2420" s="6"/>
      <c r="S2420" s="6"/>
      <c r="T2420" s="6"/>
    </row>
    <row r="2421" spans="4:20" x14ac:dyDescent="0.2">
      <c r="D2421" s="6"/>
      <c r="E2421" s="6"/>
      <c r="F2421" s="6"/>
      <c r="G2421" s="19"/>
      <c r="H2421" s="19"/>
      <c r="I2421" s="19"/>
      <c r="J2421" s="19"/>
      <c r="K2421" s="6"/>
      <c r="L2421" s="6"/>
      <c r="M2421" s="6"/>
      <c r="N2421" s="6"/>
      <c r="O2421" s="6"/>
      <c r="P2421" s="6"/>
      <c r="Q2421" s="6"/>
      <c r="R2421" s="6"/>
      <c r="S2421" s="6"/>
      <c r="T2421" s="6"/>
    </row>
    <row r="2422" spans="4:20" x14ac:dyDescent="0.2">
      <c r="D2422" s="6"/>
      <c r="E2422" s="6"/>
      <c r="F2422" s="6"/>
      <c r="G2422" s="19"/>
      <c r="H2422" s="19"/>
      <c r="I2422" s="19"/>
      <c r="J2422" s="19"/>
      <c r="K2422" s="6"/>
      <c r="L2422" s="6"/>
      <c r="M2422" s="6"/>
      <c r="N2422" s="6"/>
      <c r="O2422" s="6"/>
      <c r="P2422" s="6"/>
      <c r="Q2422" s="6"/>
      <c r="R2422" s="6"/>
      <c r="S2422" s="6"/>
      <c r="T2422" s="6"/>
    </row>
    <row r="2423" spans="4:20" x14ac:dyDescent="0.2">
      <c r="D2423" s="6"/>
      <c r="E2423" s="6"/>
      <c r="F2423" s="6"/>
      <c r="G2423" s="19"/>
      <c r="H2423" s="19"/>
      <c r="I2423" s="19"/>
      <c r="J2423" s="19"/>
      <c r="K2423" s="6"/>
      <c r="L2423" s="6"/>
      <c r="M2423" s="6"/>
      <c r="N2423" s="6"/>
      <c r="O2423" s="6"/>
      <c r="P2423" s="6"/>
      <c r="Q2423" s="6"/>
      <c r="R2423" s="6"/>
      <c r="S2423" s="6"/>
      <c r="T2423" s="6"/>
    </row>
    <row r="2424" spans="4:20" x14ac:dyDescent="0.2">
      <c r="D2424" s="6"/>
      <c r="E2424" s="6"/>
      <c r="F2424" s="6"/>
      <c r="G2424" s="19"/>
      <c r="H2424" s="19"/>
      <c r="I2424" s="19"/>
      <c r="J2424" s="19"/>
      <c r="K2424" s="6"/>
      <c r="L2424" s="6"/>
      <c r="M2424" s="6"/>
      <c r="N2424" s="6"/>
      <c r="O2424" s="6"/>
      <c r="P2424" s="6"/>
      <c r="Q2424" s="6"/>
      <c r="R2424" s="6"/>
      <c r="S2424" s="6"/>
      <c r="T2424" s="6"/>
    </row>
    <row r="2425" spans="4:20" x14ac:dyDescent="0.2">
      <c r="D2425" s="6"/>
      <c r="E2425" s="6"/>
      <c r="F2425" s="6"/>
      <c r="G2425" s="19"/>
      <c r="H2425" s="19"/>
      <c r="I2425" s="19"/>
      <c r="J2425" s="19"/>
      <c r="K2425" s="6"/>
      <c r="L2425" s="6"/>
      <c r="M2425" s="6"/>
      <c r="N2425" s="6"/>
      <c r="O2425" s="6"/>
      <c r="P2425" s="6"/>
      <c r="Q2425" s="6"/>
      <c r="R2425" s="6"/>
      <c r="S2425" s="6"/>
      <c r="T2425" s="6"/>
    </row>
    <row r="2426" spans="4:20" x14ac:dyDescent="0.2">
      <c r="D2426" s="6"/>
      <c r="E2426" s="6"/>
      <c r="F2426" s="6"/>
      <c r="G2426" s="19"/>
      <c r="H2426" s="19"/>
      <c r="I2426" s="19"/>
      <c r="J2426" s="19"/>
      <c r="K2426" s="6"/>
      <c r="L2426" s="6"/>
      <c r="M2426" s="6"/>
      <c r="N2426" s="6"/>
      <c r="O2426" s="6"/>
      <c r="P2426" s="6"/>
      <c r="Q2426" s="6"/>
      <c r="R2426" s="6"/>
      <c r="S2426" s="6"/>
      <c r="T2426" s="6"/>
    </row>
    <row r="2427" spans="4:20" x14ac:dyDescent="0.2">
      <c r="D2427" s="6"/>
      <c r="E2427" s="6"/>
      <c r="F2427" s="6"/>
      <c r="G2427" s="19"/>
      <c r="H2427" s="19"/>
      <c r="I2427" s="19"/>
      <c r="J2427" s="19"/>
      <c r="K2427" s="6"/>
      <c r="L2427" s="6"/>
      <c r="M2427" s="6"/>
      <c r="N2427" s="6"/>
      <c r="O2427" s="6"/>
      <c r="P2427" s="6"/>
      <c r="Q2427" s="6"/>
      <c r="R2427" s="6"/>
      <c r="S2427" s="6"/>
      <c r="T2427" s="6"/>
    </row>
    <row r="2428" spans="4:20" x14ac:dyDescent="0.2">
      <c r="D2428" s="6"/>
      <c r="E2428" s="6"/>
      <c r="F2428" s="6"/>
      <c r="G2428" s="19"/>
      <c r="H2428" s="19"/>
      <c r="I2428" s="19"/>
      <c r="J2428" s="19"/>
      <c r="K2428" s="6"/>
      <c r="L2428" s="6"/>
      <c r="M2428" s="6"/>
      <c r="N2428" s="6"/>
      <c r="O2428" s="6"/>
      <c r="P2428" s="6"/>
      <c r="Q2428" s="6"/>
      <c r="R2428" s="6"/>
      <c r="S2428" s="6"/>
      <c r="T2428" s="6"/>
    </row>
    <row r="2429" spans="4:20" x14ac:dyDescent="0.2">
      <c r="D2429" s="6"/>
      <c r="E2429" s="6"/>
      <c r="F2429" s="6"/>
      <c r="G2429" s="19"/>
      <c r="H2429" s="19"/>
      <c r="I2429" s="19"/>
      <c r="J2429" s="19"/>
      <c r="K2429" s="6"/>
      <c r="L2429" s="6"/>
      <c r="M2429" s="6"/>
      <c r="N2429" s="6"/>
      <c r="O2429" s="6"/>
      <c r="P2429" s="6"/>
      <c r="Q2429" s="6"/>
      <c r="R2429" s="6"/>
      <c r="S2429" s="6"/>
      <c r="T2429" s="6"/>
    </row>
    <row r="2430" spans="4:20" x14ac:dyDescent="0.2">
      <c r="D2430" s="6"/>
      <c r="E2430" s="6"/>
      <c r="F2430" s="6"/>
      <c r="G2430" s="19"/>
      <c r="H2430" s="19"/>
      <c r="I2430" s="19"/>
      <c r="J2430" s="19"/>
      <c r="K2430" s="6"/>
      <c r="L2430" s="6"/>
      <c r="M2430" s="6"/>
      <c r="N2430" s="6"/>
      <c r="O2430" s="6"/>
      <c r="P2430" s="6"/>
      <c r="Q2430" s="6"/>
      <c r="R2430" s="6"/>
      <c r="S2430" s="6"/>
      <c r="T2430" s="6"/>
    </row>
    <row r="2431" spans="4:20" x14ac:dyDescent="0.2">
      <c r="D2431" s="6"/>
      <c r="E2431" s="6"/>
      <c r="F2431" s="6"/>
      <c r="G2431" s="19"/>
      <c r="H2431" s="19"/>
      <c r="I2431" s="19"/>
      <c r="J2431" s="19"/>
      <c r="K2431" s="6"/>
      <c r="L2431" s="6"/>
      <c r="M2431" s="6"/>
      <c r="N2431" s="6"/>
      <c r="O2431" s="6"/>
      <c r="P2431" s="6"/>
      <c r="Q2431" s="6"/>
      <c r="R2431" s="6"/>
      <c r="S2431" s="6"/>
      <c r="T2431" s="6"/>
    </row>
    <row r="2432" spans="4:20" x14ac:dyDescent="0.2">
      <c r="D2432" s="6"/>
      <c r="E2432" s="6"/>
      <c r="F2432" s="6"/>
      <c r="G2432" s="19"/>
      <c r="H2432" s="19"/>
      <c r="I2432" s="19"/>
      <c r="J2432" s="19"/>
      <c r="K2432" s="6"/>
      <c r="L2432" s="6"/>
      <c r="M2432" s="6"/>
      <c r="N2432" s="6"/>
      <c r="O2432" s="6"/>
      <c r="P2432" s="6"/>
      <c r="Q2432" s="6"/>
      <c r="R2432" s="6"/>
      <c r="S2432" s="6"/>
      <c r="T2432" s="6"/>
    </row>
    <row r="2433" spans="4:20" x14ac:dyDescent="0.2">
      <c r="D2433" s="6"/>
      <c r="E2433" s="6"/>
      <c r="F2433" s="6"/>
      <c r="G2433" s="19"/>
      <c r="H2433" s="19"/>
      <c r="I2433" s="19"/>
      <c r="J2433" s="19"/>
      <c r="K2433" s="6"/>
      <c r="L2433" s="6"/>
      <c r="M2433" s="6"/>
      <c r="N2433" s="6"/>
      <c r="O2433" s="6"/>
      <c r="P2433" s="6"/>
      <c r="Q2433" s="6"/>
      <c r="R2433" s="6"/>
      <c r="S2433" s="6"/>
      <c r="T2433" s="6"/>
    </row>
    <row r="2434" spans="4:20" x14ac:dyDescent="0.2">
      <c r="D2434" s="6"/>
      <c r="E2434" s="6"/>
      <c r="F2434" s="6"/>
      <c r="G2434" s="19"/>
      <c r="H2434" s="19"/>
      <c r="I2434" s="19"/>
      <c r="J2434" s="19"/>
      <c r="K2434" s="6"/>
      <c r="L2434" s="6"/>
      <c r="M2434" s="6"/>
      <c r="N2434" s="6"/>
      <c r="O2434" s="6"/>
      <c r="P2434" s="6"/>
      <c r="Q2434" s="6"/>
      <c r="R2434" s="6"/>
      <c r="S2434" s="6"/>
      <c r="T2434" s="6"/>
    </row>
    <row r="2435" spans="4:20" x14ac:dyDescent="0.2">
      <c r="D2435" s="6"/>
      <c r="E2435" s="6"/>
      <c r="F2435" s="6"/>
      <c r="G2435" s="19"/>
      <c r="H2435" s="19"/>
      <c r="I2435" s="19"/>
      <c r="J2435" s="19"/>
      <c r="K2435" s="6"/>
      <c r="L2435" s="6"/>
      <c r="M2435" s="6"/>
      <c r="N2435" s="6"/>
      <c r="O2435" s="6"/>
      <c r="P2435" s="6"/>
      <c r="Q2435" s="6"/>
      <c r="R2435" s="6"/>
      <c r="S2435" s="6"/>
      <c r="T2435" s="6"/>
    </row>
    <row r="2436" spans="4:20" x14ac:dyDescent="0.2">
      <c r="D2436" s="6"/>
      <c r="E2436" s="6"/>
      <c r="F2436" s="6"/>
      <c r="G2436" s="19"/>
      <c r="H2436" s="19"/>
      <c r="I2436" s="19"/>
      <c r="J2436" s="19"/>
      <c r="K2436" s="6"/>
      <c r="L2436" s="6"/>
      <c r="M2436" s="6"/>
      <c r="N2436" s="6"/>
      <c r="O2436" s="6"/>
      <c r="P2436" s="6"/>
      <c r="Q2436" s="6"/>
      <c r="R2436" s="6"/>
      <c r="S2436" s="6"/>
      <c r="T2436" s="6"/>
    </row>
    <row r="2437" spans="4:20" x14ac:dyDescent="0.2">
      <c r="D2437" s="6"/>
      <c r="E2437" s="6"/>
      <c r="F2437" s="6"/>
      <c r="G2437" s="19"/>
      <c r="H2437" s="19"/>
      <c r="I2437" s="19"/>
      <c r="J2437" s="19"/>
      <c r="K2437" s="6"/>
      <c r="L2437" s="6"/>
      <c r="M2437" s="6"/>
      <c r="N2437" s="6"/>
      <c r="O2437" s="6"/>
      <c r="P2437" s="6"/>
      <c r="Q2437" s="6"/>
      <c r="R2437" s="6"/>
      <c r="S2437" s="6"/>
      <c r="T2437" s="6"/>
    </row>
    <row r="2438" spans="4:20" x14ac:dyDescent="0.2">
      <c r="D2438" s="6"/>
      <c r="E2438" s="6"/>
      <c r="F2438" s="6"/>
      <c r="G2438" s="19"/>
      <c r="H2438" s="19"/>
      <c r="I2438" s="19"/>
      <c r="J2438" s="19"/>
      <c r="K2438" s="6"/>
      <c r="L2438" s="6"/>
      <c r="M2438" s="6"/>
      <c r="N2438" s="6"/>
      <c r="O2438" s="6"/>
      <c r="P2438" s="6"/>
      <c r="Q2438" s="6"/>
      <c r="R2438" s="6"/>
      <c r="S2438" s="6"/>
      <c r="T2438" s="6"/>
    </row>
    <row r="2439" spans="4:20" x14ac:dyDescent="0.2">
      <c r="D2439" s="6"/>
      <c r="E2439" s="6"/>
      <c r="F2439" s="6"/>
      <c r="G2439" s="19"/>
      <c r="H2439" s="19"/>
      <c r="I2439" s="19"/>
      <c r="J2439" s="19"/>
      <c r="K2439" s="6"/>
      <c r="L2439" s="6"/>
      <c r="M2439" s="6"/>
      <c r="N2439" s="6"/>
      <c r="O2439" s="6"/>
      <c r="P2439" s="6"/>
      <c r="Q2439" s="6"/>
      <c r="R2439" s="6"/>
      <c r="S2439" s="6"/>
      <c r="T2439" s="6"/>
    </row>
    <row r="2440" spans="4:20" x14ac:dyDescent="0.2">
      <c r="D2440" s="6"/>
      <c r="E2440" s="6"/>
      <c r="F2440" s="6"/>
      <c r="G2440" s="19"/>
      <c r="H2440" s="19"/>
      <c r="I2440" s="19"/>
      <c r="J2440" s="19"/>
      <c r="K2440" s="6"/>
      <c r="L2440" s="6"/>
      <c r="M2440" s="6"/>
      <c r="N2440" s="6"/>
      <c r="O2440" s="6"/>
      <c r="P2440" s="6"/>
      <c r="Q2440" s="6"/>
      <c r="R2440" s="6"/>
      <c r="S2440" s="6"/>
      <c r="T2440" s="6"/>
    </row>
    <row r="2441" spans="4:20" x14ac:dyDescent="0.2">
      <c r="D2441" s="6"/>
      <c r="E2441" s="6"/>
      <c r="F2441" s="6"/>
      <c r="G2441" s="19"/>
      <c r="H2441" s="19"/>
      <c r="I2441" s="19"/>
      <c r="J2441" s="19"/>
      <c r="K2441" s="6"/>
      <c r="L2441" s="6"/>
      <c r="M2441" s="6"/>
      <c r="N2441" s="6"/>
      <c r="O2441" s="6"/>
      <c r="P2441" s="6"/>
      <c r="Q2441" s="6"/>
      <c r="R2441" s="6"/>
      <c r="S2441" s="6"/>
      <c r="T2441" s="6"/>
    </row>
    <row r="2442" spans="4:20" x14ac:dyDescent="0.2">
      <c r="D2442" s="6"/>
      <c r="E2442" s="6"/>
      <c r="F2442" s="6"/>
      <c r="G2442" s="19"/>
      <c r="H2442" s="19"/>
      <c r="I2442" s="19"/>
      <c r="J2442" s="19"/>
      <c r="K2442" s="6"/>
      <c r="L2442" s="6"/>
      <c r="M2442" s="6"/>
      <c r="N2442" s="6"/>
      <c r="O2442" s="6"/>
      <c r="P2442" s="6"/>
      <c r="Q2442" s="6"/>
      <c r="R2442" s="6"/>
      <c r="S2442" s="6"/>
      <c r="T2442" s="6"/>
    </row>
    <row r="2443" spans="4:20" x14ac:dyDescent="0.2">
      <c r="D2443" s="6"/>
      <c r="E2443" s="6"/>
      <c r="F2443" s="6"/>
      <c r="G2443" s="19"/>
      <c r="H2443" s="19"/>
      <c r="I2443" s="19"/>
      <c r="J2443" s="19"/>
      <c r="K2443" s="6"/>
      <c r="L2443" s="6"/>
      <c r="M2443" s="6"/>
      <c r="N2443" s="6"/>
      <c r="O2443" s="6"/>
      <c r="P2443" s="6"/>
      <c r="Q2443" s="6"/>
      <c r="R2443" s="6"/>
      <c r="S2443" s="6"/>
      <c r="T2443" s="6"/>
    </row>
    <row r="2444" spans="4:20" x14ac:dyDescent="0.2">
      <c r="D2444" s="6"/>
      <c r="E2444" s="6"/>
      <c r="F2444" s="6"/>
      <c r="G2444" s="19"/>
      <c r="H2444" s="19"/>
      <c r="I2444" s="19"/>
      <c r="J2444" s="19"/>
      <c r="K2444" s="6"/>
      <c r="L2444" s="6"/>
      <c r="M2444" s="6"/>
      <c r="N2444" s="6"/>
      <c r="O2444" s="6"/>
      <c r="P2444" s="6"/>
      <c r="Q2444" s="6"/>
      <c r="R2444" s="6"/>
      <c r="S2444" s="6"/>
      <c r="T2444" s="6"/>
    </row>
    <row r="2445" spans="4:20" x14ac:dyDescent="0.2">
      <c r="D2445" s="6"/>
      <c r="E2445" s="6"/>
      <c r="F2445" s="6"/>
      <c r="G2445" s="19"/>
      <c r="H2445" s="19"/>
      <c r="I2445" s="19"/>
      <c r="J2445" s="19"/>
      <c r="K2445" s="6"/>
      <c r="L2445" s="6"/>
      <c r="M2445" s="6"/>
      <c r="N2445" s="6"/>
      <c r="O2445" s="6"/>
      <c r="P2445" s="6"/>
      <c r="Q2445" s="6"/>
      <c r="R2445" s="6"/>
      <c r="S2445" s="6"/>
      <c r="T2445" s="6"/>
    </row>
    <row r="2446" spans="4:20" x14ac:dyDescent="0.2">
      <c r="D2446" s="6"/>
      <c r="E2446" s="6"/>
      <c r="F2446" s="6"/>
      <c r="G2446" s="19"/>
      <c r="H2446" s="19"/>
      <c r="I2446" s="19"/>
      <c r="J2446" s="19"/>
      <c r="K2446" s="6"/>
      <c r="L2446" s="6"/>
      <c r="M2446" s="6"/>
      <c r="N2446" s="6"/>
      <c r="O2446" s="6"/>
      <c r="P2446" s="6"/>
      <c r="Q2446" s="6"/>
      <c r="R2446" s="6"/>
      <c r="S2446" s="6"/>
      <c r="T2446" s="6"/>
    </row>
    <row r="2447" spans="4:20" x14ac:dyDescent="0.2">
      <c r="D2447" s="6"/>
      <c r="E2447" s="6"/>
      <c r="F2447" s="6"/>
      <c r="G2447" s="19"/>
      <c r="H2447" s="19"/>
      <c r="I2447" s="19"/>
      <c r="J2447" s="19"/>
      <c r="K2447" s="6"/>
      <c r="L2447" s="6"/>
      <c r="M2447" s="6"/>
      <c r="N2447" s="6"/>
      <c r="O2447" s="6"/>
      <c r="P2447" s="6"/>
      <c r="Q2447" s="6"/>
      <c r="R2447" s="6"/>
      <c r="S2447" s="6"/>
      <c r="T2447" s="6"/>
    </row>
    <row r="2448" spans="4:20" x14ac:dyDescent="0.2">
      <c r="D2448" s="6"/>
      <c r="E2448" s="6"/>
      <c r="F2448" s="6"/>
      <c r="G2448" s="19"/>
      <c r="H2448" s="19"/>
      <c r="I2448" s="19"/>
      <c r="J2448" s="19"/>
      <c r="K2448" s="6"/>
      <c r="L2448" s="6"/>
      <c r="M2448" s="6"/>
      <c r="N2448" s="6"/>
      <c r="O2448" s="6"/>
      <c r="P2448" s="6"/>
      <c r="Q2448" s="6"/>
      <c r="R2448" s="6"/>
      <c r="S2448" s="6"/>
      <c r="T2448" s="6"/>
    </row>
    <row r="2449" spans="4:20" x14ac:dyDescent="0.2">
      <c r="D2449" s="6"/>
      <c r="E2449" s="6"/>
      <c r="F2449" s="6"/>
      <c r="G2449" s="19"/>
      <c r="H2449" s="19"/>
      <c r="I2449" s="19"/>
      <c r="J2449" s="19"/>
      <c r="K2449" s="6"/>
      <c r="L2449" s="6"/>
      <c r="M2449" s="6"/>
      <c r="N2449" s="6"/>
      <c r="O2449" s="6"/>
      <c r="P2449" s="6"/>
      <c r="Q2449" s="6"/>
      <c r="R2449" s="6"/>
      <c r="S2449" s="6"/>
      <c r="T2449" s="6"/>
    </row>
    <row r="2450" spans="4:20" x14ac:dyDescent="0.2">
      <c r="D2450" s="6"/>
      <c r="E2450" s="6"/>
      <c r="F2450" s="6"/>
      <c r="G2450" s="19"/>
      <c r="H2450" s="19"/>
      <c r="I2450" s="19"/>
      <c r="J2450" s="19"/>
      <c r="K2450" s="6"/>
      <c r="L2450" s="6"/>
      <c r="M2450" s="6"/>
      <c r="N2450" s="6"/>
      <c r="O2450" s="6"/>
      <c r="P2450" s="6"/>
      <c r="Q2450" s="6"/>
      <c r="R2450" s="6"/>
      <c r="S2450" s="6"/>
      <c r="T2450" s="6"/>
    </row>
    <row r="2451" spans="4:20" x14ac:dyDescent="0.2">
      <c r="D2451" s="6"/>
      <c r="E2451" s="6"/>
      <c r="F2451" s="6"/>
      <c r="G2451" s="19"/>
      <c r="H2451" s="19"/>
      <c r="I2451" s="19"/>
      <c r="J2451" s="19"/>
      <c r="K2451" s="6"/>
      <c r="L2451" s="6"/>
      <c r="M2451" s="6"/>
      <c r="N2451" s="6"/>
      <c r="O2451" s="6"/>
      <c r="P2451" s="6"/>
      <c r="Q2451" s="6"/>
      <c r="R2451" s="6"/>
      <c r="S2451" s="6"/>
      <c r="T2451" s="6"/>
    </row>
    <row r="2452" spans="4:20" x14ac:dyDescent="0.2">
      <c r="D2452" s="6"/>
      <c r="E2452" s="6"/>
      <c r="F2452" s="6"/>
      <c r="G2452" s="19"/>
      <c r="H2452" s="19"/>
      <c r="I2452" s="19"/>
      <c r="J2452" s="19"/>
      <c r="K2452" s="6"/>
      <c r="L2452" s="6"/>
      <c r="M2452" s="6"/>
      <c r="N2452" s="6"/>
      <c r="O2452" s="6"/>
      <c r="P2452" s="6"/>
      <c r="Q2452" s="6"/>
      <c r="R2452" s="6"/>
      <c r="S2452" s="6"/>
      <c r="T2452" s="6"/>
    </row>
    <row r="2453" spans="4:20" x14ac:dyDescent="0.2">
      <c r="D2453" s="6"/>
      <c r="E2453" s="6"/>
      <c r="F2453" s="6"/>
      <c r="G2453" s="19"/>
      <c r="H2453" s="19"/>
      <c r="I2453" s="19"/>
      <c r="J2453" s="19"/>
      <c r="K2453" s="6"/>
      <c r="L2453" s="6"/>
      <c r="M2453" s="6"/>
      <c r="N2453" s="6"/>
      <c r="O2453" s="6"/>
      <c r="P2453" s="6"/>
      <c r="Q2453" s="6"/>
      <c r="R2453" s="6"/>
      <c r="S2453" s="6"/>
      <c r="T2453" s="6"/>
    </row>
    <row r="2454" spans="4:20" x14ac:dyDescent="0.2">
      <c r="D2454" s="6"/>
      <c r="E2454" s="6"/>
      <c r="F2454" s="6"/>
      <c r="G2454" s="19"/>
      <c r="H2454" s="19"/>
      <c r="I2454" s="19"/>
      <c r="J2454" s="19"/>
      <c r="K2454" s="6"/>
      <c r="L2454" s="6"/>
      <c r="M2454" s="6"/>
      <c r="N2454" s="6"/>
      <c r="O2454" s="6"/>
      <c r="P2454" s="6"/>
      <c r="Q2454" s="6"/>
      <c r="R2454" s="6"/>
      <c r="S2454" s="6"/>
      <c r="T2454" s="6"/>
    </row>
    <row r="2455" spans="4:20" x14ac:dyDescent="0.2">
      <c r="D2455" s="6"/>
      <c r="E2455" s="6"/>
      <c r="F2455" s="6"/>
      <c r="G2455" s="19"/>
      <c r="H2455" s="19"/>
      <c r="I2455" s="19"/>
      <c r="J2455" s="19"/>
      <c r="K2455" s="6"/>
      <c r="L2455" s="6"/>
      <c r="M2455" s="6"/>
      <c r="N2455" s="6"/>
      <c r="O2455" s="6"/>
      <c r="P2455" s="6"/>
      <c r="Q2455" s="6"/>
      <c r="R2455" s="6"/>
      <c r="S2455" s="6"/>
      <c r="T2455" s="6"/>
    </row>
    <row r="2456" spans="4:20" x14ac:dyDescent="0.2">
      <c r="D2456" s="6"/>
      <c r="E2456" s="6"/>
      <c r="F2456" s="6"/>
      <c r="G2456" s="19"/>
      <c r="H2456" s="19"/>
      <c r="I2456" s="19"/>
      <c r="J2456" s="19"/>
      <c r="K2456" s="6"/>
      <c r="L2456" s="6"/>
      <c r="M2456" s="6"/>
      <c r="N2456" s="6"/>
      <c r="O2456" s="6"/>
      <c r="P2456" s="6"/>
      <c r="Q2456" s="6"/>
      <c r="R2456" s="6"/>
      <c r="S2456" s="6"/>
      <c r="T2456" s="6"/>
    </row>
    <row r="2457" spans="4:20" x14ac:dyDescent="0.2">
      <c r="D2457" s="6"/>
      <c r="E2457" s="6"/>
      <c r="F2457" s="6"/>
      <c r="G2457" s="19"/>
      <c r="H2457" s="19"/>
      <c r="I2457" s="19"/>
      <c r="J2457" s="19"/>
      <c r="K2457" s="6"/>
      <c r="L2457" s="6"/>
      <c r="M2457" s="6"/>
      <c r="N2457" s="6"/>
      <c r="O2457" s="6"/>
      <c r="P2457" s="6"/>
      <c r="Q2457" s="6"/>
      <c r="R2457" s="6"/>
      <c r="S2457" s="6"/>
      <c r="T2457" s="6"/>
    </row>
    <row r="2458" spans="4:20" x14ac:dyDescent="0.2">
      <c r="D2458" s="6"/>
      <c r="E2458" s="6"/>
      <c r="F2458" s="6"/>
      <c r="G2458" s="19"/>
      <c r="H2458" s="19"/>
      <c r="I2458" s="19"/>
      <c r="J2458" s="19"/>
      <c r="K2458" s="6"/>
      <c r="L2458" s="6"/>
      <c r="M2458" s="6"/>
      <c r="N2458" s="6"/>
      <c r="O2458" s="6"/>
      <c r="P2458" s="6"/>
      <c r="Q2458" s="6"/>
      <c r="R2458" s="6"/>
      <c r="S2458" s="6"/>
      <c r="T2458" s="6"/>
    </row>
    <row r="2459" spans="4:20" x14ac:dyDescent="0.2">
      <c r="D2459" s="6"/>
      <c r="E2459" s="6"/>
      <c r="F2459" s="6"/>
      <c r="G2459" s="19"/>
      <c r="H2459" s="19"/>
      <c r="I2459" s="19"/>
      <c r="J2459" s="19"/>
      <c r="K2459" s="6"/>
      <c r="L2459" s="6"/>
      <c r="M2459" s="6"/>
      <c r="N2459" s="6"/>
      <c r="O2459" s="6"/>
      <c r="P2459" s="6"/>
      <c r="Q2459" s="6"/>
      <c r="R2459" s="6"/>
      <c r="S2459" s="6"/>
      <c r="T2459" s="6"/>
    </row>
    <row r="2460" spans="4:20" x14ac:dyDescent="0.2">
      <c r="D2460" s="6"/>
      <c r="E2460" s="6"/>
      <c r="F2460" s="6"/>
      <c r="G2460" s="19"/>
      <c r="H2460" s="19"/>
      <c r="I2460" s="19"/>
      <c r="J2460" s="19"/>
      <c r="K2460" s="6"/>
      <c r="L2460" s="6"/>
      <c r="M2460" s="6"/>
      <c r="N2460" s="6"/>
      <c r="O2460" s="6"/>
      <c r="P2460" s="6"/>
      <c r="Q2460" s="6"/>
      <c r="R2460" s="6"/>
      <c r="S2460" s="6"/>
      <c r="T2460" s="6"/>
    </row>
    <row r="2461" spans="4:20" x14ac:dyDescent="0.2">
      <c r="D2461" s="6"/>
      <c r="E2461" s="6"/>
      <c r="F2461" s="6"/>
      <c r="G2461" s="19"/>
      <c r="H2461" s="19"/>
      <c r="I2461" s="19"/>
      <c r="J2461" s="19"/>
      <c r="K2461" s="6"/>
      <c r="L2461" s="6"/>
      <c r="M2461" s="6"/>
      <c r="N2461" s="6"/>
      <c r="O2461" s="6"/>
      <c r="P2461" s="6"/>
      <c r="Q2461" s="6"/>
      <c r="R2461" s="6"/>
      <c r="S2461" s="6"/>
      <c r="T2461" s="6"/>
    </row>
    <row r="2462" spans="4:20" x14ac:dyDescent="0.2">
      <c r="D2462" s="6"/>
      <c r="E2462" s="6"/>
      <c r="F2462" s="6"/>
      <c r="G2462" s="19"/>
      <c r="H2462" s="19"/>
      <c r="I2462" s="19"/>
      <c r="J2462" s="19"/>
      <c r="K2462" s="6"/>
      <c r="L2462" s="6"/>
      <c r="M2462" s="6"/>
      <c r="N2462" s="6"/>
      <c r="O2462" s="6"/>
      <c r="P2462" s="6"/>
      <c r="Q2462" s="6"/>
      <c r="R2462" s="6"/>
      <c r="S2462" s="6"/>
      <c r="T2462" s="6"/>
    </row>
    <row r="2463" spans="4:20" x14ac:dyDescent="0.2">
      <c r="D2463" s="6"/>
      <c r="E2463" s="6"/>
      <c r="F2463" s="6"/>
      <c r="G2463" s="19"/>
      <c r="H2463" s="19"/>
      <c r="I2463" s="19"/>
      <c r="J2463" s="19"/>
      <c r="K2463" s="6"/>
      <c r="L2463" s="6"/>
      <c r="M2463" s="6"/>
      <c r="N2463" s="6"/>
      <c r="O2463" s="6"/>
      <c r="P2463" s="6"/>
      <c r="Q2463" s="6"/>
      <c r="R2463" s="6"/>
      <c r="S2463" s="6"/>
      <c r="T2463" s="6"/>
    </row>
    <row r="2464" spans="4:20" x14ac:dyDescent="0.2">
      <c r="D2464" s="6"/>
      <c r="E2464" s="6"/>
      <c r="F2464" s="6"/>
      <c r="G2464" s="19"/>
      <c r="H2464" s="19"/>
      <c r="I2464" s="19"/>
      <c r="J2464" s="19"/>
      <c r="K2464" s="6"/>
      <c r="L2464" s="6"/>
      <c r="M2464" s="6"/>
      <c r="N2464" s="6"/>
      <c r="O2464" s="6"/>
      <c r="P2464" s="6"/>
      <c r="Q2464" s="6"/>
      <c r="R2464" s="6"/>
      <c r="S2464" s="6"/>
      <c r="T2464" s="6"/>
    </row>
    <row r="2465" spans="4:20" x14ac:dyDescent="0.2">
      <c r="D2465" s="6"/>
      <c r="E2465" s="6"/>
      <c r="F2465" s="6"/>
      <c r="G2465" s="19"/>
      <c r="H2465" s="19"/>
      <c r="I2465" s="19"/>
      <c r="J2465" s="19"/>
      <c r="K2465" s="6"/>
      <c r="L2465" s="6"/>
      <c r="M2465" s="6"/>
      <c r="N2465" s="6"/>
      <c r="O2465" s="6"/>
      <c r="P2465" s="6"/>
      <c r="Q2465" s="6"/>
      <c r="R2465" s="6"/>
      <c r="S2465" s="6"/>
      <c r="T2465" s="6"/>
    </row>
    <row r="2466" spans="4:20" x14ac:dyDescent="0.2">
      <c r="D2466" s="6"/>
      <c r="E2466" s="6"/>
      <c r="F2466" s="6"/>
      <c r="G2466" s="19"/>
      <c r="H2466" s="19"/>
      <c r="I2466" s="19"/>
      <c r="J2466" s="19"/>
      <c r="K2466" s="6"/>
      <c r="L2466" s="6"/>
      <c r="M2466" s="6"/>
      <c r="N2466" s="6"/>
      <c r="O2466" s="6"/>
      <c r="P2466" s="6"/>
      <c r="Q2466" s="6"/>
      <c r="R2466" s="6"/>
      <c r="S2466" s="6"/>
      <c r="T2466" s="6"/>
    </row>
    <row r="2467" spans="4:20" x14ac:dyDescent="0.2">
      <c r="D2467" s="6"/>
      <c r="E2467" s="6"/>
      <c r="F2467" s="6"/>
      <c r="G2467" s="19"/>
      <c r="H2467" s="19"/>
      <c r="I2467" s="19"/>
      <c r="J2467" s="19"/>
      <c r="K2467" s="6"/>
      <c r="L2467" s="6"/>
      <c r="M2467" s="6"/>
      <c r="N2467" s="6"/>
      <c r="O2467" s="6"/>
      <c r="P2467" s="6"/>
      <c r="Q2467" s="6"/>
      <c r="R2467" s="6"/>
      <c r="S2467" s="6"/>
      <c r="T2467" s="6"/>
    </row>
    <row r="2468" spans="4:20" x14ac:dyDescent="0.2">
      <c r="D2468" s="6"/>
      <c r="E2468" s="6"/>
      <c r="F2468" s="6"/>
      <c r="G2468" s="19"/>
      <c r="H2468" s="19"/>
      <c r="I2468" s="19"/>
      <c r="J2468" s="19"/>
      <c r="K2468" s="6"/>
      <c r="L2468" s="6"/>
      <c r="M2468" s="6"/>
      <c r="N2468" s="6"/>
      <c r="O2468" s="6"/>
      <c r="P2468" s="6"/>
      <c r="Q2468" s="6"/>
      <c r="R2468" s="6"/>
      <c r="S2468" s="6"/>
      <c r="T2468" s="6"/>
    </row>
    <row r="2469" spans="4:20" x14ac:dyDescent="0.2">
      <c r="D2469" s="6"/>
      <c r="E2469" s="6"/>
      <c r="F2469" s="6"/>
      <c r="G2469" s="19"/>
      <c r="H2469" s="19"/>
      <c r="I2469" s="19"/>
      <c r="J2469" s="19"/>
      <c r="K2469" s="6"/>
      <c r="L2469" s="6"/>
      <c r="M2469" s="6"/>
      <c r="N2469" s="6"/>
      <c r="O2469" s="6"/>
      <c r="P2469" s="6"/>
      <c r="Q2469" s="6"/>
      <c r="R2469" s="6"/>
      <c r="S2469" s="6"/>
      <c r="T2469" s="6"/>
    </row>
    <row r="2470" spans="4:20" x14ac:dyDescent="0.2">
      <c r="D2470" s="6"/>
      <c r="E2470" s="6"/>
      <c r="F2470" s="6"/>
      <c r="G2470" s="19"/>
      <c r="H2470" s="19"/>
      <c r="I2470" s="19"/>
      <c r="J2470" s="19"/>
      <c r="K2470" s="6"/>
      <c r="L2470" s="6"/>
      <c r="M2470" s="6"/>
      <c r="N2470" s="6"/>
      <c r="O2470" s="6"/>
      <c r="P2470" s="6"/>
      <c r="Q2470" s="6"/>
      <c r="R2470" s="6"/>
      <c r="S2470" s="6"/>
      <c r="T2470" s="6"/>
    </row>
    <row r="2471" spans="4:20" x14ac:dyDescent="0.2">
      <c r="D2471" s="6"/>
      <c r="E2471" s="6"/>
      <c r="F2471" s="6"/>
      <c r="G2471" s="19"/>
      <c r="H2471" s="19"/>
      <c r="I2471" s="19"/>
      <c r="J2471" s="19"/>
      <c r="K2471" s="6"/>
      <c r="L2471" s="6"/>
      <c r="M2471" s="6"/>
      <c r="N2471" s="6"/>
      <c r="O2471" s="6"/>
      <c r="P2471" s="6"/>
      <c r="Q2471" s="6"/>
      <c r="R2471" s="6"/>
      <c r="S2471" s="6"/>
      <c r="T2471" s="6"/>
    </row>
    <row r="2472" spans="4:20" x14ac:dyDescent="0.2">
      <c r="D2472" s="6"/>
      <c r="E2472" s="6"/>
      <c r="F2472" s="6"/>
      <c r="G2472" s="19"/>
      <c r="H2472" s="19"/>
      <c r="I2472" s="19"/>
      <c r="J2472" s="19"/>
      <c r="K2472" s="6"/>
      <c r="L2472" s="6"/>
      <c r="M2472" s="6"/>
      <c r="N2472" s="6"/>
      <c r="O2472" s="6"/>
      <c r="P2472" s="6"/>
      <c r="Q2472" s="6"/>
      <c r="R2472" s="6"/>
      <c r="S2472" s="6"/>
      <c r="T2472" s="6"/>
    </row>
    <row r="2473" spans="4:20" x14ac:dyDescent="0.2">
      <c r="D2473" s="6"/>
      <c r="E2473" s="6"/>
      <c r="F2473" s="6"/>
      <c r="G2473" s="19"/>
      <c r="H2473" s="19"/>
      <c r="I2473" s="19"/>
      <c r="J2473" s="19"/>
      <c r="K2473" s="6"/>
      <c r="L2473" s="6"/>
      <c r="M2473" s="6"/>
      <c r="N2473" s="6"/>
      <c r="O2473" s="6"/>
      <c r="P2473" s="6"/>
      <c r="Q2473" s="6"/>
      <c r="R2473" s="6"/>
      <c r="S2473" s="6"/>
      <c r="T2473" s="6"/>
    </row>
    <row r="2474" spans="4:20" x14ac:dyDescent="0.2">
      <c r="D2474" s="6"/>
      <c r="E2474" s="6"/>
      <c r="F2474" s="6"/>
      <c r="G2474" s="19"/>
      <c r="H2474" s="19"/>
      <c r="I2474" s="19"/>
      <c r="J2474" s="19"/>
      <c r="K2474" s="6"/>
      <c r="L2474" s="6"/>
      <c r="M2474" s="6"/>
      <c r="N2474" s="6"/>
      <c r="O2474" s="6"/>
      <c r="P2474" s="6"/>
      <c r="Q2474" s="6"/>
      <c r="R2474" s="6"/>
      <c r="S2474" s="6"/>
      <c r="T2474" s="6"/>
    </row>
    <row r="2475" spans="4:20" x14ac:dyDescent="0.2">
      <c r="D2475" s="6"/>
      <c r="E2475" s="6"/>
      <c r="F2475" s="6"/>
      <c r="G2475" s="19"/>
      <c r="H2475" s="19"/>
      <c r="I2475" s="19"/>
      <c r="J2475" s="19"/>
      <c r="K2475" s="6"/>
      <c r="L2475" s="6"/>
      <c r="M2475" s="6"/>
      <c r="N2475" s="6"/>
      <c r="O2475" s="6"/>
      <c r="P2475" s="6"/>
      <c r="Q2475" s="6"/>
      <c r="R2475" s="6"/>
      <c r="S2475" s="6"/>
      <c r="T2475" s="6"/>
    </row>
    <row r="2476" spans="4:20" x14ac:dyDescent="0.2">
      <c r="D2476" s="6"/>
      <c r="E2476" s="6"/>
      <c r="F2476" s="6"/>
      <c r="G2476" s="19"/>
      <c r="H2476" s="19"/>
      <c r="I2476" s="19"/>
      <c r="J2476" s="19"/>
      <c r="K2476" s="6"/>
      <c r="L2476" s="6"/>
      <c r="M2476" s="6"/>
      <c r="N2476" s="6"/>
      <c r="O2476" s="6"/>
      <c r="P2476" s="6"/>
      <c r="Q2476" s="6"/>
      <c r="R2476" s="6"/>
      <c r="S2476" s="6"/>
      <c r="T2476" s="6"/>
    </row>
    <row r="2477" spans="4:20" x14ac:dyDescent="0.2">
      <c r="D2477" s="6"/>
      <c r="E2477" s="6"/>
      <c r="F2477" s="6"/>
      <c r="G2477" s="19"/>
      <c r="H2477" s="19"/>
      <c r="I2477" s="19"/>
      <c r="J2477" s="19"/>
      <c r="K2477" s="6"/>
      <c r="L2477" s="6"/>
      <c r="M2477" s="6"/>
      <c r="N2477" s="6"/>
      <c r="O2477" s="6"/>
      <c r="P2477" s="6"/>
      <c r="Q2477" s="6"/>
      <c r="R2477" s="6"/>
      <c r="S2477" s="6"/>
      <c r="T2477" s="6"/>
    </row>
    <row r="2478" spans="4:20" x14ac:dyDescent="0.2">
      <c r="D2478" s="6"/>
      <c r="E2478" s="6"/>
      <c r="F2478" s="6"/>
      <c r="G2478" s="19"/>
      <c r="H2478" s="19"/>
      <c r="I2478" s="19"/>
      <c r="J2478" s="19"/>
      <c r="K2478" s="6"/>
      <c r="L2478" s="6"/>
      <c r="M2478" s="6"/>
      <c r="N2478" s="6"/>
      <c r="O2478" s="6"/>
      <c r="P2478" s="6"/>
      <c r="Q2478" s="6"/>
      <c r="R2478" s="6"/>
      <c r="S2478" s="6"/>
      <c r="T2478" s="6"/>
    </row>
    <row r="2479" spans="4:20" x14ac:dyDescent="0.2">
      <c r="D2479" s="6"/>
      <c r="E2479" s="6"/>
      <c r="F2479" s="6"/>
      <c r="G2479" s="19"/>
      <c r="H2479" s="19"/>
      <c r="I2479" s="19"/>
      <c r="J2479" s="19"/>
      <c r="K2479" s="6"/>
      <c r="L2479" s="6"/>
      <c r="M2479" s="6"/>
      <c r="N2479" s="6"/>
      <c r="O2479" s="6"/>
      <c r="P2479" s="6"/>
      <c r="Q2479" s="6"/>
      <c r="R2479" s="6"/>
      <c r="S2479" s="6"/>
      <c r="T2479" s="6"/>
    </row>
    <row r="2480" spans="4:20" x14ac:dyDescent="0.2">
      <c r="D2480" s="6"/>
      <c r="E2480" s="6"/>
      <c r="F2480" s="6"/>
      <c r="G2480" s="19"/>
      <c r="H2480" s="19"/>
      <c r="I2480" s="19"/>
      <c r="J2480" s="19"/>
      <c r="K2480" s="6"/>
      <c r="L2480" s="6"/>
      <c r="M2480" s="6"/>
      <c r="N2480" s="6"/>
      <c r="O2480" s="6"/>
      <c r="P2480" s="6"/>
      <c r="Q2480" s="6"/>
      <c r="R2480" s="6"/>
      <c r="S2480" s="6"/>
      <c r="T2480" s="6"/>
    </row>
    <row r="2481" spans="4:20" x14ac:dyDescent="0.2">
      <c r="D2481" s="6"/>
      <c r="E2481" s="6"/>
      <c r="F2481" s="6"/>
      <c r="G2481" s="19"/>
      <c r="H2481" s="19"/>
      <c r="I2481" s="19"/>
      <c r="J2481" s="19"/>
      <c r="K2481" s="6"/>
      <c r="L2481" s="6"/>
      <c r="M2481" s="6"/>
      <c r="N2481" s="6"/>
      <c r="O2481" s="6"/>
      <c r="P2481" s="6"/>
      <c r="Q2481" s="6"/>
      <c r="R2481" s="6"/>
      <c r="S2481" s="6"/>
      <c r="T2481" s="6"/>
    </row>
    <row r="2482" spans="4:20" x14ac:dyDescent="0.2">
      <c r="D2482" s="6"/>
      <c r="E2482" s="6"/>
      <c r="F2482" s="6"/>
      <c r="G2482" s="19"/>
      <c r="H2482" s="19"/>
      <c r="I2482" s="19"/>
      <c r="J2482" s="19"/>
      <c r="K2482" s="6"/>
      <c r="L2482" s="6"/>
      <c r="M2482" s="6"/>
      <c r="N2482" s="6"/>
      <c r="O2482" s="6"/>
      <c r="P2482" s="6"/>
      <c r="Q2482" s="6"/>
      <c r="R2482" s="6"/>
      <c r="S2482" s="6"/>
      <c r="T2482" s="6"/>
    </row>
    <row r="2483" spans="4:20" x14ac:dyDescent="0.2">
      <c r="D2483" s="6"/>
      <c r="E2483" s="6"/>
      <c r="F2483" s="6"/>
      <c r="G2483" s="19"/>
      <c r="H2483" s="19"/>
      <c r="I2483" s="19"/>
      <c r="J2483" s="19"/>
      <c r="K2483" s="6"/>
      <c r="L2483" s="6"/>
      <c r="M2483" s="6"/>
      <c r="N2483" s="6"/>
      <c r="O2483" s="6"/>
      <c r="P2483" s="6"/>
      <c r="Q2483" s="6"/>
      <c r="R2483" s="6"/>
      <c r="S2483" s="6"/>
      <c r="T2483" s="6"/>
    </row>
    <row r="2484" spans="4:20" x14ac:dyDescent="0.2">
      <c r="D2484" s="6"/>
      <c r="E2484" s="6"/>
      <c r="F2484" s="6"/>
      <c r="G2484" s="19"/>
      <c r="H2484" s="19"/>
      <c r="I2484" s="19"/>
      <c r="J2484" s="19"/>
      <c r="K2484" s="6"/>
      <c r="L2484" s="6"/>
      <c r="M2484" s="6"/>
      <c r="N2484" s="6"/>
      <c r="O2484" s="6"/>
      <c r="P2484" s="6"/>
      <c r="Q2484" s="6"/>
      <c r="R2484" s="6"/>
      <c r="S2484" s="6"/>
      <c r="T2484" s="6"/>
    </row>
    <row r="2485" spans="4:20" x14ac:dyDescent="0.2">
      <c r="D2485" s="6"/>
      <c r="E2485" s="6"/>
      <c r="F2485" s="6"/>
      <c r="G2485" s="19"/>
      <c r="H2485" s="19"/>
      <c r="I2485" s="19"/>
      <c r="J2485" s="19"/>
      <c r="K2485" s="6"/>
      <c r="L2485" s="6"/>
      <c r="M2485" s="6"/>
      <c r="N2485" s="6"/>
      <c r="O2485" s="6"/>
      <c r="P2485" s="6"/>
      <c r="Q2485" s="6"/>
      <c r="R2485" s="6"/>
      <c r="S2485" s="6"/>
      <c r="T2485" s="6"/>
    </row>
    <row r="2486" spans="4:20" x14ac:dyDescent="0.2">
      <c r="D2486" s="6"/>
      <c r="E2486" s="6"/>
      <c r="F2486" s="6"/>
      <c r="G2486" s="19"/>
      <c r="H2486" s="19"/>
      <c r="I2486" s="19"/>
      <c r="J2486" s="19"/>
      <c r="K2486" s="6"/>
      <c r="L2486" s="6"/>
      <c r="M2486" s="6"/>
      <c r="N2486" s="6"/>
      <c r="O2486" s="6"/>
      <c r="P2486" s="6"/>
      <c r="Q2486" s="6"/>
      <c r="R2486" s="6"/>
      <c r="S2486" s="6"/>
      <c r="T2486" s="6"/>
    </row>
    <row r="2487" spans="4:20" x14ac:dyDescent="0.2">
      <c r="D2487" s="6"/>
      <c r="E2487" s="6"/>
      <c r="F2487" s="6"/>
      <c r="G2487" s="19"/>
      <c r="H2487" s="19"/>
      <c r="I2487" s="19"/>
      <c r="J2487" s="19"/>
      <c r="K2487" s="6"/>
      <c r="L2487" s="6"/>
      <c r="M2487" s="6"/>
      <c r="N2487" s="6"/>
      <c r="O2487" s="6"/>
      <c r="P2487" s="6"/>
      <c r="Q2487" s="6"/>
      <c r="R2487" s="6"/>
      <c r="S2487" s="6"/>
      <c r="T2487" s="6"/>
    </row>
    <row r="2488" spans="4:20" x14ac:dyDescent="0.2">
      <c r="D2488" s="6"/>
      <c r="E2488" s="6"/>
      <c r="F2488" s="6"/>
      <c r="G2488" s="19"/>
      <c r="H2488" s="19"/>
      <c r="I2488" s="19"/>
      <c r="J2488" s="19"/>
      <c r="K2488" s="6"/>
      <c r="L2488" s="6"/>
      <c r="M2488" s="6"/>
      <c r="N2488" s="6"/>
      <c r="O2488" s="6"/>
      <c r="P2488" s="6"/>
      <c r="Q2488" s="6"/>
      <c r="R2488" s="6"/>
      <c r="S2488" s="6"/>
      <c r="T2488" s="6"/>
    </row>
    <row r="2489" spans="4:20" x14ac:dyDescent="0.2">
      <c r="D2489" s="6"/>
      <c r="E2489" s="6"/>
      <c r="F2489" s="6"/>
      <c r="G2489" s="19"/>
      <c r="H2489" s="19"/>
      <c r="I2489" s="19"/>
      <c r="J2489" s="19"/>
      <c r="K2489" s="6"/>
      <c r="L2489" s="6"/>
      <c r="M2489" s="6"/>
      <c r="N2489" s="6"/>
      <c r="O2489" s="6"/>
      <c r="P2489" s="6"/>
      <c r="Q2489" s="6"/>
      <c r="R2489" s="6"/>
      <c r="S2489" s="6"/>
      <c r="T2489" s="6"/>
    </row>
    <row r="2490" spans="4:20" x14ac:dyDescent="0.2">
      <c r="D2490" s="6"/>
      <c r="E2490" s="6"/>
      <c r="F2490" s="6"/>
      <c r="G2490" s="19"/>
      <c r="H2490" s="19"/>
      <c r="I2490" s="19"/>
      <c r="J2490" s="19"/>
      <c r="K2490" s="6"/>
      <c r="L2490" s="6"/>
      <c r="M2490" s="6"/>
      <c r="N2490" s="6"/>
      <c r="O2490" s="6"/>
      <c r="P2490" s="6"/>
      <c r="Q2490" s="6"/>
      <c r="R2490" s="6"/>
      <c r="S2490" s="6"/>
      <c r="T2490" s="6"/>
    </row>
    <row r="2491" spans="4:20" x14ac:dyDescent="0.2">
      <c r="D2491" s="6"/>
      <c r="E2491" s="6"/>
      <c r="F2491" s="6"/>
      <c r="G2491" s="19"/>
      <c r="H2491" s="19"/>
      <c r="I2491" s="19"/>
      <c r="J2491" s="19"/>
      <c r="K2491" s="6"/>
      <c r="L2491" s="6"/>
      <c r="M2491" s="6"/>
      <c r="N2491" s="6"/>
      <c r="O2491" s="6"/>
      <c r="P2491" s="6"/>
      <c r="Q2491" s="6"/>
      <c r="R2491" s="6"/>
      <c r="S2491" s="6"/>
      <c r="T2491" s="6"/>
    </row>
    <row r="2492" spans="4:20" x14ac:dyDescent="0.2">
      <c r="D2492" s="6"/>
      <c r="E2492" s="6"/>
      <c r="F2492" s="6"/>
      <c r="G2492" s="19"/>
      <c r="H2492" s="19"/>
      <c r="I2492" s="19"/>
      <c r="J2492" s="19"/>
      <c r="K2492" s="6"/>
      <c r="L2492" s="6"/>
      <c r="M2492" s="6"/>
      <c r="N2492" s="6"/>
      <c r="O2492" s="6"/>
      <c r="P2492" s="6"/>
      <c r="Q2492" s="6"/>
      <c r="R2492" s="6"/>
      <c r="S2492" s="6"/>
      <c r="T2492" s="6"/>
    </row>
    <row r="2493" spans="4:20" x14ac:dyDescent="0.2">
      <c r="D2493" s="6"/>
      <c r="E2493" s="6"/>
      <c r="F2493" s="6"/>
      <c r="G2493" s="19"/>
      <c r="H2493" s="19"/>
      <c r="I2493" s="19"/>
      <c r="J2493" s="19"/>
      <c r="K2493" s="6"/>
      <c r="L2493" s="6"/>
      <c r="M2493" s="6"/>
      <c r="N2493" s="6"/>
      <c r="O2493" s="6"/>
      <c r="P2493" s="6"/>
      <c r="Q2493" s="6"/>
      <c r="R2493" s="6"/>
      <c r="S2493" s="6"/>
      <c r="T2493" s="6"/>
    </row>
    <row r="2494" spans="4:20" x14ac:dyDescent="0.2">
      <c r="D2494" s="6"/>
      <c r="E2494" s="6"/>
      <c r="F2494" s="6"/>
      <c r="G2494" s="19"/>
      <c r="H2494" s="19"/>
      <c r="I2494" s="19"/>
      <c r="J2494" s="19"/>
      <c r="K2494" s="6"/>
      <c r="L2494" s="6"/>
      <c r="M2494" s="6"/>
      <c r="N2494" s="6"/>
      <c r="O2494" s="6"/>
      <c r="P2494" s="6"/>
      <c r="Q2494" s="6"/>
      <c r="R2494" s="6"/>
      <c r="S2494" s="6"/>
      <c r="T2494" s="6"/>
    </row>
    <row r="2495" spans="4:20" x14ac:dyDescent="0.2">
      <c r="D2495" s="6"/>
      <c r="E2495" s="6"/>
      <c r="F2495" s="6"/>
      <c r="G2495" s="19"/>
      <c r="H2495" s="19"/>
      <c r="I2495" s="19"/>
      <c r="J2495" s="19"/>
      <c r="K2495" s="6"/>
      <c r="L2495" s="6"/>
      <c r="M2495" s="6"/>
      <c r="N2495" s="6"/>
      <c r="O2495" s="6"/>
      <c r="P2495" s="6"/>
      <c r="Q2495" s="6"/>
      <c r="R2495" s="6"/>
      <c r="S2495" s="6"/>
      <c r="T2495" s="6"/>
    </row>
    <row r="2496" spans="4:20" x14ac:dyDescent="0.2">
      <c r="D2496" s="6"/>
      <c r="E2496" s="6"/>
      <c r="F2496" s="6"/>
      <c r="G2496" s="19"/>
      <c r="H2496" s="19"/>
      <c r="I2496" s="19"/>
      <c r="J2496" s="19"/>
      <c r="K2496" s="6"/>
      <c r="L2496" s="6"/>
      <c r="M2496" s="6"/>
      <c r="N2496" s="6"/>
      <c r="O2496" s="6"/>
      <c r="P2496" s="6"/>
      <c r="Q2496" s="6"/>
      <c r="R2496" s="6"/>
      <c r="S2496" s="6"/>
      <c r="T2496" s="6"/>
    </row>
    <row r="2497" spans="4:20" x14ac:dyDescent="0.2">
      <c r="D2497" s="6"/>
      <c r="E2497" s="6"/>
      <c r="F2497" s="6"/>
      <c r="G2497" s="19"/>
      <c r="H2497" s="19"/>
      <c r="I2497" s="19"/>
      <c r="J2497" s="19"/>
      <c r="K2497" s="6"/>
      <c r="L2497" s="6"/>
      <c r="M2497" s="6"/>
      <c r="N2497" s="6"/>
      <c r="O2497" s="6"/>
      <c r="P2497" s="6"/>
      <c r="Q2497" s="6"/>
      <c r="R2497" s="6"/>
      <c r="S2497" s="6"/>
      <c r="T2497" s="6"/>
    </row>
    <row r="2498" spans="4:20" x14ac:dyDescent="0.2">
      <c r="D2498" s="6"/>
      <c r="E2498" s="6"/>
      <c r="F2498" s="6"/>
      <c r="G2498" s="19"/>
      <c r="H2498" s="19"/>
      <c r="I2498" s="19"/>
      <c r="J2498" s="19"/>
      <c r="K2498" s="6"/>
      <c r="L2498" s="6"/>
      <c r="M2498" s="6"/>
      <c r="N2498" s="6"/>
      <c r="O2498" s="6"/>
      <c r="P2498" s="6"/>
      <c r="Q2498" s="6"/>
      <c r="R2498" s="6"/>
      <c r="S2498" s="6"/>
      <c r="T2498" s="6"/>
    </row>
    <row r="2499" spans="4:20" x14ac:dyDescent="0.2">
      <c r="D2499" s="6"/>
      <c r="E2499" s="6"/>
      <c r="F2499" s="6"/>
      <c r="G2499" s="19"/>
      <c r="H2499" s="19"/>
      <c r="I2499" s="19"/>
      <c r="J2499" s="19"/>
      <c r="K2499" s="6"/>
      <c r="L2499" s="6"/>
      <c r="M2499" s="6"/>
      <c r="N2499" s="6"/>
      <c r="O2499" s="6"/>
      <c r="P2499" s="6"/>
      <c r="Q2499" s="6"/>
      <c r="R2499" s="6"/>
      <c r="S2499" s="6"/>
      <c r="T2499" s="6"/>
    </row>
    <row r="2500" spans="4:20" x14ac:dyDescent="0.2">
      <c r="D2500" s="6"/>
      <c r="E2500" s="6"/>
      <c r="F2500" s="6"/>
      <c r="G2500" s="19"/>
      <c r="H2500" s="19"/>
      <c r="I2500" s="19"/>
      <c r="J2500" s="19"/>
      <c r="K2500" s="6"/>
      <c r="L2500" s="6"/>
      <c r="M2500" s="6"/>
      <c r="N2500" s="6"/>
      <c r="O2500" s="6"/>
      <c r="P2500" s="6"/>
      <c r="Q2500" s="6"/>
      <c r="R2500" s="6"/>
      <c r="S2500" s="6"/>
      <c r="T2500" s="6"/>
    </row>
    <row r="2501" spans="4:20" x14ac:dyDescent="0.2">
      <c r="D2501" s="6"/>
      <c r="E2501" s="6"/>
      <c r="F2501" s="6"/>
      <c r="G2501" s="19"/>
      <c r="H2501" s="19"/>
      <c r="I2501" s="19"/>
      <c r="J2501" s="19"/>
      <c r="K2501" s="6"/>
      <c r="L2501" s="6"/>
      <c r="M2501" s="6"/>
      <c r="N2501" s="6"/>
      <c r="O2501" s="6"/>
      <c r="P2501" s="6"/>
      <c r="Q2501" s="6"/>
      <c r="R2501" s="6"/>
      <c r="S2501" s="6"/>
      <c r="T2501" s="6"/>
    </row>
    <row r="2502" spans="4:20" x14ac:dyDescent="0.2">
      <c r="D2502" s="6"/>
      <c r="E2502" s="6"/>
      <c r="F2502" s="6"/>
      <c r="G2502" s="19"/>
      <c r="H2502" s="19"/>
      <c r="I2502" s="19"/>
      <c r="J2502" s="19"/>
      <c r="K2502" s="6"/>
      <c r="L2502" s="6"/>
      <c r="M2502" s="6"/>
      <c r="N2502" s="6"/>
      <c r="O2502" s="6"/>
      <c r="P2502" s="6"/>
      <c r="Q2502" s="6"/>
      <c r="R2502" s="6"/>
      <c r="S2502" s="6"/>
      <c r="T2502" s="6"/>
    </row>
    <row r="2503" spans="4:20" x14ac:dyDescent="0.2">
      <c r="D2503" s="6"/>
      <c r="E2503" s="6"/>
      <c r="F2503" s="6"/>
      <c r="G2503" s="19"/>
      <c r="H2503" s="19"/>
      <c r="I2503" s="19"/>
      <c r="J2503" s="19"/>
      <c r="K2503" s="6"/>
      <c r="L2503" s="6"/>
      <c r="M2503" s="6"/>
      <c r="N2503" s="6"/>
      <c r="O2503" s="6"/>
      <c r="P2503" s="6"/>
      <c r="Q2503" s="6"/>
      <c r="R2503" s="6"/>
      <c r="S2503" s="6"/>
      <c r="T2503" s="6"/>
    </row>
    <row r="2504" spans="4:20" x14ac:dyDescent="0.2">
      <c r="D2504" s="6"/>
      <c r="E2504" s="6"/>
      <c r="F2504" s="6"/>
      <c r="G2504" s="19"/>
      <c r="H2504" s="19"/>
      <c r="I2504" s="19"/>
      <c r="J2504" s="19"/>
      <c r="K2504" s="6"/>
      <c r="L2504" s="6"/>
      <c r="M2504" s="6"/>
      <c r="N2504" s="6"/>
      <c r="O2504" s="6"/>
      <c r="P2504" s="6"/>
      <c r="Q2504" s="6"/>
      <c r="R2504" s="6"/>
      <c r="S2504" s="6"/>
      <c r="T2504" s="6"/>
    </row>
    <row r="2505" spans="4:20" x14ac:dyDescent="0.2">
      <c r="D2505" s="6"/>
      <c r="E2505" s="6"/>
      <c r="F2505" s="6"/>
      <c r="G2505" s="19"/>
      <c r="H2505" s="19"/>
      <c r="I2505" s="19"/>
      <c r="J2505" s="19"/>
      <c r="K2505" s="6"/>
      <c r="L2505" s="6"/>
      <c r="M2505" s="6"/>
      <c r="N2505" s="6"/>
      <c r="O2505" s="6"/>
      <c r="P2505" s="6"/>
      <c r="Q2505" s="6"/>
      <c r="R2505" s="6"/>
      <c r="S2505" s="6"/>
      <c r="T2505" s="6"/>
    </row>
    <row r="2506" spans="4:20" x14ac:dyDescent="0.2">
      <c r="D2506" s="6"/>
      <c r="E2506" s="6"/>
      <c r="F2506" s="6"/>
      <c r="G2506" s="19"/>
      <c r="H2506" s="19"/>
      <c r="I2506" s="19"/>
      <c r="J2506" s="19"/>
      <c r="K2506" s="6"/>
      <c r="L2506" s="6"/>
      <c r="M2506" s="6"/>
      <c r="N2506" s="6"/>
      <c r="O2506" s="6"/>
      <c r="P2506" s="6"/>
      <c r="Q2506" s="6"/>
      <c r="R2506" s="6"/>
      <c r="S2506" s="6"/>
      <c r="T2506" s="6"/>
    </row>
    <row r="2507" spans="4:20" x14ac:dyDescent="0.2">
      <c r="D2507" s="6"/>
      <c r="E2507" s="6"/>
      <c r="F2507" s="6"/>
      <c r="G2507" s="19"/>
      <c r="H2507" s="19"/>
      <c r="I2507" s="19"/>
      <c r="J2507" s="19"/>
      <c r="K2507" s="6"/>
      <c r="L2507" s="6"/>
      <c r="M2507" s="6"/>
      <c r="N2507" s="6"/>
      <c r="O2507" s="6"/>
      <c r="P2507" s="6"/>
      <c r="Q2507" s="6"/>
      <c r="R2507" s="6"/>
      <c r="S2507" s="6"/>
      <c r="T2507" s="6"/>
    </row>
    <row r="2508" spans="4:20" x14ac:dyDescent="0.2">
      <c r="D2508" s="6"/>
      <c r="E2508" s="6"/>
      <c r="F2508" s="6"/>
      <c r="G2508" s="19"/>
      <c r="H2508" s="19"/>
      <c r="I2508" s="19"/>
      <c r="J2508" s="19"/>
      <c r="K2508" s="6"/>
      <c r="L2508" s="6"/>
      <c r="M2508" s="6"/>
      <c r="N2508" s="6"/>
      <c r="O2508" s="6"/>
      <c r="P2508" s="6"/>
      <c r="Q2508" s="6"/>
      <c r="R2508" s="6"/>
      <c r="S2508" s="6"/>
      <c r="T2508" s="6"/>
    </row>
    <row r="2509" spans="4:20" x14ac:dyDescent="0.2">
      <c r="D2509" s="6"/>
      <c r="E2509" s="6"/>
      <c r="F2509" s="6"/>
      <c r="G2509" s="19"/>
      <c r="H2509" s="19"/>
      <c r="I2509" s="19"/>
      <c r="J2509" s="19"/>
      <c r="K2509" s="6"/>
      <c r="L2509" s="6"/>
      <c r="M2509" s="6"/>
      <c r="N2509" s="6"/>
      <c r="O2509" s="6"/>
      <c r="P2509" s="6"/>
      <c r="Q2509" s="6"/>
      <c r="R2509" s="6"/>
      <c r="S2509" s="6"/>
      <c r="T2509" s="6"/>
    </row>
    <row r="2510" spans="4:20" x14ac:dyDescent="0.2">
      <c r="D2510" s="6"/>
      <c r="E2510" s="6"/>
      <c r="F2510" s="6"/>
      <c r="G2510" s="19"/>
      <c r="H2510" s="19"/>
      <c r="I2510" s="19"/>
      <c r="J2510" s="19"/>
      <c r="K2510" s="6"/>
      <c r="L2510" s="6"/>
      <c r="M2510" s="6"/>
      <c r="N2510" s="6"/>
      <c r="O2510" s="6"/>
      <c r="P2510" s="6"/>
      <c r="Q2510" s="6"/>
      <c r="R2510" s="6"/>
      <c r="S2510" s="6"/>
      <c r="T2510" s="6"/>
    </row>
    <row r="2511" spans="4:20" x14ac:dyDescent="0.2">
      <c r="D2511" s="6"/>
      <c r="E2511" s="6"/>
      <c r="F2511" s="6"/>
      <c r="G2511" s="19"/>
      <c r="H2511" s="19"/>
      <c r="I2511" s="19"/>
      <c r="J2511" s="19"/>
      <c r="K2511" s="6"/>
      <c r="L2511" s="6"/>
      <c r="M2511" s="6"/>
      <c r="N2511" s="6"/>
      <c r="O2511" s="6"/>
      <c r="P2511" s="6"/>
      <c r="Q2511" s="6"/>
      <c r="R2511" s="6"/>
      <c r="S2511" s="6"/>
      <c r="T2511" s="6"/>
    </row>
    <row r="2512" spans="4:20" x14ac:dyDescent="0.2">
      <c r="D2512" s="6"/>
      <c r="E2512" s="6"/>
      <c r="F2512" s="6"/>
      <c r="G2512" s="19"/>
      <c r="H2512" s="19"/>
      <c r="I2512" s="19"/>
      <c r="J2512" s="19"/>
      <c r="K2512" s="6"/>
      <c r="L2512" s="6"/>
      <c r="M2512" s="6"/>
      <c r="N2512" s="6"/>
      <c r="O2512" s="6"/>
      <c r="P2512" s="6"/>
      <c r="Q2512" s="6"/>
      <c r="R2512" s="6"/>
      <c r="S2512" s="6"/>
      <c r="T2512" s="6"/>
    </row>
    <row r="2513" spans="4:20" x14ac:dyDescent="0.2">
      <c r="D2513" s="6"/>
      <c r="E2513" s="6"/>
      <c r="F2513" s="6"/>
      <c r="G2513" s="19"/>
      <c r="H2513" s="19"/>
      <c r="I2513" s="19"/>
      <c r="J2513" s="19"/>
      <c r="K2513" s="6"/>
      <c r="L2513" s="6"/>
      <c r="M2513" s="6"/>
      <c r="N2513" s="6"/>
      <c r="O2513" s="6"/>
      <c r="P2513" s="6"/>
      <c r="Q2513" s="6"/>
      <c r="R2513" s="6"/>
      <c r="S2513" s="6"/>
      <c r="T2513" s="6"/>
    </row>
    <row r="2514" spans="4:20" x14ac:dyDescent="0.2">
      <c r="D2514" s="6"/>
      <c r="E2514" s="6"/>
      <c r="F2514" s="6"/>
      <c r="G2514" s="19"/>
      <c r="H2514" s="19"/>
      <c r="I2514" s="19"/>
      <c r="J2514" s="19"/>
      <c r="K2514" s="6"/>
      <c r="L2514" s="6"/>
      <c r="M2514" s="6"/>
      <c r="N2514" s="6"/>
      <c r="O2514" s="6"/>
      <c r="P2514" s="6"/>
      <c r="Q2514" s="6"/>
      <c r="R2514" s="6"/>
      <c r="S2514" s="6"/>
      <c r="T2514" s="6"/>
    </row>
    <row r="2515" spans="4:20" x14ac:dyDescent="0.2">
      <c r="D2515" s="6"/>
      <c r="E2515" s="6"/>
      <c r="F2515" s="6"/>
      <c r="G2515" s="19"/>
      <c r="H2515" s="19"/>
      <c r="I2515" s="19"/>
      <c r="J2515" s="19"/>
      <c r="K2515" s="6"/>
      <c r="L2515" s="6"/>
      <c r="M2515" s="6"/>
      <c r="N2515" s="6"/>
      <c r="O2515" s="6"/>
      <c r="P2515" s="6"/>
      <c r="Q2515" s="6"/>
      <c r="R2515" s="6"/>
      <c r="S2515" s="6"/>
      <c r="T2515" s="6"/>
    </row>
    <row r="2516" spans="4:20" x14ac:dyDescent="0.2">
      <c r="D2516" s="6"/>
      <c r="E2516" s="6"/>
      <c r="F2516" s="6"/>
      <c r="G2516" s="19"/>
      <c r="H2516" s="19"/>
      <c r="I2516" s="19"/>
      <c r="J2516" s="19"/>
      <c r="K2516" s="6"/>
      <c r="L2516" s="6"/>
      <c r="M2516" s="6"/>
      <c r="N2516" s="6"/>
      <c r="O2516" s="6"/>
      <c r="P2516" s="6"/>
      <c r="Q2516" s="6"/>
      <c r="R2516" s="6"/>
      <c r="S2516" s="6"/>
      <c r="T2516" s="6"/>
    </row>
    <row r="2517" spans="4:20" x14ac:dyDescent="0.2">
      <c r="D2517" s="6"/>
      <c r="E2517" s="6"/>
      <c r="F2517" s="6"/>
      <c r="G2517" s="19"/>
      <c r="H2517" s="19"/>
      <c r="I2517" s="19"/>
      <c r="J2517" s="19"/>
      <c r="K2517" s="6"/>
      <c r="L2517" s="6"/>
      <c r="M2517" s="6"/>
      <c r="N2517" s="6"/>
      <c r="O2517" s="6"/>
      <c r="P2517" s="6"/>
      <c r="Q2517" s="6"/>
      <c r="R2517" s="6"/>
      <c r="S2517" s="6"/>
      <c r="T2517" s="6"/>
    </row>
    <row r="2518" spans="4:20" x14ac:dyDescent="0.2">
      <c r="D2518" s="6"/>
      <c r="E2518" s="6"/>
      <c r="F2518" s="6"/>
      <c r="G2518" s="19"/>
      <c r="H2518" s="19"/>
      <c r="I2518" s="19"/>
      <c r="J2518" s="19"/>
      <c r="K2518" s="6"/>
      <c r="L2518" s="6"/>
      <c r="M2518" s="6"/>
      <c r="N2518" s="6"/>
      <c r="O2518" s="6"/>
      <c r="P2518" s="6"/>
      <c r="Q2518" s="6"/>
      <c r="R2518" s="6"/>
      <c r="S2518" s="6"/>
      <c r="T2518" s="6"/>
    </row>
    <row r="2519" spans="4:20" x14ac:dyDescent="0.2">
      <c r="D2519" s="6"/>
      <c r="E2519" s="6"/>
      <c r="F2519" s="6"/>
      <c r="G2519" s="19"/>
      <c r="H2519" s="19"/>
      <c r="I2519" s="19"/>
      <c r="J2519" s="19"/>
      <c r="K2519" s="6"/>
      <c r="L2519" s="6"/>
      <c r="M2519" s="6"/>
      <c r="N2519" s="6"/>
      <c r="O2519" s="6"/>
      <c r="P2519" s="6"/>
      <c r="Q2519" s="6"/>
      <c r="R2519" s="6"/>
      <c r="S2519" s="6"/>
      <c r="T2519" s="6"/>
    </row>
    <row r="2520" spans="4:20" x14ac:dyDescent="0.2">
      <c r="D2520" s="6"/>
      <c r="E2520" s="6"/>
      <c r="F2520" s="6"/>
      <c r="G2520" s="19"/>
      <c r="H2520" s="19"/>
      <c r="I2520" s="19"/>
      <c r="J2520" s="19"/>
      <c r="K2520" s="6"/>
      <c r="L2520" s="6"/>
      <c r="M2520" s="6"/>
      <c r="N2520" s="6"/>
      <c r="O2520" s="6"/>
      <c r="P2520" s="6"/>
      <c r="Q2520" s="6"/>
      <c r="R2520" s="6"/>
      <c r="S2520" s="6"/>
      <c r="T2520" s="6"/>
    </row>
    <row r="2521" spans="4:20" x14ac:dyDescent="0.2">
      <c r="D2521" s="6"/>
      <c r="E2521" s="6"/>
      <c r="F2521" s="6"/>
      <c r="G2521" s="19"/>
      <c r="H2521" s="19"/>
      <c r="I2521" s="19"/>
      <c r="J2521" s="19"/>
      <c r="K2521" s="6"/>
      <c r="L2521" s="6"/>
      <c r="M2521" s="6"/>
      <c r="N2521" s="6"/>
      <c r="O2521" s="6"/>
      <c r="P2521" s="6"/>
      <c r="Q2521" s="6"/>
      <c r="R2521" s="6"/>
      <c r="S2521" s="6"/>
      <c r="T2521" s="6"/>
    </row>
    <row r="2522" spans="4:20" x14ac:dyDescent="0.2">
      <c r="D2522" s="6"/>
      <c r="E2522" s="6"/>
      <c r="F2522" s="6"/>
      <c r="G2522" s="19"/>
      <c r="H2522" s="19"/>
      <c r="I2522" s="19"/>
      <c r="J2522" s="19"/>
      <c r="K2522" s="6"/>
      <c r="L2522" s="6"/>
      <c r="M2522" s="6"/>
      <c r="N2522" s="6"/>
      <c r="O2522" s="6"/>
      <c r="P2522" s="6"/>
      <c r="Q2522" s="6"/>
      <c r="R2522" s="6"/>
      <c r="S2522" s="6"/>
      <c r="T2522" s="6"/>
    </row>
    <row r="2523" spans="4:20" x14ac:dyDescent="0.2">
      <c r="D2523" s="6"/>
      <c r="E2523" s="6"/>
      <c r="F2523" s="6"/>
      <c r="G2523" s="19"/>
      <c r="H2523" s="19"/>
      <c r="I2523" s="19"/>
      <c r="J2523" s="19"/>
      <c r="K2523" s="6"/>
      <c r="L2523" s="6"/>
      <c r="M2523" s="6"/>
      <c r="N2523" s="6"/>
      <c r="O2523" s="6"/>
      <c r="P2523" s="6"/>
      <c r="Q2523" s="6"/>
      <c r="R2523" s="6"/>
      <c r="S2523" s="6"/>
      <c r="T2523" s="6"/>
    </row>
    <row r="2524" spans="4:20" x14ac:dyDescent="0.2">
      <c r="D2524" s="6"/>
      <c r="E2524" s="6"/>
      <c r="F2524" s="6"/>
      <c r="G2524" s="19"/>
      <c r="H2524" s="19"/>
      <c r="I2524" s="19"/>
      <c r="J2524" s="19"/>
      <c r="K2524" s="6"/>
      <c r="L2524" s="6"/>
      <c r="M2524" s="6"/>
      <c r="N2524" s="6"/>
      <c r="O2524" s="6"/>
      <c r="P2524" s="6"/>
      <c r="Q2524" s="6"/>
      <c r="R2524" s="6"/>
      <c r="S2524" s="6"/>
      <c r="T2524" s="6"/>
    </row>
    <row r="2525" spans="4:20" x14ac:dyDescent="0.2">
      <c r="D2525" s="6"/>
      <c r="E2525" s="6"/>
      <c r="F2525" s="6"/>
      <c r="G2525" s="19"/>
      <c r="H2525" s="19"/>
      <c r="I2525" s="19"/>
      <c r="J2525" s="19"/>
      <c r="K2525" s="6"/>
      <c r="L2525" s="6"/>
      <c r="M2525" s="6"/>
      <c r="N2525" s="6"/>
      <c r="O2525" s="6"/>
      <c r="P2525" s="6"/>
      <c r="Q2525" s="6"/>
      <c r="R2525" s="6"/>
      <c r="S2525" s="6"/>
      <c r="T2525" s="6"/>
    </row>
    <row r="2526" spans="4:20" x14ac:dyDescent="0.2">
      <c r="D2526" s="6"/>
      <c r="E2526" s="6"/>
      <c r="F2526" s="6"/>
      <c r="G2526" s="19"/>
      <c r="H2526" s="19"/>
      <c r="I2526" s="19"/>
      <c r="J2526" s="19"/>
      <c r="K2526" s="6"/>
      <c r="L2526" s="6"/>
      <c r="M2526" s="6"/>
      <c r="N2526" s="6"/>
      <c r="O2526" s="6"/>
      <c r="P2526" s="6"/>
      <c r="Q2526" s="6"/>
      <c r="R2526" s="6"/>
      <c r="S2526" s="6"/>
      <c r="T2526" s="6"/>
    </row>
    <row r="2527" spans="4:20" x14ac:dyDescent="0.2">
      <c r="D2527" s="6"/>
      <c r="E2527" s="6"/>
      <c r="F2527" s="6"/>
      <c r="G2527" s="19"/>
      <c r="H2527" s="19"/>
      <c r="I2527" s="19"/>
      <c r="J2527" s="19"/>
      <c r="K2527" s="6"/>
      <c r="L2527" s="6"/>
      <c r="M2527" s="6"/>
      <c r="N2527" s="6"/>
      <c r="O2527" s="6"/>
      <c r="P2527" s="6"/>
      <c r="Q2527" s="6"/>
      <c r="R2527" s="6"/>
      <c r="S2527" s="6"/>
      <c r="T2527" s="6"/>
    </row>
    <row r="2528" spans="4:20" x14ac:dyDescent="0.2">
      <c r="D2528" s="6"/>
      <c r="E2528" s="6"/>
      <c r="F2528" s="6"/>
      <c r="G2528" s="19"/>
      <c r="H2528" s="19"/>
      <c r="I2528" s="19"/>
      <c r="J2528" s="19"/>
      <c r="K2528" s="6"/>
      <c r="L2528" s="6"/>
      <c r="M2528" s="6"/>
      <c r="N2528" s="6"/>
      <c r="O2528" s="6"/>
      <c r="P2528" s="6"/>
      <c r="Q2528" s="6"/>
      <c r="R2528" s="6"/>
      <c r="S2528" s="6"/>
      <c r="T2528" s="6"/>
    </row>
    <row r="2529" spans="4:20" x14ac:dyDescent="0.2">
      <c r="D2529" s="6"/>
      <c r="E2529" s="6"/>
      <c r="F2529" s="6"/>
      <c r="G2529" s="19"/>
      <c r="H2529" s="19"/>
      <c r="I2529" s="19"/>
      <c r="J2529" s="19"/>
      <c r="K2529" s="6"/>
      <c r="L2529" s="6"/>
      <c r="M2529" s="6"/>
      <c r="N2529" s="6"/>
      <c r="O2529" s="6"/>
      <c r="P2529" s="6"/>
      <c r="Q2529" s="6"/>
      <c r="R2529" s="6"/>
      <c r="S2529" s="6"/>
      <c r="T2529" s="6"/>
    </row>
    <row r="2530" spans="4:20" x14ac:dyDescent="0.2">
      <c r="D2530" s="6"/>
      <c r="E2530" s="6"/>
      <c r="F2530" s="6"/>
      <c r="G2530" s="19"/>
      <c r="H2530" s="19"/>
      <c r="I2530" s="19"/>
      <c r="J2530" s="19"/>
      <c r="K2530" s="6"/>
      <c r="L2530" s="6"/>
      <c r="M2530" s="6"/>
      <c r="N2530" s="6"/>
      <c r="O2530" s="6"/>
      <c r="P2530" s="6"/>
      <c r="Q2530" s="6"/>
      <c r="R2530" s="6"/>
      <c r="S2530" s="6"/>
      <c r="T2530" s="6"/>
    </row>
    <row r="2531" spans="4:20" x14ac:dyDescent="0.2">
      <c r="D2531" s="6"/>
      <c r="E2531" s="6"/>
      <c r="F2531" s="6"/>
      <c r="G2531" s="19"/>
      <c r="H2531" s="19"/>
      <c r="I2531" s="19"/>
      <c r="J2531" s="19"/>
      <c r="K2531" s="6"/>
      <c r="L2531" s="6"/>
      <c r="M2531" s="6"/>
      <c r="N2531" s="6"/>
      <c r="O2531" s="6"/>
      <c r="P2531" s="6"/>
      <c r="Q2531" s="6"/>
      <c r="R2531" s="6"/>
      <c r="S2531" s="6"/>
      <c r="T2531" s="6"/>
    </row>
    <row r="2532" spans="4:20" x14ac:dyDescent="0.2">
      <c r="D2532" s="6"/>
      <c r="E2532" s="6"/>
      <c r="F2532" s="6"/>
      <c r="G2532" s="19"/>
      <c r="H2532" s="19"/>
      <c r="I2532" s="19"/>
      <c r="J2532" s="19"/>
      <c r="K2532" s="6"/>
      <c r="L2532" s="6"/>
      <c r="M2532" s="6"/>
      <c r="N2532" s="6"/>
      <c r="O2532" s="6"/>
      <c r="P2532" s="6"/>
      <c r="Q2532" s="6"/>
      <c r="R2532" s="6"/>
      <c r="S2532" s="6"/>
      <c r="T2532" s="6"/>
    </row>
    <row r="2533" spans="4:20" x14ac:dyDescent="0.2">
      <c r="D2533" s="6"/>
      <c r="E2533" s="6"/>
      <c r="F2533" s="6"/>
      <c r="G2533" s="19"/>
      <c r="H2533" s="19"/>
      <c r="I2533" s="19"/>
      <c r="J2533" s="19"/>
      <c r="K2533" s="6"/>
      <c r="L2533" s="6"/>
      <c r="M2533" s="6"/>
      <c r="N2533" s="6"/>
      <c r="O2533" s="6"/>
      <c r="P2533" s="6"/>
      <c r="Q2533" s="6"/>
      <c r="R2533" s="6"/>
      <c r="S2533" s="6"/>
      <c r="T2533" s="6"/>
    </row>
    <row r="2534" spans="4:20" x14ac:dyDescent="0.2">
      <c r="D2534" s="6"/>
      <c r="E2534" s="6"/>
      <c r="F2534" s="6"/>
      <c r="G2534" s="19"/>
      <c r="H2534" s="19"/>
      <c r="I2534" s="19"/>
      <c r="J2534" s="19"/>
      <c r="K2534" s="6"/>
      <c r="L2534" s="6"/>
      <c r="M2534" s="6"/>
      <c r="N2534" s="6"/>
      <c r="O2534" s="6"/>
      <c r="P2534" s="6"/>
      <c r="Q2534" s="6"/>
      <c r="R2534" s="6"/>
      <c r="S2534" s="6"/>
      <c r="T2534" s="6"/>
    </row>
    <row r="2535" spans="4:20" x14ac:dyDescent="0.2">
      <c r="D2535" s="6"/>
      <c r="E2535" s="6"/>
      <c r="F2535" s="6"/>
      <c r="G2535" s="19"/>
      <c r="H2535" s="19"/>
      <c r="I2535" s="19"/>
      <c r="J2535" s="19"/>
      <c r="K2535" s="6"/>
      <c r="L2535" s="6"/>
      <c r="M2535" s="6"/>
      <c r="N2535" s="6"/>
      <c r="O2535" s="6"/>
      <c r="P2535" s="6"/>
      <c r="Q2535" s="6"/>
      <c r="R2535" s="6"/>
      <c r="S2535" s="6"/>
      <c r="T2535" s="6"/>
    </row>
    <row r="2536" spans="4:20" x14ac:dyDescent="0.2">
      <c r="D2536" s="6"/>
      <c r="E2536" s="6"/>
      <c r="F2536" s="6"/>
      <c r="G2536" s="19"/>
      <c r="H2536" s="19"/>
      <c r="I2536" s="19"/>
      <c r="J2536" s="19"/>
      <c r="K2536" s="6"/>
      <c r="L2536" s="6"/>
      <c r="M2536" s="6"/>
      <c r="N2536" s="6"/>
      <c r="O2536" s="6"/>
      <c r="P2536" s="6"/>
      <c r="Q2536" s="6"/>
      <c r="R2536" s="6"/>
      <c r="S2536" s="6"/>
      <c r="T2536" s="6"/>
    </row>
    <row r="2537" spans="4:20" x14ac:dyDescent="0.2">
      <c r="D2537" s="6"/>
      <c r="E2537" s="6"/>
      <c r="F2537" s="6"/>
      <c r="G2537" s="19"/>
      <c r="H2537" s="19"/>
      <c r="I2537" s="19"/>
      <c r="J2537" s="19"/>
      <c r="K2537" s="6"/>
      <c r="L2537" s="6"/>
      <c r="M2537" s="6"/>
      <c r="N2537" s="6"/>
      <c r="O2537" s="6"/>
      <c r="P2537" s="6"/>
      <c r="Q2537" s="6"/>
      <c r="R2537" s="6"/>
      <c r="S2537" s="6"/>
      <c r="T2537" s="6"/>
    </row>
    <row r="2538" spans="4:20" x14ac:dyDescent="0.2">
      <c r="D2538" s="6"/>
      <c r="E2538" s="6"/>
      <c r="F2538" s="6"/>
      <c r="G2538" s="19"/>
      <c r="H2538" s="19"/>
      <c r="I2538" s="19"/>
      <c r="J2538" s="19"/>
      <c r="K2538" s="6"/>
      <c r="L2538" s="6"/>
      <c r="M2538" s="6"/>
      <c r="N2538" s="6"/>
      <c r="O2538" s="6"/>
      <c r="P2538" s="6"/>
      <c r="Q2538" s="6"/>
      <c r="R2538" s="6"/>
      <c r="S2538" s="6"/>
      <c r="T2538" s="6"/>
    </row>
    <row r="2539" spans="4:20" x14ac:dyDescent="0.2">
      <c r="D2539" s="6"/>
      <c r="E2539" s="6"/>
      <c r="F2539" s="6"/>
      <c r="G2539" s="19"/>
      <c r="H2539" s="19"/>
      <c r="I2539" s="19"/>
      <c r="J2539" s="19"/>
      <c r="K2539" s="6"/>
      <c r="L2539" s="6"/>
      <c r="M2539" s="6"/>
      <c r="N2539" s="6"/>
      <c r="O2539" s="6"/>
      <c r="P2539" s="6"/>
      <c r="Q2539" s="6"/>
      <c r="R2539" s="6"/>
      <c r="S2539" s="6"/>
      <c r="T2539" s="6"/>
    </row>
    <row r="2540" spans="4:20" x14ac:dyDescent="0.2">
      <c r="D2540" s="6"/>
      <c r="E2540" s="6"/>
      <c r="F2540" s="6"/>
      <c r="G2540" s="19"/>
      <c r="H2540" s="19"/>
      <c r="I2540" s="19"/>
      <c r="J2540" s="19"/>
      <c r="K2540" s="6"/>
      <c r="L2540" s="6"/>
      <c r="M2540" s="6"/>
      <c r="N2540" s="6"/>
      <c r="O2540" s="6"/>
      <c r="P2540" s="6"/>
      <c r="Q2540" s="6"/>
      <c r="R2540" s="6"/>
      <c r="S2540" s="6"/>
      <c r="T2540" s="6"/>
    </row>
    <row r="2541" spans="4:20" x14ac:dyDescent="0.2">
      <c r="D2541" s="6"/>
      <c r="E2541" s="6"/>
      <c r="F2541" s="6"/>
      <c r="G2541" s="19"/>
      <c r="H2541" s="19"/>
      <c r="I2541" s="19"/>
      <c r="J2541" s="19"/>
      <c r="K2541" s="6"/>
      <c r="L2541" s="6"/>
      <c r="M2541" s="6"/>
      <c r="N2541" s="6"/>
      <c r="O2541" s="6"/>
      <c r="P2541" s="6"/>
      <c r="Q2541" s="6"/>
      <c r="R2541" s="6"/>
      <c r="S2541" s="6"/>
      <c r="T2541" s="6"/>
    </row>
    <row r="2542" spans="4:20" x14ac:dyDescent="0.2">
      <c r="D2542" s="6"/>
      <c r="E2542" s="6"/>
      <c r="F2542" s="6"/>
      <c r="G2542" s="19"/>
      <c r="H2542" s="19"/>
      <c r="I2542" s="19"/>
      <c r="J2542" s="19"/>
      <c r="K2542" s="6"/>
      <c r="L2542" s="6"/>
      <c r="M2542" s="6"/>
      <c r="N2542" s="6"/>
      <c r="O2542" s="6"/>
      <c r="P2542" s="6"/>
      <c r="Q2542" s="6"/>
      <c r="R2542" s="6"/>
      <c r="S2542" s="6"/>
      <c r="T2542" s="6"/>
    </row>
    <row r="2543" spans="4:20" x14ac:dyDescent="0.2">
      <c r="D2543" s="6"/>
      <c r="E2543" s="6"/>
      <c r="F2543" s="6"/>
      <c r="G2543" s="19"/>
      <c r="H2543" s="19"/>
      <c r="I2543" s="19"/>
      <c r="J2543" s="19"/>
      <c r="K2543" s="6"/>
      <c r="L2543" s="6"/>
      <c r="M2543" s="6"/>
      <c r="N2543" s="6"/>
      <c r="O2543" s="6"/>
      <c r="P2543" s="6"/>
      <c r="Q2543" s="6"/>
      <c r="R2543" s="6"/>
      <c r="S2543" s="6"/>
      <c r="T2543" s="6"/>
    </row>
    <row r="2544" spans="4:20" x14ac:dyDescent="0.2">
      <c r="D2544" s="6"/>
      <c r="E2544" s="6"/>
      <c r="F2544" s="6"/>
      <c r="G2544" s="19"/>
      <c r="H2544" s="19"/>
      <c r="I2544" s="19"/>
      <c r="J2544" s="19"/>
      <c r="K2544" s="6"/>
      <c r="L2544" s="6"/>
      <c r="M2544" s="6"/>
      <c r="N2544" s="6"/>
      <c r="O2544" s="6"/>
      <c r="P2544" s="6"/>
      <c r="Q2544" s="6"/>
      <c r="R2544" s="6"/>
      <c r="S2544" s="6"/>
      <c r="T2544" s="6"/>
    </row>
    <row r="2545" spans="4:20" x14ac:dyDescent="0.2">
      <c r="D2545" s="6"/>
      <c r="E2545" s="6"/>
      <c r="F2545" s="6"/>
      <c r="G2545" s="19"/>
      <c r="H2545" s="19"/>
      <c r="I2545" s="19"/>
      <c r="J2545" s="19"/>
      <c r="K2545" s="6"/>
      <c r="L2545" s="6"/>
      <c r="M2545" s="6"/>
      <c r="N2545" s="6"/>
      <c r="O2545" s="6"/>
      <c r="P2545" s="6"/>
      <c r="Q2545" s="6"/>
      <c r="R2545" s="6"/>
      <c r="S2545" s="6"/>
      <c r="T2545" s="6"/>
    </row>
    <row r="2546" spans="4:20" x14ac:dyDescent="0.2">
      <c r="D2546" s="6"/>
      <c r="E2546" s="6"/>
      <c r="F2546" s="6"/>
      <c r="G2546" s="19"/>
      <c r="H2546" s="19"/>
      <c r="I2546" s="19"/>
      <c r="J2546" s="19"/>
      <c r="K2546" s="6"/>
      <c r="L2546" s="6"/>
      <c r="M2546" s="6"/>
      <c r="N2546" s="6"/>
      <c r="O2546" s="6"/>
      <c r="P2546" s="6"/>
      <c r="Q2546" s="6"/>
      <c r="R2546" s="6"/>
      <c r="S2546" s="6"/>
      <c r="T2546" s="6"/>
    </row>
    <row r="2547" spans="4:20" x14ac:dyDescent="0.2">
      <c r="D2547" s="6"/>
      <c r="E2547" s="6"/>
      <c r="F2547" s="6"/>
      <c r="G2547" s="19"/>
      <c r="H2547" s="19"/>
      <c r="I2547" s="19"/>
      <c r="J2547" s="19"/>
      <c r="K2547" s="6"/>
      <c r="L2547" s="6"/>
      <c r="M2547" s="6"/>
      <c r="N2547" s="6"/>
      <c r="O2547" s="6"/>
      <c r="P2547" s="6"/>
      <c r="Q2547" s="6"/>
      <c r="R2547" s="6"/>
      <c r="S2547" s="6"/>
      <c r="T2547" s="6"/>
    </row>
    <row r="2548" spans="4:20" x14ac:dyDescent="0.2">
      <c r="D2548" s="6"/>
      <c r="E2548" s="6"/>
      <c r="F2548" s="6"/>
      <c r="G2548" s="19"/>
      <c r="H2548" s="19"/>
      <c r="I2548" s="19"/>
      <c r="J2548" s="19"/>
      <c r="K2548" s="6"/>
      <c r="L2548" s="6"/>
      <c r="M2548" s="6"/>
      <c r="N2548" s="6"/>
      <c r="O2548" s="6"/>
      <c r="P2548" s="6"/>
      <c r="Q2548" s="6"/>
      <c r="R2548" s="6"/>
      <c r="S2548" s="6"/>
      <c r="T2548" s="6"/>
    </row>
    <row r="2549" spans="4:20" x14ac:dyDescent="0.2">
      <c r="D2549" s="6"/>
      <c r="E2549" s="6"/>
      <c r="F2549" s="6"/>
      <c r="G2549" s="19"/>
      <c r="H2549" s="19"/>
      <c r="I2549" s="19"/>
      <c r="J2549" s="19"/>
      <c r="K2549" s="6"/>
      <c r="L2549" s="6"/>
      <c r="M2549" s="6"/>
      <c r="N2549" s="6"/>
      <c r="O2549" s="6"/>
      <c r="P2549" s="6"/>
      <c r="Q2549" s="6"/>
      <c r="R2549" s="6"/>
      <c r="S2549" s="6"/>
      <c r="T2549" s="6"/>
    </row>
    <row r="2550" spans="4:20" x14ac:dyDescent="0.2">
      <c r="D2550" s="6"/>
      <c r="E2550" s="6"/>
      <c r="F2550" s="6"/>
      <c r="G2550" s="19"/>
      <c r="H2550" s="19"/>
      <c r="I2550" s="19"/>
      <c r="J2550" s="19"/>
      <c r="K2550" s="6"/>
      <c r="L2550" s="6"/>
      <c r="M2550" s="6"/>
      <c r="N2550" s="6"/>
      <c r="O2550" s="6"/>
      <c r="P2550" s="6"/>
      <c r="Q2550" s="6"/>
      <c r="R2550" s="6"/>
      <c r="S2550" s="6"/>
      <c r="T2550" s="6"/>
    </row>
    <row r="2551" spans="4:20" x14ac:dyDescent="0.2">
      <c r="D2551" s="6"/>
      <c r="E2551" s="6"/>
      <c r="F2551" s="6"/>
      <c r="G2551" s="19"/>
      <c r="H2551" s="19"/>
      <c r="I2551" s="19"/>
      <c r="J2551" s="19"/>
      <c r="K2551" s="6"/>
      <c r="L2551" s="6"/>
      <c r="M2551" s="6"/>
      <c r="N2551" s="6"/>
      <c r="O2551" s="6"/>
      <c r="P2551" s="6"/>
      <c r="Q2551" s="6"/>
      <c r="R2551" s="6"/>
      <c r="S2551" s="6"/>
      <c r="T2551" s="6"/>
    </row>
    <row r="2552" spans="4:20" x14ac:dyDescent="0.2">
      <c r="D2552" s="6"/>
      <c r="E2552" s="6"/>
      <c r="F2552" s="6"/>
      <c r="G2552" s="19"/>
      <c r="H2552" s="19"/>
      <c r="I2552" s="19"/>
      <c r="J2552" s="19"/>
      <c r="K2552" s="6"/>
      <c r="L2552" s="6"/>
      <c r="M2552" s="6"/>
      <c r="N2552" s="6"/>
      <c r="O2552" s="6"/>
      <c r="P2552" s="6"/>
      <c r="Q2552" s="6"/>
      <c r="R2552" s="6"/>
      <c r="S2552" s="6"/>
      <c r="T2552" s="6"/>
    </row>
    <row r="2553" spans="4:20" x14ac:dyDescent="0.2">
      <c r="D2553" s="6"/>
      <c r="E2553" s="6"/>
      <c r="F2553" s="6"/>
      <c r="G2553" s="19"/>
      <c r="H2553" s="19"/>
      <c r="I2553" s="19"/>
      <c r="J2553" s="19"/>
      <c r="K2553" s="6"/>
      <c r="L2553" s="6"/>
      <c r="M2553" s="6"/>
      <c r="N2553" s="6"/>
      <c r="O2553" s="6"/>
      <c r="P2553" s="6"/>
      <c r="Q2553" s="6"/>
      <c r="R2553" s="6"/>
      <c r="S2553" s="6"/>
      <c r="T2553" s="6"/>
    </row>
    <row r="2554" spans="4:20" x14ac:dyDescent="0.2">
      <c r="D2554" s="6"/>
      <c r="E2554" s="6"/>
      <c r="F2554" s="6"/>
      <c r="G2554" s="19"/>
      <c r="H2554" s="19"/>
      <c r="I2554" s="19"/>
      <c r="J2554" s="19"/>
      <c r="K2554" s="6"/>
      <c r="L2554" s="6"/>
      <c r="M2554" s="6"/>
      <c r="N2554" s="6"/>
      <c r="O2554" s="6"/>
      <c r="P2554" s="6"/>
      <c r="Q2554" s="6"/>
      <c r="R2554" s="6"/>
      <c r="S2554" s="6"/>
      <c r="T2554" s="6"/>
    </row>
    <row r="2555" spans="4:20" x14ac:dyDescent="0.2">
      <c r="D2555" s="6"/>
      <c r="E2555" s="6"/>
      <c r="F2555" s="6"/>
      <c r="G2555" s="19"/>
      <c r="H2555" s="19"/>
      <c r="I2555" s="19"/>
      <c r="J2555" s="19"/>
      <c r="K2555" s="6"/>
      <c r="L2555" s="6"/>
      <c r="M2555" s="6"/>
      <c r="N2555" s="6"/>
      <c r="O2555" s="6"/>
      <c r="P2555" s="6"/>
      <c r="Q2555" s="6"/>
      <c r="R2555" s="6"/>
      <c r="S2555" s="6"/>
      <c r="T2555" s="6"/>
    </row>
    <row r="2556" spans="4:20" x14ac:dyDescent="0.2">
      <c r="D2556" s="6"/>
      <c r="E2556" s="6"/>
      <c r="F2556" s="6"/>
      <c r="G2556" s="19"/>
      <c r="H2556" s="19"/>
      <c r="I2556" s="19"/>
      <c r="J2556" s="19"/>
      <c r="K2556" s="6"/>
      <c r="L2556" s="6"/>
      <c r="M2556" s="6"/>
      <c r="N2556" s="6"/>
      <c r="O2556" s="6"/>
      <c r="P2556" s="6"/>
      <c r="Q2556" s="6"/>
      <c r="R2556" s="6"/>
      <c r="S2556" s="6"/>
      <c r="T2556" s="6"/>
    </row>
    <row r="2557" spans="4:20" x14ac:dyDescent="0.2">
      <c r="D2557" s="6"/>
      <c r="E2557" s="6"/>
      <c r="F2557" s="6"/>
      <c r="G2557" s="19"/>
      <c r="H2557" s="19"/>
      <c r="I2557" s="19"/>
      <c r="J2557" s="19"/>
      <c r="K2557" s="6"/>
      <c r="L2557" s="6"/>
      <c r="M2557" s="6"/>
      <c r="N2557" s="6"/>
      <c r="O2557" s="6"/>
      <c r="P2557" s="6"/>
      <c r="Q2557" s="6"/>
      <c r="R2557" s="6"/>
      <c r="S2557" s="6"/>
      <c r="T2557" s="6"/>
    </row>
    <row r="2558" spans="4:20" x14ac:dyDescent="0.2">
      <c r="D2558" s="6"/>
      <c r="E2558" s="6"/>
      <c r="F2558" s="6"/>
      <c r="G2558" s="19"/>
      <c r="H2558" s="19"/>
      <c r="I2558" s="19"/>
      <c r="J2558" s="19"/>
      <c r="K2558" s="6"/>
      <c r="L2558" s="6"/>
      <c r="M2558" s="6"/>
      <c r="N2558" s="6"/>
      <c r="O2558" s="6"/>
      <c r="P2558" s="6"/>
      <c r="Q2558" s="6"/>
      <c r="R2558" s="6"/>
      <c r="S2558" s="6"/>
      <c r="T2558" s="6"/>
    </row>
    <row r="2559" spans="4:20" x14ac:dyDescent="0.2">
      <c r="D2559" s="6"/>
      <c r="E2559" s="6"/>
      <c r="F2559" s="6"/>
      <c r="G2559" s="19"/>
      <c r="H2559" s="19"/>
      <c r="I2559" s="19"/>
      <c r="J2559" s="19"/>
      <c r="K2559" s="6"/>
      <c r="L2559" s="6"/>
      <c r="M2559" s="6"/>
      <c r="N2559" s="6"/>
      <c r="O2559" s="6"/>
      <c r="P2559" s="6"/>
      <c r="Q2559" s="6"/>
      <c r="R2559" s="6"/>
      <c r="S2559" s="6"/>
      <c r="T2559" s="6"/>
    </row>
    <row r="2560" spans="4:20" x14ac:dyDescent="0.2">
      <c r="D2560" s="6"/>
      <c r="E2560" s="6"/>
      <c r="F2560" s="6"/>
      <c r="G2560" s="19"/>
      <c r="H2560" s="19"/>
      <c r="I2560" s="19"/>
      <c r="J2560" s="19"/>
      <c r="K2560" s="6"/>
      <c r="L2560" s="6"/>
      <c r="M2560" s="6"/>
      <c r="N2560" s="6"/>
      <c r="O2560" s="6"/>
      <c r="P2560" s="6"/>
      <c r="Q2560" s="6"/>
      <c r="R2560" s="6"/>
      <c r="S2560" s="6"/>
      <c r="T2560" s="6"/>
    </row>
    <row r="2561" spans="4:20" x14ac:dyDescent="0.2">
      <c r="D2561" s="6"/>
      <c r="E2561" s="6"/>
      <c r="F2561" s="6"/>
      <c r="G2561" s="19"/>
      <c r="H2561" s="19"/>
      <c r="I2561" s="19"/>
      <c r="J2561" s="19"/>
      <c r="K2561" s="6"/>
      <c r="L2561" s="6"/>
      <c r="M2561" s="6"/>
      <c r="N2561" s="6"/>
      <c r="O2561" s="6"/>
      <c r="P2561" s="6"/>
      <c r="Q2561" s="6"/>
      <c r="R2561" s="6"/>
      <c r="S2561" s="6"/>
      <c r="T2561" s="6"/>
    </row>
    <row r="2562" spans="4:20" x14ac:dyDescent="0.2">
      <c r="D2562" s="6"/>
      <c r="E2562" s="6"/>
      <c r="F2562" s="6"/>
      <c r="G2562" s="19"/>
      <c r="H2562" s="19"/>
      <c r="I2562" s="19"/>
      <c r="J2562" s="19"/>
      <c r="K2562" s="6"/>
      <c r="L2562" s="6"/>
      <c r="M2562" s="6"/>
      <c r="N2562" s="6"/>
      <c r="O2562" s="6"/>
      <c r="P2562" s="6"/>
      <c r="Q2562" s="6"/>
      <c r="R2562" s="6"/>
      <c r="S2562" s="6"/>
      <c r="T2562" s="6"/>
    </row>
    <row r="2563" spans="4:20" x14ac:dyDescent="0.2">
      <c r="D2563" s="6"/>
      <c r="E2563" s="6"/>
      <c r="F2563" s="6"/>
      <c r="G2563" s="19"/>
      <c r="H2563" s="19"/>
      <c r="I2563" s="19"/>
      <c r="J2563" s="19"/>
      <c r="K2563" s="6"/>
      <c r="L2563" s="6"/>
      <c r="M2563" s="6"/>
      <c r="N2563" s="6"/>
      <c r="O2563" s="6"/>
      <c r="P2563" s="6"/>
      <c r="Q2563" s="6"/>
      <c r="R2563" s="6"/>
      <c r="S2563" s="6"/>
      <c r="T2563" s="6"/>
    </row>
    <row r="2564" spans="4:20" x14ac:dyDescent="0.2">
      <c r="D2564" s="6"/>
      <c r="E2564" s="6"/>
      <c r="F2564" s="6"/>
      <c r="G2564" s="19"/>
      <c r="H2564" s="19"/>
      <c r="I2564" s="19"/>
      <c r="J2564" s="19"/>
      <c r="K2564" s="6"/>
      <c r="L2564" s="6"/>
      <c r="M2564" s="6"/>
      <c r="N2564" s="6"/>
      <c r="O2564" s="6"/>
      <c r="P2564" s="6"/>
      <c r="Q2564" s="6"/>
      <c r="R2564" s="6"/>
      <c r="S2564" s="6"/>
      <c r="T2564" s="6"/>
    </row>
    <row r="2565" spans="4:20" x14ac:dyDescent="0.2">
      <c r="D2565" s="6"/>
      <c r="E2565" s="6"/>
      <c r="F2565" s="6"/>
      <c r="G2565" s="19"/>
      <c r="H2565" s="19"/>
      <c r="I2565" s="19"/>
      <c r="J2565" s="19"/>
      <c r="K2565" s="6"/>
      <c r="L2565" s="6"/>
      <c r="M2565" s="6"/>
      <c r="N2565" s="6"/>
      <c r="O2565" s="6"/>
      <c r="P2565" s="6"/>
      <c r="Q2565" s="6"/>
      <c r="R2565" s="6"/>
      <c r="S2565" s="6"/>
      <c r="T2565" s="6"/>
    </row>
    <row r="2566" spans="4:20" x14ac:dyDescent="0.2">
      <c r="D2566" s="6"/>
      <c r="E2566" s="6"/>
      <c r="F2566" s="6"/>
      <c r="G2566" s="19"/>
      <c r="H2566" s="19"/>
      <c r="I2566" s="19"/>
      <c r="J2566" s="19"/>
      <c r="K2566" s="6"/>
      <c r="L2566" s="6"/>
      <c r="M2566" s="6"/>
      <c r="N2566" s="6"/>
      <c r="O2566" s="6"/>
      <c r="P2566" s="6"/>
      <c r="Q2566" s="6"/>
      <c r="R2566" s="6"/>
      <c r="S2566" s="6"/>
      <c r="T2566" s="6"/>
    </row>
    <row r="2567" spans="4:20" x14ac:dyDescent="0.2">
      <c r="D2567" s="6"/>
      <c r="E2567" s="6"/>
      <c r="F2567" s="6"/>
      <c r="G2567" s="19"/>
      <c r="H2567" s="19"/>
      <c r="I2567" s="19"/>
      <c r="J2567" s="19"/>
      <c r="K2567" s="6"/>
      <c r="L2567" s="6"/>
      <c r="M2567" s="6"/>
      <c r="N2567" s="6"/>
      <c r="O2567" s="6"/>
      <c r="P2567" s="6"/>
      <c r="Q2567" s="6"/>
      <c r="R2567" s="6"/>
      <c r="S2567" s="6"/>
      <c r="T2567" s="6"/>
    </row>
    <row r="2568" spans="4:20" x14ac:dyDescent="0.2">
      <c r="D2568" s="6"/>
      <c r="E2568" s="6"/>
      <c r="F2568" s="6"/>
      <c r="G2568" s="19"/>
      <c r="H2568" s="19"/>
      <c r="I2568" s="19"/>
      <c r="J2568" s="19"/>
      <c r="K2568" s="6"/>
      <c r="L2568" s="6"/>
      <c r="M2568" s="6"/>
      <c r="N2568" s="6"/>
      <c r="O2568" s="6"/>
      <c r="P2568" s="6"/>
      <c r="Q2568" s="6"/>
      <c r="R2568" s="6"/>
      <c r="S2568" s="6"/>
      <c r="T2568" s="6"/>
    </row>
    <row r="2569" spans="4:20" x14ac:dyDescent="0.2">
      <c r="D2569" s="6"/>
      <c r="E2569" s="6"/>
      <c r="F2569" s="6"/>
      <c r="G2569" s="19"/>
      <c r="H2569" s="19"/>
      <c r="I2569" s="19"/>
      <c r="J2569" s="19"/>
      <c r="K2569" s="6"/>
      <c r="L2569" s="6"/>
      <c r="M2569" s="6"/>
      <c r="N2569" s="6"/>
      <c r="O2569" s="6"/>
      <c r="P2569" s="6"/>
      <c r="Q2569" s="6"/>
      <c r="R2569" s="6"/>
      <c r="S2569" s="6"/>
      <c r="T2569" s="6"/>
    </row>
    <row r="2570" spans="4:20" x14ac:dyDescent="0.2">
      <c r="D2570" s="6"/>
      <c r="E2570" s="6"/>
      <c r="F2570" s="6"/>
      <c r="G2570" s="19"/>
      <c r="H2570" s="19"/>
      <c r="I2570" s="19"/>
      <c r="J2570" s="19"/>
      <c r="K2570" s="6"/>
      <c r="L2570" s="6"/>
      <c r="M2570" s="6"/>
      <c r="N2570" s="6"/>
      <c r="O2570" s="6"/>
      <c r="P2570" s="6"/>
      <c r="Q2570" s="6"/>
      <c r="R2570" s="6"/>
      <c r="S2570" s="6"/>
      <c r="T2570" s="6"/>
    </row>
    <row r="2571" spans="4:20" x14ac:dyDescent="0.2">
      <c r="D2571" s="6"/>
      <c r="E2571" s="6"/>
      <c r="F2571" s="6"/>
      <c r="G2571" s="19"/>
      <c r="H2571" s="19"/>
      <c r="I2571" s="19"/>
      <c r="J2571" s="19"/>
      <c r="K2571" s="6"/>
      <c r="L2571" s="6"/>
      <c r="M2571" s="6"/>
      <c r="N2571" s="6"/>
      <c r="O2571" s="6"/>
      <c r="P2571" s="6"/>
      <c r="Q2571" s="6"/>
      <c r="R2571" s="6"/>
      <c r="S2571" s="6"/>
      <c r="T2571" s="6"/>
    </row>
    <row r="2572" spans="4:20" x14ac:dyDescent="0.2">
      <c r="D2572" s="6"/>
      <c r="E2572" s="6"/>
      <c r="F2572" s="6"/>
      <c r="G2572" s="19"/>
      <c r="H2572" s="19"/>
      <c r="I2572" s="19"/>
      <c r="J2572" s="19"/>
      <c r="K2572" s="6"/>
      <c r="L2572" s="6"/>
      <c r="M2572" s="6"/>
      <c r="N2572" s="6"/>
      <c r="O2572" s="6"/>
      <c r="P2572" s="6"/>
      <c r="Q2572" s="6"/>
      <c r="R2572" s="6"/>
      <c r="S2572" s="6"/>
      <c r="T2572" s="6"/>
    </row>
    <row r="2573" spans="4:20" x14ac:dyDescent="0.2">
      <c r="D2573" s="6"/>
      <c r="E2573" s="6"/>
      <c r="F2573" s="6"/>
      <c r="G2573" s="19"/>
      <c r="H2573" s="19"/>
      <c r="I2573" s="19"/>
      <c r="J2573" s="19"/>
      <c r="K2573" s="6"/>
      <c r="L2573" s="6"/>
      <c r="M2573" s="6"/>
      <c r="N2573" s="6"/>
      <c r="O2573" s="6"/>
      <c r="P2573" s="6"/>
      <c r="Q2573" s="6"/>
      <c r="R2573" s="6"/>
      <c r="S2573" s="6"/>
      <c r="T2573" s="6"/>
    </row>
    <row r="2574" spans="4:20" x14ac:dyDescent="0.2">
      <c r="D2574" s="6"/>
      <c r="E2574" s="6"/>
      <c r="F2574" s="6"/>
      <c r="G2574" s="19"/>
      <c r="H2574" s="19"/>
      <c r="I2574" s="19"/>
      <c r="J2574" s="19"/>
      <c r="K2574" s="6"/>
      <c r="L2574" s="6"/>
      <c r="M2574" s="6"/>
      <c r="N2574" s="6"/>
      <c r="O2574" s="6"/>
      <c r="P2574" s="6"/>
      <c r="Q2574" s="6"/>
      <c r="R2574" s="6"/>
      <c r="S2574" s="6"/>
      <c r="T2574" s="6"/>
    </row>
    <row r="2575" spans="4:20" x14ac:dyDescent="0.2">
      <c r="D2575" s="6"/>
      <c r="E2575" s="6"/>
      <c r="F2575" s="6"/>
      <c r="G2575" s="19"/>
      <c r="H2575" s="19"/>
      <c r="I2575" s="19"/>
      <c r="J2575" s="19"/>
      <c r="K2575" s="6"/>
      <c r="L2575" s="6"/>
      <c r="M2575" s="6"/>
      <c r="N2575" s="6"/>
      <c r="O2575" s="6"/>
      <c r="P2575" s="6"/>
      <c r="Q2575" s="6"/>
      <c r="R2575" s="6"/>
      <c r="S2575" s="6"/>
      <c r="T2575" s="6"/>
    </row>
    <row r="2576" spans="4:20" x14ac:dyDescent="0.2">
      <c r="D2576" s="6"/>
      <c r="E2576" s="6"/>
      <c r="F2576" s="6"/>
      <c r="G2576" s="19"/>
      <c r="H2576" s="19"/>
      <c r="I2576" s="19"/>
      <c r="J2576" s="19"/>
      <c r="K2576" s="6"/>
      <c r="L2576" s="6"/>
      <c r="M2576" s="6"/>
      <c r="N2576" s="6"/>
      <c r="O2576" s="6"/>
      <c r="P2576" s="6"/>
      <c r="Q2576" s="6"/>
      <c r="R2576" s="6"/>
      <c r="S2576" s="6"/>
      <c r="T2576" s="6"/>
    </row>
    <row r="2577" spans="4:20" x14ac:dyDescent="0.2">
      <c r="D2577" s="6"/>
      <c r="E2577" s="6"/>
      <c r="F2577" s="6"/>
      <c r="G2577" s="19"/>
      <c r="H2577" s="19"/>
      <c r="I2577" s="19"/>
      <c r="J2577" s="19"/>
      <c r="K2577" s="6"/>
      <c r="L2577" s="6"/>
      <c r="M2577" s="6"/>
      <c r="N2577" s="6"/>
      <c r="O2577" s="6"/>
      <c r="P2577" s="6"/>
      <c r="Q2577" s="6"/>
      <c r="R2577" s="6"/>
      <c r="S2577" s="6"/>
      <c r="T2577" s="6"/>
    </row>
    <row r="2578" spans="4:20" x14ac:dyDescent="0.2">
      <c r="D2578" s="6"/>
      <c r="E2578" s="6"/>
      <c r="F2578" s="6"/>
      <c r="G2578" s="19"/>
      <c r="H2578" s="19"/>
      <c r="I2578" s="19"/>
      <c r="J2578" s="19"/>
      <c r="K2578" s="6"/>
      <c r="L2578" s="6"/>
      <c r="M2578" s="6"/>
      <c r="N2578" s="6"/>
      <c r="O2578" s="6"/>
      <c r="P2578" s="6"/>
      <c r="Q2578" s="6"/>
      <c r="R2578" s="6"/>
      <c r="S2578" s="6"/>
      <c r="T2578" s="6"/>
    </row>
    <row r="2579" spans="4:20" x14ac:dyDescent="0.2">
      <c r="D2579" s="6"/>
      <c r="E2579" s="6"/>
      <c r="F2579" s="6"/>
      <c r="G2579" s="19"/>
      <c r="H2579" s="19"/>
      <c r="I2579" s="19"/>
      <c r="J2579" s="19"/>
      <c r="K2579" s="6"/>
      <c r="L2579" s="6"/>
      <c r="M2579" s="6"/>
      <c r="N2579" s="6"/>
      <c r="O2579" s="6"/>
      <c r="P2579" s="6"/>
      <c r="Q2579" s="6"/>
      <c r="R2579" s="6"/>
      <c r="S2579" s="6"/>
      <c r="T2579" s="6"/>
    </row>
    <row r="2580" spans="4:20" x14ac:dyDescent="0.2">
      <c r="D2580" s="6"/>
      <c r="E2580" s="6"/>
      <c r="F2580" s="6"/>
      <c r="G2580" s="19"/>
      <c r="H2580" s="19"/>
      <c r="I2580" s="19"/>
      <c r="J2580" s="19"/>
      <c r="K2580" s="6"/>
      <c r="L2580" s="6"/>
      <c r="M2580" s="6"/>
      <c r="N2580" s="6"/>
      <c r="O2580" s="6"/>
      <c r="P2580" s="6"/>
      <c r="Q2580" s="6"/>
      <c r="R2580" s="6"/>
      <c r="S2580" s="6"/>
      <c r="T2580" s="6"/>
    </row>
    <row r="2581" spans="4:20" x14ac:dyDescent="0.2">
      <c r="D2581" s="6"/>
      <c r="E2581" s="6"/>
      <c r="F2581" s="6"/>
      <c r="G2581" s="19"/>
      <c r="H2581" s="19"/>
      <c r="I2581" s="19"/>
      <c r="J2581" s="19"/>
      <c r="K2581" s="6"/>
      <c r="L2581" s="6"/>
      <c r="M2581" s="6"/>
      <c r="N2581" s="6"/>
      <c r="O2581" s="6"/>
      <c r="P2581" s="6"/>
      <c r="Q2581" s="6"/>
      <c r="R2581" s="6"/>
      <c r="S2581" s="6"/>
      <c r="T2581" s="6"/>
    </row>
    <row r="2582" spans="4:20" x14ac:dyDescent="0.2">
      <c r="D2582" s="6"/>
      <c r="E2582" s="6"/>
      <c r="F2582" s="6"/>
      <c r="G2582" s="19"/>
      <c r="H2582" s="19"/>
      <c r="I2582" s="19"/>
      <c r="J2582" s="19"/>
      <c r="K2582" s="6"/>
      <c r="L2582" s="6"/>
      <c r="M2582" s="6"/>
      <c r="N2582" s="6"/>
      <c r="O2582" s="6"/>
      <c r="P2582" s="6"/>
      <c r="Q2582" s="6"/>
      <c r="R2582" s="6"/>
      <c r="S2582" s="6"/>
      <c r="T2582" s="6"/>
    </row>
    <row r="2583" spans="4:20" x14ac:dyDescent="0.2">
      <c r="D2583" s="6"/>
      <c r="E2583" s="6"/>
      <c r="F2583" s="6"/>
      <c r="G2583" s="19"/>
      <c r="H2583" s="19"/>
      <c r="I2583" s="19"/>
      <c r="J2583" s="19"/>
      <c r="K2583" s="6"/>
      <c r="L2583" s="6"/>
      <c r="M2583" s="6"/>
      <c r="N2583" s="6"/>
      <c r="O2583" s="6"/>
      <c r="P2583" s="6"/>
      <c r="Q2583" s="6"/>
      <c r="R2583" s="6"/>
      <c r="S2583" s="6"/>
      <c r="T2583" s="6"/>
    </row>
    <row r="2584" spans="4:20" x14ac:dyDescent="0.2">
      <c r="D2584" s="6"/>
      <c r="E2584" s="6"/>
      <c r="F2584" s="6"/>
      <c r="G2584" s="19"/>
      <c r="H2584" s="19"/>
      <c r="I2584" s="19"/>
      <c r="J2584" s="19"/>
      <c r="K2584" s="6"/>
      <c r="L2584" s="6"/>
      <c r="M2584" s="6"/>
      <c r="N2584" s="6"/>
      <c r="O2584" s="6"/>
      <c r="P2584" s="6"/>
      <c r="Q2584" s="6"/>
      <c r="R2584" s="6"/>
      <c r="S2584" s="6"/>
      <c r="T2584" s="6"/>
    </row>
    <row r="2585" spans="4:20" x14ac:dyDescent="0.2">
      <c r="D2585" s="6"/>
      <c r="E2585" s="6"/>
      <c r="F2585" s="6"/>
      <c r="G2585" s="19"/>
      <c r="H2585" s="19"/>
      <c r="I2585" s="19"/>
      <c r="J2585" s="19"/>
      <c r="K2585" s="6"/>
      <c r="L2585" s="6"/>
      <c r="M2585" s="6"/>
      <c r="N2585" s="6"/>
      <c r="O2585" s="6"/>
      <c r="P2585" s="6"/>
      <c r="Q2585" s="6"/>
      <c r="R2585" s="6"/>
      <c r="S2585" s="6"/>
      <c r="T2585" s="6"/>
    </row>
    <row r="2586" spans="4:20" x14ac:dyDescent="0.2">
      <c r="D2586" s="6"/>
      <c r="E2586" s="6"/>
      <c r="F2586" s="6"/>
      <c r="G2586" s="19"/>
      <c r="H2586" s="19"/>
      <c r="I2586" s="19"/>
      <c r="J2586" s="19"/>
      <c r="K2586" s="6"/>
      <c r="L2586" s="6"/>
      <c r="M2586" s="6"/>
      <c r="N2586" s="6"/>
      <c r="O2586" s="6"/>
      <c r="P2586" s="6"/>
      <c r="Q2586" s="6"/>
      <c r="R2586" s="6"/>
      <c r="S2586" s="6"/>
      <c r="T2586" s="6"/>
    </row>
    <row r="2587" spans="4:20" x14ac:dyDescent="0.2">
      <c r="D2587" s="6"/>
      <c r="E2587" s="6"/>
      <c r="F2587" s="6"/>
      <c r="G2587" s="19"/>
      <c r="H2587" s="19"/>
      <c r="I2587" s="19"/>
      <c r="J2587" s="19"/>
      <c r="K2587" s="6"/>
      <c r="L2587" s="6"/>
      <c r="M2587" s="6"/>
      <c r="N2587" s="6"/>
      <c r="O2587" s="6"/>
      <c r="P2587" s="6"/>
      <c r="Q2587" s="6"/>
      <c r="R2587" s="6"/>
      <c r="S2587" s="6"/>
      <c r="T2587" s="6"/>
    </row>
    <row r="2588" spans="4:20" x14ac:dyDescent="0.2">
      <c r="D2588" s="6"/>
      <c r="E2588" s="6"/>
      <c r="F2588" s="6"/>
      <c r="G2588" s="19"/>
      <c r="H2588" s="19"/>
      <c r="I2588" s="19"/>
      <c r="J2588" s="19"/>
      <c r="K2588" s="6"/>
      <c r="L2588" s="6"/>
      <c r="M2588" s="6"/>
      <c r="N2588" s="6"/>
      <c r="O2588" s="6"/>
      <c r="P2588" s="6"/>
      <c r="Q2588" s="6"/>
      <c r="R2588" s="6"/>
      <c r="S2588" s="6"/>
      <c r="T2588" s="6"/>
    </row>
    <row r="2589" spans="4:20" x14ac:dyDescent="0.2">
      <c r="D2589" s="6"/>
      <c r="E2589" s="6"/>
      <c r="F2589" s="6"/>
      <c r="G2589" s="19"/>
      <c r="H2589" s="19"/>
      <c r="I2589" s="19"/>
      <c r="J2589" s="19"/>
      <c r="K2589" s="6"/>
      <c r="L2589" s="6"/>
      <c r="M2589" s="6"/>
      <c r="N2589" s="6"/>
      <c r="O2589" s="6"/>
      <c r="P2589" s="6"/>
      <c r="Q2589" s="6"/>
      <c r="R2589" s="6"/>
      <c r="S2589" s="6"/>
      <c r="T2589" s="6"/>
    </row>
    <row r="2590" spans="4:20" x14ac:dyDescent="0.2">
      <c r="D2590" s="6"/>
      <c r="E2590" s="6"/>
      <c r="F2590" s="6"/>
      <c r="G2590" s="19"/>
      <c r="H2590" s="19"/>
      <c r="I2590" s="19"/>
      <c r="J2590" s="19"/>
      <c r="K2590" s="6"/>
      <c r="L2590" s="6"/>
      <c r="M2590" s="6"/>
      <c r="N2590" s="6"/>
      <c r="O2590" s="6"/>
      <c r="P2590" s="6"/>
      <c r="Q2590" s="6"/>
      <c r="R2590" s="6"/>
      <c r="S2590" s="6"/>
      <c r="T2590" s="6"/>
    </row>
    <row r="2591" spans="4:20" x14ac:dyDescent="0.2">
      <c r="D2591" s="6"/>
      <c r="E2591" s="6"/>
      <c r="F2591" s="6"/>
      <c r="G2591" s="19"/>
      <c r="H2591" s="19"/>
      <c r="I2591" s="19"/>
      <c r="J2591" s="19"/>
      <c r="K2591" s="6"/>
      <c r="L2591" s="6"/>
      <c r="M2591" s="6"/>
      <c r="N2591" s="6"/>
      <c r="O2591" s="6"/>
      <c r="P2591" s="6"/>
      <c r="Q2591" s="6"/>
      <c r="R2591" s="6"/>
      <c r="S2591" s="6"/>
      <c r="T2591" s="6"/>
    </row>
    <row r="2592" spans="4:20" x14ac:dyDescent="0.2">
      <c r="D2592" s="6"/>
      <c r="E2592" s="6"/>
      <c r="F2592" s="6"/>
      <c r="G2592" s="19"/>
      <c r="H2592" s="19"/>
      <c r="I2592" s="19"/>
      <c r="J2592" s="19"/>
      <c r="K2592" s="6"/>
      <c r="L2592" s="6"/>
      <c r="M2592" s="6"/>
      <c r="N2592" s="6"/>
      <c r="O2592" s="6"/>
      <c r="P2592" s="6"/>
      <c r="Q2592" s="6"/>
      <c r="R2592" s="6"/>
      <c r="S2592" s="6"/>
      <c r="T2592" s="6"/>
    </row>
    <row r="2593" spans="4:20" x14ac:dyDescent="0.2">
      <c r="D2593" s="6"/>
      <c r="E2593" s="6"/>
      <c r="F2593" s="6"/>
      <c r="G2593" s="19"/>
      <c r="H2593" s="19"/>
      <c r="I2593" s="19"/>
      <c r="J2593" s="19"/>
      <c r="K2593" s="6"/>
      <c r="L2593" s="6"/>
      <c r="M2593" s="6"/>
      <c r="N2593" s="6"/>
      <c r="O2593" s="6"/>
      <c r="P2593" s="6"/>
      <c r="Q2593" s="6"/>
      <c r="R2593" s="6"/>
      <c r="S2593" s="6"/>
      <c r="T2593" s="6"/>
    </row>
    <row r="2594" spans="4:20" x14ac:dyDescent="0.2">
      <c r="D2594" s="6"/>
      <c r="E2594" s="6"/>
      <c r="F2594" s="6"/>
      <c r="G2594" s="19"/>
      <c r="H2594" s="19"/>
      <c r="I2594" s="19"/>
      <c r="J2594" s="19"/>
      <c r="K2594" s="6"/>
      <c r="L2594" s="6"/>
      <c r="M2594" s="6"/>
      <c r="N2594" s="6"/>
      <c r="O2594" s="6"/>
      <c r="P2594" s="6"/>
      <c r="Q2594" s="6"/>
      <c r="R2594" s="6"/>
      <c r="S2594" s="6"/>
      <c r="T2594" s="6"/>
    </row>
    <row r="2595" spans="4:20" x14ac:dyDescent="0.2">
      <c r="D2595" s="6"/>
      <c r="E2595" s="6"/>
      <c r="F2595" s="6"/>
      <c r="G2595" s="19"/>
      <c r="H2595" s="19"/>
      <c r="I2595" s="19"/>
      <c r="J2595" s="19"/>
      <c r="K2595" s="6"/>
      <c r="L2595" s="6"/>
      <c r="M2595" s="6"/>
      <c r="N2595" s="6"/>
      <c r="O2595" s="6"/>
      <c r="P2595" s="6"/>
      <c r="Q2595" s="6"/>
      <c r="R2595" s="6"/>
      <c r="S2595" s="6"/>
      <c r="T2595" s="6"/>
    </row>
    <row r="2596" spans="4:20" x14ac:dyDescent="0.2">
      <c r="D2596" s="6"/>
      <c r="E2596" s="6"/>
      <c r="F2596" s="6"/>
      <c r="G2596" s="19"/>
      <c r="H2596" s="19"/>
      <c r="I2596" s="19"/>
      <c r="J2596" s="19"/>
      <c r="K2596" s="6"/>
      <c r="L2596" s="6"/>
      <c r="M2596" s="6"/>
      <c r="N2596" s="6"/>
      <c r="O2596" s="6"/>
      <c r="P2596" s="6"/>
      <c r="Q2596" s="6"/>
      <c r="R2596" s="6"/>
      <c r="S2596" s="6"/>
      <c r="T2596" s="6"/>
    </row>
    <row r="2597" spans="4:20" x14ac:dyDescent="0.2">
      <c r="D2597" s="6"/>
      <c r="E2597" s="6"/>
      <c r="F2597" s="6"/>
      <c r="G2597" s="19"/>
      <c r="H2597" s="19"/>
      <c r="I2597" s="19"/>
      <c r="J2597" s="19"/>
      <c r="K2597" s="6"/>
      <c r="L2597" s="6"/>
      <c r="M2597" s="6"/>
      <c r="N2597" s="6"/>
      <c r="O2597" s="6"/>
      <c r="P2597" s="6"/>
      <c r="Q2597" s="6"/>
      <c r="R2597" s="6"/>
      <c r="S2597" s="6"/>
      <c r="T2597" s="6"/>
    </row>
    <row r="2598" spans="4:20" x14ac:dyDescent="0.2">
      <c r="D2598" s="6"/>
      <c r="E2598" s="6"/>
      <c r="F2598" s="6"/>
      <c r="G2598" s="19"/>
      <c r="H2598" s="19"/>
      <c r="I2598" s="19"/>
      <c r="J2598" s="19"/>
      <c r="K2598" s="6"/>
      <c r="L2598" s="6"/>
      <c r="M2598" s="6"/>
      <c r="N2598" s="6"/>
      <c r="O2598" s="6"/>
      <c r="P2598" s="6"/>
      <c r="Q2598" s="6"/>
      <c r="R2598" s="6"/>
      <c r="S2598" s="6"/>
      <c r="T2598" s="6"/>
    </row>
    <row r="2599" spans="4:20" x14ac:dyDescent="0.2">
      <c r="D2599" s="6"/>
      <c r="E2599" s="6"/>
      <c r="F2599" s="6"/>
      <c r="G2599" s="19"/>
      <c r="H2599" s="19"/>
      <c r="I2599" s="19"/>
      <c r="J2599" s="19"/>
      <c r="K2599" s="6"/>
      <c r="L2599" s="6"/>
      <c r="M2599" s="6"/>
      <c r="N2599" s="6"/>
      <c r="O2599" s="6"/>
      <c r="P2599" s="6"/>
      <c r="Q2599" s="6"/>
      <c r="R2599" s="6"/>
      <c r="S2599" s="6"/>
      <c r="T2599" s="6"/>
    </row>
    <row r="2600" spans="4:20" x14ac:dyDescent="0.2">
      <c r="D2600" s="6"/>
      <c r="E2600" s="6"/>
      <c r="F2600" s="6"/>
      <c r="G2600" s="19"/>
      <c r="H2600" s="19"/>
      <c r="I2600" s="19"/>
      <c r="J2600" s="19"/>
      <c r="K2600" s="6"/>
      <c r="L2600" s="6"/>
      <c r="M2600" s="6"/>
      <c r="N2600" s="6"/>
      <c r="O2600" s="6"/>
      <c r="P2600" s="6"/>
      <c r="Q2600" s="6"/>
      <c r="R2600" s="6"/>
      <c r="S2600" s="6"/>
      <c r="T2600" s="6"/>
    </row>
    <row r="2601" spans="4:20" x14ac:dyDescent="0.2">
      <c r="D2601" s="6"/>
      <c r="E2601" s="6"/>
      <c r="F2601" s="6"/>
      <c r="G2601" s="19"/>
      <c r="H2601" s="19"/>
      <c r="I2601" s="19"/>
      <c r="J2601" s="19"/>
      <c r="K2601" s="6"/>
      <c r="L2601" s="6"/>
      <c r="M2601" s="6"/>
      <c r="N2601" s="6"/>
      <c r="O2601" s="6"/>
      <c r="P2601" s="6"/>
      <c r="Q2601" s="6"/>
      <c r="R2601" s="6"/>
      <c r="S2601" s="6"/>
      <c r="T2601" s="6"/>
    </row>
    <row r="2602" spans="4:20" x14ac:dyDescent="0.2">
      <c r="D2602" s="6"/>
      <c r="E2602" s="6"/>
      <c r="F2602" s="6"/>
      <c r="G2602" s="19"/>
      <c r="H2602" s="19"/>
      <c r="I2602" s="19"/>
      <c r="J2602" s="19"/>
      <c r="K2602" s="6"/>
      <c r="L2602" s="6"/>
      <c r="M2602" s="6"/>
      <c r="N2602" s="6"/>
      <c r="O2602" s="6"/>
      <c r="P2602" s="6"/>
      <c r="Q2602" s="6"/>
      <c r="R2602" s="6"/>
      <c r="S2602" s="6"/>
      <c r="T2602" s="6"/>
    </row>
    <row r="2603" spans="4:20" x14ac:dyDescent="0.2">
      <c r="D2603" s="6"/>
      <c r="E2603" s="6"/>
      <c r="F2603" s="6"/>
      <c r="G2603" s="19"/>
      <c r="H2603" s="19"/>
      <c r="I2603" s="19"/>
      <c r="J2603" s="19"/>
      <c r="K2603" s="6"/>
      <c r="L2603" s="6"/>
      <c r="M2603" s="6"/>
      <c r="N2603" s="6"/>
      <c r="O2603" s="6"/>
      <c r="P2603" s="6"/>
      <c r="Q2603" s="6"/>
      <c r="R2603" s="6"/>
      <c r="S2603" s="6"/>
      <c r="T2603" s="6"/>
    </row>
    <row r="2604" spans="4:20" x14ac:dyDescent="0.2">
      <c r="D2604" s="6"/>
      <c r="E2604" s="6"/>
      <c r="F2604" s="6"/>
      <c r="G2604" s="19"/>
      <c r="H2604" s="19"/>
      <c r="I2604" s="19"/>
      <c r="J2604" s="19"/>
      <c r="K2604" s="6"/>
      <c r="L2604" s="6"/>
      <c r="M2604" s="6"/>
      <c r="N2604" s="6"/>
      <c r="O2604" s="6"/>
      <c r="P2604" s="6"/>
      <c r="Q2604" s="6"/>
      <c r="R2604" s="6"/>
      <c r="S2604" s="6"/>
      <c r="T2604" s="6"/>
    </row>
    <row r="2605" spans="4:20" x14ac:dyDescent="0.2">
      <c r="D2605" s="6"/>
      <c r="E2605" s="6"/>
      <c r="F2605" s="6"/>
      <c r="G2605" s="19"/>
      <c r="H2605" s="19"/>
      <c r="I2605" s="19"/>
      <c r="J2605" s="19"/>
      <c r="K2605" s="6"/>
      <c r="L2605" s="6"/>
      <c r="M2605" s="6"/>
      <c r="N2605" s="6"/>
      <c r="O2605" s="6"/>
      <c r="P2605" s="6"/>
      <c r="Q2605" s="6"/>
      <c r="R2605" s="6"/>
      <c r="S2605" s="6"/>
      <c r="T2605" s="6"/>
    </row>
    <row r="2606" spans="4:20" x14ac:dyDescent="0.2">
      <c r="D2606" s="6"/>
      <c r="E2606" s="6"/>
      <c r="F2606" s="6"/>
      <c r="G2606" s="19"/>
      <c r="H2606" s="19"/>
      <c r="I2606" s="19"/>
      <c r="J2606" s="19"/>
      <c r="K2606" s="6"/>
      <c r="L2606" s="6"/>
      <c r="M2606" s="6"/>
      <c r="N2606" s="6"/>
      <c r="O2606" s="6"/>
      <c r="P2606" s="6"/>
      <c r="Q2606" s="6"/>
      <c r="R2606" s="6"/>
      <c r="S2606" s="6"/>
      <c r="T2606" s="6"/>
    </row>
    <row r="2607" spans="4:20" x14ac:dyDescent="0.2">
      <c r="D2607" s="6"/>
      <c r="E2607" s="6"/>
      <c r="F2607" s="6"/>
      <c r="G2607" s="19"/>
      <c r="H2607" s="19"/>
      <c r="I2607" s="19"/>
      <c r="J2607" s="19"/>
      <c r="K2607" s="6"/>
      <c r="L2607" s="6"/>
      <c r="M2607" s="6"/>
      <c r="N2607" s="6"/>
      <c r="O2607" s="6"/>
      <c r="P2607" s="6"/>
      <c r="Q2607" s="6"/>
      <c r="R2607" s="6"/>
      <c r="S2607" s="6"/>
      <c r="T2607" s="6"/>
    </row>
    <row r="2608" spans="4:20" x14ac:dyDescent="0.2">
      <c r="D2608" s="6"/>
      <c r="E2608" s="6"/>
      <c r="F2608" s="6"/>
      <c r="G2608" s="19"/>
      <c r="H2608" s="19"/>
      <c r="I2608" s="19"/>
      <c r="J2608" s="19"/>
      <c r="K2608" s="6"/>
      <c r="L2608" s="6"/>
      <c r="M2608" s="6"/>
      <c r="N2608" s="6"/>
      <c r="O2608" s="6"/>
      <c r="P2608" s="6"/>
      <c r="Q2608" s="6"/>
      <c r="R2608" s="6"/>
      <c r="S2608" s="6"/>
      <c r="T2608" s="6"/>
    </row>
    <row r="2609" spans="4:20" x14ac:dyDescent="0.2">
      <c r="D2609" s="6"/>
      <c r="E2609" s="6"/>
      <c r="F2609" s="6"/>
      <c r="G2609" s="19"/>
      <c r="H2609" s="19"/>
      <c r="I2609" s="19"/>
      <c r="J2609" s="19"/>
      <c r="K2609" s="6"/>
      <c r="L2609" s="6"/>
      <c r="M2609" s="6"/>
      <c r="N2609" s="6"/>
      <c r="O2609" s="6"/>
      <c r="P2609" s="6"/>
      <c r="Q2609" s="6"/>
      <c r="R2609" s="6"/>
      <c r="S2609" s="6"/>
      <c r="T2609" s="6"/>
    </row>
    <row r="2610" spans="4:20" x14ac:dyDescent="0.2">
      <c r="D2610" s="6"/>
      <c r="E2610" s="6"/>
      <c r="F2610" s="6"/>
      <c r="G2610" s="19"/>
      <c r="H2610" s="19"/>
      <c r="I2610" s="19"/>
      <c r="J2610" s="19"/>
      <c r="K2610" s="6"/>
      <c r="L2610" s="6"/>
      <c r="M2610" s="6"/>
      <c r="N2610" s="6"/>
      <c r="O2610" s="6"/>
      <c r="P2610" s="6"/>
      <c r="Q2610" s="6"/>
      <c r="R2610" s="6"/>
      <c r="S2610" s="6"/>
      <c r="T2610" s="6"/>
    </row>
    <row r="2611" spans="4:20" x14ac:dyDescent="0.2">
      <c r="D2611" s="6"/>
      <c r="E2611" s="6"/>
      <c r="F2611" s="6"/>
      <c r="G2611" s="19"/>
      <c r="H2611" s="19"/>
      <c r="I2611" s="19"/>
      <c r="J2611" s="19"/>
      <c r="K2611" s="6"/>
      <c r="L2611" s="6"/>
      <c r="M2611" s="6"/>
      <c r="N2611" s="6"/>
      <c r="O2611" s="6"/>
      <c r="P2611" s="6"/>
      <c r="Q2611" s="6"/>
      <c r="R2611" s="6"/>
      <c r="S2611" s="6"/>
      <c r="T2611" s="6"/>
    </row>
    <row r="2612" spans="4:20" x14ac:dyDescent="0.2">
      <c r="D2612" s="6"/>
      <c r="E2612" s="6"/>
      <c r="F2612" s="6"/>
      <c r="G2612" s="19"/>
      <c r="H2612" s="19"/>
      <c r="I2612" s="19"/>
      <c r="J2612" s="19"/>
      <c r="K2612" s="6"/>
      <c r="L2612" s="6"/>
      <c r="M2612" s="6"/>
      <c r="N2612" s="6"/>
      <c r="O2612" s="6"/>
      <c r="P2612" s="6"/>
      <c r="Q2612" s="6"/>
      <c r="R2612" s="6"/>
      <c r="S2612" s="6"/>
      <c r="T2612" s="6"/>
    </row>
    <row r="2613" spans="4:20" x14ac:dyDescent="0.2">
      <c r="D2613" s="6"/>
      <c r="E2613" s="6"/>
      <c r="F2613" s="6"/>
      <c r="G2613" s="19"/>
      <c r="H2613" s="19"/>
      <c r="I2613" s="19"/>
      <c r="J2613" s="19"/>
      <c r="K2613" s="6"/>
      <c r="L2613" s="6"/>
      <c r="M2613" s="6"/>
      <c r="N2613" s="6"/>
      <c r="O2613" s="6"/>
      <c r="P2613" s="6"/>
      <c r="Q2613" s="6"/>
      <c r="R2613" s="6"/>
      <c r="S2613" s="6"/>
      <c r="T2613" s="6"/>
    </row>
    <row r="2614" spans="4:20" x14ac:dyDescent="0.2">
      <c r="D2614" s="6"/>
      <c r="E2614" s="6"/>
      <c r="F2614" s="6"/>
      <c r="G2614" s="19"/>
      <c r="H2614" s="19"/>
      <c r="I2614" s="19"/>
      <c r="J2614" s="19"/>
      <c r="K2614" s="6"/>
      <c r="L2614" s="6"/>
      <c r="M2614" s="6"/>
      <c r="N2614" s="6"/>
      <c r="O2614" s="6"/>
      <c r="P2614" s="6"/>
      <c r="Q2614" s="6"/>
      <c r="R2614" s="6"/>
      <c r="S2614" s="6"/>
      <c r="T2614" s="6"/>
    </row>
    <row r="2615" spans="4:20" x14ac:dyDescent="0.2">
      <c r="D2615" s="6"/>
      <c r="E2615" s="6"/>
      <c r="F2615" s="6"/>
      <c r="G2615" s="19"/>
      <c r="H2615" s="19"/>
      <c r="I2615" s="19"/>
      <c r="J2615" s="19"/>
      <c r="K2615" s="6"/>
      <c r="L2615" s="6"/>
      <c r="M2615" s="6"/>
      <c r="N2615" s="6"/>
      <c r="O2615" s="6"/>
      <c r="P2615" s="6"/>
      <c r="Q2615" s="6"/>
      <c r="R2615" s="6"/>
      <c r="S2615" s="6"/>
      <c r="T2615" s="6"/>
    </row>
    <row r="2616" spans="4:20" x14ac:dyDescent="0.2">
      <c r="D2616" s="6"/>
      <c r="E2616" s="6"/>
      <c r="F2616" s="6"/>
      <c r="G2616" s="19"/>
      <c r="H2616" s="19"/>
      <c r="I2616" s="19"/>
      <c r="J2616" s="19"/>
      <c r="K2616" s="6"/>
      <c r="L2616" s="6"/>
      <c r="M2616" s="6"/>
      <c r="N2616" s="6"/>
      <c r="O2616" s="6"/>
      <c r="P2616" s="6"/>
      <c r="Q2616" s="6"/>
      <c r="R2616" s="6"/>
      <c r="S2616" s="6"/>
      <c r="T2616" s="6"/>
    </row>
    <row r="2617" spans="4:20" x14ac:dyDescent="0.2">
      <c r="D2617" s="6"/>
      <c r="E2617" s="6"/>
      <c r="F2617" s="6"/>
      <c r="G2617" s="19"/>
      <c r="H2617" s="19"/>
      <c r="I2617" s="19"/>
      <c r="J2617" s="19"/>
      <c r="K2617" s="6"/>
      <c r="L2617" s="6"/>
      <c r="M2617" s="6"/>
      <c r="N2617" s="6"/>
      <c r="O2617" s="6"/>
      <c r="P2617" s="6"/>
      <c r="Q2617" s="6"/>
      <c r="R2617" s="6"/>
      <c r="S2617" s="6"/>
      <c r="T2617" s="6"/>
    </row>
    <row r="2618" spans="4:20" x14ac:dyDescent="0.2">
      <c r="D2618" s="6"/>
      <c r="E2618" s="6"/>
      <c r="F2618" s="6"/>
      <c r="G2618" s="19"/>
      <c r="H2618" s="19"/>
      <c r="I2618" s="19"/>
      <c r="J2618" s="19"/>
      <c r="K2618" s="6"/>
      <c r="L2618" s="6"/>
      <c r="M2618" s="6"/>
      <c r="N2618" s="6"/>
      <c r="O2618" s="6"/>
      <c r="P2618" s="6"/>
      <c r="Q2618" s="6"/>
      <c r="R2618" s="6"/>
      <c r="S2618" s="6"/>
      <c r="T2618" s="6"/>
    </row>
    <row r="2619" spans="4:20" x14ac:dyDescent="0.2">
      <c r="D2619" s="6"/>
      <c r="E2619" s="6"/>
      <c r="F2619" s="6"/>
      <c r="G2619" s="19"/>
      <c r="H2619" s="19"/>
      <c r="I2619" s="19"/>
      <c r="J2619" s="19"/>
      <c r="K2619" s="6"/>
      <c r="L2619" s="6"/>
      <c r="M2619" s="6"/>
      <c r="N2619" s="6"/>
      <c r="O2619" s="6"/>
      <c r="P2619" s="6"/>
      <c r="Q2619" s="6"/>
      <c r="R2619" s="6"/>
      <c r="S2619" s="6"/>
      <c r="T2619" s="6"/>
    </row>
    <row r="2620" spans="4:20" x14ac:dyDescent="0.2">
      <c r="D2620" s="6"/>
      <c r="E2620" s="6"/>
      <c r="F2620" s="6"/>
      <c r="G2620" s="19"/>
      <c r="H2620" s="19"/>
      <c r="I2620" s="19"/>
      <c r="J2620" s="19"/>
      <c r="K2620" s="6"/>
      <c r="L2620" s="6"/>
      <c r="M2620" s="6"/>
      <c r="N2620" s="6"/>
      <c r="O2620" s="6"/>
      <c r="P2620" s="6"/>
      <c r="Q2620" s="6"/>
      <c r="R2620" s="6"/>
      <c r="S2620" s="6"/>
      <c r="T2620" s="6"/>
    </row>
    <row r="2621" spans="4:20" x14ac:dyDescent="0.2">
      <c r="D2621" s="6"/>
      <c r="E2621" s="6"/>
      <c r="F2621" s="6"/>
      <c r="G2621" s="19"/>
      <c r="H2621" s="19"/>
      <c r="I2621" s="19"/>
      <c r="J2621" s="19"/>
      <c r="K2621" s="6"/>
      <c r="L2621" s="6"/>
      <c r="M2621" s="6"/>
      <c r="N2621" s="6"/>
      <c r="O2621" s="6"/>
      <c r="P2621" s="6"/>
      <c r="Q2621" s="6"/>
      <c r="R2621" s="6"/>
      <c r="S2621" s="6"/>
      <c r="T2621" s="6"/>
    </row>
    <row r="2622" spans="4:20" x14ac:dyDescent="0.2">
      <c r="D2622" s="6"/>
      <c r="E2622" s="6"/>
      <c r="F2622" s="6"/>
      <c r="G2622" s="19"/>
      <c r="H2622" s="19"/>
      <c r="I2622" s="19"/>
      <c r="J2622" s="19"/>
      <c r="K2622" s="6"/>
      <c r="L2622" s="6"/>
      <c r="M2622" s="6"/>
      <c r="N2622" s="6"/>
      <c r="O2622" s="6"/>
      <c r="P2622" s="6"/>
      <c r="Q2622" s="6"/>
      <c r="R2622" s="6"/>
      <c r="S2622" s="6"/>
      <c r="T2622" s="6"/>
    </row>
    <row r="2623" spans="4:20" x14ac:dyDescent="0.2">
      <c r="D2623" s="6"/>
      <c r="E2623" s="6"/>
      <c r="F2623" s="6"/>
      <c r="G2623" s="19"/>
      <c r="H2623" s="19"/>
      <c r="I2623" s="19"/>
      <c r="J2623" s="19"/>
      <c r="K2623" s="6"/>
      <c r="L2623" s="6"/>
      <c r="M2623" s="6"/>
      <c r="N2623" s="6"/>
      <c r="O2623" s="6"/>
      <c r="P2623" s="6"/>
      <c r="Q2623" s="6"/>
      <c r="R2623" s="6"/>
      <c r="S2623" s="6"/>
      <c r="T2623" s="6"/>
    </row>
    <row r="2624" spans="4:20" x14ac:dyDescent="0.2">
      <c r="D2624" s="6"/>
      <c r="E2624" s="6"/>
      <c r="F2624" s="6"/>
      <c r="G2624" s="19"/>
      <c r="H2624" s="19"/>
      <c r="I2624" s="19"/>
      <c r="J2624" s="19"/>
      <c r="K2624" s="6"/>
      <c r="L2624" s="6"/>
      <c r="M2624" s="6"/>
      <c r="N2624" s="6"/>
      <c r="O2624" s="6"/>
      <c r="P2624" s="6"/>
      <c r="Q2624" s="6"/>
      <c r="R2624" s="6"/>
      <c r="S2624" s="6"/>
      <c r="T2624" s="6"/>
    </row>
    <row r="2625" spans="4:20" x14ac:dyDescent="0.2">
      <c r="D2625" s="6"/>
      <c r="E2625" s="6"/>
      <c r="F2625" s="6"/>
      <c r="G2625" s="19"/>
      <c r="H2625" s="19"/>
      <c r="I2625" s="19"/>
      <c r="J2625" s="19"/>
      <c r="K2625" s="6"/>
      <c r="L2625" s="6"/>
      <c r="M2625" s="6"/>
      <c r="N2625" s="6"/>
      <c r="O2625" s="6"/>
      <c r="P2625" s="6"/>
      <c r="Q2625" s="6"/>
      <c r="R2625" s="6"/>
      <c r="S2625" s="6"/>
      <c r="T2625" s="6"/>
    </row>
    <row r="2626" spans="4:20" x14ac:dyDescent="0.2">
      <c r="D2626" s="6"/>
      <c r="E2626" s="6"/>
      <c r="F2626" s="6"/>
      <c r="G2626" s="19"/>
      <c r="H2626" s="19"/>
      <c r="I2626" s="19"/>
      <c r="J2626" s="19"/>
      <c r="K2626" s="6"/>
      <c r="L2626" s="6"/>
      <c r="M2626" s="6"/>
      <c r="N2626" s="6"/>
      <c r="O2626" s="6"/>
      <c r="P2626" s="6"/>
      <c r="Q2626" s="6"/>
      <c r="R2626" s="6"/>
      <c r="S2626" s="6"/>
      <c r="T2626" s="6"/>
    </row>
    <row r="2627" spans="4:20" x14ac:dyDescent="0.2">
      <c r="D2627" s="6"/>
      <c r="E2627" s="6"/>
      <c r="F2627" s="6"/>
      <c r="G2627" s="19"/>
      <c r="H2627" s="19"/>
      <c r="I2627" s="19"/>
      <c r="J2627" s="19"/>
      <c r="K2627" s="6"/>
      <c r="L2627" s="6"/>
      <c r="M2627" s="6"/>
      <c r="N2627" s="6"/>
      <c r="O2627" s="6"/>
      <c r="P2627" s="6"/>
      <c r="Q2627" s="6"/>
      <c r="R2627" s="6"/>
      <c r="S2627" s="6"/>
      <c r="T2627" s="6"/>
    </row>
    <row r="2628" spans="4:20" x14ac:dyDescent="0.2">
      <c r="D2628" s="6"/>
      <c r="E2628" s="6"/>
      <c r="F2628" s="6"/>
      <c r="G2628" s="19"/>
      <c r="H2628" s="19"/>
      <c r="I2628" s="19"/>
      <c r="J2628" s="19"/>
      <c r="K2628" s="6"/>
      <c r="L2628" s="6"/>
      <c r="M2628" s="6"/>
      <c r="N2628" s="6"/>
      <c r="O2628" s="6"/>
      <c r="P2628" s="6"/>
      <c r="Q2628" s="6"/>
      <c r="R2628" s="6"/>
      <c r="S2628" s="6"/>
      <c r="T2628" s="6"/>
    </row>
    <row r="2629" spans="4:20" x14ac:dyDescent="0.2">
      <c r="D2629" s="6"/>
      <c r="E2629" s="6"/>
      <c r="F2629" s="6"/>
      <c r="G2629" s="19"/>
      <c r="H2629" s="19"/>
      <c r="I2629" s="19"/>
      <c r="J2629" s="19"/>
      <c r="K2629" s="6"/>
      <c r="L2629" s="6"/>
      <c r="M2629" s="6"/>
      <c r="N2629" s="6"/>
      <c r="O2629" s="6"/>
      <c r="P2629" s="6"/>
      <c r="Q2629" s="6"/>
      <c r="R2629" s="6"/>
      <c r="S2629" s="6"/>
      <c r="T2629" s="6"/>
    </row>
    <row r="2630" spans="4:20" x14ac:dyDescent="0.2">
      <c r="D2630" s="6"/>
      <c r="E2630" s="6"/>
      <c r="F2630" s="6"/>
      <c r="G2630" s="19"/>
      <c r="H2630" s="19"/>
      <c r="I2630" s="19"/>
      <c r="J2630" s="19"/>
      <c r="K2630" s="6"/>
      <c r="L2630" s="6"/>
      <c r="M2630" s="6"/>
      <c r="N2630" s="6"/>
      <c r="O2630" s="6"/>
      <c r="P2630" s="6"/>
      <c r="Q2630" s="6"/>
      <c r="R2630" s="6"/>
      <c r="S2630" s="6"/>
      <c r="T2630" s="6"/>
    </row>
    <row r="2631" spans="4:20" x14ac:dyDescent="0.2">
      <c r="D2631" s="6"/>
      <c r="E2631" s="6"/>
      <c r="F2631" s="6"/>
      <c r="G2631" s="19"/>
      <c r="H2631" s="19"/>
      <c r="I2631" s="19"/>
      <c r="J2631" s="19"/>
      <c r="K2631" s="6"/>
      <c r="L2631" s="6"/>
      <c r="M2631" s="6"/>
      <c r="N2631" s="6"/>
      <c r="O2631" s="6"/>
      <c r="P2631" s="6"/>
      <c r="Q2631" s="6"/>
      <c r="R2631" s="6"/>
      <c r="S2631" s="6"/>
      <c r="T2631" s="6"/>
    </row>
    <row r="2632" spans="4:20" x14ac:dyDescent="0.2">
      <c r="D2632" s="6"/>
      <c r="E2632" s="6"/>
      <c r="F2632" s="6"/>
      <c r="G2632" s="19"/>
      <c r="H2632" s="19"/>
      <c r="I2632" s="19"/>
      <c r="J2632" s="19"/>
      <c r="K2632" s="6"/>
      <c r="L2632" s="6"/>
      <c r="M2632" s="6"/>
      <c r="N2632" s="6"/>
      <c r="O2632" s="6"/>
      <c r="P2632" s="6"/>
      <c r="Q2632" s="6"/>
      <c r="R2632" s="6"/>
      <c r="S2632" s="6"/>
      <c r="T2632" s="6"/>
    </row>
    <row r="2633" spans="4:20" x14ac:dyDescent="0.2">
      <c r="D2633" s="6"/>
      <c r="E2633" s="6"/>
      <c r="F2633" s="6"/>
      <c r="G2633" s="19"/>
      <c r="H2633" s="19"/>
      <c r="I2633" s="19"/>
      <c r="J2633" s="19"/>
      <c r="K2633" s="6"/>
      <c r="L2633" s="6"/>
      <c r="M2633" s="6"/>
      <c r="N2633" s="6"/>
      <c r="O2633" s="6"/>
      <c r="P2633" s="6"/>
      <c r="Q2633" s="6"/>
      <c r="R2633" s="6"/>
      <c r="S2633" s="6"/>
      <c r="T2633" s="6"/>
    </row>
    <row r="2634" spans="4:20" x14ac:dyDescent="0.2">
      <c r="D2634" s="6"/>
      <c r="E2634" s="6"/>
      <c r="F2634" s="6"/>
      <c r="G2634" s="19"/>
      <c r="H2634" s="19"/>
      <c r="I2634" s="19"/>
      <c r="J2634" s="19"/>
      <c r="K2634" s="6"/>
      <c r="L2634" s="6"/>
      <c r="M2634" s="6"/>
      <c r="N2634" s="6"/>
      <c r="O2634" s="6"/>
      <c r="P2634" s="6"/>
      <c r="Q2634" s="6"/>
      <c r="R2634" s="6"/>
      <c r="S2634" s="6"/>
      <c r="T2634" s="6"/>
    </row>
    <row r="2635" spans="4:20" x14ac:dyDescent="0.2">
      <c r="D2635" s="6"/>
      <c r="E2635" s="6"/>
      <c r="F2635" s="6"/>
      <c r="G2635" s="19"/>
      <c r="H2635" s="19"/>
      <c r="I2635" s="19"/>
      <c r="J2635" s="19"/>
      <c r="K2635" s="6"/>
      <c r="L2635" s="6"/>
      <c r="M2635" s="6"/>
      <c r="N2635" s="6"/>
      <c r="O2635" s="6"/>
      <c r="P2635" s="6"/>
      <c r="Q2635" s="6"/>
      <c r="R2635" s="6"/>
      <c r="S2635" s="6"/>
      <c r="T2635" s="6"/>
    </row>
    <row r="2636" spans="4:20" x14ac:dyDescent="0.2">
      <c r="D2636" s="6"/>
      <c r="E2636" s="6"/>
      <c r="F2636" s="6"/>
      <c r="G2636" s="19"/>
      <c r="H2636" s="19"/>
      <c r="I2636" s="19"/>
      <c r="J2636" s="19"/>
      <c r="K2636" s="6"/>
      <c r="L2636" s="6"/>
      <c r="M2636" s="6"/>
      <c r="N2636" s="6"/>
      <c r="O2636" s="6"/>
      <c r="P2636" s="6"/>
      <c r="Q2636" s="6"/>
      <c r="R2636" s="6"/>
      <c r="S2636" s="6"/>
      <c r="T2636" s="6"/>
    </row>
    <row r="2637" spans="4:20" x14ac:dyDescent="0.2">
      <c r="D2637" s="6"/>
      <c r="E2637" s="6"/>
      <c r="F2637" s="6"/>
      <c r="G2637" s="19"/>
      <c r="H2637" s="19"/>
      <c r="I2637" s="19"/>
      <c r="J2637" s="19"/>
      <c r="K2637" s="6"/>
      <c r="L2637" s="6"/>
      <c r="M2637" s="6"/>
      <c r="N2637" s="6"/>
      <c r="O2637" s="6"/>
      <c r="P2637" s="6"/>
      <c r="Q2637" s="6"/>
      <c r="R2637" s="6"/>
      <c r="S2637" s="6"/>
      <c r="T2637" s="6"/>
    </row>
    <row r="2638" spans="4:20" x14ac:dyDescent="0.2">
      <c r="D2638" s="6"/>
      <c r="E2638" s="6"/>
      <c r="F2638" s="6"/>
      <c r="G2638" s="19"/>
      <c r="H2638" s="19"/>
      <c r="I2638" s="19"/>
      <c r="J2638" s="19"/>
      <c r="K2638" s="6"/>
      <c r="L2638" s="6"/>
      <c r="M2638" s="6"/>
      <c r="N2638" s="6"/>
      <c r="O2638" s="6"/>
      <c r="P2638" s="6"/>
      <c r="Q2638" s="6"/>
      <c r="R2638" s="6"/>
      <c r="S2638" s="6"/>
      <c r="T2638" s="6"/>
    </row>
    <row r="2639" spans="4:20" x14ac:dyDescent="0.2">
      <c r="D2639" s="6"/>
      <c r="E2639" s="6"/>
      <c r="F2639" s="6"/>
      <c r="G2639" s="19"/>
      <c r="H2639" s="19"/>
      <c r="I2639" s="19"/>
      <c r="J2639" s="19"/>
      <c r="K2639" s="6"/>
      <c r="L2639" s="6"/>
      <c r="M2639" s="6"/>
      <c r="N2639" s="6"/>
      <c r="O2639" s="6"/>
      <c r="P2639" s="6"/>
      <c r="Q2639" s="6"/>
      <c r="R2639" s="6"/>
      <c r="S2639" s="6"/>
      <c r="T2639" s="6"/>
    </row>
    <row r="2640" spans="4:20" x14ac:dyDescent="0.2">
      <c r="D2640" s="6"/>
      <c r="E2640" s="6"/>
      <c r="F2640" s="6"/>
      <c r="G2640" s="19"/>
      <c r="H2640" s="19"/>
      <c r="I2640" s="19"/>
      <c r="J2640" s="19"/>
      <c r="K2640" s="6"/>
      <c r="L2640" s="6"/>
      <c r="M2640" s="6"/>
      <c r="N2640" s="6"/>
      <c r="O2640" s="6"/>
      <c r="P2640" s="6"/>
      <c r="Q2640" s="6"/>
      <c r="R2640" s="6"/>
      <c r="S2640" s="6"/>
      <c r="T2640" s="6"/>
    </row>
    <row r="2641" spans="4:20" x14ac:dyDescent="0.2">
      <c r="D2641" s="6"/>
      <c r="E2641" s="6"/>
      <c r="F2641" s="6"/>
      <c r="G2641" s="19"/>
      <c r="H2641" s="19"/>
      <c r="I2641" s="19"/>
      <c r="J2641" s="19"/>
      <c r="K2641" s="6"/>
      <c r="L2641" s="6"/>
      <c r="M2641" s="6"/>
      <c r="N2641" s="6"/>
      <c r="O2641" s="6"/>
      <c r="P2641" s="6"/>
      <c r="Q2641" s="6"/>
      <c r="R2641" s="6"/>
      <c r="S2641" s="6"/>
      <c r="T2641" s="6"/>
    </row>
    <row r="2642" spans="4:20" x14ac:dyDescent="0.2">
      <c r="D2642" s="6"/>
      <c r="E2642" s="6"/>
      <c r="F2642" s="6"/>
      <c r="G2642" s="19"/>
      <c r="H2642" s="19"/>
      <c r="I2642" s="19"/>
      <c r="J2642" s="19"/>
      <c r="K2642" s="6"/>
      <c r="L2642" s="6"/>
      <c r="M2642" s="6"/>
      <c r="N2642" s="6"/>
      <c r="O2642" s="6"/>
      <c r="P2642" s="6"/>
      <c r="Q2642" s="6"/>
      <c r="R2642" s="6"/>
      <c r="S2642" s="6"/>
      <c r="T2642" s="6"/>
    </row>
    <row r="2643" spans="4:20" x14ac:dyDescent="0.2">
      <c r="D2643" s="6"/>
      <c r="E2643" s="6"/>
      <c r="F2643" s="6"/>
      <c r="G2643" s="19"/>
      <c r="H2643" s="19"/>
      <c r="I2643" s="19"/>
      <c r="J2643" s="19"/>
      <c r="K2643" s="6"/>
      <c r="L2643" s="6"/>
      <c r="M2643" s="6"/>
      <c r="N2643" s="6"/>
      <c r="O2643" s="6"/>
      <c r="P2643" s="6"/>
      <c r="Q2643" s="6"/>
      <c r="R2643" s="6"/>
      <c r="S2643" s="6"/>
      <c r="T2643" s="6"/>
    </row>
    <row r="2644" spans="4:20" x14ac:dyDescent="0.2">
      <c r="D2644" s="6"/>
      <c r="E2644" s="6"/>
      <c r="F2644" s="6"/>
      <c r="G2644" s="19"/>
      <c r="H2644" s="19"/>
      <c r="I2644" s="19"/>
      <c r="J2644" s="19"/>
      <c r="K2644" s="6"/>
      <c r="L2644" s="6"/>
      <c r="M2644" s="6"/>
      <c r="N2644" s="6"/>
      <c r="O2644" s="6"/>
      <c r="P2644" s="6"/>
      <c r="Q2644" s="6"/>
      <c r="R2644" s="6"/>
      <c r="S2644" s="6"/>
      <c r="T2644" s="6"/>
    </row>
    <row r="2645" spans="4:20" x14ac:dyDescent="0.2">
      <c r="D2645" s="6"/>
      <c r="E2645" s="6"/>
      <c r="F2645" s="6"/>
      <c r="G2645" s="19"/>
      <c r="H2645" s="19"/>
      <c r="I2645" s="19"/>
      <c r="J2645" s="19"/>
      <c r="K2645" s="6"/>
      <c r="L2645" s="6"/>
      <c r="M2645" s="6"/>
      <c r="N2645" s="6"/>
      <c r="O2645" s="6"/>
      <c r="P2645" s="6"/>
      <c r="Q2645" s="6"/>
      <c r="R2645" s="6"/>
      <c r="S2645" s="6"/>
      <c r="T2645" s="6"/>
    </row>
    <row r="2646" spans="4:20" x14ac:dyDescent="0.2">
      <c r="D2646" s="6"/>
      <c r="E2646" s="6"/>
      <c r="F2646" s="6"/>
      <c r="G2646" s="19"/>
      <c r="H2646" s="19"/>
      <c r="I2646" s="19"/>
      <c r="J2646" s="19"/>
      <c r="K2646" s="6"/>
      <c r="L2646" s="6"/>
      <c r="M2646" s="6"/>
      <c r="N2646" s="6"/>
      <c r="O2646" s="6"/>
      <c r="P2646" s="6"/>
      <c r="Q2646" s="6"/>
      <c r="R2646" s="6"/>
      <c r="S2646" s="6"/>
      <c r="T2646" s="6"/>
    </row>
    <row r="2647" spans="4:20" x14ac:dyDescent="0.2">
      <c r="D2647" s="6"/>
      <c r="E2647" s="6"/>
      <c r="F2647" s="6"/>
      <c r="G2647" s="19"/>
      <c r="H2647" s="19"/>
      <c r="I2647" s="19"/>
      <c r="J2647" s="19"/>
      <c r="K2647" s="6"/>
      <c r="L2647" s="6"/>
      <c r="M2647" s="6"/>
      <c r="N2647" s="6"/>
      <c r="O2647" s="6"/>
      <c r="P2647" s="6"/>
      <c r="Q2647" s="6"/>
      <c r="R2647" s="6"/>
      <c r="S2647" s="6"/>
      <c r="T2647" s="6"/>
    </row>
    <row r="2648" spans="4:20" x14ac:dyDescent="0.2">
      <c r="D2648" s="6"/>
      <c r="E2648" s="6"/>
      <c r="F2648" s="6"/>
      <c r="G2648" s="19"/>
      <c r="H2648" s="19"/>
      <c r="I2648" s="19"/>
      <c r="J2648" s="19"/>
      <c r="K2648" s="6"/>
      <c r="L2648" s="6"/>
      <c r="M2648" s="6"/>
      <c r="N2648" s="6"/>
      <c r="O2648" s="6"/>
      <c r="P2648" s="6"/>
      <c r="Q2648" s="6"/>
      <c r="R2648" s="6"/>
      <c r="S2648" s="6"/>
      <c r="T2648" s="6"/>
    </row>
    <row r="2649" spans="4:20" x14ac:dyDescent="0.2">
      <c r="D2649" s="6"/>
      <c r="E2649" s="6"/>
      <c r="F2649" s="6"/>
      <c r="G2649" s="19"/>
      <c r="H2649" s="19"/>
      <c r="I2649" s="19"/>
      <c r="J2649" s="19"/>
      <c r="K2649" s="6"/>
      <c r="L2649" s="6"/>
      <c r="M2649" s="6"/>
      <c r="N2649" s="6"/>
      <c r="O2649" s="6"/>
      <c r="P2649" s="6"/>
      <c r="Q2649" s="6"/>
      <c r="R2649" s="6"/>
      <c r="S2649" s="6"/>
      <c r="T2649" s="6"/>
    </row>
    <row r="2650" spans="4:20" x14ac:dyDescent="0.2">
      <c r="D2650" s="6"/>
      <c r="E2650" s="6"/>
      <c r="F2650" s="6"/>
      <c r="G2650" s="19"/>
      <c r="H2650" s="19"/>
      <c r="I2650" s="19"/>
      <c r="J2650" s="19"/>
      <c r="K2650" s="6"/>
      <c r="L2650" s="6"/>
      <c r="M2650" s="6"/>
      <c r="N2650" s="6"/>
      <c r="O2650" s="6"/>
      <c r="P2650" s="6"/>
      <c r="Q2650" s="6"/>
      <c r="R2650" s="6"/>
      <c r="S2650" s="6"/>
      <c r="T2650" s="6"/>
    </row>
    <row r="2651" spans="4:20" x14ac:dyDescent="0.2">
      <c r="D2651" s="6"/>
      <c r="E2651" s="6"/>
      <c r="F2651" s="6"/>
      <c r="G2651" s="19"/>
      <c r="H2651" s="19"/>
      <c r="I2651" s="19"/>
      <c r="J2651" s="19"/>
      <c r="K2651" s="6"/>
      <c r="L2651" s="6"/>
      <c r="M2651" s="6"/>
      <c r="N2651" s="6"/>
      <c r="O2651" s="6"/>
      <c r="P2651" s="6"/>
      <c r="Q2651" s="6"/>
      <c r="R2651" s="6"/>
      <c r="S2651" s="6"/>
      <c r="T2651" s="6"/>
    </row>
    <row r="2652" spans="4:20" x14ac:dyDescent="0.2">
      <c r="D2652" s="6"/>
      <c r="E2652" s="6"/>
      <c r="F2652" s="6"/>
      <c r="G2652" s="19"/>
      <c r="H2652" s="19"/>
      <c r="I2652" s="19"/>
      <c r="J2652" s="19"/>
      <c r="K2652" s="6"/>
      <c r="L2652" s="6"/>
      <c r="M2652" s="6"/>
      <c r="N2652" s="6"/>
      <c r="O2652" s="6"/>
      <c r="P2652" s="6"/>
      <c r="Q2652" s="6"/>
      <c r="R2652" s="6"/>
      <c r="S2652" s="6"/>
      <c r="T2652" s="6"/>
    </row>
    <row r="2653" spans="4:20" x14ac:dyDescent="0.2">
      <c r="D2653" s="6"/>
      <c r="E2653" s="6"/>
      <c r="F2653" s="6"/>
      <c r="G2653" s="19"/>
      <c r="H2653" s="19"/>
      <c r="I2653" s="19"/>
      <c r="J2653" s="19"/>
      <c r="K2653" s="6"/>
      <c r="L2653" s="6"/>
      <c r="M2653" s="6"/>
      <c r="N2653" s="6"/>
      <c r="O2653" s="6"/>
      <c r="P2653" s="6"/>
      <c r="Q2653" s="6"/>
      <c r="R2653" s="6"/>
      <c r="S2653" s="6"/>
      <c r="T2653" s="6"/>
    </row>
    <row r="2654" spans="4:20" x14ac:dyDescent="0.2">
      <c r="D2654" s="6"/>
      <c r="E2654" s="6"/>
      <c r="F2654" s="6"/>
      <c r="G2654" s="19"/>
      <c r="H2654" s="19"/>
      <c r="I2654" s="19"/>
      <c r="J2654" s="19"/>
      <c r="K2654" s="6"/>
      <c r="L2654" s="6"/>
      <c r="M2654" s="6"/>
      <c r="N2654" s="6"/>
      <c r="O2654" s="6"/>
      <c r="P2654" s="6"/>
      <c r="Q2654" s="6"/>
      <c r="R2654" s="6"/>
      <c r="S2654" s="6"/>
      <c r="T2654" s="6"/>
    </row>
    <row r="2655" spans="4:20" x14ac:dyDescent="0.2">
      <c r="D2655" s="6"/>
      <c r="E2655" s="6"/>
      <c r="F2655" s="6"/>
      <c r="G2655" s="19"/>
      <c r="H2655" s="19"/>
      <c r="I2655" s="19"/>
      <c r="J2655" s="19"/>
      <c r="K2655" s="6"/>
      <c r="L2655" s="6"/>
      <c r="M2655" s="6"/>
      <c r="N2655" s="6"/>
      <c r="O2655" s="6"/>
      <c r="P2655" s="6"/>
      <c r="Q2655" s="6"/>
      <c r="R2655" s="6"/>
      <c r="S2655" s="6"/>
      <c r="T2655" s="6"/>
    </row>
    <row r="2656" spans="4:20" x14ac:dyDescent="0.2">
      <c r="D2656" s="6"/>
      <c r="E2656" s="6"/>
      <c r="F2656" s="6"/>
      <c r="G2656" s="19"/>
      <c r="H2656" s="19"/>
      <c r="I2656" s="19"/>
      <c r="J2656" s="19"/>
      <c r="K2656" s="6"/>
      <c r="L2656" s="6"/>
      <c r="M2656" s="6"/>
      <c r="N2656" s="6"/>
      <c r="O2656" s="6"/>
      <c r="P2656" s="6"/>
      <c r="Q2656" s="6"/>
      <c r="R2656" s="6"/>
      <c r="S2656" s="6"/>
      <c r="T2656" s="6"/>
    </row>
    <row r="2657" spans="4:20" x14ac:dyDescent="0.2">
      <c r="D2657" s="6"/>
      <c r="E2657" s="6"/>
      <c r="F2657" s="6"/>
      <c r="G2657" s="19"/>
      <c r="H2657" s="19"/>
      <c r="I2657" s="19"/>
      <c r="J2657" s="19"/>
      <c r="K2657" s="6"/>
      <c r="L2657" s="6"/>
      <c r="M2657" s="6"/>
      <c r="N2657" s="6"/>
      <c r="O2657" s="6"/>
      <c r="P2657" s="6"/>
      <c r="Q2657" s="6"/>
      <c r="R2657" s="6"/>
      <c r="S2657" s="6"/>
      <c r="T2657" s="6"/>
    </row>
    <row r="2658" spans="4:20" x14ac:dyDescent="0.2">
      <c r="D2658" s="6"/>
      <c r="E2658" s="6"/>
      <c r="F2658" s="6"/>
      <c r="G2658" s="19"/>
      <c r="H2658" s="19"/>
      <c r="I2658" s="19"/>
      <c r="J2658" s="19"/>
      <c r="K2658" s="6"/>
      <c r="L2658" s="6"/>
      <c r="M2658" s="6"/>
      <c r="N2658" s="6"/>
      <c r="O2658" s="6"/>
      <c r="P2658" s="6"/>
      <c r="Q2658" s="6"/>
      <c r="R2658" s="6"/>
      <c r="S2658" s="6"/>
      <c r="T2658" s="6"/>
    </row>
    <row r="2659" spans="4:20" x14ac:dyDescent="0.2">
      <c r="D2659" s="6"/>
      <c r="E2659" s="6"/>
      <c r="F2659" s="6"/>
      <c r="G2659" s="19"/>
      <c r="H2659" s="19"/>
      <c r="I2659" s="19"/>
      <c r="J2659" s="19"/>
      <c r="K2659" s="6"/>
      <c r="L2659" s="6"/>
      <c r="M2659" s="6"/>
      <c r="N2659" s="6"/>
      <c r="O2659" s="6"/>
      <c r="P2659" s="6"/>
      <c r="Q2659" s="6"/>
      <c r="R2659" s="6"/>
      <c r="S2659" s="6"/>
      <c r="T2659" s="6"/>
    </row>
    <row r="2660" spans="4:20" x14ac:dyDescent="0.2">
      <c r="D2660" s="6"/>
      <c r="E2660" s="6"/>
      <c r="F2660" s="6"/>
      <c r="G2660" s="19"/>
      <c r="H2660" s="19"/>
      <c r="I2660" s="19"/>
      <c r="J2660" s="19"/>
      <c r="K2660" s="6"/>
      <c r="L2660" s="6"/>
      <c r="M2660" s="6"/>
      <c r="N2660" s="6"/>
      <c r="O2660" s="6"/>
      <c r="P2660" s="6"/>
      <c r="Q2660" s="6"/>
      <c r="R2660" s="6"/>
      <c r="S2660" s="6"/>
      <c r="T2660" s="6"/>
    </row>
    <row r="2661" spans="4:20" x14ac:dyDescent="0.2">
      <c r="D2661" s="6"/>
      <c r="E2661" s="6"/>
      <c r="F2661" s="6"/>
      <c r="G2661" s="19"/>
      <c r="H2661" s="19"/>
      <c r="I2661" s="19"/>
      <c r="J2661" s="19"/>
      <c r="K2661" s="6"/>
      <c r="L2661" s="6"/>
      <c r="M2661" s="6"/>
      <c r="N2661" s="6"/>
      <c r="O2661" s="6"/>
      <c r="P2661" s="6"/>
      <c r="Q2661" s="6"/>
      <c r="R2661" s="6"/>
      <c r="S2661" s="6"/>
      <c r="T2661" s="6"/>
    </row>
    <row r="2662" spans="4:20" x14ac:dyDescent="0.2">
      <c r="D2662" s="6"/>
      <c r="E2662" s="6"/>
      <c r="F2662" s="6"/>
      <c r="G2662" s="19"/>
      <c r="H2662" s="19"/>
      <c r="I2662" s="19"/>
      <c r="J2662" s="19"/>
      <c r="K2662" s="6"/>
      <c r="L2662" s="6"/>
      <c r="M2662" s="6"/>
      <c r="N2662" s="6"/>
      <c r="O2662" s="6"/>
      <c r="P2662" s="6"/>
      <c r="Q2662" s="6"/>
      <c r="R2662" s="6"/>
      <c r="S2662" s="6"/>
      <c r="T2662" s="6"/>
    </row>
    <row r="2663" spans="4:20" x14ac:dyDescent="0.2">
      <c r="D2663" s="6"/>
      <c r="E2663" s="6"/>
      <c r="F2663" s="6"/>
      <c r="G2663" s="19"/>
      <c r="H2663" s="19"/>
      <c r="I2663" s="19"/>
      <c r="J2663" s="19"/>
      <c r="K2663" s="6"/>
      <c r="L2663" s="6"/>
      <c r="M2663" s="6"/>
      <c r="N2663" s="6"/>
      <c r="O2663" s="6"/>
      <c r="P2663" s="6"/>
      <c r="Q2663" s="6"/>
      <c r="R2663" s="6"/>
      <c r="S2663" s="6"/>
      <c r="T2663" s="6"/>
    </row>
    <row r="2664" spans="4:20" x14ac:dyDescent="0.2">
      <c r="D2664" s="6"/>
      <c r="E2664" s="6"/>
      <c r="F2664" s="6"/>
      <c r="G2664" s="19"/>
      <c r="H2664" s="19"/>
      <c r="I2664" s="19"/>
      <c r="J2664" s="19"/>
      <c r="K2664" s="6"/>
      <c r="L2664" s="6"/>
      <c r="M2664" s="6"/>
      <c r="N2664" s="6"/>
      <c r="O2664" s="6"/>
      <c r="P2664" s="6"/>
      <c r="Q2664" s="6"/>
      <c r="R2664" s="6"/>
      <c r="S2664" s="6"/>
      <c r="T2664" s="6"/>
    </row>
    <row r="2665" spans="4:20" x14ac:dyDescent="0.2">
      <c r="D2665" s="6"/>
      <c r="E2665" s="6"/>
      <c r="F2665" s="6"/>
      <c r="G2665" s="19"/>
      <c r="H2665" s="19"/>
      <c r="I2665" s="19"/>
      <c r="J2665" s="19"/>
      <c r="K2665" s="6"/>
      <c r="L2665" s="6"/>
      <c r="M2665" s="6"/>
      <c r="N2665" s="6"/>
      <c r="O2665" s="6"/>
      <c r="P2665" s="6"/>
      <c r="Q2665" s="6"/>
      <c r="R2665" s="6"/>
      <c r="S2665" s="6"/>
      <c r="T2665" s="6"/>
    </row>
    <row r="2666" spans="4:20" x14ac:dyDescent="0.2">
      <c r="D2666" s="6"/>
      <c r="E2666" s="6"/>
      <c r="F2666" s="6"/>
      <c r="G2666" s="19"/>
      <c r="H2666" s="19"/>
      <c r="I2666" s="19"/>
      <c r="J2666" s="19"/>
      <c r="K2666" s="6"/>
      <c r="L2666" s="6"/>
      <c r="M2666" s="6"/>
      <c r="N2666" s="6"/>
      <c r="O2666" s="6"/>
      <c r="P2666" s="6"/>
      <c r="Q2666" s="6"/>
      <c r="R2666" s="6"/>
      <c r="S2666" s="6"/>
      <c r="T2666" s="6"/>
    </row>
    <row r="2667" spans="4:20" x14ac:dyDescent="0.2">
      <c r="D2667" s="6"/>
      <c r="E2667" s="6"/>
      <c r="F2667" s="6"/>
      <c r="G2667" s="19"/>
      <c r="H2667" s="19"/>
      <c r="I2667" s="19"/>
      <c r="J2667" s="19"/>
      <c r="K2667" s="6"/>
      <c r="L2667" s="6"/>
      <c r="M2667" s="6"/>
      <c r="N2667" s="6"/>
      <c r="O2667" s="6"/>
      <c r="P2667" s="6"/>
      <c r="Q2667" s="6"/>
      <c r="R2667" s="6"/>
      <c r="S2667" s="6"/>
      <c r="T2667" s="6"/>
    </row>
    <row r="2668" spans="4:20" x14ac:dyDescent="0.2">
      <c r="D2668" s="6"/>
      <c r="E2668" s="6"/>
      <c r="F2668" s="6"/>
      <c r="G2668" s="19"/>
      <c r="H2668" s="19"/>
      <c r="I2668" s="19"/>
      <c r="J2668" s="19"/>
      <c r="K2668" s="6"/>
      <c r="L2668" s="6"/>
      <c r="M2668" s="6"/>
      <c r="N2668" s="6"/>
      <c r="O2668" s="6"/>
      <c r="P2668" s="6"/>
      <c r="Q2668" s="6"/>
      <c r="R2668" s="6"/>
      <c r="S2668" s="6"/>
      <c r="T2668" s="6"/>
    </row>
    <row r="2669" spans="4:20" x14ac:dyDescent="0.2">
      <c r="D2669" s="6"/>
      <c r="E2669" s="6"/>
      <c r="F2669" s="6"/>
      <c r="G2669" s="19"/>
      <c r="H2669" s="19"/>
      <c r="I2669" s="19"/>
      <c r="J2669" s="19"/>
      <c r="K2669" s="6"/>
      <c r="L2669" s="6"/>
      <c r="M2669" s="6"/>
      <c r="N2669" s="6"/>
      <c r="O2669" s="6"/>
      <c r="P2669" s="6"/>
      <c r="Q2669" s="6"/>
      <c r="R2669" s="6"/>
      <c r="S2669" s="6"/>
      <c r="T2669" s="6"/>
    </row>
    <row r="2670" spans="4:20" x14ac:dyDescent="0.2">
      <c r="D2670" s="6"/>
      <c r="E2670" s="6"/>
      <c r="F2670" s="6"/>
      <c r="G2670" s="19"/>
      <c r="H2670" s="19"/>
      <c r="I2670" s="19"/>
      <c r="J2670" s="19"/>
      <c r="K2670" s="6"/>
      <c r="L2670" s="6"/>
      <c r="M2670" s="6"/>
      <c r="N2670" s="6"/>
      <c r="O2670" s="6"/>
      <c r="P2670" s="6"/>
      <c r="Q2670" s="6"/>
      <c r="R2670" s="6"/>
      <c r="S2670" s="6"/>
      <c r="T2670" s="6"/>
    </row>
    <row r="2671" spans="4:20" x14ac:dyDescent="0.2">
      <c r="D2671" s="6"/>
      <c r="E2671" s="6"/>
      <c r="F2671" s="6"/>
      <c r="G2671" s="19"/>
      <c r="H2671" s="19"/>
      <c r="I2671" s="19"/>
      <c r="J2671" s="19"/>
      <c r="K2671" s="6"/>
      <c r="L2671" s="6"/>
      <c r="M2671" s="6"/>
      <c r="N2671" s="6"/>
      <c r="O2671" s="6"/>
      <c r="P2671" s="6"/>
      <c r="Q2671" s="6"/>
      <c r="R2671" s="6"/>
      <c r="S2671" s="6"/>
      <c r="T2671" s="6"/>
    </row>
    <row r="2672" spans="4:20" x14ac:dyDescent="0.2">
      <c r="D2672" s="6"/>
      <c r="E2672" s="6"/>
      <c r="F2672" s="6"/>
      <c r="G2672" s="19"/>
      <c r="H2672" s="19"/>
      <c r="I2672" s="19"/>
      <c r="J2672" s="19"/>
      <c r="K2672" s="6"/>
      <c r="L2672" s="6"/>
      <c r="M2672" s="6"/>
      <c r="N2672" s="6"/>
      <c r="O2672" s="6"/>
      <c r="P2672" s="6"/>
      <c r="Q2672" s="6"/>
      <c r="R2672" s="6"/>
      <c r="S2672" s="6"/>
      <c r="T2672" s="6"/>
    </row>
    <row r="2673" spans="4:20" x14ac:dyDescent="0.2">
      <c r="D2673" s="6"/>
      <c r="E2673" s="6"/>
      <c r="F2673" s="6"/>
      <c r="G2673" s="19"/>
      <c r="H2673" s="19"/>
      <c r="I2673" s="19"/>
      <c r="J2673" s="19"/>
      <c r="K2673" s="6"/>
      <c r="L2673" s="6"/>
      <c r="M2673" s="6"/>
      <c r="N2673" s="6"/>
      <c r="O2673" s="6"/>
      <c r="P2673" s="6"/>
      <c r="Q2673" s="6"/>
      <c r="R2673" s="6"/>
      <c r="S2673" s="6"/>
      <c r="T2673" s="6"/>
    </row>
    <row r="2674" spans="4:20" x14ac:dyDescent="0.2">
      <c r="D2674" s="6"/>
      <c r="E2674" s="6"/>
      <c r="F2674" s="6"/>
      <c r="G2674" s="19"/>
      <c r="H2674" s="19"/>
      <c r="I2674" s="19"/>
      <c r="J2674" s="19"/>
      <c r="K2674" s="6"/>
      <c r="L2674" s="6"/>
      <c r="M2674" s="6"/>
      <c r="N2674" s="6"/>
      <c r="O2674" s="6"/>
      <c r="P2674" s="6"/>
      <c r="Q2674" s="6"/>
      <c r="R2674" s="6"/>
      <c r="S2674" s="6"/>
      <c r="T2674" s="6"/>
    </row>
    <row r="2675" spans="4:20" x14ac:dyDescent="0.2">
      <c r="D2675" s="6"/>
      <c r="E2675" s="6"/>
      <c r="F2675" s="6"/>
      <c r="G2675" s="19"/>
      <c r="H2675" s="19"/>
      <c r="I2675" s="19"/>
      <c r="J2675" s="19"/>
      <c r="K2675" s="6"/>
      <c r="L2675" s="6"/>
      <c r="M2675" s="6"/>
      <c r="N2675" s="6"/>
      <c r="O2675" s="6"/>
      <c r="P2675" s="6"/>
      <c r="Q2675" s="6"/>
      <c r="R2675" s="6"/>
      <c r="S2675" s="6"/>
      <c r="T2675" s="6"/>
    </row>
    <row r="2676" spans="4:20" x14ac:dyDescent="0.2">
      <c r="D2676" s="6"/>
      <c r="E2676" s="6"/>
      <c r="F2676" s="6"/>
      <c r="G2676" s="19"/>
      <c r="H2676" s="19"/>
      <c r="I2676" s="19"/>
      <c r="J2676" s="19"/>
      <c r="K2676" s="6"/>
      <c r="L2676" s="6"/>
      <c r="M2676" s="6"/>
      <c r="N2676" s="6"/>
      <c r="O2676" s="6"/>
      <c r="P2676" s="6"/>
      <c r="Q2676" s="6"/>
      <c r="R2676" s="6"/>
      <c r="S2676" s="6"/>
      <c r="T2676" s="6"/>
    </row>
    <row r="2677" spans="4:20" x14ac:dyDescent="0.2">
      <c r="D2677" s="6"/>
      <c r="E2677" s="6"/>
      <c r="F2677" s="6"/>
      <c r="G2677" s="19"/>
      <c r="H2677" s="19"/>
      <c r="I2677" s="19"/>
      <c r="J2677" s="19"/>
      <c r="K2677" s="6"/>
      <c r="L2677" s="6"/>
      <c r="M2677" s="6"/>
      <c r="N2677" s="6"/>
      <c r="O2677" s="6"/>
      <c r="P2677" s="6"/>
      <c r="Q2677" s="6"/>
      <c r="R2677" s="6"/>
      <c r="S2677" s="6"/>
      <c r="T2677" s="6"/>
    </row>
    <row r="2678" spans="4:20" x14ac:dyDescent="0.2">
      <c r="D2678" s="6"/>
      <c r="E2678" s="6"/>
      <c r="F2678" s="6"/>
      <c r="G2678" s="19"/>
      <c r="H2678" s="19"/>
      <c r="I2678" s="19"/>
      <c r="J2678" s="19"/>
      <c r="K2678" s="6"/>
      <c r="L2678" s="6"/>
      <c r="M2678" s="6"/>
      <c r="N2678" s="6"/>
      <c r="O2678" s="6"/>
      <c r="P2678" s="6"/>
      <c r="Q2678" s="6"/>
      <c r="R2678" s="6"/>
      <c r="S2678" s="6"/>
      <c r="T2678" s="6"/>
    </row>
    <row r="2679" spans="4:20" x14ac:dyDescent="0.2">
      <c r="D2679" s="6"/>
      <c r="E2679" s="6"/>
      <c r="F2679" s="6"/>
      <c r="G2679" s="19"/>
      <c r="H2679" s="19"/>
      <c r="I2679" s="19"/>
      <c r="J2679" s="19"/>
      <c r="K2679" s="6"/>
      <c r="L2679" s="6"/>
      <c r="M2679" s="6"/>
      <c r="N2679" s="6"/>
      <c r="O2679" s="6"/>
      <c r="P2679" s="6"/>
      <c r="Q2679" s="6"/>
      <c r="R2679" s="6"/>
      <c r="S2679" s="6"/>
      <c r="T2679" s="6"/>
    </row>
    <row r="2680" spans="4:20" x14ac:dyDescent="0.2">
      <c r="D2680" s="6"/>
      <c r="E2680" s="6"/>
      <c r="F2680" s="6"/>
      <c r="G2680" s="19"/>
      <c r="H2680" s="19"/>
      <c r="I2680" s="19"/>
      <c r="J2680" s="19"/>
      <c r="K2680" s="6"/>
      <c r="L2680" s="6"/>
      <c r="M2680" s="6"/>
      <c r="N2680" s="6"/>
      <c r="O2680" s="6"/>
      <c r="P2680" s="6"/>
      <c r="Q2680" s="6"/>
      <c r="R2680" s="6"/>
      <c r="S2680" s="6"/>
      <c r="T2680" s="6"/>
    </row>
    <row r="2681" spans="4:20" x14ac:dyDescent="0.2">
      <c r="D2681" s="6"/>
      <c r="E2681" s="6"/>
      <c r="F2681" s="6"/>
      <c r="G2681" s="19"/>
      <c r="H2681" s="19"/>
      <c r="I2681" s="19"/>
      <c r="J2681" s="19"/>
      <c r="K2681" s="6"/>
      <c r="L2681" s="6"/>
      <c r="M2681" s="6"/>
      <c r="N2681" s="6"/>
      <c r="O2681" s="6"/>
      <c r="P2681" s="6"/>
      <c r="Q2681" s="6"/>
      <c r="R2681" s="6"/>
      <c r="S2681" s="6"/>
      <c r="T2681" s="6"/>
    </row>
    <row r="2682" spans="4:20" x14ac:dyDescent="0.2">
      <c r="D2682" s="6"/>
      <c r="E2682" s="6"/>
      <c r="F2682" s="6"/>
      <c r="G2682" s="19"/>
      <c r="H2682" s="19"/>
      <c r="I2682" s="19"/>
      <c r="J2682" s="19"/>
      <c r="K2682" s="6"/>
      <c r="L2682" s="6"/>
      <c r="M2682" s="6"/>
      <c r="N2682" s="6"/>
      <c r="O2682" s="6"/>
      <c r="P2682" s="6"/>
      <c r="Q2682" s="6"/>
      <c r="R2682" s="6"/>
      <c r="S2682" s="6"/>
      <c r="T2682" s="6"/>
    </row>
    <row r="2683" spans="4:20" x14ac:dyDescent="0.2">
      <c r="D2683" s="6"/>
      <c r="E2683" s="6"/>
      <c r="F2683" s="6"/>
      <c r="G2683" s="19"/>
      <c r="H2683" s="19"/>
      <c r="I2683" s="19"/>
      <c r="J2683" s="19"/>
      <c r="K2683" s="6"/>
      <c r="L2683" s="6"/>
      <c r="M2683" s="6"/>
      <c r="N2683" s="6"/>
      <c r="O2683" s="6"/>
      <c r="P2683" s="6"/>
      <c r="Q2683" s="6"/>
      <c r="R2683" s="6"/>
      <c r="S2683" s="6"/>
      <c r="T2683" s="6"/>
    </row>
    <row r="2684" spans="4:20" x14ac:dyDescent="0.2">
      <c r="D2684" s="6"/>
      <c r="E2684" s="6"/>
      <c r="F2684" s="6"/>
      <c r="G2684" s="19"/>
      <c r="H2684" s="19"/>
      <c r="I2684" s="19"/>
      <c r="J2684" s="19"/>
      <c r="K2684" s="6"/>
      <c r="L2684" s="6"/>
      <c r="M2684" s="6"/>
      <c r="N2684" s="6"/>
      <c r="O2684" s="6"/>
      <c r="P2684" s="6"/>
      <c r="Q2684" s="6"/>
      <c r="R2684" s="6"/>
      <c r="S2684" s="6"/>
      <c r="T2684" s="6"/>
    </row>
    <row r="2685" spans="4:20" x14ac:dyDescent="0.2">
      <c r="D2685" s="6"/>
      <c r="E2685" s="6"/>
      <c r="F2685" s="6"/>
      <c r="G2685" s="19"/>
      <c r="H2685" s="19"/>
      <c r="I2685" s="19"/>
      <c r="J2685" s="19"/>
      <c r="K2685" s="6"/>
      <c r="L2685" s="6"/>
      <c r="M2685" s="6"/>
      <c r="N2685" s="6"/>
      <c r="O2685" s="6"/>
      <c r="P2685" s="6"/>
      <c r="Q2685" s="6"/>
      <c r="R2685" s="6"/>
      <c r="S2685" s="6"/>
      <c r="T2685" s="6"/>
    </row>
    <row r="2686" spans="4:20" x14ac:dyDescent="0.2">
      <c r="D2686" s="6"/>
      <c r="E2686" s="6"/>
      <c r="F2686" s="6"/>
      <c r="G2686" s="19"/>
      <c r="H2686" s="19"/>
      <c r="I2686" s="19"/>
      <c r="J2686" s="19"/>
      <c r="K2686" s="6"/>
      <c r="L2686" s="6"/>
      <c r="M2686" s="6"/>
      <c r="N2686" s="6"/>
      <c r="O2686" s="6"/>
      <c r="P2686" s="6"/>
      <c r="Q2686" s="6"/>
      <c r="R2686" s="6"/>
      <c r="S2686" s="6"/>
      <c r="T2686" s="6"/>
    </row>
    <row r="2687" spans="4:20" x14ac:dyDescent="0.2">
      <c r="D2687" s="6"/>
      <c r="E2687" s="6"/>
      <c r="F2687" s="6"/>
      <c r="G2687" s="19"/>
      <c r="H2687" s="19"/>
      <c r="I2687" s="19"/>
      <c r="J2687" s="19"/>
      <c r="K2687" s="6"/>
      <c r="L2687" s="6"/>
      <c r="M2687" s="6"/>
      <c r="N2687" s="6"/>
      <c r="O2687" s="6"/>
      <c r="P2687" s="6"/>
      <c r="Q2687" s="6"/>
      <c r="R2687" s="6"/>
      <c r="S2687" s="6"/>
      <c r="T2687" s="6"/>
    </row>
    <row r="2688" spans="4:20" x14ac:dyDescent="0.2">
      <c r="D2688" s="6"/>
      <c r="E2688" s="6"/>
      <c r="F2688" s="6"/>
      <c r="G2688" s="19"/>
      <c r="H2688" s="19"/>
      <c r="I2688" s="19"/>
      <c r="J2688" s="19"/>
      <c r="K2688" s="6"/>
      <c r="L2688" s="6"/>
      <c r="M2688" s="6"/>
      <c r="N2688" s="6"/>
      <c r="O2688" s="6"/>
      <c r="P2688" s="6"/>
      <c r="Q2688" s="6"/>
      <c r="R2688" s="6"/>
      <c r="S2688" s="6"/>
      <c r="T2688" s="6"/>
    </row>
    <row r="2689" spans="4:20" x14ac:dyDescent="0.2">
      <c r="D2689" s="6"/>
      <c r="E2689" s="6"/>
      <c r="F2689" s="6"/>
      <c r="G2689" s="19"/>
      <c r="H2689" s="19"/>
      <c r="I2689" s="19"/>
      <c r="J2689" s="19"/>
      <c r="K2689" s="6"/>
      <c r="L2689" s="6"/>
      <c r="M2689" s="6"/>
      <c r="N2689" s="6"/>
      <c r="O2689" s="6"/>
      <c r="P2689" s="6"/>
      <c r="Q2689" s="6"/>
      <c r="R2689" s="6"/>
      <c r="S2689" s="6"/>
      <c r="T2689" s="6"/>
    </row>
    <row r="2690" spans="4:20" x14ac:dyDescent="0.2">
      <c r="D2690" s="6"/>
      <c r="E2690" s="6"/>
      <c r="F2690" s="6"/>
      <c r="G2690" s="19"/>
      <c r="H2690" s="19"/>
      <c r="I2690" s="19"/>
      <c r="J2690" s="19"/>
      <c r="K2690" s="6"/>
      <c r="L2690" s="6"/>
      <c r="M2690" s="6"/>
      <c r="N2690" s="6"/>
      <c r="O2690" s="6"/>
      <c r="P2690" s="6"/>
      <c r="Q2690" s="6"/>
      <c r="R2690" s="6"/>
      <c r="S2690" s="6"/>
      <c r="T2690" s="6"/>
    </row>
    <row r="2691" spans="4:20" x14ac:dyDescent="0.2">
      <c r="D2691" s="6"/>
      <c r="E2691" s="6"/>
      <c r="F2691" s="6"/>
      <c r="G2691" s="19"/>
      <c r="H2691" s="19"/>
      <c r="I2691" s="19"/>
      <c r="J2691" s="19"/>
      <c r="K2691" s="6"/>
      <c r="L2691" s="6"/>
      <c r="M2691" s="6"/>
      <c r="N2691" s="6"/>
      <c r="O2691" s="6"/>
      <c r="P2691" s="6"/>
      <c r="Q2691" s="6"/>
      <c r="R2691" s="6"/>
      <c r="S2691" s="6"/>
      <c r="T2691" s="6"/>
    </row>
    <row r="2692" spans="4:20" x14ac:dyDescent="0.2">
      <c r="D2692" s="6"/>
      <c r="E2692" s="6"/>
      <c r="F2692" s="6"/>
      <c r="G2692" s="19"/>
      <c r="H2692" s="19"/>
      <c r="I2692" s="19"/>
      <c r="J2692" s="19"/>
      <c r="K2692" s="6"/>
      <c r="L2692" s="6"/>
      <c r="M2692" s="6"/>
      <c r="N2692" s="6"/>
      <c r="O2692" s="6"/>
      <c r="P2692" s="6"/>
      <c r="Q2692" s="6"/>
      <c r="R2692" s="6"/>
      <c r="S2692" s="6"/>
      <c r="T2692" s="6"/>
    </row>
    <row r="2693" spans="4:20" x14ac:dyDescent="0.2">
      <c r="D2693" s="6"/>
      <c r="E2693" s="6"/>
      <c r="F2693" s="6"/>
      <c r="G2693" s="19"/>
      <c r="H2693" s="19"/>
      <c r="I2693" s="19"/>
      <c r="J2693" s="19"/>
      <c r="K2693" s="6"/>
      <c r="L2693" s="6"/>
      <c r="M2693" s="6"/>
      <c r="N2693" s="6"/>
      <c r="O2693" s="6"/>
      <c r="P2693" s="6"/>
      <c r="Q2693" s="6"/>
      <c r="R2693" s="6"/>
      <c r="S2693" s="6"/>
      <c r="T2693" s="6"/>
    </row>
    <row r="2694" spans="4:20" x14ac:dyDescent="0.2">
      <c r="D2694" s="6"/>
      <c r="E2694" s="6"/>
      <c r="F2694" s="6"/>
      <c r="G2694" s="19"/>
      <c r="H2694" s="19"/>
      <c r="I2694" s="19"/>
      <c r="J2694" s="19"/>
      <c r="K2694" s="6"/>
      <c r="L2694" s="6"/>
      <c r="M2694" s="6"/>
      <c r="N2694" s="6"/>
      <c r="O2694" s="6"/>
      <c r="P2694" s="6"/>
      <c r="Q2694" s="6"/>
      <c r="R2694" s="6"/>
      <c r="S2694" s="6"/>
      <c r="T2694" s="6"/>
    </row>
    <row r="2695" spans="4:20" x14ac:dyDescent="0.2">
      <c r="D2695" s="6"/>
      <c r="E2695" s="6"/>
      <c r="F2695" s="6"/>
      <c r="G2695" s="19"/>
      <c r="H2695" s="19"/>
      <c r="I2695" s="19"/>
      <c r="J2695" s="19"/>
      <c r="K2695" s="6"/>
      <c r="L2695" s="6"/>
      <c r="M2695" s="6"/>
      <c r="N2695" s="6"/>
      <c r="O2695" s="6"/>
      <c r="P2695" s="6"/>
      <c r="Q2695" s="6"/>
      <c r="R2695" s="6"/>
      <c r="S2695" s="6"/>
      <c r="T2695" s="6"/>
    </row>
    <row r="2696" spans="4:20" x14ac:dyDescent="0.2">
      <c r="D2696" s="6"/>
      <c r="E2696" s="6"/>
      <c r="F2696" s="6"/>
      <c r="G2696" s="19"/>
      <c r="H2696" s="19"/>
      <c r="I2696" s="19"/>
      <c r="J2696" s="19"/>
      <c r="K2696" s="6"/>
      <c r="L2696" s="6"/>
      <c r="M2696" s="6"/>
      <c r="N2696" s="6"/>
      <c r="O2696" s="6"/>
      <c r="P2696" s="6"/>
      <c r="Q2696" s="6"/>
      <c r="R2696" s="6"/>
      <c r="S2696" s="6"/>
      <c r="T2696" s="6"/>
    </row>
    <row r="2697" spans="4:20" x14ac:dyDescent="0.2">
      <c r="D2697" s="6"/>
      <c r="E2697" s="6"/>
      <c r="F2697" s="6"/>
      <c r="G2697" s="19"/>
      <c r="H2697" s="19"/>
      <c r="I2697" s="19"/>
      <c r="J2697" s="19"/>
      <c r="K2697" s="6"/>
      <c r="L2697" s="6"/>
      <c r="M2697" s="6"/>
      <c r="N2697" s="6"/>
      <c r="O2697" s="6"/>
      <c r="P2697" s="6"/>
      <c r="Q2697" s="6"/>
      <c r="R2697" s="6"/>
      <c r="S2697" s="6"/>
      <c r="T2697" s="6"/>
    </row>
    <row r="2698" spans="4:20" x14ac:dyDescent="0.2">
      <c r="D2698" s="6"/>
      <c r="E2698" s="6"/>
      <c r="F2698" s="6"/>
      <c r="G2698" s="19"/>
      <c r="H2698" s="19"/>
      <c r="I2698" s="19"/>
      <c r="J2698" s="19"/>
      <c r="K2698" s="6"/>
      <c r="L2698" s="6"/>
      <c r="M2698" s="6"/>
      <c r="N2698" s="6"/>
      <c r="O2698" s="6"/>
      <c r="P2698" s="6"/>
      <c r="Q2698" s="6"/>
      <c r="R2698" s="6"/>
      <c r="S2698" s="6"/>
      <c r="T2698" s="6"/>
    </row>
    <row r="2699" spans="4:20" x14ac:dyDescent="0.2">
      <c r="D2699" s="6"/>
      <c r="E2699" s="6"/>
      <c r="F2699" s="6"/>
      <c r="G2699" s="19"/>
      <c r="H2699" s="19"/>
      <c r="I2699" s="19"/>
      <c r="J2699" s="19"/>
      <c r="K2699" s="6"/>
      <c r="L2699" s="6"/>
      <c r="M2699" s="6"/>
      <c r="N2699" s="6"/>
      <c r="O2699" s="6"/>
      <c r="P2699" s="6"/>
      <c r="Q2699" s="6"/>
      <c r="R2699" s="6"/>
      <c r="S2699" s="6"/>
      <c r="T2699" s="6"/>
    </row>
    <row r="2700" spans="4:20" x14ac:dyDescent="0.2">
      <c r="D2700" s="6"/>
      <c r="E2700" s="6"/>
      <c r="F2700" s="6"/>
      <c r="G2700" s="19"/>
      <c r="H2700" s="19"/>
      <c r="I2700" s="19"/>
      <c r="J2700" s="19"/>
      <c r="K2700" s="6"/>
      <c r="L2700" s="6"/>
      <c r="M2700" s="6"/>
      <c r="N2700" s="6"/>
      <c r="O2700" s="6"/>
      <c r="P2700" s="6"/>
      <c r="Q2700" s="6"/>
      <c r="R2700" s="6"/>
      <c r="S2700" s="6"/>
      <c r="T2700" s="6"/>
    </row>
    <row r="2701" spans="4:20" x14ac:dyDescent="0.2">
      <c r="D2701" s="6"/>
      <c r="E2701" s="6"/>
      <c r="F2701" s="6"/>
      <c r="G2701" s="19"/>
      <c r="H2701" s="19"/>
      <c r="I2701" s="19"/>
      <c r="J2701" s="19"/>
      <c r="K2701" s="6"/>
      <c r="L2701" s="6"/>
      <c r="M2701" s="6"/>
      <c r="N2701" s="6"/>
      <c r="O2701" s="6"/>
      <c r="P2701" s="6"/>
      <c r="Q2701" s="6"/>
      <c r="R2701" s="6"/>
      <c r="S2701" s="6"/>
      <c r="T2701" s="6"/>
    </row>
    <row r="2702" spans="4:20" x14ac:dyDescent="0.2">
      <c r="D2702" s="6"/>
      <c r="E2702" s="6"/>
      <c r="F2702" s="6"/>
      <c r="G2702" s="19"/>
      <c r="H2702" s="19"/>
      <c r="I2702" s="19"/>
      <c r="J2702" s="19"/>
      <c r="K2702" s="6"/>
      <c r="L2702" s="6"/>
      <c r="M2702" s="6"/>
      <c r="N2702" s="6"/>
      <c r="O2702" s="6"/>
      <c r="P2702" s="6"/>
      <c r="Q2702" s="6"/>
      <c r="R2702" s="6"/>
      <c r="S2702" s="6"/>
      <c r="T2702" s="6"/>
    </row>
    <row r="2703" spans="4:20" x14ac:dyDescent="0.2">
      <c r="D2703" s="6"/>
      <c r="E2703" s="6"/>
      <c r="F2703" s="6"/>
      <c r="G2703" s="19"/>
      <c r="H2703" s="19"/>
      <c r="I2703" s="19"/>
      <c r="J2703" s="19"/>
      <c r="K2703" s="6"/>
      <c r="L2703" s="6"/>
      <c r="M2703" s="6"/>
      <c r="N2703" s="6"/>
      <c r="O2703" s="6"/>
      <c r="P2703" s="6"/>
      <c r="Q2703" s="6"/>
      <c r="R2703" s="6"/>
      <c r="S2703" s="6"/>
      <c r="T2703" s="6"/>
    </row>
    <row r="2704" spans="4:20" x14ac:dyDescent="0.2">
      <c r="D2704" s="6"/>
      <c r="E2704" s="6"/>
      <c r="F2704" s="6"/>
      <c r="G2704" s="19"/>
      <c r="H2704" s="19"/>
      <c r="I2704" s="19"/>
      <c r="J2704" s="19"/>
      <c r="K2704" s="6"/>
      <c r="L2704" s="6"/>
      <c r="M2704" s="6"/>
      <c r="N2704" s="6"/>
      <c r="O2704" s="6"/>
      <c r="P2704" s="6"/>
      <c r="Q2704" s="6"/>
      <c r="R2704" s="6"/>
      <c r="S2704" s="6"/>
      <c r="T2704" s="6"/>
    </row>
    <row r="2705" spans="4:20" x14ac:dyDescent="0.2">
      <c r="D2705" s="6"/>
      <c r="E2705" s="6"/>
      <c r="F2705" s="6"/>
      <c r="G2705" s="19"/>
      <c r="H2705" s="19"/>
      <c r="I2705" s="19"/>
      <c r="J2705" s="19"/>
      <c r="K2705" s="6"/>
      <c r="L2705" s="6"/>
      <c r="M2705" s="6"/>
      <c r="N2705" s="6"/>
      <c r="O2705" s="6"/>
      <c r="P2705" s="6"/>
      <c r="Q2705" s="6"/>
      <c r="R2705" s="6"/>
      <c r="S2705" s="6"/>
      <c r="T2705" s="6"/>
    </row>
    <row r="2706" spans="4:20" x14ac:dyDescent="0.2">
      <c r="D2706" s="6"/>
      <c r="E2706" s="6"/>
      <c r="F2706" s="6"/>
      <c r="G2706" s="19"/>
      <c r="H2706" s="19"/>
      <c r="I2706" s="19"/>
      <c r="J2706" s="19"/>
      <c r="K2706" s="6"/>
      <c r="L2706" s="6"/>
      <c r="M2706" s="6"/>
      <c r="N2706" s="6"/>
      <c r="O2706" s="6"/>
      <c r="P2706" s="6"/>
      <c r="Q2706" s="6"/>
      <c r="R2706" s="6"/>
      <c r="S2706" s="6"/>
      <c r="T2706" s="6"/>
    </row>
    <row r="2707" spans="4:20" x14ac:dyDescent="0.2">
      <c r="D2707" s="6"/>
      <c r="E2707" s="6"/>
      <c r="F2707" s="6"/>
      <c r="G2707" s="19"/>
      <c r="H2707" s="19"/>
      <c r="I2707" s="19"/>
      <c r="J2707" s="19"/>
      <c r="K2707" s="6"/>
      <c r="L2707" s="6"/>
      <c r="M2707" s="6"/>
      <c r="N2707" s="6"/>
      <c r="O2707" s="6"/>
      <c r="P2707" s="6"/>
      <c r="Q2707" s="6"/>
      <c r="R2707" s="6"/>
      <c r="S2707" s="6"/>
      <c r="T2707" s="6"/>
    </row>
    <row r="2708" spans="4:20" x14ac:dyDescent="0.2">
      <c r="D2708" s="6"/>
      <c r="E2708" s="6"/>
      <c r="F2708" s="6"/>
      <c r="G2708" s="19"/>
      <c r="H2708" s="19"/>
      <c r="I2708" s="19"/>
      <c r="J2708" s="19"/>
      <c r="K2708" s="6"/>
      <c r="L2708" s="6"/>
      <c r="M2708" s="6"/>
      <c r="N2708" s="6"/>
      <c r="O2708" s="6"/>
      <c r="P2708" s="6"/>
      <c r="Q2708" s="6"/>
      <c r="R2708" s="6"/>
      <c r="S2708" s="6"/>
      <c r="T2708" s="6"/>
    </row>
    <row r="2709" spans="4:20" x14ac:dyDescent="0.2">
      <c r="D2709" s="6"/>
      <c r="E2709" s="6"/>
      <c r="F2709" s="6"/>
      <c r="G2709" s="19"/>
      <c r="H2709" s="19"/>
      <c r="I2709" s="19"/>
      <c r="J2709" s="19"/>
      <c r="K2709" s="6"/>
      <c r="L2709" s="6"/>
      <c r="M2709" s="6"/>
      <c r="N2709" s="6"/>
      <c r="O2709" s="6"/>
      <c r="P2709" s="6"/>
      <c r="Q2709" s="6"/>
      <c r="R2709" s="6"/>
      <c r="S2709" s="6"/>
      <c r="T2709" s="6"/>
    </row>
    <row r="2710" spans="4:20" x14ac:dyDescent="0.2">
      <c r="D2710" s="6"/>
      <c r="E2710" s="6"/>
      <c r="F2710" s="6"/>
      <c r="G2710" s="19"/>
      <c r="H2710" s="19"/>
      <c r="I2710" s="19"/>
      <c r="J2710" s="19"/>
      <c r="K2710" s="6"/>
      <c r="L2710" s="6"/>
      <c r="M2710" s="6"/>
      <c r="N2710" s="6"/>
      <c r="O2710" s="6"/>
      <c r="P2710" s="6"/>
      <c r="Q2710" s="6"/>
      <c r="R2710" s="6"/>
      <c r="S2710" s="6"/>
      <c r="T2710" s="6"/>
    </row>
    <row r="2711" spans="4:20" x14ac:dyDescent="0.2">
      <c r="D2711" s="6"/>
      <c r="E2711" s="6"/>
      <c r="F2711" s="6"/>
      <c r="G2711" s="19"/>
      <c r="H2711" s="19"/>
      <c r="I2711" s="19"/>
      <c r="J2711" s="19"/>
      <c r="K2711" s="6"/>
      <c r="L2711" s="6"/>
      <c r="M2711" s="6"/>
      <c r="N2711" s="6"/>
      <c r="O2711" s="6"/>
      <c r="P2711" s="6"/>
      <c r="Q2711" s="6"/>
      <c r="R2711" s="6"/>
      <c r="S2711" s="6"/>
      <c r="T2711" s="6"/>
    </row>
    <row r="2712" spans="4:20" x14ac:dyDescent="0.2">
      <c r="D2712" s="6"/>
      <c r="E2712" s="6"/>
      <c r="F2712" s="6"/>
      <c r="G2712" s="19"/>
      <c r="H2712" s="19"/>
      <c r="I2712" s="19"/>
      <c r="J2712" s="19"/>
      <c r="K2712" s="6"/>
      <c r="L2712" s="6"/>
      <c r="M2712" s="6"/>
      <c r="N2712" s="6"/>
      <c r="O2712" s="6"/>
      <c r="P2712" s="6"/>
      <c r="Q2712" s="6"/>
      <c r="R2712" s="6"/>
      <c r="S2712" s="6"/>
      <c r="T2712" s="6"/>
    </row>
    <row r="2713" spans="4:20" x14ac:dyDescent="0.2">
      <c r="D2713" s="6"/>
      <c r="E2713" s="6"/>
      <c r="F2713" s="6"/>
      <c r="G2713" s="19"/>
      <c r="H2713" s="19"/>
      <c r="I2713" s="19"/>
      <c r="J2713" s="19"/>
      <c r="K2713" s="6"/>
      <c r="L2713" s="6"/>
      <c r="M2713" s="6"/>
      <c r="N2713" s="6"/>
      <c r="O2713" s="6"/>
      <c r="P2713" s="6"/>
      <c r="Q2713" s="6"/>
      <c r="R2713" s="6"/>
      <c r="S2713" s="6"/>
      <c r="T2713" s="6"/>
    </row>
    <row r="2714" spans="4:20" x14ac:dyDescent="0.2">
      <c r="D2714" s="6"/>
      <c r="E2714" s="6"/>
      <c r="F2714" s="6"/>
      <c r="G2714" s="19"/>
      <c r="H2714" s="19"/>
      <c r="I2714" s="19"/>
      <c r="J2714" s="19"/>
      <c r="K2714" s="6"/>
      <c r="L2714" s="6"/>
      <c r="M2714" s="6"/>
      <c r="N2714" s="6"/>
      <c r="O2714" s="6"/>
      <c r="P2714" s="6"/>
      <c r="Q2714" s="6"/>
      <c r="R2714" s="6"/>
      <c r="S2714" s="6"/>
      <c r="T2714" s="6"/>
    </row>
    <row r="2715" spans="4:20" x14ac:dyDescent="0.2">
      <c r="D2715" s="6"/>
      <c r="E2715" s="6"/>
      <c r="F2715" s="6"/>
      <c r="G2715" s="19"/>
      <c r="H2715" s="19"/>
      <c r="I2715" s="19"/>
      <c r="J2715" s="19"/>
      <c r="K2715" s="6"/>
      <c r="L2715" s="6"/>
      <c r="M2715" s="6"/>
      <c r="N2715" s="6"/>
      <c r="O2715" s="6"/>
      <c r="P2715" s="6"/>
      <c r="Q2715" s="6"/>
      <c r="R2715" s="6"/>
      <c r="S2715" s="6"/>
      <c r="T2715" s="6"/>
    </row>
    <row r="2716" spans="4:20" x14ac:dyDescent="0.2">
      <c r="D2716" s="6"/>
      <c r="E2716" s="6"/>
      <c r="F2716" s="6"/>
      <c r="G2716" s="19"/>
      <c r="H2716" s="19"/>
      <c r="I2716" s="19"/>
      <c r="J2716" s="19"/>
      <c r="K2716" s="6"/>
      <c r="L2716" s="6"/>
      <c r="M2716" s="6"/>
      <c r="N2716" s="6"/>
      <c r="O2716" s="6"/>
      <c r="P2716" s="6"/>
      <c r="Q2716" s="6"/>
      <c r="R2716" s="6"/>
      <c r="S2716" s="6"/>
      <c r="T2716" s="6"/>
    </row>
    <row r="2717" spans="4:20" x14ac:dyDescent="0.2">
      <c r="D2717" s="6"/>
      <c r="E2717" s="6"/>
      <c r="F2717" s="6"/>
      <c r="G2717" s="19"/>
      <c r="H2717" s="19"/>
      <c r="I2717" s="19"/>
      <c r="J2717" s="19"/>
      <c r="K2717" s="6"/>
      <c r="L2717" s="6"/>
      <c r="M2717" s="6"/>
      <c r="N2717" s="6"/>
      <c r="O2717" s="6"/>
      <c r="P2717" s="6"/>
      <c r="Q2717" s="6"/>
      <c r="R2717" s="6"/>
      <c r="S2717" s="6"/>
      <c r="T2717" s="6"/>
    </row>
    <row r="2718" spans="4:20" x14ac:dyDescent="0.2">
      <c r="D2718" s="6"/>
      <c r="E2718" s="6"/>
      <c r="F2718" s="6"/>
      <c r="G2718" s="19"/>
      <c r="H2718" s="19"/>
      <c r="I2718" s="19"/>
      <c r="J2718" s="19"/>
      <c r="K2718" s="6"/>
      <c r="L2718" s="6"/>
      <c r="M2718" s="6"/>
      <c r="N2718" s="6"/>
      <c r="O2718" s="6"/>
      <c r="P2718" s="6"/>
      <c r="Q2718" s="6"/>
      <c r="R2718" s="6"/>
      <c r="S2718" s="6"/>
      <c r="T2718" s="6"/>
    </row>
    <row r="2719" spans="4:20" x14ac:dyDescent="0.2">
      <c r="D2719" s="6"/>
      <c r="E2719" s="6"/>
      <c r="F2719" s="6"/>
      <c r="G2719" s="19"/>
      <c r="H2719" s="19"/>
      <c r="I2719" s="19"/>
      <c r="J2719" s="19"/>
      <c r="K2719" s="6"/>
      <c r="L2719" s="6"/>
      <c r="M2719" s="6"/>
      <c r="N2719" s="6"/>
      <c r="O2719" s="6"/>
      <c r="P2719" s="6"/>
      <c r="Q2719" s="6"/>
      <c r="R2719" s="6"/>
      <c r="S2719" s="6"/>
      <c r="T2719" s="6"/>
    </row>
    <row r="2720" spans="4:20" x14ac:dyDescent="0.2">
      <c r="D2720" s="6"/>
      <c r="E2720" s="6"/>
      <c r="F2720" s="6"/>
      <c r="G2720" s="19"/>
      <c r="H2720" s="19"/>
      <c r="I2720" s="19"/>
      <c r="J2720" s="19"/>
      <c r="K2720" s="6"/>
      <c r="L2720" s="6"/>
      <c r="M2720" s="6"/>
      <c r="N2720" s="6"/>
      <c r="O2720" s="6"/>
      <c r="P2720" s="6"/>
      <c r="Q2720" s="6"/>
      <c r="R2720" s="6"/>
      <c r="S2720" s="6"/>
      <c r="T2720" s="6"/>
    </row>
    <row r="2721" spans="4:20" x14ac:dyDescent="0.2">
      <c r="D2721" s="6"/>
      <c r="E2721" s="6"/>
      <c r="F2721" s="6"/>
      <c r="G2721" s="19"/>
      <c r="H2721" s="19"/>
      <c r="I2721" s="19"/>
      <c r="J2721" s="19"/>
      <c r="K2721" s="6"/>
      <c r="L2721" s="6"/>
      <c r="M2721" s="6"/>
      <c r="N2721" s="6"/>
      <c r="O2721" s="6"/>
      <c r="P2721" s="6"/>
      <c r="Q2721" s="6"/>
      <c r="R2721" s="6"/>
      <c r="S2721" s="6"/>
      <c r="T2721" s="6"/>
    </row>
    <row r="2722" spans="4:20" x14ac:dyDescent="0.2">
      <c r="D2722" s="6"/>
      <c r="E2722" s="6"/>
      <c r="F2722" s="6"/>
      <c r="G2722" s="19"/>
      <c r="H2722" s="19"/>
      <c r="I2722" s="19"/>
      <c r="J2722" s="19"/>
      <c r="K2722" s="6"/>
      <c r="L2722" s="6"/>
      <c r="M2722" s="6"/>
      <c r="N2722" s="6"/>
      <c r="O2722" s="6"/>
      <c r="P2722" s="6"/>
      <c r="Q2722" s="6"/>
      <c r="R2722" s="6"/>
      <c r="S2722" s="6"/>
      <c r="T2722" s="6"/>
    </row>
    <row r="2723" spans="4:20" x14ac:dyDescent="0.2">
      <c r="D2723" s="6"/>
      <c r="E2723" s="6"/>
      <c r="F2723" s="6"/>
      <c r="G2723" s="19"/>
      <c r="H2723" s="19"/>
      <c r="I2723" s="19"/>
      <c r="J2723" s="19"/>
      <c r="K2723" s="6"/>
      <c r="L2723" s="6"/>
      <c r="M2723" s="6"/>
      <c r="N2723" s="6"/>
      <c r="O2723" s="6"/>
      <c r="P2723" s="6"/>
      <c r="Q2723" s="6"/>
      <c r="R2723" s="6"/>
      <c r="S2723" s="6"/>
      <c r="T2723" s="6"/>
    </row>
    <row r="2724" spans="4:20" x14ac:dyDescent="0.2">
      <c r="D2724" s="6"/>
      <c r="E2724" s="6"/>
      <c r="F2724" s="6"/>
      <c r="G2724" s="19"/>
      <c r="H2724" s="19"/>
      <c r="I2724" s="19"/>
      <c r="J2724" s="19"/>
      <c r="K2724" s="6"/>
      <c r="L2724" s="6"/>
      <c r="M2724" s="6"/>
      <c r="N2724" s="6"/>
      <c r="O2724" s="6"/>
      <c r="P2724" s="6"/>
      <c r="Q2724" s="6"/>
      <c r="R2724" s="6"/>
      <c r="S2724" s="6"/>
      <c r="T2724" s="6"/>
    </row>
    <row r="2725" spans="4:20" x14ac:dyDescent="0.2">
      <c r="D2725" s="6"/>
      <c r="E2725" s="6"/>
      <c r="F2725" s="6"/>
      <c r="G2725" s="19"/>
      <c r="H2725" s="19"/>
      <c r="I2725" s="19"/>
      <c r="J2725" s="19"/>
      <c r="K2725" s="6"/>
      <c r="L2725" s="6"/>
      <c r="M2725" s="6"/>
      <c r="N2725" s="6"/>
      <c r="O2725" s="6"/>
      <c r="P2725" s="6"/>
      <c r="Q2725" s="6"/>
      <c r="R2725" s="6"/>
      <c r="S2725" s="6"/>
      <c r="T2725" s="6"/>
    </row>
    <row r="2726" spans="4:20" x14ac:dyDescent="0.2">
      <c r="D2726" s="6"/>
      <c r="E2726" s="6"/>
      <c r="F2726" s="6"/>
      <c r="G2726" s="19"/>
      <c r="H2726" s="19"/>
      <c r="I2726" s="19"/>
      <c r="J2726" s="19"/>
      <c r="K2726" s="6"/>
      <c r="L2726" s="6"/>
      <c r="M2726" s="6"/>
      <c r="N2726" s="6"/>
      <c r="O2726" s="6"/>
      <c r="P2726" s="6"/>
      <c r="Q2726" s="6"/>
      <c r="R2726" s="6"/>
      <c r="S2726" s="6"/>
      <c r="T2726" s="6"/>
    </row>
    <row r="2727" spans="4:20" x14ac:dyDescent="0.2">
      <c r="D2727" s="6"/>
      <c r="E2727" s="6"/>
      <c r="F2727" s="6"/>
      <c r="G2727" s="19"/>
      <c r="H2727" s="19"/>
      <c r="I2727" s="19"/>
      <c r="J2727" s="19"/>
      <c r="K2727" s="6"/>
      <c r="L2727" s="6"/>
      <c r="M2727" s="6"/>
      <c r="N2727" s="6"/>
      <c r="O2727" s="6"/>
      <c r="P2727" s="6"/>
      <c r="Q2727" s="6"/>
      <c r="R2727" s="6"/>
      <c r="S2727" s="6"/>
      <c r="T2727" s="6"/>
    </row>
    <row r="2728" spans="4:20" x14ac:dyDescent="0.2">
      <c r="D2728" s="6"/>
      <c r="E2728" s="6"/>
      <c r="F2728" s="6"/>
      <c r="G2728" s="19"/>
      <c r="H2728" s="19"/>
      <c r="I2728" s="19"/>
      <c r="J2728" s="19"/>
      <c r="K2728" s="6"/>
      <c r="L2728" s="6"/>
      <c r="M2728" s="6"/>
      <c r="N2728" s="6"/>
      <c r="O2728" s="6"/>
      <c r="P2728" s="6"/>
      <c r="Q2728" s="6"/>
      <c r="R2728" s="6"/>
      <c r="S2728" s="6"/>
      <c r="T2728" s="6"/>
    </row>
    <row r="2729" spans="4:20" x14ac:dyDescent="0.2">
      <c r="D2729" s="6"/>
      <c r="E2729" s="6"/>
      <c r="F2729" s="6"/>
      <c r="G2729" s="19"/>
      <c r="H2729" s="19"/>
      <c r="I2729" s="19"/>
      <c r="J2729" s="19"/>
      <c r="K2729" s="6"/>
      <c r="L2729" s="6"/>
      <c r="M2729" s="6"/>
      <c r="N2729" s="6"/>
      <c r="O2729" s="6"/>
      <c r="P2729" s="6"/>
      <c r="Q2729" s="6"/>
      <c r="R2729" s="6"/>
      <c r="S2729" s="6"/>
      <c r="T2729" s="6"/>
    </row>
    <row r="2730" spans="4:20" x14ac:dyDescent="0.2">
      <c r="D2730" s="6"/>
      <c r="E2730" s="6"/>
      <c r="F2730" s="6"/>
      <c r="G2730" s="19"/>
      <c r="H2730" s="19"/>
      <c r="I2730" s="19"/>
      <c r="J2730" s="19"/>
      <c r="K2730" s="6"/>
      <c r="L2730" s="6"/>
      <c r="M2730" s="6"/>
      <c r="N2730" s="6"/>
      <c r="O2730" s="6"/>
      <c r="P2730" s="6"/>
      <c r="Q2730" s="6"/>
      <c r="R2730" s="6"/>
      <c r="S2730" s="6"/>
      <c r="T2730" s="6"/>
    </row>
    <row r="2731" spans="4:20" x14ac:dyDescent="0.2">
      <c r="D2731" s="6"/>
      <c r="E2731" s="6"/>
      <c r="F2731" s="6"/>
      <c r="G2731" s="19"/>
      <c r="H2731" s="19"/>
      <c r="I2731" s="19"/>
      <c r="J2731" s="19"/>
      <c r="K2731" s="6"/>
      <c r="L2731" s="6"/>
      <c r="M2731" s="6"/>
      <c r="N2731" s="6"/>
      <c r="O2731" s="6"/>
      <c r="P2731" s="6"/>
      <c r="Q2731" s="6"/>
      <c r="R2731" s="6"/>
      <c r="S2731" s="6"/>
      <c r="T2731" s="6"/>
    </row>
    <row r="2732" spans="4:20" x14ac:dyDescent="0.2">
      <c r="D2732" s="6"/>
      <c r="E2732" s="6"/>
      <c r="F2732" s="6"/>
      <c r="G2732" s="19"/>
      <c r="H2732" s="19"/>
      <c r="I2732" s="19"/>
      <c r="J2732" s="19"/>
      <c r="K2732" s="6"/>
      <c r="L2732" s="6"/>
      <c r="M2732" s="6"/>
      <c r="N2732" s="6"/>
      <c r="O2732" s="6"/>
      <c r="P2732" s="6"/>
      <c r="Q2732" s="6"/>
      <c r="R2732" s="6"/>
      <c r="S2732" s="6"/>
      <c r="T2732" s="6"/>
    </row>
    <row r="2733" spans="4:20" x14ac:dyDescent="0.2">
      <c r="D2733" s="6"/>
      <c r="E2733" s="6"/>
      <c r="F2733" s="6"/>
      <c r="G2733" s="19"/>
      <c r="H2733" s="19"/>
      <c r="I2733" s="19"/>
      <c r="J2733" s="19"/>
      <c r="K2733" s="6"/>
      <c r="L2733" s="6"/>
      <c r="M2733" s="6"/>
      <c r="N2733" s="6"/>
      <c r="O2733" s="6"/>
      <c r="P2733" s="6"/>
      <c r="Q2733" s="6"/>
      <c r="R2733" s="6"/>
      <c r="S2733" s="6"/>
      <c r="T2733" s="6"/>
    </row>
    <row r="2734" spans="4:20" x14ac:dyDescent="0.2">
      <c r="D2734" s="6"/>
      <c r="E2734" s="6"/>
      <c r="F2734" s="6"/>
      <c r="G2734" s="19"/>
      <c r="H2734" s="19"/>
      <c r="I2734" s="19"/>
      <c r="J2734" s="19"/>
      <c r="K2734" s="6"/>
      <c r="L2734" s="6"/>
      <c r="M2734" s="6"/>
      <c r="N2734" s="6"/>
      <c r="O2734" s="6"/>
      <c r="P2734" s="6"/>
      <c r="Q2734" s="6"/>
      <c r="R2734" s="6"/>
      <c r="S2734" s="6"/>
      <c r="T2734" s="6"/>
    </row>
    <row r="2735" spans="4:20" x14ac:dyDescent="0.2">
      <c r="D2735" s="6"/>
      <c r="E2735" s="6"/>
      <c r="F2735" s="6"/>
      <c r="G2735" s="19"/>
      <c r="H2735" s="19"/>
      <c r="I2735" s="19"/>
      <c r="J2735" s="19"/>
      <c r="K2735" s="6"/>
      <c r="L2735" s="6"/>
      <c r="M2735" s="6"/>
      <c r="N2735" s="6"/>
      <c r="O2735" s="6"/>
      <c r="P2735" s="6"/>
      <c r="Q2735" s="6"/>
      <c r="R2735" s="6"/>
      <c r="S2735" s="6"/>
      <c r="T2735" s="6"/>
    </row>
    <row r="2736" spans="4:20" x14ac:dyDescent="0.2">
      <c r="D2736" s="6"/>
      <c r="E2736" s="6"/>
      <c r="F2736" s="6"/>
      <c r="G2736" s="19"/>
      <c r="H2736" s="19"/>
      <c r="I2736" s="19"/>
      <c r="J2736" s="19"/>
      <c r="K2736" s="6"/>
      <c r="L2736" s="6"/>
      <c r="M2736" s="6"/>
      <c r="N2736" s="6"/>
      <c r="O2736" s="6"/>
      <c r="P2736" s="6"/>
      <c r="Q2736" s="6"/>
      <c r="R2736" s="6"/>
      <c r="S2736" s="6"/>
      <c r="T2736" s="6"/>
    </row>
    <row r="2737" spans="4:20" x14ac:dyDescent="0.2">
      <c r="D2737" s="6"/>
      <c r="E2737" s="6"/>
      <c r="F2737" s="6"/>
      <c r="G2737" s="19"/>
      <c r="H2737" s="19"/>
      <c r="I2737" s="19"/>
      <c r="J2737" s="19"/>
      <c r="K2737" s="6"/>
      <c r="L2737" s="6"/>
      <c r="M2737" s="6"/>
      <c r="N2737" s="6"/>
      <c r="O2737" s="6"/>
      <c r="P2737" s="6"/>
      <c r="Q2737" s="6"/>
      <c r="R2737" s="6"/>
      <c r="S2737" s="6"/>
      <c r="T2737" s="6"/>
    </row>
    <row r="2738" spans="4:20" x14ac:dyDescent="0.2">
      <c r="D2738" s="6"/>
      <c r="E2738" s="6"/>
      <c r="F2738" s="6"/>
      <c r="G2738" s="19"/>
      <c r="H2738" s="19"/>
      <c r="I2738" s="19"/>
      <c r="J2738" s="19"/>
      <c r="K2738" s="6"/>
      <c r="L2738" s="6"/>
      <c r="M2738" s="6"/>
      <c r="N2738" s="6"/>
      <c r="O2738" s="6"/>
      <c r="P2738" s="6"/>
      <c r="Q2738" s="6"/>
      <c r="R2738" s="6"/>
      <c r="S2738" s="6"/>
      <c r="T2738" s="6"/>
    </row>
    <row r="2739" spans="4:20" x14ac:dyDescent="0.2">
      <c r="D2739" s="6"/>
      <c r="E2739" s="6"/>
      <c r="F2739" s="6"/>
      <c r="G2739" s="19"/>
      <c r="H2739" s="19"/>
      <c r="I2739" s="19"/>
      <c r="J2739" s="19"/>
      <c r="K2739" s="6"/>
      <c r="L2739" s="6"/>
      <c r="M2739" s="6"/>
      <c r="N2739" s="6"/>
      <c r="O2739" s="6"/>
      <c r="P2739" s="6"/>
      <c r="Q2739" s="6"/>
      <c r="R2739" s="6"/>
      <c r="S2739" s="6"/>
      <c r="T2739" s="6"/>
    </row>
    <row r="2740" spans="4:20" x14ac:dyDescent="0.2">
      <c r="D2740" s="6"/>
      <c r="E2740" s="6"/>
      <c r="F2740" s="6"/>
      <c r="G2740" s="19"/>
      <c r="H2740" s="19"/>
      <c r="I2740" s="19"/>
      <c r="J2740" s="19"/>
      <c r="K2740" s="6"/>
      <c r="L2740" s="6"/>
      <c r="M2740" s="6"/>
      <c r="N2740" s="6"/>
      <c r="O2740" s="6"/>
      <c r="P2740" s="6"/>
      <c r="Q2740" s="6"/>
      <c r="R2740" s="6"/>
      <c r="S2740" s="6"/>
      <c r="T2740" s="6"/>
    </row>
    <row r="2741" spans="4:20" x14ac:dyDescent="0.2">
      <c r="D2741" s="6"/>
      <c r="E2741" s="6"/>
      <c r="F2741" s="6"/>
      <c r="G2741" s="19"/>
      <c r="H2741" s="19"/>
      <c r="I2741" s="19"/>
      <c r="J2741" s="19"/>
      <c r="K2741" s="6"/>
      <c r="L2741" s="6"/>
      <c r="M2741" s="6"/>
      <c r="N2741" s="6"/>
      <c r="O2741" s="6"/>
      <c r="P2741" s="6"/>
      <c r="Q2741" s="6"/>
      <c r="R2741" s="6"/>
      <c r="S2741" s="6"/>
      <c r="T2741" s="6"/>
    </row>
    <row r="2742" spans="4:20" x14ac:dyDescent="0.2">
      <c r="D2742" s="6"/>
      <c r="E2742" s="6"/>
      <c r="F2742" s="6"/>
      <c r="G2742" s="19"/>
      <c r="H2742" s="19"/>
      <c r="I2742" s="19"/>
      <c r="J2742" s="19"/>
      <c r="K2742" s="6"/>
      <c r="L2742" s="6"/>
      <c r="M2742" s="6"/>
      <c r="N2742" s="6"/>
      <c r="O2742" s="6"/>
      <c r="P2742" s="6"/>
      <c r="Q2742" s="6"/>
      <c r="R2742" s="6"/>
      <c r="S2742" s="6"/>
      <c r="T2742" s="6"/>
    </row>
    <row r="2743" spans="4:20" x14ac:dyDescent="0.2">
      <c r="D2743" s="6"/>
      <c r="E2743" s="6"/>
      <c r="F2743" s="6"/>
      <c r="G2743" s="19"/>
      <c r="H2743" s="19"/>
      <c r="I2743" s="19"/>
      <c r="J2743" s="19"/>
      <c r="K2743" s="6"/>
      <c r="L2743" s="6"/>
      <c r="M2743" s="6"/>
      <c r="N2743" s="6"/>
      <c r="O2743" s="6"/>
      <c r="P2743" s="6"/>
      <c r="Q2743" s="6"/>
      <c r="R2743" s="6"/>
      <c r="S2743" s="6"/>
      <c r="T2743" s="6"/>
    </row>
    <row r="2744" spans="4:20" x14ac:dyDescent="0.2">
      <c r="D2744" s="6"/>
      <c r="E2744" s="6"/>
      <c r="F2744" s="6"/>
      <c r="G2744" s="19"/>
      <c r="H2744" s="19"/>
      <c r="I2744" s="19"/>
      <c r="J2744" s="19"/>
      <c r="K2744" s="6"/>
      <c r="L2744" s="6"/>
      <c r="M2744" s="6"/>
      <c r="N2744" s="6"/>
      <c r="O2744" s="6"/>
      <c r="P2744" s="6"/>
      <c r="Q2744" s="6"/>
      <c r="R2744" s="6"/>
      <c r="S2744" s="6"/>
      <c r="T2744" s="6"/>
    </row>
    <row r="2745" spans="4:20" x14ac:dyDescent="0.2">
      <c r="D2745" s="6"/>
      <c r="E2745" s="6"/>
      <c r="F2745" s="6"/>
      <c r="G2745" s="19"/>
      <c r="H2745" s="19"/>
      <c r="I2745" s="19"/>
      <c r="J2745" s="19"/>
      <c r="K2745" s="6"/>
      <c r="L2745" s="6"/>
      <c r="M2745" s="6"/>
      <c r="N2745" s="6"/>
      <c r="O2745" s="6"/>
      <c r="P2745" s="6"/>
      <c r="Q2745" s="6"/>
      <c r="R2745" s="6"/>
      <c r="S2745" s="6"/>
      <c r="T2745" s="6"/>
    </row>
    <row r="2746" spans="4:20" x14ac:dyDescent="0.2">
      <c r="D2746" s="6"/>
      <c r="E2746" s="6"/>
      <c r="F2746" s="6"/>
      <c r="G2746" s="19"/>
      <c r="H2746" s="19"/>
      <c r="I2746" s="19"/>
      <c r="J2746" s="19"/>
      <c r="K2746" s="6"/>
      <c r="L2746" s="6"/>
      <c r="M2746" s="6"/>
      <c r="N2746" s="6"/>
      <c r="O2746" s="6"/>
      <c r="P2746" s="6"/>
      <c r="Q2746" s="6"/>
      <c r="R2746" s="6"/>
      <c r="S2746" s="6"/>
      <c r="T2746" s="6"/>
    </row>
    <row r="2747" spans="4:20" x14ac:dyDescent="0.2">
      <c r="D2747" s="6"/>
      <c r="E2747" s="6"/>
      <c r="F2747" s="6"/>
      <c r="G2747" s="19"/>
      <c r="H2747" s="19"/>
      <c r="I2747" s="19"/>
      <c r="J2747" s="19"/>
      <c r="K2747" s="6"/>
      <c r="L2747" s="6"/>
      <c r="M2747" s="6"/>
      <c r="N2747" s="6"/>
      <c r="O2747" s="6"/>
      <c r="P2747" s="6"/>
      <c r="Q2747" s="6"/>
      <c r="R2747" s="6"/>
      <c r="S2747" s="6"/>
      <c r="T2747" s="6"/>
    </row>
    <row r="2748" spans="4:20" x14ac:dyDescent="0.2">
      <c r="D2748" s="6"/>
      <c r="E2748" s="6"/>
      <c r="F2748" s="6"/>
      <c r="G2748" s="19"/>
      <c r="H2748" s="19"/>
      <c r="I2748" s="19"/>
      <c r="J2748" s="19"/>
      <c r="K2748" s="6"/>
      <c r="L2748" s="6"/>
      <c r="M2748" s="6"/>
      <c r="N2748" s="6"/>
      <c r="O2748" s="6"/>
      <c r="P2748" s="6"/>
      <c r="Q2748" s="6"/>
      <c r="R2748" s="6"/>
      <c r="S2748" s="6"/>
      <c r="T2748" s="6"/>
    </row>
    <row r="2749" spans="4:20" x14ac:dyDescent="0.2">
      <c r="D2749" s="6"/>
      <c r="E2749" s="6"/>
      <c r="F2749" s="6"/>
      <c r="G2749" s="19"/>
      <c r="H2749" s="19"/>
      <c r="I2749" s="19"/>
      <c r="J2749" s="19"/>
      <c r="K2749" s="6"/>
      <c r="L2749" s="6"/>
      <c r="M2749" s="6"/>
      <c r="N2749" s="6"/>
      <c r="O2749" s="6"/>
      <c r="P2749" s="6"/>
      <c r="Q2749" s="6"/>
      <c r="R2749" s="6"/>
      <c r="S2749" s="6"/>
      <c r="T2749" s="6"/>
    </row>
    <row r="2750" spans="4:20" x14ac:dyDescent="0.2">
      <c r="D2750" s="6"/>
      <c r="E2750" s="6"/>
      <c r="F2750" s="6"/>
      <c r="G2750" s="19"/>
      <c r="H2750" s="19"/>
      <c r="I2750" s="19"/>
      <c r="J2750" s="19"/>
      <c r="K2750" s="6"/>
      <c r="L2750" s="6"/>
      <c r="M2750" s="6"/>
      <c r="N2750" s="6"/>
      <c r="O2750" s="6"/>
      <c r="P2750" s="6"/>
      <c r="Q2750" s="6"/>
      <c r="R2750" s="6"/>
      <c r="S2750" s="6"/>
      <c r="T2750" s="6"/>
    </row>
    <row r="2751" spans="4:20" x14ac:dyDescent="0.2">
      <c r="D2751" s="6"/>
      <c r="E2751" s="6"/>
      <c r="F2751" s="6"/>
      <c r="G2751" s="19"/>
      <c r="H2751" s="19"/>
      <c r="I2751" s="19"/>
      <c r="J2751" s="19"/>
      <c r="K2751" s="6"/>
      <c r="L2751" s="6"/>
      <c r="M2751" s="6"/>
      <c r="N2751" s="6"/>
      <c r="O2751" s="6"/>
      <c r="P2751" s="6"/>
      <c r="Q2751" s="6"/>
      <c r="R2751" s="6"/>
      <c r="S2751" s="6"/>
      <c r="T2751" s="6"/>
    </row>
    <row r="2752" spans="4:20" x14ac:dyDescent="0.2">
      <c r="D2752" s="6"/>
      <c r="E2752" s="6"/>
      <c r="F2752" s="6"/>
      <c r="G2752" s="19"/>
      <c r="H2752" s="19"/>
      <c r="I2752" s="19"/>
      <c r="J2752" s="19"/>
      <c r="K2752" s="6"/>
      <c r="L2752" s="6"/>
      <c r="M2752" s="6"/>
      <c r="N2752" s="6"/>
      <c r="O2752" s="6"/>
      <c r="P2752" s="6"/>
      <c r="Q2752" s="6"/>
      <c r="R2752" s="6"/>
      <c r="S2752" s="6"/>
      <c r="T2752" s="6"/>
    </row>
    <row r="2753" spans="4:20" x14ac:dyDescent="0.2">
      <c r="D2753" s="6"/>
      <c r="E2753" s="6"/>
      <c r="F2753" s="6"/>
      <c r="G2753" s="19"/>
      <c r="H2753" s="19"/>
      <c r="I2753" s="19"/>
      <c r="J2753" s="19"/>
      <c r="K2753" s="6"/>
      <c r="L2753" s="6"/>
      <c r="M2753" s="6"/>
      <c r="N2753" s="6"/>
      <c r="O2753" s="6"/>
      <c r="P2753" s="6"/>
      <c r="Q2753" s="6"/>
      <c r="R2753" s="6"/>
      <c r="S2753" s="6"/>
      <c r="T2753" s="6"/>
    </row>
    <row r="2754" spans="4:20" x14ac:dyDescent="0.2">
      <c r="D2754" s="6"/>
      <c r="E2754" s="6"/>
      <c r="F2754" s="6"/>
      <c r="G2754" s="19"/>
      <c r="H2754" s="19"/>
      <c r="I2754" s="19"/>
      <c r="J2754" s="19"/>
      <c r="K2754" s="6"/>
      <c r="L2754" s="6"/>
      <c r="M2754" s="6"/>
      <c r="N2754" s="6"/>
      <c r="O2754" s="6"/>
      <c r="P2754" s="6"/>
      <c r="Q2754" s="6"/>
      <c r="R2754" s="6"/>
      <c r="S2754" s="6"/>
      <c r="T2754" s="6"/>
    </row>
    <row r="2755" spans="4:20" x14ac:dyDescent="0.2">
      <c r="D2755" s="6"/>
      <c r="E2755" s="6"/>
      <c r="F2755" s="6"/>
      <c r="G2755" s="19"/>
      <c r="H2755" s="19"/>
      <c r="I2755" s="19"/>
      <c r="J2755" s="19"/>
      <c r="K2755" s="6"/>
      <c r="L2755" s="6"/>
      <c r="M2755" s="6"/>
      <c r="N2755" s="6"/>
      <c r="O2755" s="6"/>
      <c r="P2755" s="6"/>
      <c r="Q2755" s="6"/>
      <c r="R2755" s="6"/>
      <c r="S2755" s="6"/>
      <c r="T2755" s="6"/>
    </row>
    <row r="2756" spans="4:20" x14ac:dyDescent="0.2">
      <c r="D2756" s="6"/>
      <c r="E2756" s="6"/>
      <c r="F2756" s="6"/>
      <c r="G2756" s="19"/>
      <c r="H2756" s="19"/>
      <c r="I2756" s="19"/>
      <c r="J2756" s="19"/>
      <c r="K2756" s="6"/>
      <c r="L2756" s="6"/>
      <c r="M2756" s="6"/>
      <c r="N2756" s="6"/>
      <c r="O2756" s="6"/>
      <c r="P2756" s="6"/>
      <c r="Q2756" s="6"/>
      <c r="R2756" s="6"/>
      <c r="S2756" s="6"/>
      <c r="T2756" s="6"/>
    </row>
    <row r="2757" spans="4:20" x14ac:dyDescent="0.2">
      <c r="D2757" s="6"/>
      <c r="E2757" s="6"/>
      <c r="F2757" s="6"/>
      <c r="G2757" s="19"/>
      <c r="H2757" s="19"/>
      <c r="I2757" s="19"/>
      <c r="J2757" s="19"/>
      <c r="K2757" s="6"/>
      <c r="L2757" s="6"/>
      <c r="M2757" s="6"/>
      <c r="N2757" s="6"/>
      <c r="O2757" s="6"/>
      <c r="P2757" s="6"/>
      <c r="Q2757" s="6"/>
      <c r="R2757" s="6"/>
      <c r="S2757" s="6"/>
      <c r="T2757" s="6"/>
    </row>
    <row r="2758" spans="4:20" x14ac:dyDescent="0.2">
      <c r="D2758" s="6"/>
      <c r="E2758" s="6"/>
      <c r="F2758" s="6"/>
      <c r="G2758" s="19"/>
      <c r="H2758" s="19"/>
      <c r="I2758" s="19"/>
      <c r="J2758" s="19"/>
      <c r="K2758" s="6"/>
      <c r="L2758" s="6"/>
      <c r="M2758" s="6"/>
      <c r="N2758" s="6"/>
      <c r="O2758" s="6"/>
      <c r="P2758" s="6"/>
      <c r="Q2758" s="6"/>
      <c r="R2758" s="6"/>
      <c r="S2758" s="6"/>
      <c r="T2758" s="6"/>
    </row>
    <row r="2759" spans="4:20" x14ac:dyDescent="0.2">
      <c r="D2759" s="6"/>
      <c r="E2759" s="6"/>
      <c r="F2759" s="6"/>
      <c r="G2759" s="19"/>
      <c r="H2759" s="19"/>
      <c r="I2759" s="19"/>
      <c r="J2759" s="19"/>
      <c r="K2759" s="6"/>
      <c r="L2759" s="6"/>
      <c r="M2759" s="6"/>
      <c r="N2759" s="6"/>
      <c r="O2759" s="6"/>
      <c r="P2759" s="6"/>
      <c r="Q2759" s="6"/>
      <c r="R2759" s="6"/>
      <c r="S2759" s="6"/>
      <c r="T2759" s="6"/>
    </row>
    <row r="2760" spans="4:20" x14ac:dyDescent="0.2">
      <c r="D2760" s="6"/>
      <c r="E2760" s="6"/>
      <c r="F2760" s="6"/>
      <c r="G2760" s="19"/>
      <c r="H2760" s="19"/>
      <c r="I2760" s="19"/>
      <c r="J2760" s="19"/>
      <c r="K2760" s="6"/>
      <c r="L2760" s="6"/>
      <c r="M2760" s="6"/>
      <c r="N2760" s="6"/>
      <c r="O2760" s="6"/>
      <c r="P2760" s="6"/>
      <c r="Q2760" s="6"/>
      <c r="R2760" s="6"/>
      <c r="S2760" s="6"/>
      <c r="T2760" s="6"/>
    </row>
    <row r="2761" spans="4:20" x14ac:dyDescent="0.2">
      <c r="D2761" s="6"/>
      <c r="E2761" s="6"/>
      <c r="F2761" s="6"/>
      <c r="G2761" s="19"/>
      <c r="H2761" s="19"/>
      <c r="I2761" s="19"/>
      <c r="J2761" s="19"/>
      <c r="K2761" s="6"/>
      <c r="L2761" s="6"/>
      <c r="M2761" s="6"/>
      <c r="N2761" s="6"/>
      <c r="O2761" s="6"/>
      <c r="P2761" s="6"/>
      <c r="Q2761" s="6"/>
      <c r="R2761" s="6"/>
      <c r="S2761" s="6"/>
      <c r="T2761" s="6"/>
    </row>
    <row r="2762" spans="4:20" x14ac:dyDescent="0.2">
      <c r="D2762" s="6"/>
      <c r="E2762" s="6"/>
      <c r="F2762" s="6"/>
      <c r="G2762" s="19"/>
      <c r="H2762" s="19"/>
      <c r="I2762" s="19"/>
      <c r="J2762" s="19"/>
      <c r="K2762" s="6"/>
      <c r="L2762" s="6"/>
      <c r="M2762" s="6"/>
      <c r="N2762" s="6"/>
      <c r="O2762" s="6"/>
      <c r="P2762" s="6"/>
      <c r="Q2762" s="6"/>
      <c r="R2762" s="6"/>
      <c r="S2762" s="6"/>
      <c r="T2762" s="6"/>
    </row>
    <row r="2763" spans="4:20" x14ac:dyDescent="0.2">
      <c r="D2763" s="6"/>
      <c r="E2763" s="6"/>
      <c r="F2763" s="6"/>
      <c r="G2763" s="19"/>
      <c r="H2763" s="19"/>
      <c r="I2763" s="19"/>
      <c r="J2763" s="19"/>
      <c r="K2763" s="6"/>
      <c r="L2763" s="6"/>
      <c r="M2763" s="6"/>
      <c r="N2763" s="6"/>
      <c r="O2763" s="6"/>
      <c r="P2763" s="6"/>
      <c r="Q2763" s="6"/>
      <c r="R2763" s="6"/>
      <c r="S2763" s="6"/>
      <c r="T2763" s="6"/>
    </row>
    <row r="2764" spans="4:20" x14ac:dyDescent="0.2">
      <c r="D2764" s="6"/>
      <c r="E2764" s="6"/>
      <c r="F2764" s="6"/>
      <c r="G2764" s="19"/>
      <c r="H2764" s="19"/>
      <c r="I2764" s="19"/>
      <c r="J2764" s="19"/>
      <c r="K2764" s="6"/>
      <c r="L2764" s="6"/>
      <c r="M2764" s="6"/>
      <c r="N2764" s="6"/>
      <c r="O2764" s="6"/>
      <c r="P2764" s="6"/>
      <c r="Q2764" s="6"/>
      <c r="R2764" s="6"/>
      <c r="S2764" s="6"/>
      <c r="T2764" s="6"/>
    </row>
    <row r="2765" spans="4:20" x14ac:dyDescent="0.2">
      <c r="D2765" s="6"/>
      <c r="E2765" s="6"/>
      <c r="F2765" s="6"/>
      <c r="G2765" s="19"/>
      <c r="H2765" s="19"/>
      <c r="I2765" s="19"/>
      <c r="J2765" s="19"/>
      <c r="K2765" s="6"/>
      <c r="L2765" s="6"/>
      <c r="M2765" s="6"/>
      <c r="N2765" s="6"/>
      <c r="O2765" s="6"/>
      <c r="P2765" s="6"/>
      <c r="Q2765" s="6"/>
      <c r="R2765" s="6"/>
      <c r="S2765" s="6"/>
      <c r="T2765" s="6"/>
    </row>
    <row r="2766" spans="4:20" x14ac:dyDescent="0.2">
      <c r="D2766" s="6"/>
      <c r="E2766" s="6"/>
      <c r="F2766" s="6"/>
      <c r="G2766" s="19"/>
      <c r="H2766" s="19"/>
      <c r="I2766" s="19"/>
      <c r="J2766" s="19"/>
      <c r="K2766" s="6"/>
      <c r="L2766" s="6"/>
      <c r="M2766" s="6"/>
      <c r="N2766" s="6"/>
      <c r="O2766" s="6"/>
      <c r="P2766" s="6"/>
      <c r="Q2766" s="6"/>
      <c r="R2766" s="6"/>
      <c r="S2766" s="6"/>
      <c r="T2766" s="6"/>
    </row>
    <row r="2767" spans="4:20" x14ac:dyDescent="0.2">
      <c r="D2767" s="6"/>
      <c r="E2767" s="6"/>
      <c r="F2767" s="6"/>
      <c r="G2767" s="19"/>
      <c r="H2767" s="19"/>
      <c r="I2767" s="19"/>
      <c r="J2767" s="19"/>
      <c r="K2767" s="6"/>
      <c r="L2767" s="6"/>
      <c r="M2767" s="6"/>
      <c r="N2767" s="6"/>
      <c r="O2767" s="6"/>
      <c r="P2767" s="6"/>
      <c r="Q2767" s="6"/>
      <c r="R2767" s="6"/>
      <c r="S2767" s="6"/>
      <c r="T2767" s="6"/>
    </row>
    <row r="2768" spans="4:20" x14ac:dyDescent="0.2">
      <c r="D2768" s="6"/>
      <c r="E2768" s="6"/>
      <c r="F2768" s="6"/>
      <c r="G2768" s="19"/>
      <c r="H2768" s="19"/>
      <c r="I2768" s="19"/>
      <c r="J2768" s="19"/>
      <c r="K2768" s="6"/>
      <c r="L2768" s="6"/>
      <c r="M2768" s="6"/>
      <c r="N2768" s="6"/>
      <c r="O2768" s="6"/>
      <c r="P2768" s="6"/>
      <c r="Q2768" s="6"/>
      <c r="R2768" s="6"/>
      <c r="S2768" s="6"/>
      <c r="T2768" s="6"/>
    </row>
    <row r="2769" spans="4:20" x14ac:dyDescent="0.2">
      <c r="D2769" s="6"/>
      <c r="E2769" s="6"/>
      <c r="F2769" s="6"/>
      <c r="G2769" s="19"/>
      <c r="H2769" s="19"/>
      <c r="I2769" s="19"/>
      <c r="J2769" s="19"/>
      <c r="K2769" s="6"/>
      <c r="L2769" s="6"/>
      <c r="M2769" s="6"/>
      <c r="N2769" s="6"/>
      <c r="O2769" s="6"/>
      <c r="P2769" s="6"/>
      <c r="Q2769" s="6"/>
      <c r="R2769" s="6"/>
      <c r="S2769" s="6"/>
      <c r="T2769" s="6"/>
    </row>
    <row r="2770" spans="4:20" x14ac:dyDescent="0.2">
      <c r="D2770" s="6"/>
      <c r="E2770" s="6"/>
      <c r="F2770" s="6"/>
      <c r="G2770" s="19"/>
      <c r="H2770" s="19"/>
      <c r="I2770" s="19"/>
      <c r="J2770" s="19"/>
      <c r="K2770" s="6"/>
      <c r="L2770" s="6"/>
      <c r="M2770" s="6"/>
      <c r="N2770" s="6"/>
      <c r="O2770" s="6"/>
      <c r="P2770" s="6"/>
      <c r="Q2770" s="6"/>
      <c r="R2770" s="6"/>
      <c r="S2770" s="6"/>
      <c r="T2770" s="6"/>
    </row>
    <row r="2771" spans="4:20" x14ac:dyDescent="0.2">
      <c r="D2771" s="6"/>
      <c r="E2771" s="6"/>
      <c r="F2771" s="6"/>
      <c r="G2771" s="19"/>
      <c r="H2771" s="19"/>
      <c r="I2771" s="19"/>
      <c r="J2771" s="19"/>
      <c r="K2771" s="6"/>
      <c r="L2771" s="6"/>
      <c r="M2771" s="6"/>
      <c r="N2771" s="6"/>
      <c r="O2771" s="6"/>
      <c r="P2771" s="6"/>
      <c r="Q2771" s="6"/>
      <c r="R2771" s="6"/>
      <c r="S2771" s="6"/>
      <c r="T2771" s="6"/>
    </row>
    <row r="2772" spans="4:20" x14ac:dyDescent="0.2">
      <c r="D2772" s="6"/>
      <c r="E2772" s="6"/>
      <c r="F2772" s="6"/>
      <c r="G2772" s="19"/>
      <c r="H2772" s="19"/>
      <c r="I2772" s="19"/>
      <c r="J2772" s="19"/>
      <c r="K2772" s="6"/>
      <c r="L2772" s="6"/>
      <c r="M2772" s="6"/>
      <c r="N2772" s="6"/>
      <c r="O2772" s="6"/>
      <c r="P2772" s="6"/>
      <c r="Q2772" s="6"/>
      <c r="R2772" s="6"/>
      <c r="S2772" s="6"/>
      <c r="T2772" s="6"/>
    </row>
    <row r="2773" spans="4:20" x14ac:dyDescent="0.2">
      <c r="D2773" s="6"/>
      <c r="E2773" s="6"/>
      <c r="F2773" s="6"/>
      <c r="G2773" s="19"/>
      <c r="H2773" s="19"/>
      <c r="I2773" s="19"/>
      <c r="J2773" s="19"/>
      <c r="K2773" s="6"/>
      <c r="L2773" s="6"/>
      <c r="M2773" s="6"/>
      <c r="N2773" s="6"/>
      <c r="O2773" s="6"/>
      <c r="P2773" s="6"/>
      <c r="Q2773" s="6"/>
      <c r="R2773" s="6"/>
      <c r="S2773" s="6"/>
      <c r="T2773" s="6"/>
    </row>
    <row r="2774" spans="4:20" x14ac:dyDescent="0.2">
      <c r="D2774" s="6"/>
      <c r="E2774" s="6"/>
      <c r="F2774" s="6"/>
      <c r="G2774" s="19"/>
      <c r="H2774" s="19"/>
      <c r="I2774" s="19"/>
      <c r="J2774" s="19"/>
      <c r="K2774" s="6"/>
      <c r="L2774" s="6"/>
      <c r="M2774" s="6"/>
      <c r="N2774" s="6"/>
      <c r="O2774" s="6"/>
      <c r="P2774" s="6"/>
      <c r="Q2774" s="6"/>
      <c r="R2774" s="6"/>
      <c r="S2774" s="6"/>
      <c r="T2774" s="6"/>
    </row>
    <row r="2775" spans="4:20" x14ac:dyDescent="0.2">
      <c r="D2775" s="6"/>
      <c r="E2775" s="6"/>
      <c r="F2775" s="6"/>
      <c r="G2775" s="19"/>
      <c r="H2775" s="19"/>
      <c r="I2775" s="19"/>
      <c r="J2775" s="19"/>
      <c r="K2775" s="6"/>
      <c r="L2775" s="6"/>
      <c r="M2775" s="6"/>
      <c r="N2775" s="6"/>
      <c r="O2775" s="6"/>
      <c r="P2775" s="6"/>
      <c r="Q2775" s="6"/>
      <c r="R2775" s="6"/>
      <c r="S2775" s="6"/>
      <c r="T2775" s="6"/>
    </row>
    <row r="2776" spans="4:20" x14ac:dyDescent="0.2">
      <c r="D2776" s="6"/>
      <c r="E2776" s="6"/>
      <c r="F2776" s="6"/>
      <c r="G2776" s="19"/>
      <c r="H2776" s="19"/>
      <c r="I2776" s="19"/>
      <c r="J2776" s="19"/>
      <c r="K2776" s="6"/>
      <c r="L2776" s="6"/>
      <c r="M2776" s="6"/>
      <c r="N2776" s="6"/>
      <c r="O2776" s="6"/>
      <c r="P2776" s="6"/>
      <c r="Q2776" s="6"/>
      <c r="R2776" s="6"/>
      <c r="S2776" s="6"/>
      <c r="T2776" s="6"/>
    </row>
    <row r="2777" spans="4:20" x14ac:dyDescent="0.2">
      <c r="D2777" s="6"/>
      <c r="E2777" s="6"/>
      <c r="F2777" s="6"/>
      <c r="G2777" s="19"/>
      <c r="H2777" s="19"/>
      <c r="I2777" s="19"/>
      <c r="J2777" s="19"/>
      <c r="K2777" s="6"/>
      <c r="L2777" s="6"/>
      <c r="M2777" s="6"/>
      <c r="N2777" s="6"/>
      <c r="O2777" s="6"/>
      <c r="P2777" s="6"/>
      <c r="Q2777" s="6"/>
      <c r="R2777" s="6"/>
      <c r="S2777" s="6"/>
      <c r="T2777" s="6"/>
    </row>
    <row r="2778" spans="4:20" x14ac:dyDescent="0.2">
      <c r="D2778" s="6"/>
      <c r="E2778" s="6"/>
      <c r="F2778" s="6"/>
      <c r="G2778" s="19"/>
      <c r="H2778" s="19"/>
      <c r="I2778" s="19"/>
      <c r="J2778" s="19"/>
      <c r="K2778" s="6"/>
      <c r="L2778" s="6"/>
      <c r="M2778" s="6"/>
      <c r="N2778" s="6"/>
      <c r="O2778" s="6"/>
      <c r="P2778" s="6"/>
      <c r="Q2778" s="6"/>
      <c r="R2778" s="6"/>
      <c r="S2778" s="6"/>
      <c r="T2778" s="6"/>
    </row>
    <row r="2779" spans="4:20" x14ac:dyDescent="0.2">
      <c r="D2779" s="6"/>
      <c r="E2779" s="6"/>
      <c r="F2779" s="6"/>
      <c r="G2779" s="19"/>
      <c r="H2779" s="19"/>
      <c r="I2779" s="19"/>
      <c r="J2779" s="19"/>
      <c r="K2779" s="6"/>
      <c r="L2779" s="6"/>
      <c r="M2779" s="6"/>
      <c r="N2779" s="6"/>
      <c r="O2779" s="6"/>
      <c r="P2779" s="6"/>
      <c r="Q2779" s="6"/>
      <c r="R2779" s="6"/>
      <c r="S2779" s="6"/>
      <c r="T2779" s="6"/>
    </row>
    <row r="2780" spans="4:20" x14ac:dyDescent="0.2">
      <c r="D2780" s="6"/>
      <c r="E2780" s="6"/>
      <c r="F2780" s="6"/>
      <c r="G2780" s="19"/>
      <c r="H2780" s="19"/>
      <c r="I2780" s="19"/>
      <c r="J2780" s="19"/>
      <c r="K2780" s="6"/>
      <c r="L2780" s="6"/>
      <c r="M2780" s="6"/>
      <c r="N2780" s="6"/>
      <c r="O2780" s="6"/>
      <c r="P2780" s="6"/>
      <c r="Q2780" s="6"/>
      <c r="R2780" s="6"/>
      <c r="S2780" s="6"/>
      <c r="T2780" s="6"/>
    </row>
    <row r="2781" spans="4:20" x14ac:dyDescent="0.2">
      <c r="D2781" s="6"/>
      <c r="E2781" s="6"/>
      <c r="F2781" s="6"/>
      <c r="G2781" s="19"/>
      <c r="H2781" s="19"/>
      <c r="I2781" s="19"/>
      <c r="J2781" s="19"/>
      <c r="K2781" s="6"/>
      <c r="L2781" s="6"/>
      <c r="M2781" s="6"/>
      <c r="N2781" s="6"/>
      <c r="O2781" s="6"/>
      <c r="P2781" s="6"/>
      <c r="Q2781" s="6"/>
      <c r="R2781" s="6"/>
      <c r="S2781" s="6"/>
      <c r="T2781" s="6"/>
    </row>
    <row r="2782" spans="4:20" x14ac:dyDescent="0.2">
      <c r="D2782" s="6"/>
      <c r="E2782" s="6"/>
      <c r="F2782" s="6"/>
      <c r="G2782" s="19"/>
      <c r="H2782" s="19"/>
      <c r="I2782" s="19"/>
      <c r="J2782" s="19"/>
      <c r="K2782" s="6"/>
      <c r="L2782" s="6"/>
      <c r="M2782" s="6"/>
      <c r="N2782" s="6"/>
      <c r="O2782" s="6"/>
      <c r="P2782" s="6"/>
      <c r="Q2782" s="6"/>
      <c r="R2782" s="6"/>
      <c r="S2782" s="6"/>
      <c r="T2782" s="6"/>
    </row>
    <row r="2783" spans="4:20" x14ac:dyDescent="0.2">
      <c r="D2783" s="6"/>
      <c r="E2783" s="6"/>
      <c r="F2783" s="6"/>
      <c r="G2783" s="19"/>
      <c r="H2783" s="19"/>
      <c r="I2783" s="19"/>
      <c r="J2783" s="19"/>
      <c r="K2783" s="6"/>
      <c r="L2783" s="6"/>
      <c r="M2783" s="6"/>
      <c r="N2783" s="6"/>
      <c r="O2783" s="6"/>
      <c r="P2783" s="6"/>
      <c r="Q2783" s="6"/>
      <c r="R2783" s="6"/>
      <c r="S2783" s="6"/>
      <c r="T2783" s="6"/>
    </row>
    <row r="2784" spans="4:20" x14ac:dyDescent="0.2">
      <c r="D2784" s="6"/>
      <c r="E2784" s="6"/>
      <c r="F2784" s="6"/>
      <c r="G2784" s="19"/>
      <c r="H2784" s="19"/>
      <c r="I2784" s="19"/>
      <c r="J2784" s="19"/>
      <c r="K2784" s="6"/>
      <c r="L2784" s="6"/>
      <c r="M2784" s="6"/>
      <c r="N2784" s="6"/>
      <c r="O2784" s="6"/>
      <c r="P2784" s="6"/>
      <c r="Q2784" s="6"/>
      <c r="R2784" s="6"/>
      <c r="S2784" s="6"/>
      <c r="T2784" s="6"/>
    </row>
    <row r="2785" spans="4:20" x14ac:dyDescent="0.2">
      <c r="D2785" s="6"/>
      <c r="E2785" s="6"/>
      <c r="F2785" s="6"/>
      <c r="G2785" s="19"/>
      <c r="H2785" s="19"/>
      <c r="I2785" s="19"/>
      <c r="J2785" s="19"/>
      <c r="K2785" s="6"/>
      <c r="L2785" s="6"/>
      <c r="M2785" s="6"/>
      <c r="N2785" s="6"/>
      <c r="O2785" s="6"/>
      <c r="P2785" s="6"/>
      <c r="Q2785" s="6"/>
      <c r="R2785" s="6"/>
      <c r="S2785" s="6"/>
      <c r="T2785" s="6"/>
    </row>
    <row r="2786" spans="4:20" x14ac:dyDescent="0.2">
      <c r="D2786" s="6"/>
      <c r="E2786" s="6"/>
      <c r="F2786" s="6"/>
      <c r="G2786" s="19"/>
      <c r="H2786" s="19"/>
      <c r="I2786" s="19"/>
      <c r="J2786" s="19"/>
      <c r="K2786" s="6"/>
      <c r="L2786" s="6"/>
      <c r="M2786" s="6"/>
      <c r="N2786" s="6"/>
      <c r="O2786" s="6"/>
      <c r="P2786" s="6"/>
      <c r="Q2786" s="6"/>
      <c r="R2786" s="6"/>
      <c r="S2786" s="6"/>
      <c r="T2786" s="6"/>
    </row>
    <row r="2787" spans="4:20" x14ac:dyDescent="0.2">
      <c r="D2787" s="6"/>
      <c r="E2787" s="6"/>
      <c r="F2787" s="6"/>
      <c r="G2787" s="19"/>
      <c r="H2787" s="19"/>
      <c r="I2787" s="19"/>
      <c r="J2787" s="19"/>
      <c r="K2787" s="6"/>
      <c r="L2787" s="6"/>
      <c r="M2787" s="6"/>
      <c r="N2787" s="6"/>
      <c r="O2787" s="6"/>
      <c r="P2787" s="6"/>
      <c r="Q2787" s="6"/>
      <c r="R2787" s="6"/>
      <c r="S2787" s="6"/>
      <c r="T2787" s="6"/>
    </row>
    <row r="2788" spans="4:20" x14ac:dyDescent="0.2">
      <c r="D2788" s="6"/>
      <c r="E2788" s="6"/>
      <c r="F2788" s="6"/>
      <c r="G2788" s="19"/>
      <c r="H2788" s="19"/>
      <c r="I2788" s="19"/>
      <c r="J2788" s="19"/>
      <c r="K2788" s="6"/>
      <c r="L2788" s="6"/>
      <c r="M2788" s="6"/>
      <c r="N2788" s="6"/>
      <c r="O2788" s="6"/>
      <c r="P2788" s="6"/>
      <c r="Q2788" s="6"/>
      <c r="R2788" s="6"/>
      <c r="S2788" s="6"/>
      <c r="T2788" s="6"/>
    </row>
    <row r="2789" spans="4:20" x14ac:dyDescent="0.2">
      <c r="D2789" s="6"/>
      <c r="E2789" s="6"/>
      <c r="F2789" s="6"/>
      <c r="G2789" s="19"/>
      <c r="H2789" s="19"/>
      <c r="I2789" s="19"/>
      <c r="J2789" s="19"/>
      <c r="K2789" s="6"/>
      <c r="L2789" s="6"/>
      <c r="M2789" s="6"/>
      <c r="N2789" s="6"/>
      <c r="O2789" s="6"/>
      <c r="P2789" s="6"/>
      <c r="Q2789" s="6"/>
      <c r="R2789" s="6"/>
      <c r="S2789" s="6"/>
      <c r="T2789" s="6"/>
    </row>
    <row r="2790" spans="4:20" x14ac:dyDescent="0.2">
      <c r="D2790" s="6"/>
      <c r="E2790" s="6"/>
      <c r="F2790" s="6"/>
      <c r="G2790" s="19"/>
      <c r="H2790" s="19"/>
      <c r="I2790" s="19"/>
      <c r="J2790" s="19"/>
      <c r="K2790" s="6"/>
      <c r="L2790" s="6"/>
      <c r="M2790" s="6"/>
      <c r="N2790" s="6"/>
      <c r="O2790" s="6"/>
      <c r="P2790" s="6"/>
      <c r="Q2790" s="6"/>
      <c r="R2790" s="6"/>
      <c r="S2790" s="6"/>
      <c r="T2790" s="6"/>
    </row>
    <row r="2791" spans="4:20" x14ac:dyDescent="0.2">
      <c r="D2791" s="6"/>
      <c r="E2791" s="6"/>
      <c r="F2791" s="6"/>
      <c r="G2791" s="19"/>
      <c r="H2791" s="19"/>
      <c r="I2791" s="19"/>
      <c r="J2791" s="19"/>
      <c r="K2791" s="6"/>
      <c r="L2791" s="6"/>
      <c r="M2791" s="6"/>
      <c r="N2791" s="6"/>
      <c r="O2791" s="6"/>
      <c r="P2791" s="6"/>
      <c r="Q2791" s="6"/>
      <c r="R2791" s="6"/>
      <c r="S2791" s="6"/>
      <c r="T2791" s="6"/>
    </row>
    <row r="2792" spans="4:20" x14ac:dyDescent="0.2">
      <c r="D2792" s="6"/>
      <c r="E2792" s="6"/>
      <c r="F2792" s="6"/>
      <c r="G2792" s="19"/>
      <c r="H2792" s="19"/>
      <c r="I2792" s="19"/>
      <c r="J2792" s="19"/>
      <c r="K2792" s="6"/>
      <c r="L2792" s="6"/>
      <c r="M2792" s="6"/>
      <c r="N2792" s="6"/>
      <c r="O2792" s="6"/>
      <c r="P2792" s="6"/>
      <c r="Q2792" s="6"/>
      <c r="R2792" s="6"/>
      <c r="S2792" s="6"/>
      <c r="T2792" s="6"/>
    </row>
    <row r="2793" spans="4:20" x14ac:dyDescent="0.2">
      <c r="D2793" s="6"/>
      <c r="E2793" s="6"/>
      <c r="F2793" s="6"/>
      <c r="G2793" s="19"/>
      <c r="H2793" s="19"/>
      <c r="I2793" s="19"/>
      <c r="J2793" s="19"/>
      <c r="K2793" s="6"/>
      <c r="L2793" s="6"/>
      <c r="M2793" s="6"/>
      <c r="N2793" s="6"/>
      <c r="O2793" s="6"/>
      <c r="P2793" s="6"/>
      <c r="Q2793" s="6"/>
      <c r="R2793" s="6"/>
      <c r="S2793" s="6"/>
      <c r="T2793" s="6"/>
    </row>
    <row r="2794" spans="4:20" x14ac:dyDescent="0.2">
      <c r="D2794" s="6"/>
      <c r="E2794" s="6"/>
      <c r="F2794" s="6"/>
      <c r="G2794" s="19"/>
      <c r="H2794" s="19"/>
      <c r="I2794" s="19"/>
      <c r="J2794" s="19"/>
      <c r="K2794" s="6"/>
      <c r="L2794" s="6"/>
      <c r="M2794" s="6"/>
      <c r="N2794" s="6"/>
      <c r="O2794" s="6"/>
      <c r="P2794" s="6"/>
      <c r="Q2794" s="6"/>
      <c r="R2794" s="6"/>
      <c r="S2794" s="6"/>
      <c r="T2794" s="6"/>
    </row>
    <row r="2795" spans="4:20" x14ac:dyDescent="0.2">
      <c r="D2795" s="6"/>
      <c r="E2795" s="6"/>
      <c r="F2795" s="6"/>
      <c r="G2795" s="19"/>
      <c r="H2795" s="19"/>
      <c r="I2795" s="19"/>
      <c r="J2795" s="19"/>
      <c r="K2795" s="6"/>
      <c r="L2795" s="6"/>
      <c r="M2795" s="6"/>
      <c r="N2795" s="6"/>
      <c r="O2795" s="6"/>
      <c r="P2795" s="6"/>
      <c r="Q2795" s="6"/>
      <c r="R2795" s="6"/>
      <c r="S2795" s="6"/>
      <c r="T2795" s="6"/>
    </row>
    <row r="2796" spans="4:20" x14ac:dyDescent="0.2">
      <c r="D2796" s="6"/>
      <c r="E2796" s="6"/>
      <c r="F2796" s="6"/>
      <c r="G2796" s="19"/>
      <c r="H2796" s="19"/>
      <c r="I2796" s="19"/>
      <c r="J2796" s="19"/>
      <c r="K2796" s="6"/>
      <c r="L2796" s="6"/>
      <c r="M2796" s="6"/>
      <c r="N2796" s="6"/>
      <c r="O2796" s="6"/>
      <c r="P2796" s="6"/>
      <c r="Q2796" s="6"/>
      <c r="R2796" s="6"/>
      <c r="S2796" s="6"/>
      <c r="T2796" s="6"/>
    </row>
    <row r="2797" spans="4:20" x14ac:dyDescent="0.2">
      <c r="D2797" s="6"/>
      <c r="E2797" s="6"/>
      <c r="F2797" s="6"/>
      <c r="G2797" s="19"/>
      <c r="H2797" s="19"/>
      <c r="I2797" s="19"/>
      <c r="J2797" s="19"/>
      <c r="K2797" s="6"/>
      <c r="L2797" s="6"/>
      <c r="M2797" s="6"/>
      <c r="N2797" s="6"/>
      <c r="O2797" s="6"/>
      <c r="P2797" s="6"/>
      <c r="Q2797" s="6"/>
      <c r="R2797" s="6"/>
      <c r="S2797" s="6"/>
      <c r="T2797" s="6"/>
    </row>
    <row r="2798" spans="4:20" x14ac:dyDescent="0.2">
      <c r="D2798" s="6"/>
      <c r="E2798" s="6"/>
      <c r="F2798" s="6"/>
      <c r="G2798" s="19"/>
      <c r="H2798" s="19"/>
      <c r="I2798" s="19"/>
      <c r="J2798" s="19"/>
      <c r="K2798" s="6"/>
      <c r="L2798" s="6"/>
      <c r="M2798" s="6"/>
      <c r="N2798" s="6"/>
      <c r="O2798" s="6"/>
      <c r="P2798" s="6"/>
      <c r="Q2798" s="6"/>
      <c r="R2798" s="6"/>
      <c r="S2798" s="6"/>
      <c r="T2798" s="6"/>
    </row>
    <row r="2799" spans="4:20" x14ac:dyDescent="0.2">
      <c r="D2799" s="6"/>
      <c r="E2799" s="6"/>
      <c r="F2799" s="6"/>
      <c r="G2799" s="19"/>
      <c r="H2799" s="19"/>
      <c r="I2799" s="19"/>
      <c r="J2799" s="19"/>
      <c r="K2799" s="6"/>
      <c r="L2799" s="6"/>
      <c r="M2799" s="6"/>
      <c r="N2799" s="6"/>
      <c r="O2799" s="6"/>
      <c r="P2799" s="6"/>
      <c r="Q2799" s="6"/>
      <c r="R2799" s="6"/>
      <c r="S2799" s="6"/>
      <c r="T2799" s="6"/>
    </row>
    <row r="2800" spans="4:20" x14ac:dyDescent="0.2">
      <c r="D2800" s="6"/>
      <c r="E2800" s="6"/>
      <c r="F2800" s="6"/>
      <c r="G2800" s="19"/>
      <c r="H2800" s="19"/>
      <c r="I2800" s="19"/>
      <c r="J2800" s="19"/>
      <c r="K2800" s="6"/>
      <c r="L2800" s="6"/>
      <c r="M2800" s="6"/>
      <c r="N2800" s="6"/>
      <c r="O2800" s="6"/>
      <c r="P2800" s="6"/>
      <c r="Q2800" s="6"/>
      <c r="R2800" s="6"/>
      <c r="S2800" s="6"/>
      <c r="T2800" s="6"/>
    </row>
    <row r="2801" spans="4:20" x14ac:dyDescent="0.2">
      <c r="D2801" s="6"/>
      <c r="E2801" s="6"/>
      <c r="F2801" s="6"/>
      <c r="G2801" s="19"/>
      <c r="H2801" s="19"/>
      <c r="I2801" s="19"/>
      <c r="J2801" s="19"/>
      <c r="K2801" s="6"/>
      <c r="L2801" s="6"/>
      <c r="M2801" s="6"/>
      <c r="N2801" s="6"/>
      <c r="O2801" s="6"/>
      <c r="P2801" s="6"/>
      <c r="Q2801" s="6"/>
      <c r="R2801" s="6"/>
      <c r="S2801" s="6"/>
      <c r="T2801" s="6"/>
    </row>
    <row r="2802" spans="4:20" x14ac:dyDescent="0.2">
      <c r="D2802" s="6"/>
      <c r="E2802" s="6"/>
      <c r="F2802" s="6"/>
      <c r="G2802" s="19"/>
      <c r="H2802" s="19"/>
      <c r="I2802" s="19"/>
      <c r="J2802" s="19"/>
      <c r="K2802" s="6"/>
      <c r="L2802" s="6"/>
      <c r="M2802" s="6"/>
      <c r="N2802" s="6"/>
      <c r="O2802" s="6"/>
      <c r="P2802" s="6"/>
      <c r="Q2802" s="6"/>
      <c r="R2802" s="6"/>
      <c r="S2802" s="6"/>
      <c r="T2802" s="6"/>
    </row>
    <row r="2803" spans="4:20" x14ac:dyDescent="0.2">
      <c r="D2803" s="6"/>
      <c r="E2803" s="6"/>
      <c r="F2803" s="6"/>
      <c r="G2803" s="19"/>
      <c r="H2803" s="19"/>
      <c r="I2803" s="19"/>
      <c r="J2803" s="19"/>
      <c r="K2803" s="6"/>
      <c r="L2803" s="6"/>
      <c r="M2803" s="6"/>
      <c r="N2803" s="6"/>
      <c r="O2803" s="6"/>
      <c r="P2803" s="6"/>
      <c r="Q2803" s="6"/>
      <c r="R2803" s="6"/>
      <c r="S2803" s="6"/>
      <c r="T2803" s="6"/>
    </row>
    <row r="2804" spans="4:20" x14ac:dyDescent="0.2">
      <c r="D2804" s="6"/>
      <c r="E2804" s="6"/>
      <c r="F2804" s="6"/>
      <c r="G2804" s="19"/>
      <c r="H2804" s="19"/>
      <c r="I2804" s="19"/>
      <c r="J2804" s="19"/>
      <c r="K2804" s="6"/>
      <c r="L2804" s="6"/>
      <c r="M2804" s="6"/>
      <c r="N2804" s="6"/>
      <c r="O2804" s="6"/>
      <c r="P2804" s="6"/>
      <c r="Q2804" s="6"/>
      <c r="R2804" s="6"/>
      <c r="S2804" s="6"/>
      <c r="T2804" s="6"/>
    </row>
    <row r="2805" spans="4:20" x14ac:dyDescent="0.2">
      <c r="D2805" s="6"/>
      <c r="E2805" s="6"/>
      <c r="F2805" s="6"/>
      <c r="G2805" s="19"/>
      <c r="H2805" s="19"/>
      <c r="I2805" s="19"/>
      <c r="J2805" s="19"/>
      <c r="K2805" s="6"/>
      <c r="L2805" s="6"/>
      <c r="M2805" s="6"/>
      <c r="N2805" s="6"/>
      <c r="O2805" s="6"/>
      <c r="P2805" s="6"/>
      <c r="Q2805" s="6"/>
      <c r="R2805" s="6"/>
      <c r="S2805" s="6"/>
      <c r="T2805" s="6"/>
    </row>
    <row r="2806" spans="4:20" x14ac:dyDescent="0.2">
      <c r="D2806" s="6"/>
      <c r="E2806" s="6"/>
      <c r="F2806" s="6"/>
      <c r="G2806" s="19"/>
      <c r="H2806" s="19"/>
      <c r="I2806" s="19"/>
      <c r="J2806" s="19"/>
      <c r="K2806" s="6"/>
      <c r="L2806" s="6"/>
      <c r="M2806" s="6"/>
      <c r="N2806" s="6"/>
      <c r="O2806" s="6"/>
      <c r="P2806" s="6"/>
      <c r="Q2806" s="6"/>
      <c r="R2806" s="6"/>
      <c r="S2806" s="6"/>
      <c r="T2806" s="6"/>
    </row>
    <row r="2807" spans="4:20" x14ac:dyDescent="0.2">
      <c r="D2807" s="6"/>
      <c r="E2807" s="6"/>
      <c r="F2807" s="6"/>
      <c r="G2807" s="19"/>
      <c r="H2807" s="19"/>
      <c r="I2807" s="19"/>
      <c r="J2807" s="19"/>
      <c r="K2807" s="6"/>
      <c r="L2807" s="6"/>
      <c r="M2807" s="6"/>
      <c r="N2807" s="6"/>
      <c r="O2807" s="6"/>
      <c r="P2807" s="6"/>
      <c r="Q2807" s="6"/>
      <c r="R2807" s="6"/>
      <c r="S2807" s="6"/>
      <c r="T2807" s="6"/>
    </row>
    <row r="2808" spans="4:20" x14ac:dyDescent="0.2">
      <c r="D2808" s="6"/>
      <c r="E2808" s="6"/>
      <c r="F2808" s="6"/>
      <c r="G2808" s="19"/>
      <c r="H2808" s="19"/>
      <c r="I2808" s="19"/>
      <c r="J2808" s="19"/>
      <c r="K2808" s="6"/>
      <c r="L2808" s="6"/>
      <c r="M2808" s="6"/>
      <c r="N2808" s="6"/>
      <c r="O2808" s="6"/>
      <c r="P2808" s="6"/>
      <c r="Q2808" s="6"/>
      <c r="R2808" s="6"/>
      <c r="S2808" s="6"/>
      <c r="T2808" s="6"/>
    </row>
    <row r="2809" spans="4:20" x14ac:dyDescent="0.2">
      <c r="D2809" s="6"/>
      <c r="E2809" s="6"/>
      <c r="F2809" s="6"/>
      <c r="G2809" s="19"/>
      <c r="H2809" s="19"/>
      <c r="I2809" s="19"/>
      <c r="J2809" s="19"/>
      <c r="K2809" s="6"/>
      <c r="L2809" s="6"/>
      <c r="M2809" s="6"/>
      <c r="N2809" s="6"/>
      <c r="O2809" s="6"/>
      <c r="P2809" s="6"/>
      <c r="Q2809" s="6"/>
      <c r="R2809" s="6"/>
      <c r="S2809" s="6"/>
      <c r="T2809" s="6"/>
    </row>
    <row r="2810" spans="4:20" x14ac:dyDescent="0.2">
      <c r="D2810" s="6"/>
      <c r="E2810" s="6"/>
      <c r="F2810" s="6"/>
      <c r="G2810" s="19"/>
      <c r="H2810" s="19"/>
      <c r="I2810" s="19"/>
      <c r="J2810" s="19"/>
      <c r="K2810" s="6"/>
      <c r="L2810" s="6"/>
      <c r="M2810" s="6"/>
      <c r="N2810" s="6"/>
      <c r="O2810" s="6"/>
      <c r="P2810" s="6"/>
      <c r="Q2810" s="6"/>
      <c r="R2810" s="6"/>
      <c r="S2810" s="6"/>
      <c r="T2810" s="6"/>
    </row>
    <row r="2811" spans="4:20" x14ac:dyDescent="0.2">
      <c r="D2811" s="6"/>
      <c r="E2811" s="6"/>
      <c r="F2811" s="6"/>
      <c r="G2811" s="19"/>
      <c r="H2811" s="19"/>
      <c r="I2811" s="19"/>
      <c r="J2811" s="19"/>
      <c r="K2811" s="6"/>
      <c r="L2811" s="6"/>
      <c r="M2811" s="6"/>
      <c r="N2811" s="6"/>
      <c r="O2811" s="6"/>
      <c r="P2811" s="6"/>
      <c r="Q2811" s="6"/>
      <c r="R2811" s="6"/>
      <c r="S2811" s="6"/>
      <c r="T2811" s="6"/>
    </row>
    <row r="2812" spans="4:20" x14ac:dyDescent="0.2">
      <c r="D2812" s="6"/>
      <c r="E2812" s="6"/>
      <c r="F2812" s="6"/>
      <c r="G2812" s="19"/>
      <c r="H2812" s="19"/>
      <c r="I2812" s="19"/>
      <c r="J2812" s="19"/>
      <c r="K2812" s="6"/>
      <c r="L2812" s="6"/>
      <c r="M2812" s="6"/>
      <c r="N2812" s="6"/>
      <c r="O2812" s="6"/>
      <c r="P2812" s="6"/>
      <c r="Q2812" s="6"/>
      <c r="R2812" s="6"/>
      <c r="S2812" s="6"/>
      <c r="T2812" s="6"/>
    </row>
    <row r="2813" spans="4:20" x14ac:dyDescent="0.2">
      <c r="D2813" s="6"/>
      <c r="E2813" s="6"/>
      <c r="F2813" s="6"/>
      <c r="G2813" s="19"/>
      <c r="H2813" s="19"/>
      <c r="I2813" s="19"/>
      <c r="J2813" s="19"/>
      <c r="K2813" s="6"/>
      <c r="L2813" s="6"/>
      <c r="M2813" s="6"/>
      <c r="N2813" s="6"/>
      <c r="O2813" s="6"/>
      <c r="P2813" s="6"/>
      <c r="Q2813" s="6"/>
      <c r="R2813" s="6"/>
      <c r="S2813" s="6"/>
      <c r="T2813" s="6"/>
    </row>
    <row r="2814" spans="4:20" x14ac:dyDescent="0.2">
      <c r="D2814" s="6"/>
      <c r="E2814" s="6"/>
      <c r="F2814" s="6"/>
      <c r="G2814" s="19"/>
      <c r="H2814" s="19"/>
      <c r="I2814" s="19"/>
      <c r="J2814" s="19"/>
      <c r="K2814" s="6"/>
      <c r="L2814" s="6"/>
      <c r="M2814" s="6"/>
      <c r="N2814" s="6"/>
      <c r="O2814" s="6"/>
      <c r="P2814" s="6"/>
      <c r="Q2814" s="6"/>
      <c r="R2814" s="6"/>
      <c r="S2814" s="6"/>
      <c r="T2814" s="6"/>
    </row>
    <row r="2815" spans="4:20" x14ac:dyDescent="0.2">
      <c r="D2815" s="6"/>
      <c r="E2815" s="6"/>
      <c r="F2815" s="6"/>
      <c r="G2815" s="19"/>
      <c r="H2815" s="19"/>
      <c r="I2815" s="19"/>
      <c r="J2815" s="19"/>
      <c r="K2815" s="6"/>
      <c r="L2815" s="6"/>
      <c r="M2815" s="6"/>
      <c r="N2815" s="6"/>
      <c r="O2815" s="6"/>
      <c r="P2815" s="6"/>
      <c r="Q2815" s="6"/>
      <c r="R2815" s="6"/>
      <c r="S2815" s="6"/>
      <c r="T2815" s="6"/>
    </row>
    <row r="2816" spans="4:20" x14ac:dyDescent="0.2">
      <c r="D2816" s="6"/>
      <c r="E2816" s="6"/>
      <c r="F2816" s="6"/>
      <c r="G2816" s="19"/>
      <c r="H2816" s="19"/>
      <c r="I2816" s="19"/>
      <c r="J2816" s="19"/>
      <c r="K2816" s="6"/>
      <c r="L2816" s="6"/>
      <c r="M2816" s="6"/>
      <c r="N2816" s="6"/>
      <c r="O2816" s="6"/>
      <c r="P2816" s="6"/>
      <c r="Q2816" s="6"/>
      <c r="R2816" s="6"/>
      <c r="S2816" s="6"/>
      <c r="T2816" s="6"/>
    </row>
    <row r="2817" spans="4:20" x14ac:dyDescent="0.2">
      <c r="D2817" s="6"/>
      <c r="E2817" s="6"/>
      <c r="F2817" s="6"/>
      <c r="G2817" s="19"/>
      <c r="H2817" s="19"/>
      <c r="I2817" s="19"/>
      <c r="J2817" s="19"/>
      <c r="K2817" s="6"/>
      <c r="L2817" s="6"/>
      <c r="M2817" s="6"/>
      <c r="N2817" s="6"/>
      <c r="O2817" s="6"/>
      <c r="P2817" s="6"/>
      <c r="Q2817" s="6"/>
      <c r="R2817" s="6"/>
      <c r="S2817" s="6"/>
      <c r="T2817" s="6"/>
    </row>
    <row r="2818" spans="4:20" x14ac:dyDescent="0.2">
      <c r="D2818" s="6"/>
      <c r="E2818" s="6"/>
      <c r="F2818" s="6"/>
      <c r="G2818" s="19"/>
      <c r="H2818" s="19"/>
      <c r="I2818" s="19"/>
      <c r="J2818" s="19"/>
      <c r="K2818" s="6"/>
      <c r="L2818" s="6"/>
      <c r="M2818" s="6"/>
      <c r="N2818" s="6"/>
      <c r="O2818" s="6"/>
      <c r="P2818" s="6"/>
      <c r="Q2818" s="6"/>
      <c r="R2818" s="6"/>
      <c r="S2818" s="6"/>
      <c r="T2818" s="6"/>
    </row>
    <row r="2819" spans="4:20" x14ac:dyDescent="0.2">
      <c r="D2819" s="6"/>
      <c r="E2819" s="6"/>
      <c r="F2819" s="6"/>
      <c r="G2819" s="19"/>
      <c r="H2819" s="19"/>
      <c r="I2819" s="19"/>
      <c r="J2819" s="19"/>
      <c r="K2819" s="6"/>
      <c r="L2819" s="6"/>
      <c r="M2819" s="6"/>
      <c r="N2819" s="6"/>
      <c r="O2819" s="6"/>
      <c r="P2819" s="6"/>
      <c r="Q2819" s="6"/>
      <c r="R2819" s="6"/>
      <c r="S2819" s="6"/>
      <c r="T2819" s="6"/>
    </row>
    <row r="2820" spans="4:20" x14ac:dyDescent="0.2">
      <c r="D2820" s="6"/>
      <c r="E2820" s="6"/>
      <c r="F2820" s="6"/>
      <c r="G2820" s="19"/>
      <c r="H2820" s="19"/>
      <c r="I2820" s="19"/>
      <c r="J2820" s="19"/>
      <c r="K2820" s="6"/>
      <c r="L2820" s="6"/>
      <c r="M2820" s="6"/>
      <c r="N2820" s="6"/>
      <c r="O2820" s="6"/>
      <c r="P2820" s="6"/>
      <c r="Q2820" s="6"/>
      <c r="R2820" s="6"/>
      <c r="S2820" s="6"/>
      <c r="T2820" s="6"/>
    </row>
    <row r="2821" spans="4:20" x14ac:dyDescent="0.2">
      <c r="D2821" s="6"/>
      <c r="E2821" s="6"/>
      <c r="F2821" s="6"/>
      <c r="G2821" s="19"/>
      <c r="H2821" s="19"/>
      <c r="I2821" s="19"/>
      <c r="J2821" s="19"/>
      <c r="K2821" s="6"/>
      <c r="L2821" s="6"/>
      <c r="M2821" s="6"/>
      <c r="N2821" s="6"/>
      <c r="O2821" s="6"/>
      <c r="P2821" s="6"/>
      <c r="Q2821" s="6"/>
      <c r="R2821" s="6"/>
      <c r="S2821" s="6"/>
      <c r="T2821" s="6"/>
    </row>
    <row r="2822" spans="4:20" x14ac:dyDescent="0.2">
      <c r="D2822" s="6"/>
      <c r="E2822" s="6"/>
      <c r="F2822" s="6"/>
      <c r="G2822" s="19"/>
      <c r="H2822" s="19"/>
      <c r="I2822" s="19"/>
      <c r="J2822" s="19"/>
      <c r="K2822" s="6"/>
      <c r="L2822" s="6"/>
      <c r="M2822" s="6"/>
      <c r="N2822" s="6"/>
      <c r="O2822" s="6"/>
      <c r="P2822" s="6"/>
      <c r="Q2822" s="6"/>
      <c r="R2822" s="6"/>
      <c r="S2822" s="6"/>
      <c r="T2822" s="6"/>
    </row>
    <row r="2823" spans="4:20" x14ac:dyDescent="0.2">
      <c r="D2823" s="6"/>
      <c r="E2823" s="6"/>
      <c r="F2823" s="6"/>
      <c r="G2823" s="19"/>
      <c r="H2823" s="19"/>
      <c r="I2823" s="19"/>
      <c r="J2823" s="19"/>
      <c r="K2823" s="6"/>
      <c r="L2823" s="6"/>
      <c r="M2823" s="6"/>
      <c r="N2823" s="6"/>
      <c r="O2823" s="6"/>
      <c r="P2823" s="6"/>
      <c r="Q2823" s="6"/>
      <c r="R2823" s="6"/>
      <c r="S2823" s="6"/>
      <c r="T2823" s="6"/>
    </row>
    <row r="2824" spans="4:20" x14ac:dyDescent="0.2">
      <c r="D2824" s="6"/>
      <c r="E2824" s="6"/>
      <c r="F2824" s="6"/>
      <c r="G2824" s="19"/>
      <c r="H2824" s="19"/>
      <c r="I2824" s="19"/>
      <c r="J2824" s="19"/>
      <c r="K2824" s="6"/>
      <c r="L2824" s="6"/>
      <c r="M2824" s="6"/>
      <c r="N2824" s="6"/>
      <c r="O2824" s="6"/>
      <c r="P2824" s="6"/>
      <c r="Q2824" s="6"/>
      <c r="R2824" s="6"/>
      <c r="S2824" s="6"/>
      <c r="T2824" s="6"/>
    </row>
    <row r="2825" spans="4:20" x14ac:dyDescent="0.2">
      <c r="D2825" s="6"/>
      <c r="E2825" s="6"/>
      <c r="F2825" s="6"/>
      <c r="G2825" s="19"/>
      <c r="H2825" s="19"/>
      <c r="I2825" s="19"/>
      <c r="J2825" s="19"/>
      <c r="K2825" s="6"/>
      <c r="L2825" s="6"/>
      <c r="M2825" s="6"/>
      <c r="N2825" s="6"/>
      <c r="O2825" s="6"/>
      <c r="P2825" s="6"/>
      <c r="Q2825" s="6"/>
      <c r="R2825" s="6"/>
      <c r="S2825" s="6"/>
      <c r="T2825" s="6"/>
    </row>
    <row r="2826" spans="4:20" x14ac:dyDescent="0.2">
      <c r="D2826" s="6"/>
      <c r="E2826" s="6"/>
      <c r="F2826" s="6"/>
      <c r="G2826" s="19"/>
      <c r="H2826" s="19"/>
      <c r="I2826" s="19"/>
      <c r="J2826" s="19"/>
      <c r="K2826" s="6"/>
      <c r="L2826" s="6"/>
      <c r="M2826" s="6"/>
      <c r="N2826" s="6"/>
      <c r="O2826" s="6"/>
      <c r="P2826" s="6"/>
      <c r="Q2826" s="6"/>
      <c r="R2826" s="6"/>
      <c r="S2826" s="6"/>
      <c r="T2826" s="6"/>
    </row>
    <row r="2827" spans="4:20" x14ac:dyDescent="0.2">
      <c r="D2827" s="6"/>
      <c r="E2827" s="6"/>
      <c r="F2827" s="6"/>
      <c r="G2827" s="19"/>
      <c r="H2827" s="19"/>
      <c r="I2827" s="19"/>
      <c r="J2827" s="19"/>
      <c r="K2827" s="6"/>
      <c r="L2827" s="6"/>
      <c r="M2827" s="6"/>
      <c r="N2827" s="6"/>
      <c r="O2827" s="6"/>
      <c r="P2827" s="6"/>
      <c r="Q2827" s="6"/>
      <c r="R2827" s="6"/>
      <c r="S2827" s="6"/>
      <c r="T2827" s="6"/>
    </row>
    <row r="2828" spans="4:20" x14ac:dyDescent="0.2">
      <c r="D2828" s="6"/>
      <c r="E2828" s="6"/>
      <c r="F2828" s="6"/>
      <c r="G2828" s="19"/>
      <c r="H2828" s="19"/>
      <c r="I2828" s="19"/>
      <c r="J2828" s="19"/>
      <c r="K2828" s="6"/>
      <c r="L2828" s="6"/>
      <c r="M2828" s="6"/>
      <c r="N2828" s="6"/>
      <c r="O2828" s="6"/>
      <c r="P2828" s="6"/>
      <c r="Q2828" s="6"/>
      <c r="R2828" s="6"/>
      <c r="S2828" s="6"/>
      <c r="T2828" s="6"/>
    </row>
    <row r="2829" spans="4:20" x14ac:dyDescent="0.2">
      <c r="D2829" s="6"/>
      <c r="E2829" s="6"/>
      <c r="F2829" s="6"/>
      <c r="G2829" s="19"/>
      <c r="H2829" s="19"/>
      <c r="I2829" s="19"/>
      <c r="J2829" s="19"/>
      <c r="K2829" s="6"/>
      <c r="L2829" s="6"/>
      <c r="M2829" s="6"/>
      <c r="N2829" s="6"/>
      <c r="O2829" s="6"/>
      <c r="P2829" s="6"/>
      <c r="Q2829" s="6"/>
      <c r="R2829" s="6"/>
      <c r="S2829" s="6"/>
      <c r="T2829" s="6"/>
    </row>
    <row r="2830" spans="4:20" x14ac:dyDescent="0.2">
      <c r="D2830" s="6"/>
      <c r="E2830" s="6"/>
      <c r="F2830" s="6"/>
      <c r="G2830" s="19"/>
      <c r="H2830" s="19"/>
      <c r="I2830" s="19"/>
      <c r="J2830" s="19"/>
      <c r="K2830" s="6"/>
      <c r="L2830" s="6"/>
      <c r="M2830" s="6"/>
      <c r="N2830" s="6"/>
      <c r="O2830" s="6"/>
      <c r="P2830" s="6"/>
      <c r="Q2830" s="6"/>
      <c r="R2830" s="6"/>
      <c r="S2830" s="6"/>
      <c r="T2830" s="6"/>
    </row>
    <row r="2831" spans="4:20" x14ac:dyDescent="0.2">
      <c r="D2831" s="6"/>
      <c r="E2831" s="6"/>
      <c r="F2831" s="6"/>
      <c r="G2831" s="19"/>
      <c r="H2831" s="19"/>
      <c r="I2831" s="19"/>
      <c r="J2831" s="19"/>
      <c r="K2831" s="6"/>
      <c r="L2831" s="6"/>
      <c r="M2831" s="6"/>
      <c r="N2831" s="6"/>
      <c r="O2831" s="6"/>
      <c r="P2831" s="6"/>
      <c r="Q2831" s="6"/>
      <c r="R2831" s="6"/>
      <c r="S2831" s="6"/>
      <c r="T2831" s="6"/>
    </row>
    <row r="2832" spans="4:20" x14ac:dyDescent="0.2">
      <c r="D2832" s="6"/>
      <c r="E2832" s="6"/>
      <c r="F2832" s="6"/>
      <c r="G2832" s="19"/>
      <c r="H2832" s="19"/>
      <c r="I2832" s="19"/>
      <c r="J2832" s="19"/>
      <c r="K2832" s="6"/>
      <c r="L2832" s="6"/>
      <c r="M2832" s="6"/>
      <c r="N2832" s="6"/>
      <c r="O2832" s="6"/>
      <c r="P2832" s="6"/>
      <c r="Q2832" s="6"/>
      <c r="R2832" s="6"/>
      <c r="S2832" s="6"/>
      <c r="T2832" s="6"/>
    </row>
    <row r="2833" spans="4:20" x14ac:dyDescent="0.2">
      <c r="D2833" s="6"/>
      <c r="E2833" s="6"/>
      <c r="F2833" s="6"/>
      <c r="G2833" s="19"/>
      <c r="H2833" s="19"/>
      <c r="I2833" s="19"/>
      <c r="J2833" s="19"/>
      <c r="K2833" s="6"/>
      <c r="L2833" s="6"/>
      <c r="M2833" s="6"/>
      <c r="N2833" s="6"/>
      <c r="O2833" s="6"/>
      <c r="P2833" s="6"/>
      <c r="Q2833" s="6"/>
      <c r="R2833" s="6"/>
      <c r="S2833" s="6"/>
      <c r="T2833" s="6"/>
    </row>
    <row r="2834" spans="4:20" x14ac:dyDescent="0.2">
      <c r="D2834" s="6"/>
      <c r="E2834" s="6"/>
      <c r="F2834" s="6"/>
      <c r="G2834" s="19"/>
      <c r="H2834" s="19"/>
      <c r="I2834" s="19"/>
      <c r="J2834" s="19"/>
      <c r="K2834" s="6"/>
      <c r="L2834" s="6"/>
      <c r="M2834" s="6"/>
      <c r="N2834" s="6"/>
      <c r="O2834" s="6"/>
      <c r="P2834" s="6"/>
      <c r="Q2834" s="6"/>
      <c r="R2834" s="6"/>
      <c r="S2834" s="6"/>
      <c r="T2834" s="6"/>
    </row>
    <row r="2835" spans="4:20" x14ac:dyDescent="0.2">
      <c r="D2835" s="6"/>
      <c r="E2835" s="6"/>
      <c r="F2835" s="6"/>
      <c r="G2835" s="19"/>
      <c r="H2835" s="19"/>
      <c r="I2835" s="19"/>
      <c r="J2835" s="19"/>
      <c r="K2835" s="6"/>
      <c r="L2835" s="6"/>
      <c r="M2835" s="6"/>
      <c r="N2835" s="6"/>
      <c r="O2835" s="6"/>
      <c r="P2835" s="6"/>
      <c r="Q2835" s="6"/>
      <c r="R2835" s="6"/>
      <c r="S2835" s="6"/>
      <c r="T2835" s="6"/>
    </row>
    <row r="2836" spans="4:20" x14ac:dyDescent="0.2">
      <c r="D2836" s="6"/>
      <c r="E2836" s="6"/>
      <c r="F2836" s="6"/>
      <c r="G2836" s="19"/>
      <c r="H2836" s="19"/>
      <c r="I2836" s="19"/>
      <c r="J2836" s="19"/>
      <c r="K2836" s="6"/>
      <c r="L2836" s="6"/>
      <c r="M2836" s="6"/>
      <c r="N2836" s="6"/>
      <c r="O2836" s="6"/>
      <c r="P2836" s="6"/>
      <c r="Q2836" s="6"/>
      <c r="R2836" s="6"/>
      <c r="S2836" s="6"/>
      <c r="T2836" s="6"/>
    </row>
    <row r="2837" spans="4:20" x14ac:dyDescent="0.2">
      <c r="D2837" s="6"/>
      <c r="E2837" s="6"/>
      <c r="F2837" s="6"/>
      <c r="G2837" s="19"/>
      <c r="H2837" s="19"/>
      <c r="I2837" s="19"/>
      <c r="J2837" s="19"/>
      <c r="K2837" s="6"/>
      <c r="L2837" s="6"/>
      <c r="M2837" s="6"/>
      <c r="N2837" s="6"/>
      <c r="O2837" s="6"/>
      <c r="P2837" s="6"/>
      <c r="Q2837" s="6"/>
      <c r="R2837" s="6"/>
      <c r="S2837" s="6"/>
      <c r="T2837" s="6"/>
    </row>
    <row r="2838" spans="4:20" x14ac:dyDescent="0.2">
      <c r="D2838" s="6"/>
      <c r="E2838" s="6"/>
      <c r="F2838" s="6"/>
      <c r="G2838" s="19"/>
      <c r="H2838" s="19"/>
      <c r="I2838" s="19"/>
      <c r="J2838" s="19"/>
      <c r="K2838" s="6"/>
      <c r="L2838" s="6"/>
      <c r="M2838" s="6"/>
      <c r="N2838" s="6"/>
      <c r="O2838" s="6"/>
      <c r="P2838" s="6"/>
      <c r="Q2838" s="6"/>
      <c r="R2838" s="6"/>
      <c r="S2838" s="6"/>
      <c r="T2838" s="6"/>
    </row>
    <row r="2839" spans="4:20" x14ac:dyDescent="0.2">
      <c r="D2839" s="6"/>
      <c r="E2839" s="6"/>
      <c r="F2839" s="6"/>
      <c r="G2839" s="19"/>
      <c r="H2839" s="19"/>
      <c r="I2839" s="19"/>
      <c r="J2839" s="19"/>
      <c r="K2839" s="6"/>
      <c r="L2839" s="6"/>
      <c r="M2839" s="6"/>
      <c r="N2839" s="6"/>
      <c r="O2839" s="6"/>
      <c r="P2839" s="6"/>
      <c r="Q2839" s="6"/>
      <c r="R2839" s="6"/>
      <c r="S2839" s="6"/>
      <c r="T2839" s="6"/>
    </row>
    <row r="2840" spans="4:20" x14ac:dyDescent="0.2">
      <c r="D2840" s="6"/>
      <c r="E2840" s="6"/>
      <c r="F2840" s="6"/>
      <c r="G2840" s="19"/>
      <c r="H2840" s="19"/>
      <c r="I2840" s="19"/>
      <c r="J2840" s="19"/>
      <c r="K2840" s="6"/>
      <c r="L2840" s="6"/>
      <c r="M2840" s="6"/>
      <c r="N2840" s="6"/>
      <c r="O2840" s="6"/>
      <c r="P2840" s="6"/>
      <c r="Q2840" s="6"/>
      <c r="R2840" s="6"/>
      <c r="S2840" s="6"/>
      <c r="T2840" s="6"/>
    </row>
    <row r="2841" spans="4:20" x14ac:dyDescent="0.2">
      <c r="D2841" s="6"/>
      <c r="E2841" s="6"/>
      <c r="F2841" s="6"/>
      <c r="G2841" s="19"/>
      <c r="H2841" s="19"/>
      <c r="I2841" s="19"/>
      <c r="J2841" s="19"/>
      <c r="K2841" s="6"/>
      <c r="L2841" s="6"/>
      <c r="M2841" s="6"/>
      <c r="N2841" s="6"/>
      <c r="O2841" s="6"/>
      <c r="P2841" s="6"/>
      <c r="Q2841" s="6"/>
      <c r="R2841" s="6"/>
      <c r="S2841" s="6"/>
      <c r="T2841" s="6"/>
    </row>
    <row r="2842" spans="4:20" x14ac:dyDescent="0.2">
      <c r="D2842" s="6"/>
      <c r="E2842" s="6"/>
      <c r="F2842" s="6"/>
      <c r="G2842" s="19"/>
      <c r="H2842" s="19"/>
      <c r="I2842" s="19"/>
      <c r="J2842" s="19"/>
      <c r="K2842" s="6"/>
      <c r="L2842" s="6"/>
      <c r="M2842" s="6"/>
      <c r="N2842" s="6"/>
      <c r="O2842" s="6"/>
      <c r="P2842" s="6"/>
      <c r="Q2842" s="6"/>
      <c r="R2842" s="6"/>
      <c r="S2842" s="6"/>
      <c r="T2842" s="6"/>
    </row>
    <row r="2843" spans="4:20" x14ac:dyDescent="0.2">
      <c r="D2843" s="6"/>
      <c r="E2843" s="6"/>
      <c r="F2843" s="6"/>
      <c r="G2843" s="19"/>
      <c r="H2843" s="19"/>
      <c r="I2843" s="19"/>
      <c r="J2843" s="19"/>
      <c r="K2843" s="6"/>
      <c r="L2843" s="6"/>
      <c r="M2843" s="6"/>
      <c r="N2843" s="6"/>
      <c r="O2843" s="6"/>
      <c r="P2843" s="6"/>
      <c r="Q2843" s="6"/>
      <c r="R2843" s="6"/>
      <c r="S2843" s="6"/>
      <c r="T2843" s="6"/>
    </row>
    <row r="2844" spans="4:20" x14ac:dyDescent="0.2">
      <c r="D2844" s="6"/>
      <c r="E2844" s="6"/>
      <c r="F2844" s="6"/>
      <c r="G2844" s="19"/>
      <c r="H2844" s="19"/>
      <c r="I2844" s="19"/>
      <c r="J2844" s="19"/>
      <c r="K2844" s="6"/>
      <c r="L2844" s="6"/>
      <c r="M2844" s="6"/>
      <c r="N2844" s="6"/>
      <c r="O2844" s="6"/>
      <c r="P2844" s="6"/>
      <c r="Q2844" s="6"/>
      <c r="R2844" s="6"/>
      <c r="S2844" s="6"/>
      <c r="T2844" s="6"/>
    </row>
    <row r="2845" spans="4:20" x14ac:dyDescent="0.2">
      <c r="D2845" s="6"/>
      <c r="E2845" s="6"/>
      <c r="F2845" s="6"/>
      <c r="G2845" s="19"/>
      <c r="H2845" s="19"/>
      <c r="I2845" s="19"/>
      <c r="J2845" s="19"/>
      <c r="K2845" s="6"/>
      <c r="L2845" s="6"/>
      <c r="M2845" s="6"/>
      <c r="N2845" s="6"/>
      <c r="O2845" s="6"/>
      <c r="P2845" s="6"/>
      <c r="Q2845" s="6"/>
      <c r="R2845" s="6"/>
      <c r="S2845" s="6"/>
      <c r="T2845" s="6"/>
    </row>
    <row r="2846" spans="4:20" x14ac:dyDescent="0.2">
      <c r="D2846" s="6"/>
      <c r="E2846" s="6"/>
      <c r="F2846" s="6"/>
      <c r="G2846" s="19"/>
      <c r="H2846" s="19"/>
      <c r="I2846" s="19"/>
      <c r="J2846" s="19"/>
      <c r="K2846" s="6"/>
      <c r="L2846" s="6"/>
      <c r="M2846" s="6"/>
      <c r="N2846" s="6"/>
      <c r="O2846" s="6"/>
      <c r="P2846" s="6"/>
      <c r="Q2846" s="6"/>
      <c r="R2846" s="6"/>
      <c r="S2846" s="6"/>
      <c r="T2846" s="6"/>
    </row>
    <row r="2847" spans="4:20" x14ac:dyDescent="0.2">
      <c r="D2847" s="6"/>
      <c r="E2847" s="6"/>
      <c r="F2847" s="6"/>
      <c r="G2847" s="19"/>
      <c r="H2847" s="19"/>
      <c r="I2847" s="19"/>
      <c r="J2847" s="19"/>
      <c r="K2847" s="6"/>
      <c r="L2847" s="6"/>
      <c r="M2847" s="6"/>
      <c r="N2847" s="6"/>
      <c r="O2847" s="6"/>
      <c r="P2847" s="6"/>
      <c r="Q2847" s="6"/>
      <c r="R2847" s="6"/>
      <c r="S2847" s="6"/>
      <c r="T2847" s="6"/>
    </row>
    <row r="2848" spans="4:20" x14ac:dyDescent="0.2">
      <c r="D2848" s="6"/>
      <c r="E2848" s="6"/>
      <c r="F2848" s="6"/>
      <c r="G2848" s="19"/>
      <c r="H2848" s="19"/>
      <c r="I2848" s="19"/>
      <c r="J2848" s="19"/>
      <c r="K2848" s="6"/>
      <c r="L2848" s="6"/>
      <c r="M2848" s="6"/>
      <c r="N2848" s="6"/>
      <c r="O2848" s="6"/>
      <c r="P2848" s="6"/>
      <c r="Q2848" s="6"/>
      <c r="R2848" s="6"/>
      <c r="S2848" s="6"/>
      <c r="T2848" s="6"/>
    </row>
    <row r="2849" spans="4:20" x14ac:dyDescent="0.2">
      <c r="D2849" s="6"/>
      <c r="E2849" s="6"/>
      <c r="F2849" s="6"/>
      <c r="G2849" s="19"/>
      <c r="H2849" s="19"/>
      <c r="I2849" s="19"/>
      <c r="J2849" s="19"/>
      <c r="K2849" s="6"/>
      <c r="L2849" s="6"/>
      <c r="M2849" s="6"/>
      <c r="N2849" s="6"/>
      <c r="O2849" s="6"/>
      <c r="P2849" s="6"/>
      <c r="Q2849" s="6"/>
      <c r="R2849" s="6"/>
      <c r="S2849" s="6"/>
      <c r="T2849" s="6"/>
    </row>
    <row r="2850" spans="4:20" x14ac:dyDescent="0.2">
      <c r="D2850" s="6"/>
      <c r="E2850" s="6"/>
      <c r="F2850" s="6"/>
      <c r="G2850" s="19"/>
      <c r="H2850" s="19"/>
      <c r="I2850" s="19"/>
      <c r="J2850" s="19"/>
      <c r="K2850" s="6"/>
      <c r="L2850" s="6"/>
      <c r="M2850" s="6"/>
      <c r="N2850" s="6"/>
      <c r="O2850" s="6"/>
      <c r="P2850" s="6"/>
      <c r="Q2850" s="6"/>
      <c r="R2850" s="6"/>
      <c r="S2850" s="6"/>
      <c r="T2850" s="6"/>
    </row>
    <row r="2851" spans="4:20" x14ac:dyDescent="0.2">
      <c r="D2851" s="6"/>
      <c r="E2851" s="6"/>
      <c r="F2851" s="6"/>
      <c r="G2851" s="19"/>
      <c r="H2851" s="19"/>
      <c r="I2851" s="19"/>
      <c r="J2851" s="19"/>
      <c r="K2851" s="6"/>
      <c r="L2851" s="6"/>
      <c r="M2851" s="6"/>
      <c r="N2851" s="6"/>
      <c r="O2851" s="6"/>
      <c r="P2851" s="6"/>
      <c r="Q2851" s="6"/>
      <c r="R2851" s="6"/>
      <c r="S2851" s="6"/>
      <c r="T2851" s="6"/>
    </row>
    <row r="2852" spans="4:20" x14ac:dyDescent="0.2">
      <c r="D2852" s="6"/>
      <c r="E2852" s="6"/>
      <c r="F2852" s="6"/>
      <c r="G2852" s="19"/>
      <c r="H2852" s="19"/>
      <c r="I2852" s="19"/>
      <c r="J2852" s="19"/>
      <c r="K2852" s="6"/>
      <c r="L2852" s="6"/>
      <c r="M2852" s="6"/>
      <c r="N2852" s="6"/>
      <c r="O2852" s="6"/>
      <c r="P2852" s="6"/>
      <c r="Q2852" s="6"/>
      <c r="R2852" s="6"/>
      <c r="S2852" s="6"/>
      <c r="T2852" s="6"/>
    </row>
    <row r="2853" spans="4:20" x14ac:dyDescent="0.2">
      <c r="D2853" s="6"/>
      <c r="E2853" s="6"/>
      <c r="F2853" s="6"/>
      <c r="G2853" s="19"/>
      <c r="H2853" s="19"/>
      <c r="I2853" s="19"/>
      <c r="J2853" s="19"/>
      <c r="K2853" s="6"/>
      <c r="L2853" s="6"/>
      <c r="M2853" s="6"/>
      <c r="N2853" s="6"/>
      <c r="O2853" s="6"/>
      <c r="P2853" s="6"/>
      <c r="Q2853" s="6"/>
      <c r="R2853" s="6"/>
      <c r="S2853" s="6"/>
      <c r="T2853" s="6"/>
    </row>
    <row r="2854" spans="4:20" x14ac:dyDescent="0.2">
      <c r="D2854" s="6"/>
      <c r="E2854" s="6"/>
      <c r="F2854" s="6"/>
      <c r="G2854" s="19"/>
      <c r="H2854" s="19"/>
      <c r="I2854" s="19"/>
      <c r="J2854" s="19"/>
      <c r="K2854" s="6"/>
      <c r="L2854" s="6"/>
      <c r="M2854" s="6"/>
      <c r="N2854" s="6"/>
      <c r="O2854" s="6"/>
      <c r="P2854" s="6"/>
      <c r="Q2854" s="6"/>
      <c r="R2854" s="6"/>
      <c r="S2854" s="6"/>
      <c r="T2854" s="6"/>
    </row>
    <row r="2855" spans="4:20" x14ac:dyDescent="0.2">
      <c r="D2855" s="6"/>
      <c r="E2855" s="6"/>
      <c r="F2855" s="6"/>
      <c r="G2855" s="19"/>
      <c r="H2855" s="19"/>
      <c r="I2855" s="19"/>
      <c r="J2855" s="19"/>
      <c r="K2855" s="6"/>
      <c r="L2855" s="6"/>
      <c r="M2855" s="6"/>
      <c r="N2855" s="6"/>
      <c r="O2855" s="6"/>
      <c r="P2855" s="6"/>
      <c r="Q2855" s="6"/>
      <c r="R2855" s="6"/>
      <c r="S2855" s="6"/>
      <c r="T2855" s="6"/>
    </row>
    <row r="2856" spans="4:20" x14ac:dyDescent="0.2">
      <c r="D2856" s="6"/>
      <c r="E2856" s="6"/>
      <c r="F2856" s="6"/>
      <c r="G2856" s="19"/>
      <c r="H2856" s="19"/>
      <c r="I2856" s="19"/>
      <c r="J2856" s="19"/>
      <c r="K2856" s="6"/>
      <c r="L2856" s="6"/>
      <c r="M2856" s="6"/>
      <c r="N2856" s="6"/>
      <c r="O2856" s="6"/>
      <c r="P2856" s="6"/>
      <c r="Q2856" s="6"/>
      <c r="R2856" s="6"/>
      <c r="S2856" s="6"/>
      <c r="T2856" s="6"/>
    </row>
    <row r="2857" spans="4:20" x14ac:dyDescent="0.2">
      <c r="D2857" s="6"/>
      <c r="E2857" s="6"/>
      <c r="F2857" s="6"/>
      <c r="G2857" s="19"/>
      <c r="H2857" s="19"/>
      <c r="I2857" s="19"/>
      <c r="J2857" s="19"/>
      <c r="K2857" s="6"/>
      <c r="L2857" s="6"/>
      <c r="M2857" s="6"/>
      <c r="N2857" s="6"/>
      <c r="O2857" s="6"/>
      <c r="P2857" s="6"/>
      <c r="Q2857" s="6"/>
      <c r="R2857" s="6"/>
      <c r="S2857" s="6"/>
      <c r="T2857" s="6"/>
    </row>
    <row r="2858" spans="4:20" x14ac:dyDescent="0.2">
      <c r="D2858" s="6"/>
      <c r="E2858" s="6"/>
      <c r="F2858" s="6"/>
      <c r="G2858" s="19"/>
      <c r="H2858" s="19"/>
      <c r="I2858" s="19"/>
      <c r="J2858" s="19"/>
      <c r="K2858" s="6"/>
      <c r="L2858" s="6"/>
      <c r="M2858" s="6"/>
      <c r="N2858" s="6"/>
      <c r="O2858" s="6"/>
      <c r="P2858" s="6"/>
      <c r="Q2858" s="6"/>
      <c r="R2858" s="6"/>
      <c r="S2858" s="6"/>
      <c r="T2858" s="6"/>
    </row>
    <row r="2859" spans="4:20" x14ac:dyDescent="0.2">
      <c r="D2859" s="6"/>
      <c r="E2859" s="6"/>
      <c r="F2859" s="6"/>
      <c r="G2859" s="19"/>
      <c r="H2859" s="19"/>
      <c r="I2859" s="19"/>
      <c r="J2859" s="19"/>
      <c r="K2859" s="6"/>
      <c r="L2859" s="6"/>
      <c r="M2859" s="6"/>
      <c r="N2859" s="6"/>
      <c r="O2859" s="6"/>
      <c r="P2859" s="6"/>
      <c r="Q2859" s="6"/>
      <c r="R2859" s="6"/>
      <c r="S2859" s="6"/>
      <c r="T2859" s="6"/>
    </row>
    <row r="2860" spans="4:20" x14ac:dyDescent="0.2">
      <c r="D2860" s="6"/>
      <c r="E2860" s="6"/>
      <c r="F2860" s="6"/>
      <c r="G2860" s="19"/>
      <c r="H2860" s="19"/>
      <c r="I2860" s="19"/>
      <c r="J2860" s="19"/>
      <c r="K2860" s="6"/>
      <c r="L2860" s="6"/>
      <c r="M2860" s="6"/>
      <c r="N2860" s="6"/>
      <c r="O2860" s="6"/>
      <c r="P2860" s="6"/>
      <c r="Q2860" s="6"/>
      <c r="R2860" s="6"/>
      <c r="S2860" s="6"/>
      <c r="T2860" s="6"/>
    </row>
    <row r="2861" spans="4:20" x14ac:dyDescent="0.2">
      <c r="D2861" s="6"/>
      <c r="E2861" s="6"/>
      <c r="F2861" s="6"/>
      <c r="G2861" s="19"/>
      <c r="H2861" s="19"/>
      <c r="I2861" s="19"/>
      <c r="J2861" s="19"/>
      <c r="K2861" s="6"/>
      <c r="L2861" s="6"/>
      <c r="M2861" s="6"/>
      <c r="N2861" s="6"/>
      <c r="O2861" s="6"/>
      <c r="P2861" s="6"/>
      <c r="Q2861" s="6"/>
      <c r="R2861" s="6"/>
      <c r="S2861" s="6"/>
      <c r="T2861" s="6"/>
    </row>
    <row r="2862" spans="4:20" x14ac:dyDescent="0.2">
      <c r="D2862" s="6"/>
      <c r="E2862" s="6"/>
      <c r="F2862" s="6"/>
      <c r="G2862" s="19"/>
      <c r="H2862" s="19"/>
      <c r="I2862" s="19"/>
      <c r="J2862" s="19"/>
      <c r="K2862" s="6"/>
      <c r="L2862" s="6"/>
      <c r="M2862" s="6"/>
      <c r="N2862" s="6"/>
      <c r="O2862" s="6"/>
      <c r="P2862" s="6"/>
      <c r="Q2862" s="6"/>
      <c r="R2862" s="6"/>
      <c r="S2862" s="6"/>
      <c r="T2862" s="6"/>
    </row>
    <row r="2863" spans="4:20" x14ac:dyDescent="0.2">
      <c r="D2863" s="6"/>
      <c r="E2863" s="6"/>
      <c r="F2863" s="6"/>
      <c r="G2863" s="19"/>
      <c r="H2863" s="19"/>
      <c r="I2863" s="19"/>
      <c r="J2863" s="19"/>
      <c r="K2863" s="6"/>
      <c r="L2863" s="6"/>
      <c r="M2863" s="6"/>
      <c r="N2863" s="6"/>
      <c r="O2863" s="6"/>
      <c r="P2863" s="6"/>
      <c r="Q2863" s="6"/>
      <c r="R2863" s="6"/>
      <c r="S2863" s="6"/>
      <c r="T2863" s="6"/>
    </row>
    <row r="2864" spans="4:20" x14ac:dyDescent="0.2">
      <c r="D2864" s="6"/>
      <c r="E2864" s="6"/>
      <c r="F2864" s="6"/>
      <c r="G2864" s="19"/>
      <c r="H2864" s="19"/>
      <c r="I2864" s="19"/>
      <c r="J2864" s="19"/>
      <c r="K2864" s="6"/>
      <c r="L2864" s="6"/>
      <c r="M2864" s="6"/>
      <c r="N2864" s="6"/>
      <c r="O2864" s="6"/>
      <c r="P2864" s="6"/>
      <c r="Q2864" s="6"/>
      <c r="R2864" s="6"/>
      <c r="S2864" s="6"/>
      <c r="T2864" s="6"/>
    </row>
    <row r="2865" spans="4:20" x14ac:dyDescent="0.2">
      <c r="D2865" s="6"/>
      <c r="E2865" s="6"/>
      <c r="F2865" s="6"/>
      <c r="G2865" s="19"/>
      <c r="H2865" s="19"/>
      <c r="I2865" s="19"/>
      <c r="J2865" s="19"/>
      <c r="K2865" s="6"/>
      <c r="L2865" s="6"/>
      <c r="M2865" s="6"/>
      <c r="N2865" s="6"/>
      <c r="O2865" s="6"/>
      <c r="P2865" s="6"/>
      <c r="Q2865" s="6"/>
      <c r="R2865" s="6"/>
      <c r="S2865" s="6"/>
      <c r="T2865" s="6"/>
    </row>
    <row r="2866" spans="4:20" x14ac:dyDescent="0.2">
      <c r="D2866" s="6"/>
      <c r="E2866" s="6"/>
      <c r="F2866" s="6"/>
      <c r="G2866" s="19"/>
      <c r="H2866" s="19"/>
      <c r="I2866" s="19"/>
      <c r="J2866" s="19"/>
      <c r="K2866" s="6"/>
      <c r="L2866" s="6"/>
      <c r="M2866" s="6"/>
      <c r="N2866" s="6"/>
      <c r="O2866" s="6"/>
      <c r="P2866" s="6"/>
      <c r="Q2866" s="6"/>
      <c r="R2866" s="6"/>
      <c r="S2866" s="6"/>
      <c r="T2866" s="6"/>
    </row>
    <row r="2867" spans="4:20" x14ac:dyDescent="0.2">
      <c r="D2867" s="6"/>
      <c r="E2867" s="6"/>
      <c r="F2867" s="6"/>
      <c r="G2867" s="19"/>
      <c r="H2867" s="19"/>
      <c r="I2867" s="19"/>
      <c r="J2867" s="19"/>
      <c r="K2867" s="6"/>
      <c r="L2867" s="6"/>
      <c r="M2867" s="6"/>
      <c r="N2867" s="6"/>
      <c r="O2867" s="6"/>
      <c r="P2867" s="6"/>
      <c r="Q2867" s="6"/>
      <c r="R2867" s="6"/>
      <c r="S2867" s="6"/>
      <c r="T2867" s="6"/>
    </row>
    <row r="2868" spans="4:20" x14ac:dyDescent="0.2">
      <c r="D2868" s="6"/>
      <c r="E2868" s="6"/>
      <c r="F2868" s="6"/>
      <c r="G2868" s="19"/>
      <c r="H2868" s="19"/>
      <c r="I2868" s="19"/>
      <c r="J2868" s="19"/>
      <c r="K2868" s="6"/>
      <c r="L2868" s="6"/>
      <c r="M2868" s="6"/>
      <c r="N2868" s="6"/>
      <c r="O2868" s="6"/>
      <c r="P2868" s="6"/>
      <c r="Q2868" s="6"/>
      <c r="R2868" s="6"/>
      <c r="S2868" s="6"/>
      <c r="T2868" s="6"/>
    </row>
    <row r="2869" spans="4:20" x14ac:dyDescent="0.2">
      <c r="D2869" s="6"/>
      <c r="E2869" s="6"/>
      <c r="F2869" s="6"/>
      <c r="G2869" s="19"/>
      <c r="H2869" s="19"/>
      <c r="I2869" s="19"/>
      <c r="J2869" s="19"/>
      <c r="K2869" s="6"/>
      <c r="L2869" s="6"/>
      <c r="M2869" s="6"/>
      <c r="N2869" s="6"/>
      <c r="O2869" s="6"/>
      <c r="P2869" s="6"/>
      <c r="Q2869" s="6"/>
      <c r="R2869" s="6"/>
      <c r="S2869" s="6"/>
      <c r="T2869" s="6"/>
    </row>
    <row r="2870" spans="4:20" x14ac:dyDescent="0.2">
      <c r="D2870" s="6"/>
      <c r="E2870" s="6"/>
      <c r="F2870" s="6"/>
      <c r="G2870" s="19"/>
      <c r="H2870" s="19"/>
      <c r="I2870" s="19"/>
      <c r="J2870" s="19"/>
      <c r="K2870" s="6"/>
      <c r="L2870" s="6"/>
      <c r="M2870" s="6"/>
      <c r="N2870" s="6"/>
      <c r="O2870" s="6"/>
      <c r="P2870" s="6"/>
      <c r="Q2870" s="6"/>
      <c r="R2870" s="6"/>
      <c r="S2870" s="6"/>
      <c r="T2870" s="6"/>
    </row>
    <row r="2871" spans="4:20" x14ac:dyDescent="0.2">
      <c r="D2871" s="6"/>
      <c r="E2871" s="6"/>
      <c r="F2871" s="6"/>
      <c r="G2871" s="19"/>
      <c r="H2871" s="19"/>
      <c r="I2871" s="19"/>
      <c r="J2871" s="19"/>
      <c r="K2871" s="6"/>
      <c r="L2871" s="6"/>
      <c r="M2871" s="6"/>
      <c r="N2871" s="6"/>
      <c r="O2871" s="6"/>
      <c r="P2871" s="6"/>
      <c r="Q2871" s="6"/>
      <c r="R2871" s="6"/>
      <c r="S2871" s="6"/>
      <c r="T2871" s="6"/>
    </row>
    <row r="2872" spans="4:20" x14ac:dyDescent="0.2">
      <c r="D2872" s="6"/>
      <c r="E2872" s="6"/>
      <c r="F2872" s="6"/>
      <c r="G2872" s="19"/>
      <c r="H2872" s="19"/>
      <c r="I2872" s="19"/>
      <c r="J2872" s="19"/>
      <c r="K2872" s="6"/>
      <c r="L2872" s="6"/>
      <c r="M2872" s="6"/>
      <c r="N2872" s="6"/>
      <c r="O2872" s="6"/>
      <c r="P2872" s="6"/>
      <c r="Q2872" s="6"/>
      <c r="R2872" s="6"/>
      <c r="S2872" s="6"/>
      <c r="T2872" s="6"/>
    </row>
    <row r="2873" spans="4:20" x14ac:dyDescent="0.2">
      <c r="D2873" s="6"/>
      <c r="E2873" s="6"/>
      <c r="F2873" s="6"/>
      <c r="G2873" s="19"/>
      <c r="H2873" s="19"/>
      <c r="I2873" s="19"/>
      <c r="J2873" s="19"/>
      <c r="K2873" s="6"/>
      <c r="L2873" s="6"/>
      <c r="M2873" s="6"/>
      <c r="N2873" s="6"/>
      <c r="O2873" s="6"/>
      <c r="P2873" s="6"/>
      <c r="Q2873" s="6"/>
      <c r="R2873" s="6"/>
      <c r="S2873" s="6"/>
      <c r="T2873" s="6"/>
    </row>
    <row r="2874" spans="4:20" x14ac:dyDescent="0.2">
      <c r="D2874" s="6"/>
      <c r="E2874" s="6"/>
      <c r="F2874" s="6"/>
      <c r="G2874" s="19"/>
      <c r="H2874" s="19"/>
      <c r="I2874" s="19"/>
      <c r="J2874" s="19"/>
      <c r="K2874" s="6"/>
      <c r="L2874" s="6"/>
      <c r="M2874" s="6"/>
      <c r="N2874" s="6"/>
      <c r="O2874" s="6"/>
      <c r="P2874" s="6"/>
      <c r="Q2874" s="6"/>
      <c r="R2874" s="6"/>
      <c r="S2874" s="6"/>
      <c r="T2874" s="6"/>
    </row>
    <row r="2875" spans="4:20" x14ac:dyDescent="0.2">
      <c r="D2875" s="6"/>
      <c r="E2875" s="6"/>
      <c r="F2875" s="6"/>
      <c r="G2875" s="19"/>
      <c r="H2875" s="19"/>
      <c r="I2875" s="19"/>
      <c r="J2875" s="19"/>
      <c r="K2875" s="6"/>
      <c r="L2875" s="6"/>
      <c r="M2875" s="6"/>
      <c r="N2875" s="6"/>
      <c r="O2875" s="6"/>
      <c r="P2875" s="6"/>
      <c r="Q2875" s="6"/>
      <c r="R2875" s="6"/>
      <c r="S2875" s="6"/>
      <c r="T2875" s="6"/>
    </row>
    <row r="2876" spans="4:20" x14ac:dyDescent="0.2">
      <c r="D2876" s="6"/>
      <c r="E2876" s="6"/>
      <c r="F2876" s="6"/>
      <c r="G2876" s="19"/>
      <c r="H2876" s="19"/>
      <c r="I2876" s="19"/>
      <c r="J2876" s="19"/>
      <c r="K2876" s="6"/>
      <c r="L2876" s="6"/>
      <c r="M2876" s="6"/>
      <c r="N2876" s="6"/>
      <c r="O2876" s="6"/>
      <c r="P2876" s="6"/>
      <c r="Q2876" s="6"/>
      <c r="R2876" s="6"/>
      <c r="S2876" s="6"/>
      <c r="T2876" s="6"/>
    </row>
    <row r="2877" spans="4:20" x14ac:dyDescent="0.2">
      <c r="D2877" s="6"/>
      <c r="E2877" s="6"/>
      <c r="F2877" s="6"/>
      <c r="G2877" s="19"/>
      <c r="H2877" s="19"/>
      <c r="I2877" s="19"/>
      <c r="J2877" s="19"/>
      <c r="K2877" s="6"/>
      <c r="L2877" s="6"/>
      <c r="M2877" s="6"/>
      <c r="N2877" s="6"/>
      <c r="O2877" s="6"/>
      <c r="P2877" s="6"/>
      <c r="Q2877" s="6"/>
      <c r="R2877" s="6"/>
      <c r="S2877" s="6"/>
      <c r="T2877" s="6"/>
    </row>
    <row r="2878" spans="4:20" x14ac:dyDescent="0.2">
      <c r="D2878" s="6"/>
      <c r="E2878" s="6"/>
      <c r="F2878" s="6"/>
      <c r="G2878" s="19"/>
      <c r="H2878" s="19"/>
      <c r="I2878" s="19"/>
      <c r="J2878" s="19"/>
      <c r="K2878" s="6"/>
      <c r="L2878" s="6"/>
      <c r="M2878" s="6"/>
      <c r="N2878" s="6"/>
      <c r="O2878" s="6"/>
      <c r="P2878" s="6"/>
      <c r="Q2878" s="6"/>
      <c r="R2878" s="6"/>
      <c r="S2878" s="6"/>
      <c r="T2878" s="6"/>
    </row>
    <row r="2879" spans="4:20" x14ac:dyDescent="0.2">
      <c r="D2879" s="6"/>
      <c r="E2879" s="6"/>
      <c r="F2879" s="6"/>
      <c r="G2879" s="19"/>
      <c r="H2879" s="19"/>
      <c r="I2879" s="19"/>
      <c r="J2879" s="19"/>
      <c r="K2879" s="6"/>
      <c r="L2879" s="6"/>
      <c r="M2879" s="6"/>
      <c r="N2879" s="6"/>
      <c r="O2879" s="6"/>
      <c r="P2879" s="6"/>
      <c r="Q2879" s="6"/>
      <c r="R2879" s="6"/>
      <c r="S2879" s="6"/>
      <c r="T2879" s="6"/>
    </row>
    <row r="2880" spans="4:20" x14ac:dyDescent="0.2">
      <c r="D2880" s="6"/>
      <c r="E2880" s="6"/>
      <c r="F2880" s="6"/>
      <c r="G2880" s="19"/>
      <c r="H2880" s="19"/>
      <c r="I2880" s="19"/>
      <c r="J2880" s="19"/>
      <c r="K2880" s="6"/>
      <c r="L2880" s="6"/>
      <c r="M2880" s="6"/>
      <c r="N2880" s="6"/>
      <c r="O2880" s="6"/>
      <c r="P2880" s="6"/>
      <c r="Q2880" s="6"/>
      <c r="R2880" s="6"/>
      <c r="S2880" s="6"/>
      <c r="T2880" s="6"/>
    </row>
    <row r="2881" spans="4:20" x14ac:dyDescent="0.2">
      <c r="D2881" s="6"/>
      <c r="E2881" s="6"/>
      <c r="F2881" s="6"/>
      <c r="G2881" s="19"/>
      <c r="H2881" s="19"/>
      <c r="I2881" s="19"/>
      <c r="J2881" s="19"/>
      <c r="K2881" s="6"/>
      <c r="L2881" s="6"/>
      <c r="M2881" s="6"/>
      <c r="N2881" s="6"/>
      <c r="O2881" s="6"/>
      <c r="P2881" s="6"/>
      <c r="Q2881" s="6"/>
      <c r="R2881" s="6"/>
      <c r="S2881" s="6"/>
      <c r="T2881" s="6"/>
    </row>
    <row r="2882" spans="4:20" x14ac:dyDescent="0.2">
      <c r="D2882" s="6"/>
      <c r="E2882" s="6"/>
      <c r="F2882" s="6"/>
      <c r="G2882" s="19"/>
      <c r="H2882" s="19"/>
      <c r="I2882" s="19"/>
      <c r="J2882" s="19"/>
      <c r="K2882" s="6"/>
      <c r="L2882" s="6"/>
      <c r="M2882" s="6"/>
      <c r="N2882" s="6"/>
      <c r="O2882" s="6"/>
      <c r="P2882" s="6"/>
      <c r="Q2882" s="6"/>
      <c r="R2882" s="6"/>
      <c r="S2882" s="6"/>
      <c r="T2882" s="6"/>
    </row>
    <row r="2883" spans="4:20" x14ac:dyDescent="0.2">
      <c r="D2883" s="6"/>
      <c r="E2883" s="6"/>
      <c r="F2883" s="6"/>
      <c r="G2883" s="19"/>
      <c r="H2883" s="19"/>
      <c r="I2883" s="19"/>
      <c r="J2883" s="19"/>
      <c r="K2883" s="6"/>
      <c r="L2883" s="6"/>
      <c r="M2883" s="6"/>
      <c r="N2883" s="6"/>
      <c r="O2883" s="6"/>
      <c r="P2883" s="6"/>
      <c r="Q2883" s="6"/>
      <c r="R2883" s="6"/>
      <c r="S2883" s="6"/>
      <c r="T2883" s="6"/>
    </row>
    <row r="2884" spans="4:20" x14ac:dyDescent="0.2">
      <c r="D2884" s="6"/>
      <c r="E2884" s="6"/>
      <c r="F2884" s="6"/>
      <c r="G2884" s="19"/>
      <c r="H2884" s="19"/>
      <c r="I2884" s="19"/>
      <c r="J2884" s="19"/>
      <c r="K2884" s="6"/>
      <c r="L2884" s="6"/>
      <c r="M2884" s="6"/>
      <c r="N2884" s="6"/>
      <c r="O2884" s="6"/>
      <c r="P2884" s="6"/>
      <c r="Q2884" s="6"/>
      <c r="R2884" s="6"/>
      <c r="S2884" s="6"/>
      <c r="T2884" s="6"/>
    </row>
    <row r="2885" spans="4:20" x14ac:dyDescent="0.2">
      <c r="D2885" s="6"/>
      <c r="E2885" s="6"/>
      <c r="F2885" s="6"/>
      <c r="G2885" s="19"/>
      <c r="H2885" s="19"/>
      <c r="I2885" s="19"/>
      <c r="J2885" s="19"/>
      <c r="K2885" s="6"/>
      <c r="L2885" s="6"/>
      <c r="M2885" s="6"/>
      <c r="N2885" s="6"/>
      <c r="O2885" s="6"/>
      <c r="P2885" s="6"/>
      <c r="Q2885" s="6"/>
      <c r="R2885" s="6"/>
      <c r="S2885" s="6"/>
      <c r="T2885" s="6"/>
    </row>
    <row r="2886" spans="4:20" x14ac:dyDescent="0.2">
      <c r="D2886" s="6"/>
      <c r="E2886" s="6"/>
      <c r="F2886" s="6"/>
      <c r="G2886" s="19"/>
      <c r="H2886" s="19"/>
      <c r="I2886" s="19"/>
      <c r="J2886" s="19"/>
      <c r="K2886" s="6"/>
      <c r="L2886" s="6"/>
      <c r="M2886" s="6"/>
      <c r="N2886" s="6"/>
      <c r="O2886" s="6"/>
      <c r="P2886" s="6"/>
      <c r="Q2886" s="6"/>
      <c r="R2886" s="6"/>
      <c r="S2886" s="6"/>
      <c r="T2886" s="6"/>
    </row>
    <row r="2887" spans="4:20" x14ac:dyDescent="0.2">
      <c r="D2887" s="6"/>
      <c r="E2887" s="6"/>
      <c r="F2887" s="6"/>
      <c r="G2887" s="19"/>
      <c r="H2887" s="19"/>
      <c r="I2887" s="19"/>
      <c r="J2887" s="19"/>
      <c r="K2887" s="6"/>
      <c r="L2887" s="6"/>
      <c r="M2887" s="6"/>
      <c r="N2887" s="6"/>
      <c r="O2887" s="6"/>
      <c r="P2887" s="6"/>
      <c r="Q2887" s="6"/>
      <c r="R2887" s="6"/>
      <c r="S2887" s="6"/>
      <c r="T2887" s="6"/>
    </row>
    <row r="2888" spans="4:20" x14ac:dyDescent="0.2">
      <c r="D2888" s="6"/>
      <c r="E2888" s="6"/>
      <c r="F2888" s="6"/>
      <c r="G2888" s="19"/>
      <c r="H2888" s="19"/>
      <c r="I2888" s="19"/>
      <c r="J2888" s="19"/>
      <c r="K2888" s="6"/>
      <c r="L2888" s="6"/>
      <c r="M2888" s="6"/>
      <c r="N2888" s="6"/>
      <c r="O2888" s="6"/>
      <c r="P2888" s="6"/>
      <c r="Q2888" s="6"/>
      <c r="R2888" s="6"/>
      <c r="S2888" s="6"/>
      <c r="T2888" s="6"/>
    </row>
    <row r="2889" spans="4:20" x14ac:dyDescent="0.2">
      <c r="D2889" s="6"/>
      <c r="E2889" s="6"/>
      <c r="F2889" s="6"/>
      <c r="G2889" s="19"/>
      <c r="H2889" s="19"/>
      <c r="I2889" s="19"/>
      <c r="J2889" s="19"/>
      <c r="K2889" s="6"/>
      <c r="L2889" s="6"/>
      <c r="M2889" s="6"/>
      <c r="N2889" s="6"/>
      <c r="O2889" s="6"/>
      <c r="P2889" s="6"/>
      <c r="Q2889" s="6"/>
      <c r="R2889" s="6"/>
      <c r="S2889" s="6"/>
      <c r="T2889" s="6"/>
    </row>
    <row r="2890" spans="4:20" x14ac:dyDescent="0.2">
      <c r="D2890" s="6"/>
      <c r="E2890" s="6"/>
      <c r="F2890" s="6"/>
      <c r="G2890" s="19"/>
      <c r="H2890" s="19"/>
      <c r="I2890" s="19"/>
      <c r="J2890" s="19"/>
      <c r="K2890" s="6"/>
      <c r="L2890" s="6"/>
      <c r="M2890" s="6"/>
      <c r="N2890" s="6"/>
      <c r="O2890" s="6"/>
      <c r="P2890" s="6"/>
      <c r="Q2890" s="6"/>
      <c r="R2890" s="6"/>
      <c r="S2890" s="6"/>
      <c r="T2890" s="6"/>
    </row>
    <row r="2891" spans="4:20" x14ac:dyDescent="0.2">
      <c r="D2891" s="6"/>
      <c r="E2891" s="6"/>
      <c r="F2891" s="6"/>
      <c r="G2891" s="19"/>
      <c r="H2891" s="19"/>
      <c r="I2891" s="19"/>
      <c r="J2891" s="19"/>
      <c r="K2891" s="6"/>
      <c r="L2891" s="6"/>
      <c r="M2891" s="6"/>
      <c r="N2891" s="6"/>
      <c r="O2891" s="6"/>
      <c r="P2891" s="6"/>
      <c r="Q2891" s="6"/>
      <c r="R2891" s="6"/>
      <c r="S2891" s="6"/>
      <c r="T2891" s="6"/>
    </row>
    <row r="2892" spans="4:20" x14ac:dyDescent="0.2">
      <c r="D2892" s="6"/>
      <c r="E2892" s="6"/>
      <c r="F2892" s="6"/>
      <c r="G2892" s="19"/>
      <c r="H2892" s="19"/>
      <c r="I2892" s="19"/>
      <c r="J2892" s="19"/>
      <c r="K2892" s="6"/>
      <c r="L2892" s="6"/>
      <c r="M2892" s="6"/>
      <c r="N2892" s="6"/>
      <c r="O2892" s="6"/>
      <c r="P2892" s="6"/>
      <c r="Q2892" s="6"/>
      <c r="R2892" s="6"/>
      <c r="S2892" s="6"/>
      <c r="T2892" s="6"/>
    </row>
    <row r="2893" spans="4:20" x14ac:dyDescent="0.2">
      <c r="D2893" s="6"/>
      <c r="E2893" s="6"/>
      <c r="F2893" s="6"/>
      <c r="G2893" s="19"/>
      <c r="H2893" s="19"/>
      <c r="I2893" s="19"/>
      <c r="J2893" s="19"/>
      <c r="K2893" s="6"/>
      <c r="L2893" s="6"/>
      <c r="M2893" s="6"/>
      <c r="N2893" s="6"/>
      <c r="O2893" s="6"/>
      <c r="P2893" s="6"/>
      <c r="Q2893" s="6"/>
      <c r="R2893" s="6"/>
      <c r="S2893" s="6"/>
      <c r="T2893" s="6"/>
    </row>
    <row r="2894" spans="4:20" x14ac:dyDescent="0.2">
      <c r="D2894" s="6"/>
      <c r="E2894" s="6"/>
      <c r="F2894" s="6"/>
      <c r="G2894" s="19"/>
      <c r="H2894" s="19"/>
      <c r="I2894" s="19"/>
      <c r="J2894" s="19"/>
      <c r="K2894" s="6"/>
      <c r="L2894" s="6"/>
      <c r="M2894" s="6"/>
      <c r="N2894" s="6"/>
      <c r="O2894" s="6"/>
      <c r="P2894" s="6"/>
      <c r="Q2894" s="6"/>
      <c r="R2894" s="6"/>
      <c r="S2894" s="6"/>
      <c r="T2894" s="6"/>
    </row>
    <row r="2895" spans="4:20" x14ac:dyDescent="0.2">
      <c r="D2895" s="6"/>
      <c r="E2895" s="6"/>
      <c r="F2895" s="6"/>
      <c r="G2895" s="19"/>
      <c r="H2895" s="19"/>
      <c r="I2895" s="19"/>
      <c r="J2895" s="19"/>
      <c r="K2895" s="6"/>
      <c r="L2895" s="6"/>
      <c r="M2895" s="6"/>
      <c r="N2895" s="6"/>
      <c r="O2895" s="6"/>
      <c r="P2895" s="6"/>
      <c r="Q2895" s="6"/>
      <c r="R2895" s="6"/>
      <c r="S2895" s="6"/>
      <c r="T2895" s="6"/>
    </row>
    <row r="2896" spans="4:20" x14ac:dyDescent="0.2">
      <c r="D2896" s="6"/>
      <c r="E2896" s="6"/>
      <c r="F2896" s="6"/>
      <c r="G2896" s="19"/>
      <c r="H2896" s="19"/>
      <c r="I2896" s="19"/>
      <c r="J2896" s="19"/>
      <c r="K2896" s="6"/>
      <c r="L2896" s="6"/>
      <c r="M2896" s="6"/>
      <c r="N2896" s="6"/>
      <c r="O2896" s="6"/>
      <c r="P2896" s="6"/>
      <c r="Q2896" s="6"/>
      <c r="R2896" s="6"/>
      <c r="S2896" s="6"/>
      <c r="T2896" s="6"/>
    </row>
    <row r="2897" spans="4:20" x14ac:dyDescent="0.2">
      <c r="D2897" s="6"/>
      <c r="E2897" s="6"/>
      <c r="F2897" s="6"/>
      <c r="G2897" s="19"/>
      <c r="H2897" s="19"/>
      <c r="I2897" s="19"/>
      <c r="J2897" s="19"/>
      <c r="K2897" s="6"/>
      <c r="L2897" s="6"/>
      <c r="M2897" s="6"/>
      <c r="N2897" s="6"/>
      <c r="O2897" s="6"/>
      <c r="P2897" s="6"/>
      <c r="Q2897" s="6"/>
      <c r="R2897" s="6"/>
      <c r="S2897" s="6"/>
      <c r="T2897" s="6"/>
    </row>
    <row r="2898" spans="4:20" x14ac:dyDescent="0.2">
      <c r="D2898" s="6"/>
      <c r="E2898" s="6"/>
      <c r="F2898" s="6"/>
      <c r="G2898" s="19"/>
      <c r="H2898" s="19"/>
      <c r="I2898" s="19"/>
      <c r="J2898" s="19"/>
      <c r="K2898" s="6"/>
      <c r="L2898" s="6"/>
      <c r="M2898" s="6"/>
      <c r="N2898" s="6"/>
      <c r="O2898" s="6"/>
      <c r="P2898" s="6"/>
      <c r="Q2898" s="6"/>
      <c r="R2898" s="6"/>
      <c r="S2898" s="6"/>
      <c r="T2898" s="6"/>
    </row>
    <row r="2899" spans="4:20" x14ac:dyDescent="0.2">
      <c r="D2899" s="6"/>
      <c r="E2899" s="6"/>
      <c r="F2899" s="6"/>
      <c r="G2899" s="19"/>
      <c r="H2899" s="19"/>
      <c r="I2899" s="19"/>
      <c r="J2899" s="19"/>
      <c r="K2899" s="6"/>
      <c r="L2899" s="6"/>
      <c r="M2899" s="6"/>
      <c r="N2899" s="6"/>
      <c r="O2899" s="6"/>
      <c r="P2899" s="6"/>
      <c r="Q2899" s="6"/>
      <c r="R2899" s="6"/>
      <c r="S2899" s="6"/>
      <c r="T2899" s="6"/>
    </row>
    <row r="2900" spans="4:20" x14ac:dyDescent="0.2">
      <c r="D2900" s="6"/>
      <c r="E2900" s="6"/>
      <c r="F2900" s="6"/>
      <c r="G2900" s="19"/>
      <c r="H2900" s="19"/>
      <c r="I2900" s="19"/>
      <c r="J2900" s="19"/>
      <c r="K2900" s="6"/>
      <c r="L2900" s="6"/>
      <c r="M2900" s="6"/>
      <c r="N2900" s="6"/>
      <c r="O2900" s="6"/>
      <c r="P2900" s="6"/>
      <c r="Q2900" s="6"/>
      <c r="R2900" s="6"/>
      <c r="S2900" s="6"/>
      <c r="T2900" s="6"/>
    </row>
    <row r="2901" spans="4:20" x14ac:dyDescent="0.2">
      <c r="D2901" s="6"/>
      <c r="E2901" s="6"/>
      <c r="F2901" s="6"/>
      <c r="G2901" s="19"/>
      <c r="H2901" s="19"/>
      <c r="I2901" s="19"/>
      <c r="J2901" s="19"/>
      <c r="K2901" s="6"/>
      <c r="L2901" s="6"/>
      <c r="M2901" s="6"/>
      <c r="N2901" s="6"/>
      <c r="O2901" s="6"/>
      <c r="P2901" s="6"/>
      <c r="Q2901" s="6"/>
      <c r="R2901" s="6"/>
      <c r="S2901" s="6"/>
      <c r="T2901" s="6"/>
    </row>
    <row r="2902" spans="4:20" x14ac:dyDescent="0.2">
      <c r="D2902" s="6"/>
      <c r="E2902" s="6"/>
      <c r="F2902" s="6"/>
      <c r="G2902" s="19"/>
      <c r="H2902" s="19"/>
      <c r="I2902" s="19"/>
      <c r="J2902" s="19"/>
      <c r="K2902" s="6"/>
      <c r="L2902" s="6"/>
      <c r="M2902" s="6"/>
      <c r="N2902" s="6"/>
      <c r="O2902" s="6"/>
      <c r="P2902" s="6"/>
      <c r="Q2902" s="6"/>
      <c r="R2902" s="6"/>
      <c r="S2902" s="6"/>
      <c r="T2902" s="6"/>
    </row>
    <row r="2903" spans="4:20" x14ac:dyDescent="0.2">
      <c r="D2903" s="6"/>
      <c r="E2903" s="6"/>
      <c r="F2903" s="6"/>
      <c r="G2903" s="19"/>
      <c r="H2903" s="19"/>
      <c r="I2903" s="19"/>
      <c r="J2903" s="19"/>
      <c r="K2903" s="6"/>
      <c r="L2903" s="6"/>
      <c r="M2903" s="6"/>
      <c r="N2903" s="6"/>
      <c r="O2903" s="6"/>
      <c r="P2903" s="6"/>
      <c r="Q2903" s="6"/>
      <c r="R2903" s="6"/>
      <c r="S2903" s="6"/>
      <c r="T2903" s="6"/>
    </row>
    <row r="2904" spans="4:20" x14ac:dyDescent="0.2">
      <c r="D2904" s="6"/>
      <c r="E2904" s="6"/>
      <c r="F2904" s="6"/>
      <c r="G2904" s="19"/>
      <c r="H2904" s="19"/>
      <c r="I2904" s="19"/>
      <c r="J2904" s="19"/>
      <c r="K2904" s="6"/>
      <c r="L2904" s="6"/>
      <c r="M2904" s="6"/>
      <c r="N2904" s="6"/>
      <c r="O2904" s="6"/>
      <c r="P2904" s="6"/>
      <c r="Q2904" s="6"/>
      <c r="R2904" s="6"/>
      <c r="S2904" s="6"/>
      <c r="T2904" s="6"/>
    </row>
    <row r="2905" spans="4:20" x14ac:dyDescent="0.2">
      <c r="D2905" s="6"/>
      <c r="E2905" s="6"/>
      <c r="F2905" s="6"/>
      <c r="G2905" s="19"/>
      <c r="H2905" s="19"/>
      <c r="I2905" s="19"/>
      <c r="J2905" s="19"/>
      <c r="K2905" s="6"/>
      <c r="L2905" s="6"/>
      <c r="M2905" s="6"/>
      <c r="N2905" s="6"/>
      <c r="O2905" s="6"/>
      <c r="P2905" s="6"/>
      <c r="Q2905" s="6"/>
      <c r="R2905" s="6"/>
      <c r="S2905" s="6"/>
      <c r="T2905" s="6"/>
    </row>
    <row r="2906" spans="4:20" x14ac:dyDescent="0.2">
      <c r="D2906" s="6"/>
      <c r="E2906" s="6"/>
      <c r="F2906" s="6"/>
      <c r="G2906" s="19"/>
      <c r="H2906" s="19"/>
      <c r="I2906" s="19"/>
      <c r="J2906" s="19"/>
      <c r="K2906" s="6"/>
      <c r="L2906" s="6"/>
      <c r="M2906" s="6"/>
      <c r="N2906" s="6"/>
      <c r="O2906" s="6"/>
      <c r="P2906" s="6"/>
      <c r="Q2906" s="6"/>
      <c r="R2906" s="6"/>
      <c r="S2906" s="6"/>
      <c r="T2906" s="6"/>
    </row>
    <row r="2907" spans="4:20" x14ac:dyDescent="0.2">
      <c r="D2907" s="6"/>
      <c r="E2907" s="6"/>
      <c r="F2907" s="6"/>
      <c r="G2907" s="19"/>
      <c r="H2907" s="19"/>
      <c r="I2907" s="19"/>
      <c r="J2907" s="19"/>
      <c r="K2907" s="6"/>
      <c r="L2907" s="6"/>
      <c r="M2907" s="6"/>
      <c r="N2907" s="6"/>
      <c r="O2907" s="6"/>
      <c r="P2907" s="6"/>
      <c r="Q2907" s="6"/>
      <c r="R2907" s="6"/>
      <c r="S2907" s="6"/>
      <c r="T2907" s="6"/>
    </row>
    <row r="2908" spans="4:20" x14ac:dyDescent="0.2">
      <c r="D2908" s="6"/>
      <c r="E2908" s="6"/>
      <c r="F2908" s="6"/>
      <c r="G2908" s="19"/>
      <c r="H2908" s="19"/>
      <c r="I2908" s="19"/>
      <c r="J2908" s="19"/>
      <c r="K2908" s="6"/>
      <c r="L2908" s="6"/>
      <c r="M2908" s="6"/>
      <c r="N2908" s="6"/>
      <c r="O2908" s="6"/>
      <c r="P2908" s="6"/>
      <c r="Q2908" s="6"/>
      <c r="R2908" s="6"/>
      <c r="S2908" s="6"/>
      <c r="T2908" s="6"/>
    </row>
    <row r="2909" spans="4:20" x14ac:dyDescent="0.2">
      <c r="D2909" s="6"/>
      <c r="E2909" s="6"/>
      <c r="F2909" s="6"/>
      <c r="G2909" s="19"/>
      <c r="H2909" s="19"/>
      <c r="I2909" s="19"/>
      <c r="J2909" s="19"/>
      <c r="K2909" s="6"/>
      <c r="L2909" s="6"/>
      <c r="M2909" s="6"/>
      <c r="N2909" s="6"/>
      <c r="O2909" s="6"/>
      <c r="P2909" s="6"/>
      <c r="Q2909" s="6"/>
      <c r="R2909" s="6"/>
      <c r="S2909" s="6"/>
      <c r="T2909" s="6"/>
    </row>
    <row r="2910" spans="4:20" x14ac:dyDescent="0.2">
      <c r="D2910" s="6"/>
      <c r="E2910" s="6"/>
      <c r="F2910" s="6"/>
      <c r="G2910" s="19"/>
      <c r="H2910" s="19"/>
      <c r="I2910" s="19"/>
      <c r="J2910" s="19"/>
      <c r="K2910" s="6"/>
      <c r="L2910" s="6"/>
      <c r="M2910" s="6"/>
      <c r="N2910" s="6"/>
      <c r="O2910" s="6"/>
      <c r="P2910" s="6"/>
      <c r="Q2910" s="6"/>
      <c r="R2910" s="6"/>
      <c r="S2910" s="6"/>
      <c r="T2910" s="6"/>
    </row>
    <row r="2911" spans="4:20" x14ac:dyDescent="0.2">
      <c r="D2911" s="6"/>
      <c r="E2911" s="6"/>
      <c r="F2911" s="6"/>
      <c r="G2911" s="19"/>
      <c r="H2911" s="19"/>
      <c r="I2911" s="19"/>
      <c r="J2911" s="19"/>
      <c r="K2911" s="6"/>
      <c r="L2911" s="6"/>
      <c r="M2911" s="6"/>
      <c r="N2911" s="6"/>
      <c r="O2911" s="6"/>
      <c r="P2911" s="6"/>
      <c r="Q2911" s="6"/>
      <c r="R2911" s="6"/>
      <c r="S2911" s="6"/>
      <c r="T2911" s="6"/>
    </row>
    <row r="2912" spans="4:20" x14ac:dyDescent="0.2">
      <c r="D2912" s="6"/>
      <c r="E2912" s="6"/>
      <c r="F2912" s="6"/>
      <c r="G2912" s="19"/>
      <c r="H2912" s="19"/>
      <c r="I2912" s="19"/>
      <c r="J2912" s="19"/>
      <c r="K2912" s="6"/>
      <c r="L2912" s="6"/>
      <c r="M2912" s="6"/>
      <c r="N2912" s="6"/>
      <c r="O2912" s="6"/>
      <c r="P2912" s="6"/>
      <c r="Q2912" s="6"/>
      <c r="R2912" s="6"/>
      <c r="S2912" s="6"/>
      <c r="T2912" s="6"/>
    </row>
    <row r="2913" spans="4:20" x14ac:dyDescent="0.2">
      <c r="D2913" s="6"/>
      <c r="E2913" s="6"/>
      <c r="F2913" s="6"/>
      <c r="G2913" s="19"/>
      <c r="H2913" s="19"/>
      <c r="I2913" s="19"/>
      <c r="J2913" s="19"/>
      <c r="K2913" s="6"/>
      <c r="L2913" s="6"/>
      <c r="M2913" s="6"/>
      <c r="N2913" s="6"/>
      <c r="O2913" s="6"/>
      <c r="P2913" s="6"/>
      <c r="Q2913" s="6"/>
      <c r="R2913" s="6"/>
      <c r="S2913" s="6"/>
      <c r="T2913" s="6"/>
    </row>
    <row r="2914" spans="4:20" x14ac:dyDescent="0.2">
      <c r="D2914" s="6"/>
      <c r="E2914" s="6"/>
      <c r="F2914" s="6"/>
      <c r="G2914" s="19"/>
      <c r="H2914" s="19"/>
      <c r="I2914" s="19"/>
      <c r="J2914" s="19"/>
      <c r="K2914" s="6"/>
      <c r="L2914" s="6"/>
      <c r="M2914" s="6"/>
      <c r="N2914" s="6"/>
      <c r="O2914" s="6"/>
      <c r="P2914" s="6"/>
      <c r="Q2914" s="6"/>
      <c r="R2914" s="6"/>
      <c r="S2914" s="6"/>
      <c r="T2914" s="6"/>
    </row>
    <row r="2915" spans="4:20" x14ac:dyDescent="0.2">
      <c r="D2915" s="6"/>
      <c r="E2915" s="6"/>
      <c r="F2915" s="6"/>
      <c r="G2915" s="19"/>
      <c r="H2915" s="19"/>
      <c r="I2915" s="19"/>
      <c r="J2915" s="19"/>
      <c r="K2915" s="6"/>
      <c r="L2915" s="6"/>
      <c r="M2915" s="6"/>
      <c r="N2915" s="6"/>
      <c r="O2915" s="6"/>
      <c r="P2915" s="6"/>
      <c r="Q2915" s="6"/>
      <c r="R2915" s="6"/>
      <c r="S2915" s="6"/>
      <c r="T2915" s="6"/>
    </row>
    <row r="2916" spans="4:20" x14ac:dyDescent="0.2">
      <c r="D2916" s="6"/>
      <c r="E2916" s="6"/>
      <c r="F2916" s="6"/>
      <c r="G2916" s="19"/>
      <c r="H2916" s="19"/>
      <c r="I2916" s="19"/>
      <c r="J2916" s="19"/>
      <c r="K2916" s="6"/>
      <c r="L2916" s="6"/>
      <c r="M2916" s="6"/>
      <c r="N2916" s="6"/>
      <c r="O2916" s="6"/>
      <c r="P2916" s="6"/>
      <c r="Q2916" s="6"/>
      <c r="R2916" s="6"/>
      <c r="S2916" s="6"/>
      <c r="T2916" s="6"/>
    </row>
    <row r="2917" spans="4:20" x14ac:dyDescent="0.2">
      <c r="D2917" s="6"/>
      <c r="E2917" s="6"/>
      <c r="F2917" s="6"/>
      <c r="G2917" s="19"/>
      <c r="H2917" s="19"/>
      <c r="I2917" s="19"/>
      <c r="J2917" s="19"/>
      <c r="K2917" s="6"/>
      <c r="L2917" s="6"/>
      <c r="M2917" s="6"/>
      <c r="N2917" s="6"/>
      <c r="O2917" s="6"/>
      <c r="P2917" s="6"/>
      <c r="Q2917" s="6"/>
      <c r="R2917" s="6"/>
      <c r="S2917" s="6"/>
      <c r="T2917" s="6"/>
    </row>
    <row r="2918" spans="4:20" x14ac:dyDescent="0.2">
      <c r="D2918" s="6"/>
      <c r="E2918" s="6"/>
      <c r="F2918" s="6"/>
      <c r="G2918" s="19"/>
      <c r="H2918" s="19"/>
      <c r="I2918" s="19"/>
      <c r="J2918" s="19"/>
      <c r="K2918" s="6"/>
      <c r="L2918" s="6"/>
      <c r="M2918" s="6"/>
      <c r="N2918" s="6"/>
      <c r="O2918" s="6"/>
      <c r="P2918" s="6"/>
      <c r="Q2918" s="6"/>
      <c r="R2918" s="6"/>
      <c r="S2918" s="6"/>
      <c r="T2918" s="6"/>
    </row>
    <row r="2919" spans="4:20" x14ac:dyDescent="0.2">
      <c r="D2919" s="6"/>
      <c r="E2919" s="6"/>
      <c r="F2919" s="6"/>
      <c r="G2919" s="19"/>
      <c r="H2919" s="19"/>
      <c r="I2919" s="19"/>
      <c r="J2919" s="19"/>
      <c r="K2919" s="6"/>
      <c r="L2919" s="6"/>
      <c r="M2919" s="6"/>
      <c r="N2919" s="6"/>
      <c r="O2919" s="6"/>
      <c r="P2919" s="6"/>
      <c r="Q2919" s="6"/>
      <c r="R2919" s="6"/>
      <c r="S2919" s="6"/>
      <c r="T2919" s="6"/>
    </row>
    <row r="2920" spans="4:20" x14ac:dyDescent="0.2">
      <c r="D2920" s="6"/>
      <c r="E2920" s="6"/>
      <c r="F2920" s="6"/>
      <c r="G2920" s="19"/>
      <c r="H2920" s="19"/>
      <c r="I2920" s="19"/>
      <c r="J2920" s="19"/>
      <c r="K2920" s="6"/>
      <c r="L2920" s="6"/>
      <c r="M2920" s="6"/>
      <c r="N2920" s="6"/>
      <c r="O2920" s="6"/>
      <c r="P2920" s="6"/>
      <c r="Q2920" s="6"/>
      <c r="R2920" s="6"/>
      <c r="S2920" s="6"/>
      <c r="T2920" s="6"/>
    </row>
    <row r="2921" spans="4:20" x14ac:dyDescent="0.2">
      <c r="D2921" s="6"/>
      <c r="E2921" s="6"/>
      <c r="F2921" s="6"/>
      <c r="G2921" s="19"/>
      <c r="H2921" s="19"/>
      <c r="I2921" s="19"/>
      <c r="J2921" s="19"/>
      <c r="K2921" s="6"/>
      <c r="L2921" s="6"/>
      <c r="M2921" s="6"/>
      <c r="N2921" s="6"/>
      <c r="O2921" s="6"/>
      <c r="P2921" s="6"/>
      <c r="Q2921" s="6"/>
      <c r="R2921" s="6"/>
      <c r="S2921" s="6"/>
      <c r="T2921" s="6"/>
    </row>
    <row r="2922" spans="4:20" x14ac:dyDescent="0.2">
      <c r="D2922" s="6"/>
      <c r="E2922" s="6"/>
      <c r="F2922" s="6"/>
      <c r="G2922" s="19"/>
      <c r="H2922" s="19"/>
      <c r="I2922" s="19"/>
      <c r="J2922" s="19"/>
      <c r="K2922" s="6"/>
      <c r="L2922" s="6"/>
      <c r="M2922" s="6"/>
      <c r="N2922" s="6"/>
      <c r="O2922" s="6"/>
      <c r="P2922" s="6"/>
      <c r="Q2922" s="6"/>
      <c r="R2922" s="6"/>
      <c r="S2922" s="6"/>
      <c r="T2922" s="6"/>
    </row>
    <row r="2923" spans="4:20" x14ac:dyDescent="0.2">
      <c r="D2923" s="6"/>
      <c r="E2923" s="6"/>
      <c r="F2923" s="6"/>
      <c r="G2923" s="19"/>
      <c r="H2923" s="19"/>
      <c r="I2923" s="19"/>
      <c r="J2923" s="19"/>
      <c r="K2923" s="6"/>
      <c r="L2923" s="6"/>
      <c r="M2923" s="6"/>
      <c r="N2923" s="6"/>
      <c r="O2923" s="6"/>
      <c r="P2923" s="6"/>
      <c r="Q2923" s="6"/>
      <c r="R2923" s="6"/>
      <c r="S2923" s="6"/>
      <c r="T2923" s="6"/>
    </row>
    <row r="2924" spans="4:20" x14ac:dyDescent="0.2">
      <c r="D2924" s="6"/>
      <c r="E2924" s="6"/>
      <c r="F2924" s="6"/>
      <c r="G2924" s="19"/>
      <c r="H2924" s="19"/>
      <c r="I2924" s="19"/>
      <c r="J2924" s="19"/>
      <c r="K2924" s="6"/>
      <c r="L2924" s="6"/>
      <c r="M2924" s="6"/>
      <c r="N2924" s="6"/>
      <c r="O2924" s="6"/>
      <c r="P2924" s="6"/>
      <c r="Q2924" s="6"/>
      <c r="R2924" s="6"/>
      <c r="S2924" s="6"/>
      <c r="T2924" s="6"/>
    </row>
    <row r="2925" spans="4:20" x14ac:dyDescent="0.2">
      <c r="D2925" s="6"/>
      <c r="E2925" s="6"/>
      <c r="F2925" s="6"/>
      <c r="G2925" s="19"/>
      <c r="H2925" s="19"/>
      <c r="I2925" s="19"/>
      <c r="J2925" s="19"/>
      <c r="K2925" s="6"/>
      <c r="L2925" s="6"/>
      <c r="M2925" s="6"/>
      <c r="N2925" s="6"/>
      <c r="O2925" s="6"/>
      <c r="P2925" s="6"/>
      <c r="Q2925" s="6"/>
      <c r="R2925" s="6"/>
      <c r="S2925" s="6"/>
      <c r="T2925" s="6"/>
    </row>
    <row r="2926" spans="4:20" x14ac:dyDescent="0.2">
      <c r="D2926" s="6"/>
      <c r="E2926" s="6"/>
      <c r="F2926" s="6"/>
      <c r="G2926" s="19"/>
      <c r="H2926" s="19"/>
      <c r="I2926" s="19"/>
      <c r="J2926" s="19"/>
      <c r="K2926" s="6"/>
      <c r="L2926" s="6"/>
      <c r="M2926" s="6"/>
      <c r="N2926" s="6"/>
      <c r="O2926" s="6"/>
      <c r="P2926" s="6"/>
      <c r="Q2926" s="6"/>
      <c r="R2926" s="6"/>
      <c r="S2926" s="6"/>
      <c r="T2926" s="6"/>
    </row>
    <row r="2927" spans="4:20" x14ac:dyDescent="0.2">
      <c r="D2927" s="6"/>
      <c r="E2927" s="6"/>
      <c r="F2927" s="6"/>
      <c r="G2927" s="19"/>
      <c r="H2927" s="19"/>
      <c r="I2927" s="19"/>
      <c r="J2927" s="19"/>
      <c r="K2927" s="6"/>
      <c r="L2927" s="6"/>
      <c r="M2927" s="6"/>
      <c r="N2927" s="6"/>
      <c r="O2927" s="6"/>
      <c r="P2927" s="6"/>
      <c r="Q2927" s="6"/>
      <c r="R2927" s="6"/>
      <c r="S2927" s="6"/>
      <c r="T2927" s="6"/>
    </row>
    <row r="2928" spans="4:20" x14ac:dyDescent="0.2">
      <c r="D2928" s="6"/>
      <c r="E2928" s="6"/>
      <c r="F2928" s="6"/>
      <c r="G2928" s="19"/>
      <c r="H2928" s="19"/>
      <c r="I2928" s="19"/>
      <c r="J2928" s="19"/>
      <c r="K2928" s="6"/>
      <c r="L2928" s="6"/>
      <c r="M2928" s="6"/>
      <c r="N2928" s="6"/>
      <c r="O2928" s="6"/>
      <c r="P2928" s="6"/>
      <c r="Q2928" s="6"/>
      <c r="R2928" s="6"/>
      <c r="S2928" s="6"/>
      <c r="T2928" s="6"/>
    </row>
    <row r="2929" spans="4:20" x14ac:dyDescent="0.2">
      <c r="D2929" s="6"/>
      <c r="E2929" s="6"/>
      <c r="F2929" s="6"/>
      <c r="G2929" s="19"/>
      <c r="H2929" s="19"/>
      <c r="I2929" s="19"/>
      <c r="J2929" s="19"/>
      <c r="K2929" s="6"/>
      <c r="L2929" s="6"/>
      <c r="M2929" s="6"/>
      <c r="N2929" s="6"/>
      <c r="O2929" s="6"/>
      <c r="P2929" s="6"/>
      <c r="Q2929" s="6"/>
      <c r="R2929" s="6"/>
      <c r="S2929" s="6"/>
      <c r="T2929" s="6"/>
    </row>
    <row r="2930" spans="4:20" x14ac:dyDescent="0.2">
      <c r="D2930" s="6"/>
      <c r="E2930" s="6"/>
      <c r="F2930" s="6"/>
      <c r="G2930" s="19"/>
      <c r="H2930" s="19"/>
      <c r="I2930" s="19"/>
      <c r="J2930" s="19"/>
      <c r="K2930" s="6"/>
      <c r="L2930" s="6"/>
      <c r="M2930" s="6"/>
      <c r="N2930" s="6"/>
      <c r="O2930" s="6"/>
      <c r="P2930" s="6"/>
      <c r="Q2930" s="6"/>
      <c r="R2930" s="6"/>
      <c r="S2930" s="6"/>
      <c r="T2930" s="6"/>
    </row>
    <row r="2931" spans="4:20" x14ac:dyDescent="0.2">
      <c r="D2931" s="6"/>
      <c r="E2931" s="6"/>
      <c r="F2931" s="6"/>
      <c r="G2931" s="19"/>
      <c r="H2931" s="19"/>
      <c r="I2931" s="19"/>
      <c r="J2931" s="19"/>
      <c r="K2931" s="6"/>
      <c r="L2931" s="6"/>
      <c r="M2931" s="6"/>
      <c r="N2931" s="6"/>
      <c r="O2931" s="6"/>
      <c r="P2931" s="6"/>
      <c r="Q2931" s="6"/>
      <c r="R2931" s="6"/>
      <c r="S2931" s="6"/>
      <c r="T2931" s="6"/>
    </row>
    <row r="2932" spans="4:20" x14ac:dyDescent="0.2">
      <c r="D2932" s="6"/>
      <c r="E2932" s="6"/>
      <c r="F2932" s="6"/>
      <c r="G2932" s="19"/>
      <c r="H2932" s="19"/>
      <c r="I2932" s="19"/>
      <c r="J2932" s="19"/>
      <c r="K2932" s="6"/>
      <c r="L2932" s="6"/>
      <c r="M2932" s="6"/>
      <c r="N2932" s="6"/>
      <c r="O2932" s="6"/>
      <c r="P2932" s="6"/>
      <c r="Q2932" s="6"/>
      <c r="R2932" s="6"/>
      <c r="S2932" s="6"/>
      <c r="T2932" s="6"/>
    </row>
    <row r="2933" spans="4:20" x14ac:dyDescent="0.2">
      <c r="D2933" s="6"/>
      <c r="E2933" s="6"/>
      <c r="F2933" s="6"/>
      <c r="G2933" s="19"/>
      <c r="H2933" s="19"/>
      <c r="I2933" s="19"/>
      <c r="J2933" s="19"/>
      <c r="K2933" s="6"/>
      <c r="L2933" s="6"/>
      <c r="M2933" s="6"/>
      <c r="N2933" s="6"/>
      <c r="O2933" s="6"/>
      <c r="P2933" s="6"/>
      <c r="Q2933" s="6"/>
      <c r="R2933" s="6"/>
      <c r="S2933" s="6"/>
      <c r="T2933" s="6"/>
    </row>
    <row r="2934" spans="4:20" x14ac:dyDescent="0.2">
      <c r="D2934" s="6"/>
      <c r="E2934" s="6"/>
      <c r="F2934" s="6"/>
      <c r="G2934" s="19"/>
      <c r="H2934" s="19"/>
      <c r="I2934" s="19"/>
      <c r="J2934" s="19"/>
      <c r="K2934" s="6"/>
      <c r="L2934" s="6"/>
      <c r="M2934" s="6"/>
      <c r="N2934" s="6"/>
      <c r="O2934" s="6"/>
      <c r="P2934" s="6"/>
      <c r="Q2934" s="6"/>
      <c r="R2934" s="6"/>
      <c r="S2934" s="6"/>
      <c r="T2934" s="6"/>
    </row>
    <row r="2935" spans="4:20" x14ac:dyDescent="0.2">
      <c r="D2935" s="6"/>
      <c r="E2935" s="6"/>
      <c r="F2935" s="6"/>
      <c r="G2935" s="19"/>
      <c r="H2935" s="19"/>
      <c r="I2935" s="19"/>
      <c r="J2935" s="19"/>
      <c r="K2935" s="6"/>
      <c r="L2935" s="6"/>
      <c r="M2935" s="6"/>
      <c r="N2935" s="6"/>
      <c r="O2935" s="6"/>
      <c r="P2935" s="6"/>
      <c r="Q2935" s="6"/>
      <c r="R2935" s="6"/>
      <c r="S2935" s="6"/>
      <c r="T2935" s="6"/>
    </row>
    <row r="2936" spans="4:20" x14ac:dyDescent="0.2">
      <c r="D2936" s="6"/>
      <c r="E2936" s="6"/>
      <c r="F2936" s="6"/>
      <c r="G2936" s="19"/>
      <c r="H2936" s="19"/>
      <c r="I2936" s="19"/>
      <c r="J2936" s="19"/>
      <c r="K2936" s="6"/>
      <c r="L2936" s="6"/>
      <c r="M2936" s="6"/>
      <c r="N2936" s="6"/>
      <c r="O2936" s="6"/>
      <c r="P2936" s="6"/>
      <c r="Q2936" s="6"/>
      <c r="R2936" s="6"/>
      <c r="S2936" s="6"/>
      <c r="T2936" s="6"/>
    </row>
    <row r="2937" spans="4:20" x14ac:dyDescent="0.2">
      <c r="D2937" s="6"/>
      <c r="E2937" s="6"/>
      <c r="F2937" s="6"/>
      <c r="G2937" s="19"/>
      <c r="H2937" s="19"/>
      <c r="I2937" s="19"/>
      <c r="J2937" s="19"/>
      <c r="K2937" s="6"/>
      <c r="L2937" s="6"/>
      <c r="M2937" s="6"/>
      <c r="N2937" s="6"/>
      <c r="O2937" s="6"/>
      <c r="P2937" s="6"/>
      <c r="Q2937" s="6"/>
      <c r="R2937" s="6"/>
      <c r="S2937" s="6"/>
      <c r="T2937" s="6"/>
    </row>
    <row r="2938" spans="4:20" x14ac:dyDescent="0.2">
      <c r="D2938" s="6"/>
      <c r="E2938" s="6"/>
      <c r="F2938" s="6"/>
      <c r="G2938" s="19"/>
      <c r="H2938" s="19"/>
      <c r="I2938" s="19"/>
      <c r="J2938" s="19"/>
      <c r="K2938" s="6"/>
      <c r="L2938" s="6"/>
      <c r="M2938" s="6"/>
      <c r="N2938" s="6"/>
      <c r="O2938" s="6"/>
      <c r="P2938" s="6"/>
      <c r="Q2938" s="6"/>
      <c r="R2938" s="6"/>
      <c r="S2938" s="6"/>
      <c r="T2938" s="6"/>
    </row>
    <row r="2939" spans="4:20" x14ac:dyDescent="0.2">
      <c r="D2939" s="6"/>
      <c r="E2939" s="6"/>
      <c r="F2939" s="6"/>
      <c r="G2939" s="19"/>
      <c r="H2939" s="19"/>
      <c r="I2939" s="19"/>
      <c r="J2939" s="19"/>
      <c r="K2939" s="6"/>
      <c r="L2939" s="6"/>
      <c r="M2939" s="6"/>
      <c r="N2939" s="6"/>
      <c r="O2939" s="6"/>
      <c r="P2939" s="6"/>
      <c r="Q2939" s="6"/>
      <c r="R2939" s="6"/>
      <c r="S2939" s="6"/>
      <c r="T2939" s="6"/>
    </row>
    <row r="2940" spans="4:20" x14ac:dyDescent="0.2">
      <c r="D2940" s="6"/>
      <c r="E2940" s="6"/>
      <c r="F2940" s="6"/>
      <c r="G2940" s="19"/>
      <c r="H2940" s="19"/>
      <c r="I2940" s="19"/>
      <c r="J2940" s="19"/>
      <c r="K2940" s="6"/>
      <c r="L2940" s="6"/>
      <c r="M2940" s="6"/>
      <c r="N2940" s="6"/>
      <c r="O2940" s="6"/>
      <c r="P2940" s="6"/>
      <c r="Q2940" s="6"/>
      <c r="R2940" s="6"/>
      <c r="S2940" s="6"/>
      <c r="T2940" s="6"/>
    </row>
    <row r="2941" spans="4:20" x14ac:dyDescent="0.2">
      <c r="D2941" s="6"/>
      <c r="E2941" s="6"/>
      <c r="F2941" s="6"/>
      <c r="G2941" s="19"/>
      <c r="H2941" s="19"/>
      <c r="I2941" s="19"/>
      <c r="J2941" s="19"/>
      <c r="K2941" s="6"/>
      <c r="L2941" s="6"/>
      <c r="M2941" s="6"/>
      <c r="N2941" s="6"/>
      <c r="O2941" s="6"/>
      <c r="P2941" s="6"/>
      <c r="Q2941" s="6"/>
      <c r="R2941" s="6"/>
      <c r="S2941" s="6"/>
      <c r="T2941" s="6"/>
    </row>
    <row r="2942" spans="4:20" x14ac:dyDescent="0.2">
      <c r="D2942" s="6"/>
      <c r="E2942" s="6"/>
      <c r="F2942" s="6"/>
      <c r="G2942" s="19"/>
      <c r="H2942" s="19"/>
      <c r="I2942" s="19"/>
      <c r="J2942" s="19"/>
      <c r="K2942" s="6"/>
      <c r="L2942" s="6"/>
      <c r="M2942" s="6"/>
      <c r="N2942" s="6"/>
      <c r="O2942" s="6"/>
      <c r="P2942" s="6"/>
      <c r="Q2942" s="6"/>
      <c r="R2942" s="6"/>
      <c r="S2942" s="6"/>
      <c r="T2942" s="6"/>
    </row>
    <row r="2943" spans="4:20" x14ac:dyDescent="0.2">
      <c r="D2943" s="6"/>
      <c r="E2943" s="6"/>
      <c r="F2943" s="6"/>
      <c r="G2943" s="19"/>
      <c r="H2943" s="19"/>
      <c r="I2943" s="19"/>
      <c r="J2943" s="19"/>
      <c r="K2943" s="6"/>
      <c r="L2943" s="6"/>
      <c r="M2943" s="6"/>
      <c r="N2943" s="6"/>
      <c r="O2943" s="6"/>
      <c r="P2943" s="6"/>
      <c r="Q2943" s="6"/>
      <c r="R2943" s="6"/>
      <c r="S2943" s="6"/>
      <c r="T2943" s="6"/>
    </row>
    <row r="2944" spans="4:20" x14ac:dyDescent="0.2">
      <c r="D2944" s="6"/>
      <c r="E2944" s="6"/>
      <c r="F2944" s="6"/>
      <c r="G2944" s="19"/>
      <c r="H2944" s="19"/>
      <c r="I2944" s="19"/>
      <c r="J2944" s="19"/>
      <c r="K2944" s="6"/>
      <c r="L2944" s="6"/>
      <c r="M2944" s="6"/>
      <c r="N2944" s="6"/>
      <c r="O2944" s="6"/>
      <c r="P2944" s="6"/>
      <c r="Q2944" s="6"/>
      <c r="R2944" s="6"/>
      <c r="S2944" s="6"/>
      <c r="T2944" s="6"/>
    </row>
    <row r="2945" spans="4:20" x14ac:dyDescent="0.2">
      <c r="D2945" s="6"/>
      <c r="E2945" s="6"/>
      <c r="F2945" s="6"/>
      <c r="G2945" s="19"/>
      <c r="H2945" s="19"/>
      <c r="I2945" s="19"/>
      <c r="J2945" s="19"/>
      <c r="K2945" s="6"/>
      <c r="L2945" s="6"/>
      <c r="M2945" s="6"/>
      <c r="N2945" s="6"/>
      <c r="O2945" s="6"/>
      <c r="P2945" s="6"/>
      <c r="Q2945" s="6"/>
      <c r="R2945" s="6"/>
      <c r="S2945" s="6"/>
      <c r="T2945" s="6"/>
    </row>
    <row r="2946" spans="4:20" x14ac:dyDescent="0.2">
      <c r="D2946" s="6"/>
      <c r="E2946" s="6"/>
      <c r="F2946" s="6"/>
      <c r="G2946" s="19"/>
      <c r="H2946" s="19"/>
      <c r="I2946" s="19"/>
      <c r="J2946" s="19"/>
      <c r="K2946" s="6"/>
      <c r="L2946" s="6"/>
      <c r="M2946" s="6"/>
      <c r="N2946" s="6"/>
      <c r="O2946" s="6"/>
      <c r="P2946" s="6"/>
      <c r="Q2946" s="6"/>
      <c r="R2946" s="6"/>
      <c r="S2946" s="6"/>
      <c r="T2946" s="6"/>
    </row>
    <row r="2947" spans="4:20" x14ac:dyDescent="0.2">
      <c r="D2947" s="6"/>
      <c r="E2947" s="6"/>
      <c r="F2947" s="6"/>
      <c r="G2947" s="19"/>
      <c r="H2947" s="19"/>
      <c r="I2947" s="19"/>
      <c r="J2947" s="19"/>
      <c r="K2947" s="6"/>
      <c r="L2947" s="6"/>
      <c r="M2947" s="6"/>
      <c r="N2947" s="6"/>
      <c r="O2947" s="6"/>
      <c r="P2947" s="6"/>
      <c r="Q2947" s="6"/>
      <c r="R2947" s="6"/>
      <c r="S2947" s="6"/>
      <c r="T2947" s="6"/>
    </row>
    <row r="2948" spans="4:20" x14ac:dyDescent="0.2">
      <c r="D2948" s="6"/>
      <c r="E2948" s="6"/>
      <c r="F2948" s="6"/>
      <c r="G2948" s="19"/>
      <c r="H2948" s="19"/>
      <c r="I2948" s="19"/>
      <c r="J2948" s="19"/>
      <c r="K2948" s="6"/>
      <c r="L2948" s="6"/>
      <c r="M2948" s="6"/>
      <c r="N2948" s="6"/>
      <c r="O2948" s="6"/>
      <c r="P2948" s="6"/>
      <c r="Q2948" s="6"/>
      <c r="R2948" s="6"/>
      <c r="S2948" s="6"/>
      <c r="T2948" s="6"/>
    </row>
    <row r="2949" spans="4:20" x14ac:dyDescent="0.2">
      <c r="D2949" s="6"/>
      <c r="E2949" s="6"/>
      <c r="F2949" s="6"/>
      <c r="G2949" s="19"/>
      <c r="H2949" s="19"/>
      <c r="I2949" s="19"/>
      <c r="J2949" s="19"/>
      <c r="K2949" s="6"/>
      <c r="L2949" s="6"/>
      <c r="M2949" s="6"/>
      <c r="N2949" s="6"/>
      <c r="O2949" s="6"/>
      <c r="P2949" s="6"/>
      <c r="Q2949" s="6"/>
      <c r="R2949" s="6"/>
      <c r="S2949" s="6"/>
      <c r="T2949" s="6"/>
    </row>
    <row r="2950" spans="4:20" x14ac:dyDescent="0.2">
      <c r="D2950" s="6"/>
      <c r="E2950" s="6"/>
      <c r="F2950" s="6"/>
      <c r="G2950" s="19"/>
      <c r="H2950" s="19"/>
      <c r="I2950" s="19"/>
      <c r="J2950" s="19"/>
      <c r="K2950" s="6"/>
      <c r="L2950" s="6"/>
      <c r="M2950" s="6"/>
      <c r="N2950" s="6"/>
      <c r="O2950" s="6"/>
      <c r="P2950" s="6"/>
      <c r="Q2950" s="6"/>
      <c r="R2950" s="6"/>
      <c r="S2950" s="6"/>
      <c r="T2950" s="6"/>
    </row>
    <row r="2951" spans="4:20" x14ac:dyDescent="0.2">
      <c r="D2951" s="6"/>
      <c r="E2951" s="6"/>
      <c r="F2951" s="6"/>
      <c r="G2951" s="19"/>
      <c r="H2951" s="19"/>
      <c r="I2951" s="19"/>
      <c r="J2951" s="19"/>
      <c r="K2951" s="6"/>
      <c r="L2951" s="6"/>
      <c r="M2951" s="6"/>
      <c r="N2951" s="6"/>
      <c r="O2951" s="6"/>
      <c r="P2951" s="6"/>
      <c r="Q2951" s="6"/>
      <c r="R2951" s="6"/>
      <c r="S2951" s="6"/>
      <c r="T2951" s="6"/>
    </row>
    <row r="2952" spans="4:20" x14ac:dyDescent="0.2">
      <c r="D2952" s="6"/>
      <c r="E2952" s="6"/>
      <c r="F2952" s="6"/>
      <c r="G2952" s="19"/>
      <c r="H2952" s="19"/>
      <c r="I2952" s="19"/>
      <c r="J2952" s="19"/>
      <c r="K2952" s="6"/>
      <c r="L2952" s="6"/>
      <c r="M2952" s="6"/>
      <c r="N2952" s="6"/>
      <c r="O2952" s="6"/>
      <c r="P2952" s="6"/>
      <c r="Q2952" s="6"/>
      <c r="R2952" s="6"/>
      <c r="S2952" s="6"/>
      <c r="T2952" s="6"/>
    </row>
    <row r="2953" spans="4:20" x14ac:dyDescent="0.2">
      <c r="D2953" s="6"/>
      <c r="E2953" s="6"/>
      <c r="F2953" s="6"/>
      <c r="G2953" s="19"/>
      <c r="H2953" s="19"/>
      <c r="I2953" s="19"/>
      <c r="J2953" s="19"/>
      <c r="K2953" s="6"/>
      <c r="L2953" s="6"/>
      <c r="M2953" s="6"/>
      <c r="N2953" s="6"/>
      <c r="O2953" s="6"/>
      <c r="P2953" s="6"/>
      <c r="Q2953" s="6"/>
      <c r="R2953" s="6"/>
      <c r="S2953" s="6"/>
      <c r="T2953" s="6"/>
    </row>
    <row r="2954" spans="4:20" x14ac:dyDescent="0.2">
      <c r="D2954" s="6"/>
      <c r="E2954" s="6"/>
      <c r="F2954" s="6"/>
      <c r="G2954" s="19"/>
      <c r="H2954" s="19"/>
      <c r="I2954" s="19"/>
      <c r="J2954" s="19"/>
      <c r="K2954" s="6"/>
      <c r="L2954" s="6"/>
      <c r="M2954" s="6"/>
      <c r="N2954" s="6"/>
      <c r="O2954" s="6"/>
      <c r="P2954" s="6"/>
      <c r="Q2954" s="6"/>
      <c r="R2954" s="6"/>
      <c r="S2954" s="6"/>
      <c r="T2954" s="6"/>
    </row>
    <row r="2955" spans="4:20" x14ac:dyDescent="0.2">
      <c r="D2955" s="6"/>
      <c r="E2955" s="6"/>
      <c r="F2955" s="6"/>
      <c r="G2955" s="19"/>
      <c r="H2955" s="19"/>
      <c r="I2955" s="19"/>
      <c r="J2955" s="19"/>
      <c r="K2955" s="6"/>
      <c r="L2955" s="6"/>
      <c r="M2955" s="6"/>
      <c r="N2955" s="6"/>
      <c r="O2955" s="6"/>
      <c r="P2955" s="6"/>
      <c r="Q2955" s="6"/>
      <c r="R2955" s="6"/>
      <c r="S2955" s="6"/>
      <c r="T2955" s="6"/>
    </row>
    <row r="2956" spans="4:20" x14ac:dyDescent="0.2">
      <c r="D2956" s="6"/>
      <c r="E2956" s="6"/>
      <c r="F2956" s="6"/>
      <c r="G2956" s="19"/>
      <c r="H2956" s="19"/>
      <c r="I2956" s="19"/>
      <c r="J2956" s="19"/>
      <c r="K2956" s="6"/>
      <c r="L2956" s="6"/>
      <c r="M2956" s="6"/>
      <c r="N2956" s="6"/>
      <c r="O2956" s="6"/>
      <c r="P2956" s="6"/>
      <c r="Q2956" s="6"/>
      <c r="R2956" s="6"/>
      <c r="S2956" s="6"/>
      <c r="T2956" s="6"/>
    </row>
    <row r="2957" spans="4:20" x14ac:dyDescent="0.2">
      <c r="D2957" s="6"/>
      <c r="E2957" s="6"/>
      <c r="F2957" s="6"/>
      <c r="G2957" s="19"/>
      <c r="H2957" s="19"/>
      <c r="I2957" s="19"/>
      <c r="J2957" s="19"/>
      <c r="K2957" s="6"/>
      <c r="L2957" s="6"/>
      <c r="M2957" s="6"/>
      <c r="N2957" s="6"/>
      <c r="O2957" s="6"/>
      <c r="P2957" s="6"/>
      <c r="Q2957" s="6"/>
      <c r="R2957" s="6"/>
      <c r="S2957" s="6"/>
      <c r="T2957" s="6"/>
    </row>
    <row r="2958" spans="4:20" x14ac:dyDescent="0.2">
      <c r="D2958" s="6"/>
      <c r="E2958" s="6"/>
      <c r="F2958" s="6"/>
      <c r="G2958" s="19"/>
      <c r="H2958" s="19"/>
      <c r="I2958" s="19"/>
      <c r="J2958" s="19"/>
      <c r="K2958" s="6"/>
      <c r="L2958" s="6"/>
      <c r="M2958" s="6"/>
      <c r="N2958" s="6"/>
      <c r="O2958" s="6"/>
      <c r="P2958" s="6"/>
      <c r="Q2958" s="6"/>
      <c r="R2958" s="6"/>
      <c r="S2958" s="6"/>
      <c r="T2958" s="6"/>
    </row>
    <row r="2959" spans="4:20" x14ac:dyDescent="0.2">
      <c r="D2959" s="6"/>
      <c r="E2959" s="6"/>
      <c r="F2959" s="6"/>
      <c r="G2959" s="19"/>
      <c r="H2959" s="19"/>
      <c r="I2959" s="19"/>
      <c r="J2959" s="19"/>
      <c r="K2959" s="6"/>
      <c r="L2959" s="6"/>
      <c r="M2959" s="6"/>
      <c r="N2959" s="6"/>
      <c r="O2959" s="6"/>
      <c r="P2959" s="6"/>
      <c r="Q2959" s="6"/>
      <c r="R2959" s="6"/>
      <c r="S2959" s="6"/>
      <c r="T2959" s="6"/>
    </row>
    <row r="2960" spans="4:20" x14ac:dyDescent="0.2">
      <c r="D2960" s="6"/>
      <c r="E2960" s="6"/>
      <c r="F2960" s="6"/>
      <c r="G2960" s="19"/>
      <c r="H2960" s="19"/>
      <c r="I2960" s="19"/>
      <c r="J2960" s="19"/>
      <c r="K2960" s="6"/>
      <c r="L2960" s="6"/>
      <c r="M2960" s="6"/>
      <c r="N2960" s="6"/>
      <c r="O2960" s="6"/>
      <c r="P2960" s="6"/>
      <c r="Q2960" s="6"/>
      <c r="R2960" s="6"/>
      <c r="S2960" s="6"/>
      <c r="T2960" s="6"/>
    </row>
    <row r="2961" spans="4:20" x14ac:dyDescent="0.2">
      <c r="D2961" s="6"/>
      <c r="E2961" s="6"/>
      <c r="F2961" s="6"/>
      <c r="G2961" s="19"/>
      <c r="H2961" s="19"/>
      <c r="I2961" s="19"/>
      <c r="J2961" s="19"/>
      <c r="K2961" s="6"/>
      <c r="L2961" s="6"/>
      <c r="M2961" s="6"/>
      <c r="N2961" s="6"/>
      <c r="O2961" s="6"/>
      <c r="P2961" s="6"/>
      <c r="Q2961" s="6"/>
      <c r="R2961" s="6"/>
      <c r="S2961" s="6"/>
      <c r="T2961" s="6"/>
    </row>
    <row r="2962" spans="4:20" x14ac:dyDescent="0.2">
      <c r="D2962" s="6"/>
      <c r="E2962" s="6"/>
      <c r="F2962" s="6"/>
      <c r="G2962" s="19"/>
      <c r="H2962" s="19"/>
      <c r="I2962" s="19"/>
      <c r="J2962" s="19"/>
      <c r="K2962" s="6"/>
      <c r="L2962" s="6"/>
      <c r="M2962" s="6"/>
      <c r="N2962" s="6"/>
      <c r="O2962" s="6"/>
      <c r="P2962" s="6"/>
      <c r="Q2962" s="6"/>
      <c r="R2962" s="6"/>
      <c r="S2962" s="6"/>
      <c r="T2962" s="6"/>
    </row>
    <row r="2963" spans="4:20" x14ac:dyDescent="0.2">
      <c r="D2963" s="6"/>
      <c r="E2963" s="6"/>
      <c r="F2963" s="6"/>
      <c r="G2963" s="19"/>
      <c r="H2963" s="19"/>
      <c r="I2963" s="19"/>
      <c r="J2963" s="19"/>
      <c r="K2963" s="6"/>
      <c r="L2963" s="6"/>
      <c r="M2963" s="6"/>
      <c r="N2963" s="6"/>
      <c r="O2963" s="6"/>
      <c r="P2963" s="6"/>
      <c r="Q2963" s="6"/>
      <c r="R2963" s="6"/>
      <c r="S2963" s="6"/>
      <c r="T2963" s="6"/>
    </row>
    <row r="2964" spans="4:20" x14ac:dyDescent="0.2">
      <c r="D2964" s="6"/>
      <c r="E2964" s="6"/>
      <c r="F2964" s="6"/>
      <c r="G2964" s="19"/>
      <c r="H2964" s="19"/>
      <c r="I2964" s="19"/>
      <c r="J2964" s="19"/>
      <c r="K2964" s="6"/>
      <c r="L2964" s="6"/>
      <c r="M2964" s="6"/>
      <c r="N2964" s="6"/>
      <c r="O2964" s="6"/>
      <c r="P2964" s="6"/>
      <c r="Q2964" s="6"/>
      <c r="R2964" s="6"/>
      <c r="S2964" s="6"/>
      <c r="T2964" s="6"/>
    </row>
    <row r="2965" spans="4:20" x14ac:dyDescent="0.2">
      <c r="D2965" s="6"/>
      <c r="E2965" s="6"/>
      <c r="F2965" s="6"/>
      <c r="G2965" s="19"/>
      <c r="H2965" s="19"/>
      <c r="I2965" s="19"/>
      <c r="J2965" s="19"/>
      <c r="K2965" s="6"/>
      <c r="L2965" s="6"/>
      <c r="M2965" s="6"/>
      <c r="N2965" s="6"/>
      <c r="O2965" s="6"/>
      <c r="P2965" s="6"/>
      <c r="Q2965" s="6"/>
      <c r="R2965" s="6"/>
      <c r="S2965" s="6"/>
      <c r="T2965" s="6"/>
    </row>
    <row r="2966" spans="4:20" x14ac:dyDescent="0.2">
      <c r="D2966" s="6"/>
      <c r="E2966" s="6"/>
      <c r="F2966" s="6"/>
      <c r="G2966" s="19"/>
      <c r="H2966" s="19"/>
      <c r="I2966" s="19"/>
      <c r="J2966" s="19"/>
      <c r="K2966" s="6"/>
      <c r="L2966" s="6"/>
      <c r="M2966" s="6"/>
      <c r="N2966" s="6"/>
      <c r="O2966" s="6"/>
      <c r="P2966" s="6"/>
      <c r="Q2966" s="6"/>
      <c r="R2966" s="6"/>
      <c r="S2966" s="6"/>
      <c r="T2966" s="6"/>
    </row>
    <row r="2967" spans="4:20" x14ac:dyDescent="0.2">
      <c r="D2967" s="6"/>
      <c r="E2967" s="6"/>
      <c r="F2967" s="6"/>
      <c r="G2967" s="19"/>
      <c r="H2967" s="19"/>
      <c r="I2967" s="19"/>
      <c r="J2967" s="19"/>
      <c r="K2967" s="6"/>
      <c r="L2967" s="6"/>
      <c r="M2967" s="6"/>
      <c r="N2967" s="6"/>
      <c r="O2967" s="6"/>
      <c r="P2967" s="6"/>
      <c r="Q2967" s="6"/>
      <c r="R2967" s="6"/>
      <c r="S2967" s="6"/>
      <c r="T2967" s="6"/>
    </row>
    <row r="2968" spans="4:20" x14ac:dyDescent="0.2">
      <c r="D2968" s="6"/>
      <c r="E2968" s="6"/>
      <c r="F2968" s="6"/>
      <c r="G2968" s="19"/>
      <c r="H2968" s="19"/>
      <c r="I2968" s="19"/>
      <c r="J2968" s="19"/>
      <c r="K2968" s="6"/>
      <c r="L2968" s="6"/>
      <c r="M2968" s="6"/>
      <c r="N2968" s="6"/>
      <c r="O2968" s="6"/>
      <c r="P2968" s="6"/>
      <c r="Q2968" s="6"/>
      <c r="R2968" s="6"/>
      <c r="S2968" s="6"/>
      <c r="T2968" s="6"/>
    </row>
    <row r="2969" spans="4:20" x14ac:dyDescent="0.2">
      <c r="D2969" s="6"/>
      <c r="E2969" s="6"/>
      <c r="F2969" s="6"/>
      <c r="G2969" s="19"/>
      <c r="H2969" s="19"/>
      <c r="I2969" s="19"/>
      <c r="J2969" s="19"/>
      <c r="K2969" s="6"/>
      <c r="L2969" s="6"/>
      <c r="M2969" s="6"/>
      <c r="N2969" s="6"/>
      <c r="O2969" s="6"/>
      <c r="P2969" s="6"/>
      <c r="Q2969" s="6"/>
      <c r="R2969" s="6"/>
      <c r="S2969" s="6"/>
      <c r="T2969" s="6"/>
    </row>
    <row r="2970" spans="4:20" x14ac:dyDescent="0.2">
      <c r="D2970" s="6"/>
      <c r="E2970" s="6"/>
      <c r="F2970" s="6"/>
      <c r="G2970" s="19"/>
      <c r="H2970" s="19"/>
      <c r="I2970" s="19"/>
      <c r="J2970" s="19"/>
      <c r="K2970" s="6"/>
      <c r="L2970" s="6"/>
      <c r="M2970" s="6"/>
      <c r="N2970" s="6"/>
      <c r="O2970" s="6"/>
      <c r="P2970" s="6"/>
      <c r="Q2970" s="6"/>
      <c r="R2970" s="6"/>
      <c r="S2970" s="6"/>
      <c r="T2970" s="6"/>
    </row>
    <row r="2971" spans="4:20" x14ac:dyDescent="0.2">
      <c r="D2971" s="6"/>
      <c r="E2971" s="6"/>
      <c r="F2971" s="6"/>
      <c r="G2971" s="19"/>
      <c r="H2971" s="19"/>
      <c r="I2971" s="19"/>
      <c r="J2971" s="19"/>
      <c r="K2971" s="6"/>
      <c r="L2971" s="6"/>
      <c r="M2971" s="6"/>
      <c r="N2971" s="6"/>
      <c r="O2971" s="6"/>
      <c r="P2971" s="6"/>
      <c r="Q2971" s="6"/>
      <c r="R2971" s="6"/>
      <c r="S2971" s="6"/>
      <c r="T2971" s="6"/>
    </row>
    <row r="2972" spans="4:20" x14ac:dyDescent="0.2">
      <c r="D2972" s="6"/>
      <c r="E2972" s="6"/>
      <c r="F2972" s="6"/>
      <c r="G2972" s="19"/>
      <c r="H2972" s="19"/>
      <c r="I2972" s="19"/>
      <c r="J2972" s="19"/>
      <c r="K2972" s="6"/>
      <c r="L2972" s="6"/>
      <c r="M2972" s="6"/>
      <c r="N2972" s="6"/>
      <c r="O2972" s="6"/>
      <c r="P2972" s="6"/>
      <c r="Q2972" s="6"/>
      <c r="R2972" s="6"/>
      <c r="S2972" s="6"/>
      <c r="T2972" s="6"/>
    </row>
    <row r="2973" spans="4:20" x14ac:dyDescent="0.2">
      <c r="D2973" s="6"/>
      <c r="E2973" s="6"/>
      <c r="F2973" s="6"/>
      <c r="G2973" s="19"/>
      <c r="H2973" s="19"/>
      <c r="I2973" s="19"/>
      <c r="J2973" s="19"/>
      <c r="K2973" s="6"/>
      <c r="L2973" s="6"/>
      <c r="M2973" s="6"/>
      <c r="N2973" s="6"/>
      <c r="O2973" s="6"/>
      <c r="P2973" s="6"/>
      <c r="Q2973" s="6"/>
      <c r="R2973" s="6"/>
      <c r="S2973" s="6"/>
      <c r="T2973" s="6"/>
    </row>
    <row r="2974" spans="4:20" x14ac:dyDescent="0.2">
      <c r="D2974" s="6"/>
      <c r="E2974" s="6"/>
      <c r="F2974" s="6"/>
      <c r="G2974" s="19"/>
      <c r="H2974" s="19"/>
      <c r="I2974" s="19"/>
      <c r="J2974" s="19"/>
      <c r="K2974" s="6"/>
      <c r="L2974" s="6"/>
      <c r="M2974" s="6"/>
      <c r="N2974" s="6"/>
      <c r="O2974" s="6"/>
      <c r="P2974" s="6"/>
      <c r="Q2974" s="6"/>
      <c r="R2974" s="6"/>
      <c r="S2974" s="6"/>
      <c r="T2974" s="6"/>
    </row>
    <row r="2975" spans="4:20" x14ac:dyDescent="0.2">
      <c r="D2975" s="6"/>
      <c r="E2975" s="6"/>
      <c r="F2975" s="6"/>
      <c r="G2975" s="19"/>
      <c r="H2975" s="19"/>
      <c r="I2975" s="19"/>
      <c r="J2975" s="19"/>
      <c r="K2975" s="6"/>
      <c r="L2975" s="6"/>
      <c r="M2975" s="6"/>
      <c r="N2975" s="6"/>
      <c r="O2975" s="6"/>
      <c r="P2975" s="6"/>
      <c r="Q2975" s="6"/>
      <c r="R2975" s="6"/>
      <c r="S2975" s="6"/>
      <c r="T2975" s="6"/>
    </row>
    <row r="2976" spans="4:20" x14ac:dyDescent="0.2">
      <c r="D2976" s="6"/>
      <c r="E2976" s="6"/>
      <c r="F2976" s="6"/>
      <c r="G2976" s="19"/>
      <c r="H2976" s="19"/>
      <c r="I2976" s="19"/>
      <c r="J2976" s="19"/>
      <c r="K2976" s="6"/>
      <c r="L2976" s="6"/>
      <c r="M2976" s="6"/>
      <c r="N2976" s="6"/>
      <c r="O2976" s="6"/>
      <c r="P2976" s="6"/>
      <c r="Q2976" s="6"/>
      <c r="R2976" s="6"/>
      <c r="S2976" s="6"/>
      <c r="T2976" s="6"/>
    </row>
    <row r="2977" spans="4:20" x14ac:dyDescent="0.2">
      <c r="D2977" s="6"/>
      <c r="E2977" s="6"/>
      <c r="F2977" s="6"/>
      <c r="G2977" s="19"/>
      <c r="H2977" s="19"/>
      <c r="I2977" s="19"/>
      <c r="J2977" s="19"/>
      <c r="K2977" s="6"/>
      <c r="L2977" s="6"/>
      <c r="M2977" s="6"/>
      <c r="N2977" s="6"/>
      <c r="O2977" s="6"/>
      <c r="P2977" s="6"/>
      <c r="Q2977" s="6"/>
      <c r="R2977" s="6"/>
      <c r="S2977" s="6"/>
      <c r="T2977" s="6"/>
    </row>
    <row r="2978" spans="4:20" x14ac:dyDescent="0.2">
      <c r="D2978" s="6"/>
      <c r="E2978" s="6"/>
      <c r="F2978" s="6"/>
      <c r="G2978" s="19"/>
      <c r="H2978" s="19"/>
      <c r="I2978" s="19"/>
      <c r="J2978" s="19"/>
      <c r="K2978" s="6"/>
      <c r="L2978" s="6"/>
      <c r="M2978" s="6"/>
      <c r="N2978" s="6"/>
      <c r="O2978" s="6"/>
      <c r="P2978" s="6"/>
      <c r="Q2978" s="6"/>
      <c r="R2978" s="6"/>
      <c r="S2978" s="6"/>
      <c r="T2978" s="6"/>
    </row>
    <row r="2979" spans="4:20" x14ac:dyDescent="0.2">
      <c r="D2979" s="6"/>
      <c r="E2979" s="6"/>
      <c r="F2979" s="6"/>
      <c r="G2979" s="19"/>
      <c r="H2979" s="19"/>
      <c r="I2979" s="19"/>
      <c r="J2979" s="19"/>
      <c r="K2979" s="6"/>
      <c r="L2979" s="6"/>
      <c r="M2979" s="6"/>
      <c r="N2979" s="6"/>
      <c r="O2979" s="6"/>
      <c r="P2979" s="6"/>
      <c r="Q2979" s="6"/>
      <c r="R2979" s="6"/>
      <c r="S2979" s="6"/>
      <c r="T2979" s="6"/>
    </row>
    <row r="2980" spans="4:20" x14ac:dyDescent="0.2">
      <c r="D2980" s="6"/>
      <c r="E2980" s="6"/>
      <c r="F2980" s="6"/>
      <c r="G2980" s="19"/>
      <c r="H2980" s="19"/>
      <c r="I2980" s="19"/>
      <c r="J2980" s="19"/>
      <c r="K2980" s="6"/>
      <c r="L2980" s="6"/>
      <c r="M2980" s="6"/>
      <c r="N2980" s="6"/>
      <c r="O2980" s="6"/>
      <c r="P2980" s="6"/>
      <c r="Q2980" s="6"/>
      <c r="R2980" s="6"/>
      <c r="S2980" s="6"/>
      <c r="T2980" s="6"/>
    </row>
    <row r="2981" spans="4:20" x14ac:dyDescent="0.2">
      <c r="D2981" s="6"/>
      <c r="E2981" s="6"/>
      <c r="F2981" s="6"/>
      <c r="G2981" s="19"/>
      <c r="H2981" s="19"/>
      <c r="I2981" s="19"/>
      <c r="J2981" s="19"/>
      <c r="K2981" s="6"/>
      <c r="L2981" s="6"/>
      <c r="M2981" s="6"/>
      <c r="N2981" s="6"/>
      <c r="O2981" s="6"/>
      <c r="P2981" s="6"/>
      <c r="Q2981" s="6"/>
      <c r="R2981" s="6"/>
      <c r="S2981" s="6"/>
      <c r="T2981" s="6"/>
    </row>
    <row r="2982" spans="4:20" x14ac:dyDescent="0.2">
      <c r="D2982" s="6"/>
      <c r="E2982" s="6"/>
      <c r="F2982" s="6"/>
      <c r="G2982" s="19"/>
      <c r="H2982" s="19"/>
      <c r="I2982" s="19"/>
      <c r="J2982" s="19"/>
      <c r="K2982" s="6"/>
      <c r="L2982" s="6"/>
      <c r="M2982" s="6"/>
      <c r="N2982" s="6"/>
      <c r="O2982" s="6"/>
      <c r="P2982" s="6"/>
      <c r="Q2982" s="6"/>
      <c r="R2982" s="6"/>
      <c r="S2982" s="6"/>
      <c r="T2982" s="6"/>
    </row>
    <row r="2983" spans="4:20" x14ac:dyDescent="0.2">
      <c r="D2983" s="6"/>
      <c r="E2983" s="6"/>
      <c r="F2983" s="6"/>
      <c r="G2983" s="19"/>
      <c r="H2983" s="19"/>
      <c r="I2983" s="19"/>
      <c r="J2983" s="19"/>
      <c r="K2983" s="6"/>
      <c r="L2983" s="6"/>
      <c r="M2983" s="6"/>
      <c r="N2983" s="6"/>
      <c r="O2983" s="6"/>
      <c r="P2983" s="6"/>
      <c r="Q2983" s="6"/>
      <c r="R2983" s="6"/>
      <c r="S2983" s="6"/>
      <c r="T2983" s="6"/>
    </row>
    <row r="2984" spans="4:20" x14ac:dyDescent="0.2">
      <c r="D2984" s="6"/>
      <c r="E2984" s="6"/>
      <c r="F2984" s="6"/>
      <c r="G2984" s="19"/>
      <c r="H2984" s="19"/>
      <c r="I2984" s="19"/>
      <c r="J2984" s="19"/>
      <c r="K2984" s="6"/>
      <c r="L2984" s="6"/>
      <c r="M2984" s="6"/>
      <c r="N2984" s="6"/>
      <c r="O2984" s="6"/>
      <c r="P2984" s="6"/>
      <c r="Q2984" s="6"/>
      <c r="R2984" s="6"/>
      <c r="S2984" s="6"/>
      <c r="T2984" s="6"/>
    </row>
    <row r="2985" spans="4:20" x14ac:dyDescent="0.2">
      <c r="D2985" s="6"/>
      <c r="E2985" s="6"/>
      <c r="F2985" s="6"/>
      <c r="G2985" s="19"/>
      <c r="H2985" s="19"/>
      <c r="I2985" s="19"/>
      <c r="J2985" s="19"/>
      <c r="K2985" s="6"/>
      <c r="L2985" s="6"/>
      <c r="M2985" s="6"/>
      <c r="N2985" s="6"/>
      <c r="O2985" s="6"/>
      <c r="P2985" s="6"/>
      <c r="Q2985" s="6"/>
      <c r="R2985" s="6"/>
      <c r="S2985" s="6"/>
      <c r="T2985" s="6"/>
    </row>
    <row r="2986" spans="4:20" x14ac:dyDescent="0.2">
      <c r="D2986" s="6"/>
      <c r="E2986" s="6"/>
      <c r="F2986" s="6"/>
      <c r="G2986" s="19"/>
      <c r="H2986" s="19"/>
      <c r="I2986" s="19"/>
      <c r="J2986" s="19"/>
      <c r="K2986" s="6"/>
      <c r="L2986" s="6"/>
      <c r="M2986" s="6"/>
      <c r="N2986" s="6"/>
      <c r="O2986" s="6"/>
      <c r="P2986" s="6"/>
      <c r="Q2986" s="6"/>
      <c r="R2986" s="6"/>
      <c r="S2986" s="6"/>
      <c r="T2986" s="6"/>
    </row>
    <row r="2987" spans="4:20" x14ac:dyDescent="0.2">
      <c r="D2987" s="6"/>
      <c r="E2987" s="6"/>
      <c r="F2987" s="6"/>
      <c r="G2987" s="19"/>
      <c r="H2987" s="19"/>
      <c r="I2987" s="19"/>
      <c r="J2987" s="19"/>
      <c r="K2987" s="6"/>
      <c r="L2987" s="6"/>
      <c r="M2987" s="6"/>
      <c r="N2987" s="6"/>
      <c r="O2987" s="6"/>
      <c r="P2987" s="6"/>
      <c r="Q2987" s="6"/>
      <c r="R2987" s="6"/>
      <c r="S2987" s="6"/>
      <c r="T2987" s="6"/>
    </row>
    <row r="2988" spans="4:20" x14ac:dyDescent="0.2">
      <c r="D2988" s="6"/>
      <c r="E2988" s="6"/>
      <c r="F2988" s="6"/>
      <c r="G2988" s="19"/>
      <c r="H2988" s="19"/>
      <c r="I2988" s="19"/>
      <c r="J2988" s="19"/>
      <c r="K2988" s="6"/>
      <c r="L2988" s="6"/>
      <c r="M2988" s="6"/>
      <c r="N2988" s="6"/>
      <c r="O2988" s="6"/>
      <c r="P2988" s="6"/>
      <c r="Q2988" s="6"/>
      <c r="R2988" s="6"/>
      <c r="S2988" s="6"/>
      <c r="T2988" s="6"/>
    </row>
    <row r="2989" spans="4:20" x14ac:dyDescent="0.2">
      <c r="D2989" s="6"/>
      <c r="E2989" s="6"/>
      <c r="F2989" s="6"/>
      <c r="G2989" s="19"/>
      <c r="H2989" s="19"/>
      <c r="I2989" s="19"/>
      <c r="J2989" s="19"/>
      <c r="K2989" s="6"/>
      <c r="L2989" s="6"/>
      <c r="M2989" s="6"/>
      <c r="N2989" s="6"/>
      <c r="O2989" s="6"/>
      <c r="P2989" s="6"/>
      <c r="Q2989" s="6"/>
      <c r="R2989" s="6"/>
      <c r="S2989" s="6"/>
      <c r="T2989" s="6"/>
    </row>
    <row r="2990" spans="4:20" x14ac:dyDescent="0.2">
      <c r="D2990" s="6"/>
      <c r="E2990" s="6"/>
      <c r="F2990" s="6"/>
      <c r="G2990" s="19"/>
      <c r="H2990" s="19"/>
      <c r="I2990" s="19"/>
      <c r="J2990" s="19"/>
      <c r="K2990" s="6"/>
      <c r="L2990" s="6"/>
      <c r="M2990" s="6"/>
      <c r="N2990" s="6"/>
      <c r="O2990" s="6"/>
      <c r="P2990" s="6"/>
      <c r="Q2990" s="6"/>
      <c r="R2990" s="6"/>
      <c r="S2990" s="6"/>
      <c r="T2990" s="6"/>
    </row>
    <row r="2991" spans="4:20" x14ac:dyDescent="0.2">
      <c r="D2991" s="6"/>
      <c r="E2991" s="6"/>
      <c r="F2991" s="6"/>
      <c r="G2991" s="19"/>
      <c r="H2991" s="19"/>
      <c r="I2991" s="19"/>
      <c r="J2991" s="19"/>
      <c r="K2991" s="6"/>
      <c r="L2991" s="6"/>
      <c r="M2991" s="6"/>
      <c r="N2991" s="6"/>
      <c r="O2991" s="6"/>
      <c r="P2991" s="6"/>
      <c r="Q2991" s="6"/>
      <c r="R2991" s="6"/>
      <c r="S2991" s="6"/>
      <c r="T2991" s="6"/>
    </row>
    <row r="2992" spans="4:20" x14ac:dyDescent="0.2">
      <c r="D2992" s="6"/>
      <c r="E2992" s="6"/>
      <c r="F2992" s="6"/>
      <c r="G2992" s="19"/>
      <c r="H2992" s="19"/>
      <c r="I2992" s="19"/>
      <c r="J2992" s="19"/>
      <c r="K2992" s="6"/>
      <c r="L2992" s="6"/>
      <c r="M2992" s="6"/>
      <c r="N2992" s="6"/>
      <c r="O2992" s="6"/>
      <c r="P2992" s="6"/>
      <c r="Q2992" s="6"/>
      <c r="R2992" s="6"/>
      <c r="S2992" s="6"/>
      <c r="T2992" s="6"/>
    </row>
    <row r="2993" spans="4:20" x14ac:dyDescent="0.2">
      <c r="D2993" s="6"/>
      <c r="E2993" s="6"/>
      <c r="F2993" s="6"/>
      <c r="G2993" s="19"/>
      <c r="H2993" s="19"/>
      <c r="I2993" s="19"/>
      <c r="J2993" s="19"/>
      <c r="K2993" s="6"/>
      <c r="L2993" s="6"/>
      <c r="M2993" s="6"/>
      <c r="N2993" s="6"/>
      <c r="O2993" s="6"/>
      <c r="P2993" s="6"/>
      <c r="Q2993" s="6"/>
      <c r="R2993" s="6"/>
      <c r="S2993" s="6"/>
      <c r="T2993" s="6"/>
    </row>
    <row r="2994" spans="4:20" x14ac:dyDescent="0.2">
      <c r="D2994" s="6"/>
      <c r="E2994" s="6"/>
      <c r="F2994" s="6"/>
      <c r="G2994" s="19"/>
      <c r="H2994" s="19"/>
      <c r="I2994" s="19"/>
      <c r="J2994" s="19"/>
      <c r="K2994" s="6"/>
      <c r="L2994" s="6"/>
      <c r="M2994" s="6"/>
      <c r="N2994" s="6"/>
      <c r="O2994" s="6"/>
      <c r="P2994" s="6"/>
      <c r="Q2994" s="6"/>
      <c r="R2994" s="6"/>
      <c r="S2994" s="6"/>
      <c r="T2994" s="6"/>
    </row>
    <row r="2995" spans="4:20" x14ac:dyDescent="0.2">
      <c r="D2995" s="6"/>
      <c r="E2995" s="6"/>
      <c r="F2995" s="6"/>
      <c r="G2995" s="19"/>
      <c r="H2995" s="19"/>
      <c r="I2995" s="19"/>
      <c r="J2995" s="19"/>
      <c r="K2995" s="6"/>
      <c r="L2995" s="6"/>
      <c r="M2995" s="6"/>
      <c r="N2995" s="6"/>
      <c r="O2995" s="6"/>
      <c r="P2995" s="6"/>
      <c r="Q2995" s="6"/>
      <c r="R2995" s="6"/>
      <c r="S2995" s="6"/>
      <c r="T2995" s="6"/>
    </row>
    <row r="2996" spans="4:20" x14ac:dyDescent="0.2">
      <c r="D2996" s="6"/>
      <c r="E2996" s="6"/>
      <c r="F2996" s="6"/>
      <c r="G2996" s="19"/>
      <c r="H2996" s="19"/>
      <c r="I2996" s="19"/>
      <c r="J2996" s="19"/>
      <c r="K2996" s="6"/>
      <c r="L2996" s="6"/>
      <c r="M2996" s="6"/>
      <c r="N2996" s="6"/>
      <c r="O2996" s="6"/>
      <c r="P2996" s="6"/>
      <c r="Q2996" s="6"/>
      <c r="R2996" s="6"/>
      <c r="S2996" s="6"/>
      <c r="T2996" s="6"/>
    </row>
    <row r="2997" spans="4:20" x14ac:dyDescent="0.2">
      <c r="D2997" s="6"/>
      <c r="E2997" s="6"/>
      <c r="F2997" s="6"/>
      <c r="G2997" s="19"/>
      <c r="H2997" s="19"/>
      <c r="I2997" s="19"/>
      <c r="J2997" s="19"/>
      <c r="K2997" s="6"/>
      <c r="L2997" s="6"/>
      <c r="M2997" s="6"/>
      <c r="N2997" s="6"/>
      <c r="O2997" s="6"/>
      <c r="P2997" s="6"/>
      <c r="Q2997" s="6"/>
      <c r="R2997" s="6"/>
      <c r="S2997" s="6"/>
      <c r="T2997" s="6"/>
    </row>
    <row r="2998" spans="4:20" x14ac:dyDescent="0.2">
      <c r="D2998" s="6"/>
      <c r="E2998" s="6"/>
      <c r="F2998" s="6"/>
      <c r="G2998" s="19"/>
      <c r="H2998" s="19"/>
      <c r="I2998" s="19"/>
      <c r="J2998" s="19"/>
      <c r="K2998" s="6"/>
      <c r="L2998" s="6"/>
      <c r="M2998" s="6"/>
      <c r="N2998" s="6"/>
      <c r="O2998" s="6"/>
      <c r="P2998" s="6"/>
      <c r="Q2998" s="6"/>
      <c r="R2998" s="6"/>
      <c r="S2998" s="6"/>
      <c r="T2998" s="6"/>
    </row>
    <row r="2999" spans="4:20" x14ac:dyDescent="0.2">
      <c r="D2999" s="6"/>
      <c r="E2999" s="6"/>
      <c r="F2999" s="6"/>
      <c r="G2999" s="19"/>
      <c r="H2999" s="19"/>
      <c r="I2999" s="19"/>
      <c r="J2999" s="19"/>
      <c r="K2999" s="6"/>
      <c r="L2999" s="6"/>
      <c r="M2999" s="6"/>
      <c r="N2999" s="6"/>
      <c r="O2999" s="6"/>
      <c r="P2999" s="6"/>
      <c r="Q2999" s="6"/>
      <c r="R2999" s="6"/>
      <c r="S2999" s="6"/>
      <c r="T2999" s="6"/>
    </row>
    <row r="3000" spans="4:20" x14ac:dyDescent="0.2">
      <c r="D3000" s="6"/>
      <c r="E3000" s="6"/>
      <c r="F3000" s="6"/>
      <c r="G3000" s="19"/>
      <c r="H3000" s="19"/>
      <c r="I3000" s="19"/>
      <c r="J3000" s="19"/>
      <c r="K3000" s="6"/>
      <c r="L3000" s="6"/>
      <c r="M3000" s="6"/>
      <c r="N3000" s="6"/>
      <c r="O3000" s="6"/>
      <c r="P3000" s="6"/>
      <c r="Q3000" s="6"/>
      <c r="R3000" s="6"/>
      <c r="S3000" s="6"/>
      <c r="T3000" s="6"/>
    </row>
    <row r="3001" spans="4:20" x14ac:dyDescent="0.2">
      <c r="D3001" s="6"/>
      <c r="E3001" s="6"/>
      <c r="F3001" s="6"/>
      <c r="G3001" s="19"/>
      <c r="H3001" s="19"/>
      <c r="I3001" s="19"/>
      <c r="J3001" s="19"/>
      <c r="K3001" s="6"/>
      <c r="L3001" s="6"/>
      <c r="M3001" s="6"/>
      <c r="N3001" s="6"/>
      <c r="O3001" s="6"/>
      <c r="P3001" s="6"/>
      <c r="Q3001" s="6"/>
      <c r="R3001" s="6"/>
      <c r="S3001" s="6"/>
      <c r="T3001" s="6"/>
    </row>
    <row r="3002" spans="4:20" x14ac:dyDescent="0.2">
      <c r="D3002" s="6"/>
      <c r="E3002" s="6"/>
      <c r="F3002" s="6"/>
      <c r="G3002" s="19"/>
      <c r="H3002" s="19"/>
      <c r="I3002" s="19"/>
      <c r="J3002" s="19"/>
      <c r="K3002" s="6"/>
      <c r="L3002" s="6"/>
      <c r="M3002" s="6"/>
      <c r="N3002" s="6"/>
      <c r="O3002" s="6"/>
      <c r="P3002" s="6"/>
      <c r="Q3002" s="6"/>
      <c r="R3002" s="6"/>
      <c r="S3002" s="6"/>
      <c r="T3002" s="6"/>
    </row>
    <row r="3003" spans="4:20" x14ac:dyDescent="0.2">
      <c r="D3003" s="6"/>
      <c r="E3003" s="6"/>
      <c r="F3003" s="6"/>
      <c r="G3003" s="19"/>
      <c r="H3003" s="19"/>
      <c r="I3003" s="19"/>
      <c r="J3003" s="19"/>
      <c r="K3003" s="6"/>
      <c r="L3003" s="6"/>
      <c r="M3003" s="6"/>
      <c r="N3003" s="6"/>
      <c r="O3003" s="6"/>
      <c r="P3003" s="6"/>
      <c r="Q3003" s="6"/>
      <c r="R3003" s="6"/>
      <c r="S3003" s="6"/>
      <c r="T3003" s="6"/>
    </row>
    <row r="3004" spans="4:20" x14ac:dyDescent="0.2">
      <c r="D3004" s="6"/>
      <c r="E3004" s="6"/>
      <c r="F3004" s="6"/>
      <c r="G3004" s="19"/>
      <c r="H3004" s="19"/>
      <c r="I3004" s="19"/>
      <c r="J3004" s="19"/>
      <c r="K3004" s="6"/>
      <c r="L3004" s="6"/>
      <c r="M3004" s="6"/>
      <c r="N3004" s="6"/>
      <c r="O3004" s="6"/>
      <c r="P3004" s="6"/>
      <c r="Q3004" s="6"/>
      <c r="R3004" s="6"/>
      <c r="S3004" s="6"/>
      <c r="T3004" s="6"/>
    </row>
    <row r="3005" spans="4:20" x14ac:dyDescent="0.2">
      <c r="D3005" s="6"/>
      <c r="E3005" s="6"/>
      <c r="F3005" s="6"/>
      <c r="G3005" s="19"/>
      <c r="H3005" s="19"/>
      <c r="I3005" s="19"/>
      <c r="J3005" s="19"/>
      <c r="K3005" s="6"/>
      <c r="L3005" s="6"/>
      <c r="M3005" s="6"/>
      <c r="N3005" s="6"/>
      <c r="O3005" s="6"/>
      <c r="P3005" s="6"/>
      <c r="Q3005" s="6"/>
      <c r="R3005" s="6"/>
      <c r="S3005" s="6"/>
      <c r="T3005" s="6"/>
    </row>
    <row r="3006" spans="4:20" x14ac:dyDescent="0.2">
      <c r="D3006" s="6"/>
      <c r="E3006" s="6"/>
      <c r="F3006" s="6"/>
      <c r="G3006" s="19"/>
      <c r="H3006" s="19"/>
      <c r="I3006" s="19"/>
      <c r="J3006" s="19"/>
      <c r="K3006" s="6"/>
      <c r="L3006" s="6"/>
      <c r="M3006" s="6"/>
      <c r="N3006" s="6"/>
      <c r="O3006" s="6"/>
      <c r="P3006" s="6"/>
      <c r="Q3006" s="6"/>
      <c r="R3006" s="6"/>
      <c r="S3006" s="6"/>
      <c r="T3006" s="6"/>
    </row>
    <row r="3007" spans="4:20" x14ac:dyDescent="0.2">
      <c r="D3007" s="6"/>
      <c r="E3007" s="6"/>
      <c r="F3007" s="6"/>
      <c r="G3007" s="19"/>
      <c r="H3007" s="19"/>
      <c r="I3007" s="19"/>
      <c r="J3007" s="19"/>
      <c r="K3007" s="6"/>
      <c r="L3007" s="6"/>
      <c r="M3007" s="6"/>
      <c r="N3007" s="6"/>
      <c r="O3007" s="6"/>
      <c r="P3007" s="6"/>
      <c r="Q3007" s="6"/>
      <c r="R3007" s="6"/>
      <c r="S3007" s="6"/>
      <c r="T3007" s="6"/>
    </row>
    <row r="3008" spans="4:20" x14ac:dyDescent="0.2">
      <c r="D3008" s="6"/>
      <c r="E3008" s="6"/>
      <c r="F3008" s="6"/>
      <c r="G3008" s="19"/>
      <c r="H3008" s="19"/>
      <c r="I3008" s="19"/>
      <c r="J3008" s="19"/>
      <c r="K3008" s="6"/>
      <c r="L3008" s="6"/>
      <c r="M3008" s="6"/>
      <c r="N3008" s="6"/>
      <c r="O3008" s="6"/>
      <c r="P3008" s="6"/>
      <c r="Q3008" s="6"/>
      <c r="R3008" s="6"/>
      <c r="S3008" s="6"/>
      <c r="T3008" s="6"/>
    </row>
    <row r="3009" spans="4:20" x14ac:dyDescent="0.2">
      <c r="D3009" s="6"/>
      <c r="E3009" s="6"/>
      <c r="F3009" s="6"/>
      <c r="G3009" s="19"/>
      <c r="H3009" s="19"/>
      <c r="I3009" s="19"/>
      <c r="J3009" s="19"/>
      <c r="K3009" s="6"/>
      <c r="L3009" s="6"/>
      <c r="M3009" s="6"/>
      <c r="N3009" s="6"/>
      <c r="O3009" s="6"/>
      <c r="P3009" s="6"/>
      <c r="Q3009" s="6"/>
      <c r="R3009" s="6"/>
      <c r="S3009" s="6"/>
      <c r="T3009" s="6"/>
    </row>
    <row r="3010" spans="4:20" x14ac:dyDescent="0.2">
      <c r="D3010" s="6"/>
      <c r="E3010" s="6"/>
      <c r="F3010" s="6"/>
      <c r="G3010" s="19"/>
      <c r="H3010" s="19"/>
      <c r="I3010" s="19"/>
      <c r="J3010" s="19"/>
      <c r="K3010" s="6"/>
      <c r="L3010" s="6"/>
      <c r="M3010" s="6"/>
      <c r="N3010" s="6"/>
      <c r="O3010" s="6"/>
      <c r="P3010" s="6"/>
      <c r="Q3010" s="6"/>
      <c r="R3010" s="6"/>
      <c r="S3010" s="6"/>
      <c r="T3010" s="6"/>
    </row>
    <row r="3011" spans="4:20" x14ac:dyDescent="0.2">
      <c r="D3011" s="6"/>
      <c r="E3011" s="6"/>
      <c r="F3011" s="6"/>
      <c r="G3011" s="19"/>
      <c r="H3011" s="19"/>
      <c r="I3011" s="19"/>
      <c r="J3011" s="19"/>
      <c r="K3011" s="6"/>
      <c r="L3011" s="6"/>
      <c r="M3011" s="6"/>
      <c r="N3011" s="6"/>
      <c r="O3011" s="6"/>
      <c r="P3011" s="6"/>
      <c r="Q3011" s="6"/>
      <c r="R3011" s="6"/>
      <c r="S3011" s="6"/>
      <c r="T3011" s="6"/>
    </row>
    <row r="3012" spans="4:20" x14ac:dyDescent="0.2">
      <c r="D3012" s="6"/>
      <c r="E3012" s="6"/>
      <c r="F3012" s="6"/>
      <c r="G3012" s="19"/>
      <c r="H3012" s="19"/>
      <c r="I3012" s="19"/>
      <c r="J3012" s="19"/>
      <c r="K3012" s="6"/>
      <c r="L3012" s="6"/>
      <c r="M3012" s="6"/>
      <c r="N3012" s="6"/>
      <c r="O3012" s="6"/>
      <c r="P3012" s="6"/>
      <c r="Q3012" s="6"/>
      <c r="R3012" s="6"/>
      <c r="S3012" s="6"/>
      <c r="T3012" s="6"/>
    </row>
    <row r="3013" spans="4:20" x14ac:dyDescent="0.2">
      <c r="D3013" s="6"/>
      <c r="E3013" s="6"/>
      <c r="F3013" s="6"/>
      <c r="G3013" s="19"/>
      <c r="H3013" s="19"/>
      <c r="I3013" s="19"/>
      <c r="J3013" s="19"/>
      <c r="K3013" s="6"/>
      <c r="L3013" s="6"/>
      <c r="M3013" s="6"/>
      <c r="N3013" s="6"/>
      <c r="O3013" s="6"/>
      <c r="P3013" s="6"/>
      <c r="Q3013" s="6"/>
      <c r="R3013" s="6"/>
      <c r="S3013" s="6"/>
      <c r="T3013" s="6"/>
    </row>
    <row r="3014" spans="4:20" x14ac:dyDescent="0.2">
      <c r="D3014" s="6"/>
      <c r="E3014" s="6"/>
      <c r="F3014" s="6"/>
      <c r="G3014" s="19"/>
      <c r="H3014" s="19"/>
      <c r="I3014" s="19"/>
      <c r="J3014" s="19"/>
      <c r="K3014" s="6"/>
      <c r="L3014" s="6"/>
      <c r="M3014" s="6"/>
      <c r="N3014" s="6"/>
      <c r="O3014" s="6"/>
      <c r="P3014" s="6"/>
      <c r="Q3014" s="6"/>
      <c r="R3014" s="6"/>
      <c r="S3014" s="6"/>
      <c r="T3014" s="6"/>
    </row>
    <row r="3015" spans="4:20" x14ac:dyDescent="0.2">
      <c r="D3015" s="6"/>
      <c r="E3015" s="6"/>
      <c r="F3015" s="6"/>
      <c r="G3015" s="19"/>
      <c r="H3015" s="19"/>
      <c r="I3015" s="19"/>
      <c r="J3015" s="19"/>
      <c r="K3015" s="6"/>
      <c r="L3015" s="6"/>
      <c r="M3015" s="6"/>
      <c r="N3015" s="6"/>
      <c r="O3015" s="6"/>
      <c r="P3015" s="6"/>
      <c r="Q3015" s="6"/>
      <c r="R3015" s="6"/>
      <c r="S3015" s="6"/>
      <c r="T3015" s="6"/>
    </row>
    <row r="3016" spans="4:20" x14ac:dyDescent="0.2">
      <c r="D3016" s="6"/>
      <c r="E3016" s="6"/>
      <c r="F3016" s="6"/>
      <c r="G3016" s="19"/>
      <c r="H3016" s="19"/>
      <c r="I3016" s="19"/>
      <c r="J3016" s="19"/>
      <c r="K3016" s="6"/>
      <c r="L3016" s="6"/>
      <c r="M3016" s="6"/>
      <c r="N3016" s="6"/>
      <c r="O3016" s="6"/>
      <c r="P3016" s="6"/>
      <c r="Q3016" s="6"/>
      <c r="R3016" s="6"/>
      <c r="S3016" s="6"/>
      <c r="T3016" s="6"/>
    </row>
    <row r="3017" spans="4:20" x14ac:dyDescent="0.2">
      <c r="D3017" s="6"/>
      <c r="E3017" s="6"/>
      <c r="F3017" s="6"/>
      <c r="G3017" s="19"/>
      <c r="H3017" s="19"/>
      <c r="I3017" s="19"/>
      <c r="J3017" s="19"/>
      <c r="K3017" s="6"/>
      <c r="L3017" s="6"/>
      <c r="M3017" s="6"/>
      <c r="N3017" s="6"/>
      <c r="O3017" s="6"/>
      <c r="P3017" s="6"/>
      <c r="Q3017" s="6"/>
      <c r="R3017" s="6"/>
      <c r="S3017" s="6"/>
      <c r="T3017" s="6"/>
    </row>
    <row r="3018" spans="4:20" x14ac:dyDescent="0.2">
      <c r="D3018" s="6"/>
      <c r="E3018" s="6"/>
      <c r="F3018" s="6"/>
      <c r="G3018" s="19"/>
      <c r="H3018" s="19"/>
      <c r="I3018" s="19"/>
      <c r="J3018" s="19"/>
      <c r="K3018" s="6"/>
      <c r="L3018" s="6"/>
      <c r="M3018" s="6"/>
      <c r="N3018" s="6"/>
      <c r="O3018" s="6"/>
      <c r="P3018" s="6"/>
      <c r="Q3018" s="6"/>
      <c r="R3018" s="6"/>
      <c r="S3018" s="6"/>
      <c r="T3018" s="6"/>
    </row>
    <row r="3019" spans="4:20" x14ac:dyDescent="0.2">
      <c r="D3019" s="6"/>
      <c r="E3019" s="6"/>
      <c r="F3019" s="6"/>
      <c r="G3019" s="19"/>
      <c r="H3019" s="19"/>
      <c r="I3019" s="19"/>
      <c r="J3019" s="19"/>
      <c r="K3019" s="6"/>
      <c r="L3019" s="6"/>
      <c r="M3019" s="6"/>
      <c r="N3019" s="6"/>
      <c r="O3019" s="6"/>
      <c r="P3019" s="6"/>
      <c r="Q3019" s="6"/>
      <c r="R3019" s="6"/>
      <c r="S3019" s="6"/>
      <c r="T3019" s="6"/>
    </row>
    <row r="3020" spans="4:20" x14ac:dyDescent="0.2">
      <c r="D3020" s="6"/>
      <c r="E3020" s="6"/>
      <c r="F3020" s="6"/>
      <c r="G3020" s="19"/>
      <c r="H3020" s="19"/>
      <c r="I3020" s="19"/>
      <c r="J3020" s="19"/>
      <c r="K3020" s="6"/>
      <c r="L3020" s="6"/>
      <c r="M3020" s="6"/>
      <c r="N3020" s="6"/>
      <c r="O3020" s="6"/>
      <c r="P3020" s="6"/>
      <c r="Q3020" s="6"/>
      <c r="R3020" s="6"/>
      <c r="S3020" s="6"/>
      <c r="T3020" s="6"/>
    </row>
    <row r="3021" spans="4:20" x14ac:dyDescent="0.2">
      <c r="D3021" s="6"/>
      <c r="E3021" s="6"/>
      <c r="F3021" s="6"/>
      <c r="G3021" s="19"/>
      <c r="H3021" s="19"/>
      <c r="I3021" s="19"/>
      <c r="J3021" s="19"/>
      <c r="K3021" s="6"/>
      <c r="L3021" s="6"/>
      <c r="M3021" s="6"/>
      <c r="N3021" s="6"/>
      <c r="O3021" s="6"/>
      <c r="P3021" s="6"/>
      <c r="Q3021" s="6"/>
      <c r="R3021" s="6"/>
      <c r="S3021" s="6"/>
      <c r="T3021" s="6"/>
    </row>
    <row r="3022" spans="4:20" x14ac:dyDescent="0.2">
      <c r="D3022" s="6"/>
      <c r="E3022" s="6"/>
      <c r="F3022" s="6"/>
      <c r="G3022" s="19"/>
      <c r="H3022" s="19"/>
      <c r="I3022" s="19"/>
      <c r="J3022" s="19"/>
      <c r="K3022" s="6"/>
      <c r="L3022" s="6"/>
      <c r="M3022" s="6"/>
      <c r="N3022" s="6"/>
      <c r="O3022" s="6"/>
      <c r="P3022" s="6"/>
      <c r="Q3022" s="6"/>
      <c r="R3022" s="6"/>
      <c r="S3022" s="6"/>
      <c r="T3022" s="6"/>
    </row>
    <row r="3023" spans="4:20" x14ac:dyDescent="0.2">
      <c r="D3023" s="6"/>
      <c r="E3023" s="6"/>
      <c r="F3023" s="6"/>
      <c r="G3023" s="19"/>
      <c r="H3023" s="19"/>
      <c r="I3023" s="19"/>
      <c r="J3023" s="19"/>
      <c r="K3023" s="6"/>
      <c r="L3023" s="6"/>
      <c r="M3023" s="6"/>
      <c r="N3023" s="6"/>
      <c r="O3023" s="6"/>
      <c r="P3023" s="6"/>
      <c r="Q3023" s="6"/>
      <c r="R3023" s="6"/>
      <c r="S3023" s="6"/>
      <c r="T3023" s="6"/>
    </row>
    <row r="3024" spans="4:20" x14ac:dyDescent="0.2">
      <c r="D3024" s="6"/>
      <c r="E3024" s="6"/>
      <c r="F3024" s="6"/>
      <c r="G3024" s="19"/>
      <c r="H3024" s="19"/>
      <c r="I3024" s="19"/>
      <c r="J3024" s="19"/>
      <c r="K3024" s="6"/>
      <c r="L3024" s="6"/>
      <c r="M3024" s="6"/>
      <c r="N3024" s="6"/>
      <c r="O3024" s="6"/>
      <c r="P3024" s="6"/>
      <c r="Q3024" s="6"/>
      <c r="R3024" s="6"/>
      <c r="S3024" s="6"/>
      <c r="T3024" s="6"/>
    </row>
    <row r="3025" spans="4:20" x14ac:dyDescent="0.2">
      <c r="D3025" s="6"/>
      <c r="E3025" s="6"/>
      <c r="F3025" s="6"/>
      <c r="G3025" s="19"/>
      <c r="H3025" s="19"/>
      <c r="I3025" s="19"/>
      <c r="J3025" s="19"/>
      <c r="K3025" s="6"/>
      <c r="L3025" s="6"/>
      <c r="M3025" s="6"/>
      <c r="N3025" s="6"/>
      <c r="O3025" s="6"/>
      <c r="P3025" s="6"/>
      <c r="Q3025" s="6"/>
      <c r="R3025" s="6"/>
      <c r="S3025" s="6"/>
      <c r="T3025" s="6"/>
    </row>
    <row r="3026" spans="4:20" x14ac:dyDescent="0.2">
      <c r="D3026" s="6"/>
      <c r="E3026" s="6"/>
      <c r="F3026" s="6"/>
      <c r="G3026" s="19"/>
      <c r="H3026" s="19"/>
      <c r="I3026" s="19"/>
      <c r="J3026" s="19"/>
      <c r="K3026" s="6"/>
      <c r="L3026" s="6"/>
      <c r="M3026" s="6"/>
      <c r="N3026" s="6"/>
      <c r="O3026" s="6"/>
      <c r="P3026" s="6"/>
      <c r="Q3026" s="6"/>
      <c r="R3026" s="6"/>
      <c r="S3026" s="6"/>
      <c r="T3026" s="6"/>
    </row>
    <row r="3027" spans="4:20" x14ac:dyDescent="0.2">
      <c r="D3027" s="6"/>
      <c r="E3027" s="6"/>
      <c r="F3027" s="6"/>
      <c r="G3027" s="19"/>
      <c r="H3027" s="19"/>
      <c r="I3027" s="19"/>
      <c r="J3027" s="19"/>
      <c r="K3027" s="6"/>
      <c r="L3027" s="6"/>
      <c r="M3027" s="6"/>
      <c r="N3027" s="6"/>
      <c r="O3027" s="6"/>
      <c r="P3027" s="6"/>
      <c r="Q3027" s="6"/>
      <c r="R3027" s="6"/>
      <c r="S3027" s="6"/>
      <c r="T3027" s="6"/>
    </row>
    <row r="3028" spans="4:20" x14ac:dyDescent="0.2">
      <c r="D3028" s="6"/>
      <c r="E3028" s="6"/>
      <c r="F3028" s="6"/>
      <c r="G3028" s="19"/>
      <c r="H3028" s="19"/>
      <c r="I3028" s="19"/>
      <c r="J3028" s="19"/>
      <c r="K3028" s="6"/>
      <c r="L3028" s="6"/>
      <c r="M3028" s="6"/>
      <c r="N3028" s="6"/>
      <c r="O3028" s="6"/>
      <c r="P3028" s="6"/>
      <c r="Q3028" s="6"/>
      <c r="R3028" s="6"/>
      <c r="S3028" s="6"/>
      <c r="T3028" s="6"/>
    </row>
    <row r="3029" spans="4:20" x14ac:dyDescent="0.2">
      <c r="D3029" s="6"/>
      <c r="E3029" s="6"/>
      <c r="F3029" s="6"/>
      <c r="G3029" s="19"/>
      <c r="H3029" s="19"/>
      <c r="I3029" s="19"/>
      <c r="J3029" s="19"/>
      <c r="K3029" s="6"/>
      <c r="L3029" s="6"/>
      <c r="M3029" s="6"/>
      <c r="N3029" s="6"/>
      <c r="O3029" s="6"/>
      <c r="P3029" s="6"/>
      <c r="Q3029" s="6"/>
      <c r="R3029" s="6"/>
      <c r="S3029" s="6"/>
      <c r="T3029" s="6"/>
    </row>
    <row r="3030" spans="4:20" x14ac:dyDescent="0.2">
      <c r="D3030" s="6"/>
      <c r="E3030" s="6"/>
      <c r="F3030" s="6"/>
      <c r="G3030" s="19"/>
      <c r="H3030" s="19"/>
      <c r="I3030" s="19"/>
      <c r="J3030" s="19"/>
      <c r="K3030" s="6"/>
      <c r="L3030" s="6"/>
      <c r="M3030" s="6"/>
      <c r="N3030" s="6"/>
      <c r="O3030" s="6"/>
      <c r="P3030" s="6"/>
      <c r="Q3030" s="6"/>
      <c r="R3030" s="6"/>
      <c r="S3030" s="6"/>
      <c r="T3030" s="6"/>
    </row>
    <row r="3031" spans="4:20" x14ac:dyDescent="0.2">
      <c r="D3031" s="6"/>
      <c r="E3031" s="6"/>
      <c r="F3031" s="6"/>
      <c r="G3031" s="19"/>
      <c r="H3031" s="19"/>
      <c r="I3031" s="19"/>
      <c r="J3031" s="19"/>
      <c r="K3031" s="6"/>
      <c r="L3031" s="6"/>
      <c r="M3031" s="6"/>
      <c r="N3031" s="6"/>
      <c r="O3031" s="6"/>
      <c r="P3031" s="6"/>
      <c r="Q3031" s="6"/>
      <c r="R3031" s="6"/>
      <c r="S3031" s="6"/>
      <c r="T3031" s="6"/>
    </row>
    <row r="3032" spans="4:20" x14ac:dyDescent="0.2">
      <c r="D3032" s="6"/>
      <c r="E3032" s="6"/>
      <c r="F3032" s="6"/>
      <c r="G3032" s="19"/>
      <c r="H3032" s="19"/>
      <c r="I3032" s="19"/>
      <c r="J3032" s="19"/>
      <c r="K3032" s="6"/>
      <c r="L3032" s="6"/>
      <c r="M3032" s="6"/>
      <c r="N3032" s="6"/>
      <c r="O3032" s="6"/>
      <c r="P3032" s="6"/>
      <c r="Q3032" s="6"/>
      <c r="R3032" s="6"/>
      <c r="S3032" s="6"/>
      <c r="T3032" s="6"/>
    </row>
    <row r="3033" spans="4:20" x14ac:dyDescent="0.2">
      <c r="D3033" s="6"/>
      <c r="E3033" s="6"/>
      <c r="F3033" s="6"/>
      <c r="G3033" s="19"/>
      <c r="H3033" s="19"/>
      <c r="I3033" s="19"/>
      <c r="J3033" s="19"/>
      <c r="K3033" s="6"/>
      <c r="L3033" s="6"/>
      <c r="M3033" s="6"/>
      <c r="N3033" s="6"/>
      <c r="O3033" s="6"/>
      <c r="P3033" s="6"/>
      <c r="Q3033" s="6"/>
      <c r="R3033" s="6"/>
      <c r="S3033" s="6"/>
      <c r="T3033" s="6"/>
    </row>
    <row r="3034" spans="4:20" x14ac:dyDescent="0.2">
      <c r="D3034" s="6"/>
      <c r="E3034" s="6"/>
      <c r="F3034" s="6"/>
      <c r="G3034" s="19"/>
      <c r="H3034" s="19"/>
      <c r="I3034" s="19"/>
      <c r="J3034" s="19"/>
      <c r="K3034" s="6"/>
      <c r="L3034" s="6"/>
      <c r="M3034" s="6"/>
      <c r="N3034" s="6"/>
      <c r="O3034" s="6"/>
      <c r="P3034" s="6"/>
      <c r="Q3034" s="6"/>
      <c r="R3034" s="6"/>
      <c r="S3034" s="6"/>
      <c r="T3034" s="6"/>
    </row>
    <row r="3035" spans="4:20" x14ac:dyDescent="0.2">
      <c r="D3035" s="6"/>
      <c r="E3035" s="6"/>
      <c r="F3035" s="6"/>
      <c r="G3035" s="19"/>
      <c r="H3035" s="19"/>
      <c r="I3035" s="19"/>
      <c r="J3035" s="19"/>
      <c r="K3035" s="6"/>
      <c r="L3035" s="6"/>
      <c r="M3035" s="6"/>
      <c r="N3035" s="6"/>
      <c r="O3035" s="6"/>
      <c r="P3035" s="6"/>
      <c r="Q3035" s="6"/>
      <c r="R3035" s="6"/>
      <c r="S3035" s="6"/>
      <c r="T3035" s="6"/>
    </row>
    <row r="3036" spans="4:20" x14ac:dyDescent="0.2">
      <c r="D3036" s="6"/>
      <c r="E3036" s="6"/>
      <c r="F3036" s="6"/>
      <c r="G3036" s="19"/>
      <c r="H3036" s="19"/>
      <c r="I3036" s="19"/>
      <c r="J3036" s="19"/>
      <c r="K3036" s="6"/>
      <c r="L3036" s="6"/>
      <c r="M3036" s="6"/>
      <c r="N3036" s="6"/>
      <c r="O3036" s="6"/>
      <c r="P3036" s="6"/>
      <c r="Q3036" s="6"/>
      <c r="R3036" s="6"/>
      <c r="S3036" s="6"/>
      <c r="T3036" s="6"/>
    </row>
    <row r="3037" spans="4:20" x14ac:dyDescent="0.2">
      <c r="D3037" s="6"/>
      <c r="E3037" s="6"/>
      <c r="F3037" s="6"/>
      <c r="G3037" s="19"/>
      <c r="H3037" s="19"/>
      <c r="I3037" s="19"/>
      <c r="J3037" s="19"/>
      <c r="K3037" s="6"/>
      <c r="L3037" s="6"/>
      <c r="M3037" s="6"/>
      <c r="N3037" s="6"/>
      <c r="O3037" s="6"/>
      <c r="P3037" s="6"/>
      <c r="Q3037" s="6"/>
      <c r="R3037" s="6"/>
      <c r="S3037" s="6"/>
      <c r="T3037" s="6"/>
    </row>
    <row r="3038" spans="4:20" x14ac:dyDescent="0.2">
      <c r="D3038" s="6"/>
      <c r="E3038" s="6"/>
      <c r="F3038" s="6"/>
      <c r="G3038" s="19"/>
      <c r="H3038" s="19"/>
      <c r="I3038" s="19"/>
      <c r="J3038" s="19"/>
      <c r="K3038" s="6"/>
      <c r="L3038" s="6"/>
      <c r="M3038" s="6"/>
      <c r="N3038" s="6"/>
      <c r="O3038" s="6"/>
      <c r="P3038" s="6"/>
      <c r="Q3038" s="6"/>
      <c r="R3038" s="6"/>
      <c r="S3038" s="6"/>
      <c r="T3038" s="6"/>
    </row>
    <row r="3039" spans="4:20" x14ac:dyDescent="0.2">
      <c r="D3039" s="6"/>
      <c r="E3039" s="6"/>
      <c r="F3039" s="6"/>
      <c r="G3039" s="19"/>
      <c r="H3039" s="19"/>
      <c r="I3039" s="19"/>
      <c r="J3039" s="19"/>
      <c r="K3039" s="6"/>
      <c r="L3039" s="6"/>
      <c r="M3039" s="6"/>
      <c r="N3039" s="6"/>
      <c r="O3039" s="6"/>
      <c r="P3039" s="6"/>
      <c r="Q3039" s="6"/>
      <c r="R3039" s="6"/>
      <c r="S3039" s="6"/>
      <c r="T3039" s="6"/>
    </row>
    <row r="3040" spans="4:20" x14ac:dyDescent="0.2">
      <c r="D3040" s="6"/>
      <c r="E3040" s="6"/>
      <c r="F3040" s="6"/>
      <c r="G3040" s="19"/>
      <c r="H3040" s="19"/>
      <c r="I3040" s="19"/>
      <c r="J3040" s="19"/>
      <c r="K3040" s="6"/>
      <c r="L3040" s="6"/>
      <c r="M3040" s="6"/>
      <c r="N3040" s="6"/>
      <c r="O3040" s="6"/>
      <c r="P3040" s="6"/>
      <c r="Q3040" s="6"/>
      <c r="R3040" s="6"/>
      <c r="S3040" s="6"/>
      <c r="T3040" s="6"/>
    </row>
    <row r="3041" spans="4:20" x14ac:dyDescent="0.2">
      <c r="D3041" s="6"/>
      <c r="E3041" s="6"/>
      <c r="F3041" s="6"/>
      <c r="G3041" s="19"/>
      <c r="H3041" s="19"/>
      <c r="I3041" s="19"/>
      <c r="J3041" s="19"/>
      <c r="K3041" s="6"/>
      <c r="L3041" s="6"/>
      <c r="M3041" s="6"/>
      <c r="N3041" s="6"/>
      <c r="O3041" s="6"/>
      <c r="P3041" s="6"/>
      <c r="Q3041" s="6"/>
      <c r="R3041" s="6"/>
      <c r="S3041" s="6"/>
      <c r="T3041" s="6"/>
    </row>
    <row r="3042" spans="4:20" x14ac:dyDescent="0.2">
      <c r="D3042" s="6"/>
      <c r="E3042" s="6"/>
      <c r="F3042" s="6"/>
      <c r="G3042" s="19"/>
      <c r="H3042" s="19"/>
      <c r="I3042" s="19"/>
      <c r="J3042" s="19"/>
      <c r="K3042" s="6"/>
      <c r="L3042" s="6"/>
      <c r="M3042" s="6"/>
      <c r="N3042" s="6"/>
      <c r="O3042" s="6"/>
      <c r="P3042" s="6"/>
      <c r="Q3042" s="6"/>
      <c r="R3042" s="6"/>
      <c r="S3042" s="6"/>
      <c r="T3042" s="6"/>
    </row>
    <row r="3043" spans="4:20" x14ac:dyDescent="0.2">
      <c r="D3043" s="6"/>
      <c r="E3043" s="6"/>
      <c r="F3043" s="6"/>
      <c r="G3043" s="19"/>
      <c r="H3043" s="19"/>
      <c r="I3043" s="19"/>
      <c r="J3043" s="19"/>
      <c r="K3043" s="6"/>
      <c r="L3043" s="6"/>
      <c r="M3043" s="6"/>
      <c r="N3043" s="6"/>
      <c r="O3043" s="6"/>
      <c r="P3043" s="6"/>
      <c r="Q3043" s="6"/>
      <c r="R3043" s="6"/>
      <c r="S3043" s="6"/>
      <c r="T3043" s="6"/>
    </row>
    <row r="3044" spans="4:20" x14ac:dyDescent="0.2">
      <c r="D3044" s="6"/>
      <c r="E3044" s="6"/>
      <c r="F3044" s="6"/>
      <c r="G3044" s="19"/>
      <c r="H3044" s="19"/>
      <c r="I3044" s="19"/>
      <c r="J3044" s="19"/>
      <c r="K3044" s="6"/>
      <c r="L3044" s="6"/>
      <c r="M3044" s="6"/>
      <c r="N3044" s="6"/>
      <c r="O3044" s="6"/>
      <c r="P3044" s="6"/>
      <c r="Q3044" s="6"/>
      <c r="R3044" s="6"/>
      <c r="S3044" s="6"/>
      <c r="T3044" s="6"/>
    </row>
    <row r="3045" spans="4:20" x14ac:dyDescent="0.2">
      <c r="D3045" s="6"/>
      <c r="E3045" s="6"/>
      <c r="F3045" s="6"/>
      <c r="G3045" s="19"/>
      <c r="H3045" s="19"/>
      <c r="I3045" s="19"/>
      <c r="J3045" s="19"/>
      <c r="K3045" s="6"/>
      <c r="L3045" s="6"/>
      <c r="M3045" s="6"/>
      <c r="N3045" s="6"/>
      <c r="O3045" s="6"/>
      <c r="P3045" s="6"/>
      <c r="Q3045" s="6"/>
      <c r="R3045" s="6"/>
      <c r="S3045" s="6"/>
      <c r="T3045" s="6"/>
    </row>
    <row r="3046" spans="4:20" x14ac:dyDescent="0.2">
      <c r="D3046" s="6"/>
      <c r="E3046" s="6"/>
      <c r="F3046" s="6"/>
      <c r="G3046" s="19"/>
      <c r="H3046" s="19"/>
      <c r="I3046" s="19"/>
      <c r="J3046" s="19"/>
      <c r="K3046" s="6"/>
      <c r="L3046" s="6"/>
      <c r="M3046" s="6"/>
      <c r="N3046" s="6"/>
      <c r="O3046" s="6"/>
      <c r="P3046" s="6"/>
      <c r="Q3046" s="6"/>
      <c r="R3046" s="6"/>
      <c r="S3046" s="6"/>
      <c r="T3046" s="6"/>
    </row>
    <row r="3047" spans="4:20" x14ac:dyDescent="0.2">
      <c r="D3047" s="6"/>
      <c r="E3047" s="6"/>
      <c r="F3047" s="6"/>
      <c r="G3047" s="19"/>
      <c r="H3047" s="19"/>
      <c r="I3047" s="19"/>
      <c r="J3047" s="19"/>
      <c r="K3047" s="6"/>
      <c r="L3047" s="6"/>
      <c r="M3047" s="6"/>
      <c r="N3047" s="6"/>
      <c r="O3047" s="6"/>
      <c r="P3047" s="6"/>
      <c r="Q3047" s="6"/>
      <c r="R3047" s="6"/>
      <c r="S3047" s="6"/>
      <c r="T3047" s="6"/>
    </row>
    <row r="3048" spans="4:20" x14ac:dyDescent="0.2">
      <c r="D3048" s="6"/>
      <c r="E3048" s="6"/>
      <c r="F3048" s="6"/>
      <c r="G3048" s="19"/>
      <c r="H3048" s="19"/>
      <c r="I3048" s="19"/>
      <c r="J3048" s="19"/>
      <c r="K3048" s="6"/>
      <c r="L3048" s="6"/>
      <c r="M3048" s="6"/>
      <c r="N3048" s="6"/>
      <c r="O3048" s="6"/>
      <c r="P3048" s="6"/>
      <c r="Q3048" s="6"/>
      <c r="R3048" s="6"/>
      <c r="S3048" s="6"/>
      <c r="T3048" s="6"/>
    </row>
    <row r="3049" spans="4:20" x14ac:dyDescent="0.2">
      <c r="D3049" s="6"/>
      <c r="E3049" s="6"/>
      <c r="F3049" s="6"/>
      <c r="G3049" s="19"/>
      <c r="H3049" s="19"/>
      <c r="I3049" s="19"/>
      <c r="J3049" s="19"/>
      <c r="K3049" s="6"/>
      <c r="L3049" s="6"/>
      <c r="M3049" s="6"/>
      <c r="N3049" s="6"/>
      <c r="O3049" s="6"/>
      <c r="P3049" s="6"/>
      <c r="Q3049" s="6"/>
      <c r="R3049" s="6"/>
      <c r="S3049" s="6"/>
      <c r="T3049" s="6"/>
    </row>
    <row r="3050" spans="4:20" x14ac:dyDescent="0.2">
      <c r="D3050" s="6"/>
      <c r="E3050" s="6"/>
      <c r="F3050" s="6"/>
      <c r="G3050" s="19"/>
      <c r="H3050" s="19"/>
      <c r="I3050" s="19"/>
      <c r="J3050" s="19"/>
      <c r="K3050" s="6"/>
      <c r="L3050" s="6"/>
      <c r="M3050" s="6"/>
      <c r="N3050" s="6"/>
      <c r="O3050" s="6"/>
      <c r="P3050" s="6"/>
      <c r="Q3050" s="6"/>
      <c r="R3050" s="6"/>
      <c r="S3050" s="6"/>
      <c r="T3050" s="6"/>
    </row>
    <row r="3051" spans="4:20" x14ac:dyDescent="0.2">
      <c r="D3051" s="6"/>
      <c r="E3051" s="6"/>
      <c r="F3051" s="6"/>
      <c r="G3051" s="19"/>
      <c r="H3051" s="19"/>
      <c r="I3051" s="19"/>
      <c r="J3051" s="19"/>
      <c r="K3051" s="6"/>
      <c r="L3051" s="6"/>
      <c r="M3051" s="6"/>
      <c r="N3051" s="6"/>
      <c r="O3051" s="6"/>
      <c r="P3051" s="6"/>
      <c r="Q3051" s="6"/>
      <c r="R3051" s="6"/>
      <c r="S3051" s="6"/>
      <c r="T3051" s="6"/>
    </row>
    <row r="3052" spans="4:20" x14ac:dyDescent="0.2">
      <c r="D3052" s="6"/>
      <c r="E3052" s="6"/>
      <c r="F3052" s="6"/>
      <c r="G3052" s="19"/>
      <c r="H3052" s="19"/>
      <c r="I3052" s="19"/>
      <c r="J3052" s="19"/>
      <c r="K3052" s="6"/>
      <c r="L3052" s="6"/>
      <c r="M3052" s="6"/>
      <c r="N3052" s="6"/>
      <c r="O3052" s="6"/>
      <c r="P3052" s="6"/>
      <c r="Q3052" s="6"/>
      <c r="R3052" s="6"/>
      <c r="S3052" s="6"/>
      <c r="T3052" s="6"/>
    </row>
    <row r="3053" spans="4:20" x14ac:dyDescent="0.2">
      <c r="D3053" s="6"/>
      <c r="E3053" s="6"/>
      <c r="F3053" s="6"/>
      <c r="G3053" s="19"/>
      <c r="H3053" s="19"/>
      <c r="I3053" s="19"/>
      <c r="J3053" s="19"/>
      <c r="K3053" s="6"/>
      <c r="L3053" s="6"/>
      <c r="M3053" s="6"/>
      <c r="N3053" s="6"/>
      <c r="O3053" s="6"/>
      <c r="P3053" s="6"/>
      <c r="Q3053" s="6"/>
      <c r="R3053" s="6"/>
      <c r="S3053" s="6"/>
      <c r="T3053" s="6"/>
    </row>
    <row r="3054" spans="4:20" x14ac:dyDescent="0.2">
      <c r="D3054" s="6"/>
      <c r="E3054" s="6"/>
      <c r="F3054" s="6"/>
      <c r="G3054" s="19"/>
      <c r="H3054" s="19"/>
      <c r="I3054" s="19"/>
      <c r="J3054" s="19"/>
      <c r="K3054" s="6"/>
      <c r="L3054" s="6"/>
      <c r="M3054" s="6"/>
      <c r="N3054" s="6"/>
      <c r="O3054" s="6"/>
      <c r="P3054" s="6"/>
      <c r="Q3054" s="6"/>
      <c r="R3054" s="6"/>
      <c r="S3054" s="6"/>
      <c r="T3054" s="6"/>
    </row>
    <row r="3055" spans="4:20" x14ac:dyDescent="0.2">
      <c r="D3055" s="6"/>
      <c r="E3055" s="6"/>
      <c r="F3055" s="6"/>
      <c r="G3055" s="19"/>
      <c r="H3055" s="19"/>
      <c r="I3055" s="19"/>
      <c r="J3055" s="19"/>
      <c r="K3055" s="6"/>
      <c r="L3055" s="6"/>
      <c r="M3055" s="6"/>
      <c r="N3055" s="6"/>
      <c r="O3055" s="6"/>
      <c r="P3055" s="6"/>
      <c r="Q3055" s="6"/>
      <c r="R3055" s="6"/>
      <c r="S3055" s="6"/>
      <c r="T3055" s="6"/>
    </row>
    <row r="3056" spans="4:20" x14ac:dyDescent="0.2">
      <c r="D3056" s="6"/>
      <c r="E3056" s="6"/>
      <c r="F3056" s="6"/>
      <c r="G3056" s="19"/>
      <c r="H3056" s="19"/>
      <c r="I3056" s="19"/>
      <c r="J3056" s="19"/>
      <c r="K3056" s="6"/>
      <c r="L3056" s="6"/>
      <c r="M3056" s="6"/>
      <c r="N3056" s="6"/>
      <c r="O3056" s="6"/>
      <c r="P3056" s="6"/>
      <c r="Q3056" s="6"/>
      <c r="R3056" s="6"/>
      <c r="S3056" s="6"/>
      <c r="T3056" s="6"/>
    </row>
    <row r="3057" spans="4:20" x14ac:dyDescent="0.2">
      <c r="D3057" s="6"/>
      <c r="E3057" s="6"/>
      <c r="F3057" s="6"/>
      <c r="G3057" s="19"/>
      <c r="H3057" s="19"/>
      <c r="I3057" s="19"/>
      <c r="J3057" s="19"/>
      <c r="K3057" s="6"/>
      <c r="L3057" s="6"/>
      <c r="M3057" s="6"/>
      <c r="N3057" s="6"/>
      <c r="O3057" s="6"/>
      <c r="P3057" s="6"/>
      <c r="Q3057" s="6"/>
      <c r="R3057" s="6"/>
      <c r="S3057" s="6"/>
      <c r="T3057" s="6"/>
    </row>
    <row r="3058" spans="4:20" x14ac:dyDescent="0.2">
      <c r="D3058" s="6"/>
      <c r="E3058" s="6"/>
      <c r="F3058" s="6"/>
      <c r="G3058" s="19"/>
      <c r="H3058" s="19"/>
      <c r="I3058" s="19"/>
      <c r="J3058" s="19"/>
      <c r="K3058" s="6"/>
      <c r="L3058" s="6"/>
      <c r="M3058" s="6"/>
      <c r="N3058" s="6"/>
      <c r="O3058" s="6"/>
      <c r="P3058" s="6"/>
      <c r="Q3058" s="6"/>
      <c r="R3058" s="6"/>
      <c r="S3058" s="6"/>
      <c r="T3058" s="6"/>
    </row>
    <row r="3059" spans="4:20" x14ac:dyDescent="0.2">
      <c r="D3059" s="6"/>
      <c r="E3059" s="6"/>
      <c r="F3059" s="6"/>
      <c r="G3059" s="19"/>
      <c r="H3059" s="19"/>
      <c r="I3059" s="19"/>
      <c r="J3059" s="19"/>
      <c r="K3059" s="6"/>
      <c r="L3059" s="6"/>
      <c r="M3059" s="6"/>
      <c r="N3059" s="6"/>
      <c r="O3059" s="6"/>
      <c r="P3059" s="6"/>
      <c r="Q3059" s="6"/>
      <c r="R3059" s="6"/>
      <c r="S3059" s="6"/>
      <c r="T3059" s="6"/>
    </row>
    <row r="3060" spans="4:20" x14ac:dyDescent="0.2">
      <c r="D3060" s="6"/>
      <c r="E3060" s="6"/>
      <c r="F3060" s="6"/>
      <c r="G3060" s="19"/>
      <c r="H3060" s="19"/>
      <c r="I3060" s="19"/>
      <c r="J3060" s="19"/>
      <c r="K3060" s="6"/>
      <c r="L3060" s="6"/>
      <c r="M3060" s="6"/>
      <c r="N3060" s="6"/>
      <c r="O3060" s="6"/>
      <c r="P3060" s="6"/>
      <c r="Q3060" s="6"/>
      <c r="R3060" s="6"/>
      <c r="S3060" s="6"/>
      <c r="T3060" s="6"/>
    </row>
    <row r="3061" spans="4:20" x14ac:dyDescent="0.2">
      <c r="D3061" s="6"/>
      <c r="E3061" s="6"/>
      <c r="F3061" s="6"/>
      <c r="G3061" s="19"/>
      <c r="H3061" s="19"/>
      <c r="I3061" s="19"/>
      <c r="J3061" s="19"/>
      <c r="K3061" s="6"/>
      <c r="L3061" s="6"/>
      <c r="M3061" s="6"/>
      <c r="N3061" s="6"/>
      <c r="O3061" s="6"/>
      <c r="P3061" s="6"/>
      <c r="Q3061" s="6"/>
      <c r="R3061" s="6"/>
      <c r="S3061" s="6"/>
      <c r="T3061" s="6"/>
    </row>
    <row r="3062" spans="4:20" x14ac:dyDescent="0.2">
      <c r="D3062" s="6"/>
      <c r="E3062" s="6"/>
      <c r="F3062" s="6"/>
      <c r="G3062" s="19"/>
      <c r="H3062" s="19"/>
      <c r="I3062" s="19"/>
      <c r="J3062" s="19"/>
      <c r="K3062" s="6"/>
      <c r="L3062" s="6"/>
      <c r="M3062" s="6"/>
      <c r="N3062" s="6"/>
      <c r="O3062" s="6"/>
      <c r="P3062" s="6"/>
      <c r="Q3062" s="6"/>
      <c r="R3062" s="6"/>
      <c r="S3062" s="6"/>
      <c r="T3062" s="6"/>
    </row>
    <row r="3063" spans="4:20" x14ac:dyDescent="0.2">
      <c r="D3063" s="6"/>
      <c r="E3063" s="6"/>
      <c r="F3063" s="6"/>
      <c r="G3063" s="19"/>
      <c r="H3063" s="19"/>
      <c r="I3063" s="19"/>
      <c r="J3063" s="19"/>
      <c r="K3063" s="6"/>
      <c r="L3063" s="6"/>
      <c r="M3063" s="6"/>
      <c r="N3063" s="6"/>
      <c r="O3063" s="6"/>
      <c r="P3063" s="6"/>
      <c r="Q3063" s="6"/>
      <c r="R3063" s="6"/>
      <c r="S3063" s="6"/>
      <c r="T3063" s="6"/>
    </row>
    <row r="3064" spans="4:20" x14ac:dyDescent="0.2">
      <c r="D3064" s="6"/>
      <c r="E3064" s="6"/>
      <c r="F3064" s="6"/>
      <c r="G3064" s="19"/>
      <c r="H3064" s="19"/>
      <c r="I3064" s="19"/>
      <c r="J3064" s="19"/>
      <c r="K3064" s="6"/>
      <c r="L3064" s="6"/>
      <c r="M3064" s="6"/>
      <c r="N3064" s="6"/>
      <c r="O3064" s="6"/>
      <c r="P3064" s="6"/>
      <c r="Q3064" s="6"/>
      <c r="R3064" s="6"/>
      <c r="S3064" s="6"/>
      <c r="T3064" s="6"/>
    </row>
    <row r="3065" spans="4:20" x14ac:dyDescent="0.2">
      <c r="D3065" s="6"/>
      <c r="E3065" s="6"/>
      <c r="F3065" s="6"/>
      <c r="G3065" s="19"/>
      <c r="H3065" s="19"/>
      <c r="I3065" s="19"/>
      <c r="J3065" s="19"/>
      <c r="K3065" s="6"/>
      <c r="L3065" s="6"/>
      <c r="M3065" s="6"/>
      <c r="N3065" s="6"/>
      <c r="O3065" s="6"/>
      <c r="P3065" s="6"/>
      <c r="Q3065" s="6"/>
      <c r="R3065" s="6"/>
      <c r="S3065" s="6"/>
      <c r="T3065" s="6"/>
    </row>
    <row r="3066" spans="4:20" x14ac:dyDescent="0.2">
      <c r="D3066" s="6"/>
      <c r="E3066" s="6"/>
      <c r="F3066" s="6"/>
      <c r="G3066" s="19"/>
      <c r="H3066" s="19"/>
      <c r="I3066" s="19"/>
      <c r="J3066" s="19"/>
      <c r="K3066" s="6"/>
      <c r="L3066" s="6"/>
      <c r="M3066" s="6"/>
      <c r="N3066" s="6"/>
      <c r="O3066" s="6"/>
      <c r="P3066" s="6"/>
      <c r="Q3066" s="6"/>
      <c r="R3066" s="6"/>
      <c r="S3066" s="6"/>
      <c r="T3066" s="6"/>
    </row>
    <row r="3067" spans="4:20" x14ac:dyDescent="0.2">
      <c r="D3067" s="6"/>
      <c r="E3067" s="6"/>
      <c r="F3067" s="6"/>
      <c r="G3067" s="19"/>
      <c r="H3067" s="19"/>
      <c r="I3067" s="19"/>
      <c r="J3067" s="19"/>
      <c r="K3067" s="6"/>
      <c r="L3067" s="6"/>
      <c r="M3067" s="6"/>
      <c r="N3067" s="6"/>
      <c r="O3067" s="6"/>
      <c r="P3067" s="6"/>
      <c r="Q3067" s="6"/>
      <c r="R3067" s="6"/>
      <c r="S3067" s="6"/>
      <c r="T3067" s="6"/>
    </row>
    <row r="3068" spans="4:20" x14ac:dyDescent="0.2">
      <c r="D3068" s="6"/>
      <c r="E3068" s="6"/>
      <c r="F3068" s="6"/>
      <c r="G3068" s="19"/>
      <c r="H3068" s="19"/>
      <c r="I3068" s="19"/>
      <c r="J3068" s="19"/>
      <c r="K3068" s="6"/>
      <c r="L3068" s="6"/>
      <c r="M3068" s="6"/>
      <c r="N3068" s="6"/>
      <c r="O3068" s="6"/>
      <c r="P3068" s="6"/>
      <c r="Q3068" s="6"/>
      <c r="R3068" s="6"/>
      <c r="S3068" s="6"/>
      <c r="T3068" s="6"/>
    </row>
    <row r="3069" spans="4:20" x14ac:dyDescent="0.2">
      <c r="D3069" s="6"/>
      <c r="E3069" s="6"/>
      <c r="F3069" s="6"/>
      <c r="G3069" s="19"/>
      <c r="H3069" s="19"/>
      <c r="I3069" s="19"/>
      <c r="J3069" s="19"/>
      <c r="K3069" s="6"/>
      <c r="L3069" s="6"/>
      <c r="M3069" s="6"/>
      <c r="N3069" s="6"/>
      <c r="O3069" s="6"/>
      <c r="P3069" s="6"/>
      <c r="Q3069" s="6"/>
      <c r="R3069" s="6"/>
      <c r="S3069" s="6"/>
      <c r="T3069" s="6"/>
    </row>
    <row r="3070" spans="4:20" x14ac:dyDescent="0.2">
      <c r="D3070" s="6"/>
      <c r="E3070" s="6"/>
      <c r="F3070" s="6"/>
      <c r="G3070" s="19"/>
      <c r="H3070" s="19"/>
      <c r="I3070" s="19"/>
      <c r="J3070" s="19"/>
      <c r="K3070" s="6"/>
      <c r="L3070" s="6"/>
      <c r="M3070" s="6"/>
      <c r="N3070" s="6"/>
      <c r="O3070" s="6"/>
      <c r="P3070" s="6"/>
      <c r="Q3070" s="6"/>
      <c r="R3070" s="6"/>
      <c r="S3070" s="6"/>
      <c r="T3070" s="6"/>
    </row>
    <row r="3071" spans="4:20" x14ac:dyDescent="0.2">
      <c r="D3071" s="6"/>
      <c r="E3071" s="6"/>
      <c r="F3071" s="6"/>
      <c r="G3071" s="19"/>
      <c r="H3071" s="19"/>
      <c r="I3071" s="19"/>
      <c r="J3071" s="19"/>
      <c r="K3071" s="6"/>
      <c r="L3071" s="6"/>
      <c r="M3071" s="6"/>
      <c r="N3071" s="6"/>
      <c r="O3071" s="6"/>
      <c r="P3071" s="6"/>
      <c r="Q3071" s="6"/>
      <c r="R3071" s="6"/>
      <c r="S3071" s="6"/>
      <c r="T3071" s="6"/>
    </row>
    <row r="3072" spans="4:20" x14ac:dyDescent="0.2">
      <c r="D3072" s="6"/>
      <c r="E3072" s="6"/>
      <c r="F3072" s="6"/>
      <c r="G3072" s="19"/>
      <c r="H3072" s="19"/>
      <c r="I3072" s="19"/>
      <c r="J3072" s="19"/>
      <c r="K3072" s="6"/>
      <c r="L3072" s="6"/>
      <c r="M3072" s="6"/>
      <c r="N3072" s="6"/>
      <c r="O3072" s="6"/>
      <c r="P3072" s="6"/>
      <c r="Q3072" s="6"/>
      <c r="R3072" s="6"/>
      <c r="S3072" s="6"/>
      <c r="T3072" s="6"/>
    </row>
    <row r="3073" spans="4:20" x14ac:dyDescent="0.2">
      <c r="D3073" s="6"/>
      <c r="E3073" s="6"/>
      <c r="F3073" s="6"/>
      <c r="G3073" s="19"/>
      <c r="H3073" s="19"/>
      <c r="I3073" s="19"/>
      <c r="J3073" s="19"/>
      <c r="K3073" s="6"/>
      <c r="L3073" s="6"/>
      <c r="M3073" s="6"/>
      <c r="N3073" s="6"/>
      <c r="O3073" s="6"/>
      <c r="P3073" s="6"/>
      <c r="Q3073" s="6"/>
      <c r="R3073" s="6"/>
      <c r="S3073" s="6"/>
      <c r="T3073" s="6"/>
    </row>
    <row r="3074" spans="4:20" x14ac:dyDescent="0.2">
      <c r="D3074" s="6"/>
      <c r="E3074" s="6"/>
      <c r="F3074" s="6"/>
      <c r="G3074" s="19"/>
      <c r="H3074" s="19"/>
      <c r="I3074" s="19"/>
      <c r="J3074" s="19"/>
      <c r="K3074" s="6"/>
      <c r="L3074" s="6"/>
      <c r="M3074" s="6"/>
      <c r="N3074" s="6"/>
      <c r="O3074" s="6"/>
      <c r="P3074" s="6"/>
      <c r="Q3074" s="6"/>
      <c r="R3074" s="6"/>
      <c r="S3074" s="6"/>
      <c r="T3074" s="6"/>
    </row>
    <row r="3075" spans="4:20" x14ac:dyDescent="0.2">
      <c r="D3075" s="6"/>
      <c r="E3075" s="6"/>
      <c r="F3075" s="6"/>
      <c r="G3075" s="19"/>
      <c r="H3075" s="19"/>
      <c r="I3075" s="19"/>
      <c r="J3075" s="19"/>
      <c r="K3075" s="6"/>
      <c r="L3075" s="6"/>
      <c r="M3075" s="6"/>
      <c r="N3075" s="6"/>
      <c r="O3075" s="6"/>
      <c r="P3075" s="6"/>
      <c r="Q3075" s="6"/>
      <c r="R3075" s="6"/>
      <c r="S3075" s="6"/>
      <c r="T3075" s="6"/>
    </row>
    <row r="3076" spans="4:20" x14ac:dyDescent="0.2">
      <c r="D3076" s="6"/>
      <c r="E3076" s="6"/>
      <c r="F3076" s="6"/>
      <c r="G3076" s="19"/>
      <c r="H3076" s="19"/>
      <c r="I3076" s="19"/>
      <c r="J3076" s="19"/>
      <c r="K3076" s="6"/>
      <c r="L3076" s="6"/>
      <c r="M3076" s="6"/>
      <c r="N3076" s="6"/>
      <c r="O3076" s="6"/>
      <c r="P3076" s="6"/>
      <c r="Q3076" s="6"/>
      <c r="R3076" s="6"/>
      <c r="S3076" s="6"/>
      <c r="T3076" s="6"/>
    </row>
    <row r="3077" spans="4:20" x14ac:dyDescent="0.2">
      <c r="D3077" s="6"/>
      <c r="E3077" s="6"/>
      <c r="F3077" s="6"/>
      <c r="G3077" s="19"/>
      <c r="H3077" s="19"/>
      <c r="I3077" s="19"/>
      <c r="J3077" s="19"/>
      <c r="K3077" s="6"/>
      <c r="L3077" s="6"/>
      <c r="M3077" s="6"/>
      <c r="N3077" s="6"/>
      <c r="O3077" s="6"/>
      <c r="P3077" s="6"/>
      <c r="Q3077" s="6"/>
      <c r="R3077" s="6"/>
      <c r="S3077" s="6"/>
      <c r="T3077" s="6"/>
    </row>
    <row r="3078" spans="4:20" x14ac:dyDescent="0.2">
      <c r="D3078" s="6"/>
      <c r="E3078" s="6"/>
      <c r="F3078" s="6"/>
      <c r="G3078" s="19"/>
      <c r="H3078" s="19"/>
      <c r="I3078" s="19"/>
      <c r="J3078" s="19"/>
      <c r="K3078" s="6"/>
      <c r="L3078" s="6"/>
      <c r="M3078" s="6"/>
      <c r="N3078" s="6"/>
      <c r="O3078" s="6"/>
      <c r="P3078" s="6"/>
      <c r="Q3078" s="6"/>
      <c r="R3078" s="6"/>
      <c r="S3078" s="6"/>
      <c r="T3078" s="6"/>
    </row>
    <row r="3079" spans="4:20" x14ac:dyDescent="0.2">
      <c r="D3079" s="6"/>
      <c r="E3079" s="6"/>
      <c r="F3079" s="6"/>
      <c r="G3079" s="19"/>
      <c r="H3079" s="19"/>
      <c r="I3079" s="19"/>
      <c r="J3079" s="19"/>
      <c r="K3079" s="6"/>
      <c r="L3079" s="6"/>
      <c r="M3079" s="6"/>
      <c r="N3079" s="6"/>
      <c r="O3079" s="6"/>
      <c r="P3079" s="6"/>
      <c r="Q3079" s="6"/>
      <c r="R3079" s="6"/>
      <c r="S3079" s="6"/>
      <c r="T3079" s="6"/>
    </row>
    <row r="3080" spans="4:20" x14ac:dyDescent="0.2">
      <c r="D3080" s="6"/>
      <c r="E3080" s="6"/>
      <c r="F3080" s="6"/>
      <c r="G3080" s="19"/>
      <c r="H3080" s="19"/>
      <c r="I3080" s="19"/>
      <c r="J3080" s="19"/>
      <c r="K3080" s="6"/>
      <c r="L3080" s="6"/>
      <c r="M3080" s="6"/>
      <c r="N3080" s="6"/>
      <c r="O3080" s="6"/>
      <c r="P3080" s="6"/>
      <c r="Q3080" s="6"/>
      <c r="R3080" s="6"/>
      <c r="S3080" s="6"/>
      <c r="T3080" s="6"/>
    </row>
    <row r="3081" spans="4:20" x14ac:dyDescent="0.2">
      <c r="D3081" s="6"/>
      <c r="E3081" s="6"/>
      <c r="F3081" s="6"/>
      <c r="G3081" s="19"/>
      <c r="H3081" s="19"/>
      <c r="I3081" s="19"/>
      <c r="J3081" s="19"/>
      <c r="K3081" s="6"/>
      <c r="L3081" s="6"/>
      <c r="M3081" s="6"/>
      <c r="N3081" s="6"/>
      <c r="O3081" s="6"/>
      <c r="P3081" s="6"/>
      <c r="Q3081" s="6"/>
      <c r="R3081" s="6"/>
      <c r="S3081" s="6"/>
      <c r="T3081" s="6"/>
    </row>
    <row r="3082" spans="4:20" x14ac:dyDescent="0.2">
      <c r="D3082" s="6"/>
      <c r="E3082" s="6"/>
      <c r="F3082" s="6"/>
      <c r="G3082" s="19"/>
      <c r="H3082" s="19"/>
      <c r="I3082" s="19"/>
      <c r="J3082" s="19"/>
      <c r="K3082" s="6"/>
      <c r="L3082" s="6"/>
      <c r="M3082" s="6"/>
      <c r="N3082" s="6"/>
      <c r="O3082" s="6"/>
      <c r="P3082" s="6"/>
      <c r="Q3082" s="6"/>
      <c r="R3082" s="6"/>
      <c r="S3082" s="6"/>
      <c r="T3082" s="6"/>
    </row>
    <row r="3083" spans="4:20" x14ac:dyDescent="0.2">
      <c r="D3083" s="6"/>
      <c r="E3083" s="6"/>
      <c r="F3083" s="6"/>
      <c r="G3083" s="19"/>
      <c r="H3083" s="19"/>
      <c r="I3083" s="19"/>
      <c r="J3083" s="19"/>
      <c r="K3083" s="6"/>
      <c r="L3083" s="6"/>
      <c r="M3083" s="6"/>
      <c r="N3083" s="6"/>
      <c r="O3083" s="6"/>
      <c r="P3083" s="6"/>
      <c r="Q3083" s="6"/>
      <c r="R3083" s="6"/>
      <c r="S3083" s="6"/>
      <c r="T3083" s="6"/>
    </row>
    <row r="3084" spans="4:20" x14ac:dyDescent="0.2">
      <c r="D3084" s="6"/>
      <c r="E3084" s="6"/>
      <c r="F3084" s="6"/>
      <c r="G3084" s="19"/>
      <c r="H3084" s="19"/>
      <c r="I3084" s="19"/>
      <c r="J3084" s="19"/>
      <c r="K3084" s="6"/>
      <c r="L3084" s="6"/>
      <c r="M3084" s="6"/>
      <c r="N3084" s="6"/>
      <c r="O3084" s="6"/>
      <c r="P3084" s="6"/>
      <c r="Q3084" s="6"/>
      <c r="R3084" s="6"/>
      <c r="S3084" s="6"/>
      <c r="T3084" s="6"/>
    </row>
    <row r="3085" spans="4:20" x14ac:dyDescent="0.2">
      <c r="D3085" s="6"/>
      <c r="E3085" s="6"/>
      <c r="F3085" s="6"/>
      <c r="G3085" s="19"/>
      <c r="H3085" s="19"/>
      <c r="I3085" s="19"/>
      <c r="J3085" s="19"/>
      <c r="K3085" s="6"/>
      <c r="L3085" s="6"/>
      <c r="M3085" s="6"/>
      <c r="N3085" s="6"/>
      <c r="O3085" s="6"/>
      <c r="P3085" s="6"/>
      <c r="Q3085" s="6"/>
      <c r="R3085" s="6"/>
      <c r="S3085" s="6"/>
      <c r="T3085" s="6"/>
    </row>
    <row r="3086" spans="4:20" x14ac:dyDescent="0.2">
      <c r="D3086" s="6"/>
      <c r="E3086" s="6"/>
      <c r="F3086" s="6"/>
      <c r="G3086" s="19"/>
      <c r="H3086" s="19"/>
      <c r="I3086" s="19"/>
      <c r="J3086" s="19"/>
      <c r="K3086" s="6"/>
      <c r="L3086" s="6"/>
      <c r="M3086" s="6"/>
      <c r="N3086" s="6"/>
      <c r="O3086" s="6"/>
      <c r="P3086" s="6"/>
      <c r="Q3086" s="6"/>
      <c r="R3086" s="6"/>
      <c r="S3086" s="6"/>
      <c r="T3086" s="6"/>
    </row>
    <row r="3087" spans="4:20" x14ac:dyDescent="0.2">
      <c r="D3087" s="6"/>
      <c r="E3087" s="6"/>
      <c r="F3087" s="6"/>
      <c r="G3087" s="19"/>
      <c r="H3087" s="19"/>
      <c r="I3087" s="19"/>
      <c r="J3087" s="19"/>
      <c r="K3087" s="6"/>
      <c r="L3087" s="6"/>
      <c r="M3087" s="6"/>
      <c r="N3087" s="6"/>
      <c r="O3087" s="6"/>
      <c r="P3087" s="6"/>
      <c r="Q3087" s="6"/>
      <c r="R3087" s="6"/>
      <c r="S3087" s="6"/>
      <c r="T3087" s="6"/>
    </row>
    <row r="3088" spans="4:20" x14ac:dyDescent="0.2">
      <c r="D3088" s="6"/>
      <c r="E3088" s="6"/>
      <c r="F3088" s="6"/>
      <c r="G3088" s="19"/>
      <c r="H3088" s="19"/>
      <c r="I3088" s="19"/>
      <c r="J3088" s="19"/>
      <c r="K3088" s="6"/>
      <c r="L3088" s="6"/>
      <c r="M3088" s="6"/>
      <c r="N3088" s="6"/>
      <c r="O3088" s="6"/>
      <c r="P3088" s="6"/>
      <c r="Q3088" s="6"/>
      <c r="R3088" s="6"/>
      <c r="S3088" s="6"/>
      <c r="T3088" s="6"/>
    </row>
    <row r="3089" spans="4:20" x14ac:dyDescent="0.2">
      <c r="D3089" s="6"/>
      <c r="E3089" s="6"/>
      <c r="F3089" s="6"/>
      <c r="G3089" s="19"/>
      <c r="H3089" s="19"/>
      <c r="I3089" s="19"/>
      <c r="J3089" s="19"/>
      <c r="K3089" s="6"/>
      <c r="L3089" s="6"/>
      <c r="M3089" s="6"/>
      <c r="N3089" s="6"/>
      <c r="O3089" s="6"/>
      <c r="P3089" s="6"/>
      <c r="Q3089" s="6"/>
      <c r="R3089" s="6"/>
      <c r="S3089" s="6"/>
      <c r="T3089" s="6"/>
    </row>
    <row r="3090" spans="4:20" x14ac:dyDescent="0.2">
      <c r="D3090" s="6"/>
      <c r="E3090" s="6"/>
      <c r="F3090" s="6"/>
      <c r="G3090" s="19"/>
      <c r="H3090" s="19"/>
      <c r="I3090" s="19"/>
      <c r="J3090" s="19"/>
      <c r="K3090" s="6"/>
      <c r="L3090" s="6"/>
      <c r="M3090" s="6"/>
      <c r="N3090" s="6"/>
      <c r="O3090" s="6"/>
      <c r="P3090" s="6"/>
      <c r="Q3090" s="6"/>
      <c r="R3090" s="6"/>
      <c r="S3090" s="6"/>
      <c r="T3090" s="6"/>
    </row>
    <row r="3091" spans="4:20" x14ac:dyDescent="0.2">
      <c r="D3091" s="6"/>
      <c r="E3091" s="6"/>
      <c r="F3091" s="6"/>
      <c r="G3091" s="19"/>
      <c r="H3091" s="19"/>
      <c r="I3091" s="19"/>
      <c r="J3091" s="19"/>
      <c r="K3091" s="6"/>
      <c r="L3091" s="6"/>
      <c r="M3091" s="6"/>
      <c r="N3091" s="6"/>
      <c r="O3091" s="6"/>
      <c r="P3091" s="6"/>
      <c r="Q3091" s="6"/>
      <c r="R3091" s="6"/>
      <c r="S3091" s="6"/>
      <c r="T3091" s="6"/>
    </row>
    <row r="3092" spans="4:20" x14ac:dyDescent="0.2">
      <c r="D3092" s="6"/>
      <c r="E3092" s="6"/>
      <c r="F3092" s="6"/>
      <c r="G3092" s="19"/>
      <c r="H3092" s="19"/>
      <c r="I3092" s="19"/>
      <c r="J3092" s="19"/>
      <c r="K3092" s="6"/>
      <c r="L3092" s="6"/>
      <c r="M3092" s="6"/>
      <c r="N3092" s="6"/>
      <c r="O3092" s="6"/>
      <c r="P3092" s="6"/>
      <c r="Q3092" s="6"/>
      <c r="R3092" s="6"/>
      <c r="S3092" s="6"/>
      <c r="T3092" s="6"/>
    </row>
    <row r="3093" spans="4:20" x14ac:dyDescent="0.2">
      <c r="D3093" s="6"/>
      <c r="E3093" s="6"/>
      <c r="F3093" s="6"/>
      <c r="G3093" s="19"/>
      <c r="H3093" s="19"/>
      <c r="I3093" s="19"/>
      <c r="J3093" s="19"/>
      <c r="K3093" s="6"/>
      <c r="L3093" s="6"/>
      <c r="M3093" s="6"/>
      <c r="N3093" s="6"/>
      <c r="O3093" s="6"/>
      <c r="P3093" s="6"/>
      <c r="Q3093" s="6"/>
      <c r="R3093" s="6"/>
      <c r="S3093" s="6"/>
      <c r="T3093" s="6"/>
    </row>
    <row r="3094" spans="4:20" x14ac:dyDescent="0.2">
      <c r="D3094" s="6"/>
      <c r="E3094" s="6"/>
      <c r="F3094" s="6"/>
      <c r="G3094" s="19"/>
      <c r="H3094" s="19"/>
      <c r="I3094" s="19"/>
      <c r="J3094" s="19"/>
      <c r="K3094" s="6"/>
      <c r="L3094" s="6"/>
      <c r="M3094" s="6"/>
      <c r="N3094" s="6"/>
      <c r="O3094" s="6"/>
      <c r="P3094" s="6"/>
      <c r="Q3094" s="6"/>
      <c r="R3094" s="6"/>
      <c r="S3094" s="6"/>
      <c r="T3094" s="6"/>
    </row>
    <row r="3095" spans="4:20" x14ac:dyDescent="0.2">
      <c r="D3095" s="6"/>
      <c r="E3095" s="6"/>
      <c r="F3095" s="6"/>
      <c r="G3095" s="19"/>
      <c r="H3095" s="19"/>
      <c r="I3095" s="19"/>
      <c r="J3095" s="19"/>
      <c r="K3095" s="6"/>
      <c r="L3095" s="6"/>
      <c r="M3095" s="6"/>
      <c r="N3095" s="6"/>
      <c r="O3095" s="6"/>
      <c r="P3095" s="6"/>
      <c r="Q3095" s="6"/>
      <c r="R3095" s="6"/>
      <c r="S3095" s="6"/>
      <c r="T3095" s="6"/>
    </row>
    <row r="3096" spans="4:20" x14ac:dyDescent="0.2">
      <c r="D3096" s="6"/>
      <c r="E3096" s="6"/>
      <c r="F3096" s="6"/>
      <c r="G3096" s="19"/>
      <c r="H3096" s="19"/>
      <c r="I3096" s="19"/>
      <c r="J3096" s="19"/>
      <c r="K3096" s="6"/>
      <c r="L3096" s="6"/>
      <c r="M3096" s="6"/>
      <c r="N3096" s="6"/>
      <c r="O3096" s="6"/>
      <c r="P3096" s="6"/>
      <c r="Q3096" s="6"/>
      <c r="R3096" s="6"/>
      <c r="S3096" s="6"/>
      <c r="T3096" s="6"/>
    </row>
    <row r="3097" spans="4:20" x14ac:dyDescent="0.2">
      <c r="D3097" s="6"/>
      <c r="E3097" s="6"/>
      <c r="F3097" s="6"/>
      <c r="G3097" s="19"/>
      <c r="H3097" s="19"/>
      <c r="I3097" s="19"/>
      <c r="J3097" s="19"/>
      <c r="K3097" s="6"/>
      <c r="L3097" s="6"/>
      <c r="M3097" s="6"/>
      <c r="N3097" s="6"/>
      <c r="O3097" s="6"/>
      <c r="P3097" s="6"/>
      <c r="Q3097" s="6"/>
      <c r="R3097" s="6"/>
      <c r="S3097" s="6"/>
      <c r="T3097" s="6"/>
    </row>
    <row r="3098" spans="4:20" x14ac:dyDescent="0.2">
      <c r="D3098" s="6"/>
      <c r="E3098" s="6"/>
      <c r="F3098" s="6"/>
      <c r="G3098" s="19"/>
      <c r="H3098" s="19"/>
      <c r="I3098" s="19"/>
      <c r="J3098" s="19"/>
      <c r="K3098" s="6"/>
      <c r="L3098" s="6"/>
      <c r="M3098" s="6"/>
      <c r="N3098" s="6"/>
      <c r="O3098" s="6"/>
      <c r="P3098" s="6"/>
      <c r="Q3098" s="6"/>
      <c r="R3098" s="6"/>
      <c r="S3098" s="6"/>
      <c r="T3098" s="6"/>
    </row>
    <row r="3099" spans="4:20" x14ac:dyDescent="0.2">
      <c r="D3099" s="6"/>
      <c r="E3099" s="6"/>
      <c r="F3099" s="6"/>
      <c r="G3099" s="19"/>
      <c r="H3099" s="19"/>
      <c r="I3099" s="19"/>
      <c r="J3099" s="19"/>
      <c r="K3099" s="6"/>
      <c r="L3099" s="6"/>
      <c r="M3099" s="6"/>
      <c r="N3099" s="6"/>
      <c r="O3099" s="6"/>
      <c r="P3099" s="6"/>
      <c r="Q3099" s="6"/>
      <c r="R3099" s="6"/>
      <c r="S3099" s="6"/>
      <c r="T3099" s="6"/>
    </row>
    <row r="3100" spans="4:20" x14ac:dyDescent="0.2">
      <c r="D3100" s="6"/>
      <c r="E3100" s="6"/>
      <c r="F3100" s="6"/>
      <c r="G3100" s="19"/>
      <c r="H3100" s="19"/>
      <c r="I3100" s="19"/>
      <c r="J3100" s="19"/>
      <c r="K3100" s="6"/>
      <c r="L3100" s="6"/>
      <c r="M3100" s="6"/>
      <c r="N3100" s="6"/>
      <c r="O3100" s="6"/>
      <c r="P3100" s="6"/>
      <c r="Q3100" s="6"/>
      <c r="R3100" s="6"/>
      <c r="S3100" s="6"/>
      <c r="T3100" s="6"/>
    </row>
    <row r="3101" spans="4:20" x14ac:dyDescent="0.2">
      <c r="D3101" s="6"/>
      <c r="E3101" s="6"/>
      <c r="F3101" s="6"/>
      <c r="G3101" s="19"/>
      <c r="H3101" s="19"/>
      <c r="I3101" s="19"/>
      <c r="J3101" s="19"/>
      <c r="K3101" s="6"/>
      <c r="L3101" s="6"/>
      <c r="M3101" s="6"/>
      <c r="N3101" s="6"/>
      <c r="O3101" s="6"/>
      <c r="P3101" s="6"/>
      <c r="Q3101" s="6"/>
      <c r="R3101" s="6"/>
      <c r="S3101" s="6"/>
      <c r="T3101" s="6"/>
    </row>
    <row r="3102" spans="4:20" x14ac:dyDescent="0.2">
      <c r="D3102" s="6"/>
      <c r="E3102" s="6"/>
      <c r="F3102" s="6"/>
      <c r="G3102" s="19"/>
      <c r="H3102" s="19"/>
      <c r="I3102" s="19"/>
      <c r="J3102" s="19"/>
      <c r="K3102" s="6"/>
      <c r="L3102" s="6"/>
      <c r="M3102" s="6"/>
      <c r="N3102" s="6"/>
      <c r="O3102" s="6"/>
      <c r="P3102" s="6"/>
      <c r="Q3102" s="6"/>
      <c r="R3102" s="6"/>
      <c r="S3102" s="6"/>
      <c r="T3102" s="6"/>
    </row>
    <row r="3103" spans="4:20" x14ac:dyDescent="0.2">
      <c r="D3103" s="6"/>
      <c r="E3103" s="6"/>
      <c r="F3103" s="6"/>
      <c r="G3103" s="19"/>
      <c r="H3103" s="19"/>
      <c r="I3103" s="19"/>
      <c r="J3103" s="19"/>
      <c r="K3103" s="6"/>
      <c r="L3103" s="6"/>
      <c r="M3103" s="6"/>
      <c r="N3103" s="6"/>
      <c r="O3103" s="6"/>
      <c r="P3103" s="6"/>
      <c r="Q3103" s="6"/>
      <c r="R3103" s="6"/>
      <c r="S3103" s="6"/>
      <c r="T3103" s="6"/>
    </row>
    <row r="3104" spans="4:20" x14ac:dyDescent="0.2">
      <c r="D3104" s="6"/>
      <c r="E3104" s="6"/>
      <c r="F3104" s="6"/>
      <c r="G3104" s="19"/>
      <c r="H3104" s="19"/>
      <c r="I3104" s="19"/>
      <c r="J3104" s="19"/>
      <c r="K3104" s="6"/>
      <c r="L3104" s="6"/>
      <c r="M3104" s="6"/>
      <c r="N3104" s="6"/>
      <c r="O3104" s="6"/>
      <c r="P3104" s="6"/>
      <c r="Q3104" s="6"/>
      <c r="R3104" s="6"/>
      <c r="S3104" s="6"/>
      <c r="T3104" s="6"/>
    </row>
    <row r="3105" spans="4:20" x14ac:dyDescent="0.2">
      <c r="D3105" s="6"/>
      <c r="E3105" s="6"/>
      <c r="F3105" s="6"/>
      <c r="G3105" s="19"/>
      <c r="H3105" s="19"/>
      <c r="I3105" s="19"/>
      <c r="J3105" s="19"/>
      <c r="K3105" s="6"/>
      <c r="L3105" s="6"/>
      <c r="M3105" s="6"/>
      <c r="N3105" s="6"/>
      <c r="O3105" s="6"/>
      <c r="P3105" s="6"/>
      <c r="Q3105" s="6"/>
      <c r="R3105" s="6"/>
      <c r="S3105" s="6"/>
      <c r="T3105" s="6"/>
    </row>
    <row r="3106" spans="4:20" x14ac:dyDescent="0.2">
      <c r="D3106" s="6"/>
      <c r="E3106" s="6"/>
      <c r="F3106" s="6"/>
      <c r="G3106" s="19"/>
      <c r="H3106" s="19"/>
      <c r="I3106" s="19"/>
      <c r="J3106" s="19"/>
      <c r="K3106" s="6"/>
      <c r="L3106" s="6"/>
      <c r="M3106" s="6"/>
      <c r="N3106" s="6"/>
      <c r="O3106" s="6"/>
      <c r="P3106" s="6"/>
      <c r="Q3106" s="6"/>
      <c r="R3106" s="6"/>
      <c r="S3106" s="6"/>
      <c r="T3106" s="6"/>
    </row>
    <row r="3107" spans="4:20" x14ac:dyDescent="0.2">
      <c r="D3107" s="6"/>
      <c r="E3107" s="6"/>
      <c r="F3107" s="6"/>
      <c r="G3107" s="19"/>
      <c r="H3107" s="19"/>
      <c r="I3107" s="19"/>
      <c r="J3107" s="19"/>
      <c r="K3107" s="6"/>
      <c r="L3107" s="6"/>
      <c r="M3107" s="6"/>
      <c r="N3107" s="6"/>
      <c r="O3107" s="6"/>
      <c r="P3107" s="6"/>
      <c r="Q3107" s="6"/>
      <c r="R3107" s="6"/>
      <c r="S3107" s="6"/>
      <c r="T3107" s="6"/>
    </row>
    <row r="3108" spans="4:20" x14ac:dyDescent="0.2">
      <c r="D3108" s="6"/>
      <c r="E3108" s="6"/>
      <c r="F3108" s="6"/>
      <c r="G3108" s="19"/>
      <c r="H3108" s="19"/>
      <c r="I3108" s="19"/>
      <c r="J3108" s="19"/>
      <c r="K3108" s="6"/>
      <c r="L3108" s="6"/>
      <c r="M3108" s="6"/>
      <c r="N3108" s="6"/>
      <c r="O3108" s="6"/>
      <c r="P3108" s="6"/>
      <c r="Q3108" s="6"/>
      <c r="R3108" s="6"/>
      <c r="S3108" s="6"/>
      <c r="T3108" s="6"/>
    </row>
    <row r="3109" spans="4:20" x14ac:dyDescent="0.2">
      <c r="D3109" s="6"/>
      <c r="E3109" s="6"/>
      <c r="F3109" s="6"/>
      <c r="G3109" s="19"/>
      <c r="H3109" s="19"/>
      <c r="I3109" s="19"/>
      <c r="J3109" s="19"/>
      <c r="K3109" s="6"/>
      <c r="L3109" s="6"/>
      <c r="M3109" s="6"/>
      <c r="N3109" s="6"/>
      <c r="O3109" s="6"/>
      <c r="P3109" s="6"/>
      <c r="Q3109" s="6"/>
      <c r="R3109" s="6"/>
      <c r="S3109" s="6"/>
      <c r="T3109" s="6"/>
    </row>
    <row r="3110" spans="4:20" x14ac:dyDescent="0.2">
      <c r="D3110" s="6"/>
      <c r="E3110" s="6"/>
      <c r="F3110" s="6"/>
      <c r="G3110" s="19"/>
      <c r="H3110" s="19"/>
      <c r="I3110" s="19"/>
      <c r="J3110" s="19"/>
      <c r="K3110" s="6"/>
      <c r="L3110" s="6"/>
      <c r="M3110" s="6"/>
      <c r="N3110" s="6"/>
      <c r="O3110" s="6"/>
      <c r="P3110" s="6"/>
      <c r="Q3110" s="6"/>
      <c r="R3110" s="6"/>
      <c r="S3110" s="6"/>
      <c r="T3110" s="6"/>
    </row>
    <row r="3111" spans="4:20" x14ac:dyDescent="0.2">
      <c r="D3111" s="6"/>
      <c r="E3111" s="6"/>
      <c r="F3111" s="6"/>
      <c r="G3111" s="19"/>
      <c r="H3111" s="19"/>
      <c r="I3111" s="19"/>
      <c r="J3111" s="19"/>
      <c r="K3111" s="6"/>
      <c r="L3111" s="6"/>
      <c r="M3111" s="6"/>
      <c r="N3111" s="6"/>
      <c r="O3111" s="6"/>
      <c r="P3111" s="6"/>
      <c r="Q3111" s="6"/>
      <c r="R3111" s="6"/>
      <c r="S3111" s="6"/>
      <c r="T3111" s="6"/>
    </row>
    <row r="3112" spans="4:20" x14ac:dyDescent="0.2">
      <c r="D3112" s="6"/>
      <c r="E3112" s="6"/>
      <c r="F3112" s="6"/>
      <c r="G3112" s="19"/>
      <c r="H3112" s="19"/>
      <c r="I3112" s="19"/>
      <c r="J3112" s="19"/>
      <c r="K3112" s="6"/>
      <c r="L3112" s="6"/>
      <c r="M3112" s="6"/>
      <c r="N3112" s="6"/>
      <c r="O3112" s="6"/>
      <c r="P3112" s="6"/>
      <c r="Q3112" s="6"/>
      <c r="R3112" s="6"/>
      <c r="S3112" s="6"/>
      <c r="T3112" s="6"/>
    </row>
    <row r="3113" spans="4:20" x14ac:dyDescent="0.2">
      <c r="D3113" s="6"/>
      <c r="E3113" s="6"/>
      <c r="F3113" s="6"/>
      <c r="G3113" s="19"/>
      <c r="H3113" s="19"/>
      <c r="I3113" s="19"/>
      <c r="J3113" s="19"/>
      <c r="K3113" s="6"/>
      <c r="L3113" s="6"/>
      <c r="M3113" s="6"/>
      <c r="N3113" s="6"/>
      <c r="O3113" s="6"/>
      <c r="P3113" s="6"/>
      <c r="Q3113" s="6"/>
      <c r="R3113" s="6"/>
      <c r="S3113" s="6"/>
      <c r="T3113" s="6"/>
    </row>
    <row r="3114" spans="4:20" x14ac:dyDescent="0.2">
      <c r="D3114" s="6"/>
      <c r="E3114" s="6"/>
      <c r="F3114" s="6"/>
      <c r="G3114" s="19"/>
      <c r="H3114" s="19"/>
      <c r="I3114" s="19"/>
      <c r="J3114" s="19"/>
      <c r="K3114" s="6"/>
      <c r="L3114" s="6"/>
      <c r="M3114" s="6"/>
      <c r="N3114" s="6"/>
      <c r="O3114" s="6"/>
      <c r="P3114" s="6"/>
      <c r="Q3114" s="6"/>
      <c r="R3114" s="6"/>
      <c r="S3114" s="6"/>
      <c r="T3114" s="6"/>
    </row>
    <row r="3115" spans="4:20" x14ac:dyDescent="0.2">
      <c r="D3115" s="6"/>
      <c r="E3115" s="6"/>
      <c r="F3115" s="6"/>
      <c r="G3115" s="19"/>
      <c r="H3115" s="19"/>
      <c r="I3115" s="19"/>
      <c r="J3115" s="19"/>
      <c r="K3115" s="6"/>
      <c r="L3115" s="6"/>
      <c r="M3115" s="6"/>
      <c r="N3115" s="6"/>
      <c r="O3115" s="6"/>
      <c r="P3115" s="6"/>
      <c r="Q3115" s="6"/>
      <c r="R3115" s="6"/>
      <c r="S3115" s="6"/>
      <c r="T3115" s="6"/>
    </row>
    <row r="3116" spans="4:20" x14ac:dyDescent="0.2">
      <c r="D3116" s="6"/>
      <c r="E3116" s="6"/>
      <c r="F3116" s="6"/>
      <c r="G3116" s="19"/>
      <c r="H3116" s="19"/>
      <c r="I3116" s="19"/>
      <c r="J3116" s="19"/>
      <c r="K3116" s="6"/>
      <c r="L3116" s="6"/>
      <c r="M3116" s="6"/>
      <c r="N3116" s="6"/>
      <c r="O3116" s="6"/>
      <c r="P3116" s="6"/>
      <c r="Q3116" s="6"/>
      <c r="R3116" s="6"/>
      <c r="S3116" s="6"/>
      <c r="T3116" s="6"/>
    </row>
    <row r="3117" spans="4:20" x14ac:dyDescent="0.2">
      <c r="D3117" s="6"/>
      <c r="E3117" s="6"/>
      <c r="F3117" s="6"/>
      <c r="G3117" s="19"/>
      <c r="H3117" s="19"/>
      <c r="I3117" s="19"/>
      <c r="J3117" s="19"/>
      <c r="K3117" s="6"/>
      <c r="L3117" s="6"/>
      <c r="M3117" s="6"/>
      <c r="N3117" s="6"/>
      <c r="O3117" s="6"/>
      <c r="P3117" s="6"/>
      <c r="Q3117" s="6"/>
      <c r="R3117" s="6"/>
      <c r="S3117" s="6"/>
      <c r="T3117" s="6"/>
    </row>
    <row r="3118" spans="4:20" x14ac:dyDescent="0.2">
      <c r="D3118" s="6"/>
      <c r="E3118" s="6"/>
      <c r="F3118" s="6"/>
      <c r="G3118" s="19"/>
      <c r="H3118" s="19"/>
      <c r="I3118" s="19"/>
      <c r="J3118" s="19"/>
      <c r="K3118" s="6"/>
      <c r="L3118" s="6"/>
      <c r="M3118" s="6"/>
      <c r="N3118" s="6"/>
      <c r="O3118" s="6"/>
      <c r="P3118" s="6"/>
      <c r="Q3118" s="6"/>
      <c r="R3118" s="6"/>
      <c r="S3118" s="6"/>
      <c r="T3118" s="6"/>
    </row>
    <row r="3119" spans="4:20" x14ac:dyDescent="0.2">
      <c r="D3119" s="6"/>
      <c r="E3119" s="6"/>
      <c r="F3119" s="6"/>
      <c r="G3119" s="19"/>
      <c r="H3119" s="19"/>
      <c r="I3119" s="19"/>
      <c r="J3119" s="19"/>
      <c r="K3119" s="6"/>
      <c r="L3119" s="6"/>
      <c r="M3119" s="6"/>
      <c r="N3119" s="6"/>
      <c r="O3119" s="6"/>
      <c r="P3119" s="6"/>
      <c r="Q3119" s="6"/>
      <c r="R3119" s="6"/>
      <c r="S3119" s="6"/>
      <c r="T3119" s="6"/>
    </row>
    <row r="3120" spans="4:20" x14ac:dyDescent="0.2">
      <c r="D3120" s="6"/>
      <c r="E3120" s="6"/>
      <c r="F3120" s="6"/>
      <c r="G3120" s="19"/>
      <c r="H3120" s="19"/>
      <c r="I3120" s="19"/>
      <c r="J3120" s="19"/>
      <c r="K3120" s="6"/>
      <c r="L3120" s="6"/>
      <c r="M3120" s="6"/>
      <c r="N3120" s="6"/>
      <c r="O3120" s="6"/>
      <c r="P3120" s="6"/>
      <c r="Q3120" s="6"/>
      <c r="R3120" s="6"/>
      <c r="S3120" s="6"/>
      <c r="T3120" s="6"/>
    </row>
    <row r="3121" spans="4:20" x14ac:dyDescent="0.2">
      <c r="D3121" s="6"/>
      <c r="E3121" s="6"/>
      <c r="F3121" s="6"/>
      <c r="G3121" s="19"/>
      <c r="H3121" s="19"/>
      <c r="I3121" s="19"/>
      <c r="J3121" s="19"/>
      <c r="K3121" s="6"/>
      <c r="L3121" s="6"/>
      <c r="M3121" s="6"/>
      <c r="N3121" s="6"/>
      <c r="O3121" s="6"/>
      <c r="P3121" s="6"/>
      <c r="Q3121" s="6"/>
      <c r="R3121" s="6"/>
      <c r="S3121" s="6"/>
      <c r="T3121" s="6"/>
    </row>
    <row r="3122" spans="4:20" x14ac:dyDescent="0.2">
      <c r="D3122" s="6"/>
      <c r="E3122" s="6"/>
      <c r="F3122" s="6"/>
      <c r="G3122" s="19"/>
      <c r="H3122" s="19"/>
      <c r="I3122" s="19"/>
      <c r="J3122" s="19"/>
      <c r="K3122" s="6"/>
      <c r="L3122" s="6"/>
      <c r="M3122" s="6"/>
      <c r="N3122" s="6"/>
      <c r="O3122" s="6"/>
      <c r="P3122" s="6"/>
      <c r="Q3122" s="6"/>
      <c r="R3122" s="6"/>
      <c r="S3122" s="6"/>
      <c r="T3122" s="6"/>
    </row>
    <row r="3123" spans="4:20" x14ac:dyDescent="0.2">
      <c r="D3123" s="6"/>
      <c r="E3123" s="6"/>
      <c r="F3123" s="6"/>
      <c r="G3123" s="19"/>
      <c r="H3123" s="19"/>
      <c r="I3123" s="19"/>
      <c r="J3123" s="19"/>
      <c r="K3123" s="6"/>
      <c r="L3123" s="6"/>
      <c r="M3123" s="6"/>
      <c r="N3123" s="6"/>
      <c r="O3123" s="6"/>
      <c r="P3123" s="6"/>
      <c r="Q3123" s="6"/>
      <c r="R3123" s="6"/>
      <c r="S3123" s="6"/>
      <c r="T3123" s="6"/>
    </row>
    <row r="3124" spans="4:20" x14ac:dyDescent="0.2">
      <c r="D3124" s="6"/>
      <c r="E3124" s="6"/>
      <c r="F3124" s="6"/>
      <c r="G3124" s="19"/>
      <c r="H3124" s="19"/>
      <c r="I3124" s="19"/>
      <c r="J3124" s="19"/>
      <c r="K3124" s="6"/>
      <c r="L3124" s="6"/>
      <c r="M3124" s="6"/>
      <c r="N3124" s="6"/>
      <c r="O3124" s="6"/>
      <c r="P3124" s="6"/>
      <c r="Q3124" s="6"/>
      <c r="R3124" s="6"/>
      <c r="S3124" s="6"/>
      <c r="T3124" s="6"/>
    </row>
    <row r="3125" spans="4:20" x14ac:dyDescent="0.2">
      <c r="D3125" s="6"/>
      <c r="E3125" s="6"/>
      <c r="F3125" s="6"/>
      <c r="G3125" s="19"/>
      <c r="H3125" s="19"/>
      <c r="I3125" s="19"/>
      <c r="J3125" s="19"/>
      <c r="K3125" s="6"/>
      <c r="L3125" s="6"/>
      <c r="M3125" s="6"/>
      <c r="N3125" s="6"/>
      <c r="O3125" s="6"/>
      <c r="P3125" s="6"/>
      <c r="Q3125" s="6"/>
      <c r="R3125" s="6"/>
      <c r="S3125" s="6"/>
      <c r="T3125" s="6"/>
    </row>
    <row r="3126" spans="4:20" x14ac:dyDescent="0.2">
      <c r="D3126" s="6"/>
      <c r="E3126" s="6"/>
      <c r="F3126" s="6"/>
      <c r="G3126" s="19"/>
      <c r="H3126" s="19"/>
      <c r="I3126" s="19"/>
      <c r="J3126" s="19"/>
      <c r="K3126" s="6"/>
      <c r="L3126" s="6"/>
      <c r="M3126" s="6"/>
      <c r="N3126" s="6"/>
      <c r="O3126" s="6"/>
      <c r="P3126" s="6"/>
      <c r="Q3126" s="6"/>
      <c r="R3126" s="6"/>
      <c r="S3126" s="6"/>
      <c r="T3126" s="6"/>
    </row>
    <row r="3127" spans="4:20" x14ac:dyDescent="0.2">
      <c r="D3127" s="6"/>
      <c r="E3127" s="6"/>
      <c r="F3127" s="6"/>
      <c r="G3127" s="19"/>
      <c r="H3127" s="19"/>
      <c r="I3127" s="19"/>
      <c r="J3127" s="19"/>
      <c r="K3127" s="6"/>
      <c r="L3127" s="6"/>
      <c r="M3127" s="6"/>
      <c r="N3127" s="6"/>
      <c r="O3127" s="6"/>
      <c r="P3127" s="6"/>
      <c r="Q3127" s="6"/>
      <c r="R3127" s="6"/>
      <c r="S3127" s="6"/>
      <c r="T3127" s="6"/>
    </row>
    <row r="3128" spans="4:20" x14ac:dyDescent="0.2">
      <c r="D3128" s="6"/>
      <c r="E3128" s="6"/>
      <c r="F3128" s="6"/>
      <c r="G3128" s="19"/>
      <c r="H3128" s="19"/>
      <c r="I3128" s="19"/>
      <c r="J3128" s="19"/>
      <c r="K3128" s="6"/>
      <c r="L3128" s="6"/>
      <c r="M3128" s="6"/>
      <c r="N3128" s="6"/>
      <c r="O3128" s="6"/>
      <c r="P3128" s="6"/>
      <c r="Q3128" s="6"/>
      <c r="R3128" s="6"/>
      <c r="S3128" s="6"/>
      <c r="T3128" s="6"/>
    </row>
    <row r="3129" spans="4:20" x14ac:dyDescent="0.2">
      <c r="D3129" s="6"/>
      <c r="E3129" s="6"/>
      <c r="F3129" s="6"/>
      <c r="G3129" s="19"/>
      <c r="H3129" s="19"/>
      <c r="I3129" s="19"/>
      <c r="J3129" s="19"/>
      <c r="K3129" s="6"/>
      <c r="L3129" s="6"/>
      <c r="M3129" s="6"/>
      <c r="N3129" s="6"/>
      <c r="O3129" s="6"/>
      <c r="P3129" s="6"/>
      <c r="Q3129" s="6"/>
      <c r="R3129" s="6"/>
      <c r="S3129" s="6"/>
      <c r="T3129" s="6"/>
    </row>
    <row r="3130" spans="4:20" x14ac:dyDescent="0.2">
      <c r="D3130" s="6"/>
      <c r="E3130" s="6"/>
      <c r="F3130" s="6"/>
      <c r="G3130" s="19"/>
      <c r="H3130" s="19"/>
      <c r="I3130" s="19"/>
      <c r="J3130" s="19"/>
      <c r="K3130" s="6"/>
      <c r="L3130" s="6"/>
      <c r="M3130" s="6"/>
      <c r="N3130" s="6"/>
      <c r="O3130" s="6"/>
      <c r="P3130" s="6"/>
      <c r="Q3130" s="6"/>
      <c r="R3130" s="6"/>
      <c r="S3130" s="6"/>
      <c r="T3130" s="6"/>
    </row>
    <row r="3131" spans="4:20" x14ac:dyDescent="0.2">
      <c r="D3131" s="6"/>
      <c r="E3131" s="6"/>
      <c r="F3131" s="6"/>
      <c r="G3131" s="19"/>
      <c r="H3131" s="19"/>
      <c r="I3131" s="19"/>
      <c r="J3131" s="19"/>
      <c r="K3131" s="6"/>
      <c r="L3131" s="6"/>
      <c r="M3131" s="6"/>
      <c r="N3131" s="6"/>
      <c r="O3131" s="6"/>
      <c r="P3131" s="6"/>
      <c r="Q3131" s="6"/>
      <c r="R3131" s="6"/>
      <c r="S3131" s="6"/>
      <c r="T3131" s="6"/>
    </row>
    <row r="3132" spans="4:20" x14ac:dyDescent="0.2">
      <c r="D3132" s="6"/>
      <c r="E3132" s="6"/>
      <c r="F3132" s="6"/>
      <c r="G3132" s="19"/>
      <c r="H3132" s="19"/>
      <c r="I3132" s="19"/>
      <c r="J3132" s="19"/>
      <c r="K3132" s="6"/>
      <c r="L3132" s="6"/>
      <c r="M3132" s="6"/>
      <c r="N3132" s="6"/>
      <c r="O3132" s="6"/>
      <c r="P3132" s="6"/>
      <c r="Q3132" s="6"/>
      <c r="R3132" s="6"/>
      <c r="S3132" s="6"/>
      <c r="T3132" s="6"/>
    </row>
    <row r="3133" spans="4:20" x14ac:dyDescent="0.2">
      <c r="D3133" s="6"/>
      <c r="E3133" s="6"/>
      <c r="F3133" s="6"/>
      <c r="G3133" s="19"/>
      <c r="H3133" s="19"/>
      <c r="I3133" s="19"/>
      <c r="J3133" s="19"/>
      <c r="K3133" s="6"/>
      <c r="L3133" s="6"/>
      <c r="M3133" s="6"/>
      <c r="N3133" s="6"/>
      <c r="O3133" s="6"/>
      <c r="P3133" s="6"/>
      <c r="Q3133" s="6"/>
      <c r="R3133" s="6"/>
      <c r="S3133" s="6"/>
      <c r="T3133" s="6"/>
    </row>
    <row r="3134" spans="4:20" x14ac:dyDescent="0.2">
      <c r="D3134" s="6"/>
      <c r="E3134" s="6"/>
      <c r="F3134" s="6"/>
      <c r="G3134" s="19"/>
      <c r="H3134" s="19"/>
      <c r="I3134" s="19"/>
      <c r="J3134" s="19"/>
      <c r="K3134" s="6"/>
      <c r="L3134" s="6"/>
      <c r="M3134" s="6"/>
      <c r="N3134" s="6"/>
      <c r="O3134" s="6"/>
      <c r="P3134" s="6"/>
      <c r="Q3134" s="6"/>
      <c r="R3134" s="6"/>
      <c r="S3134" s="6"/>
      <c r="T3134" s="6"/>
    </row>
    <row r="3135" spans="4:20" x14ac:dyDescent="0.2">
      <c r="D3135" s="6"/>
      <c r="E3135" s="6"/>
      <c r="F3135" s="6"/>
      <c r="G3135" s="19"/>
      <c r="H3135" s="19"/>
      <c r="I3135" s="19"/>
      <c r="J3135" s="19"/>
      <c r="K3135" s="6"/>
      <c r="L3135" s="6"/>
      <c r="M3135" s="6"/>
      <c r="N3135" s="6"/>
      <c r="O3135" s="6"/>
      <c r="P3135" s="6"/>
      <c r="Q3135" s="6"/>
      <c r="R3135" s="6"/>
      <c r="S3135" s="6"/>
      <c r="T3135" s="6"/>
    </row>
    <row r="3136" spans="4:20" x14ac:dyDescent="0.2">
      <c r="D3136" s="6"/>
      <c r="E3136" s="6"/>
      <c r="F3136" s="6"/>
      <c r="G3136" s="19"/>
      <c r="H3136" s="19"/>
      <c r="I3136" s="19"/>
      <c r="J3136" s="19"/>
      <c r="K3136" s="6"/>
      <c r="L3136" s="6"/>
      <c r="M3136" s="6"/>
      <c r="N3136" s="6"/>
      <c r="O3136" s="6"/>
      <c r="P3136" s="6"/>
      <c r="Q3136" s="6"/>
      <c r="R3136" s="6"/>
      <c r="S3136" s="6"/>
      <c r="T3136" s="6"/>
    </row>
    <row r="3137" spans="4:20" x14ac:dyDescent="0.2">
      <c r="D3137" s="6"/>
      <c r="E3137" s="6"/>
      <c r="F3137" s="6"/>
      <c r="G3137" s="19"/>
      <c r="H3137" s="19"/>
      <c r="I3137" s="19"/>
      <c r="J3137" s="19"/>
      <c r="K3137" s="6"/>
      <c r="L3137" s="6"/>
      <c r="M3137" s="6"/>
      <c r="N3137" s="6"/>
      <c r="O3137" s="6"/>
      <c r="P3137" s="6"/>
      <c r="Q3137" s="6"/>
      <c r="R3137" s="6"/>
      <c r="S3137" s="6"/>
      <c r="T3137" s="6"/>
    </row>
    <row r="3138" spans="4:20" x14ac:dyDescent="0.2">
      <c r="D3138" s="6"/>
      <c r="E3138" s="6"/>
      <c r="F3138" s="6"/>
      <c r="G3138" s="19"/>
      <c r="H3138" s="19"/>
      <c r="I3138" s="19"/>
      <c r="J3138" s="19"/>
      <c r="K3138" s="6"/>
      <c r="L3138" s="6"/>
      <c r="M3138" s="6"/>
      <c r="N3138" s="6"/>
      <c r="O3138" s="6"/>
      <c r="P3138" s="6"/>
      <c r="Q3138" s="6"/>
      <c r="R3138" s="6"/>
      <c r="S3138" s="6"/>
      <c r="T3138" s="6"/>
    </row>
    <row r="3139" spans="4:20" x14ac:dyDescent="0.2">
      <c r="D3139" s="6"/>
      <c r="E3139" s="6"/>
      <c r="F3139" s="6"/>
      <c r="G3139" s="19"/>
      <c r="H3139" s="19"/>
      <c r="I3139" s="19"/>
      <c r="J3139" s="19"/>
      <c r="K3139" s="6"/>
      <c r="L3139" s="6"/>
      <c r="M3139" s="6"/>
      <c r="N3139" s="6"/>
      <c r="O3139" s="6"/>
      <c r="P3139" s="6"/>
      <c r="Q3139" s="6"/>
      <c r="R3139" s="6"/>
      <c r="S3139" s="6"/>
      <c r="T3139" s="6"/>
    </row>
    <row r="3140" spans="4:20" x14ac:dyDescent="0.2">
      <c r="D3140" s="6"/>
      <c r="E3140" s="6"/>
      <c r="F3140" s="6"/>
      <c r="G3140" s="19"/>
      <c r="H3140" s="19"/>
      <c r="I3140" s="19"/>
      <c r="J3140" s="19"/>
      <c r="K3140" s="6"/>
      <c r="L3140" s="6"/>
      <c r="M3140" s="6"/>
      <c r="N3140" s="6"/>
      <c r="O3140" s="6"/>
      <c r="P3140" s="6"/>
      <c r="Q3140" s="6"/>
      <c r="R3140" s="6"/>
      <c r="S3140" s="6"/>
      <c r="T3140" s="6"/>
    </row>
    <row r="3141" spans="4:20" x14ac:dyDescent="0.2">
      <c r="D3141" s="6"/>
      <c r="E3141" s="6"/>
      <c r="F3141" s="6"/>
      <c r="G3141" s="19"/>
      <c r="H3141" s="19"/>
      <c r="I3141" s="19"/>
      <c r="J3141" s="19"/>
      <c r="K3141" s="6"/>
      <c r="L3141" s="6"/>
      <c r="M3141" s="6"/>
      <c r="N3141" s="6"/>
      <c r="O3141" s="6"/>
      <c r="P3141" s="6"/>
      <c r="Q3141" s="6"/>
      <c r="R3141" s="6"/>
      <c r="S3141" s="6"/>
      <c r="T3141" s="6"/>
    </row>
    <row r="3142" spans="4:20" x14ac:dyDescent="0.2">
      <c r="D3142" s="6"/>
      <c r="E3142" s="6"/>
      <c r="F3142" s="6"/>
      <c r="G3142" s="19"/>
      <c r="H3142" s="19"/>
      <c r="I3142" s="19"/>
      <c r="J3142" s="19"/>
      <c r="K3142" s="6"/>
      <c r="L3142" s="6"/>
      <c r="M3142" s="6"/>
      <c r="N3142" s="6"/>
      <c r="O3142" s="6"/>
      <c r="P3142" s="6"/>
      <c r="Q3142" s="6"/>
      <c r="R3142" s="6"/>
      <c r="S3142" s="6"/>
      <c r="T3142" s="6"/>
    </row>
    <row r="3143" spans="4:20" x14ac:dyDescent="0.2">
      <c r="D3143" s="6"/>
      <c r="E3143" s="6"/>
      <c r="F3143" s="6"/>
      <c r="G3143" s="19"/>
      <c r="H3143" s="19"/>
      <c r="I3143" s="19"/>
      <c r="J3143" s="19"/>
      <c r="K3143" s="6"/>
      <c r="L3143" s="6"/>
      <c r="M3143" s="6"/>
      <c r="N3143" s="6"/>
      <c r="O3143" s="6"/>
      <c r="P3143" s="6"/>
      <c r="Q3143" s="6"/>
      <c r="R3143" s="6"/>
      <c r="S3143" s="6"/>
      <c r="T3143" s="6"/>
    </row>
    <row r="3144" spans="4:20" x14ac:dyDescent="0.2">
      <c r="D3144" s="6"/>
      <c r="E3144" s="6"/>
      <c r="F3144" s="6"/>
      <c r="G3144" s="19"/>
      <c r="H3144" s="19"/>
      <c r="I3144" s="19"/>
      <c r="J3144" s="19"/>
      <c r="K3144" s="6"/>
      <c r="L3144" s="6"/>
      <c r="M3144" s="6"/>
      <c r="N3144" s="6"/>
      <c r="O3144" s="6"/>
      <c r="P3144" s="6"/>
      <c r="Q3144" s="6"/>
      <c r="R3144" s="6"/>
      <c r="S3144" s="6"/>
      <c r="T3144" s="6"/>
    </row>
    <row r="3145" spans="4:20" x14ac:dyDescent="0.2">
      <c r="D3145" s="6"/>
      <c r="E3145" s="6"/>
      <c r="F3145" s="6"/>
      <c r="G3145" s="19"/>
      <c r="H3145" s="19"/>
      <c r="I3145" s="19"/>
      <c r="J3145" s="19"/>
      <c r="K3145" s="6"/>
      <c r="L3145" s="6"/>
      <c r="M3145" s="6"/>
      <c r="N3145" s="6"/>
      <c r="O3145" s="6"/>
      <c r="P3145" s="6"/>
      <c r="Q3145" s="6"/>
      <c r="R3145" s="6"/>
      <c r="S3145" s="6"/>
      <c r="T3145" s="6"/>
    </row>
    <row r="3146" spans="4:20" x14ac:dyDescent="0.2">
      <c r="D3146" s="6"/>
      <c r="E3146" s="6"/>
      <c r="F3146" s="6"/>
      <c r="G3146" s="19"/>
      <c r="H3146" s="19"/>
      <c r="I3146" s="19"/>
      <c r="J3146" s="19"/>
      <c r="K3146" s="6"/>
      <c r="L3146" s="6"/>
      <c r="M3146" s="6"/>
      <c r="N3146" s="6"/>
      <c r="O3146" s="6"/>
      <c r="P3146" s="6"/>
      <c r="Q3146" s="6"/>
      <c r="R3146" s="6"/>
      <c r="S3146" s="6"/>
      <c r="T3146" s="6"/>
    </row>
    <row r="3147" spans="4:20" x14ac:dyDescent="0.2">
      <c r="D3147" s="6"/>
      <c r="E3147" s="6"/>
      <c r="F3147" s="6"/>
      <c r="G3147" s="19"/>
      <c r="H3147" s="19"/>
      <c r="I3147" s="19"/>
      <c r="J3147" s="19"/>
      <c r="K3147" s="6"/>
      <c r="L3147" s="6"/>
      <c r="M3147" s="6"/>
      <c r="N3147" s="6"/>
      <c r="O3147" s="6"/>
      <c r="P3147" s="6"/>
      <c r="Q3147" s="6"/>
      <c r="R3147" s="6"/>
      <c r="S3147" s="6"/>
      <c r="T3147" s="6"/>
    </row>
    <row r="3148" spans="4:20" x14ac:dyDescent="0.2">
      <c r="D3148" s="6"/>
      <c r="E3148" s="6"/>
      <c r="F3148" s="6"/>
      <c r="G3148" s="19"/>
      <c r="H3148" s="19"/>
      <c r="I3148" s="19"/>
      <c r="J3148" s="19"/>
      <c r="K3148" s="6"/>
      <c r="L3148" s="6"/>
      <c r="M3148" s="6"/>
      <c r="N3148" s="6"/>
      <c r="O3148" s="6"/>
      <c r="P3148" s="6"/>
      <c r="Q3148" s="6"/>
      <c r="R3148" s="6"/>
      <c r="S3148" s="6"/>
      <c r="T3148" s="6"/>
    </row>
    <row r="3149" spans="4:20" x14ac:dyDescent="0.2">
      <c r="D3149" s="6"/>
      <c r="E3149" s="6"/>
      <c r="F3149" s="6"/>
      <c r="G3149" s="19"/>
      <c r="H3149" s="19"/>
      <c r="I3149" s="19"/>
      <c r="J3149" s="19"/>
      <c r="K3149" s="6"/>
      <c r="L3149" s="6"/>
      <c r="M3149" s="6"/>
      <c r="N3149" s="6"/>
      <c r="O3149" s="6"/>
      <c r="P3149" s="6"/>
      <c r="Q3149" s="6"/>
      <c r="R3149" s="6"/>
      <c r="S3149" s="6"/>
      <c r="T3149" s="6"/>
    </row>
    <row r="3150" spans="4:20" x14ac:dyDescent="0.2">
      <c r="D3150" s="6"/>
      <c r="E3150" s="6"/>
      <c r="F3150" s="6"/>
      <c r="G3150" s="19"/>
      <c r="H3150" s="19"/>
      <c r="I3150" s="19"/>
      <c r="J3150" s="19"/>
      <c r="K3150" s="6"/>
      <c r="L3150" s="6"/>
      <c r="M3150" s="6"/>
      <c r="N3150" s="6"/>
      <c r="O3150" s="6"/>
      <c r="P3150" s="6"/>
      <c r="Q3150" s="6"/>
      <c r="R3150" s="6"/>
      <c r="S3150" s="6"/>
      <c r="T3150" s="6"/>
    </row>
    <row r="3151" spans="4:20" x14ac:dyDescent="0.2">
      <c r="D3151" s="6"/>
      <c r="E3151" s="6"/>
      <c r="F3151" s="6"/>
      <c r="G3151" s="19"/>
      <c r="H3151" s="19"/>
      <c r="I3151" s="19"/>
      <c r="J3151" s="19"/>
      <c r="K3151" s="6"/>
      <c r="L3151" s="6"/>
      <c r="M3151" s="6"/>
      <c r="N3151" s="6"/>
      <c r="O3151" s="6"/>
      <c r="P3151" s="6"/>
      <c r="Q3151" s="6"/>
      <c r="R3151" s="6"/>
      <c r="S3151" s="6"/>
      <c r="T3151" s="6"/>
    </row>
    <row r="3152" spans="4:20" x14ac:dyDescent="0.2">
      <c r="D3152" s="6"/>
      <c r="E3152" s="6"/>
      <c r="F3152" s="6"/>
      <c r="G3152" s="19"/>
      <c r="H3152" s="19"/>
      <c r="I3152" s="19"/>
      <c r="J3152" s="19"/>
      <c r="K3152" s="6"/>
      <c r="L3152" s="6"/>
      <c r="M3152" s="6"/>
      <c r="N3152" s="6"/>
      <c r="O3152" s="6"/>
      <c r="P3152" s="6"/>
      <c r="Q3152" s="6"/>
      <c r="R3152" s="6"/>
      <c r="S3152" s="6"/>
      <c r="T3152" s="6"/>
    </row>
    <row r="3153" spans="4:20" x14ac:dyDescent="0.2">
      <c r="D3153" s="6"/>
      <c r="E3153" s="6"/>
      <c r="F3153" s="6"/>
      <c r="G3153" s="19"/>
      <c r="H3153" s="19"/>
      <c r="I3153" s="19"/>
      <c r="J3153" s="19"/>
      <c r="K3153" s="6"/>
      <c r="L3153" s="6"/>
      <c r="M3153" s="6"/>
      <c r="N3153" s="6"/>
      <c r="O3153" s="6"/>
      <c r="P3153" s="6"/>
      <c r="Q3153" s="6"/>
      <c r="R3153" s="6"/>
      <c r="S3153" s="6"/>
      <c r="T3153" s="6"/>
    </row>
    <row r="3154" spans="4:20" x14ac:dyDescent="0.2">
      <c r="D3154" s="6"/>
      <c r="E3154" s="6"/>
      <c r="F3154" s="6"/>
      <c r="G3154" s="19"/>
      <c r="H3154" s="19"/>
      <c r="I3154" s="19"/>
      <c r="J3154" s="19"/>
      <c r="K3154" s="6"/>
      <c r="L3154" s="6"/>
      <c r="M3154" s="6"/>
      <c r="N3154" s="6"/>
      <c r="O3154" s="6"/>
      <c r="P3154" s="6"/>
      <c r="Q3154" s="6"/>
      <c r="R3154" s="6"/>
      <c r="S3154" s="6"/>
      <c r="T3154" s="6"/>
    </row>
    <row r="3155" spans="4:20" x14ac:dyDescent="0.2">
      <c r="D3155" s="6"/>
      <c r="E3155" s="6"/>
      <c r="F3155" s="6"/>
      <c r="G3155" s="19"/>
      <c r="H3155" s="19"/>
      <c r="I3155" s="19"/>
      <c r="J3155" s="19"/>
      <c r="K3155" s="6"/>
      <c r="L3155" s="6"/>
      <c r="M3155" s="6"/>
      <c r="N3155" s="6"/>
      <c r="O3155" s="6"/>
      <c r="P3155" s="6"/>
      <c r="Q3155" s="6"/>
      <c r="R3155" s="6"/>
      <c r="S3155" s="6"/>
      <c r="T3155" s="6"/>
    </row>
    <row r="3156" spans="4:20" x14ac:dyDescent="0.2">
      <c r="D3156" s="6"/>
      <c r="E3156" s="6"/>
      <c r="F3156" s="6"/>
      <c r="G3156" s="19"/>
      <c r="H3156" s="19"/>
      <c r="I3156" s="19"/>
      <c r="J3156" s="19"/>
      <c r="K3156" s="6"/>
      <c r="L3156" s="6"/>
      <c r="M3156" s="6"/>
      <c r="N3156" s="6"/>
      <c r="O3156" s="6"/>
      <c r="P3156" s="6"/>
      <c r="Q3156" s="6"/>
      <c r="R3156" s="6"/>
      <c r="S3156" s="6"/>
      <c r="T3156" s="6"/>
    </row>
    <row r="3157" spans="4:20" x14ac:dyDescent="0.2">
      <c r="D3157" s="6"/>
      <c r="E3157" s="6"/>
      <c r="F3157" s="6"/>
      <c r="G3157" s="19"/>
      <c r="H3157" s="19"/>
      <c r="I3157" s="19"/>
      <c r="J3157" s="19"/>
      <c r="K3157" s="6"/>
      <c r="L3157" s="6"/>
      <c r="M3157" s="6"/>
      <c r="N3157" s="6"/>
      <c r="O3157" s="6"/>
      <c r="P3157" s="6"/>
      <c r="Q3157" s="6"/>
      <c r="R3157" s="6"/>
      <c r="S3157" s="6"/>
      <c r="T3157" s="6"/>
    </row>
    <row r="3158" spans="4:20" x14ac:dyDescent="0.2">
      <c r="D3158" s="6"/>
      <c r="E3158" s="6"/>
      <c r="F3158" s="6"/>
      <c r="G3158" s="19"/>
      <c r="H3158" s="19"/>
      <c r="I3158" s="19"/>
      <c r="J3158" s="19"/>
      <c r="K3158" s="6"/>
      <c r="L3158" s="6"/>
      <c r="M3158" s="6"/>
      <c r="N3158" s="6"/>
      <c r="O3158" s="6"/>
      <c r="P3158" s="6"/>
      <c r="Q3158" s="6"/>
      <c r="R3158" s="6"/>
      <c r="S3158" s="6"/>
      <c r="T3158" s="6"/>
    </row>
    <row r="3159" spans="4:20" x14ac:dyDescent="0.2">
      <c r="D3159" s="6"/>
      <c r="E3159" s="6"/>
      <c r="F3159" s="6"/>
      <c r="G3159" s="19"/>
      <c r="H3159" s="19"/>
      <c r="I3159" s="19"/>
      <c r="J3159" s="19"/>
      <c r="K3159" s="6"/>
      <c r="L3159" s="6"/>
      <c r="M3159" s="6"/>
      <c r="N3159" s="6"/>
      <c r="O3159" s="6"/>
      <c r="P3159" s="6"/>
      <c r="Q3159" s="6"/>
      <c r="R3159" s="6"/>
      <c r="S3159" s="6"/>
      <c r="T3159" s="6"/>
    </row>
    <row r="3160" spans="4:20" x14ac:dyDescent="0.2">
      <c r="D3160" s="6"/>
      <c r="E3160" s="6"/>
      <c r="F3160" s="6"/>
      <c r="G3160" s="19"/>
      <c r="H3160" s="19"/>
      <c r="I3160" s="19"/>
      <c r="J3160" s="19"/>
      <c r="K3160" s="6"/>
      <c r="L3160" s="6"/>
      <c r="M3160" s="6"/>
      <c r="N3160" s="6"/>
      <c r="O3160" s="6"/>
      <c r="P3160" s="6"/>
      <c r="Q3160" s="6"/>
      <c r="R3160" s="6"/>
      <c r="S3160" s="6"/>
      <c r="T3160" s="6"/>
    </row>
    <row r="3161" spans="4:20" x14ac:dyDescent="0.2">
      <c r="D3161" s="6"/>
      <c r="E3161" s="6"/>
      <c r="F3161" s="6"/>
      <c r="G3161" s="19"/>
      <c r="H3161" s="19"/>
      <c r="I3161" s="19"/>
      <c r="J3161" s="19"/>
      <c r="K3161" s="6"/>
      <c r="L3161" s="6"/>
      <c r="M3161" s="6"/>
      <c r="N3161" s="6"/>
      <c r="O3161" s="6"/>
      <c r="P3161" s="6"/>
      <c r="Q3161" s="6"/>
      <c r="R3161" s="6"/>
      <c r="S3161" s="6"/>
      <c r="T3161" s="6"/>
    </row>
    <row r="3162" spans="4:20" x14ac:dyDescent="0.2">
      <c r="D3162" s="6"/>
      <c r="E3162" s="6"/>
      <c r="F3162" s="6"/>
      <c r="G3162" s="19"/>
      <c r="H3162" s="19"/>
      <c r="I3162" s="19"/>
      <c r="J3162" s="19"/>
      <c r="K3162" s="6"/>
      <c r="L3162" s="6"/>
      <c r="M3162" s="6"/>
      <c r="N3162" s="6"/>
      <c r="O3162" s="6"/>
      <c r="P3162" s="6"/>
      <c r="Q3162" s="6"/>
      <c r="R3162" s="6"/>
      <c r="S3162" s="6"/>
      <c r="T3162" s="6"/>
    </row>
    <row r="3163" spans="4:20" x14ac:dyDescent="0.2">
      <c r="D3163" s="6"/>
      <c r="E3163" s="6"/>
      <c r="F3163" s="6"/>
      <c r="G3163" s="19"/>
      <c r="H3163" s="19"/>
      <c r="I3163" s="19"/>
      <c r="J3163" s="19"/>
      <c r="K3163" s="6"/>
      <c r="L3163" s="6"/>
      <c r="M3163" s="6"/>
      <c r="N3163" s="6"/>
      <c r="O3163" s="6"/>
      <c r="P3163" s="6"/>
      <c r="Q3163" s="6"/>
      <c r="R3163" s="6"/>
      <c r="S3163" s="6"/>
      <c r="T3163" s="6"/>
    </row>
    <row r="3164" spans="4:20" x14ac:dyDescent="0.2">
      <c r="D3164" s="6"/>
      <c r="E3164" s="6"/>
      <c r="F3164" s="6"/>
      <c r="G3164" s="19"/>
      <c r="H3164" s="19"/>
      <c r="I3164" s="19"/>
      <c r="J3164" s="19"/>
      <c r="K3164" s="6"/>
      <c r="L3164" s="6"/>
      <c r="M3164" s="6"/>
      <c r="N3164" s="6"/>
      <c r="O3164" s="6"/>
      <c r="P3164" s="6"/>
      <c r="Q3164" s="6"/>
      <c r="R3164" s="6"/>
      <c r="S3164" s="6"/>
      <c r="T3164" s="6"/>
    </row>
    <row r="3165" spans="4:20" x14ac:dyDescent="0.2">
      <c r="D3165" s="6"/>
      <c r="E3165" s="6"/>
      <c r="F3165" s="6"/>
      <c r="G3165" s="19"/>
      <c r="H3165" s="19"/>
      <c r="I3165" s="19"/>
      <c r="J3165" s="19"/>
      <c r="K3165" s="6"/>
      <c r="L3165" s="6"/>
      <c r="M3165" s="6"/>
      <c r="N3165" s="6"/>
      <c r="O3165" s="6"/>
      <c r="P3165" s="6"/>
      <c r="Q3165" s="6"/>
      <c r="R3165" s="6"/>
      <c r="S3165" s="6"/>
      <c r="T3165" s="6"/>
    </row>
    <row r="3166" spans="4:20" x14ac:dyDescent="0.2">
      <c r="D3166" s="6"/>
      <c r="E3166" s="6"/>
      <c r="F3166" s="6"/>
      <c r="G3166" s="19"/>
      <c r="H3166" s="19"/>
      <c r="I3166" s="19"/>
      <c r="J3166" s="19"/>
      <c r="K3166" s="6"/>
      <c r="L3166" s="6"/>
      <c r="M3166" s="6"/>
      <c r="N3166" s="6"/>
      <c r="O3166" s="6"/>
      <c r="P3166" s="6"/>
      <c r="Q3166" s="6"/>
      <c r="R3166" s="6"/>
      <c r="S3166" s="6"/>
      <c r="T3166" s="6"/>
    </row>
    <row r="3167" spans="4:20" x14ac:dyDescent="0.2">
      <c r="D3167" s="6"/>
      <c r="E3167" s="6"/>
      <c r="F3167" s="6"/>
      <c r="G3167" s="19"/>
      <c r="H3167" s="19"/>
      <c r="I3167" s="19"/>
      <c r="J3167" s="19"/>
      <c r="K3167" s="6"/>
      <c r="L3167" s="6"/>
      <c r="M3167" s="6"/>
      <c r="N3167" s="6"/>
      <c r="O3167" s="6"/>
      <c r="P3167" s="6"/>
      <c r="Q3167" s="6"/>
      <c r="R3167" s="6"/>
      <c r="S3167" s="6"/>
      <c r="T3167" s="6"/>
    </row>
    <row r="3168" spans="4:20" x14ac:dyDescent="0.2">
      <c r="D3168" s="6"/>
      <c r="E3168" s="6"/>
      <c r="F3168" s="6"/>
      <c r="G3168" s="19"/>
      <c r="H3168" s="19"/>
      <c r="I3168" s="19"/>
      <c r="J3168" s="19"/>
      <c r="K3168" s="6"/>
      <c r="L3168" s="6"/>
      <c r="M3168" s="6"/>
      <c r="N3168" s="6"/>
      <c r="O3168" s="6"/>
      <c r="P3168" s="6"/>
      <c r="Q3168" s="6"/>
      <c r="R3168" s="6"/>
      <c r="S3168" s="6"/>
      <c r="T3168" s="6"/>
    </row>
    <row r="3169" spans="4:20" x14ac:dyDescent="0.2">
      <c r="D3169" s="6"/>
      <c r="E3169" s="6"/>
      <c r="F3169" s="6"/>
      <c r="G3169" s="19"/>
      <c r="H3169" s="19"/>
      <c r="I3169" s="19"/>
      <c r="J3169" s="19"/>
      <c r="K3169" s="6"/>
      <c r="L3169" s="6"/>
      <c r="M3169" s="6"/>
      <c r="N3169" s="6"/>
      <c r="O3169" s="6"/>
      <c r="P3169" s="6"/>
      <c r="Q3169" s="6"/>
      <c r="R3169" s="6"/>
      <c r="S3169" s="6"/>
      <c r="T3169" s="6"/>
    </row>
    <row r="3170" spans="4:20" x14ac:dyDescent="0.2">
      <c r="D3170" s="6"/>
      <c r="E3170" s="6"/>
      <c r="F3170" s="6"/>
      <c r="G3170" s="19"/>
      <c r="H3170" s="19"/>
      <c r="I3170" s="19"/>
      <c r="J3170" s="19"/>
      <c r="K3170" s="6"/>
      <c r="L3170" s="6"/>
      <c r="M3170" s="6"/>
      <c r="N3170" s="6"/>
      <c r="O3170" s="6"/>
      <c r="P3170" s="6"/>
      <c r="Q3170" s="6"/>
      <c r="R3170" s="6"/>
      <c r="S3170" s="6"/>
      <c r="T3170" s="6"/>
    </row>
    <row r="3171" spans="4:20" x14ac:dyDescent="0.2">
      <c r="D3171" s="6"/>
      <c r="E3171" s="6"/>
      <c r="F3171" s="6"/>
      <c r="G3171" s="19"/>
      <c r="H3171" s="19"/>
      <c r="I3171" s="19"/>
      <c r="J3171" s="19"/>
      <c r="K3171" s="6"/>
      <c r="L3171" s="6"/>
      <c r="M3171" s="6"/>
      <c r="N3171" s="6"/>
      <c r="O3171" s="6"/>
      <c r="P3171" s="6"/>
      <c r="Q3171" s="6"/>
      <c r="R3171" s="6"/>
      <c r="S3171" s="6"/>
      <c r="T3171" s="6"/>
    </row>
    <row r="3172" spans="4:20" x14ac:dyDescent="0.2">
      <c r="D3172" s="6"/>
      <c r="E3172" s="6"/>
      <c r="F3172" s="6"/>
      <c r="G3172" s="19"/>
      <c r="H3172" s="19"/>
      <c r="I3172" s="19"/>
      <c r="J3172" s="19"/>
      <c r="K3172" s="6"/>
      <c r="L3172" s="6"/>
      <c r="M3172" s="6"/>
      <c r="N3172" s="6"/>
      <c r="O3172" s="6"/>
      <c r="P3172" s="6"/>
      <c r="Q3172" s="6"/>
      <c r="R3172" s="6"/>
      <c r="S3172" s="6"/>
      <c r="T3172" s="6"/>
    </row>
    <row r="3173" spans="4:20" x14ac:dyDescent="0.2">
      <c r="D3173" s="6"/>
      <c r="E3173" s="6"/>
      <c r="F3173" s="6"/>
      <c r="G3173" s="19"/>
      <c r="H3173" s="19"/>
      <c r="I3173" s="19"/>
      <c r="J3173" s="19"/>
      <c r="K3173" s="6"/>
      <c r="L3173" s="6"/>
      <c r="M3173" s="6"/>
      <c r="N3173" s="6"/>
      <c r="O3173" s="6"/>
      <c r="P3173" s="6"/>
      <c r="Q3173" s="6"/>
      <c r="R3173" s="6"/>
      <c r="S3173" s="6"/>
      <c r="T3173" s="6"/>
    </row>
    <row r="3174" spans="4:20" x14ac:dyDescent="0.2">
      <c r="D3174" s="6"/>
      <c r="E3174" s="6"/>
      <c r="F3174" s="6"/>
      <c r="G3174" s="19"/>
      <c r="H3174" s="19"/>
      <c r="I3174" s="19"/>
      <c r="J3174" s="19"/>
      <c r="K3174" s="6"/>
      <c r="L3174" s="6"/>
      <c r="M3174" s="6"/>
      <c r="N3174" s="6"/>
      <c r="O3174" s="6"/>
      <c r="P3174" s="6"/>
      <c r="Q3174" s="6"/>
      <c r="R3174" s="6"/>
      <c r="S3174" s="6"/>
      <c r="T3174" s="6"/>
    </row>
    <row r="3175" spans="4:20" x14ac:dyDescent="0.2">
      <c r="D3175" s="6"/>
      <c r="E3175" s="6"/>
      <c r="F3175" s="6"/>
      <c r="G3175" s="19"/>
      <c r="H3175" s="19"/>
      <c r="I3175" s="19"/>
      <c r="J3175" s="19"/>
      <c r="K3175" s="6"/>
      <c r="L3175" s="6"/>
      <c r="M3175" s="6"/>
      <c r="N3175" s="6"/>
      <c r="O3175" s="6"/>
      <c r="P3175" s="6"/>
      <c r="Q3175" s="6"/>
      <c r="R3175" s="6"/>
      <c r="S3175" s="6"/>
      <c r="T3175" s="6"/>
    </row>
    <row r="3176" spans="4:20" x14ac:dyDescent="0.2">
      <c r="D3176" s="6"/>
      <c r="E3176" s="6"/>
      <c r="F3176" s="6"/>
      <c r="G3176" s="19"/>
      <c r="H3176" s="19"/>
      <c r="I3176" s="19"/>
      <c r="J3176" s="19"/>
      <c r="K3176" s="6"/>
      <c r="L3176" s="6"/>
      <c r="M3176" s="6"/>
      <c r="N3176" s="6"/>
      <c r="O3176" s="6"/>
      <c r="P3176" s="6"/>
      <c r="Q3176" s="6"/>
      <c r="R3176" s="6"/>
      <c r="S3176" s="6"/>
      <c r="T3176" s="6"/>
    </row>
    <row r="3177" spans="4:20" x14ac:dyDescent="0.2">
      <c r="D3177" s="6"/>
      <c r="E3177" s="6"/>
      <c r="F3177" s="6"/>
      <c r="G3177" s="19"/>
      <c r="H3177" s="19"/>
      <c r="I3177" s="19"/>
      <c r="J3177" s="19"/>
      <c r="K3177" s="6"/>
      <c r="L3177" s="6"/>
      <c r="M3177" s="6"/>
      <c r="N3177" s="6"/>
      <c r="O3177" s="6"/>
      <c r="P3177" s="6"/>
      <c r="Q3177" s="6"/>
      <c r="R3177" s="6"/>
      <c r="S3177" s="6"/>
      <c r="T3177" s="6"/>
    </row>
    <row r="3178" spans="4:20" x14ac:dyDescent="0.2">
      <c r="D3178" s="6"/>
      <c r="E3178" s="6"/>
      <c r="F3178" s="6"/>
      <c r="G3178" s="19"/>
      <c r="H3178" s="19"/>
      <c r="I3178" s="19"/>
      <c r="J3178" s="19"/>
      <c r="K3178" s="6"/>
      <c r="L3178" s="6"/>
      <c r="M3178" s="6"/>
      <c r="N3178" s="6"/>
      <c r="O3178" s="6"/>
      <c r="P3178" s="6"/>
      <c r="Q3178" s="6"/>
      <c r="R3178" s="6"/>
      <c r="S3178" s="6"/>
      <c r="T3178" s="6"/>
    </row>
    <row r="3179" spans="4:20" x14ac:dyDescent="0.2">
      <c r="D3179" s="6"/>
      <c r="E3179" s="6"/>
      <c r="F3179" s="6"/>
      <c r="G3179" s="19"/>
      <c r="H3179" s="19"/>
      <c r="I3179" s="19"/>
      <c r="J3179" s="19"/>
      <c r="K3179" s="6"/>
      <c r="L3179" s="6"/>
      <c r="M3179" s="6"/>
      <c r="N3179" s="6"/>
      <c r="O3179" s="6"/>
      <c r="P3179" s="6"/>
      <c r="Q3179" s="6"/>
      <c r="R3179" s="6"/>
      <c r="S3179" s="6"/>
      <c r="T3179" s="6"/>
    </row>
    <row r="3180" spans="4:20" x14ac:dyDescent="0.2">
      <c r="D3180" s="6"/>
      <c r="E3180" s="6"/>
      <c r="F3180" s="6"/>
      <c r="G3180" s="19"/>
      <c r="H3180" s="19"/>
      <c r="I3180" s="19"/>
      <c r="J3180" s="19"/>
      <c r="K3180" s="6"/>
      <c r="L3180" s="6"/>
      <c r="M3180" s="6"/>
      <c r="N3180" s="6"/>
      <c r="O3180" s="6"/>
      <c r="P3180" s="6"/>
      <c r="Q3180" s="6"/>
      <c r="R3180" s="6"/>
      <c r="S3180" s="6"/>
      <c r="T3180" s="6"/>
    </row>
    <row r="3181" spans="4:20" x14ac:dyDescent="0.2">
      <c r="D3181" s="6"/>
      <c r="E3181" s="6"/>
      <c r="F3181" s="6"/>
      <c r="G3181" s="19"/>
      <c r="H3181" s="19"/>
      <c r="I3181" s="19"/>
      <c r="J3181" s="19"/>
      <c r="K3181" s="6"/>
      <c r="L3181" s="6"/>
      <c r="M3181" s="6"/>
      <c r="N3181" s="6"/>
      <c r="O3181" s="6"/>
      <c r="P3181" s="6"/>
      <c r="Q3181" s="6"/>
      <c r="R3181" s="6"/>
      <c r="S3181" s="6"/>
      <c r="T3181" s="6"/>
    </row>
    <row r="3182" spans="4:20" x14ac:dyDescent="0.2">
      <c r="D3182" s="6"/>
      <c r="E3182" s="6"/>
      <c r="F3182" s="6"/>
      <c r="G3182" s="19"/>
      <c r="H3182" s="19"/>
      <c r="I3182" s="19"/>
      <c r="J3182" s="19"/>
      <c r="K3182" s="6"/>
      <c r="L3182" s="6"/>
      <c r="M3182" s="6"/>
      <c r="N3182" s="6"/>
      <c r="O3182" s="6"/>
      <c r="P3182" s="6"/>
      <c r="Q3182" s="6"/>
      <c r="R3182" s="6"/>
      <c r="S3182" s="6"/>
      <c r="T3182" s="6"/>
    </row>
    <row r="3183" spans="4:20" x14ac:dyDescent="0.2">
      <c r="D3183" s="6"/>
      <c r="E3183" s="6"/>
      <c r="F3183" s="6"/>
      <c r="G3183" s="19"/>
      <c r="H3183" s="19"/>
      <c r="I3183" s="19"/>
      <c r="J3183" s="19"/>
      <c r="K3183" s="6"/>
      <c r="L3183" s="6"/>
      <c r="M3183" s="6"/>
      <c r="N3183" s="6"/>
      <c r="O3183" s="6"/>
      <c r="P3183" s="6"/>
      <c r="Q3183" s="6"/>
      <c r="R3183" s="6"/>
      <c r="S3183" s="6"/>
      <c r="T3183" s="6"/>
    </row>
    <row r="3184" spans="4:20" x14ac:dyDescent="0.2">
      <c r="D3184" s="6"/>
      <c r="E3184" s="6"/>
      <c r="F3184" s="6"/>
      <c r="G3184" s="19"/>
      <c r="H3184" s="19"/>
      <c r="I3184" s="19"/>
      <c r="J3184" s="19"/>
      <c r="K3184" s="6"/>
      <c r="L3184" s="6"/>
      <c r="M3184" s="6"/>
      <c r="N3184" s="6"/>
      <c r="O3184" s="6"/>
      <c r="P3184" s="6"/>
      <c r="Q3184" s="6"/>
      <c r="R3184" s="6"/>
      <c r="S3184" s="6"/>
      <c r="T3184" s="6"/>
    </row>
    <row r="3185" spans="4:20" x14ac:dyDescent="0.2">
      <c r="D3185" s="6"/>
      <c r="E3185" s="6"/>
      <c r="F3185" s="6"/>
      <c r="G3185" s="19"/>
      <c r="H3185" s="19"/>
      <c r="I3185" s="19"/>
      <c r="J3185" s="19"/>
      <c r="K3185" s="6"/>
      <c r="L3185" s="6"/>
      <c r="M3185" s="6"/>
      <c r="N3185" s="6"/>
      <c r="O3185" s="6"/>
      <c r="P3185" s="6"/>
      <c r="Q3185" s="6"/>
      <c r="R3185" s="6"/>
      <c r="S3185" s="6"/>
      <c r="T3185" s="6"/>
    </row>
    <row r="3186" spans="4:20" x14ac:dyDescent="0.2">
      <c r="D3186" s="6"/>
      <c r="E3186" s="6"/>
      <c r="F3186" s="6"/>
      <c r="G3186" s="19"/>
      <c r="H3186" s="19"/>
      <c r="I3186" s="19"/>
      <c r="J3186" s="19"/>
      <c r="K3186" s="6"/>
      <c r="L3186" s="6"/>
      <c r="M3186" s="6"/>
      <c r="N3186" s="6"/>
      <c r="O3186" s="6"/>
      <c r="P3186" s="6"/>
      <c r="Q3186" s="6"/>
      <c r="R3186" s="6"/>
      <c r="S3186" s="6"/>
      <c r="T3186" s="6"/>
    </row>
    <row r="3187" spans="4:20" x14ac:dyDescent="0.2">
      <c r="D3187" s="6"/>
      <c r="E3187" s="6"/>
      <c r="F3187" s="6"/>
      <c r="G3187" s="19"/>
      <c r="H3187" s="19"/>
      <c r="I3187" s="19"/>
      <c r="J3187" s="19"/>
      <c r="K3187" s="6"/>
      <c r="L3187" s="6"/>
      <c r="M3187" s="6"/>
      <c r="N3187" s="6"/>
      <c r="O3187" s="6"/>
      <c r="P3187" s="6"/>
      <c r="Q3187" s="6"/>
      <c r="R3187" s="6"/>
      <c r="S3187" s="6"/>
      <c r="T3187" s="6"/>
    </row>
    <row r="3188" spans="4:20" x14ac:dyDescent="0.2">
      <c r="D3188" s="6"/>
      <c r="E3188" s="6"/>
      <c r="F3188" s="6"/>
      <c r="G3188" s="19"/>
      <c r="H3188" s="19"/>
      <c r="I3188" s="19"/>
      <c r="J3188" s="19"/>
      <c r="K3188" s="6"/>
      <c r="L3188" s="6"/>
      <c r="M3188" s="6"/>
      <c r="N3188" s="6"/>
      <c r="O3188" s="6"/>
      <c r="P3188" s="6"/>
      <c r="Q3188" s="6"/>
      <c r="R3188" s="6"/>
      <c r="S3188" s="6"/>
      <c r="T3188" s="6"/>
    </row>
    <row r="3189" spans="4:20" x14ac:dyDescent="0.2">
      <c r="D3189" s="6"/>
      <c r="E3189" s="6"/>
      <c r="F3189" s="6"/>
      <c r="G3189" s="19"/>
      <c r="H3189" s="19"/>
      <c r="I3189" s="19"/>
      <c r="J3189" s="19"/>
      <c r="K3189" s="6"/>
      <c r="L3189" s="6"/>
      <c r="M3189" s="6"/>
      <c r="N3189" s="6"/>
      <c r="O3189" s="6"/>
      <c r="P3189" s="6"/>
      <c r="Q3189" s="6"/>
      <c r="R3189" s="6"/>
      <c r="S3189" s="6"/>
      <c r="T3189" s="6"/>
    </row>
    <row r="3190" spans="4:20" x14ac:dyDescent="0.2">
      <c r="D3190" s="6"/>
      <c r="E3190" s="6"/>
      <c r="F3190" s="6"/>
      <c r="G3190" s="19"/>
      <c r="H3190" s="19"/>
      <c r="I3190" s="19"/>
      <c r="J3190" s="19"/>
      <c r="K3190" s="6"/>
      <c r="L3190" s="6"/>
      <c r="M3190" s="6"/>
      <c r="N3190" s="6"/>
      <c r="O3190" s="6"/>
      <c r="P3190" s="6"/>
      <c r="Q3190" s="6"/>
      <c r="R3190" s="6"/>
      <c r="S3190" s="6"/>
      <c r="T3190" s="6"/>
    </row>
    <row r="3191" spans="4:20" x14ac:dyDescent="0.2">
      <c r="D3191" s="6"/>
      <c r="E3191" s="6"/>
      <c r="F3191" s="6"/>
      <c r="G3191" s="19"/>
      <c r="H3191" s="19"/>
      <c r="I3191" s="19"/>
      <c r="J3191" s="19"/>
      <c r="K3191" s="6"/>
      <c r="L3191" s="6"/>
      <c r="M3191" s="6"/>
      <c r="N3191" s="6"/>
      <c r="O3191" s="6"/>
      <c r="P3191" s="6"/>
      <c r="Q3191" s="6"/>
      <c r="R3191" s="6"/>
      <c r="S3191" s="6"/>
      <c r="T3191" s="6"/>
    </row>
    <row r="3192" spans="4:20" x14ac:dyDescent="0.2">
      <c r="D3192" s="6"/>
      <c r="E3192" s="6"/>
      <c r="F3192" s="6"/>
      <c r="G3192" s="19"/>
      <c r="H3192" s="19"/>
      <c r="I3192" s="19"/>
      <c r="J3192" s="19"/>
      <c r="K3192" s="6"/>
      <c r="L3192" s="6"/>
      <c r="M3192" s="6"/>
      <c r="N3192" s="6"/>
      <c r="O3192" s="6"/>
      <c r="P3192" s="6"/>
      <c r="Q3192" s="6"/>
      <c r="R3192" s="6"/>
      <c r="S3192" s="6"/>
      <c r="T3192" s="6"/>
    </row>
    <row r="3193" spans="4:20" x14ac:dyDescent="0.2">
      <c r="D3193" s="6"/>
      <c r="E3193" s="6"/>
      <c r="F3193" s="6"/>
      <c r="G3193" s="19"/>
      <c r="H3193" s="19"/>
      <c r="I3193" s="19"/>
      <c r="J3193" s="19"/>
      <c r="K3193" s="6"/>
      <c r="L3193" s="6"/>
      <c r="M3193" s="6"/>
      <c r="N3193" s="6"/>
      <c r="O3193" s="6"/>
      <c r="P3193" s="6"/>
      <c r="Q3193" s="6"/>
      <c r="R3193" s="6"/>
      <c r="S3193" s="6"/>
      <c r="T3193" s="6"/>
    </row>
    <row r="3194" spans="4:20" x14ac:dyDescent="0.2">
      <c r="D3194" s="6"/>
      <c r="E3194" s="6"/>
      <c r="F3194" s="6"/>
      <c r="G3194" s="19"/>
      <c r="H3194" s="19"/>
      <c r="I3194" s="19"/>
      <c r="J3194" s="19"/>
      <c r="K3194" s="6"/>
      <c r="L3194" s="6"/>
      <c r="M3194" s="6"/>
      <c r="N3194" s="6"/>
      <c r="O3194" s="6"/>
      <c r="P3194" s="6"/>
      <c r="Q3194" s="6"/>
      <c r="R3194" s="6"/>
      <c r="S3194" s="6"/>
      <c r="T3194" s="6"/>
    </row>
    <row r="3195" spans="4:20" x14ac:dyDescent="0.2">
      <c r="D3195" s="6"/>
      <c r="E3195" s="6"/>
      <c r="F3195" s="6"/>
      <c r="G3195" s="19"/>
      <c r="H3195" s="19"/>
      <c r="I3195" s="19"/>
      <c r="J3195" s="19"/>
      <c r="K3195" s="6"/>
      <c r="L3195" s="6"/>
      <c r="M3195" s="6"/>
      <c r="N3195" s="6"/>
      <c r="O3195" s="6"/>
      <c r="P3195" s="6"/>
      <c r="Q3195" s="6"/>
      <c r="R3195" s="6"/>
      <c r="S3195" s="6"/>
      <c r="T3195" s="6"/>
    </row>
    <row r="3196" spans="4:20" x14ac:dyDescent="0.2">
      <c r="D3196" s="6"/>
      <c r="E3196" s="6"/>
      <c r="F3196" s="6"/>
      <c r="G3196" s="19"/>
      <c r="H3196" s="19"/>
      <c r="I3196" s="19"/>
      <c r="J3196" s="19"/>
      <c r="K3196" s="6"/>
      <c r="L3196" s="6"/>
      <c r="M3196" s="6"/>
      <c r="N3196" s="6"/>
      <c r="O3196" s="6"/>
      <c r="P3196" s="6"/>
      <c r="Q3196" s="6"/>
      <c r="R3196" s="6"/>
      <c r="S3196" s="6"/>
      <c r="T3196" s="6"/>
    </row>
    <row r="3197" spans="4:20" x14ac:dyDescent="0.2">
      <c r="D3197" s="6"/>
      <c r="E3197" s="6"/>
      <c r="F3197" s="6"/>
      <c r="G3197" s="19"/>
      <c r="H3197" s="19"/>
      <c r="I3197" s="19"/>
      <c r="J3197" s="19"/>
      <c r="K3197" s="6"/>
      <c r="L3197" s="6"/>
      <c r="M3197" s="6"/>
      <c r="N3197" s="6"/>
      <c r="O3197" s="6"/>
      <c r="P3197" s="6"/>
      <c r="Q3197" s="6"/>
      <c r="R3197" s="6"/>
      <c r="S3197" s="6"/>
      <c r="T3197" s="6"/>
    </row>
    <row r="3198" spans="4:20" x14ac:dyDescent="0.2">
      <c r="D3198" s="6"/>
      <c r="E3198" s="6"/>
      <c r="F3198" s="6"/>
      <c r="G3198" s="19"/>
      <c r="H3198" s="19"/>
      <c r="I3198" s="19"/>
      <c r="J3198" s="19"/>
      <c r="K3198" s="6"/>
      <c r="L3198" s="6"/>
      <c r="M3198" s="6"/>
      <c r="N3198" s="6"/>
      <c r="O3198" s="6"/>
      <c r="P3198" s="6"/>
      <c r="Q3198" s="6"/>
      <c r="R3198" s="6"/>
      <c r="S3198" s="6"/>
      <c r="T3198" s="6"/>
    </row>
    <row r="3199" spans="4:20" x14ac:dyDescent="0.2">
      <c r="D3199" s="6"/>
      <c r="E3199" s="6"/>
      <c r="F3199" s="6"/>
      <c r="G3199" s="19"/>
      <c r="H3199" s="19"/>
      <c r="I3199" s="19"/>
      <c r="J3199" s="19"/>
      <c r="K3199" s="6"/>
      <c r="L3199" s="6"/>
      <c r="M3199" s="6"/>
      <c r="N3199" s="6"/>
      <c r="O3199" s="6"/>
      <c r="P3199" s="6"/>
      <c r="Q3199" s="6"/>
      <c r="R3199" s="6"/>
      <c r="S3199" s="6"/>
      <c r="T3199" s="6"/>
    </row>
    <row r="3200" spans="4:20" x14ac:dyDescent="0.2">
      <c r="D3200" s="6"/>
      <c r="E3200" s="6"/>
      <c r="F3200" s="6"/>
      <c r="G3200" s="19"/>
      <c r="H3200" s="19"/>
      <c r="I3200" s="19"/>
      <c r="J3200" s="19"/>
      <c r="K3200" s="6"/>
      <c r="L3200" s="6"/>
      <c r="M3200" s="6"/>
      <c r="N3200" s="6"/>
      <c r="O3200" s="6"/>
      <c r="P3200" s="6"/>
      <c r="Q3200" s="6"/>
      <c r="R3200" s="6"/>
      <c r="S3200" s="6"/>
      <c r="T3200" s="6"/>
    </row>
    <row r="3201" spans="4:20" x14ac:dyDescent="0.2">
      <c r="D3201" s="6"/>
      <c r="E3201" s="6"/>
      <c r="F3201" s="6"/>
      <c r="G3201" s="19"/>
      <c r="H3201" s="19"/>
      <c r="I3201" s="19"/>
      <c r="J3201" s="19"/>
      <c r="K3201" s="6"/>
      <c r="L3201" s="6"/>
      <c r="M3201" s="6"/>
      <c r="N3201" s="6"/>
      <c r="O3201" s="6"/>
      <c r="P3201" s="6"/>
      <c r="Q3201" s="6"/>
      <c r="R3201" s="6"/>
      <c r="S3201" s="6"/>
      <c r="T3201" s="6"/>
    </row>
    <row r="3202" spans="4:20" x14ac:dyDescent="0.2">
      <c r="D3202" s="6"/>
      <c r="E3202" s="6"/>
      <c r="F3202" s="6"/>
      <c r="G3202" s="19"/>
      <c r="H3202" s="19"/>
      <c r="I3202" s="19"/>
      <c r="J3202" s="19"/>
      <c r="K3202" s="6"/>
      <c r="L3202" s="6"/>
      <c r="M3202" s="6"/>
      <c r="N3202" s="6"/>
      <c r="O3202" s="6"/>
      <c r="P3202" s="6"/>
      <c r="Q3202" s="6"/>
      <c r="R3202" s="6"/>
      <c r="S3202" s="6"/>
      <c r="T3202" s="6"/>
    </row>
    <row r="3203" spans="4:20" x14ac:dyDescent="0.2">
      <c r="D3203" s="6"/>
      <c r="E3203" s="6"/>
      <c r="F3203" s="6"/>
      <c r="G3203" s="19"/>
      <c r="H3203" s="19"/>
      <c r="I3203" s="19"/>
      <c r="J3203" s="19"/>
      <c r="K3203" s="6"/>
      <c r="L3203" s="6"/>
      <c r="M3203" s="6"/>
      <c r="N3203" s="6"/>
      <c r="O3203" s="6"/>
      <c r="P3203" s="6"/>
      <c r="Q3203" s="6"/>
      <c r="R3203" s="6"/>
      <c r="S3203" s="6"/>
      <c r="T3203" s="6"/>
    </row>
    <row r="3204" spans="4:20" x14ac:dyDescent="0.2">
      <c r="D3204" s="6"/>
      <c r="E3204" s="6"/>
      <c r="F3204" s="6"/>
      <c r="G3204" s="19"/>
      <c r="H3204" s="19"/>
      <c r="I3204" s="19"/>
      <c r="J3204" s="19"/>
      <c r="K3204" s="6"/>
      <c r="L3204" s="6"/>
      <c r="M3204" s="6"/>
      <c r="N3204" s="6"/>
      <c r="O3204" s="6"/>
      <c r="P3204" s="6"/>
      <c r="Q3204" s="6"/>
      <c r="R3204" s="6"/>
      <c r="S3204" s="6"/>
      <c r="T3204" s="6"/>
    </row>
    <row r="3205" spans="4:20" x14ac:dyDescent="0.2">
      <c r="D3205" s="6"/>
      <c r="E3205" s="6"/>
      <c r="F3205" s="6"/>
      <c r="G3205" s="19"/>
      <c r="H3205" s="19"/>
      <c r="I3205" s="19"/>
      <c r="J3205" s="19"/>
      <c r="K3205" s="6"/>
      <c r="L3205" s="6"/>
      <c r="M3205" s="6"/>
      <c r="N3205" s="6"/>
      <c r="O3205" s="6"/>
      <c r="P3205" s="6"/>
      <c r="Q3205" s="6"/>
      <c r="R3205" s="6"/>
      <c r="S3205" s="6"/>
      <c r="T3205" s="6"/>
    </row>
    <row r="3206" spans="4:20" x14ac:dyDescent="0.2">
      <c r="D3206" s="6"/>
      <c r="E3206" s="6"/>
      <c r="F3206" s="6"/>
      <c r="G3206" s="19"/>
      <c r="H3206" s="19"/>
      <c r="I3206" s="19"/>
      <c r="J3206" s="19"/>
      <c r="K3206" s="6"/>
      <c r="L3206" s="6"/>
      <c r="M3206" s="6"/>
      <c r="N3206" s="6"/>
      <c r="O3206" s="6"/>
      <c r="P3206" s="6"/>
      <c r="Q3206" s="6"/>
      <c r="R3206" s="6"/>
      <c r="S3206" s="6"/>
      <c r="T3206" s="6"/>
    </row>
    <row r="3207" spans="4:20" x14ac:dyDescent="0.2">
      <c r="D3207" s="6"/>
      <c r="E3207" s="6"/>
      <c r="F3207" s="6"/>
      <c r="G3207" s="19"/>
      <c r="H3207" s="19"/>
      <c r="I3207" s="19"/>
      <c r="J3207" s="19"/>
      <c r="K3207" s="6"/>
      <c r="L3207" s="6"/>
      <c r="M3207" s="6"/>
      <c r="N3207" s="6"/>
      <c r="O3207" s="6"/>
      <c r="P3207" s="6"/>
      <c r="Q3207" s="6"/>
      <c r="R3207" s="6"/>
      <c r="S3207" s="6"/>
      <c r="T3207" s="6"/>
    </row>
    <row r="3208" spans="4:20" x14ac:dyDescent="0.2">
      <c r="D3208" s="6"/>
      <c r="E3208" s="6"/>
      <c r="F3208" s="6"/>
      <c r="G3208" s="19"/>
      <c r="H3208" s="19"/>
      <c r="I3208" s="19"/>
      <c r="J3208" s="19"/>
      <c r="K3208" s="6"/>
      <c r="L3208" s="6"/>
      <c r="M3208" s="6"/>
      <c r="N3208" s="6"/>
      <c r="O3208" s="6"/>
      <c r="P3208" s="6"/>
      <c r="Q3208" s="6"/>
      <c r="R3208" s="6"/>
      <c r="S3208" s="6"/>
      <c r="T3208" s="6"/>
    </row>
    <row r="3209" spans="4:20" x14ac:dyDescent="0.2">
      <c r="D3209" s="6"/>
      <c r="E3209" s="6"/>
      <c r="F3209" s="6"/>
      <c r="G3209" s="19"/>
      <c r="H3209" s="19"/>
      <c r="I3209" s="19"/>
      <c r="J3209" s="19"/>
      <c r="K3209" s="6"/>
      <c r="L3209" s="6"/>
      <c r="M3209" s="6"/>
      <c r="N3209" s="6"/>
      <c r="O3209" s="6"/>
      <c r="P3209" s="6"/>
      <c r="Q3209" s="6"/>
      <c r="R3209" s="6"/>
      <c r="S3209" s="6"/>
      <c r="T3209" s="6"/>
    </row>
    <row r="3210" spans="4:20" x14ac:dyDescent="0.2">
      <c r="D3210" s="6"/>
      <c r="E3210" s="6"/>
      <c r="F3210" s="6"/>
      <c r="G3210" s="19"/>
      <c r="H3210" s="19"/>
      <c r="I3210" s="19"/>
      <c r="J3210" s="19"/>
      <c r="K3210" s="6"/>
      <c r="L3210" s="6"/>
      <c r="M3210" s="6"/>
      <c r="N3210" s="6"/>
      <c r="O3210" s="6"/>
      <c r="P3210" s="6"/>
      <c r="Q3210" s="6"/>
      <c r="R3210" s="6"/>
      <c r="S3210" s="6"/>
      <c r="T3210" s="6"/>
    </row>
    <row r="3211" spans="4:20" x14ac:dyDescent="0.2">
      <c r="D3211" s="6"/>
      <c r="E3211" s="6"/>
      <c r="F3211" s="6"/>
      <c r="G3211" s="19"/>
      <c r="H3211" s="19"/>
      <c r="I3211" s="19"/>
      <c r="J3211" s="19"/>
      <c r="K3211" s="6"/>
      <c r="L3211" s="6"/>
      <c r="M3211" s="6"/>
      <c r="N3211" s="6"/>
      <c r="O3211" s="6"/>
      <c r="P3211" s="6"/>
      <c r="Q3211" s="6"/>
      <c r="R3211" s="6"/>
      <c r="S3211" s="6"/>
      <c r="T3211" s="6"/>
    </row>
    <row r="3212" spans="4:20" x14ac:dyDescent="0.2">
      <c r="D3212" s="6"/>
      <c r="E3212" s="6"/>
      <c r="F3212" s="6"/>
      <c r="G3212" s="19"/>
      <c r="H3212" s="19"/>
      <c r="I3212" s="19"/>
      <c r="J3212" s="19"/>
      <c r="K3212" s="6"/>
      <c r="L3212" s="6"/>
      <c r="M3212" s="6"/>
      <c r="N3212" s="6"/>
      <c r="O3212" s="6"/>
      <c r="P3212" s="6"/>
      <c r="Q3212" s="6"/>
      <c r="R3212" s="6"/>
      <c r="S3212" s="6"/>
      <c r="T3212" s="6"/>
    </row>
    <row r="3213" spans="4:20" x14ac:dyDescent="0.2">
      <c r="D3213" s="6"/>
      <c r="E3213" s="6"/>
      <c r="F3213" s="6"/>
      <c r="G3213" s="19"/>
      <c r="H3213" s="19"/>
      <c r="I3213" s="19"/>
      <c r="J3213" s="19"/>
      <c r="K3213" s="6"/>
      <c r="L3213" s="6"/>
      <c r="M3213" s="6"/>
      <c r="N3213" s="6"/>
      <c r="O3213" s="6"/>
      <c r="P3213" s="6"/>
      <c r="Q3213" s="6"/>
      <c r="R3213" s="6"/>
      <c r="S3213" s="6"/>
      <c r="T3213" s="6"/>
    </row>
    <row r="3214" spans="4:20" x14ac:dyDescent="0.2">
      <c r="D3214" s="6"/>
      <c r="E3214" s="6"/>
      <c r="F3214" s="6"/>
      <c r="G3214" s="19"/>
      <c r="H3214" s="19"/>
      <c r="I3214" s="19"/>
      <c r="J3214" s="19"/>
      <c r="K3214" s="6"/>
      <c r="L3214" s="6"/>
      <c r="M3214" s="6"/>
      <c r="N3214" s="6"/>
      <c r="O3214" s="6"/>
      <c r="P3214" s="6"/>
      <c r="Q3214" s="6"/>
      <c r="R3214" s="6"/>
      <c r="S3214" s="6"/>
      <c r="T3214" s="6"/>
    </row>
    <row r="3215" spans="4:20" x14ac:dyDescent="0.2">
      <c r="D3215" s="6"/>
      <c r="E3215" s="6"/>
      <c r="F3215" s="6"/>
      <c r="G3215" s="19"/>
      <c r="H3215" s="19"/>
      <c r="I3215" s="19"/>
      <c r="J3215" s="19"/>
      <c r="K3215" s="6"/>
      <c r="L3215" s="6"/>
      <c r="M3215" s="6"/>
      <c r="N3215" s="6"/>
      <c r="O3215" s="6"/>
      <c r="P3215" s="6"/>
      <c r="Q3215" s="6"/>
      <c r="R3215" s="6"/>
      <c r="S3215" s="6"/>
      <c r="T3215" s="6"/>
    </row>
    <row r="3216" spans="4:20" x14ac:dyDescent="0.2">
      <c r="D3216" s="6"/>
      <c r="E3216" s="6"/>
      <c r="F3216" s="6"/>
      <c r="G3216" s="19"/>
      <c r="H3216" s="19"/>
      <c r="I3216" s="19"/>
      <c r="J3216" s="19"/>
      <c r="K3216" s="6"/>
      <c r="L3216" s="6"/>
      <c r="M3216" s="6"/>
      <c r="N3216" s="6"/>
      <c r="O3216" s="6"/>
      <c r="P3216" s="6"/>
      <c r="Q3216" s="6"/>
      <c r="R3216" s="6"/>
      <c r="S3216" s="6"/>
      <c r="T3216" s="6"/>
    </row>
    <row r="3217" spans="4:20" x14ac:dyDescent="0.2">
      <c r="D3217" s="6"/>
      <c r="E3217" s="6"/>
      <c r="F3217" s="6"/>
      <c r="G3217" s="19"/>
      <c r="H3217" s="19"/>
      <c r="I3217" s="19"/>
      <c r="J3217" s="19"/>
      <c r="K3217" s="6"/>
      <c r="L3217" s="6"/>
      <c r="M3217" s="6"/>
      <c r="N3217" s="6"/>
      <c r="O3217" s="6"/>
      <c r="P3217" s="6"/>
      <c r="Q3217" s="6"/>
      <c r="R3217" s="6"/>
      <c r="S3217" s="6"/>
      <c r="T3217" s="6"/>
    </row>
    <row r="3218" spans="4:20" x14ac:dyDescent="0.2">
      <c r="D3218" s="6"/>
      <c r="E3218" s="6"/>
      <c r="F3218" s="6"/>
      <c r="G3218" s="19"/>
      <c r="H3218" s="19"/>
      <c r="I3218" s="19"/>
      <c r="J3218" s="19"/>
      <c r="K3218" s="6"/>
      <c r="L3218" s="6"/>
      <c r="M3218" s="6"/>
      <c r="N3218" s="6"/>
      <c r="O3218" s="6"/>
      <c r="P3218" s="6"/>
      <c r="Q3218" s="6"/>
      <c r="R3218" s="6"/>
      <c r="S3218" s="6"/>
      <c r="T3218" s="6"/>
    </row>
    <row r="3219" spans="4:20" x14ac:dyDescent="0.2">
      <c r="D3219" s="6"/>
      <c r="E3219" s="6"/>
      <c r="F3219" s="6"/>
      <c r="G3219" s="19"/>
      <c r="H3219" s="19"/>
      <c r="I3219" s="19"/>
      <c r="J3219" s="19"/>
      <c r="K3219" s="6"/>
      <c r="L3219" s="6"/>
      <c r="M3219" s="6"/>
      <c r="N3219" s="6"/>
      <c r="O3219" s="6"/>
      <c r="P3219" s="6"/>
      <c r="Q3219" s="6"/>
      <c r="R3219" s="6"/>
      <c r="S3219" s="6"/>
      <c r="T3219" s="6"/>
    </row>
    <row r="3220" spans="4:20" x14ac:dyDescent="0.2">
      <c r="D3220" s="6"/>
      <c r="E3220" s="6"/>
      <c r="F3220" s="6"/>
      <c r="G3220" s="19"/>
      <c r="H3220" s="19"/>
      <c r="I3220" s="19"/>
      <c r="J3220" s="19"/>
      <c r="K3220" s="6"/>
      <c r="L3220" s="6"/>
      <c r="M3220" s="6"/>
      <c r="N3220" s="6"/>
      <c r="O3220" s="6"/>
      <c r="P3220" s="6"/>
      <c r="Q3220" s="6"/>
      <c r="R3220" s="6"/>
      <c r="S3220" s="6"/>
      <c r="T3220" s="6"/>
    </row>
    <row r="3221" spans="4:20" x14ac:dyDescent="0.2">
      <c r="D3221" s="6"/>
      <c r="E3221" s="6"/>
      <c r="F3221" s="6"/>
      <c r="G3221" s="19"/>
      <c r="H3221" s="19"/>
      <c r="I3221" s="19"/>
      <c r="J3221" s="19"/>
      <c r="K3221" s="6"/>
      <c r="L3221" s="6"/>
      <c r="M3221" s="6"/>
      <c r="N3221" s="6"/>
      <c r="O3221" s="6"/>
      <c r="P3221" s="6"/>
      <c r="Q3221" s="6"/>
      <c r="R3221" s="6"/>
      <c r="S3221" s="6"/>
      <c r="T3221" s="6"/>
    </row>
    <row r="3222" spans="4:20" x14ac:dyDescent="0.2">
      <c r="D3222" s="6"/>
      <c r="E3222" s="6"/>
      <c r="F3222" s="6"/>
      <c r="G3222" s="19"/>
      <c r="H3222" s="19"/>
      <c r="I3222" s="19"/>
      <c r="J3222" s="19"/>
      <c r="K3222" s="6"/>
      <c r="L3222" s="6"/>
      <c r="M3222" s="6"/>
      <c r="N3222" s="6"/>
      <c r="O3222" s="6"/>
      <c r="P3222" s="6"/>
      <c r="Q3222" s="6"/>
      <c r="R3222" s="6"/>
      <c r="S3222" s="6"/>
      <c r="T3222" s="6"/>
    </row>
    <row r="3223" spans="4:20" x14ac:dyDescent="0.2">
      <c r="D3223" s="6"/>
      <c r="E3223" s="6"/>
      <c r="F3223" s="6"/>
      <c r="G3223" s="19"/>
      <c r="H3223" s="19"/>
      <c r="I3223" s="19"/>
      <c r="J3223" s="19"/>
      <c r="K3223" s="6"/>
      <c r="L3223" s="6"/>
      <c r="M3223" s="6"/>
      <c r="N3223" s="6"/>
      <c r="O3223" s="6"/>
      <c r="P3223" s="6"/>
      <c r="Q3223" s="6"/>
      <c r="R3223" s="6"/>
      <c r="S3223" s="6"/>
      <c r="T3223" s="6"/>
    </row>
    <row r="3224" spans="4:20" x14ac:dyDescent="0.2">
      <c r="D3224" s="6"/>
      <c r="E3224" s="6"/>
      <c r="F3224" s="6"/>
      <c r="G3224" s="19"/>
      <c r="H3224" s="19"/>
      <c r="I3224" s="19"/>
      <c r="J3224" s="19"/>
      <c r="K3224" s="6"/>
      <c r="L3224" s="6"/>
      <c r="M3224" s="6"/>
      <c r="N3224" s="6"/>
      <c r="O3224" s="6"/>
      <c r="P3224" s="6"/>
      <c r="Q3224" s="6"/>
      <c r="R3224" s="6"/>
      <c r="S3224" s="6"/>
      <c r="T3224" s="6"/>
    </row>
    <row r="3225" spans="4:20" x14ac:dyDescent="0.2">
      <c r="D3225" s="6"/>
      <c r="E3225" s="6"/>
      <c r="F3225" s="6"/>
      <c r="G3225" s="19"/>
      <c r="H3225" s="19"/>
      <c r="I3225" s="19"/>
      <c r="J3225" s="19"/>
      <c r="K3225" s="6"/>
      <c r="L3225" s="6"/>
      <c r="M3225" s="6"/>
      <c r="N3225" s="6"/>
      <c r="O3225" s="6"/>
      <c r="P3225" s="6"/>
      <c r="Q3225" s="6"/>
      <c r="R3225" s="6"/>
      <c r="S3225" s="6"/>
      <c r="T3225" s="6"/>
    </row>
    <row r="3226" spans="4:20" x14ac:dyDescent="0.2">
      <c r="D3226" s="6"/>
      <c r="E3226" s="6"/>
      <c r="F3226" s="6"/>
      <c r="G3226" s="19"/>
      <c r="H3226" s="19"/>
      <c r="I3226" s="19"/>
      <c r="J3226" s="19"/>
      <c r="K3226" s="6"/>
      <c r="L3226" s="6"/>
      <c r="M3226" s="6"/>
      <c r="N3226" s="6"/>
      <c r="O3226" s="6"/>
      <c r="P3226" s="6"/>
      <c r="Q3226" s="6"/>
      <c r="R3226" s="6"/>
      <c r="S3226" s="6"/>
      <c r="T3226" s="6"/>
    </row>
    <row r="3227" spans="4:20" x14ac:dyDescent="0.2">
      <c r="D3227" s="6"/>
      <c r="E3227" s="6"/>
      <c r="F3227" s="6"/>
      <c r="G3227" s="19"/>
      <c r="H3227" s="19"/>
      <c r="I3227" s="19"/>
      <c r="J3227" s="19"/>
      <c r="K3227" s="6"/>
      <c r="L3227" s="6"/>
      <c r="M3227" s="6"/>
      <c r="N3227" s="6"/>
      <c r="O3227" s="6"/>
      <c r="P3227" s="6"/>
      <c r="Q3227" s="6"/>
      <c r="R3227" s="6"/>
      <c r="S3227" s="6"/>
      <c r="T3227" s="6"/>
    </row>
    <row r="3228" spans="4:20" x14ac:dyDescent="0.2">
      <c r="D3228" s="6"/>
      <c r="E3228" s="6"/>
      <c r="F3228" s="6"/>
      <c r="G3228" s="19"/>
      <c r="H3228" s="19"/>
      <c r="I3228" s="19"/>
      <c r="J3228" s="19"/>
      <c r="K3228" s="6"/>
      <c r="L3228" s="6"/>
      <c r="M3228" s="6"/>
      <c r="N3228" s="6"/>
      <c r="O3228" s="6"/>
      <c r="P3228" s="6"/>
      <c r="Q3228" s="6"/>
      <c r="R3228" s="6"/>
      <c r="S3228" s="6"/>
      <c r="T3228" s="6"/>
    </row>
    <row r="3229" spans="4:20" x14ac:dyDescent="0.2">
      <c r="D3229" s="6"/>
      <c r="E3229" s="6"/>
      <c r="F3229" s="6"/>
      <c r="G3229" s="19"/>
      <c r="H3229" s="19"/>
      <c r="I3229" s="19"/>
      <c r="J3229" s="19"/>
      <c r="K3229" s="6"/>
      <c r="L3229" s="6"/>
      <c r="M3229" s="6"/>
      <c r="N3229" s="6"/>
      <c r="O3229" s="6"/>
      <c r="P3229" s="6"/>
      <c r="Q3229" s="6"/>
      <c r="R3229" s="6"/>
      <c r="S3229" s="6"/>
      <c r="T3229" s="6"/>
    </row>
    <row r="3230" spans="4:20" x14ac:dyDescent="0.2">
      <c r="D3230" s="6"/>
      <c r="E3230" s="6"/>
      <c r="F3230" s="6"/>
      <c r="G3230" s="19"/>
      <c r="H3230" s="19"/>
      <c r="I3230" s="19"/>
      <c r="J3230" s="19"/>
      <c r="K3230" s="6"/>
      <c r="L3230" s="6"/>
      <c r="M3230" s="6"/>
      <c r="N3230" s="6"/>
      <c r="O3230" s="6"/>
      <c r="P3230" s="6"/>
      <c r="Q3230" s="6"/>
      <c r="R3230" s="6"/>
      <c r="S3230" s="6"/>
      <c r="T3230" s="6"/>
    </row>
    <row r="3231" spans="4:20" x14ac:dyDescent="0.2">
      <c r="D3231" s="6"/>
      <c r="E3231" s="6"/>
      <c r="F3231" s="6"/>
      <c r="G3231" s="19"/>
      <c r="H3231" s="19"/>
      <c r="I3231" s="19"/>
      <c r="J3231" s="19"/>
      <c r="K3231" s="6"/>
      <c r="L3231" s="6"/>
      <c r="M3231" s="6"/>
      <c r="N3231" s="6"/>
      <c r="O3231" s="6"/>
      <c r="P3231" s="6"/>
      <c r="Q3231" s="6"/>
      <c r="R3231" s="6"/>
      <c r="S3231" s="6"/>
      <c r="T3231" s="6"/>
    </row>
    <row r="3232" spans="4:20" x14ac:dyDescent="0.2">
      <c r="D3232" s="6"/>
      <c r="E3232" s="6"/>
      <c r="F3232" s="6"/>
      <c r="G3232" s="19"/>
      <c r="H3232" s="19"/>
      <c r="I3232" s="19"/>
      <c r="J3232" s="19"/>
      <c r="K3232" s="6"/>
      <c r="L3232" s="6"/>
      <c r="M3232" s="6"/>
      <c r="N3232" s="6"/>
      <c r="O3232" s="6"/>
      <c r="P3232" s="6"/>
      <c r="Q3232" s="6"/>
      <c r="R3232" s="6"/>
      <c r="S3232" s="6"/>
      <c r="T3232" s="6"/>
    </row>
    <row r="3233" spans="4:20" x14ac:dyDescent="0.2">
      <c r="D3233" s="6"/>
      <c r="E3233" s="6"/>
      <c r="F3233" s="6"/>
      <c r="G3233" s="19"/>
      <c r="H3233" s="19"/>
      <c r="I3233" s="19"/>
      <c r="J3233" s="19"/>
      <c r="K3233" s="6"/>
      <c r="L3233" s="6"/>
      <c r="M3233" s="6"/>
      <c r="N3233" s="6"/>
      <c r="O3233" s="6"/>
      <c r="P3233" s="6"/>
      <c r="Q3233" s="6"/>
      <c r="R3233" s="6"/>
      <c r="S3233" s="6"/>
      <c r="T3233" s="6"/>
    </row>
    <row r="3234" spans="4:20" x14ac:dyDescent="0.2">
      <c r="D3234" s="6"/>
      <c r="E3234" s="6"/>
      <c r="F3234" s="6"/>
      <c r="G3234" s="19"/>
      <c r="H3234" s="19"/>
      <c r="I3234" s="19"/>
      <c r="J3234" s="19"/>
      <c r="K3234" s="6"/>
      <c r="L3234" s="6"/>
      <c r="M3234" s="6"/>
      <c r="N3234" s="6"/>
      <c r="O3234" s="6"/>
      <c r="P3234" s="6"/>
      <c r="Q3234" s="6"/>
      <c r="R3234" s="6"/>
      <c r="S3234" s="6"/>
      <c r="T3234" s="6"/>
    </row>
    <row r="3235" spans="4:20" x14ac:dyDescent="0.2">
      <c r="D3235" s="6"/>
      <c r="E3235" s="6"/>
      <c r="F3235" s="6"/>
      <c r="G3235" s="19"/>
      <c r="H3235" s="19"/>
      <c r="I3235" s="19"/>
      <c r="J3235" s="19"/>
      <c r="K3235" s="6"/>
      <c r="L3235" s="6"/>
      <c r="M3235" s="6"/>
      <c r="N3235" s="6"/>
      <c r="O3235" s="6"/>
      <c r="P3235" s="6"/>
      <c r="Q3235" s="6"/>
      <c r="R3235" s="6"/>
      <c r="S3235" s="6"/>
      <c r="T3235" s="6"/>
    </row>
    <row r="3236" spans="4:20" x14ac:dyDescent="0.2">
      <c r="D3236" s="6"/>
      <c r="E3236" s="6"/>
      <c r="F3236" s="6"/>
      <c r="G3236" s="19"/>
      <c r="H3236" s="19"/>
      <c r="I3236" s="19"/>
      <c r="J3236" s="19"/>
      <c r="K3236" s="6"/>
      <c r="L3236" s="6"/>
      <c r="M3236" s="6"/>
      <c r="N3236" s="6"/>
      <c r="O3236" s="6"/>
      <c r="P3236" s="6"/>
      <c r="Q3236" s="6"/>
      <c r="R3236" s="6"/>
      <c r="S3236" s="6"/>
      <c r="T3236" s="6"/>
    </row>
    <row r="3237" spans="4:20" x14ac:dyDescent="0.2">
      <c r="D3237" s="6"/>
      <c r="E3237" s="6"/>
      <c r="F3237" s="6"/>
      <c r="G3237" s="19"/>
      <c r="H3237" s="19"/>
      <c r="I3237" s="19"/>
      <c r="J3237" s="19"/>
      <c r="K3237" s="6"/>
      <c r="L3237" s="6"/>
      <c r="M3237" s="6"/>
      <c r="N3237" s="6"/>
      <c r="O3237" s="6"/>
      <c r="P3237" s="6"/>
      <c r="Q3237" s="6"/>
      <c r="R3237" s="6"/>
      <c r="S3237" s="6"/>
      <c r="T3237" s="6"/>
    </row>
    <row r="3238" spans="4:20" x14ac:dyDescent="0.2">
      <c r="D3238" s="6"/>
      <c r="E3238" s="6"/>
      <c r="F3238" s="6"/>
      <c r="G3238" s="19"/>
      <c r="H3238" s="19"/>
      <c r="I3238" s="19"/>
      <c r="J3238" s="19"/>
      <c r="K3238" s="6"/>
      <c r="L3238" s="6"/>
      <c r="M3238" s="6"/>
      <c r="N3238" s="6"/>
      <c r="O3238" s="6"/>
      <c r="P3238" s="6"/>
      <c r="Q3238" s="6"/>
      <c r="R3238" s="6"/>
      <c r="S3238" s="6"/>
      <c r="T3238" s="6"/>
    </row>
    <row r="3239" spans="4:20" x14ac:dyDescent="0.2">
      <c r="D3239" s="6"/>
      <c r="E3239" s="6"/>
      <c r="F3239" s="6"/>
      <c r="G3239" s="19"/>
      <c r="H3239" s="19"/>
      <c r="I3239" s="19"/>
      <c r="J3239" s="19"/>
      <c r="K3239" s="6"/>
      <c r="L3239" s="6"/>
      <c r="M3239" s="6"/>
      <c r="N3239" s="6"/>
      <c r="O3239" s="6"/>
      <c r="P3239" s="6"/>
      <c r="Q3239" s="6"/>
      <c r="R3239" s="6"/>
      <c r="S3239" s="6"/>
      <c r="T3239" s="6"/>
    </row>
    <row r="3240" spans="4:20" x14ac:dyDescent="0.2">
      <c r="D3240" s="6"/>
      <c r="E3240" s="6"/>
      <c r="F3240" s="6"/>
      <c r="G3240" s="19"/>
      <c r="H3240" s="19"/>
      <c r="I3240" s="19"/>
      <c r="J3240" s="19"/>
      <c r="K3240" s="6"/>
      <c r="L3240" s="6"/>
      <c r="M3240" s="6"/>
      <c r="N3240" s="6"/>
      <c r="O3240" s="6"/>
      <c r="P3240" s="6"/>
      <c r="Q3240" s="6"/>
      <c r="R3240" s="6"/>
      <c r="S3240" s="6"/>
      <c r="T3240" s="6"/>
    </row>
    <row r="3241" spans="4:20" x14ac:dyDescent="0.2">
      <c r="D3241" s="6"/>
      <c r="E3241" s="6"/>
      <c r="F3241" s="6"/>
      <c r="G3241" s="19"/>
      <c r="H3241" s="19"/>
      <c r="I3241" s="19"/>
      <c r="J3241" s="19"/>
      <c r="K3241" s="6"/>
      <c r="L3241" s="6"/>
      <c r="M3241" s="6"/>
      <c r="N3241" s="6"/>
      <c r="O3241" s="6"/>
      <c r="P3241" s="6"/>
      <c r="Q3241" s="6"/>
      <c r="R3241" s="6"/>
      <c r="S3241" s="6"/>
      <c r="T3241" s="6"/>
    </row>
    <row r="3242" spans="4:20" x14ac:dyDescent="0.2">
      <c r="D3242" s="6"/>
      <c r="E3242" s="6"/>
      <c r="F3242" s="6"/>
      <c r="G3242" s="19"/>
      <c r="H3242" s="19"/>
      <c r="I3242" s="19"/>
      <c r="J3242" s="19"/>
      <c r="K3242" s="6"/>
      <c r="L3242" s="6"/>
      <c r="M3242" s="6"/>
      <c r="N3242" s="6"/>
      <c r="O3242" s="6"/>
      <c r="P3242" s="6"/>
      <c r="Q3242" s="6"/>
      <c r="R3242" s="6"/>
      <c r="S3242" s="6"/>
      <c r="T3242" s="6"/>
    </row>
    <row r="3243" spans="4:20" x14ac:dyDescent="0.2">
      <c r="D3243" s="6"/>
      <c r="E3243" s="6"/>
      <c r="F3243" s="6"/>
      <c r="G3243" s="19"/>
      <c r="H3243" s="19"/>
      <c r="I3243" s="19"/>
      <c r="J3243" s="19"/>
      <c r="K3243" s="6"/>
      <c r="L3243" s="6"/>
      <c r="M3243" s="6"/>
      <c r="N3243" s="6"/>
      <c r="O3243" s="6"/>
      <c r="P3243" s="6"/>
      <c r="Q3243" s="6"/>
      <c r="R3243" s="6"/>
      <c r="S3243" s="6"/>
      <c r="T3243" s="6"/>
    </row>
    <row r="3244" spans="4:20" x14ac:dyDescent="0.2">
      <c r="D3244" s="6"/>
      <c r="E3244" s="6"/>
      <c r="F3244" s="6"/>
      <c r="G3244" s="19"/>
      <c r="H3244" s="19"/>
      <c r="I3244" s="19"/>
      <c r="J3244" s="19"/>
      <c r="K3244" s="6"/>
      <c r="L3244" s="6"/>
      <c r="M3244" s="6"/>
      <c r="N3244" s="6"/>
      <c r="O3244" s="6"/>
      <c r="P3244" s="6"/>
      <c r="Q3244" s="6"/>
      <c r="R3244" s="6"/>
      <c r="S3244" s="6"/>
      <c r="T3244" s="6"/>
    </row>
    <row r="3245" spans="4:20" x14ac:dyDescent="0.2">
      <c r="D3245" s="6"/>
      <c r="E3245" s="6"/>
      <c r="F3245" s="6"/>
      <c r="G3245" s="19"/>
      <c r="H3245" s="19"/>
      <c r="I3245" s="19"/>
      <c r="J3245" s="19"/>
      <c r="K3245" s="6"/>
      <c r="L3245" s="6"/>
      <c r="M3245" s="6"/>
      <c r="N3245" s="6"/>
      <c r="O3245" s="6"/>
      <c r="P3245" s="6"/>
      <c r="Q3245" s="6"/>
      <c r="R3245" s="6"/>
      <c r="S3245" s="6"/>
      <c r="T3245" s="6"/>
    </row>
    <row r="3246" spans="4:20" x14ac:dyDescent="0.2">
      <c r="D3246" s="6"/>
      <c r="E3246" s="6"/>
      <c r="F3246" s="6"/>
      <c r="G3246" s="19"/>
      <c r="H3246" s="19"/>
      <c r="I3246" s="19"/>
      <c r="J3246" s="19"/>
      <c r="K3246" s="6"/>
      <c r="L3246" s="6"/>
      <c r="M3246" s="6"/>
      <c r="N3246" s="6"/>
      <c r="O3246" s="6"/>
      <c r="P3246" s="6"/>
      <c r="Q3246" s="6"/>
      <c r="R3246" s="6"/>
      <c r="S3246" s="6"/>
      <c r="T3246" s="6"/>
    </row>
    <row r="3247" spans="4:20" x14ac:dyDescent="0.2">
      <c r="D3247" s="6"/>
      <c r="E3247" s="6"/>
      <c r="F3247" s="6"/>
      <c r="G3247" s="19"/>
      <c r="H3247" s="19"/>
      <c r="I3247" s="19"/>
      <c r="J3247" s="19"/>
      <c r="K3247" s="6"/>
      <c r="L3247" s="6"/>
      <c r="M3247" s="6"/>
      <c r="N3247" s="6"/>
      <c r="O3247" s="6"/>
      <c r="P3247" s="6"/>
      <c r="Q3247" s="6"/>
      <c r="R3247" s="6"/>
      <c r="S3247" s="6"/>
      <c r="T3247" s="6"/>
    </row>
    <row r="3248" spans="4:20" x14ac:dyDescent="0.2">
      <c r="D3248" s="6"/>
      <c r="E3248" s="6"/>
      <c r="F3248" s="6"/>
      <c r="G3248" s="19"/>
      <c r="H3248" s="19"/>
      <c r="I3248" s="19"/>
      <c r="J3248" s="19"/>
      <c r="K3248" s="6"/>
      <c r="L3248" s="6"/>
      <c r="M3248" s="6"/>
      <c r="N3248" s="6"/>
      <c r="O3248" s="6"/>
      <c r="P3248" s="6"/>
      <c r="Q3248" s="6"/>
      <c r="R3248" s="6"/>
      <c r="S3248" s="6"/>
      <c r="T3248" s="6"/>
    </row>
    <row r="3249" spans="4:20" x14ac:dyDescent="0.2">
      <c r="D3249" s="6"/>
      <c r="E3249" s="6"/>
      <c r="F3249" s="6"/>
      <c r="G3249" s="19"/>
      <c r="H3249" s="19"/>
      <c r="I3249" s="19"/>
      <c r="J3249" s="19"/>
      <c r="K3249" s="6"/>
      <c r="L3249" s="6"/>
      <c r="M3249" s="6"/>
      <c r="N3249" s="6"/>
      <c r="O3249" s="6"/>
      <c r="P3249" s="6"/>
      <c r="Q3249" s="6"/>
      <c r="R3249" s="6"/>
      <c r="S3249" s="6"/>
      <c r="T3249" s="6"/>
    </row>
    <row r="3250" spans="4:20" x14ac:dyDescent="0.2">
      <c r="D3250" s="6"/>
      <c r="E3250" s="6"/>
      <c r="F3250" s="6"/>
      <c r="G3250" s="19"/>
      <c r="H3250" s="19"/>
      <c r="I3250" s="19"/>
      <c r="J3250" s="19"/>
      <c r="K3250" s="6"/>
      <c r="L3250" s="6"/>
      <c r="M3250" s="6"/>
      <c r="N3250" s="6"/>
      <c r="O3250" s="6"/>
      <c r="P3250" s="6"/>
      <c r="Q3250" s="6"/>
      <c r="R3250" s="6"/>
      <c r="S3250" s="6"/>
      <c r="T3250" s="6"/>
    </row>
    <row r="3251" spans="4:20" x14ac:dyDescent="0.2">
      <c r="D3251" s="6"/>
      <c r="E3251" s="6"/>
      <c r="F3251" s="6"/>
      <c r="G3251" s="19"/>
      <c r="H3251" s="19"/>
      <c r="I3251" s="19"/>
      <c r="J3251" s="19"/>
      <c r="K3251" s="6"/>
      <c r="L3251" s="6"/>
      <c r="M3251" s="6"/>
      <c r="N3251" s="6"/>
      <c r="O3251" s="6"/>
      <c r="P3251" s="6"/>
      <c r="Q3251" s="6"/>
      <c r="R3251" s="6"/>
      <c r="S3251" s="6"/>
      <c r="T3251" s="6"/>
    </row>
    <row r="3252" spans="4:20" x14ac:dyDescent="0.2">
      <c r="D3252" s="6"/>
      <c r="E3252" s="6"/>
      <c r="F3252" s="6"/>
      <c r="G3252" s="19"/>
      <c r="H3252" s="19"/>
      <c r="I3252" s="19"/>
      <c r="J3252" s="19"/>
      <c r="K3252" s="6"/>
      <c r="L3252" s="6"/>
      <c r="M3252" s="6"/>
      <c r="N3252" s="6"/>
      <c r="O3252" s="6"/>
      <c r="P3252" s="6"/>
      <c r="Q3252" s="6"/>
      <c r="R3252" s="6"/>
      <c r="S3252" s="6"/>
      <c r="T3252" s="6"/>
    </row>
    <row r="3253" spans="4:20" x14ac:dyDescent="0.2">
      <c r="D3253" s="6"/>
      <c r="E3253" s="6"/>
      <c r="F3253" s="6"/>
      <c r="G3253" s="19"/>
      <c r="H3253" s="19"/>
      <c r="I3253" s="19"/>
      <c r="J3253" s="19"/>
      <c r="K3253" s="6"/>
      <c r="L3253" s="6"/>
      <c r="M3253" s="6"/>
      <c r="N3253" s="6"/>
      <c r="O3253" s="6"/>
      <c r="P3253" s="6"/>
      <c r="Q3253" s="6"/>
      <c r="R3253" s="6"/>
      <c r="S3253" s="6"/>
      <c r="T3253" s="6"/>
    </row>
    <row r="3254" spans="4:20" x14ac:dyDescent="0.2">
      <c r="D3254" s="6"/>
      <c r="E3254" s="6"/>
      <c r="F3254" s="6"/>
      <c r="G3254" s="19"/>
      <c r="H3254" s="19"/>
      <c r="I3254" s="19"/>
      <c r="J3254" s="19"/>
      <c r="K3254" s="6"/>
      <c r="L3254" s="6"/>
      <c r="M3254" s="6"/>
      <c r="N3254" s="6"/>
      <c r="O3254" s="6"/>
      <c r="P3254" s="6"/>
      <c r="Q3254" s="6"/>
      <c r="R3254" s="6"/>
      <c r="S3254" s="6"/>
      <c r="T3254" s="6"/>
    </row>
    <row r="3255" spans="4:20" x14ac:dyDescent="0.2">
      <c r="D3255" s="6"/>
      <c r="E3255" s="6"/>
      <c r="F3255" s="6"/>
      <c r="G3255" s="19"/>
      <c r="H3255" s="19"/>
      <c r="I3255" s="19"/>
      <c r="J3255" s="19"/>
      <c r="K3255" s="6"/>
      <c r="L3255" s="6"/>
      <c r="M3255" s="6"/>
      <c r="N3255" s="6"/>
      <c r="O3255" s="6"/>
      <c r="P3255" s="6"/>
      <c r="Q3255" s="6"/>
      <c r="R3255" s="6"/>
      <c r="S3255" s="6"/>
      <c r="T3255" s="6"/>
    </row>
    <row r="3256" spans="4:20" x14ac:dyDescent="0.2">
      <c r="D3256" s="6"/>
      <c r="E3256" s="6"/>
      <c r="F3256" s="6"/>
      <c r="G3256" s="19"/>
      <c r="H3256" s="19"/>
      <c r="I3256" s="19"/>
      <c r="J3256" s="19"/>
      <c r="K3256" s="6"/>
      <c r="L3256" s="6"/>
      <c r="M3256" s="6"/>
      <c r="N3256" s="6"/>
      <c r="O3256" s="6"/>
      <c r="P3256" s="6"/>
      <c r="Q3256" s="6"/>
      <c r="R3256" s="6"/>
      <c r="S3256" s="6"/>
      <c r="T3256" s="6"/>
    </row>
    <row r="3257" spans="4:20" x14ac:dyDescent="0.2">
      <c r="D3257" s="6"/>
      <c r="E3257" s="6"/>
      <c r="F3257" s="6"/>
      <c r="G3257" s="19"/>
      <c r="H3257" s="19"/>
      <c r="I3257" s="19"/>
      <c r="J3257" s="19"/>
      <c r="K3257" s="6"/>
      <c r="L3257" s="6"/>
      <c r="M3257" s="6"/>
      <c r="N3257" s="6"/>
      <c r="O3257" s="6"/>
      <c r="P3257" s="6"/>
      <c r="Q3257" s="6"/>
      <c r="R3257" s="6"/>
      <c r="S3257" s="6"/>
      <c r="T3257" s="6"/>
    </row>
    <row r="3258" spans="4:20" x14ac:dyDescent="0.2">
      <c r="D3258" s="6"/>
      <c r="E3258" s="6"/>
      <c r="F3258" s="6"/>
      <c r="G3258" s="19"/>
      <c r="H3258" s="19"/>
      <c r="I3258" s="19"/>
      <c r="J3258" s="19"/>
      <c r="K3258" s="6"/>
      <c r="L3258" s="6"/>
      <c r="M3258" s="6"/>
      <c r="N3258" s="6"/>
      <c r="O3258" s="6"/>
      <c r="P3258" s="6"/>
      <c r="Q3258" s="6"/>
      <c r="R3258" s="6"/>
      <c r="S3258" s="6"/>
      <c r="T3258" s="6"/>
    </row>
    <row r="3259" spans="4:20" x14ac:dyDescent="0.2">
      <c r="D3259" s="6"/>
      <c r="E3259" s="6"/>
      <c r="F3259" s="6"/>
      <c r="G3259" s="19"/>
      <c r="H3259" s="19"/>
      <c r="I3259" s="19"/>
      <c r="J3259" s="19"/>
      <c r="K3259" s="6"/>
      <c r="L3259" s="6"/>
      <c r="M3259" s="6"/>
      <c r="N3259" s="6"/>
      <c r="O3259" s="6"/>
      <c r="P3259" s="6"/>
      <c r="Q3259" s="6"/>
      <c r="R3259" s="6"/>
      <c r="S3259" s="6"/>
      <c r="T3259" s="6"/>
    </row>
    <row r="3260" spans="4:20" x14ac:dyDescent="0.2">
      <c r="D3260" s="6"/>
      <c r="E3260" s="6"/>
      <c r="F3260" s="6"/>
      <c r="G3260" s="19"/>
      <c r="H3260" s="19"/>
      <c r="I3260" s="19"/>
      <c r="J3260" s="19"/>
      <c r="K3260" s="6"/>
      <c r="L3260" s="6"/>
      <c r="M3260" s="6"/>
      <c r="N3260" s="6"/>
      <c r="O3260" s="6"/>
      <c r="P3260" s="6"/>
      <c r="Q3260" s="6"/>
      <c r="R3260" s="6"/>
      <c r="S3260" s="6"/>
      <c r="T3260" s="6"/>
    </row>
    <row r="3261" spans="4:20" x14ac:dyDescent="0.2">
      <c r="D3261" s="6"/>
      <c r="E3261" s="6"/>
      <c r="F3261" s="6"/>
      <c r="G3261" s="19"/>
      <c r="H3261" s="19"/>
      <c r="I3261" s="19"/>
      <c r="J3261" s="19"/>
      <c r="K3261" s="6"/>
      <c r="L3261" s="6"/>
      <c r="M3261" s="6"/>
      <c r="N3261" s="6"/>
      <c r="O3261" s="6"/>
      <c r="P3261" s="6"/>
      <c r="Q3261" s="6"/>
      <c r="R3261" s="6"/>
      <c r="S3261" s="6"/>
      <c r="T3261" s="6"/>
    </row>
    <row r="3262" spans="4:20" x14ac:dyDescent="0.2">
      <c r="D3262" s="6"/>
      <c r="E3262" s="6"/>
      <c r="F3262" s="6"/>
      <c r="G3262" s="19"/>
      <c r="H3262" s="19"/>
      <c r="I3262" s="19"/>
      <c r="J3262" s="19"/>
      <c r="K3262" s="6"/>
      <c r="L3262" s="6"/>
      <c r="M3262" s="6"/>
      <c r="N3262" s="6"/>
      <c r="O3262" s="6"/>
      <c r="P3262" s="6"/>
      <c r="Q3262" s="6"/>
      <c r="R3262" s="6"/>
      <c r="S3262" s="6"/>
      <c r="T3262" s="6"/>
    </row>
    <row r="3263" spans="4:20" x14ac:dyDescent="0.2">
      <c r="D3263" s="6"/>
      <c r="E3263" s="6"/>
      <c r="F3263" s="6"/>
      <c r="G3263" s="19"/>
      <c r="H3263" s="19"/>
      <c r="I3263" s="19"/>
      <c r="J3263" s="19"/>
      <c r="K3263" s="6"/>
      <c r="L3263" s="6"/>
      <c r="M3263" s="6"/>
      <c r="N3263" s="6"/>
      <c r="O3263" s="6"/>
      <c r="P3263" s="6"/>
      <c r="Q3263" s="6"/>
      <c r="R3263" s="6"/>
      <c r="S3263" s="6"/>
      <c r="T3263" s="6"/>
    </row>
    <row r="3264" spans="4:20" x14ac:dyDescent="0.2">
      <c r="D3264" s="6"/>
      <c r="E3264" s="6"/>
      <c r="F3264" s="6"/>
      <c r="G3264" s="19"/>
      <c r="H3264" s="19"/>
      <c r="I3264" s="19"/>
      <c r="J3264" s="19"/>
      <c r="K3264" s="6"/>
      <c r="L3264" s="6"/>
      <c r="M3264" s="6"/>
      <c r="N3264" s="6"/>
      <c r="O3264" s="6"/>
      <c r="P3264" s="6"/>
      <c r="Q3264" s="6"/>
      <c r="R3264" s="6"/>
      <c r="S3264" s="6"/>
      <c r="T3264" s="6"/>
    </row>
    <row r="3265" spans="4:20" x14ac:dyDescent="0.2">
      <c r="D3265" s="6"/>
      <c r="E3265" s="6"/>
      <c r="F3265" s="6"/>
      <c r="G3265" s="19"/>
      <c r="H3265" s="19"/>
      <c r="I3265" s="19"/>
      <c r="J3265" s="19"/>
      <c r="K3265" s="6"/>
      <c r="L3265" s="6"/>
      <c r="M3265" s="6"/>
      <c r="N3265" s="6"/>
      <c r="O3265" s="6"/>
      <c r="P3265" s="6"/>
      <c r="Q3265" s="6"/>
      <c r="R3265" s="6"/>
      <c r="S3265" s="6"/>
      <c r="T3265" s="6"/>
    </row>
    <row r="3266" spans="4:20" x14ac:dyDescent="0.2">
      <c r="D3266" s="6"/>
      <c r="E3266" s="6"/>
      <c r="F3266" s="6"/>
      <c r="G3266" s="19"/>
      <c r="H3266" s="19"/>
      <c r="I3266" s="19"/>
      <c r="J3266" s="19"/>
      <c r="K3266" s="6"/>
      <c r="L3266" s="6"/>
      <c r="M3266" s="6"/>
      <c r="N3266" s="6"/>
      <c r="O3266" s="6"/>
      <c r="P3266" s="6"/>
      <c r="Q3266" s="6"/>
      <c r="R3266" s="6"/>
      <c r="S3266" s="6"/>
      <c r="T3266" s="6"/>
    </row>
    <row r="3267" spans="4:20" x14ac:dyDescent="0.2">
      <c r="D3267" s="6"/>
      <c r="E3267" s="6"/>
      <c r="F3267" s="6"/>
      <c r="G3267" s="19"/>
      <c r="H3267" s="19"/>
      <c r="I3267" s="19"/>
      <c r="J3267" s="19"/>
      <c r="K3267" s="6"/>
      <c r="L3267" s="6"/>
      <c r="M3267" s="6"/>
      <c r="N3267" s="6"/>
      <c r="O3267" s="6"/>
      <c r="P3267" s="6"/>
      <c r="Q3267" s="6"/>
      <c r="R3267" s="6"/>
      <c r="S3267" s="6"/>
      <c r="T3267" s="6"/>
    </row>
    <row r="3268" spans="4:20" x14ac:dyDescent="0.2">
      <c r="D3268" s="6"/>
      <c r="E3268" s="6"/>
      <c r="F3268" s="6"/>
      <c r="G3268" s="19"/>
      <c r="H3268" s="19"/>
      <c r="I3268" s="19"/>
      <c r="J3268" s="19"/>
      <c r="K3268" s="6"/>
      <c r="L3268" s="6"/>
      <c r="M3268" s="6"/>
      <c r="N3268" s="6"/>
      <c r="O3268" s="6"/>
      <c r="P3268" s="6"/>
      <c r="Q3268" s="6"/>
      <c r="R3268" s="6"/>
      <c r="S3268" s="6"/>
      <c r="T3268" s="6"/>
    </row>
    <row r="3269" spans="4:20" x14ac:dyDescent="0.2">
      <c r="D3269" s="6"/>
      <c r="E3269" s="6"/>
      <c r="F3269" s="6"/>
      <c r="G3269" s="19"/>
      <c r="H3269" s="19"/>
      <c r="I3269" s="19"/>
      <c r="J3269" s="19"/>
      <c r="K3269" s="6"/>
      <c r="L3269" s="6"/>
      <c r="M3269" s="6"/>
      <c r="N3269" s="6"/>
      <c r="O3269" s="6"/>
      <c r="P3269" s="6"/>
      <c r="Q3269" s="6"/>
      <c r="R3269" s="6"/>
      <c r="S3269" s="6"/>
      <c r="T3269" s="6"/>
    </row>
    <row r="3270" spans="4:20" x14ac:dyDescent="0.2">
      <c r="D3270" s="6"/>
      <c r="E3270" s="6"/>
      <c r="F3270" s="6"/>
      <c r="G3270" s="19"/>
      <c r="H3270" s="19"/>
      <c r="I3270" s="19"/>
      <c r="J3270" s="19"/>
      <c r="K3270" s="6"/>
      <c r="L3270" s="6"/>
      <c r="M3270" s="6"/>
      <c r="N3270" s="6"/>
      <c r="O3270" s="6"/>
      <c r="P3270" s="6"/>
      <c r="Q3270" s="6"/>
      <c r="R3270" s="6"/>
      <c r="S3270" s="6"/>
      <c r="T3270" s="6"/>
    </row>
    <row r="3271" spans="4:20" x14ac:dyDescent="0.2">
      <c r="D3271" s="6"/>
      <c r="E3271" s="6"/>
      <c r="F3271" s="6"/>
      <c r="G3271" s="19"/>
      <c r="H3271" s="19"/>
      <c r="I3271" s="19"/>
      <c r="J3271" s="19"/>
      <c r="K3271" s="6"/>
      <c r="L3271" s="6"/>
      <c r="M3271" s="6"/>
      <c r="N3271" s="6"/>
      <c r="O3271" s="6"/>
      <c r="P3271" s="6"/>
      <c r="Q3271" s="6"/>
      <c r="R3271" s="6"/>
      <c r="S3271" s="6"/>
      <c r="T3271" s="6"/>
    </row>
    <row r="3272" spans="4:20" x14ac:dyDescent="0.2">
      <c r="D3272" s="6"/>
      <c r="E3272" s="6"/>
      <c r="F3272" s="6"/>
      <c r="G3272" s="19"/>
      <c r="H3272" s="19"/>
      <c r="I3272" s="19"/>
      <c r="J3272" s="19"/>
      <c r="K3272" s="6"/>
      <c r="L3272" s="6"/>
      <c r="M3272" s="6"/>
      <c r="N3272" s="6"/>
      <c r="O3272" s="6"/>
      <c r="P3272" s="6"/>
      <c r="Q3272" s="6"/>
      <c r="R3272" s="6"/>
      <c r="S3272" s="6"/>
      <c r="T3272" s="6"/>
    </row>
    <row r="3273" spans="4:20" x14ac:dyDescent="0.2">
      <c r="D3273" s="6"/>
      <c r="E3273" s="6"/>
      <c r="F3273" s="6"/>
      <c r="G3273" s="19"/>
      <c r="H3273" s="19"/>
      <c r="I3273" s="19"/>
      <c r="J3273" s="19"/>
      <c r="K3273" s="6"/>
      <c r="L3273" s="6"/>
      <c r="M3273" s="6"/>
      <c r="N3273" s="6"/>
      <c r="O3273" s="6"/>
      <c r="P3273" s="6"/>
      <c r="Q3273" s="6"/>
      <c r="R3273" s="6"/>
      <c r="S3273" s="6"/>
      <c r="T3273" s="6"/>
    </row>
    <row r="3274" spans="4:20" x14ac:dyDescent="0.2">
      <c r="D3274" s="6"/>
      <c r="E3274" s="6"/>
      <c r="F3274" s="6"/>
      <c r="G3274" s="19"/>
      <c r="H3274" s="19"/>
      <c r="I3274" s="19"/>
      <c r="J3274" s="19"/>
      <c r="K3274" s="6"/>
      <c r="L3274" s="6"/>
      <c r="M3274" s="6"/>
      <c r="N3274" s="6"/>
      <c r="O3274" s="6"/>
      <c r="P3274" s="6"/>
      <c r="Q3274" s="6"/>
      <c r="R3274" s="6"/>
      <c r="S3274" s="6"/>
      <c r="T3274" s="6"/>
    </row>
    <row r="3275" spans="4:20" x14ac:dyDescent="0.2">
      <c r="D3275" s="6"/>
      <c r="E3275" s="6"/>
      <c r="F3275" s="6"/>
      <c r="G3275" s="19"/>
      <c r="H3275" s="19"/>
      <c r="I3275" s="19"/>
      <c r="J3275" s="19"/>
      <c r="K3275" s="6"/>
      <c r="L3275" s="6"/>
      <c r="M3275" s="6"/>
      <c r="N3275" s="6"/>
      <c r="O3275" s="6"/>
      <c r="P3275" s="6"/>
      <c r="Q3275" s="6"/>
      <c r="R3275" s="6"/>
      <c r="S3275" s="6"/>
      <c r="T3275" s="6"/>
    </row>
    <row r="3276" spans="4:20" x14ac:dyDescent="0.2">
      <c r="D3276" s="6"/>
      <c r="E3276" s="6"/>
      <c r="F3276" s="6"/>
      <c r="G3276" s="19"/>
      <c r="H3276" s="19"/>
      <c r="I3276" s="19"/>
      <c r="J3276" s="19"/>
      <c r="K3276" s="6"/>
      <c r="L3276" s="6"/>
      <c r="M3276" s="6"/>
      <c r="N3276" s="6"/>
      <c r="O3276" s="6"/>
      <c r="P3276" s="6"/>
      <c r="Q3276" s="6"/>
      <c r="R3276" s="6"/>
      <c r="S3276" s="6"/>
      <c r="T3276" s="6"/>
    </row>
    <row r="3277" spans="4:20" x14ac:dyDescent="0.2">
      <c r="D3277" s="6"/>
      <c r="E3277" s="6"/>
      <c r="F3277" s="6"/>
      <c r="G3277" s="19"/>
      <c r="H3277" s="19"/>
      <c r="I3277" s="19"/>
      <c r="J3277" s="19"/>
      <c r="K3277" s="6"/>
      <c r="L3277" s="6"/>
      <c r="M3277" s="6"/>
      <c r="N3277" s="6"/>
      <c r="O3277" s="6"/>
      <c r="P3277" s="6"/>
      <c r="Q3277" s="6"/>
      <c r="R3277" s="6"/>
      <c r="S3277" s="6"/>
      <c r="T3277" s="6"/>
    </row>
    <row r="3278" spans="4:20" x14ac:dyDescent="0.2">
      <c r="D3278" s="6"/>
      <c r="E3278" s="6"/>
      <c r="F3278" s="6"/>
      <c r="G3278" s="19"/>
      <c r="H3278" s="19"/>
      <c r="I3278" s="19"/>
      <c r="J3278" s="19"/>
      <c r="K3278" s="6"/>
      <c r="L3278" s="6"/>
      <c r="M3278" s="6"/>
      <c r="N3278" s="6"/>
      <c r="O3278" s="6"/>
      <c r="P3278" s="6"/>
      <c r="Q3278" s="6"/>
      <c r="R3278" s="6"/>
      <c r="S3278" s="6"/>
      <c r="T3278" s="6"/>
    </row>
    <row r="3279" spans="4:20" x14ac:dyDescent="0.2">
      <c r="D3279" s="6"/>
      <c r="E3279" s="6"/>
      <c r="F3279" s="6"/>
      <c r="G3279" s="19"/>
      <c r="H3279" s="19"/>
      <c r="I3279" s="19"/>
      <c r="J3279" s="19"/>
      <c r="K3279" s="6"/>
      <c r="L3279" s="6"/>
      <c r="M3279" s="6"/>
      <c r="N3279" s="6"/>
      <c r="O3279" s="6"/>
      <c r="P3279" s="6"/>
      <c r="Q3279" s="6"/>
      <c r="R3279" s="6"/>
      <c r="S3279" s="6"/>
      <c r="T3279" s="6"/>
    </row>
    <row r="3280" spans="4:20" x14ac:dyDescent="0.2">
      <c r="D3280" s="6"/>
      <c r="E3280" s="6"/>
      <c r="F3280" s="6"/>
      <c r="G3280" s="19"/>
      <c r="H3280" s="19"/>
      <c r="I3280" s="19"/>
      <c r="J3280" s="19"/>
      <c r="K3280" s="6"/>
      <c r="L3280" s="6"/>
      <c r="M3280" s="6"/>
      <c r="N3280" s="6"/>
      <c r="O3280" s="6"/>
      <c r="P3280" s="6"/>
      <c r="Q3280" s="6"/>
      <c r="R3280" s="6"/>
      <c r="S3280" s="6"/>
      <c r="T3280" s="6"/>
    </row>
    <row r="3281" spans="4:20" x14ac:dyDescent="0.2">
      <c r="D3281" s="6"/>
      <c r="E3281" s="6"/>
      <c r="F3281" s="6"/>
      <c r="G3281" s="19"/>
      <c r="H3281" s="19"/>
      <c r="I3281" s="19"/>
      <c r="J3281" s="19"/>
      <c r="K3281" s="6"/>
      <c r="L3281" s="6"/>
      <c r="M3281" s="6"/>
      <c r="N3281" s="6"/>
      <c r="O3281" s="6"/>
      <c r="P3281" s="6"/>
      <c r="Q3281" s="6"/>
      <c r="R3281" s="6"/>
      <c r="S3281" s="6"/>
      <c r="T3281" s="6"/>
    </row>
    <row r="3282" spans="4:20" x14ac:dyDescent="0.2">
      <c r="D3282" s="6"/>
      <c r="E3282" s="6"/>
      <c r="F3282" s="6"/>
      <c r="G3282" s="19"/>
      <c r="H3282" s="19"/>
      <c r="I3282" s="19"/>
      <c r="J3282" s="19"/>
      <c r="K3282" s="6"/>
      <c r="L3282" s="6"/>
      <c r="M3282" s="6"/>
      <c r="N3282" s="6"/>
      <c r="O3282" s="6"/>
      <c r="P3282" s="6"/>
      <c r="Q3282" s="6"/>
      <c r="R3282" s="6"/>
      <c r="S3282" s="6"/>
      <c r="T3282" s="6"/>
    </row>
    <row r="3283" spans="4:20" x14ac:dyDescent="0.2">
      <c r="D3283" s="6"/>
      <c r="E3283" s="6"/>
      <c r="F3283" s="6"/>
      <c r="G3283" s="19"/>
      <c r="H3283" s="19"/>
      <c r="I3283" s="19"/>
      <c r="J3283" s="19"/>
      <c r="K3283" s="6"/>
      <c r="L3283" s="6"/>
      <c r="M3283" s="6"/>
      <c r="N3283" s="6"/>
      <c r="O3283" s="6"/>
      <c r="P3283" s="6"/>
      <c r="Q3283" s="6"/>
      <c r="R3283" s="6"/>
      <c r="S3283" s="6"/>
      <c r="T3283" s="6"/>
    </row>
    <row r="3284" spans="4:20" x14ac:dyDescent="0.2">
      <c r="D3284" s="6"/>
      <c r="E3284" s="6"/>
      <c r="F3284" s="6"/>
      <c r="G3284" s="19"/>
      <c r="H3284" s="19"/>
      <c r="I3284" s="19"/>
      <c r="J3284" s="19"/>
      <c r="K3284" s="6"/>
      <c r="L3284" s="6"/>
      <c r="M3284" s="6"/>
      <c r="N3284" s="6"/>
      <c r="O3284" s="6"/>
      <c r="P3284" s="6"/>
      <c r="Q3284" s="6"/>
      <c r="R3284" s="6"/>
      <c r="S3284" s="6"/>
      <c r="T3284" s="6"/>
    </row>
    <row r="3285" spans="4:20" x14ac:dyDescent="0.2">
      <c r="D3285" s="6"/>
      <c r="E3285" s="6"/>
      <c r="F3285" s="6"/>
      <c r="G3285" s="19"/>
      <c r="H3285" s="19"/>
      <c r="I3285" s="19"/>
      <c r="J3285" s="19"/>
      <c r="K3285" s="6"/>
      <c r="L3285" s="6"/>
      <c r="M3285" s="6"/>
      <c r="N3285" s="6"/>
      <c r="O3285" s="6"/>
      <c r="P3285" s="6"/>
      <c r="Q3285" s="6"/>
      <c r="R3285" s="6"/>
      <c r="S3285" s="6"/>
      <c r="T3285" s="6"/>
    </row>
    <row r="3286" spans="4:20" x14ac:dyDescent="0.2">
      <c r="D3286" s="6"/>
      <c r="E3286" s="6"/>
      <c r="F3286" s="6"/>
      <c r="G3286" s="19"/>
      <c r="H3286" s="19"/>
      <c r="I3286" s="19"/>
      <c r="J3286" s="19"/>
      <c r="K3286" s="6"/>
      <c r="L3286" s="6"/>
      <c r="M3286" s="6"/>
      <c r="N3286" s="6"/>
      <c r="O3286" s="6"/>
      <c r="P3286" s="6"/>
      <c r="Q3286" s="6"/>
      <c r="R3286" s="6"/>
      <c r="S3286" s="6"/>
      <c r="T3286" s="6"/>
    </row>
    <row r="3287" spans="4:20" x14ac:dyDescent="0.2">
      <c r="D3287" s="6"/>
      <c r="E3287" s="6"/>
      <c r="F3287" s="6"/>
      <c r="G3287" s="19"/>
      <c r="H3287" s="19"/>
      <c r="I3287" s="19"/>
      <c r="J3287" s="19"/>
      <c r="K3287" s="6"/>
      <c r="L3287" s="6"/>
      <c r="M3287" s="6"/>
      <c r="N3287" s="6"/>
      <c r="O3287" s="6"/>
      <c r="P3287" s="6"/>
      <c r="Q3287" s="6"/>
      <c r="R3287" s="6"/>
      <c r="S3287" s="6"/>
      <c r="T3287" s="6"/>
    </row>
    <row r="3288" spans="4:20" x14ac:dyDescent="0.2">
      <c r="D3288" s="6"/>
      <c r="E3288" s="6"/>
      <c r="F3288" s="6"/>
      <c r="G3288" s="19"/>
      <c r="H3288" s="19"/>
      <c r="I3288" s="19"/>
      <c r="J3288" s="19"/>
      <c r="K3288" s="6"/>
      <c r="L3288" s="6"/>
      <c r="M3288" s="6"/>
      <c r="N3288" s="6"/>
      <c r="O3288" s="6"/>
      <c r="P3288" s="6"/>
      <c r="Q3288" s="6"/>
      <c r="R3288" s="6"/>
      <c r="S3288" s="6"/>
      <c r="T3288" s="6"/>
    </row>
    <row r="3289" spans="4:20" x14ac:dyDescent="0.2">
      <c r="D3289" s="6"/>
      <c r="E3289" s="6"/>
      <c r="F3289" s="6"/>
      <c r="G3289" s="19"/>
      <c r="H3289" s="19"/>
      <c r="I3289" s="19"/>
      <c r="J3289" s="19"/>
      <c r="K3289" s="6"/>
      <c r="L3289" s="6"/>
      <c r="M3289" s="6"/>
      <c r="N3289" s="6"/>
      <c r="O3289" s="6"/>
      <c r="P3289" s="6"/>
      <c r="Q3289" s="6"/>
      <c r="R3289" s="6"/>
      <c r="S3289" s="6"/>
      <c r="T3289" s="6"/>
    </row>
    <row r="3290" spans="4:20" x14ac:dyDescent="0.2">
      <c r="D3290" s="6"/>
      <c r="E3290" s="6"/>
      <c r="F3290" s="6"/>
      <c r="G3290" s="19"/>
      <c r="H3290" s="19"/>
      <c r="I3290" s="19"/>
      <c r="J3290" s="19"/>
      <c r="K3290" s="6"/>
      <c r="L3290" s="6"/>
      <c r="M3290" s="6"/>
      <c r="N3290" s="6"/>
      <c r="O3290" s="6"/>
      <c r="P3290" s="6"/>
      <c r="Q3290" s="6"/>
      <c r="R3290" s="6"/>
      <c r="S3290" s="6"/>
      <c r="T3290" s="6"/>
    </row>
    <row r="3291" spans="4:20" x14ac:dyDescent="0.2">
      <c r="D3291" s="6"/>
      <c r="E3291" s="6"/>
      <c r="F3291" s="6"/>
      <c r="G3291" s="19"/>
      <c r="H3291" s="19"/>
      <c r="I3291" s="19"/>
      <c r="J3291" s="19"/>
      <c r="K3291" s="6"/>
      <c r="L3291" s="6"/>
      <c r="M3291" s="6"/>
      <c r="N3291" s="6"/>
      <c r="O3291" s="6"/>
      <c r="P3291" s="6"/>
      <c r="Q3291" s="6"/>
      <c r="R3291" s="6"/>
      <c r="S3291" s="6"/>
      <c r="T3291" s="6"/>
    </row>
    <row r="3292" spans="4:20" x14ac:dyDescent="0.2">
      <c r="D3292" s="6"/>
      <c r="E3292" s="6"/>
      <c r="F3292" s="6"/>
      <c r="G3292" s="19"/>
      <c r="H3292" s="19"/>
      <c r="I3292" s="19"/>
      <c r="J3292" s="19"/>
      <c r="K3292" s="6"/>
      <c r="L3292" s="6"/>
      <c r="M3292" s="6"/>
      <c r="N3292" s="6"/>
      <c r="O3292" s="6"/>
      <c r="P3292" s="6"/>
      <c r="Q3292" s="6"/>
      <c r="R3292" s="6"/>
      <c r="S3292" s="6"/>
      <c r="T3292" s="6"/>
    </row>
    <row r="3293" spans="4:20" x14ac:dyDescent="0.2">
      <c r="D3293" s="6"/>
      <c r="E3293" s="6"/>
      <c r="F3293" s="6"/>
      <c r="G3293" s="19"/>
      <c r="H3293" s="19"/>
      <c r="I3293" s="19"/>
      <c r="J3293" s="19"/>
      <c r="K3293" s="6"/>
      <c r="L3293" s="6"/>
      <c r="M3293" s="6"/>
      <c r="N3293" s="6"/>
      <c r="O3293" s="6"/>
      <c r="P3293" s="6"/>
      <c r="Q3293" s="6"/>
      <c r="R3293" s="6"/>
      <c r="S3293" s="6"/>
      <c r="T3293" s="6"/>
    </row>
    <row r="3294" spans="4:20" x14ac:dyDescent="0.2">
      <c r="D3294" s="6"/>
      <c r="E3294" s="6"/>
      <c r="F3294" s="6"/>
      <c r="G3294" s="19"/>
      <c r="H3294" s="19"/>
      <c r="I3294" s="19"/>
      <c r="J3294" s="19"/>
      <c r="K3294" s="6"/>
      <c r="L3294" s="6"/>
      <c r="M3294" s="6"/>
      <c r="N3294" s="6"/>
      <c r="O3294" s="6"/>
      <c r="P3294" s="6"/>
      <c r="Q3294" s="6"/>
      <c r="R3294" s="6"/>
      <c r="S3294" s="6"/>
      <c r="T3294" s="6"/>
    </row>
    <row r="3295" spans="4:20" x14ac:dyDescent="0.2">
      <c r="D3295" s="6"/>
      <c r="E3295" s="6"/>
      <c r="F3295" s="6"/>
      <c r="G3295" s="19"/>
      <c r="H3295" s="19"/>
      <c r="I3295" s="19"/>
      <c r="J3295" s="19"/>
      <c r="K3295" s="6"/>
      <c r="L3295" s="6"/>
      <c r="M3295" s="6"/>
      <c r="N3295" s="6"/>
      <c r="O3295" s="6"/>
      <c r="P3295" s="6"/>
      <c r="Q3295" s="6"/>
      <c r="R3295" s="6"/>
      <c r="S3295" s="6"/>
      <c r="T3295" s="6"/>
    </row>
    <row r="3296" spans="4:20" x14ac:dyDescent="0.2">
      <c r="D3296" s="6"/>
      <c r="E3296" s="6"/>
      <c r="F3296" s="6"/>
      <c r="G3296" s="19"/>
      <c r="H3296" s="19"/>
      <c r="I3296" s="19"/>
      <c r="J3296" s="19"/>
      <c r="K3296" s="6"/>
      <c r="L3296" s="6"/>
      <c r="M3296" s="6"/>
      <c r="N3296" s="6"/>
      <c r="O3296" s="6"/>
      <c r="P3296" s="6"/>
      <c r="Q3296" s="6"/>
      <c r="R3296" s="6"/>
      <c r="S3296" s="6"/>
      <c r="T3296" s="6"/>
    </row>
    <row r="3297" spans="4:20" x14ac:dyDescent="0.2">
      <c r="D3297" s="6"/>
      <c r="E3297" s="6"/>
      <c r="F3297" s="6"/>
      <c r="G3297" s="19"/>
      <c r="H3297" s="19"/>
      <c r="I3297" s="19"/>
      <c r="J3297" s="19"/>
      <c r="K3297" s="6"/>
      <c r="L3297" s="6"/>
      <c r="M3297" s="6"/>
      <c r="N3297" s="6"/>
      <c r="O3297" s="6"/>
      <c r="P3297" s="6"/>
      <c r="Q3297" s="6"/>
      <c r="R3297" s="6"/>
      <c r="S3297" s="6"/>
      <c r="T3297" s="6"/>
    </row>
    <row r="3298" spans="4:20" x14ac:dyDescent="0.2">
      <c r="D3298" s="6"/>
      <c r="E3298" s="6"/>
      <c r="F3298" s="6"/>
      <c r="G3298" s="19"/>
      <c r="H3298" s="19"/>
      <c r="I3298" s="19"/>
      <c r="J3298" s="19"/>
      <c r="K3298" s="6"/>
      <c r="L3298" s="6"/>
      <c r="M3298" s="6"/>
      <c r="N3298" s="6"/>
      <c r="O3298" s="6"/>
      <c r="P3298" s="6"/>
      <c r="Q3298" s="6"/>
      <c r="R3298" s="6"/>
      <c r="S3298" s="6"/>
      <c r="T3298" s="6"/>
    </row>
    <row r="3299" spans="4:20" x14ac:dyDescent="0.2">
      <c r="D3299" s="6"/>
      <c r="E3299" s="6"/>
      <c r="F3299" s="6"/>
      <c r="G3299" s="19"/>
      <c r="H3299" s="19"/>
      <c r="I3299" s="19"/>
      <c r="J3299" s="19"/>
      <c r="K3299" s="6"/>
      <c r="L3299" s="6"/>
      <c r="M3299" s="6"/>
      <c r="N3299" s="6"/>
      <c r="O3299" s="6"/>
      <c r="P3299" s="6"/>
      <c r="Q3299" s="6"/>
      <c r="R3299" s="6"/>
      <c r="S3299" s="6"/>
      <c r="T3299" s="6"/>
    </row>
    <row r="3300" spans="4:20" x14ac:dyDescent="0.2">
      <c r="D3300" s="6"/>
      <c r="E3300" s="6"/>
      <c r="F3300" s="6"/>
      <c r="G3300" s="19"/>
      <c r="H3300" s="19"/>
      <c r="I3300" s="19"/>
      <c r="J3300" s="19"/>
      <c r="K3300" s="6"/>
      <c r="L3300" s="6"/>
      <c r="M3300" s="6"/>
      <c r="N3300" s="6"/>
      <c r="O3300" s="6"/>
      <c r="P3300" s="6"/>
      <c r="Q3300" s="6"/>
      <c r="R3300" s="6"/>
      <c r="S3300" s="6"/>
      <c r="T3300" s="6"/>
    </row>
    <row r="3301" spans="4:20" x14ac:dyDescent="0.2">
      <c r="D3301" s="6"/>
      <c r="E3301" s="6"/>
      <c r="F3301" s="6"/>
      <c r="G3301" s="19"/>
      <c r="H3301" s="19"/>
      <c r="I3301" s="19"/>
      <c r="J3301" s="19"/>
      <c r="K3301" s="6"/>
      <c r="L3301" s="6"/>
      <c r="M3301" s="6"/>
      <c r="N3301" s="6"/>
      <c r="O3301" s="6"/>
      <c r="P3301" s="6"/>
      <c r="Q3301" s="6"/>
      <c r="R3301" s="6"/>
      <c r="S3301" s="6"/>
      <c r="T3301" s="6"/>
    </row>
    <row r="3302" spans="4:20" x14ac:dyDescent="0.2">
      <c r="D3302" s="6"/>
      <c r="E3302" s="6"/>
      <c r="F3302" s="6"/>
      <c r="G3302" s="19"/>
      <c r="H3302" s="19"/>
      <c r="I3302" s="19"/>
      <c r="J3302" s="19"/>
      <c r="K3302" s="6"/>
      <c r="L3302" s="6"/>
      <c r="M3302" s="6"/>
      <c r="N3302" s="6"/>
      <c r="O3302" s="6"/>
      <c r="P3302" s="6"/>
      <c r="Q3302" s="6"/>
      <c r="R3302" s="6"/>
      <c r="S3302" s="6"/>
      <c r="T3302" s="6"/>
    </row>
    <row r="3303" spans="4:20" x14ac:dyDescent="0.2">
      <c r="D3303" s="6"/>
      <c r="E3303" s="6"/>
      <c r="F3303" s="6"/>
      <c r="G3303" s="19"/>
      <c r="H3303" s="19"/>
      <c r="I3303" s="19"/>
      <c r="J3303" s="19"/>
      <c r="K3303" s="6"/>
      <c r="L3303" s="6"/>
      <c r="M3303" s="6"/>
      <c r="N3303" s="6"/>
      <c r="O3303" s="6"/>
      <c r="P3303" s="6"/>
      <c r="Q3303" s="6"/>
      <c r="R3303" s="6"/>
      <c r="S3303" s="6"/>
      <c r="T3303" s="6"/>
    </row>
    <row r="3304" spans="4:20" x14ac:dyDescent="0.2">
      <c r="D3304" s="6"/>
      <c r="E3304" s="6"/>
      <c r="F3304" s="6"/>
      <c r="G3304" s="19"/>
      <c r="H3304" s="19"/>
      <c r="I3304" s="19"/>
      <c r="J3304" s="19"/>
      <c r="K3304" s="6"/>
      <c r="L3304" s="6"/>
      <c r="M3304" s="6"/>
      <c r="N3304" s="6"/>
      <c r="O3304" s="6"/>
      <c r="P3304" s="6"/>
      <c r="Q3304" s="6"/>
      <c r="R3304" s="6"/>
      <c r="S3304" s="6"/>
      <c r="T3304" s="6"/>
    </row>
    <row r="3305" spans="4:20" x14ac:dyDescent="0.2">
      <c r="D3305" s="6"/>
      <c r="E3305" s="6"/>
      <c r="F3305" s="6"/>
      <c r="G3305" s="19"/>
      <c r="H3305" s="19"/>
      <c r="I3305" s="19"/>
      <c r="J3305" s="19"/>
      <c r="K3305" s="6"/>
      <c r="L3305" s="6"/>
      <c r="M3305" s="6"/>
      <c r="N3305" s="6"/>
      <c r="O3305" s="6"/>
      <c r="P3305" s="6"/>
      <c r="Q3305" s="6"/>
      <c r="R3305" s="6"/>
      <c r="S3305" s="6"/>
      <c r="T3305" s="6"/>
    </row>
    <row r="3306" spans="4:20" x14ac:dyDescent="0.2">
      <c r="D3306" s="6"/>
      <c r="E3306" s="6"/>
      <c r="F3306" s="6"/>
      <c r="G3306" s="19"/>
      <c r="H3306" s="19"/>
      <c r="I3306" s="19"/>
      <c r="J3306" s="19"/>
      <c r="K3306" s="6"/>
      <c r="L3306" s="6"/>
      <c r="M3306" s="6"/>
      <c r="N3306" s="6"/>
      <c r="O3306" s="6"/>
      <c r="P3306" s="6"/>
      <c r="Q3306" s="6"/>
      <c r="R3306" s="6"/>
      <c r="S3306" s="6"/>
      <c r="T3306" s="6"/>
    </row>
    <row r="3307" spans="4:20" x14ac:dyDescent="0.2">
      <c r="D3307" s="6"/>
      <c r="E3307" s="6"/>
      <c r="F3307" s="6"/>
      <c r="G3307" s="19"/>
      <c r="H3307" s="19"/>
      <c r="I3307" s="19"/>
      <c r="J3307" s="19"/>
      <c r="K3307" s="6"/>
      <c r="L3307" s="6"/>
      <c r="M3307" s="6"/>
      <c r="N3307" s="6"/>
      <c r="O3307" s="6"/>
      <c r="P3307" s="6"/>
      <c r="Q3307" s="6"/>
      <c r="R3307" s="6"/>
      <c r="S3307" s="6"/>
      <c r="T3307" s="6"/>
    </row>
    <row r="3308" spans="4:20" x14ac:dyDescent="0.2">
      <c r="D3308" s="6"/>
      <c r="E3308" s="6"/>
      <c r="F3308" s="6"/>
      <c r="G3308" s="19"/>
      <c r="H3308" s="19"/>
      <c r="I3308" s="19"/>
      <c r="J3308" s="19"/>
      <c r="K3308" s="6"/>
      <c r="L3308" s="6"/>
      <c r="M3308" s="6"/>
      <c r="N3308" s="6"/>
      <c r="O3308" s="6"/>
      <c r="P3308" s="6"/>
      <c r="Q3308" s="6"/>
      <c r="R3308" s="6"/>
      <c r="S3308" s="6"/>
      <c r="T3308" s="6"/>
    </row>
    <row r="3309" spans="4:20" x14ac:dyDescent="0.2">
      <c r="D3309" s="6"/>
      <c r="E3309" s="6"/>
      <c r="F3309" s="6"/>
      <c r="G3309" s="19"/>
      <c r="H3309" s="19"/>
      <c r="I3309" s="19"/>
      <c r="J3309" s="19"/>
      <c r="K3309" s="6"/>
      <c r="L3309" s="6"/>
      <c r="M3309" s="6"/>
      <c r="N3309" s="6"/>
      <c r="O3309" s="6"/>
      <c r="P3309" s="6"/>
      <c r="Q3309" s="6"/>
      <c r="R3309" s="6"/>
      <c r="S3309" s="6"/>
      <c r="T3309" s="6"/>
    </row>
    <row r="3310" spans="4:20" x14ac:dyDescent="0.2">
      <c r="D3310" s="6"/>
      <c r="E3310" s="6"/>
      <c r="F3310" s="6"/>
      <c r="G3310" s="19"/>
      <c r="H3310" s="19"/>
      <c r="I3310" s="19"/>
      <c r="J3310" s="19"/>
      <c r="K3310" s="6"/>
      <c r="L3310" s="6"/>
      <c r="M3310" s="6"/>
      <c r="N3310" s="6"/>
      <c r="O3310" s="6"/>
      <c r="P3310" s="6"/>
      <c r="Q3310" s="6"/>
      <c r="R3310" s="6"/>
      <c r="S3310" s="6"/>
      <c r="T3310" s="6"/>
    </row>
    <row r="3311" spans="4:20" x14ac:dyDescent="0.2">
      <c r="D3311" s="6"/>
      <c r="E3311" s="6"/>
      <c r="F3311" s="6"/>
      <c r="G3311" s="19"/>
      <c r="H3311" s="19"/>
      <c r="I3311" s="19"/>
      <c r="J3311" s="19"/>
      <c r="K3311" s="6"/>
      <c r="L3311" s="6"/>
      <c r="M3311" s="6"/>
      <c r="N3311" s="6"/>
      <c r="O3311" s="6"/>
      <c r="P3311" s="6"/>
      <c r="Q3311" s="6"/>
      <c r="R3311" s="6"/>
      <c r="S3311" s="6"/>
      <c r="T3311" s="6"/>
    </row>
    <row r="3312" spans="4:20" x14ac:dyDescent="0.2">
      <c r="D3312" s="6"/>
      <c r="E3312" s="6"/>
      <c r="F3312" s="6"/>
      <c r="G3312" s="19"/>
      <c r="H3312" s="19"/>
      <c r="I3312" s="19"/>
      <c r="J3312" s="19"/>
      <c r="K3312" s="6"/>
      <c r="L3312" s="6"/>
      <c r="M3312" s="6"/>
      <c r="N3312" s="6"/>
      <c r="O3312" s="6"/>
      <c r="P3312" s="6"/>
      <c r="Q3312" s="6"/>
      <c r="R3312" s="6"/>
      <c r="S3312" s="6"/>
      <c r="T3312" s="6"/>
    </row>
    <row r="3313" spans="4:20" x14ac:dyDescent="0.2">
      <c r="D3313" s="6"/>
      <c r="E3313" s="6"/>
      <c r="F3313" s="6"/>
      <c r="G3313" s="19"/>
      <c r="H3313" s="19"/>
      <c r="I3313" s="19"/>
      <c r="J3313" s="19"/>
      <c r="K3313" s="6"/>
      <c r="L3313" s="6"/>
      <c r="M3313" s="6"/>
      <c r="N3313" s="6"/>
      <c r="O3313" s="6"/>
      <c r="P3313" s="6"/>
      <c r="Q3313" s="6"/>
      <c r="R3313" s="6"/>
      <c r="S3313" s="6"/>
      <c r="T3313" s="6"/>
    </row>
    <row r="3314" spans="4:20" x14ac:dyDescent="0.2">
      <c r="D3314" s="6"/>
      <c r="E3314" s="6"/>
      <c r="F3314" s="6"/>
      <c r="G3314" s="19"/>
      <c r="H3314" s="19"/>
      <c r="I3314" s="19"/>
      <c r="J3314" s="19"/>
      <c r="K3314" s="6"/>
      <c r="L3314" s="6"/>
      <c r="M3314" s="6"/>
      <c r="N3314" s="6"/>
      <c r="O3314" s="6"/>
      <c r="P3314" s="6"/>
      <c r="Q3314" s="6"/>
      <c r="R3314" s="6"/>
      <c r="S3314" s="6"/>
      <c r="T3314" s="6"/>
    </row>
    <row r="3315" spans="4:20" x14ac:dyDescent="0.2">
      <c r="D3315" s="6"/>
      <c r="E3315" s="6"/>
      <c r="F3315" s="6"/>
      <c r="G3315" s="19"/>
      <c r="H3315" s="19"/>
      <c r="I3315" s="19"/>
      <c r="J3315" s="19"/>
      <c r="K3315" s="6"/>
      <c r="L3315" s="6"/>
      <c r="M3315" s="6"/>
      <c r="N3315" s="6"/>
      <c r="O3315" s="6"/>
      <c r="P3315" s="6"/>
      <c r="Q3315" s="6"/>
      <c r="R3315" s="6"/>
      <c r="S3315" s="6"/>
      <c r="T3315" s="6"/>
    </row>
    <row r="3316" spans="4:20" x14ac:dyDescent="0.2">
      <c r="D3316" s="6"/>
      <c r="E3316" s="6"/>
      <c r="F3316" s="6"/>
      <c r="G3316" s="19"/>
      <c r="H3316" s="19"/>
      <c r="I3316" s="19"/>
      <c r="J3316" s="19"/>
      <c r="K3316" s="6"/>
      <c r="L3316" s="6"/>
      <c r="M3316" s="6"/>
      <c r="N3316" s="6"/>
      <c r="O3316" s="6"/>
      <c r="P3316" s="6"/>
      <c r="Q3316" s="6"/>
      <c r="R3316" s="6"/>
      <c r="S3316" s="6"/>
      <c r="T3316" s="6"/>
    </row>
    <row r="3317" spans="4:20" x14ac:dyDescent="0.2">
      <c r="D3317" s="6"/>
      <c r="E3317" s="6"/>
      <c r="F3317" s="6"/>
      <c r="G3317" s="19"/>
      <c r="H3317" s="19"/>
      <c r="I3317" s="19"/>
      <c r="J3317" s="19"/>
      <c r="K3317" s="6"/>
      <c r="L3317" s="6"/>
      <c r="M3317" s="6"/>
      <c r="N3317" s="6"/>
      <c r="O3317" s="6"/>
      <c r="P3317" s="6"/>
      <c r="Q3317" s="6"/>
      <c r="R3317" s="6"/>
      <c r="S3317" s="6"/>
      <c r="T3317" s="6"/>
    </row>
    <row r="3318" spans="4:20" x14ac:dyDescent="0.2">
      <c r="D3318" s="6"/>
      <c r="E3318" s="6"/>
      <c r="F3318" s="6"/>
      <c r="G3318" s="19"/>
      <c r="H3318" s="19"/>
      <c r="I3318" s="19"/>
      <c r="J3318" s="19"/>
      <c r="K3318" s="6"/>
      <c r="L3318" s="6"/>
      <c r="M3318" s="6"/>
      <c r="N3318" s="6"/>
      <c r="O3318" s="6"/>
      <c r="P3318" s="6"/>
      <c r="Q3318" s="6"/>
      <c r="R3318" s="6"/>
      <c r="S3318" s="6"/>
      <c r="T3318" s="6"/>
    </row>
    <row r="3319" spans="4:20" x14ac:dyDescent="0.2">
      <c r="D3319" s="6"/>
      <c r="E3319" s="6"/>
      <c r="F3319" s="6"/>
      <c r="G3319" s="19"/>
      <c r="H3319" s="19"/>
      <c r="I3319" s="19"/>
      <c r="J3319" s="19"/>
      <c r="K3319" s="6"/>
      <c r="L3319" s="6"/>
      <c r="M3319" s="6"/>
      <c r="N3319" s="6"/>
      <c r="O3319" s="6"/>
      <c r="P3319" s="6"/>
      <c r="Q3319" s="6"/>
      <c r="R3319" s="6"/>
      <c r="S3319" s="6"/>
      <c r="T3319" s="6"/>
    </row>
    <row r="3320" spans="4:20" x14ac:dyDescent="0.2">
      <c r="D3320" s="6"/>
      <c r="E3320" s="6"/>
      <c r="F3320" s="6"/>
      <c r="G3320" s="19"/>
      <c r="H3320" s="19"/>
      <c r="I3320" s="19"/>
      <c r="J3320" s="19"/>
      <c r="K3320" s="6"/>
      <c r="L3320" s="6"/>
      <c r="M3320" s="6"/>
      <c r="N3320" s="6"/>
      <c r="O3320" s="6"/>
      <c r="P3320" s="6"/>
      <c r="Q3320" s="6"/>
      <c r="R3320" s="6"/>
      <c r="S3320" s="6"/>
      <c r="T3320" s="6"/>
    </row>
    <row r="3321" spans="4:20" x14ac:dyDescent="0.2">
      <c r="D3321" s="6"/>
      <c r="E3321" s="6"/>
      <c r="F3321" s="6"/>
      <c r="G3321" s="19"/>
      <c r="H3321" s="19"/>
      <c r="I3321" s="19"/>
      <c r="J3321" s="19"/>
      <c r="K3321" s="6"/>
      <c r="L3321" s="6"/>
      <c r="M3321" s="6"/>
      <c r="N3321" s="6"/>
      <c r="O3321" s="6"/>
      <c r="P3321" s="6"/>
      <c r="Q3321" s="6"/>
      <c r="R3321" s="6"/>
      <c r="S3321" s="6"/>
      <c r="T3321" s="6"/>
    </row>
    <row r="3322" spans="4:20" x14ac:dyDescent="0.2">
      <c r="D3322" s="6"/>
      <c r="E3322" s="6"/>
      <c r="F3322" s="6"/>
      <c r="G3322" s="19"/>
      <c r="H3322" s="19"/>
      <c r="I3322" s="19"/>
      <c r="J3322" s="19"/>
      <c r="K3322" s="6"/>
      <c r="L3322" s="6"/>
      <c r="M3322" s="6"/>
      <c r="N3322" s="6"/>
      <c r="O3322" s="6"/>
      <c r="P3322" s="6"/>
      <c r="Q3322" s="6"/>
      <c r="R3322" s="6"/>
      <c r="S3322" s="6"/>
      <c r="T3322" s="6"/>
    </row>
    <row r="3323" spans="4:20" x14ac:dyDescent="0.2">
      <c r="D3323" s="6"/>
      <c r="E3323" s="6"/>
      <c r="F3323" s="6"/>
      <c r="G3323" s="19"/>
      <c r="H3323" s="19"/>
      <c r="I3323" s="19"/>
      <c r="J3323" s="19"/>
      <c r="K3323" s="6"/>
      <c r="L3323" s="6"/>
      <c r="M3323" s="6"/>
      <c r="N3323" s="6"/>
      <c r="O3323" s="6"/>
      <c r="P3323" s="6"/>
      <c r="Q3323" s="6"/>
      <c r="R3323" s="6"/>
      <c r="S3323" s="6"/>
      <c r="T3323" s="6"/>
    </row>
    <row r="3324" spans="4:20" x14ac:dyDescent="0.2">
      <c r="D3324" s="6"/>
      <c r="E3324" s="6"/>
      <c r="F3324" s="6"/>
      <c r="G3324" s="19"/>
      <c r="H3324" s="19"/>
      <c r="I3324" s="19"/>
      <c r="J3324" s="19"/>
      <c r="K3324" s="6"/>
      <c r="L3324" s="6"/>
      <c r="M3324" s="6"/>
      <c r="N3324" s="6"/>
      <c r="O3324" s="6"/>
      <c r="P3324" s="6"/>
      <c r="Q3324" s="6"/>
      <c r="R3324" s="6"/>
      <c r="S3324" s="6"/>
      <c r="T3324" s="6"/>
    </row>
    <row r="3325" spans="4:20" x14ac:dyDescent="0.2">
      <c r="D3325" s="6"/>
      <c r="E3325" s="6"/>
      <c r="F3325" s="6"/>
      <c r="G3325" s="19"/>
      <c r="H3325" s="19"/>
      <c r="I3325" s="19"/>
      <c r="J3325" s="19"/>
      <c r="K3325" s="6"/>
      <c r="L3325" s="6"/>
      <c r="M3325" s="6"/>
      <c r="N3325" s="6"/>
      <c r="O3325" s="6"/>
      <c r="P3325" s="6"/>
      <c r="Q3325" s="6"/>
      <c r="R3325" s="6"/>
      <c r="S3325" s="6"/>
      <c r="T3325" s="6"/>
    </row>
    <row r="3326" spans="4:20" x14ac:dyDescent="0.2">
      <c r="D3326" s="6"/>
      <c r="E3326" s="6"/>
      <c r="F3326" s="6"/>
      <c r="G3326" s="19"/>
      <c r="H3326" s="19"/>
      <c r="I3326" s="19"/>
      <c r="J3326" s="19"/>
      <c r="K3326" s="6"/>
      <c r="L3326" s="6"/>
      <c r="M3326" s="6"/>
      <c r="N3326" s="6"/>
      <c r="O3326" s="6"/>
      <c r="P3326" s="6"/>
      <c r="Q3326" s="6"/>
      <c r="R3326" s="6"/>
      <c r="S3326" s="6"/>
      <c r="T3326" s="6"/>
    </row>
    <row r="3327" spans="4:20" x14ac:dyDescent="0.2">
      <c r="D3327" s="6"/>
      <c r="E3327" s="6"/>
      <c r="F3327" s="6"/>
      <c r="G3327" s="19"/>
      <c r="H3327" s="19"/>
      <c r="I3327" s="19"/>
      <c r="J3327" s="19"/>
      <c r="K3327" s="6"/>
      <c r="L3327" s="6"/>
      <c r="M3327" s="6"/>
      <c r="N3327" s="6"/>
      <c r="O3327" s="6"/>
      <c r="P3327" s="6"/>
      <c r="Q3327" s="6"/>
      <c r="R3327" s="6"/>
      <c r="S3327" s="6"/>
      <c r="T3327" s="6"/>
    </row>
    <row r="3328" spans="4:20" x14ac:dyDescent="0.2">
      <c r="D3328" s="6"/>
      <c r="E3328" s="6"/>
      <c r="F3328" s="6"/>
      <c r="G3328" s="19"/>
      <c r="H3328" s="19"/>
      <c r="I3328" s="19"/>
      <c r="J3328" s="19"/>
      <c r="K3328" s="6"/>
      <c r="L3328" s="6"/>
      <c r="M3328" s="6"/>
      <c r="N3328" s="6"/>
      <c r="O3328" s="6"/>
      <c r="P3328" s="6"/>
      <c r="Q3328" s="6"/>
      <c r="R3328" s="6"/>
      <c r="S3328" s="6"/>
      <c r="T3328" s="6"/>
    </row>
    <row r="3329" spans="4:20" x14ac:dyDescent="0.2">
      <c r="D3329" s="6"/>
      <c r="E3329" s="6"/>
      <c r="F3329" s="6"/>
      <c r="G3329" s="19"/>
      <c r="H3329" s="19"/>
      <c r="I3329" s="19"/>
      <c r="J3329" s="19"/>
      <c r="K3329" s="6"/>
      <c r="L3329" s="6"/>
      <c r="M3329" s="6"/>
      <c r="N3329" s="6"/>
      <c r="O3329" s="6"/>
      <c r="P3329" s="6"/>
      <c r="Q3329" s="6"/>
      <c r="R3329" s="6"/>
      <c r="S3329" s="6"/>
      <c r="T3329" s="6"/>
    </row>
    <row r="3330" spans="4:20" x14ac:dyDescent="0.2">
      <c r="D3330" s="6"/>
      <c r="E3330" s="6"/>
      <c r="F3330" s="6"/>
      <c r="G3330" s="19"/>
      <c r="H3330" s="19"/>
      <c r="I3330" s="19"/>
      <c r="J3330" s="19"/>
      <c r="K3330" s="6"/>
      <c r="L3330" s="6"/>
      <c r="M3330" s="6"/>
      <c r="N3330" s="6"/>
      <c r="O3330" s="6"/>
      <c r="P3330" s="6"/>
      <c r="Q3330" s="6"/>
      <c r="R3330" s="6"/>
      <c r="S3330" s="6"/>
      <c r="T3330" s="6"/>
    </row>
    <row r="3331" spans="4:20" x14ac:dyDescent="0.2">
      <c r="D3331" s="6"/>
      <c r="E3331" s="6"/>
      <c r="F3331" s="6"/>
      <c r="G3331" s="19"/>
      <c r="H3331" s="19"/>
      <c r="I3331" s="19"/>
      <c r="J3331" s="19"/>
      <c r="K3331" s="6"/>
      <c r="L3331" s="6"/>
      <c r="M3331" s="6"/>
      <c r="N3331" s="6"/>
      <c r="O3331" s="6"/>
      <c r="P3331" s="6"/>
      <c r="Q3331" s="6"/>
      <c r="R3331" s="6"/>
      <c r="S3331" s="6"/>
      <c r="T3331" s="6"/>
    </row>
    <row r="3332" spans="4:20" x14ac:dyDescent="0.2">
      <c r="D3332" s="6"/>
      <c r="E3332" s="6"/>
      <c r="F3332" s="6"/>
      <c r="G3332" s="19"/>
      <c r="H3332" s="19"/>
      <c r="I3332" s="19"/>
      <c r="J3332" s="19"/>
      <c r="K3332" s="6"/>
      <c r="L3332" s="6"/>
      <c r="M3332" s="6"/>
      <c r="N3332" s="6"/>
      <c r="O3332" s="6"/>
      <c r="P3332" s="6"/>
      <c r="Q3332" s="6"/>
      <c r="R3332" s="6"/>
      <c r="S3332" s="6"/>
      <c r="T3332" s="6"/>
    </row>
    <row r="3333" spans="4:20" x14ac:dyDescent="0.2">
      <c r="D3333" s="6"/>
      <c r="E3333" s="6"/>
      <c r="F3333" s="6"/>
      <c r="G3333" s="19"/>
      <c r="H3333" s="19"/>
      <c r="I3333" s="19"/>
      <c r="J3333" s="19"/>
      <c r="K3333" s="6"/>
      <c r="L3333" s="6"/>
      <c r="M3333" s="6"/>
      <c r="N3333" s="6"/>
      <c r="O3333" s="6"/>
      <c r="P3333" s="6"/>
      <c r="Q3333" s="6"/>
      <c r="R3333" s="6"/>
      <c r="S3333" s="6"/>
      <c r="T3333" s="6"/>
    </row>
    <row r="3334" spans="4:20" x14ac:dyDescent="0.2">
      <c r="D3334" s="6"/>
      <c r="E3334" s="6"/>
      <c r="F3334" s="6"/>
      <c r="G3334" s="19"/>
      <c r="H3334" s="19"/>
      <c r="I3334" s="19"/>
      <c r="J3334" s="19"/>
      <c r="K3334" s="6"/>
      <c r="L3334" s="6"/>
      <c r="M3334" s="6"/>
      <c r="N3334" s="6"/>
      <c r="O3334" s="6"/>
      <c r="P3334" s="6"/>
      <c r="Q3334" s="6"/>
      <c r="R3334" s="6"/>
      <c r="S3334" s="6"/>
      <c r="T3334" s="6"/>
    </row>
    <row r="3335" spans="4:20" x14ac:dyDescent="0.2">
      <c r="D3335" s="6"/>
      <c r="E3335" s="6"/>
      <c r="F3335" s="6"/>
      <c r="G3335" s="19"/>
      <c r="H3335" s="19"/>
      <c r="I3335" s="19"/>
      <c r="J3335" s="19"/>
      <c r="K3335" s="6"/>
      <c r="L3335" s="6"/>
      <c r="M3335" s="6"/>
      <c r="N3335" s="6"/>
      <c r="O3335" s="6"/>
      <c r="P3335" s="6"/>
      <c r="Q3335" s="6"/>
      <c r="R3335" s="6"/>
      <c r="S3335" s="6"/>
      <c r="T3335" s="6"/>
    </row>
    <row r="3336" spans="4:20" x14ac:dyDescent="0.2">
      <c r="D3336" s="6"/>
      <c r="E3336" s="6"/>
      <c r="F3336" s="6"/>
      <c r="G3336" s="19"/>
      <c r="H3336" s="19"/>
      <c r="I3336" s="19"/>
      <c r="J3336" s="19"/>
      <c r="K3336" s="6"/>
      <c r="L3336" s="6"/>
      <c r="M3336" s="6"/>
      <c r="N3336" s="6"/>
      <c r="O3336" s="6"/>
      <c r="P3336" s="6"/>
      <c r="Q3336" s="6"/>
      <c r="R3336" s="6"/>
      <c r="S3336" s="6"/>
      <c r="T3336" s="6"/>
    </row>
    <row r="3337" spans="4:20" x14ac:dyDescent="0.2">
      <c r="D3337" s="6"/>
      <c r="E3337" s="6"/>
      <c r="F3337" s="6"/>
      <c r="G3337" s="19"/>
      <c r="H3337" s="19"/>
      <c r="I3337" s="19"/>
      <c r="J3337" s="19"/>
      <c r="K3337" s="6"/>
      <c r="L3337" s="6"/>
      <c r="M3337" s="6"/>
      <c r="N3337" s="6"/>
      <c r="O3337" s="6"/>
      <c r="P3337" s="6"/>
      <c r="Q3337" s="6"/>
      <c r="R3337" s="6"/>
      <c r="S3337" s="6"/>
      <c r="T3337" s="6"/>
    </row>
    <row r="3338" spans="4:20" x14ac:dyDescent="0.2">
      <c r="D3338" s="6"/>
      <c r="E3338" s="6"/>
      <c r="F3338" s="6"/>
      <c r="G3338" s="19"/>
      <c r="H3338" s="19"/>
      <c r="I3338" s="19"/>
      <c r="J3338" s="19"/>
      <c r="K3338" s="6"/>
      <c r="L3338" s="6"/>
      <c r="M3338" s="6"/>
      <c r="N3338" s="6"/>
      <c r="O3338" s="6"/>
      <c r="P3338" s="6"/>
      <c r="Q3338" s="6"/>
      <c r="R3338" s="6"/>
      <c r="S3338" s="6"/>
      <c r="T3338" s="6"/>
    </row>
    <row r="3339" spans="4:20" x14ac:dyDescent="0.2">
      <c r="D3339" s="6"/>
      <c r="E3339" s="6"/>
      <c r="F3339" s="6"/>
      <c r="G3339" s="19"/>
      <c r="H3339" s="19"/>
      <c r="I3339" s="19"/>
      <c r="J3339" s="19"/>
      <c r="K3339" s="6"/>
      <c r="L3339" s="6"/>
      <c r="M3339" s="6"/>
      <c r="N3339" s="6"/>
      <c r="O3339" s="6"/>
      <c r="P3339" s="6"/>
      <c r="Q3339" s="6"/>
      <c r="R3339" s="6"/>
      <c r="S3339" s="6"/>
      <c r="T3339" s="6"/>
    </row>
    <row r="3340" spans="4:20" x14ac:dyDescent="0.2">
      <c r="D3340" s="6"/>
      <c r="E3340" s="6"/>
      <c r="F3340" s="6"/>
      <c r="G3340" s="19"/>
      <c r="H3340" s="19"/>
      <c r="I3340" s="19"/>
      <c r="J3340" s="19"/>
      <c r="K3340" s="6"/>
      <c r="L3340" s="6"/>
      <c r="M3340" s="6"/>
      <c r="N3340" s="6"/>
      <c r="O3340" s="6"/>
      <c r="P3340" s="6"/>
      <c r="Q3340" s="6"/>
      <c r="R3340" s="6"/>
      <c r="S3340" s="6"/>
      <c r="T3340" s="6"/>
    </row>
    <row r="3341" spans="4:20" x14ac:dyDescent="0.2">
      <c r="D3341" s="6"/>
      <c r="E3341" s="6"/>
      <c r="F3341" s="6"/>
      <c r="G3341" s="19"/>
      <c r="H3341" s="19"/>
      <c r="I3341" s="19"/>
      <c r="J3341" s="19"/>
      <c r="K3341" s="6"/>
      <c r="L3341" s="6"/>
      <c r="M3341" s="6"/>
      <c r="N3341" s="6"/>
      <c r="O3341" s="6"/>
      <c r="P3341" s="6"/>
      <c r="Q3341" s="6"/>
      <c r="R3341" s="6"/>
      <c r="S3341" s="6"/>
      <c r="T3341" s="6"/>
    </row>
    <row r="3342" spans="4:20" x14ac:dyDescent="0.2">
      <c r="D3342" s="6"/>
      <c r="E3342" s="6"/>
      <c r="F3342" s="6"/>
      <c r="G3342" s="19"/>
      <c r="H3342" s="19"/>
      <c r="I3342" s="19"/>
      <c r="J3342" s="19"/>
      <c r="K3342" s="6"/>
      <c r="L3342" s="6"/>
      <c r="M3342" s="6"/>
      <c r="N3342" s="6"/>
      <c r="O3342" s="6"/>
      <c r="P3342" s="6"/>
      <c r="Q3342" s="6"/>
      <c r="R3342" s="6"/>
      <c r="S3342" s="6"/>
      <c r="T3342" s="6"/>
    </row>
    <row r="3343" spans="4:20" x14ac:dyDescent="0.2">
      <c r="D3343" s="6"/>
      <c r="E3343" s="6"/>
      <c r="F3343" s="6"/>
      <c r="G3343" s="19"/>
      <c r="H3343" s="19"/>
      <c r="I3343" s="19"/>
      <c r="J3343" s="19"/>
      <c r="K3343" s="6"/>
      <c r="L3343" s="6"/>
      <c r="M3343" s="6"/>
      <c r="N3343" s="6"/>
      <c r="O3343" s="6"/>
      <c r="P3343" s="6"/>
      <c r="Q3343" s="6"/>
      <c r="R3343" s="6"/>
      <c r="S3343" s="6"/>
      <c r="T3343" s="6"/>
    </row>
    <row r="3344" spans="4:20" x14ac:dyDescent="0.2">
      <c r="D3344" s="6"/>
      <c r="E3344" s="6"/>
      <c r="F3344" s="6"/>
      <c r="G3344" s="19"/>
      <c r="H3344" s="19"/>
      <c r="I3344" s="19"/>
      <c r="J3344" s="19"/>
      <c r="K3344" s="6"/>
      <c r="L3344" s="6"/>
      <c r="M3344" s="6"/>
      <c r="N3344" s="6"/>
      <c r="O3344" s="6"/>
      <c r="P3344" s="6"/>
      <c r="Q3344" s="6"/>
      <c r="R3344" s="6"/>
      <c r="S3344" s="6"/>
      <c r="T3344" s="6"/>
    </row>
    <row r="3345" spans="4:20" x14ac:dyDescent="0.2">
      <c r="D3345" s="6"/>
      <c r="E3345" s="6"/>
      <c r="F3345" s="6"/>
      <c r="G3345" s="19"/>
      <c r="H3345" s="19"/>
      <c r="I3345" s="19"/>
      <c r="J3345" s="19"/>
      <c r="K3345" s="6"/>
      <c r="L3345" s="6"/>
      <c r="M3345" s="6"/>
      <c r="N3345" s="6"/>
      <c r="O3345" s="6"/>
      <c r="P3345" s="6"/>
      <c r="Q3345" s="6"/>
      <c r="R3345" s="6"/>
      <c r="S3345" s="6"/>
      <c r="T3345" s="6"/>
    </row>
    <row r="3346" spans="4:20" x14ac:dyDescent="0.2">
      <c r="D3346" s="6"/>
      <c r="E3346" s="6"/>
      <c r="F3346" s="6"/>
      <c r="G3346" s="19"/>
      <c r="H3346" s="19"/>
      <c r="I3346" s="19"/>
      <c r="J3346" s="19"/>
      <c r="K3346" s="6"/>
      <c r="L3346" s="6"/>
      <c r="M3346" s="6"/>
      <c r="N3346" s="6"/>
      <c r="O3346" s="6"/>
      <c r="P3346" s="6"/>
      <c r="Q3346" s="6"/>
      <c r="R3346" s="6"/>
      <c r="S3346" s="6"/>
      <c r="T3346" s="6"/>
    </row>
    <row r="3347" spans="4:20" x14ac:dyDescent="0.2">
      <c r="D3347" s="6"/>
      <c r="E3347" s="6"/>
      <c r="F3347" s="6"/>
      <c r="G3347" s="19"/>
      <c r="H3347" s="19"/>
      <c r="I3347" s="19"/>
      <c r="J3347" s="19"/>
      <c r="K3347" s="6"/>
      <c r="L3347" s="6"/>
      <c r="M3347" s="6"/>
      <c r="N3347" s="6"/>
      <c r="O3347" s="6"/>
      <c r="P3347" s="6"/>
      <c r="Q3347" s="6"/>
      <c r="R3347" s="6"/>
      <c r="S3347" s="6"/>
      <c r="T3347" s="6"/>
    </row>
    <row r="3348" spans="4:20" x14ac:dyDescent="0.2">
      <c r="D3348" s="6"/>
      <c r="E3348" s="6"/>
      <c r="F3348" s="6"/>
      <c r="G3348" s="19"/>
      <c r="H3348" s="19"/>
      <c r="I3348" s="19"/>
      <c r="J3348" s="19"/>
      <c r="K3348" s="6"/>
      <c r="L3348" s="6"/>
      <c r="M3348" s="6"/>
      <c r="N3348" s="6"/>
      <c r="O3348" s="6"/>
      <c r="P3348" s="6"/>
      <c r="Q3348" s="6"/>
      <c r="R3348" s="6"/>
      <c r="S3348" s="6"/>
      <c r="T3348" s="6"/>
    </row>
    <row r="3349" spans="4:20" x14ac:dyDescent="0.2">
      <c r="D3349" s="6"/>
      <c r="E3349" s="6"/>
      <c r="F3349" s="6"/>
      <c r="G3349" s="19"/>
      <c r="H3349" s="19"/>
      <c r="I3349" s="19"/>
      <c r="J3349" s="19"/>
      <c r="K3349" s="6"/>
      <c r="L3349" s="6"/>
      <c r="M3349" s="6"/>
      <c r="N3349" s="6"/>
      <c r="O3349" s="6"/>
      <c r="P3349" s="6"/>
      <c r="Q3349" s="6"/>
      <c r="R3349" s="6"/>
      <c r="S3349" s="6"/>
      <c r="T3349" s="6"/>
    </row>
    <row r="3350" spans="4:20" x14ac:dyDescent="0.2">
      <c r="D3350" s="6"/>
      <c r="E3350" s="6"/>
      <c r="F3350" s="6"/>
      <c r="G3350" s="19"/>
      <c r="H3350" s="19"/>
      <c r="I3350" s="19"/>
      <c r="J3350" s="19"/>
      <c r="K3350" s="6"/>
      <c r="L3350" s="6"/>
      <c r="M3350" s="6"/>
      <c r="N3350" s="6"/>
      <c r="O3350" s="6"/>
      <c r="P3350" s="6"/>
      <c r="Q3350" s="6"/>
      <c r="R3350" s="6"/>
      <c r="S3350" s="6"/>
      <c r="T3350" s="6"/>
    </row>
    <row r="3351" spans="4:20" x14ac:dyDescent="0.2">
      <c r="D3351" s="6"/>
      <c r="E3351" s="6"/>
      <c r="F3351" s="6"/>
      <c r="G3351" s="19"/>
      <c r="H3351" s="19"/>
      <c r="I3351" s="19"/>
      <c r="J3351" s="19"/>
      <c r="K3351" s="6"/>
      <c r="L3351" s="6"/>
      <c r="M3351" s="6"/>
      <c r="N3351" s="6"/>
      <c r="O3351" s="6"/>
      <c r="P3351" s="6"/>
      <c r="Q3351" s="6"/>
      <c r="R3351" s="6"/>
      <c r="S3351" s="6"/>
      <c r="T3351" s="6"/>
    </row>
    <row r="3352" spans="4:20" x14ac:dyDescent="0.2">
      <c r="D3352" s="6"/>
      <c r="E3352" s="6"/>
      <c r="F3352" s="6"/>
      <c r="G3352" s="19"/>
      <c r="H3352" s="19"/>
      <c r="I3352" s="19"/>
      <c r="J3352" s="19"/>
      <c r="K3352" s="6"/>
      <c r="L3352" s="6"/>
      <c r="M3352" s="6"/>
      <c r="N3352" s="6"/>
      <c r="O3352" s="6"/>
      <c r="P3352" s="6"/>
      <c r="Q3352" s="6"/>
      <c r="R3352" s="6"/>
      <c r="S3352" s="6"/>
      <c r="T3352" s="6"/>
    </row>
    <row r="3353" spans="4:20" x14ac:dyDescent="0.2">
      <c r="D3353" s="6"/>
      <c r="E3353" s="6"/>
      <c r="F3353" s="6"/>
      <c r="G3353" s="19"/>
      <c r="H3353" s="19"/>
      <c r="I3353" s="19"/>
      <c r="J3353" s="19"/>
      <c r="K3353" s="6"/>
      <c r="L3353" s="6"/>
      <c r="M3353" s="6"/>
      <c r="N3353" s="6"/>
      <c r="O3353" s="6"/>
      <c r="P3353" s="6"/>
      <c r="Q3353" s="6"/>
      <c r="R3353" s="6"/>
      <c r="S3353" s="6"/>
      <c r="T3353" s="6"/>
    </row>
    <row r="3354" spans="4:20" x14ac:dyDescent="0.2">
      <c r="D3354" s="6"/>
      <c r="E3354" s="6"/>
      <c r="F3354" s="6"/>
      <c r="G3354" s="19"/>
      <c r="H3354" s="19"/>
      <c r="I3354" s="19"/>
      <c r="J3354" s="19"/>
      <c r="K3354" s="6"/>
      <c r="L3354" s="6"/>
      <c r="M3354" s="6"/>
      <c r="N3354" s="6"/>
      <c r="O3354" s="6"/>
      <c r="P3354" s="6"/>
      <c r="Q3354" s="6"/>
      <c r="R3354" s="6"/>
      <c r="S3354" s="6"/>
      <c r="T3354" s="6"/>
    </row>
    <row r="3355" spans="4:20" x14ac:dyDescent="0.2">
      <c r="D3355" s="6"/>
      <c r="E3355" s="6"/>
      <c r="F3355" s="6"/>
      <c r="G3355" s="19"/>
      <c r="H3355" s="19"/>
      <c r="I3355" s="19"/>
      <c r="J3355" s="19"/>
      <c r="K3355" s="6"/>
      <c r="L3355" s="6"/>
      <c r="M3355" s="6"/>
      <c r="N3355" s="6"/>
      <c r="O3355" s="6"/>
      <c r="P3355" s="6"/>
      <c r="Q3355" s="6"/>
      <c r="R3355" s="6"/>
      <c r="S3355" s="6"/>
      <c r="T3355" s="6"/>
    </row>
    <row r="3356" spans="4:20" x14ac:dyDescent="0.2">
      <c r="D3356" s="6"/>
      <c r="E3356" s="6"/>
      <c r="F3356" s="6"/>
      <c r="G3356" s="19"/>
      <c r="H3356" s="19"/>
      <c r="I3356" s="19"/>
      <c r="J3356" s="19"/>
      <c r="K3356" s="6"/>
      <c r="L3356" s="6"/>
      <c r="M3356" s="6"/>
      <c r="N3356" s="6"/>
      <c r="O3356" s="6"/>
      <c r="P3356" s="6"/>
      <c r="Q3356" s="6"/>
      <c r="R3356" s="6"/>
      <c r="S3356" s="6"/>
      <c r="T3356" s="6"/>
    </row>
    <row r="3357" spans="4:20" x14ac:dyDescent="0.2">
      <c r="D3357" s="6"/>
      <c r="E3357" s="6"/>
      <c r="F3357" s="6"/>
      <c r="G3357" s="19"/>
      <c r="H3357" s="19"/>
      <c r="I3357" s="19"/>
      <c r="J3357" s="19"/>
      <c r="K3357" s="6"/>
      <c r="L3357" s="6"/>
      <c r="M3357" s="6"/>
      <c r="N3357" s="6"/>
      <c r="O3357" s="6"/>
      <c r="P3357" s="6"/>
      <c r="Q3357" s="6"/>
      <c r="R3357" s="6"/>
      <c r="S3357" s="6"/>
      <c r="T3357" s="6"/>
    </row>
    <row r="3358" spans="4:20" x14ac:dyDescent="0.2">
      <c r="D3358" s="6"/>
      <c r="E3358" s="6"/>
      <c r="F3358" s="6"/>
      <c r="G3358" s="19"/>
      <c r="H3358" s="19"/>
      <c r="I3358" s="19"/>
      <c r="J3358" s="19"/>
      <c r="K3358" s="6"/>
      <c r="L3358" s="6"/>
      <c r="M3358" s="6"/>
      <c r="N3358" s="6"/>
      <c r="O3358" s="6"/>
      <c r="P3358" s="6"/>
      <c r="Q3358" s="6"/>
      <c r="R3358" s="6"/>
      <c r="S3358" s="6"/>
      <c r="T3358" s="6"/>
    </row>
    <row r="3359" spans="4:20" x14ac:dyDescent="0.2">
      <c r="D3359" s="6"/>
      <c r="E3359" s="6"/>
      <c r="F3359" s="6"/>
      <c r="G3359" s="19"/>
      <c r="H3359" s="19"/>
      <c r="I3359" s="19"/>
      <c r="J3359" s="19"/>
      <c r="K3359" s="6"/>
      <c r="L3359" s="6"/>
      <c r="M3359" s="6"/>
      <c r="N3359" s="6"/>
      <c r="O3359" s="6"/>
      <c r="P3359" s="6"/>
      <c r="Q3359" s="6"/>
      <c r="R3359" s="6"/>
      <c r="S3359" s="6"/>
      <c r="T3359" s="6"/>
    </row>
    <row r="3360" spans="4:20" x14ac:dyDescent="0.2">
      <c r="D3360" s="6"/>
      <c r="E3360" s="6"/>
      <c r="F3360" s="6"/>
      <c r="G3360" s="19"/>
      <c r="H3360" s="19"/>
      <c r="I3360" s="19"/>
      <c r="J3360" s="19"/>
      <c r="K3360" s="6"/>
      <c r="L3360" s="6"/>
      <c r="M3360" s="6"/>
      <c r="N3360" s="6"/>
      <c r="O3360" s="6"/>
      <c r="P3360" s="6"/>
      <c r="Q3360" s="6"/>
      <c r="R3360" s="6"/>
      <c r="S3360" s="6"/>
      <c r="T3360" s="6"/>
    </row>
    <row r="3361" spans="4:20" x14ac:dyDescent="0.2">
      <c r="D3361" s="6"/>
      <c r="E3361" s="6"/>
      <c r="F3361" s="6"/>
      <c r="G3361" s="19"/>
      <c r="H3361" s="19"/>
      <c r="I3361" s="19"/>
      <c r="J3361" s="19"/>
      <c r="K3361" s="6"/>
      <c r="L3361" s="6"/>
      <c r="M3361" s="6"/>
      <c r="N3361" s="6"/>
      <c r="O3361" s="6"/>
      <c r="P3361" s="6"/>
      <c r="Q3361" s="6"/>
      <c r="R3361" s="6"/>
      <c r="S3361" s="6"/>
      <c r="T3361" s="6"/>
    </row>
    <row r="3362" spans="4:20" x14ac:dyDescent="0.2">
      <c r="D3362" s="6"/>
      <c r="E3362" s="6"/>
      <c r="F3362" s="6"/>
      <c r="G3362" s="19"/>
      <c r="H3362" s="19"/>
      <c r="I3362" s="19"/>
      <c r="J3362" s="19"/>
      <c r="K3362" s="6"/>
      <c r="L3362" s="6"/>
      <c r="M3362" s="6"/>
      <c r="N3362" s="6"/>
      <c r="O3362" s="6"/>
      <c r="P3362" s="6"/>
      <c r="Q3362" s="6"/>
      <c r="R3362" s="6"/>
      <c r="S3362" s="6"/>
      <c r="T3362" s="6"/>
    </row>
    <row r="3363" spans="4:20" x14ac:dyDescent="0.2">
      <c r="D3363" s="6"/>
      <c r="E3363" s="6"/>
      <c r="F3363" s="6"/>
      <c r="G3363" s="19"/>
      <c r="H3363" s="19"/>
      <c r="I3363" s="19"/>
      <c r="J3363" s="19"/>
      <c r="K3363" s="6"/>
      <c r="L3363" s="6"/>
      <c r="M3363" s="6"/>
      <c r="N3363" s="6"/>
      <c r="O3363" s="6"/>
      <c r="P3363" s="6"/>
      <c r="Q3363" s="6"/>
      <c r="R3363" s="6"/>
      <c r="S3363" s="6"/>
      <c r="T3363" s="6"/>
    </row>
    <row r="3364" spans="4:20" x14ac:dyDescent="0.2">
      <c r="D3364" s="6"/>
      <c r="E3364" s="6"/>
      <c r="F3364" s="6"/>
      <c r="G3364" s="19"/>
      <c r="H3364" s="19"/>
      <c r="I3364" s="19"/>
      <c r="J3364" s="19"/>
      <c r="K3364" s="6"/>
      <c r="L3364" s="6"/>
      <c r="M3364" s="6"/>
      <c r="N3364" s="6"/>
      <c r="O3364" s="6"/>
      <c r="P3364" s="6"/>
      <c r="Q3364" s="6"/>
      <c r="R3364" s="6"/>
      <c r="S3364" s="6"/>
      <c r="T3364" s="6"/>
    </row>
    <row r="3365" spans="4:20" x14ac:dyDescent="0.2">
      <c r="D3365" s="6"/>
      <c r="E3365" s="6"/>
      <c r="F3365" s="6"/>
      <c r="G3365" s="19"/>
      <c r="H3365" s="19"/>
      <c r="I3365" s="19"/>
      <c r="J3365" s="19"/>
      <c r="K3365" s="6"/>
      <c r="L3365" s="6"/>
      <c r="M3365" s="6"/>
      <c r="N3365" s="6"/>
      <c r="O3365" s="6"/>
      <c r="P3365" s="6"/>
      <c r="Q3365" s="6"/>
      <c r="R3365" s="6"/>
      <c r="S3365" s="6"/>
      <c r="T3365" s="6"/>
    </row>
    <row r="3366" spans="4:20" x14ac:dyDescent="0.2">
      <c r="D3366" s="6"/>
      <c r="E3366" s="6"/>
      <c r="F3366" s="6"/>
      <c r="G3366" s="19"/>
      <c r="H3366" s="19"/>
      <c r="I3366" s="19"/>
      <c r="J3366" s="19"/>
      <c r="K3366" s="6"/>
      <c r="L3366" s="6"/>
      <c r="M3366" s="6"/>
      <c r="N3366" s="6"/>
      <c r="O3366" s="6"/>
      <c r="P3366" s="6"/>
      <c r="Q3366" s="6"/>
      <c r="R3366" s="6"/>
      <c r="S3366" s="6"/>
      <c r="T3366" s="6"/>
    </row>
    <row r="3367" spans="4:20" x14ac:dyDescent="0.2">
      <c r="D3367" s="6"/>
      <c r="E3367" s="6"/>
      <c r="F3367" s="6"/>
      <c r="G3367" s="19"/>
      <c r="H3367" s="19"/>
      <c r="I3367" s="19"/>
      <c r="J3367" s="19"/>
      <c r="K3367" s="6"/>
      <c r="L3367" s="6"/>
      <c r="M3367" s="6"/>
      <c r="N3367" s="6"/>
      <c r="O3367" s="6"/>
      <c r="P3367" s="6"/>
      <c r="Q3367" s="6"/>
      <c r="R3367" s="6"/>
      <c r="S3367" s="6"/>
      <c r="T3367" s="6"/>
    </row>
    <row r="3368" spans="4:20" x14ac:dyDescent="0.2">
      <c r="D3368" s="6"/>
      <c r="E3368" s="6"/>
      <c r="F3368" s="6"/>
      <c r="G3368" s="19"/>
      <c r="H3368" s="19"/>
      <c r="I3368" s="19"/>
      <c r="J3368" s="19"/>
      <c r="K3368" s="6"/>
      <c r="L3368" s="6"/>
      <c r="M3368" s="6"/>
      <c r="N3368" s="6"/>
      <c r="O3368" s="6"/>
      <c r="P3368" s="6"/>
      <c r="Q3368" s="6"/>
      <c r="R3368" s="6"/>
      <c r="S3368" s="6"/>
      <c r="T3368" s="6"/>
    </row>
    <row r="3369" spans="4:20" x14ac:dyDescent="0.2">
      <c r="D3369" s="6"/>
      <c r="E3369" s="6"/>
      <c r="F3369" s="6"/>
      <c r="G3369" s="19"/>
      <c r="H3369" s="19"/>
      <c r="I3369" s="19"/>
      <c r="J3369" s="19"/>
      <c r="K3369" s="6"/>
      <c r="L3369" s="6"/>
      <c r="M3369" s="6"/>
      <c r="N3369" s="6"/>
      <c r="O3369" s="6"/>
      <c r="P3369" s="6"/>
      <c r="Q3369" s="6"/>
      <c r="R3369" s="6"/>
      <c r="S3369" s="6"/>
      <c r="T3369" s="6"/>
    </row>
    <row r="3370" spans="4:20" x14ac:dyDescent="0.2">
      <c r="D3370" s="6"/>
      <c r="E3370" s="6"/>
      <c r="F3370" s="6"/>
      <c r="G3370" s="19"/>
      <c r="H3370" s="19"/>
      <c r="I3370" s="19"/>
      <c r="J3370" s="19"/>
      <c r="K3370" s="6"/>
      <c r="L3370" s="6"/>
      <c r="M3370" s="6"/>
      <c r="N3370" s="6"/>
      <c r="O3370" s="6"/>
      <c r="P3370" s="6"/>
      <c r="Q3370" s="6"/>
      <c r="R3370" s="6"/>
      <c r="S3370" s="6"/>
      <c r="T3370" s="6"/>
    </row>
    <row r="3371" spans="4:20" x14ac:dyDescent="0.2">
      <c r="D3371" s="6"/>
      <c r="E3371" s="6"/>
      <c r="F3371" s="6"/>
      <c r="G3371" s="19"/>
      <c r="H3371" s="19"/>
      <c r="I3371" s="19"/>
      <c r="J3371" s="19"/>
      <c r="K3371" s="6"/>
      <c r="L3371" s="6"/>
      <c r="M3371" s="6"/>
      <c r="N3371" s="6"/>
      <c r="O3371" s="6"/>
      <c r="P3371" s="6"/>
      <c r="Q3371" s="6"/>
      <c r="R3371" s="6"/>
      <c r="S3371" s="6"/>
      <c r="T3371" s="6"/>
    </row>
    <row r="3372" spans="4:20" x14ac:dyDescent="0.2">
      <c r="D3372" s="6"/>
      <c r="E3372" s="6"/>
      <c r="F3372" s="6"/>
      <c r="G3372" s="19"/>
      <c r="H3372" s="19"/>
      <c r="I3372" s="19"/>
      <c r="J3372" s="19"/>
      <c r="K3372" s="6"/>
      <c r="L3372" s="6"/>
      <c r="M3372" s="6"/>
      <c r="N3372" s="6"/>
      <c r="O3372" s="6"/>
      <c r="P3372" s="6"/>
      <c r="Q3372" s="6"/>
      <c r="R3372" s="6"/>
      <c r="S3372" s="6"/>
      <c r="T3372" s="6"/>
    </row>
    <row r="3373" spans="4:20" x14ac:dyDescent="0.2">
      <c r="D3373" s="6"/>
      <c r="E3373" s="6"/>
      <c r="F3373" s="6"/>
      <c r="G3373" s="19"/>
      <c r="H3373" s="19"/>
      <c r="I3373" s="19"/>
      <c r="J3373" s="19"/>
      <c r="K3373" s="6"/>
      <c r="L3373" s="6"/>
      <c r="M3373" s="6"/>
      <c r="N3373" s="6"/>
      <c r="O3373" s="6"/>
      <c r="P3373" s="6"/>
      <c r="Q3373" s="6"/>
      <c r="R3373" s="6"/>
      <c r="S3373" s="6"/>
      <c r="T3373" s="6"/>
    </row>
    <row r="3374" spans="4:20" x14ac:dyDescent="0.2">
      <c r="D3374" s="6"/>
      <c r="E3374" s="6"/>
      <c r="F3374" s="6"/>
      <c r="G3374" s="19"/>
      <c r="H3374" s="19"/>
      <c r="I3374" s="19"/>
      <c r="J3374" s="19"/>
      <c r="K3374" s="6"/>
      <c r="L3374" s="6"/>
      <c r="M3374" s="6"/>
      <c r="N3374" s="6"/>
      <c r="O3374" s="6"/>
      <c r="P3374" s="6"/>
      <c r="Q3374" s="6"/>
      <c r="R3374" s="6"/>
      <c r="S3374" s="6"/>
      <c r="T3374" s="6"/>
    </row>
    <row r="3375" spans="4:20" x14ac:dyDescent="0.2">
      <c r="D3375" s="6"/>
      <c r="E3375" s="6"/>
      <c r="F3375" s="6"/>
      <c r="G3375" s="19"/>
      <c r="H3375" s="19"/>
      <c r="I3375" s="19"/>
      <c r="J3375" s="19"/>
      <c r="K3375" s="6"/>
      <c r="L3375" s="6"/>
      <c r="M3375" s="6"/>
      <c r="N3375" s="6"/>
      <c r="O3375" s="6"/>
      <c r="P3375" s="6"/>
      <c r="Q3375" s="6"/>
      <c r="R3375" s="6"/>
      <c r="S3375" s="6"/>
      <c r="T3375" s="6"/>
    </row>
    <row r="3376" spans="4:20" x14ac:dyDescent="0.2">
      <c r="D3376" s="6"/>
      <c r="E3376" s="6"/>
      <c r="F3376" s="6"/>
      <c r="G3376" s="19"/>
      <c r="H3376" s="19"/>
      <c r="I3376" s="19"/>
      <c r="J3376" s="19"/>
      <c r="K3376" s="6"/>
      <c r="L3376" s="6"/>
      <c r="M3376" s="6"/>
      <c r="N3376" s="6"/>
      <c r="O3376" s="6"/>
      <c r="P3376" s="6"/>
      <c r="Q3376" s="6"/>
      <c r="R3376" s="6"/>
      <c r="S3376" s="6"/>
      <c r="T3376" s="6"/>
    </row>
    <row r="3377" spans="4:20" x14ac:dyDescent="0.2">
      <c r="D3377" s="6"/>
      <c r="E3377" s="6"/>
      <c r="F3377" s="6"/>
      <c r="G3377" s="19"/>
      <c r="H3377" s="19"/>
      <c r="I3377" s="19"/>
      <c r="J3377" s="19"/>
      <c r="K3377" s="6"/>
      <c r="L3377" s="6"/>
      <c r="M3377" s="6"/>
      <c r="N3377" s="6"/>
      <c r="O3377" s="6"/>
      <c r="P3377" s="6"/>
      <c r="Q3377" s="6"/>
      <c r="R3377" s="6"/>
      <c r="S3377" s="6"/>
      <c r="T3377" s="6"/>
    </row>
    <row r="3378" spans="4:20" x14ac:dyDescent="0.2">
      <c r="D3378" s="6"/>
      <c r="E3378" s="6"/>
      <c r="F3378" s="6"/>
      <c r="G3378" s="19"/>
      <c r="H3378" s="19"/>
      <c r="I3378" s="19"/>
      <c r="J3378" s="19"/>
      <c r="K3378" s="6"/>
      <c r="L3378" s="6"/>
      <c r="M3378" s="6"/>
      <c r="N3378" s="6"/>
      <c r="O3378" s="6"/>
      <c r="P3378" s="6"/>
      <c r="Q3378" s="6"/>
      <c r="R3378" s="6"/>
      <c r="S3378" s="6"/>
      <c r="T3378" s="6"/>
    </row>
    <row r="3379" spans="4:20" x14ac:dyDescent="0.2">
      <c r="D3379" s="6"/>
      <c r="E3379" s="6"/>
      <c r="F3379" s="6"/>
      <c r="G3379" s="19"/>
      <c r="H3379" s="19"/>
      <c r="I3379" s="19"/>
      <c r="J3379" s="19"/>
      <c r="K3379" s="6"/>
      <c r="L3379" s="6"/>
      <c r="M3379" s="6"/>
      <c r="N3379" s="6"/>
      <c r="O3379" s="6"/>
      <c r="P3379" s="6"/>
      <c r="Q3379" s="6"/>
      <c r="R3379" s="6"/>
      <c r="S3379" s="6"/>
      <c r="T3379" s="6"/>
    </row>
    <row r="3380" spans="4:20" x14ac:dyDescent="0.2">
      <c r="D3380" s="6"/>
      <c r="E3380" s="6"/>
      <c r="F3380" s="6"/>
      <c r="G3380" s="19"/>
      <c r="H3380" s="19"/>
      <c r="I3380" s="19"/>
      <c r="J3380" s="19"/>
      <c r="K3380" s="6"/>
      <c r="L3380" s="6"/>
      <c r="M3380" s="6"/>
      <c r="N3380" s="6"/>
      <c r="O3380" s="6"/>
      <c r="P3380" s="6"/>
      <c r="Q3380" s="6"/>
      <c r="R3380" s="6"/>
      <c r="S3380" s="6"/>
      <c r="T3380" s="6"/>
    </row>
    <row r="3381" spans="4:20" x14ac:dyDescent="0.2">
      <c r="D3381" s="6"/>
      <c r="E3381" s="6"/>
      <c r="F3381" s="6"/>
      <c r="G3381" s="19"/>
      <c r="H3381" s="19"/>
      <c r="I3381" s="19"/>
      <c r="J3381" s="19"/>
      <c r="K3381" s="6"/>
      <c r="L3381" s="6"/>
      <c r="M3381" s="6"/>
      <c r="N3381" s="6"/>
      <c r="O3381" s="6"/>
      <c r="P3381" s="6"/>
      <c r="Q3381" s="6"/>
      <c r="R3381" s="6"/>
      <c r="S3381" s="6"/>
      <c r="T3381" s="6"/>
    </row>
    <row r="3382" spans="4:20" x14ac:dyDescent="0.2">
      <c r="D3382" s="6"/>
      <c r="E3382" s="6"/>
      <c r="F3382" s="6"/>
      <c r="G3382" s="19"/>
      <c r="H3382" s="19"/>
      <c r="I3382" s="19"/>
      <c r="J3382" s="19"/>
      <c r="K3382" s="6"/>
      <c r="L3382" s="6"/>
      <c r="M3382" s="6"/>
      <c r="N3382" s="6"/>
      <c r="O3382" s="6"/>
      <c r="P3382" s="6"/>
      <c r="Q3382" s="6"/>
      <c r="R3382" s="6"/>
      <c r="S3382" s="6"/>
      <c r="T3382" s="6"/>
    </row>
    <row r="3383" spans="4:20" x14ac:dyDescent="0.2">
      <c r="D3383" s="6"/>
      <c r="E3383" s="6"/>
      <c r="F3383" s="6"/>
      <c r="G3383" s="19"/>
      <c r="H3383" s="19"/>
      <c r="I3383" s="19"/>
      <c r="J3383" s="19"/>
      <c r="K3383" s="6"/>
      <c r="L3383" s="6"/>
      <c r="M3383" s="6"/>
      <c r="N3383" s="6"/>
      <c r="O3383" s="6"/>
      <c r="P3383" s="6"/>
      <c r="Q3383" s="6"/>
      <c r="R3383" s="6"/>
      <c r="S3383" s="6"/>
      <c r="T3383" s="6"/>
    </row>
    <row r="3384" spans="4:20" x14ac:dyDescent="0.2">
      <c r="D3384" s="6"/>
      <c r="E3384" s="6"/>
      <c r="F3384" s="6"/>
      <c r="G3384" s="19"/>
      <c r="H3384" s="19"/>
      <c r="I3384" s="19"/>
      <c r="J3384" s="19"/>
      <c r="K3384" s="6"/>
      <c r="L3384" s="6"/>
      <c r="M3384" s="6"/>
      <c r="N3384" s="6"/>
      <c r="O3384" s="6"/>
      <c r="P3384" s="6"/>
      <c r="Q3384" s="6"/>
      <c r="R3384" s="6"/>
      <c r="S3384" s="6"/>
      <c r="T3384" s="6"/>
    </row>
    <row r="3385" spans="4:20" x14ac:dyDescent="0.2">
      <c r="D3385" s="6"/>
      <c r="E3385" s="6"/>
      <c r="F3385" s="6"/>
      <c r="G3385" s="19"/>
      <c r="H3385" s="19"/>
      <c r="I3385" s="19"/>
      <c r="J3385" s="19"/>
      <c r="K3385" s="6"/>
      <c r="L3385" s="6"/>
      <c r="M3385" s="6"/>
      <c r="N3385" s="6"/>
      <c r="O3385" s="6"/>
      <c r="P3385" s="6"/>
      <c r="Q3385" s="6"/>
      <c r="R3385" s="6"/>
      <c r="S3385" s="6"/>
      <c r="T3385" s="6"/>
    </row>
    <row r="3386" spans="4:20" x14ac:dyDescent="0.2">
      <c r="D3386" s="6"/>
      <c r="E3386" s="6"/>
      <c r="F3386" s="6"/>
      <c r="G3386" s="19"/>
      <c r="H3386" s="19"/>
      <c r="I3386" s="19"/>
      <c r="J3386" s="19"/>
      <c r="K3386" s="6"/>
      <c r="L3386" s="6"/>
      <c r="M3386" s="6"/>
      <c r="N3386" s="6"/>
      <c r="O3386" s="6"/>
      <c r="P3386" s="6"/>
      <c r="Q3386" s="6"/>
      <c r="R3386" s="6"/>
      <c r="S3386" s="6"/>
      <c r="T3386" s="6"/>
    </row>
    <row r="3387" spans="4:20" x14ac:dyDescent="0.2">
      <c r="D3387" s="6"/>
      <c r="E3387" s="6"/>
      <c r="F3387" s="6"/>
      <c r="G3387" s="19"/>
      <c r="H3387" s="19"/>
      <c r="I3387" s="19"/>
      <c r="J3387" s="19"/>
      <c r="K3387" s="6"/>
      <c r="L3387" s="6"/>
      <c r="M3387" s="6"/>
      <c r="N3387" s="6"/>
      <c r="O3387" s="6"/>
      <c r="P3387" s="6"/>
      <c r="Q3387" s="6"/>
      <c r="R3387" s="6"/>
      <c r="S3387" s="6"/>
      <c r="T3387" s="6"/>
    </row>
    <row r="3388" spans="4:20" x14ac:dyDescent="0.2">
      <c r="D3388" s="6"/>
      <c r="E3388" s="6"/>
      <c r="F3388" s="6"/>
      <c r="G3388" s="19"/>
      <c r="H3388" s="19"/>
      <c r="I3388" s="19"/>
      <c r="J3388" s="19"/>
      <c r="K3388" s="6"/>
      <c r="L3388" s="6"/>
      <c r="M3388" s="6"/>
      <c r="N3388" s="6"/>
      <c r="O3388" s="6"/>
      <c r="P3388" s="6"/>
      <c r="Q3388" s="6"/>
      <c r="R3388" s="6"/>
      <c r="S3388" s="6"/>
      <c r="T3388" s="6"/>
    </row>
    <row r="3389" spans="4:20" x14ac:dyDescent="0.2">
      <c r="D3389" s="6"/>
      <c r="E3389" s="6"/>
      <c r="F3389" s="6"/>
      <c r="G3389" s="19"/>
      <c r="H3389" s="19"/>
      <c r="I3389" s="19"/>
      <c r="J3389" s="19"/>
      <c r="K3389" s="6"/>
      <c r="L3389" s="6"/>
      <c r="M3389" s="6"/>
      <c r="N3389" s="6"/>
      <c r="O3389" s="6"/>
      <c r="P3389" s="6"/>
      <c r="Q3389" s="6"/>
      <c r="R3389" s="6"/>
      <c r="S3389" s="6"/>
      <c r="T3389" s="6"/>
    </row>
    <row r="3390" spans="4:20" x14ac:dyDescent="0.2">
      <c r="D3390" s="6"/>
      <c r="E3390" s="6"/>
      <c r="F3390" s="6"/>
      <c r="G3390" s="19"/>
      <c r="H3390" s="19"/>
      <c r="I3390" s="19"/>
      <c r="J3390" s="19"/>
      <c r="K3390" s="6"/>
      <c r="L3390" s="6"/>
      <c r="M3390" s="6"/>
      <c r="N3390" s="6"/>
      <c r="O3390" s="6"/>
      <c r="P3390" s="6"/>
      <c r="Q3390" s="6"/>
      <c r="R3390" s="6"/>
      <c r="S3390" s="6"/>
      <c r="T3390" s="6"/>
    </row>
    <row r="3391" spans="4:20" x14ac:dyDescent="0.2">
      <c r="D3391" s="6"/>
      <c r="E3391" s="6"/>
      <c r="F3391" s="6"/>
      <c r="G3391" s="19"/>
      <c r="H3391" s="19"/>
      <c r="I3391" s="19"/>
      <c r="J3391" s="19"/>
      <c r="K3391" s="6"/>
      <c r="L3391" s="6"/>
      <c r="M3391" s="6"/>
      <c r="N3391" s="6"/>
      <c r="O3391" s="6"/>
      <c r="P3391" s="6"/>
      <c r="Q3391" s="6"/>
      <c r="R3391" s="6"/>
      <c r="S3391" s="6"/>
      <c r="T3391" s="6"/>
    </row>
    <row r="3392" spans="4:20" x14ac:dyDescent="0.2">
      <c r="D3392" s="6"/>
      <c r="E3392" s="6"/>
      <c r="F3392" s="6"/>
      <c r="G3392" s="19"/>
      <c r="H3392" s="19"/>
      <c r="I3392" s="19"/>
      <c r="J3392" s="19"/>
      <c r="K3392" s="6"/>
      <c r="L3392" s="6"/>
      <c r="M3392" s="6"/>
      <c r="N3392" s="6"/>
      <c r="O3392" s="6"/>
      <c r="P3392" s="6"/>
      <c r="Q3392" s="6"/>
      <c r="R3392" s="6"/>
      <c r="S3392" s="6"/>
      <c r="T3392" s="6"/>
    </row>
    <row r="3393" spans="4:20" x14ac:dyDescent="0.2">
      <c r="D3393" s="6"/>
      <c r="E3393" s="6"/>
      <c r="F3393" s="6"/>
      <c r="G3393" s="19"/>
      <c r="H3393" s="19"/>
      <c r="I3393" s="19"/>
      <c r="J3393" s="19"/>
      <c r="K3393" s="6"/>
      <c r="L3393" s="6"/>
      <c r="M3393" s="6"/>
      <c r="N3393" s="6"/>
      <c r="O3393" s="6"/>
      <c r="P3393" s="6"/>
      <c r="Q3393" s="6"/>
      <c r="R3393" s="6"/>
      <c r="S3393" s="6"/>
      <c r="T3393" s="6"/>
    </row>
    <row r="3394" spans="4:20" x14ac:dyDescent="0.2">
      <c r="D3394" s="6"/>
      <c r="E3394" s="6"/>
      <c r="F3394" s="6"/>
      <c r="G3394" s="19"/>
      <c r="H3394" s="19"/>
      <c r="I3394" s="19"/>
      <c r="J3394" s="19"/>
      <c r="K3394" s="6"/>
      <c r="L3394" s="6"/>
      <c r="M3394" s="6"/>
      <c r="N3394" s="6"/>
      <c r="O3394" s="6"/>
      <c r="P3394" s="6"/>
      <c r="Q3394" s="6"/>
      <c r="R3394" s="6"/>
      <c r="S3394" s="6"/>
      <c r="T3394" s="6"/>
    </row>
    <row r="3395" spans="4:20" x14ac:dyDescent="0.2">
      <c r="D3395" s="6"/>
      <c r="E3395" s="6"/>
      <c r="F3395" s="6"/>
      <c r="G3395" s="19"/>
      <c r="H3395" s="19"/>
      <c r="I3395" s="19"/>
      <c r="J3395" s="19"/>
      <c r="K3395" s="6"/>
      <c r="L3395" s="6"/>
      <c r="M3395" s="6"/>
      <c r="N3395" s="6"/>
      <c r="O3395" s="6"/>
      <c r="P3395" s="6"/>
      <c r="Q3395" s="6"/>
      <c r="R3395" s="6"/>
      <c r="S3395" s="6"/>
      <c r="T3395" s="6"/>
    </row>
    <row r="3396" spans="4:20" x14ac:dyDescent="0.2">
      <c r="D3396" s="6"/>
      <c r="E3396" s="6"/>
      <c r="F3396" s="6"/>
      <c r="G3396" s="19"/>
      <c r="H3396" s="19"/>
      <c r="I3396" s="19"/>
      <c r="J3396" s="19"/>
      <c r="K3396" s="6"/>
      <c r="L3396" s="6"/>
      <c r="M3396" s="6"/>
      <c r="N3396" s="6"/>
      <c r="O3396" s="6"/>
      <c r="P3396" s="6"/>
      <c r="Q3396" s="6"/>
      <c r="R3396" s="6"/>
      <c r="S3396" s="6"/>
      <c r="T3396" s="6"/>
    </row>
    <row r="3397" spans="4:20" x14ac:dyDescent="0.2">
      <c r="D3397" s="6"/>
      <c r="E3397" s="6"/>
      <c r="F3397" s="6"/>
      <c r="G3397" s="19"/>
      <c r="H3397" s="19"/>
      <c r="I3397" s="19"/>
      <c r="J3397" s="19"/>
      <c r="K3397" s="6"/>
      <c r="L3397" s="6"/>
      <c r="M3397" s="6"/>
      <c r="N3397" s="6"/>
      <c r="O3397" s="6"/>
      <c r="P3397" s="6"/>
      <c r="Q3397" s="6"/>
      <c r="R3397" s="6"/>
      <c r="S3397" s="6"/>
      <c r="T3397" s="6"/>
    </row>
    <row r="3398" spans="4:20" x14ac:dyDescent="0.2">
      <c r="D3398" s="6"/>
      <c r="E3398" s="6"/>
      <c r="F3398" s="6"/>
      <c r="G3398" s="19"/>
      <c r="H3398" s="19"/>
      <c r="I3398" s="19"/>
      <c r="J3398" s="19"/>
      <c r="K3398" s="6"/>
      <c r="L3398" s="6"/>
      <c r="M3398" s="6"/>
      <c r="N3398" s="6"/>
      <c r="O3398" s="6"/>
      <c r="P3398" s="6"/>
      <c r="Q3398" s="6"/>
      <c r="R3398" s="6"/>
      <c r="S3398" s="6"/>
      <c r="T3398" s="6"/>
    </row>
    <row r="3399" spans="4:20" x14ac:dyDescent="0.2">
      <c r="D3399" s="6"/>
      <c r="E3399" s="6"/>
      <c r="F3399" s="6"/>
      <c r="G3399" s="19"/>
      <c r="H3399" s="19"/>
      <c r="I3399" s="19"/>
      <c r="J3399" s="19"/>
      <c r="K3399" s="6"/>
      <c r="L3399" s="6"/>
      <c r="M3399" s="6"/>
      <c r="N3399" s="6"/>
      <c r="O3399" s="6"/>
      <c r="P3399" s="6"/>
      <c r="Q3399" s="6"/>
      <c r="R3399" s="6"/>
      <c r="S3399" s="6"/>
      <c r="T3399" s="6"/>
    </row>
    <row r="3400" spans="4:20" x14ac:dyDescent="0.2">
      <c r="D3400" s="6"/>
      <c r="E3400" s="6"/>
      <c r="F3400" s="6"/>
      <c r="G3400" s="19"/>
      <c r="H3400" s="19"/>
      <c r="I3400" s="19"/>
      <c r="J3400" s="19"/>
      <c r="K3400" s="6"/>
      <c r="L3400" s="6"/>
      <c r="M3400" s="6"/>
      <c r="N3400" s="6"/>
      <c r="O3400" s="6"/>
      <c r="P3400" s="6"/>
      <c r="Q3400" s="6"/>
      <c r="R3400" s="6"/>
      <c r="S3400" s="6"/>
      <c r="T3400" s="6"/>
    </row>
    <row r="3401" spans="4:20" x14ac:dyDescent="0.2">
      <c r="D3401" s="6"/>
      <c r="E3401" s="6"/>
      <c r="F3401" s="6"/>
      <c r="G3401" s="19"/>
      <c r="H3401" s="19"/>
      <c r="I3401" s="19"/>
      <c r="J3401" s="19"/>
      <c r="K3401" s="6"/>
      <c r="L3401" s="6"/>
      <c r="M3401" s="6"/>
      <c r="N3401" s="6"/>
      <c r="O3401" s="6"/>
      <c r="P3401" s="6"/>
      <c r="Q3401" s="6"/>
      <c r="R3401" s="6"/>
      <c r="S3401" s="6"/>
      <c r="T3401" s="6"/>
    </row>
    <row r="3402" spans="4:20" x14ac:dyDescent="0.2">
      <c r="D3402" s="6"/>
      <c r="E3402" s="6"/>
      <c r="F3402" s="6"/>
      <c r="G3402" s="19"/>
      <c r="H3402" s="19"/>
      <c r="I3402" s="19"/>
      <c r="J3402" s="19"/>
      <c r="K3402" s="6"/>
      <c r="L3402" s="6"/>
      <c r="M3402" s="6"/>
      <c r="N3402" s="6"/>
      <c r="O3402" s="6"/>
      <c r="P3402" s="6"/>
      <c r="Q3402" s="6"/>
      <c r="R3402" s="6"/>
      <c r="S3402" s="6"/>
      <c r="T3402" s="6"/>
    </row>
    <row r="3403" spans="4:20" x14ac:dyDescent="0.2">
      <c r="D3403" s="6"/>
      <c r="E3403" s="6"/>
      <c r="F3403" s="6"/>
      <c r="G3403" s="19"/>
      <c r="H3403" s="19"/>
      <c r="I3403" s="19"/>
      <c r="J3403" s="19"/>
      <c r="K3403" s="6"/>
      <c r="L3403" s="6"/>
      <c r="M3403" s="6"/>
      <c r="N3403" s="6"/>
      <c r="O3403" s="6"/>
      <c r="P3403" s="6"/>
      <c r="Q3403" s="6"/>
      <c r="R3403" s="6"/>
      <c r="S3403" s="6"/>
      <c r="T3403" s="6"/>
    </row>
    <row r="3404" spans="4:20" x14ac:dyDescent="0.2">
      <c r="D3404" s="6"/>
      <c r="E3404" s="6"/>
      <c r="F3404" s="6"/>
      <c r="G3404" s="19"/>
      <c r="H3404" s="19"/>
      <c r="I3404" s="19"/>
      <c r="J3404" s="19"/>
      <c r="K3404" s="6"/>
      <c r="L3404" s="6"/>
      <c r="M3404" s="6"/>
      <c r="N3404" s="6"/>
      <c r="O3404" s="6"/>
      <c r="P3404" s="6"/>
      <c r="Q3404" s="6"/>
      <c r="R3404" s="6"/>
      <c r="S3404" s="6"/>
      <c r="T3404" s="6"/>
    </row>
    <row r="3405" spans="4:20" x14ac:dyDescent="0.2">
      <c r="D3405" s="6"/>
      <c r="E3405" s="6"/>
      <c r="F3405" s="6"/>
      <c r="G3405" s="19"/>
      <c r="H3405" s="19"/>
      <c r="I3405" s="19"/>
      <c r="J3405" s="19"/>
      <c r="K3405" s="6"/>
      <c r="L3405" s="6"/>
      <c r="M3405" s="6"/>
      <c r="N3405" s="6"/>
      <c r="O3405" s="6"/>
      <c r="P3405" s="6"/>
      <c r="Q3405" s="6"/>
      <c r="R3405" s="6"/>
      <c r="S3405" s="6"/>
      <c r="T3405" s="6"/>
    </row>
    <row r="3406" spans="4:20" x14ac:dyDescent="0.2">
      <c r="D3406" s="6"/>
      <c r="E3406" s="6"/>
      <c r="F3406" s="6"/>
      <c r="G3406" s="19"/>
      <c r="H3406" s="19"/>
      <c r="I3406" s="19"/>
      <c r="J3406" s="19"/>
      <c r="K3406" s="6"/>
      <c r="L3406" s="6"/>
      <c r="M3406" s="6"/>
      <c r="N3406" s="6"/>
      <c r="O3406" s="6"/>
      <c r="P3406" s="6"/>
      <c r="Q3406" s="6"/>
      <c r="R3406" s="6"/>
      <c r="S3406" s="6"/>
      <c r="T3406" s="6"/>
    </row>
    <row r="3407" spans="4:20" x14ac:dyDescent="0.2">
      <c r="D3407" s="6"/>
      <c r="E3407" s="6"/>
      <c r="F3407" s="6"/>
      <c r="G3407" s="19"/>
      <c r="H3407" s="19"/>
      <c r="I3407" s="19"/>
      <c r="J3407" s="19"/>
      <c r="K3407" s="6"/>
      <c r="L3407" s="6"/>
      <c r="M3407" s="6"/>
      <c r="N3407" s="6"/>
      <c r="O3407" s="6"/>
      <c r="P3407" s="6"/>
      <c r="Q3407" s="6"/>
      <c r="R3407" s="6"/>
      <c r="S3407" s="6"/>
      <c r="T3407" s="6"/>
    </row>
    <row r="3408" spans="4:20" x14ac:dyDescent="0.2">
      <c r="D3408" s="6"/>
      <c r="E3408" s="6"/>
      <c r="F3408" s="6"/>
      <c r="G3408" s="19"/>
      <c r="H3408" s="19"/>
      <c r="I3408" s="19"/>
      <c r="J3408" s="19"/>
      <c r="K3408" s="6"/>
      <c r="L3408" s="6"/>
      <c r="M3408" s="6"/>
      <c r="N3408" s="6"/>
      <c r="O3408" s="6"/>
      <c r="P3408" s="6"/>
      <c r="Q3408" s="6"/>
      <c r="R3408" s="6"/>
      <c r="S3408" s="6"/>
      <c r="T3408" s="6"/>
    </row>
    <row r="3409" spans="4:20" x14ac:dyDescent="0.2">
      <c r="D3409" s="6"/>
      <c r="E3409" s="6"/>
      <c r="F3409" s="6"/>
      <c r="G3409" s="19"/>
      <c r="H3409" s="19"/>
      <c r="I3409" s="19"/>
      <c r="J3409" s="19"/>
      <c r="K3409" s="6"/>
      <c r="L3409" s="6"/>
      <c r="M3409" s="6"/>
      <c r="N3409" s="6"/>
      <c r="O3409" s="6"/>
      <c r="P3409" s="6"/>
      <c r="Q3409" s="6"/>
      <c r="R3409" s="6"/>
      <c r="S3409" s="6"/>
      <c r="T3409" s="6"/>
    </row>
    <row r="3410" spans="4:20" x14ac:dyDescent="0.2">
      <c r="D3410" s="6"/>
      <c r="E3410" s="6"/>
      <c r="F3410" s="6"/>
      <c r="G3410" s="19"/>
      <c r="H3410" s="19"/>
      <c r="I3410" s="19"/>
      <c r="J3410" s="19"/>
      <c r="K3410" s="6"/>
      <c r="L3410" s="6"/>
      <c r="M3410" s="6"/>
      <c r="N3410" s="6"/>
      <c r="O3410" s="6"/>
      <c r="P3410" s="6"/>
      <c r="Q3410" s="6"/>
      <c r="R3410" s="6"/>
      <c r="S3410" s="6"/>
      <c r="T3410" s="6"/>
    </row>
    <row r="3411" spans="4:20" x14ac:dyDescent="0.2">
      <c r="D3411" s="6"/>
      <c r="E3411" s="6"/>
      <c r="F3411" s="6"/>
      <c r="G3411" s="19"/>
      <c r="H3411" s="19"/>
      <c r="I3411" s="19"/>
      <c r="J3411" s="19"/>
      <c r="K3411" s="6"/>
      <c r="L3411" s="6"/>
      <c r="M3411" s="6"/>
      <c r="N3411" s="6"/>
      <c r="O3411" s="6"/>
      <c r="P3411" s="6"/>
      <c r="Q3411" s="6"/>
      <c r="R3411" s="6"/>
      <c r="S3411" s="6"/>
      <c r="T3411" s="6"/>
    </row>
    <row r="3412" spans="4:20" x14ac:dyDescent="0.2">
      <c r="D3412" s="6"/>
      <c r="E3412" s="6"/>
      <c r="F3412" s="6"/>
      <c r="G3412" s="19"/>
      <c r="H3412" s="19"/>
      <c r="I3412" s="19"/>
      <c r="J3412" s="19"/>
      <c r="K3412" s="6"/>
      <c r="L3412" s="6"/>
      <c r="M3412" s="6"/>
      <c r="N3412" s="6"/>
      <c r="O3412" s="6"/>
      <c r="P3412" s="6"/>
      <c r="Q3412" s="6"/>
      <c r="R3412" s="6"/>
      <c r="S3412" s="6"/>
      <c r="T3412" s="6"/>
    </row>
    <row r="3413" spans="4:20" x14ac:dyDescent="0.2">
      <c r="D3413" s="6"/>
      <c r="E3413" s="6"/>
      <c r="F3413" s="6"/>
      <c r="G3413" s="19"/>
      <c r="H3413" s="19"/>
      <c r="I3413" s="19"/>
      <c r="J3413" s="19"/>
      <c r="K3413" s="6"/>
      <c r="L3413" s="6"/>
      <c r="M3413" s="6"/>
      <c r="N3413" s="6"/>
      <c r="O3413" s="6"/>
      <c r="P3413" s="6"/>
      <c r="Q3413" s="6"/>
      <c r="R3413" s="6"/>
      <c r="S3413" s="6"/>
      <c r="T3413" s="6"/>
    </row>
    <row r="3414" spans="4:20" x14ac:dyDescent="0.2">
      <c r="D3414" s="6"/>
      <c r="E3414" s="6"/>
      <c r="F3414" s="6"/>
      <c r="G3414" s="19"/>
      <c r="H3414" s="19"/>
      <c r="I3414" s="19"/>
      <c r="J3414" s="19"/>
      <c r="K3414" s="6"/>
      <c r="L3414" s="6"/>
      <c r="M3414" s="6"/>
      <c r="N3414" s="6"/>
      <c r="O3414" s="6"/>
      <c r="P3414" s="6"/>
      <c r="Q3414" s="6"/>
      <c r="R3414" s="6"/>
      <c r="S3414" s="6"/>
      <c r="T3414" s="6"/>
    </row>
    <row r="3415" spans="4:20" x14ac:dyDescent="0.2">
      <c r="D3415" s="6"/>
      <c r="E3415" s="6"/>
      <c r="F3415" s="6"/>
      <c r="G3415" s="19"/>
      <c r="H3415" s="19"/>
      <c r="I3415" s="19"/>
      <c r="J3415" s="19"/>
      <c r="K3415" s="6"/>
      <c r="L3415" s="6"/>
      <c r="M3415" s="6"/>
      <c r="N3415" s="6"/>
      <c r="O3415" s="6"/>
      <c r="P3415" s="6"/>
      <c r="Q3415" s="6"/>
      <c r="R3415" s="6"/>
      <c r="S3415" s="6"/>
      <c r="T3415" s="6"/>
    </row>
    <row r="3416" spans="4:20" x14ac:dyDescent="0.2">
      <c r="D3416" s="6"/>
      <c r="E3416" s="6"/>
      <c r="F3416" s="6"/>
      <c r="G3416" s="19"/>
      <c r="H3416" s="19"/>
      <c r="I3416" s="19"/>
      <c r="J3416" s="19"/>
      <c r="K3416" s="6"/>
      <c r="L3416" s="6"/>
      <c r="M3416" s="6"/>
      <c r="N3416" s="6"/>
      <c r="O3416" s="6"/>
      <c r="P3416" s="6"/>
      <c r="Q3416" s="6"/>
      <c r="R3416" s="6"/>
      <c r="S3416" s="6"/>
      <c r="T3416" s="6"/>
    </row>
    <row r="3417" spans="4:20" x14ac:dyDescent="0.2">
      <c r="D3417" s="6"/>
      <c r="E3417" s="6"/>
      <c r="F3417" s="6"/>
      <c r="G3417" s="19"/>
      <c r="H3417" s="19"/>
      <c r="I3417" s="19"/>
      <c r="J3417" s="19"/>
      <c r="K3417" s="6"/>
      <c r="L3417" s="6"/>
      <c r="M3417" s="6"/>
      <c r="N3417" s="6"/>
      <c r="O3417" s="6"/>
      <c r="P3417" s="6"/>
      <c r="Q3417" s="6"/>
      <c r="R3417" s="6"/>
      <c r="S3417" s="6"/>
      <c r="T3417" s="6"/>
    </row>
    <row r="3418" spans="4:20" x14ac:dyDescent="0.2">
      <c r="D3418" s="6"/>
      <c r="E3418" s="6"/>
      <c r="F3418" s="6"/>
      <c r="G3418" s="19"/>
      <c r="H3418" s="19"/>
      <c r="I3418" s="19"/>
      <c r="J3418" s="19"/>
      <c r="K3418" s="6"/>
      <c r="L3418" s="6"/>
      <c r="M3418" s="6"/>
      <c r="N3418" s="6"/>
      <c r="O3418" s="6"/>
      <c r="P3418" s="6"/>
      <c r="Q3418" s="6"/>
      <c r="R3418" s="6"/>
      <c r="S3418" s="6"/>
      <c r="T3418" s="6"/>
    </row>
    <row r="3419" spans="4:20" x14ac:dyDescent="0.2">
      <c r="D3419" s="6"/>
      <c r="E3419" s="6"/>
      <c r="F3419" s="6"/>
      <c r="G3419" s="19"/>
      <c r="H3419" s="19"/>
      <c r="I3419" s="19"/>
      <c r="J3419" s="19"/>
      <c r="K3419" s="6"/>
      <c r="L3419" s="6"/>
      <c r="M3419" s="6"/>
      <c r="N3419" s="6"/>
      <c r="O3419" s="6"/>
      <c r="P3419" s="6"/>
      <c r="Q3419" s="6"/>
      <c r="R3419" s="6"/>
      <c r="S3419" s="6"/>
      <c r="T3419" s="6"/>
    </row>
    <row r="3420" spans="4:20" x14ac:dyDescent="0.2">
      <c r="D3420" s="6"/>
      <c r="E3420" s="6"/>
      <c r="F3420" s="6"/>
      <c r="G3420" s="19"/>
      <c r="H3420" s="19"/>
      <c r="I3420" s="19"/>
      <c r="J3420" s="19"/>
      <c r="K3420" s="6"/>
      <c r="L3420" s="6"/>
      <c r="M3420" s="6"/>
      <c r="N3420" s="6"/>
      <c r="O3420" s="6"/>
      <c r="P3420" s="6"/>
      <c r="Q3420" s="6"/>
      <c r="R3420" s="6"/>
      <c r="S3420" s="6"/>
      <c r="T3420" s="6"/>
    </row>
    <row r="3421" spans="4:20" x14ac:dyDescent="0.2">
      <c r="D3421" s="6"/>
      <c r="E3421" s="6"/>
      <c r="F3421" s="6"/>
      <c r="G3421" s="19"/>
      <c r="H3421" s="19"/>
      <c r="I3421" s="19"/>
      <c r="J3421" s="19"/>
      <c r="K3421" s="6"/>
      <c r="L3421" s="6"/>
      <c r="M3421" s="6"/>
      <c r="N3421" s="6"/>
      <c r="O3421" s="6"/>
      <c r="P3421" s="6"/>
      <c r="Q3421" s="6"/>
      <c r="R3421" s="6"/>
      <c r="S3421" s="6"/>
      <c r="T3421" s="6"/>
    </row>
    <row r="3422" spans="4:20" x14ac:dyDescent="0.2">
      <c r="D3422" s="6"/>
      <c r="E3422" s="6"/>
      <c r="F3422" s="6"/>
      <c r="G3422" s="19"/>
      <c r="H3422" s="19"/>
      <c r="I3422" s="19"/>
      <c r="J3422" s="19"/>
      <c r="K3422" s="6"/>
      <c r="L3422" s="6"/>
      <c r="M3422" s="6"/>
      <c r="N3422" s="6"/>
      <c r="O3422" s="6"/>
      <c r="P3422" s="6"/>
      <c r="Q3422" s="6"/>
      <c r="R3422" s="6"/>
      <c r="S3422" s="6"/>
      <c r="T3422" s="6"/>
    </row>
    <row r="3423" spans="4:20" x14ac:dyDescent="0.2">
      <c r="D3423" s="6"/>
      <c r="E3423" s="6"/>
      <c r="F3423" s="6"/>
      <c r="G3423" s="19"/>
      <c r="H3423" s="19"/>
      <c r="I3423" s="19"/>
      <c r="J3423" s="19"/>
      <c r="K3423" s="6"/>
      <c r="L3423" s="6"/>
      <c r="M3423" s="6"/>
      <c r="N3423" s="6"/>
      <c r="O3423" s="6"/>
      <c r="P3423" s="6"/>
      <c r="Q3423" s="6"/>
      <c r="R3423" s="6"/>
      <c r="S3423" s="6"/>
      <c r="T3423" s="6"/>
    </row>
    <row r="3424" spans="4:20" x14ac:dyDescent="0.2">
      <c r="D3424" s="6"/>
      <c r="E3424" s="6"/>
      <c r="F3424" s="6"/>
      <c r="G3424" s="19"/>
      <c r="H3424" s="19"/>
      <c r="I3424" s="19"/>
      <c r="J3424" s="19"/>
      <c r="K3424" s="6"/>
      <c r="L3424" s="6"/>
      <c r="M3424" s="6"/>
      <c r="N3424" s="6"/>
      <c r="O3424" s="6"/>
      <c r="P3424" s="6"/>
      <c r="Q3424" s="6"/>
      <c r="R3424" s="6"/>
      <c r="S3424" s="6"/>
      <c r="T3424" s="6"/>
    </row>
    <row r="3425" spans="4:20" x14ac:dyDescent="0.2">
      <c r="D3425" s="6"/>
      <c r="E3425" s="6"/>
      <c r="F3425" s="6"/>
      <c r="G3425" s="19"/>
      <c r="H3425" s="19"/>
      <c r="I3425" s="19"/>
      <c r="J3425" s="19"/>
      <c r="K3425" s="6"/>
      <c r="L3425" s="6"/>
      <c r="M3425" s="6"/>
      <c r="N3425" s="6"/>
      <c r="O3425" s="6"/>
      <c r="P3425" s="6"/>
      <c r="Q3425" s="6"/>
      <c r="R3425" s="6"/>
      <c r="S3425" s="6"/>
      <c r="T3425" s="6"/>
    </row>
    <row r="3426" spans="4:20" x14ac:dyDescent="0.2">
      <c r="D3426" s="6"/>
      <c r="E3426" s="6"/>
      <c r="F3426" s="6"/>
      <c r="G3426" s="19"/>
      <c r="H3426" s="19"/>
      <c r="I3426" s="19"/>
      <c r="J3426" s="19"/>
      <c r="K3426" s="6"/>
      <c r="L3426" s="6"/>
      <c r="M3426" s="6"/>
      <c r="N3426" s="6"/>
      <c r="O3426" s="6"/>
      <c r="P3426" s="6"/>
      <c r="Q3426" s="6"/>
      <c r="R3426" s="6"/>
      <c r="S3426" s="6"/>
      <c r="T3426" s="6"/>
    </row>
    <row r="3427" spans="4:20" x14ac:dyDescent="0.2">
      <c r="D3427" s="6"/>
      <c r="E3427" s="6"/>
      <c r="F3427" s="6"/>
      <c r="G3427" s="19"/>
      <c r="H3427" s="19"/>
      <c r="I3427" s="19"/>
      <c r="J3427" s="19"/>
      <c r="K3427" s="6"/>
      <c r="L3427" s="6"/>
      <c r="M3427" s="6"/>
      <c r="N3427" s="6"/>
      <c r="O3427" s="6"/>
      <c r="P3427" s="6"/>
      <c r="Q3427" s="6"/>
      <c r="R3427" s="6"/>
      <c r="S3427" s="6"/>
      <c r="T3427" s="6"/>
    </row>
    <row r="3428" spans="4:20" x14ac:dyDescent="0.2">
      <c r="D3428" s="6"/>
      <c r="E3428" s="6"/>
      <c r="F3428" s="6"/>
      <c r="G3428" s="19"/>
      <c r="H3428" s="19"/>
      <c r="I3428" s="19"/>
      <c r="J3428" s="19"/>
      <c r="K3428" s="6"/>
      <c r="L3428" s="6"/>
      <c r="M3428" s="6"/>
      <c r="N3428" s="6"/>
      <c r="O3428" s="6"/>
      <c r="P3428" s="6"/>
      <c r="Q3428" s="6"/>
      <c r="R3428" s="6"/>
      <c r="S3428" s="6"/>
      <c r="T3428" s="6"/>
    </row>
    <row r="3429" spans="4:20" x14ac:dyDescent="0.2">
      <c r="D3429" s="6"/>
      <c r="E3429" s="6"/>
      <c r="F3429" s="6"/>
      <c r="G3429" s="19"/>
      <c r="H3429" s="19"/>
      <c r="I3429" s="19"/>
      <c r="J3429" s="19"/>
      <c r="K3429" s="6"/>
      <c r="L3429" s="6"/>
      <c r="M3429" s="6"/>
      <c r="N3429" s="6"/>
      <c r="O3429" s="6"/>
      <c r="P3429" s="6"/>
      <c r="Q3429" s="6"/>
      <c r="R3429" s="6"/>
      <c r="S3429" s="6"/>
      <c r="T3429" s="6"/>
    </row>
    <row r="3430" spans="4:20" x14ac:dyDescent="0.2">
      <c r="D3430" s="6"/>
      <c r="E3430" s="6"/>
      <c r="F3430" s="6"/>
      <c r="G3430" s="19"/>
      <c r="H3430" s="19"/>
      <c r="I3430" s="19"/>
      <c r="J3430" s="19"/>
      <c r="K3430" s="6"/>
      <c r="L3430" s="6"/>
      <c r="M3430" s="6"/>
      <c r="N3430" s="6"/>
      <c r="O3430" s="6"/>
      <c r="P3430" s="6"/>
      <c r="Q3430" s="6"/>
      <c r="R3430" s="6"/>
      <c r="S3430" s="6"/>
      <c r="T3430" s="6"/>
    </row>
    <row r="3431" spans="4:20" x14ac:dyDescent="0.2">
      <c r="D3431" s="6"/>
      <c r="E3431" s="6"/>
      <c r="F3431" s="6"/>
      <c r="G3431" s="19"/>
      <c r="H3431" s="19"/>
      <c r="I3431" s="19"/>
      <c r="J3431" s="19"/>
      <c r="K3431" s="6"/>
      <c r="L3431" s="6"/>
      <c r="M3431" s="6"/>
      <c r="N3431" s="6"/>
      <c r="O3431" s="6"/>
      <c r="P3431" s="6"/>
      <c r="Q3431" s="6"/>
      <c r="R3431" s="6"/>
      <c r="S3431" s="6"/>
      <c r="T3431" s="6"/>
    </row>
    <row r="3432" spans="4:20" x14ac:dyDescent="0.2">
      <c r="D3432" s="6"/>
      <c r="E3432" s="6"/>
      <c r="F3432" s="6"/>
      <c r="G3432" s="19"/>
      <c r="H3432" s="19"/>
      <c r="I3432" s="19"/>
      <c r="J3432" s="19"/>
      <c r="K3432" s="6"/>
      <c r="L3432" s="6"/>
      <c r="M3432" s="6"/>
      <c r="N3432" s="6"/>
      <c r="O3432" s="6"/>
      <c r="P3432" s="6"/>
      <c r="Q3432" s="6"/>
      <c r="R3432" s="6"/>
      <c r="S3432" s="6"/>
      <c r="T3432" s="6"/>
    </row>
    <row r="3433" spans="4:20" x14ac:dyDescent="0.2">
      <c r="D3433" s="6"/>
      <c r="E3433" s="6"/>
      <c r="F3433" s="6"/>
      <c r="G3433" s="19"/>
      <c r="H3433" s="19"/>
      <c r="I3433" s="19"/>
      <c r="J3433" s="19"/>
      <c r="K3433" s="6"/>
      <c r="L3433" s="6"/>
      <c r="M3433" s="6"/>
      <c r="N3433" s="6"/>
      <c r="O3433" s="6"/>
      <c r="P3433" s="6"/>
      <c r="Q3433" s="6"/>
      <c r="R3433" s="6"/>
      <c r="S3433" s="6"/>
      <c r="T3433" s="6"/>
    </row>
    <row r="3434" spans="4:20" x14ac:dyDescent="0.2">
      <c r="D3434" s="6"/>
      <c r="E3434" s="6"/>
      <c r="F3434" s="6"/>
      <c r="G3434" s="19"/>
      <c r="H3434" s="19"/>
      <c r="I3434" s="19"/>
      <c r="J3434" s="19"/>
      <c r="K3434" s="6"/>
      <c r="L3434" s="6"/>
      <c r="M3434" s="6"/>
      <c r="N3434" s="6"/>
      <c r="O3434" s="6"/>
      <c r="P3434" s="6"/>
      <c r="Q3434" s="6"/>
      <c r="R3434" s="6"/>
      <c r="S3434" s="6"/>
      <c r="T3434" s="6"/>
    </row>
    <row r="3435" spans="4:20" x14ac:dyDescent="0.2">
      <c r="D3435" s="6"/>
      <c r="E3435" s="6"/>
      <c r="F3435" s="6"/>
      <c r="G3435" s="19"/>
      <c r="H3435" s="19"/>
      <c r="I3435" s="19"/>
      <c r="J3435" s="19"/>
      <c r="K3435" s="6"/>
      <c r="L3435" s="6"/>
      <c r="M3435" s="6"/>
      <c r="N3435" s="6"/>
      <c r="O3435" s="6"/>
      <c r="P3435" s="6"/>
      <c r="Q3435" s="6"/>
      <c r="R3435" s="6"/>
      <c r="S3435" s="6"/>
      <c r="T3435" s="6"/>
    </row>
    <row r="3436" spans="4:20" x14ac:dyDescent="0.2">
      <c r="D3436" s="6"/>
      <c r="E3436" s="6"/>
      <c r="F3436" s="6"/>
      <c r="G3436" s="19"/>
      <c r="H3436" s="19"/>
      <c r="I3436" s="19"/>
      <c r="J3436" s="19"/>
      <c r="K3436" s="6"/>
      <c r="L3436" s="6"/>
      <c r="M3436" s="6"/>
      <c r="N3436" s="6"/>
      <c r="O3436" s="6"/>
      <c r="P3436" s="6"/>
      <c r="Q3436" s="6"/>
      <c r="R3436" s="6"/>
      <c r="S3436" s="6"/>
      <c r="T3436" s="6"/>
    </row>
    <row r="3437" spans="4:20" x14ac:dyDescent="0.2">
      <c r="D3437" s="6"/>
      <c r="E3437" s="6"/>
      <c r="F3437" s="6"/>
      <c r="G3437" s="19"/>
      <c r="H3437" s="19"/>
      <c r="I3437" s="19"/>
      <c r="J3437" s="19"/>
      <c r="K3437" s="6"/>
      <c r="L3437" s="6"/>
      <c r="M3437" s="6"/>
      <c r="N3437" s="6"/>
      <c r="O3437" s="6"/>
      <c r="P3437" s="6"/>
      <c r="Q3437" s="6"/>
      <c r="R3437" s="6"/>
      <c r="S3437" s="6"/>
      <c r="T3437" s="6"/>
    </row>
    <row r="3438" spans="4:20" x14ac:dyDescent="0.2">
      <c r="D3438" s="6"/>
      <c r="E3438" s="6"/>
      <c r="F3438" s="6"/>
      <c r="G3438" s="19"/>
      <c r="H3438" s="19"/>
      <c r="I3438" s="19"/>
      <c r="J3438" s="19"/>
      <c r="K3438" s="6"/>
      <c r="L3438" s="6"/>
      <c r="M3438" s="6"/>
      <c r="N3438" s="6"/>
      <c r="O3438" s="6"/>
      <c r="P3438" s="6"/>
      <c r="Q3438" s="6"/>
      <c r="R3438" s="6"/>
      <c r="S3438" s="6"/>
      <c r="T3438" s="6"/>
    </row>
    <row r="3439" spans="4:20" x14ac:dyDescent="0.2">
      <c r="D3439" s="6"/>
      <c r="E3439" s="6"/>
      <c r="F3439" s="6"/>
      <c r="G3439" s="19"/>
      <c r="H3439" s="19"/>
      <c r="I3439" s="19"/>
      <c r="J3439" s="19"/>
      <c r="K3439" s="6"/>
      <c r="L3439" s="6"/>
      <c r="M3439" s="6"/>
      <c r="N3439" s="6"/>
      <c r="O3439" s="6"/>
      <c r="P3439" s="6"/>
      <c r="Q3439" s="6"/>
      <c r="R3439" s="6"/>
      <c r="S3439" s="6"/>
      <c r="T3439" s="6"/>
    </row>
    <row r="3440" spans="4:20" x14ac:dyDescent="0.2">
      <c r="D3440" s="6"/>
      <c r="E3440" s="6"/>
      <c r="F3440" s="6"/>
      <c r="G3440" s="19"/>
      <c r="H3440" s="19"/>
      <c r="I3440" s="19"/>
      <c r="J3440" s="19"/>
      <c r="K3440" s="6"/>
      <c r="L3440" s="6"/>
      <c r="M3440" s="6"/>
      <c r="N3440" s="6"/>
      <c r="O3440" s="6"/>
      <c r="P3440" s="6"/>
      <c r="Q3440" s="6"/>
      <c r="R3440" s="6"/>
      <c r="S3440" s="6"/>
      <c r="T3440" s="6"/>
    </row>
    <row r="3441" spans="4:20" x14ac:dyDescent="0.2">
      <c r="D3441" s="6"/>
      <c r="E3441" s="6"/>
      <c r="F3441" s="6"/>
      <c r="G3441" s="19"/>
      <c r="H3441" s="19"/>
      <c r="I3441" s="19"/>
      <c r="J3441" s="19"/>
      <c r="K3441" s="6"/>
      <c r="L3441" s="6"/>
      <c r="M3441" s="6"/>
      <c r="N3441" s="6"/>
      <c r="O3441" s="6"/>
      <c r="P3441" s="6"/>
      <c r="Q3441" s="6"/>
      <c r="R3441" s="6"/>
      <c r="S3441" s="6"/>
      <c r="T3441" s="6"/>
    </row>
    <row r="3442" spans="4:20" x14ac:dyDescent="0.2">
      <c r="D3442" s="6"/>
      <c r="E3442" s="6"/>
      <c r="F3442" s="6"/>
      <c r="G3442" s="19"/>
      <c r="H3442" s="19"/>
      <c r="I3442" s="19"/>
      <c r="J3442" s="19"/>
      <c r="K3442" s="6"/>
      <c r="L3442" s="6"/>
      <c r="M3442" s="6"/>
      <c r="N3442" s="6"/>
      <c r="O3442" s="6"/>
      <c r="P3442" s="6"/>
      <c r="Q3442" s="6"/>
      <c r="R3442" s="6"/>
      <c r="S3442" s="6"/>
      <c r="T3442" s="6"/>
    </row>
    <row r="3443" spans="4:20" x14ac:dyDescent="0.2">
      <c r="D3443" s="6"/>
      <c r="E3443" s="6"/>
      <c r="F3443" s="6"/>
      <c r="G3443" s="19"/>
      <c r="H3443" s="19"/>
      <c r="I3443" s="19"/>
      <c r="J3443" s="19"/>
      <c r="K3443" s="6"/>
      <c r="L3443" s="6"/>
      <c r="M3443" s="6"/>
      <c r="N3443" s="6"/>
      <c r="O3443" s="6"/>
      <c r="P3443" s="6"/>
      <c r="Q3443" s="6"/>
      <c r="R3443" s="6"/>
      <c r="S3443" s="6"/>
      <c r="T3443" s="6"/>
    </row>
    <row r="3444" spans="4:20" x14ac:dyDescent="0.2">
      <c r="D3444" s="6"/>
      <c r="E3444" s="6"/>
      <c r="F3444" s="6"/>
      <c r="G3444" s="19"/>
      <c r="H3444" s="19"/>
      <c r="I3444" s="19"/>
      <c r="J3444" s="19"/>
      <c r="K3444" s="6"/>
      <c r="L3444" s="6"/>
      <c r="M3444" s="6"/>
      <c r="N3444" s="6"/>
      <c r="O3444" s="6"/>
      <c r="P3444" s="6"/>
      <c r="Q3444" s="6"/>
      <c r="R3444" s="6"/>
      <c r="S3444" s="6"/>
      <c r="T3444" s="6"/>
    </row>
    <row r="3445" spans="4:20" x14ac:dyDescent="0.2">
      <c r="D3445" s="6"/>
      <c r="E3445" s="6"/>
      <c r="F3445" s="6"/>
      <c r="G3445" s="19"/>
      <c r="H3445" s="19"/>
      <c r="I3445" s="19"/>
      <c r="J3445" s="19"/>
      <c r="K3445" s="6"/>
      <c r="L3445" s="6"/>
      <c r="M3445" s="6"/>
      <c r="N3445" s="6"/>
      <c r="O3445" s="6"/>
      <c r="P3445" s="6"/>
      <c r="Q3445" s="6"/>
      <c r="R3445" s="6"/>
      <c r="S3445" s="6"/>
      <c r="T3445" s="6"/>
    </row>
    <row r="3446" spans="4:20" x14ac:dyDescent="0.2">
      <c r="D3446" s="6"/>
      <c r="E3446" s="6"/>
      <c r="F3446" s="6"/>
      <c r="G3446" s="19"/>
      <c r="H3446" s="19"/>
      <c r="I3446" s="19"/>
      <c r="J3446" s="19"/>
      <c r="K3446" s="6"/>
      <c r="L3446" s="6"/>
      <c r="M3446" s="6"/>
      <c r="N3446" s="6"/>
      <c r="O3446" s="6"/>
      <c r="P3446" s="6"/>
      <c r="Q3446" s="6"/>
      <c r="R3446" s="6"/>
      <c r="S3446" s="6"/>
      <c r="T3446" s="6"/>
    </row>
    <row r="3447" spans="4:20" x14ac:dyDescent="0.2">
      <c r="D3447" s="6"/>
      <c r="E3447" s="6"/>
      <c r="F3447" s="6"/>
      <c r="G3447" s="19"/>
      <c r="H3447" s="19"/>
      <c r="I3447" s="19"/>
      <c r="J3447" s="19"/>
      <c r="K3447" s="6"/>
      <c r="L3447" s="6"/>
      <c r="M3447" s="6"/>
      <c r="N3447" s="6"/>
      <c r="O3447" s="6"/>
      <c r="P3447" s="6"/>
      <c r="Q3447" s="6"/>
      <c r="R3447" s="6"/>
      <c r="S3447" s="6"/>
      <c r="T3447" s="6"/>
    </row>
    <row r="3448" spans="4:20" x14ac:dyDescent="0.2">
      <c r="D3448" s="6"/>
      <c r="E3448" s="6"/>
      <c r="F3448" s="6"/>
      <c r="G3448" s="19"/>
      <c r="H3448" s="19"/>
      <c r="I3448" s="19"/>
      <c r="J3448" s="19"/>
      <c r="K3448" s="6"/>
      <c r="L3448" s="6"/>
      <c r="M3448" s="6"/>
      <c r="N3448" s="6"/>
      <c r="O3448" s="6"/>
      <c r="P3448" s="6"/>
      <c r="Q3448" s="6"/>
      <c r="R3448" s="6"/>
      <c r="S3448" s="6"/>
      <c r="T3448" s="6"/>
    </row>
    <row r="3449" spans="4:20" x14ac:dyDescent="0.2">
      <c r="D3449" s="6"/>
      <c r="E3449" s="6"/>
      <c r="F3449" s="6"/>
      <c r="G3449" s="19"/>
      <c r="H3449" s="19"/>
      <c r="I3449" s="19"/>
      <c r="J3449" s="19"/>
      <c r="K3449" s="6"/>
      <c r="L3449" s="6"/>
      <c r="M3449" s="6"/>
      <c r="N3449" s="6"/>
      <c r="O3449" s="6"/>
      <c r="P3449" s="6"/>
      <c r="Q3449" s="6"/>
      <c r="R3449" s="6"/>
      <c r="S3449" s="6"/>
      <c r="T3449" s="6"/>
    </row>
    <row r="3450" spans="4:20" x14ac:dyDescent="0.2">
      <c r="D3450" s="6"/>
      <c r="E3450" s="6"/>
      <c r="F3450" s="6"/>
      <c r="G3450" s="19"/>
      <c r="H3450" s="19"/>
      <c r="I3450" s="19"/>
      <c r="J3450" s="19"/>
      <c r="K3450" s="6"/>
      <c r="L3450" s="6"/>
      <c r="M3450" s="6"/>
      <c r="N3450" s="6"/>
      <c r="O3450" s="6"/>
      <c r="P3450" s="6"/>
      <c r="Q3450" s="6"/>
      <c r="R3450" s="6"/>
      <c r="S3450" s="6"/>
      <c r="T3450" s="6"/>
    </row>
    <row r="3451" spans="4:20" x14ac:dyDescent="0.2">
      <c r="D3451" s="6"/>
      <c r="E3451" s="6"/>
      <c r="F3451" s="6"/>
      <c r="G3451" s="19"/>
      <c r="H3451" s="19"/>
      <c r="I3451" s="19"/>
      <c r="J3451" s="19"/>
      <c r="K3451" s="6"/>
      <c r="L3451" s="6"/>
      <c r="M3451" s="6"/>
      <c r="N3451" s="6"/>
      <c r="O3451" s="6"/>
      <c r="P3451" s="6"/>
      <c r="Q3451" s="6"/>
      <c r="R3451" s="6"/>
      <c r="S3451" s="6"/>
      <c r="T3451" s="6"/>
    </row>
    <row r="3452" spans="4:20" x14ac:dyDescent="0.2">
      <c r="D3452" s="6"/>
      <c r="E3452" s="6"/>
      <c r="F3452" s="6"/>
      <c r="G3452" s="19"/>
      <c r="H3452" s="19"/>
      <c r="I3452" s="19"/>
      <c r="J3452" s="19"/>
      <c r="K3452" s="6"/>
      <c r="L3452" s="6"/>
      <c r="M3452" s="6"/>
      <c r="N3452" s="6"/>
      <c r="O3452" s="6"/>
      <c r="P3452" s="6"/>
      <c r="Q3452" s="6"/>
      <c r="R3452" s="6"/>
      <c r="S3452" s="6"/>
      <c r="T3452" s="6"/>
    </row>
    <row r="3453" spans="4:20" x14ac:dyDescent="0.2">
      <c r="D3453" s="6"/>
      <c r="E3453" s="6"/>
      <c r="F3453" s="6"/>
      <c r="G3453" s="19"/>
      <c r="H3453" s="19"/>
      <c r="I3453" s="19"/>
      <c r="J3453" s="19"/>
      <c r="K3453" s="6"/>
      <c r="L3453" s="6"/>
      <c r="M3453" s="6"/>
      <c r="N3453" s="6"/>
      <c r="O3453" s="6"/>
      <c r="P3453" s="6"/>
      <c r="Q3453" s="6"/>
      <c r="R3453" s="6"/>
      <c r="S3453" s="6"/>
      <c r="T3453" s="6"/>
    </row>
    <row r="3454" spans="4:20" x14ac:dyDescent="0.2">
      <c r="D3454" s="6"/>
      <c r="E3454" s="6"/>
      <c r="F3454" s="6"/>
      <c r="G3454" s="19"/>
      <c r="H3454" s="19"/>
      <c r="I3454" s="19"/>
      <c r="J3454" s="19"/>
      <c r="K3454" s="6"/>
      <c r="L3454" s="6"/>
      <c r="M3454" s="6"/>
      <c r="N3454" s="6"/>
      <c r="O3454" s="6"/>
      <c r="P3454" s="6"/>
      <c r="Q3454" s="6"/>
      <c r="R3454" s="6"/>
      <c r="S3454" s="6"/>
      <c r="T3454" s="6"/>
    </row>
    <row r="3455" spans="4:20" x14ac:dyDescent="0.2">
      <c r="D3455" s="6"/>
      <c r="E3455" s="6"/>
      <c r="F3455" s="6"/>
      <c r="G3455" s="19"/>
      <c r="H3455" s="19"/>
      <c r="I3455" s="19"/>
      <c r="J3455" s="19"/>
      <c r="K3455" s="6"/>
      <c r="L3455" s="6"/>
      <c r="M3455" s="6"/>
      <c r="N3455" s="6"/>
      <c r="O3455" s="6"/>
      <c r="P3455" s="6"/>
      <c r="Q3455" s="6"/>
      <c r="R3455" s="6"/>
      <c r="S3455" s="6"/>
      <c r="T3455" s="6"/>
    </row>
    <row r="3456" spans="4:20" x14ac:dyDescent="0.2">
      <c r="D3456" s="6"/>
      <c r="E3456" s="6"/>
      <c r="F3456" s="6"/>
      <c r="G3456" s="19"/>
      <c r="H3456" s="19"/>
      <c r="I3456" s="19"/>
      <c r="J3456" s="19"/>
      <c r="K3456" s="6"/>
      <c r="L3456" s="6"/>
      <c r="M3456" s="6"/>
      <c r="N3456" s="6"/>
      <c r="O3456" s="6"/>
      <c r="P3456" s="6"/>
      <c r="Q3456" s="6"/>
      <c r="R3456" s="6"/>
      <c r="S3456" s="6"/>
      <c r="T3456" s="6"/>
    </row>
    <row r="3457" spans="4:20" x14ac:dyDescent="0.2">
      <c r="D3457" s="6"/>
      <c r="E3457" s="6"/>
      <c r="F3457" s="6"/>
      <c r="G3457" s="19"/>
      <c r="H3457" s="19"/>
      <c r="I3457" s="19"/>
      <c r="J3457" s="19"/>
      <c r="K3457" s="6"/>
      <c r="L3457" s="6"/>
      <c r="M3457" s="6"/>
      <c r="N3457" s="6"/>
      <c r="O3457" s="6"/>
      <c r="P3457" s="6"/>
      <c r="Q3457" s="6"/>
      <c r="R3457" s="6"/>
      <c r="S3457" s="6"/>
      <c r="T3457" s="6"/>
    </row>
    <row r="3458" spans="4:20" x14ac:dyDescent="0.2">
      <c r="D3458" s="6"/>
      <c r="E3458" s="6"/>
      <c r="F3458" s="6"/>
      <c r="G3458" s="19"/>
      <c r="H3458" s="19"/>
      <c r="I3458" s="19"/>
      <c r="J3458" s="19"/>
      <c r="K3458" s="6"/>
      <c r="L3458" s="6"/>
      <c r="M3458" s="6"/>
      <c r="N3458" s="6"/>
      <c r="O3458" s="6"/>
      <c r="P3458" s="6"/>
      <c r="Q3458" s="6"/>
      <c r="R3458" s="6"/>
      <c r="S3458" s="6"/>
      <c r="T3458" s="6"/>
    </row>
    <row r="3459" spans="4:20" x14ac:dyDescent="0.2">
      <c r="D3459" s="6"/>
      <c r="E3459" s="6"/>
      <c r="F3459" s="6"/>
      <c r="G3459" s="19"/>
      <c r="H3459" s="19"/>
      <c r="I3459" s="19"/>
      <c r="J3459" s="19"/>
      <c r="K3459" s="6"/>
      <c r="L3459" s="6"/>
      <c r="M3459" s="6"/>
      <c r="N3459" s="6"/>
      <c r="O3459" s="6"/>
      <c r="P3459" s="6"/>
      <c r="Q3459" s="6"/>
      <c r="R3459" s="6"/>
      <c r="S3459" s="6"/>
      <c r="T3459" s="6"/>
    </row>
    <row r="3460" spans="4:20" x14ac:dyDescent="0.2">
      <c r="D3460" s="6"/>
      <c r="E3460" s="6"/>
      <c r="F3460" s="6"/>
      <c r="G3460" s="19"/>
      <c r="H3460" s="19"/>
      <c r="I3460" s="19"/>
      <c r="J3460" s="19"/>
      <c r="K3460" s="6"/>
      <c r="L3460" s="6"/>
      <c r="M3460" s="6"/>
      <c r="N3460" s="6"/>
      <c r="O3460" s="6"/>
      <c r="P3460" s="6"/>
      <c r="Q3460" s="6"/>
      <c r="R3460" s="6"/>
      <c r="S3460" s="6"/>
      <c r="T3460" s="6"/>
    </row>
    <row r="3461" spans="4:20" x14ac:dyDescent="0.2">
      <c r="D3461" s="6"/>
      <c r="E3461" s="6"/>
      <c r="F3461" s="6"/>
      <c r="G3461" s="19"/>
      <c r="H3461" s="19"/>
      <c r="I3461" s="19"/>
      <c r="J3461" s="19"/>
      <c r="K3461" s="6"/>
      <c r="L3461" s="6"/>
      <c r="M3461" s="6"/>
      <c r="N3461" s="6"/>
      <c r="O3461" s="6"/>
      <c r="P3461" s="6"/>
      <c r="Q3461" s="6"/>
      <c r="R3461" s="6"/>
      <c r="S3461" s="6"/>
      <c r="T3461" s="6"/>
    </row>
    <row r="3462" spans="4:20" x14ac:dyDescent="0.2">
      <c r="D3462" s="6"/>
      <c r="E3462" s="6"/>
      <c r="F3462" s="6"/>
      <c r="G3462" s="19"/>
      <c r="H3462" s="19"/>
      <c r="I3462" s="19"/>
      <c r="J3462" s="19"/>
      <c r="K3462" s="6"/>
      <c r="L3462" s="6"/>
      <c r="M3462" s="6"/>
      <c r="N3462" s="6"/>
      <c r="O3462" s="6"/>
      <c r="P3462" s="6"/>
      <c r="Q3462" s="6"/>
      <c r="R3462" s="6"/>
      <c r="S3462" s="6"/>
      <c r="T3462" s="6"/>
    </row>
    <row r="3463" spans="4:20" x14ac:dyDescent="0.2">
      <c r="D3463" s="6"/>
      <c r="E3463" s="6"/>
      <c r="F3463" s="6"/>
      <c r="G3463" s="19"/>
      <c r="H3463" s="19"/>
      <c r="I3463" s="19"/>
      <c r="J3463" s="19"/>
      <c r="K3463" s="6"/>
      <c r="L3463" s="6"/>
      <c r="M3463" s="6"/>
      <c r="N3463" s="6"/>
      <c r="O3463" s="6"/>
      <c r="P3463" s="6"/>
      <c r="Q3463" s="6"/>
      <c r="R3463" s="6"/>
      <c r="S3463" s="6"/>
      <c r="T3463" s="6"/>
    </row>
    <row r="3464" spans="4:20" x14ac:dyDescent="0.2">
      <c r="D3464" s="6"/>
      <c r="E3464" s="6"/>
      <c r="F3464" s="6"/>
      <c r="G3464" s="19"/>
      <c r="H3464" s="19"/>
      <c r="I3464" s="19"/>
      <c r="J3464" s="19"/>
      <c r="K3464" s="6"/>
      <c r="L3464" s="6"/>
      <c r="M3464" s="6"/>
      <c r="N3464" s="6"/>
      <c r="O3464" s="6"/>
      <c r="P3464" s="6"/>
      <c r="Q3464" s="6"/>
      <c r="R3464" s="6"/>
      <c r="S3464" s="6"/>
      <c r="T3464" s="6"/>
    </row>
    <row r="3465" spans="4:20" x14ac:dyDescent="0.2">
      <c r="D3465" s="6"/>
      <c r="E3465" s="6"/>
      <c r="F3465" s="6"/>
      <c r="G3465" s="19"/>
      <c r="H3465" s="19"/>
      <c r="I3465" s="19"/>
      <c r="J3465" s="19"/>
      <c r="K3465" s="6"/>
      <c r="L3465" s="6"/>
      <c r="M3465" s="6"/>
      <c r="N3465" s="6"/>
      <c r="O3465" s="6"/>
      <c r="P3465" s="6"/>
      <c r="Q3465" s="6"/>
      <c r="R3465" s="6"/>
      <c r="S3465" s="6"/>
      <c r="T3465" s="6"/>
    </row>
    <row r="3466" spans="4:20" x14ac:dyDescent="0.2">
      <c r="D3466" s="6"/>
      <c r="E3466" s="6"/>
      <c r="F3466" s="6"/>
      <c r="G3466" s="19"/>
      <c r="H3466" s="19"/>
      <c r="I3466" s="19"/>
      <c r="J3466" s="19"/>
      <c r="K3466" s="6"/>
      <c r="L3466" s="6"/>
      <c r="M3466" s="6"/>
      <c r="N3466" s="6"/>
      <c r="O3466" s="6"/>
      <c r="P3466" s="6"/>
      <c r="Q3466" s="6"/>
      <c r="R3466" s="6"/>
      <c r="S3466" s="6"/>
      <c r="T3466" s="6"/>
    </row>
    <row r="3467" spans="4:20" x14ac:dyDescent="0.2">
      <c r="D3467" s="6"/>
      <c r="E3467" s="6"/>
      <c r="F3467" s="6"/>
      <c r="G3467" s="19"/>
      <c r="H3467" s="19"/>
      <c r="I3467" s="19"/>
      <c r="J3467" s="19"/>
      <c r="K3467" s="6"/>
      <c r="L3467" s="6"/>
      <c r="M3467" s="6"/>
      <c r="N3467" s="6"/>
      <c r="O3467" s="6"/>
      <c r="P3467" s="6"/>
      <c r="Q3467" s="6"/>
      <c r="R3467" s="6"/>
      <c r="S3467" s="6"/>
      <c r="T3467" s="6"/>
    </row>
    <row r="3468" spans="4:20" x14ac:dyDescent="0.2">
      <c r="D3468" s="6"/>
      <c r="E3468" s="6"/>
      <c r="F3468" s="6"/>
      <c r="G3468" s="19"/>
      <c r="H3468" s="19"/>
      <c r="I3468" s="19"/>
      <c r="J3468" s="19"/>
      <c r="K3468" s="6"/>
      <c r="L3468" s="6"/>
      <c r="M3468" s="6"/>
      <c r="N3468" s="6"/>
      <c r="O3468" s="6"/>
      <c r="P3468" s="6"/>
      <c r="Q3468" s="6"/>
      <c r="R3468" s="6"/>
      <c r="S3468" s="6"/>
      <c r="T3468" s="6"/>
    </row>
    <row r="3469" spans="4:20" x14ac:dyDescent="0.2">
      <c r="D3469" s="6"/>
      <c r="E3469" s="6"/>
      <c r="F3469" s="6"/>
      <c r="G3469" s="19"/>
      <c r="H3469" s="19"/>
      <c r="I3469" s="19"/>
      <c r="J3469" s="19"/>
      <c r="K3469" s="6"/>
      <c r="L3469" s="6"/>
      <c r="M3469" s="6"/>
      <c r="N3469" s="6"/>
      <c r="O3469" s="6"/>
      <c r="P3469" s="6"/>
      <c r="Q3469" s="6"/>
      <c r="R3469" s="6"/>
      <c r="S3469" s="6"/>
      <c r="T3469" s="6"/>
    </row>
    <row r="3470" spans="4:20" x14ac:dyDescent="0.2">
      <c r="D3470" s="6"/>
      <c r="E3470" s="6"/>
      <c r="F3470" s="6"/>
      <c r="G3470" s="19"/>
      <c r="H3470" s="19"/>
      <c r="I3470" s="19"/>
      <c r="J3470" s="19"/>
      <c r="K3470" s="6"/>
      <c r="L3470" s="6"/>
      <c r="M3470" s="6"/>
      <c r="N3470" s="6"/>
      <c r="O3470" s="6"/>
      <c r="P3470" s="6"/>
      <c r="Q3470" s="6"/>
      <c r="R3470" s="6"/>
      <c r="S3470" s="6"/>
      <c r="T3470" s="6"/>
    </row>
    <row r="3471" spans="4:20" x14ac:dyDescent="0.2">
      <c r="D3471" s="6"/>
      <c r="E3471" s="6"/>
      <c r="F3471" s="6"/>
      <c r="G3471" s="19"/>
      <c r="H3471" s="19"/>
      <c r="I3471" s="19"/>
      <c r="J3471" s="19"/>
      <c r="K3471" s="6"/>
      <c r="L3471" s="6"/>
      <c r="M3471" s="6"/>
      <c r="N3471" s="6"/>
      <c r="O3471" s="6"/>
      <c r="P3471" s="6"/>
      <c r="Q3471" s="6"/>
      <c r="R3471" s="6"/>
      <c r="S3471" s="6"/>
      <c r="T3471" s="6"/>
    </row>
    <row r="3472" spans="4:20" x14ac:dyDescent="0.2">
      <c r="D3472" s="6"/>
      <c r="E3472" s="6"/>
      <c r="F3472" s="6"/>
      <c r="G3472" s="19"/>
      <c r="H3472" s="19"/>
      <c r="I3472" s="19"/>
      <c r="J3472" s="19"/>
      <c r="K3472" s="6"/>
      <c r="L3472" s="6"/>
      <c r="M3472" s="6"/>
      <c r="N3472" s="6"/>
      <c r="O3472" s="6"/>
      <c r="P3472" s="6"/>
      <c r="Q3472" s="6"/>
      <c r="R3472" s="6"/>
      <c r="S3472" s="6"/>
      <c r="T3472" s="6"/>
    </row>
    <row r="3473" spans="4:20" x14ac:dyDescent="0.2">
      <c r="D3473" s="6"/>
      <c r="E3473" s="6"/>
      <c r="F3473" s="6"/>
      <c r="G3473" s="19"/>
      <c r="H3473" s="19"/>
      <c r="I3473" s="19"/>
      <c r="J3473" s="19"/>
      <c r="K3473" s="6"/>
      <c r="L3473" s="6"/>
      <c r="M3473" s="6"/>
      <c r="N3473" s="6"/>
      <c r="O3473" s="6"/>
      <c r="P3473" s="6"/>
      <c r="Q3473" s="6"/>
      <c r="R3473" s="6"/>
      <c r="S3473" s="6"/>
      <c r="T3473" s="6"/>
    </row>
    <row r="3474" spans="4:20" x14ac:dyDescent="0.2">
      <c r="D3474" s="6"/>
      <c r="E3474" s="6"/>
      <c r="F3474" s="6"/>
      <c r="G3474" s="19"/>
      <c r="H3474" s="19"/>
      <c r="I3474" s="19"/>
      <c r="J3474" s="19"/>
      <c r="K3474" s="6"/>
      <c r="L3474" s="6"/>
      <c r="M3474" s="6"/>
      <c r="N3474" s="6"/>
      <c r="O3474" s="6"/>
      <c r="P3474" s="6"/>
      <c r="Q3474" s="6"/>
      <c r="R3474" s="6"/>
      <c r="S3474" s="6"/>
      <c r="T3474" s="6"/>
    </row>
    <row r="3475" spans="4:20" x14ac:dyDescent="0.2">
      <c r="D3475" s="6"/>
      <c r="E3475" s="6"/>
      <c r="F3475" s="6"/>
      <c r="G3475" s="19"/>
      <c r="H3475" s="19"/>
      <c r="I3475" s="19"/>
      <c r="J3475" s="19"/>
      <c r="K3475" s="6"/>
      <c r="L3475" s="6"/>
      <c r="M3475" s="6"/>
      <c r="N3475" s="6"/>
      <c r="O3475" s="6"/>
      <c r="P3475" s="6"/>
      <c r="Q3475" s="6"/>
      <c r="R3475" s="6"/>
      <c r="S3475" s="6"/>
      <c r="T3475" s="6"/>
    </row>
    <row r="3476" spans="4:20" x14ac:dyDescent="0.2">
      <c r="D3476" s="6"/>
      <c r="E3476" s="6"/>
      <c r="F3476" s="6"/>
      <c r="G3476" s="19"/>
      <c r="H3476" s="19"/>
      <c r="I3476" s="19"/>
      <c r="J3476" s="19"/>
      <c r="K3476" s="6"/>
      <c r="L3476" s="6"/>
      <c r="M3476" s="6"/>
      <c r="N3476" s="6"/>
      <c r="O3476" s="6"/>
      <c r="P3476" s="6"/>
      <c r="Q3476" s="6"/>
      <c r="R3476" s="6"/>
      <c r="S3476" s="6"/>
      <c r="T3476" s="6"/>
    </row>
    <row r="3477" spans="4:20" x14ac:dyDescent="0.2">
      <c r="D3477" s="6"/>
      <c r="E3477" s="6"/>
      <c r="F3477" s="6"/>
      <c r="G3477" s="19"/>
      <c r="H3477" s="19"/>
      <c r="I3477" s="19"/>
      <c r="J3477" s="19"/>
      <c r="K3477" s="6"/>
      <c r="L3477" s="6"/>
      <c r="M3477" s="6"/>
      <c r="N3477" s="6"/>
      <c r="O3477" s="6"/>
      <c r="P3477" s="6"/>
      <c r="Q3477" s="6"/>
      <c r="R3477" s="6"/>
      <c r="S3477" s="6"/>
      <c r="T3477" s="6"/>
    </row>
    <row r="3478" spans="4:20" x14ac:dyDescent="0.2">
      <c r="D3478" s="6"/>
      <c r="E3478" s="6"/>
      <c r="F3478" s="6"/>
      <c r="G3478" s="19"/>
      <c r="H3478" s="19"/>
      <c r="I3478" s="19"/>
      <c r="J3478" s="19"/>
      <c r="K3478" s="6"/>
      <c r="L3478" s="6"/>
      <c r="M3478" s="6"/>
      <c r="N3478" s="6"/>
      <c r="O3478" s="6"/>
      <c r="P3478" s="6"/>
      <c r="Q3478" s="6"/>
      <c r="R3478" s="6"/>
      <c r="S3478" s="6"/>
      <c r="T3478" s="6"/>
    </row>
    <row r="3479" spans="4:20" x14ac:dyDescent="0.2">
      <c r="D3479" s="6"/>
      <c r="E3479" s="6"/>
      <c r="F3479" s="6"/>
      <c r="G3479" s="19"/>
      <c r="H3479" s="19"/>
      <c r="I3479" s="19"/>
      <c r="J3479" s="19"/>
      <c r="K3479" s="6"/>
      <c r="L3479" s="6"/>
      <c r="M3479" s="6"/>
      <c r="N3479" s="6"/>
      <c r="O3479" s="6"/>
      <c r="P3479" s="6"/>
      <c r="Q3479" s="6"/>
      <c r="R3479" s="6"/>
      <c r="S3479" s="6"/>
      <c r="T3479" s="6"/>
    </row>
    <row r="3480" spans="4:20" x14ac:dyDescent="0.2">
      <c r="D3480" s="6"/>
      <c r="E3480" s="6"/>
      <c r="F3480" s="6"/>
      <c r="G3480" s="19"/>
      <c r="H3480" s="19"/>
      <c r="I3480" s="19"/>
      <c r="J3480" s="19"/>
      <c r="K3480" s="6"/>
      <c r="L3480" s="6"/>
      <c r="M3480" s="6"/>
      <c r="N3480" s="6"/>
      <c r="O3480" s="6"/>
      <c r="P3480" s="6"/>
      <c r="Q3480" s="6"/>
      <c r="R3480" s="6"/>
      <c r="S3480" s="6"/>
      <c r="T3480" s="6"/>
    </row>
    <row r="3481" spans="4:20" x14ac:dyDescent="0.2">
      <c r="D3481" s="6"/>
      <c r="E3481" s="6"/>
      <c r="F3481" s="6"/>
      <c r="G3481" s="19"/>
      <c r="H3481" s="19"/>
      <c r="I3481" s="19"/>
      <c r="J3481" s="19"/>
      <c r="K3481" s="6"/>
      <c r="L3481" s="6"/>
      <c r="M3481" s="6"/>
      <c r="N3481" s="6"/>
      <c r="O3481" s="6"/>
      <c r="P3481" s="6"/>
      <c r="Q3481" s="6"/>
      <c r="R3481" s="6"/>
      <c r="S3481" s="6"/>
      <c r="T3481" s="6"/>
    </row>
    <row r="3482" spans="4:20" x14ac:dyDescent="0.2">
      <c r="D3482" s="6"/>
      <c r="E3482" s="6"/>
      <c r="F3482" s="6"/>
      <c r="G3482" s="19"/>
      <c r="H3482" s="19"/>
      <c r="I3482" s="19"/>
      <c r="J3482" s="19"/>
      <c r="K3482" s="6"/>
      <c r="L3482" s="6"/>
      <c r="M3482" s="6"/>
      <c r="N3482" s="6"/>
      <c r="O3482" s="6"/>
      <c r="P3482" s="6"/>
      <c r="Q3482" s="6"/>
      <c r="R3482" s="6"/>
      <c r="S3482" s="6"/>
      <c r="T3482" s="6"/>
    </row>
    <row r="3483" spans="4:20" x14ac:dyDescent="0.2">
      <c r="D3483" s="6"/>
      <c r="E3483" s="6"/>
      <c r="F3483" s="6"/>
      <c r="G3483" s="19"/>
      <c r="H3483" s="19"/>
      <c r="I3483" s="19"/>
      <c r="J3483" s="19"/>
      <c r="K3483" s="6"/>
      <c r="L3483" s="6"/>
      <c r="M3483" s="6"/>
      <c r="N3483" s="6"/>
      <c r="O3483" s="6"/>
      <c r="P3483" s="6"/>
      <c r="Q3483" s="6"/>
      <c r="R3483" s="6"/>
      <c r="S3483" s="6"/>
      <c r="T3483" s="6"/>
    </row>
    <row r="3484" spans="4:20" x14ac:dyDescent="0.2">
      <c r="D3484" s="6"/>
      <c r="E3484" s="6"/>
      <c r="F3484" s="6"/>
      <c r="G3484" s="19"/>
      <c r="H3484" s="19"/>
      <c r="I3484" s="19"/>
      <c r="J3484" s="19"/>
      <c r="K3484" s="6"/>
      <c r="L3484" s="6"/>
      <c r="M3484" s="6"/>
      <c r="N3484" s="6"/>
      <c r="O3484" s="6"/>
      <c r="P3484" s="6"/>
      <c r="Q3484" s="6"/>
      <c r="R3484" s="6"/>
      <c r="S3484" s="6"/>
      <c r="T3484" s="6"/>
    </row>
    <row r="3485" spans="4:20" x14ac:dyDescent="0.2">
      <c r="D3485" s="6"/>
      <c r="E3485" s="6"/>
      <c r="F3485" s="6"/>
      <c r="G3485" s="19"/>
      <c r="H3485" s="19"/>
      <c r="I3485" s="19"/>
      <c r="J3485" s="19"/>
      <c r="K3485" s="6"/>
      <c r="L3485" s="6"/>
      <c r="M3485" s="6"/>
      <c r="N3485" s="6"/>
      <c r="O3485" s="6"/>
      <c r="P3485" s="6"/>
      <c r="Q3485" s="6"/>
      <c r="R3485" s="6"/>
      <c r="S3485" s="6"/>
      <c r="T3485" s="6"/>
    </row>
    <row r="3486" spans="4:20" x14ac:dyDescent="0.2">
      <c r="D3486" s="6"/>
      <c r="E3486" s="6"/>
      <c r="F3486" s="6"/>
      <c r="G3486" s="19"/>
      <c r="H3486" s="19"/>
      <c r="I3486" s="19"/>
      <c r="J3486" s="19"/>
      <c r="K3486" s="6"/>
      <c r="L3486" s="6"/>
      <c r="M3486" s="6"/>
      <c r="N3486" s="6"/>
      <c r="O3486" s="6"/>
      <c r="P3486" s="6"/>
      <c r="Q3486" s="6"/>
      <c r="R3486" s="6"/>
      <c r="S3486" s="6"/>
      <c r="T3486" s="6"/>
    </row>
    <row r="3487" spans="4:20" x14ac:dyDescent="0.2">
      <c r="D3487" s="6"/>
      <c r="E3487" s="6"/>
      <c r="F3487" s="6"/>
      <c r="G3487" s="19"/>
      <c r="H3487" s="19"/>
      <c r="I3487" s="19"/>
      <c r="J3487" s="19"/>
      <c r="K3487" s="6"/>
      <c r="L3487" s="6"/>
      <c r="M3487" s="6"/>
      <c r="N3487" s="6"/>
      <c r="O3487" s="6"/>
      <c r="P3487" s="6"/>
      <c r="Q3487" s="6"/>
      <c r="R3487" s="6"/>
      <c r="S3487" s="6"/>
      <c r="T3487" s="6"/>
    </row>
    <row r="3488" spans="4:20" x14ac:dyDescent="0.2">
      <c r="D3488" s="6"/>
      <c r="E3488" s="6"/>
      <c r="F3488" s="6"/>
      <c r="G3488" s="19"/>
      <c r="H3488" s="19"/>
      <c r="I3488" s="19"/>
      <c r="J3488" s="19"/>
      <c r="K3488" s="6"/>
      <c r="L3488" s="6"/>
      <c r="M3488" s="6"/>
      <c r="N3488" s="6"/>
      <c r="O3488" s="6"/>
      <c r="P3488" s="6"/>
      <c r="Q3488" s="6"/>
      <c r="R3488" s="6"/>
      <c r="S3488" s="6"/>
      <c r="T3488" s="6"/>
    </row>
    <row r="3489" spans="4:20" x14ac:dyDescent="0.2">
      <c r="D3489" s="6"/>
      <c r="E3489" s="6"/>
      <c r="F3489" s="6"/>
      <c r="G3489" s="19"/>
      <c r="H3489" s="19"/>
      <c r="I3489" s="19"/>
      <c r="J3489" s="19"/>
      <c r="K3489" s="6"/>
      <c r="L3489" s="6"/>
      <c r="M3489" s="6"/>
      <c r="N3489" s="6"/>
      <c r="O3489" s="6"/>
      <c r="P3489" s="6"/>
      <c r="Q3489" s="6"/>
      <c r="R3489" s="6"/>
      <c r="S3489" s="6"/>
      <c r="T3489" s="6"/>
    </row>
    <row r="3490" spans="4:20" x14ac:dyDescent="0.2">
      <c r="D3490" s="6"/>
      <c r="E3490" s="6"/>
      <c r="F3490" s="6"/>
      <c r="G3490" s="19"/>
      <c r="H3490" s="19"/>
      <c r="I3490" s="19"/>
      <c r="J3490" s="19"/>
      <c r="K3490" s="6"/>
      <c r="L3490" s="6"/>
      <c r="M3490" s="6"/>
      <c r="N3490" s="6"/>
      <c r="O3490" s="6"/>
      <c r="P3490" s="6"/>
      <c r="Q3490" s="6"/>
      <c r="R3490" s="6"/>
      <c r="S3490" s="6"/>
      <c r="T3490" s="6"/>
    </row>
    <row r="3491" spans="4:20" x14ac:dyDescent="0.2">
      <c r="D3491" s="6"/>
      <c r="E3491" s="6"/>
      <c r="F3491" s="6"/>
      <c r="G3491" s="19"/>
      <c r="H3491" s="19"/>
      <c r="I3491" s="19"/>
      <c r="J3491" s="19"/>
      <c r="K3491" s="6"/>
      <c r="L3491" s="6"/>
      <c r="M3491" s="6"/>
      <c r="N3491" s="6"/>
      <c r="O3491" s="6"/>
      <c r="P3491" s="6"/>
      <c r="Q3491" s="6"/>
      <c r="R3491" s="6"/>
      <c r="S3491" s="6"/>
      <c r="T3491" s="6"/>
    </row>
    <row r="3492" spans="4:20" x14ac:dyDescent="0.2">
      <c r="D3492" s="6"/>
      <c r="E3492" s="6"/>
      <c r="F3492" s="6"/>
      <c r="G3492" s="19"/>
      <c r="H3492" s="19"/>
      <c r="I3492" s="19"/>
      <c r="J3492" s="19"/>
      <c r="K3492" s="6"/>
      <c r="L3492" s="6"/>
      <c r="M3492" s="6"/>
      <c r="N3492" s="6"/>
      <c r="O3492" s="6"/>
      <c r="P3492" s="6"/>
      <c r="Q3492" s="6"/>
      <c r="R3492" s="6"/>
      <c r="S3492" s="6"/>
      <c r="T3492" s="6"/>
    </row>
    <row r="3493" spans="4:20" x14ac:dyDescent="0.2">
      <c r="D3493" s="6"/>
      <c r="E3493" s="6"/>
      <c r="F3493" s="6"/>
      <c r="G3493" s="19"/>
      <c r="H3493" s="19"/>
      <c r="I3493" s="19"/>
      <c r="J3493" s="19"/>
      <c r="K3493" s="6"/>
      <c r="L3493" s="6"/>
      <c r="M3493" s="6"/>
      <c r="N3493" s="6"/>
      <c r="O3493" s="6"/>
      <c r="P3493" s="6"/>
      <c r="Q3493" s="6"/>
      <c r="R3493" s="6"/>
      <c r="S3493" s="6"/>
      <c r="T3493" s="6"/>
    </row>
    <row r="3494" spans="4:20" x14ac:dyDescent="0.2">
      <c r="D3494" s="6"/>
      <c r="E3494" s="6"/>
      <c r="F3494" s="6"/>
      <c r="G3494" s="19"/>
      <c r="H3494" s="19"/>
      <c r="I3494" s="19"/>
      <c r="J3494" s="19"/>
      <c r="K3494" s="6"/>
      <c r="L3494" s="6"/>
      <c r="M3494" s="6"/>
      <c r="N3494" s="6"/>
      <c r="O3494" s="6"/>
      <c r="P3494" s="6"/>
      <c r="Q3494" s="6"/>
      <c r="R3494" s="6"/>
      <c r="S3494" s="6"/>
      <c r="T3494" s="6"/>
    </row>
    <row r="3495" spans="4:20" x14ac:dyDescent="0.2">
      <c r="D3495" s="6"/>
      <c r="E3495" s="6"/>
      <c r="F3495" s="6"/>
      <c r="G3495" s="19"/>
      <c r="H3495" s="19"/>
      <c r="I3495" s="19"/>
      <c r="J3495" s="19"/>
      <c r="K3495" s="6"/>
      <c r="L3495" s="6"/>
      <c r="M3495" s="6"/>
      <c r="N3495" s="6"/>
      <c r="O3495" s="6"/>
      <c r="P3495" s="6"/>
      <c r="Q3495" s="6"/>
      <c r="R3495" s="6"/>
      <c r="S3495" s="6"/>
      <c r="T3495" s="6"/>
    </row>
    <row r="3496" spans="4:20" x14ac:dyDescent="0.2">
      <c r="D3496" s="6"/>
      <c r="E3496" s="6"/>
      <c r="F3496" s="6"/>
      <c r="G3496" s="19"/>
      <c r="H3496" s="19"/>
      <c r="I3496" s="19"/>
      <c r="J3496" s="19"/>
      <c r="K3496" s="6"/>
      <c r="L3496" s="6"/>
      <c r="M3496" s="6"/>
      <c r="N3496" s="6"/>
      <c r="O3496" s="6"/>
      <c r="P3496" s="6"/>
      <c r="Q3496" s="6"/>
      <c r="R3496" s="6"/>
      <c r="S3496" s="6"/>
      <c r="T3496" s="6"/>
    </row>
    <row r="3497" spans="4:20" x14ac:dyDescent="0.2">
      <c r="D3497" s="6"/>
      <c r="E3497" s="6"/>
      <c r="F3497" s="6"/>
      <c r="G3497" s="19"/>
      <c r="H3497" s="19"/>
      <c r="I3497" s="19"/>
      <c r="J3497" s="19"/>
      <c r="K3497" s="6"/>
      <c r="L3497" s="6"/>
      <c r="M3497" s="6"/>
      <c r="N3497" s="6"/>
      <c r="O3497" s="6"/>
      <c r="P3497" s="6"/>
      <c r="Q3497" s="6"/>
      <c r="R3497" s="6"/>
      <c r="S3497" s="6"/>
      <c r="T3497" s="6"/>
    </row>
    <row r="3498" spans="4:20" x14ac:dyDescent="0.2">
      <c r="D3498" s="6"/>
      <c r="E3498" s="6"/>
      <c r="F3498" s="6"/>
      <c r="G3498" s="19"/>
      <c r="H3498" s="19"/>
      <c r="I3498" s="19"/>
      <c r="J3498" s="19"/>
      <c r="K3498" s="6"/>
      <c r="L3498" s="6"/>
      <c r="M3498" s="6"/>
      <c r="N3498" s="6"/>
      <c r="O3498" s="6"/>
      <c r="P3498" s="6"/>
      <c r="Q3498" s="6"/>
      <c r="R3498" s="6"/>
      <c r="S3498" s="6"/>
      <c r="T3498" s="6"/>
    </row>
    <row r="3499" spans="4:20" x14ac:dyDescent="0.2">
      <c r="D3499" s="6"/>
      <c r="E3499" s="6"/>
      <c r="F3499" s="6"/>
      <c r="G3499" s="19"/>
      <c r="H3499" s="19"/>
      <c r="I3499" s="19"/>
      <c r="J3499" s="19"/>
      <c r="K3499" s="6"/>
      <c r="L3499" s="6"/>
      <c r="M3499" s="6"/>
      <c r="N3499" s="6"/>
      <c r="O3499" s="6"/>
      <c r="P3499" s="6"/>
      <c r="Q3499" s="6"/>
      <c r="R3499" s="6"/>
      <c r="S3499" s="6"/>
      <c r="T3499" s="6"/>
    </row>
    <row r="3500" spans="4:20" x14ac:dyDescent="0.2">
      <c r="D3500" s="6"/>
      <c r="E3500" s="6"/>
      <c r="F3500" s="6"/>
      <c r="G3500" s="19"/>
      <c r="H3500" s="19"/>
      <c r="I3500" s="19"/>
      <c r="J3500" s="19"/>
      <c r="K3500" s="6"/>
      <c r="L3500" s="6"/>
      <c r="M3500" s="6"/>
      <c r="N3500" s="6"/>
      <c r="O3500" s="6"/>
      <c r="P3500" s="6"/>
      <c r="Q3500" s="6"/>
      <c r="R3500" s="6"/>
      <c r="S3500" s="6"/>
      <c r="T3500" s="6"/>
    </row>
    <row r="3501" spans="4:20" x14ac:dyDescent="0.2">
      <c r="D3501" s="6"/>
      <c r="E3501" s="6"/>
      <c r="F3501" s="6"/>
      <c r="G3501" s="19"/>
      <c r="H3501" s="19"/>
      <c r="I3501" s="19"/>
      <c r="J3501" s="19"/>
      <c r="K3501" s="6"/>
      <c r="L3501" s="6"/>
      <c r="M3501" s="6"/>
      <c r="N3501" s="6"/>
      <c r="O3501" s="6"/>
      <c r="P3501" s="6"/>
      <c r="Q3501" s="6"/>
      <c r="R3501" s="6"/>
      <c r="S3501" s="6"/>
      <c r="T3501" s="6"/>
    </row>
    <row r="3502" spans="4:20" x14ac:dyDescent="0.2">
      <c r="D3502" s="6"/>
      <c r="E3502" s="6"/>
      <c r="F3502" s="6"/>
      <c r="G3502" s="19"/>
      <c r="H3502" s="19"/>
      <c r="I3502" s="19"/>
      <c r="J3502" s="19"/>
      <c r="K3502" s="6"/>
      <c r="L3502" s="6"/>
      <c r="M3502" s="6"/>
      <c r="N3502" s="6"/>
      <c r="O3502" s="6"/>
      <c r="P3502" s="6"/>
      <c r="Q3502" s="6"/>
      <c r="R3502" s="6"/>
      <c r="S3502" s="6"/>
      <c r="T3502" s="6"/>
    </row>
    <row r="3503" spans="4:20" x14ac:dyDescent="0.2">
      <c r="D3503" s="6"/>
      <c r="E3503" s="6"/>
      <c r="F3503" s="6"/>
      <c r="G3503" s="19"/>
      <c r="H3503" s="19"/>
      <c r="I3503" s="19"/>
      <c r="J3503" s="19"/>
      <c r="K3503" s="6"/>
      <c r="L3503" s="6"/>
      <c r="M3503" s="6"/>
      <c r="N3503" s="6"/>
      <c r="O3503" s="6"/>
      <c r="P3503" s="6"/>
      <c r="Q3503" s="6"/>
      <c r="R3503" s="6"/>
      <c r="S3503" s="6"/>
      <c r="T3503" s="6"/>
    </row>
    <row r="3504" spans="4:20" x14ac:dyDescent="0.2">
      <c r="D3504" s="6"/>
      <c r="E3504" s="6"/>
      <c r="F3504" s="6"/>
      <c r="G3504" s="19"/>
      <c r="H3504" s="19"/>
      <c r="I3504" s="19"/>
      <c r="J3504" s="19"/>
      <c r="K3504" s="6"/>
      <c r="L3504" s="6"/>
      <c r="M3504" s="6"/>
      <c r="N3504" s="6"/>
      <c r="O3504" s="6"/>
      <c r="P3504" s="6"/>
      <c r="Q3504" s="6"/>
      <c r="R3504" s="6"/>
      <c r="S3504" s="6"/>
      <c r="T3504" s="6"/>
    </row>
    <row r="3505" spans="4:20" x14ac:dyDescent="0.2">
      <c r="D3505" s="6"/>
      <c r="E3505" s="6"/>
      <c r="F3505" s="6"/>
      <c r="G3505" s="19"/>
      <c r="H3505" s="19"/>
      <c r="I3505" s="19"/>
      <c r="J3505" s="19"/>
      <c r="K3505" s="6"/>
      <c r="L3505" s="6"/>
      <c r="M3505" s="6"/>
      <c r="N3505" s="6"/>
      <c r="O3505" s="6"/>
      <c r="P3505" s="6"/>
      <c r="Q3505" s="6"/>
      <c r="R3505" s="6"/>
      <c r="S3505" s="6"/>
      <c r="T3505" s="6"/>
    </row>
    <row r="3506" spans="4:20" x14ac:dyDescent="0.2">
      <c r="D3506" s="6"/>
      <c r="E3506" s="6"/>
      <c r="F3506" s="6"/>
      <c r="G3506" s="19"/>
      <c r="H3506" s="19"/>
      <c r="I3506" s="19"/>
      <c r="J3506" s="19"/>
      <c r="K3506" s="6"/>
      <c r="L3506" s="6"/>
      <c r="M3506" s="6"/>
      <c r="N3506" s="6"/>
      <c r="O3506" s="6"/>
      <c r="P3506" s="6"/>
      <c r="Q3506" s="6"/>
      <c r="R3506" s="6"/>
      <c r="S3506" s="6"/>
      <c r="T3506" s="6"/>
    </row>
    <row r="3507" spans="4:20" x14ac:dyDescent="0.2">
      <c r="D3507" s="6"/>
      <c r="E3507" s="6"/>
      <c r="F3507" s="6"/>
      <c r="G3507" s="19"/>
      <c r="H3507" s="19"/>
      <c r="I3507" s="19"/>
      <c r="J3507" s="19"/>
      <c r="K3507" s="6"/>
      <c r="L3507" s="6"/>
      <c r="M3507" s="6"/>
      <c r="N3507" s="6"/>
      <c r="O3507" s="6"/>
      <c r="P3507" s="6"/>
      <c r="Q3507" s="6"/>
      <c r="R3507" s="6"/>
      <c r="S3507" s="6"/>
      <c r="T3507" s="6"/>
    </row>
    <row r="3508" spans="4:20" x14ac:dyDescent="0.2">
      <c r="D3508" s="6"/>
      <c r="E3508" s="6"/>
      <c r="F3508" s="6"/>
      <c r="G3508" s="19"/>
      <c r="H3508" s="19"/>
      <c r="I3508" s="19"/>
      <c r="J3508" s="19"/>
      <c r="K3508" s="6"/>
      <c r="L3508" s="6"/>
      <c r="M3508" s="6"/>
      <c r="N3508" s="6"/>
      <c r="O3508" s="6"/>
      <c r="P3508" s="6"/>
      <c r="Q3508" s="6"/>
      <c r="R3508" s="6"/>
      <c r="S3508" s="6"/>
      <c r="T3508" s="6"/>
    </row>
    <row r="3509" spans="4:20" x14ac:dyDescent="0.2">
      <c r="D3509" s="6"/>
      <c r="E3509" s="6"/>
      <c r="F3509" s="6"/>
      <c r="G3509" s="19"/>
      <c r="H3509" s="19"/>
      <c r="I3509" s="19"/>
      <c r="J3509" s="19"/>
      <c r="K3509" s="6"/>
      <c r="L3509" s="6"/>
      <c r="M3509" s="6"/>
      <c r="N3509" s="6"/>
      <c r="O3509" s="6"/>
      <c r="P3509" s="6"/>
      <c r="Q3509" s="6"/>
      <c r="R3509" s="6"/>
      <c r="S3509" s="6"/>
      <c r="T3509" s="6"/>
    </row>
    <row r="3510" spans="4:20" x14ac:dyDescent="0.2">
      <c r="D3510" s="6"/>
      <c r="E3510" s="6"/>
      <c r="F3510" s="6"/>
      <c r="G3510" s="19"/>
      <c r="H3510" s="19"/>
      <c r="I3510" s="19"/>
      <c r="J3510" s="19"/>
      <c r="K3510" s="6"/>
      <c r="L3510" s="6"/>
      <c r="M3510" s="6"/>
      <c r="N3510" s="6"/>
      <c r="O3510" s="6"/>
      <c r="P3510" s="6"/>
      <c r="Q3510" s="6"/>
      <c r="R3510" s="6"/>
      <c r="S3510" s="6"/>
      <c r="T3510" s="6"/>
    </row>
    <row r="3511" spans="4:20" x14ac:dyDescent="0.2">
      <c r="D3511" s="6"/>
      <c r="E3511" s="6"/>
      <c r="F3511" s="6"/>
      <c r="G3511" s="19"/>
      <c r="H3511" s="19"/>
      <c r="I3511" s="19"/>
      <c r="J3511" s="19"/>
      <c r="K3511" s="6"/>
      <c r="L3511" s="6"/>
      <c r="M3511" s="6"/>
      <c r="N3511" s="6"/>
      <c r="O3511" s="6"/>
      <c r="P3511" s="6"/>
      <c r="Q3511" s="6"/>
      <c r="R3511" s="6"/>
      <c r="S3511" s="6"/>
      <c r="T3511" s="6"/>
    </row>
    <row r="3512" spans="4:20" x14ac:dyDescent="0.2">
      <c r="D3512" s="6"/>
      <c r="E3512" s="6"/>
      <c r="F3512" s="6"/>
      <c r="G3512" s="19"/>
      <c r="H3512" s="19"/>
      <c r="I3512" s="19"/>
      <c r="J3512" s="19"/>
      <c r="K3512" s="6"/>
      <c r="L3512" s="6"/>
      <c r="M3512" s="6"/>
      <c r="N3512" s="6"/>
      <c r="O3512" s="6"/>
      <c r="P3512" s="6"/>
      <c r="Q3512" s="6"/>
      <c r="R3512" s="6"/>
      <c r="S3512" s="6"/>
      <c r="T3512" s="6"/>
    </row>
    <row r="3513" spans="4:20" x14ac:dyDescent="0.2">
      <c r="D3513" s="6"/>
      <c r="E3513" s="6"/>
      <c r="F3513" s="6"/>
      <c r="G3513" s="19"/>
      <c r="H3513" s="19"/>
      <c r="I3513" s="19"/>
      <c r="J3513" s="19"/>
      <c r="K3513" s="6"/>
      <c r="L3513" s="6"/>
      <c r="M3513" s="6"/>
      <c r="N3513" s="6"/>
      <c r="O3513" s="6"/>
      <c r="P3513" s="6"/>
      <c r="Q3513" s="6"/>
      <c r="R3513" s="6"/>
      <c r="S3513" s="6"/>
      <c r="T3513" s="6"/>
    </row>
    <row r="3514" spans="4:20" x14ac:dyDescent="0.2">
      <c r="D3514" s="6"/>
      <c r="E3514" s="6"/>
      <c r="F3514" s="6"/>
      <c r="G3514" s="19"/>
      <c r="H3514" s="19"/>
      <c r="I3514" s="19"/>
      <c r="J3514" s="19"/>
      <c r="K3514" s="6"/>
      <c r="L3514" s="6"/>
      <c r="M3514" s="6"/>
      <c r="N3514" s="6"/>
      <c r="O3514" s="6"/>
      <c r="P3514" s="6"/>
      <c r="Q3514" s="6"/>
      <c r="R3514" s="6"/>
      <c r="S3514" s="6"/>
      <c r="T3514" s="6"/>
    </row>
    <row r="3515" spans="4:20" x14ac:dyDescent="0.2">
      <c r="D3515" s="6"/>
      <c r="E3515" s="6"/>
      <c r="F3515" s="6"/>
      <c r="G3515" s="19"/>
      <c r="H3515" s="19"/>
      <c r="I3515" s="19"/>
      <c r="J3515" s="19"/>
      <c r="K3515" s="6"/>
      <c r="L3515" s="6"/>
      <c r="M3515" s="6"/>
      <c r="N3515" s="6"/>
      <c r="O3515" s="6"/>
      <c r="P3515" s="6"/>
      <c r="Q3515" s="6"/>
      <c r="R3515" s="6"/>
      <c r="S3515" s="6"/>
      <c r="T3515" s="6"/>
    </row>
    <row r="3516" spans="4:20" x14ac:dyDescent="0.2">
      <c r="D3516" s="6"/>
      <c r="E3516" s="6"/>
      <c r="F3516" s="6"/>
      <c r="G3516" s="19"/>
      <c r="H3516" s="19"/>
      <c r="I3516" s="19"/>
      <c r="J3516" s="19"/>
      <c r="K3516" s="6"/>
      <c r="L3516" s="6"/>
      <c r="M3516" s="6"/>
      <c r="N3516" s="6"/>
      <c r="O3516" s="6"/>
      <c r="P3516" s="6"/>
      <c r="Q3516" s="6"/>
      <c r="R3516" s="6"/>
      <c r="S3516" s="6"/>
      <c r="T3516" s="6"/>
    </row>
    <row r="3517" spans="4:20" x14ac:dyDescent="0.2">
      <c r="D3517" s="6"/>
      <c r="E3517" s="6"/>
      <c r="F3517" s="6"/>
      <c r="G3517" s="19"/>
      <c r="H3517" s="19"/>
      <c r="I3517" s="19"/>
      <c r="J3517" s="19"/>
      <c r="K3517" s="6"/>
      <c r="L3517" s="6"/>
      <c r="M3517" s="6"/>
      <c r="N3517" s="6"/>
      <c r="O3517" s="6"/>
      <c r="P3517" s="6"/>
      <c r="Q3517" s="6"/>
      <c r="R3517" s="6"/>
      <c r="S3517" s="6"/>
      <c r="T3517" s="6"/>
    </row>
    <row r="3518" spans="4:20" x14ac:dyDescent="0.2">
      <c r="D3518" s="6"/>
      <c r="E3518" s="6"/>
      <c r="F3518" s="6"/>
      <c r="G3518" s="19"/>
      <c r="H3518" s="19"/>
      <c r="I3518" s="19"/>
      <c r="J3518" s="19"/>
      <c r="K3518" s="6"/>
      <c r="L3518" s="6"/>
      <c r="M3518" s="6"/>
      <c r="N3518" s="6"/>
      <c r="O3518" s="6"/>
      <c r="P3518" s="6"/>
      <c r="Q3518" s="6"/>
      <c r="R3518" s="6"/>
      <c r="S3518" s="6"/>
      <c r="T3518" s="6"/>
    </row>
    <row r="3519" spans="4:20" x14ac:dyDescent="0.2">
      <c r="D3519" s="6"/>
      <c r="E3519" s="6"/>
      <c r="F3519" s="6"/>
      <c r="G3519" s="19"/>
      <c r="H3519" s="19"/>
      <c r="I3519" s="19"/>
      <c r="J3519" s="19"/>
      <c r="K3519" s="6"/>
      <c r="L3519" s="6"/>
      <c r="M3519" s="6"/>
      <c r="N3519" s="6"/>
      <c r="O3519" s="6"/>
      <c r="P3519" s="6"/>
      <c r="Q3519" s="6"/>
      <c r="R3519" s="6"/>
      <c r="S3519" s="6"/>
      <c r="T3519" s="6"/>
    </row>
    <row r="3520" spans="4:20" x14ac:dyDescent="0.2">
      <c r="D3520" s="6"/>
      <c r="E3520" s="6"/>
      <c r="F3520" s="6"/>
      <c r="G3520" s="19"/>
      <c r="H3520" s="19"/>
      <c r="I3520" s="19"/>
      <c r="J3520" s="19"/>
      <c r="K3520" s="6"/>
      <c r="L3520" s="6"/>
      <c r="M3520" s="6"/>
      <c r="N3520" s="6"/>
      <c r="O3520" s="6"/>
      <c r="P3520" s="6"/>
      <c r="Q3520" s="6"/>
      <c r="R3520" s="6"/>
      <c r="S3520" s="6"/>
      <c r="T3520" s="6"/>
    </row>
    <row r="3521" spans="4:20" x14ac:dyDescent="0.2">
      <c r="D3521" s="6"/>
      <c r="E3521" s="6"/>
      <c r="F3521" s="6"/>
      <c r="G3521" s="19"/>
      <c r="H3521" s="19"/>
      <c r="I3521" s="19"/>
      <c r="J3521" s="19"/>
      <c r="K3521" s="6"/>
      <c r="L3521" s="6"/>
      <c r="M3521" s="6"/>
      <c r="N3521" s="6"/>
      <c r="O3521" s="6"/>
      <c r="P3521" s="6"/>
      <c r="Q3521" s="6"/>
      <c r="R3521" s="6"/>
      <c r="S3521" s="6"/>
      <c r="T3521" s="6"/>
    </row>
    <row r="3522" spans="4:20" x14ac:dyDescent="0.2">
      <c r="D3522" s="6"/>
      <c r="E3522" s="6"/>
      <c r="F3522" s="6"/>
      <c r="G3522" s="19"/>
      <c r="H3522" s="19"/>
      <c r="I3522" s="19"/>
      <c r="J3522" s="19"/>
      <c r="K3522" s="6"/>
      <c r="L3522" s="6"/>
      <c r="M3522" s="6"/>
      <c r="N3522" s="6"/>
      <c r="O3522" s="6"/>
      <c r="P3522" s="6"/>
      <c r="Q3522" s="6"/>
      <c r="R3522" s="6"/>
      <c r="S3522" s="6"/>
      <c r="T3522" s="6"/>
    </row>
    <row r="3523" spans="4:20" x14ac:dyDescent="0.2">
      <c r="D3523" s="6"/>
      <c r="E3523" s="6"/>
      <c r="F3523" s="6"/>
      <c r="G3523" s="19"/>
      <c r="H3523" s="19"/>
      <c r="I3523" s="19"/>
      <c r="J3523" s="19"/>
      <c r="K3523" s="6"/>
      <c r="L3523" s="6"/>
      <c r="M3523" s="6"/>
      <c r="N3523" s="6"/>
      <c r="O3523" s="6"/>
      <c r="P3523" s="6"/>
      <c r="Q3523" s="6"/>
      <c r="R3523" s="6"/>
      <c r="S3523" s="6"/>
      <c r="T3523" s="6"/>
    </row>
    <row r="3524" spans="4:20" x14ac:dyDescent="0.2">
      <c r="D3524" s="6"/>
      <c r="E3524" s="6"/>
      <c r="F3524" s="6"/>
      <c r="G3524" s="19"/>
      <c r="H3524" s="19"/>
      <c r="I3524" s="19"/>
      <c r="J3524" s="19"/>
      <c r="K3524" s="6"/>
      <c r="L3524" s="6"/>
      <c r="M3524" s="6"/>
      <c r="N3524" s="6"/>
      <c r="O3524" s="6"/>
      <c r="P3524" s="6"/>
      <c r="Q3524" s="6"/>
      <c r="R3524" s="6"/>
      <c r="S3524" s="6"/>
      <c r="T3524" s="6"/>
    </row>
    <row r="3525" spans="4:20" x14ac:dyDescent="0.2">
      <c r="D3525" s="6"/>
      <c r="E3525" s="6"/>
      <c r="F3525" s="6"/>
      <c r="G3525" s="19"/>
      <c r="H3525" s="19"/>
      <c r="I3525" s="19"/>
      <c r="J3525" s="19"/>
      <c r="K3525" s="6"/>
      <c r="L3525" s="6"/>
      <c r="M3525" s="6"/>
      <c r="N3525" s="6"/>
      <c r="O3525" s="6"/>
      <c r="P3525" s="6"/>
      <c r="Q3525" s="6"/>
      <c r="R3525" s="6"/>
      <c r="S3525" s="6"/>
      <c r="T3525" s="6"/>
    </row>
    <row r="3526" spans="4:20" x14ac:dyDescent="0.2">
      <c r="D3526" s="6"/>
      <c r="E3526" s="6"/>
      <c r="F3526" s="6"/>
      <c r="G3526" s="19"/>
      <c r="H3526" s="19"/>
      <c r="I3526" s="19"/>
      <c r="J3526" s="19"/>
      <c r="K3526" s="6"/>
      <c r="L3526" s="6"/>
      <c r="M3526" s="6"/>
      <c r="N3526" s="6"/>
      <c r="O3526" s="6"/>
      <c r="P3526" s="6"/>
      <c r="Q3526" s="6"/>
      <c r="R3526" s="6"/>
      <c r="S3526" s="6"/>
      <c r="T3526" s="6"/>
    </row>
    <row r="3527" spans="4:20" x14ac:dyDescent="0.2">
      <c r="D3527" s="6"/>
      <c r="E3527" s="6"/>
      <c r="F3527" s="6"/>
      <c r="G3527" s="19"/>
      <c r="H3527" s="19"/>
      <c r="I3527" s="19"/>
      <c r="J3527" s="19"/>
      <c r="K3527" s="6"/>
      <c r="L3527" s="6"/>
      <c r="M3527" s="6"/>
      <c r="N3527" s="6"/>
      <c r="O3527" s="6"/>
      <c r="P3527" s="6"/>
      <c r="Q3527" s="6"/>
      <c r="R3527" s="6"/>
      <c r="S3527" s="6"/>
      <c r="T3527" s="6"/>
    </row>
    <row r="3528" spans="4:20" x14ac:dyDescent="0.2">
      <c r="D3528" s="6"/>
      <c r="E3528" s="6"/>
      <c r="F3528" s="6"/>
      <c r="G3528" s="19"/>
      <c r="H3528" s="19"/>
      <c r="I3528" s="19"/>
      <c r="J3528" s="19"/>
      <c r="K3528" s="6"/>
      <c r="L3528" s="6"/>
      <c r="M3528" s="6"/>
      <c r="N3528" s="6"/>
      <c r="O3528" s="6"/>
      <c r="P3528" s="6"/>
      <c r="Q3528" s="6"/>
      <c r="R3528" s="6"/>
      <c r="S3528" s="6"/>
      <c r="T3528" s="6"/>
    </row>
    <row r="3529" spans="4:20" x14ac:dyDescent="0.2">
      <c r="D3529" s="6"/>
      <c r="E3529" s="6"/>
      <c r="F3529" s="6"/>
      <c r="G3529" s="19"/>
      <c r="H3529" s="19"/>
      <c r="I3529" s="19"/>
      <c r="J3529" s="19"/>
      <c r="K3529" s="6"/>
      <c r="L3529" s="6"/>
      <c r="M3529" s="6"/>
      <c r="N3529" s="6"/>
      <c r="O3529" s="6"/>
      <c r="P3529" s="6"/>
      <c r="Q3529" s="6"/>
      <c r="R3529" s="6"/>
      <c r="S3529" s="6"/>
      <c r="T3529" s="6"/>
    </row>
    <row r="3530" spans="4:20" x14ac:dyDescent="0.2">
      <c r="D3530" s="6"/>
      <c r="E3530" s="6"/>
      <c r="F3530" s="6"/>
      <c r="G3530" s="19"/>
      <c r="H3530" s="19"/>
      <c r="I3530" s="19"/>
      <c r="J3530" s="19"/>
      <c r="K3530" s="6"/>
      <c r="L3530" s="6"/>
      <c r="M3530" s="6"/>
      <c r="N3530" s="6"/>
      <c r="O3530" s="6"/>
      <c r="P3530" s="6"/>
      <c r="Q3530" s="6"/>
      <c r="R3530" s="6"/>
      <c r="S3530" s="6"/>
      <c r="T3530" s="6"/>
    </row>
    <row r="3531" spans="4:20" x14ac:dyDescent="0.2">
      <c r="D3531" s="6"/>
      <c r="E3531" s="6"/>
      <c r="F3531" s="6"/>
      <c r="G3531" s="19"/>
      <c r="H3531" s="19"/>
      <c r="I3531" s="19"/>
      <c r="J3531" s="19"/>
      <c r="K3531" s="6"/>
      <c r="L3531" s="6"/>
      <c r="M3531" s="6"/>
      <c r="N3531" s="6"/>
      <c r="O3531" s="6"/>
      <c r="P3531" s="6"/>
      <c r="Q3531" s="6"/>
      <c r="R3531" s="6"/>
      <c r="S3531" s="6"/>
      <c r="T3531" s="6"/>
    </row>
    <row r="3532" spans="4:20" x14ac:dyDescent="0.2">
      <c r="D3532" s="6"/>
      <c r="E3532" s="6"/>
      <c r="F3532" s="6"/>
      <c r="G3532" s="19"/>
      <c r="H3532" s="19"/>
      <c r="I3532" s="19"/>
      <c r="J3532" s="19"/>
      <c r="K3532" s="6"/>
      <c r="L3532" s="6"/>
      <c r="M3532" s="6"/>
      <c r="N3532" s="6"/>
      <c r="O3532" s="6"/>
      <c r="P3532" s="6"/>
      <c r="Q3532" s="6"/>
      <c r="R3532" s="6"/>
      <c r="S3532" s="6"/>
      <c r="T3532" s="6"/>
    </row>
    <row r="3533" spans="4:20" x14ac:dyDescent="0.2">
      <c r="D3533" s="6"/>
      <c r="E3533" s="6"/>
      <c r="F3533" s="6"/>
      <c r="G3533" s="19"/>
      <c r="H3533" s="19"/>
      <c r="I3533" s="19"/>
      <c r="J3533" s="19"/>
      <c r="K3533" s="6"/>
      <c r="L3533" s="6"/>
      <c r="M3533" s="6"/>
      <c r="N3533" s="6"/>
      <c r="O3533" s="6"/>
      <c r="P3533" s="6"/>
      <c r="Q3533" s="6"/>
      <c r="R3533" s="6"/>
      <c r="S3533" s="6"/>
      <c r="T3533" s="6"/>
    </row>
    <row r="3534" spans="4:20" x14ac:dyDescent="0.2">
      <c r="D3534" s="6"/>
      <c r="E3534" s="6"/>
      <c r="F3534" s="6"/>
      <c r="G3534" s="19"/>
      <c r="H3534" s="19"/>
      <c r="I3534" s="19"/>
      <c r="J3534" s="19"/>
      <c r="K3534" s="6"/>
      <c r="L3534" s="6"/>
      <c r="M3534" s="6"/>
      <c r="N3534" s="6"/>
      <c r="O3534" s="6"/>
      <c r="P3534" s="6"/>
      <c r="Q3534" s="6"/>
      <c r="R3534" s="6"/>
      <c r="S3534" s="6"/>
      <c r="T3534" s="6"/>
    </row>
    <row r="3535" spans="4:20" x14ac:dyDescent="0.2">
      <c r="D3535" s="6"/>
      <c r="E3535" s="6"/>
      <c r="F3535" s="6"/>
      <c r="G3535" s="19"/>
      <c r="H3535" s="19"/>
      <c r="I3535" s="19"/>
      <c r="J3535" s="19"/>
      <c r="K3535" s="6"/>
      <c r="L3535" s="6"/>
      <c r="M3535" s="6"/>
      <c r="N3535" s="6"/>
      <c r="O3535" s="6"/>
      <c r="P3535" s="6"/>
      <c r="Q3535" s="6"/>
      <c r="R3535" s="6"/>
      <c r="S3535" s="6"/>
      <c r="T3535" s="6"/>
    </row>
    <row r="3536" spans="4:20" x14ac:dyDescent="0.2">
      <c r="D3536" s="6"/>
      <c r="E3536" s="6"/>
      <c r="F3536" s="6"/>
      <c r="G3536" s="19"/>
      <c r="H3536" s="19"/>
      <c r="I3536" s="19"/>
      <c r="J3536" s="19"/>
      <c r="K3536" s="6"/>
      <c r="L3536" s="6"/>
      <c r="M3536" s="6"/>
      <c r="N3536" s="6"/>
      <c r="O3536" s="6"/>
      <c r="P3536" s="6"/>
      <c r="Q3536" s="6"/>
      <c r="R3536" s="6"/>
      <c r="S3536" s="6"/>
      <c r="T3536" s="6"/>
    </row>
    <row r="3537" spans="4:20" x14ac:dyDescent="0.2">
      <c r="D3537" s="6"/>
      <c r="E3537" s="6"/>
      <c r="F3537" s="6"/>
      <c r="G3537" s="19"/>
      <c r="H3537" s="19"/>
      <c r="I3537" s="19"/>
      <c r="J3537" s="19"/>
      <c r="K3537" s="6"/>
      <c r="L3537" s="6"/>
      <c r="M3537" s="6"/>
      <c r="N3537" s="6"/>
      <c r="O3537" s="6"/>
      <c r="P3537" s="6"/>
      <c r="Q3537" s="6"/>
      <c r="R3537" s="6"/>
      <c r="S3537" s="6"/>
      <c r="T3537" s="6"/>
    </row>
    <row r="3538" spans="4:20" x14ac:dyDescent="0.2">
      <c r="D3538" s="6"/>
      <c r="E3538" s="6"/>
      <c r="F3538" s="6"/>
      <c r="G3538" s="19"/>
      <c r="H3538" s="19"/>
      <c r="I3538" s="19"/>
      <c r="J3538" s="19"/>
      <c r="K3538" s="6"/>
      <c r="L3538" s="6"/>
      <c r="M3538" s="6"/>
      <c r="N3538" s="6"/>
      <c r="O3538" s="6"/>
      <c r="P3538" s="6"/>
      <c r="Q3538" s="6"/>
      <c r="R3538" s="6"/>
      <c r="S3538" s="6"/>
      <c r="T3538" s="6"/>
    </row>
    <row r="3539" spans="4:20" x14ac:dyDescent="0.2">
      <c r="D3539" s="6"/>
      <c r="E3539" s="6"/>
      <c r="F3539" s="6"/>
      <c r="G3539" s="19"/>
      <c r="H3539" s="19"/>
      <c r="I3539" s="19"/>
      <c r="J3539" s="19"/>
      <c r="K3539" s="6"/>
      <c r="L3539" s="6"/>
      <c r="M3539" s="6"/>
      <c r="N3539" s="6"/>
      <c r="O3539" s="6"/>
      <c r="P3539" s="6"/>
      <c r="Q3539" s="6"/>
      <c r="R3539" s="6"/>
      <c r="S3539" s="6"/>
      <c r="T3539" s="6"/>
    </row>
    <row r="3540" spans="4:20" x14ac:dyDescent="0.2">
      <c r="D3540" s="6"/>
      <c r="E3540" s="6"/>
      <c r="F3540" s="6"/>
      <c r="G3540" s="19"/>
      <c r="H3540" s="19"/>
      <c r="I3540" s="19"/>
      <c r="J3540" s="19"/>
      <c r="K3540" s="6"/>
      <c r="L3540" s="6"/>
      <c r="M3540" s="6"/>
      <c r="N3540" s="6"/>
      <c r="O3540" s="6"/>
      <c r="P3540" s="6"/>
      <c r="Q3540" s="6"/>
      <c r="R3540" s="6"/>
      <c r="S3540" s="6"/>
      <c r="T3540" s="6"/>
    </row>
    <row r="3541" spans="4:20" x14ac:dyDescent="0.2">
      <c r="D3541" s="6"/>
      <c r="E3541" s="6"/>
      <c r="F3541" s="6"/>
      <c r="G3541" s="19"/>
      <c r="H3541" s="19"/>
      <c r="I3541" s="19"/>
      <c r="J3541" s="19"/>
      <c r="K3541" s="6"/>
      <c r="L3541" s="6"/>
      <c r="M3541" s="6"/>
      <c r="N3541" s="6"/>
      <c r="O3541" s="6"/>
      <c r="P3541" s="6"/>
      <c r="Q3541" s="6"/>
      <c r="R3541" s="6"/>
      <c r="S3541" s="6"/>
      <c r="T3541" s="6"/>
    </row>
    <row r="3542" spans="4:20" x14ac:dyDescent="0.2">
      <c r="D3542" s="6"/>
      <c r="E3542" s="6"/>
      <c r="F3542" s="6"/>
      <c r="G3542" s="19"/>
      <c r="H3542" s="19"/>
      <c r="I3542" s="19"/>
      <c r="J3542" s="19"/>
      <c r="K3542" s="6"/>
      <c r="L3542" s="6"/>
      <c r="M3542" s="6"/>
      <c r="N3542" s="6"/>
      <c r="O3542" s="6"/>
      <c r="P3542" s="6"/>
      <c r="Q3542" s="6"/>
      <c r="R3542" s="6"/>
      <c r="S3542" s="6"/>
      <c r="T3542" s="6"/>
    </row>
    <row r="3543" spans="4:20" x14ac:dyDescent="0.2">
      <c r="D3543" s="6"/>
      <c r="E3543" s="6"/>
      <c r="F3543" s="6"/>
      <c r="G3543" s="19"/>
      <c r="H3543" s="19"/>
      <c r="I3543" s="19"/>
      <c r="J3543" s="19"/>
      <c r="K3543" s="6"/>
      <c r="L3543" s="6"/>
      <c r="M3543" s="6"/>
      <c r="N3543" s="6"/>
      <c r="O3543" s="6"/>
      <c r="P3543" s="6"/>
      <c r="Q3543" s="6"/>
      <c r="R3543" s="6"/>
      <c r="S3543" s="6"/>
      <c r="T3543" s="6"/>
    </row>
    <row r="3544" spans="4:20" x14ac:dyDescent="0.2">
      <c r="D3544" s="6"/>
      <c r="E3544" s="6"/>
      <c r="F3544" s="6"/>
      <c r="G3544" s="19"/>
      <c r="H3544" s="19"/>
      <c r="I3544" s="19"/>
      <c r="J3544" s="19"/>
      <c r="K3544" s="6"/>
      <c r="L3544" s="6"/>
      <c r="M3544" s="6"/>
      <c r="N3544" s="6"/>
      <c r="O3544" s="6"/>
      <c r="P3544" s="6"/>
      <c r="Q3544" s="6"/>
      <c r="R3544" s="6"/>
      <c r="S3544" s="6"/>
      <c r="T3544" s="6"/>
    </row>
    <row r="3545" spans="4:20" x14ac:dyDescent="0.2">
      <c r="D3545" s="6"/>
      <c r="E3545" s="6"/>
      <c r="F3545" s="6"/>
      <c r="G3545" s="19"/>
      <c r="H3545" s="19"/>
      <c r="I3545" s="19"/>
      <c r="J3545" s="19"/>
      <c r="K3545" s="6"/>
      <c r="L3545" s="6"/>
      <c r="M3545" s="6"/>
      <c r="N3545" s="6"/>
      <c r="O3545" s="6"/>
      <c r="P3545" s="6"/>
      <c r="Q3545" s="6"/>
      <c r="R3545" s="6"/>
      <c r="S3545" s="6"/>
      <c r="T3545" s="6"/>
    </row>
    <row r="3546" spans="4:20" x14ac:dyDescent="0.2">
      <c r="D3546" s="6"/>
      <c r="E3546" s="6"/>
      <c r="F3546" s="6"/>
      <c r="G3546" s="19"/>
      <c r="H3546" s="19"/>
      <c r="I3546" s="19"/>
      <c r="J3546" s="19"/>
      <c r="K3546" s="6"/>
      <c r="L3546" s="6"/>
      <c r="M3546" s="6"/>
      <c r="N3546" s="6"/>
      <c r="O3546" s="6"/>
      <c r="P3546" s="6"/>
      <c r="Q3546" s="6"/>
      <c r="R3546" s="6"/>
      <c r="S3546" s="6"/>
      <c r="T3546" s="6"/>
    </row>
    <row r="3547" spans="4:20" x14ac:dyDescent="0.2">
      <c r="D3547" s="6"/>
      <c r="E3547" s="6"/>
      <c r="F3547" s="6"/>
      <c r="G3547" s="19"/>
      <c r="H3547" s="19"/>
      <c r="I3547" s="19"/>
      <c r="J3547" s="19"/>
      <c r="K3547" s="6"/>
      <c r="L3547" s="6"/>
      <c r="M3547" s="6"/>
      <c r="N3547" s="6"/>
      <c r="O3547" s="6"/>
      <c r="P3547" s="6"/>
      <c r="Q3547" s="6"/>
      <c r="R3547" s="6"/>
      <c r="S3547" s="6"/>
      <c r="T3547" s="6"/>
    </row>
    <row r="3548" spans="4:20" x14ac:dyDescent="0.2">
      <c r="D3548" s="6"/>
      <c r="E3548" s="6"/>
      <c r="F3548" s="6"/>
      <c r="G3548" s="19"/>
      <c r="H3548" s="19"/>
      <c r="I3548" s="19"/>
      <c r="J3548" s="19"/>
      <c r="K3548" s="6"/>
      <c r="L3548" s="6"/>
      <c r="M3548" s="6"/>
      <c r="N3548" s="6"/>
      <c r="O3548" s="6"/>
      <c r="P3548" s="6"/>
      <c r="Q3548" s="6"/>
      <c r="R3548" s="6"/>
      <c r="S3548" s="6"/>
      <c r="T3548" s="6"/>
    </row>
    <row r="3549" spans="4:20" x14ac:dyDescent="0.2">
      <c r="D3549" s="6"/>
      <c r="E3549" s="6"/>
      <c r="F3549" s="6"/>
      <c r="G3549" s="19"/>
      <c r="H3549" s="19"/>
      <c r="I3549" s="19"/>
      <c r="J3549" s="19"/>
      <c r="K3549" s="6"/>
      <c r="L3549" s="6"/>
      <c r="M3549" s="6"/>
      <c r="N3549" s="6"/>
      <c r="O3549" s="6"/>
      <c r="P3549" s="6"/>
      <c r="Q3549" s="6"/>
      <c r="R3549" s="6"/>
      <c r="S3549" s="6"/>
      <c r="T3549" s="6"/>
    </row>
    <row r="3550" spans="4:20" x14ac:dyDescent="0.2">
      <c r="D3550" s="6"/>
      <c r="E3550" s="6"/>
      <c r="F3550" s="6"/>
      <c r="G3550" s="19"/>
      <c r="H3550" s="19"/>
      <c r="I3550" s="19"/>
      <c r="J3550" s="19"/>
      <c r="K3550" s="6"/>
      <c r="L3550" s="6"/>
      <c r="M3550" s="6"/>
      <c r="N3550" s="6"/>
      <c r="O3550" s="6"/>
      <c r="P3550" s="6"/>
      <c r="Q3550" s="6"/>
      <c r="R3550" s="6"/>
      <c r="S3550" s="6"/>
      <c r="T3550" s="6"/>
    </row>
    <row r="3551" spans="4:20" x14ac:dyDescent="0.2">
      <c r="D3551" s="6"/>
      <c r="E3551" s="6"/>
      <c r="F3551" s="6"/>
      <c r="G3551" s="19"/>
      <c r="H3551" s="19"/>
      <c r="I3551" s="19"/>
      <c r="J3551" s="19"/>
      <c r="K3551" s="6"/>
      <c r="L3551" s="6"/>
      <c r="M3551" s="6"/>
      <c r="N3551" s="6"/>
      <c r="O3551" s="6"/>
      <c r="P3551" s="6"/>
      <c r="Q3551" s="6"/>
      <c r="R3551" s="6"/>
      <c r="S3551" s="6"/>
      <c r="T3551" s="6"/>
    </row>
    <row r="3552" spans="4:20" x14ac:dyDescent="0.2">
      <c r="D3552" s="6"/>
      <c r="E3552" s="6"/>
      <c r="F3552" s="6"/>
      <c r="G3552" s="19"/>
      <c r="H3552" s="19"/>
      <c r="I3552" s="19"/>
      <c r="J3552" s="19"/>
      <c r="K3552" s="6"/>
      <c r="L3552" s="6"/>
      <c r="M3552" s="6"/>
      <c r="N3552" s="6"/>
      <c r="O3552" s="6"/>
      <c r="P3552" s="6"/>
      <c r="Q3552" s="6"/>
      <c r="R3552" s="6"/>
      <c r="S3552" s="6"/>
      <c r="T3552" s="6"/>
    </row>
    <row r="3553" spans="4:20" x14ac:dyDescent="0.2">
      <c r="D3553" s="6"/>
      <c r="E3553" s="6"/>
      <c r="F3553" s="6"/>
      <c r="G3553" s="19"/>
      <c r="H3553" s="19"/>
      <c r="I3553" s="19"/>
      <c r="J3553" s="19"/>
      <c r="K3553" s="6"/>
      <c r="L3553" s="6"/>
      <c r="M3553" s="6"/>
      <c r="N3553" s="6"/>
      <c r="O3553" s="6"/>
      <c r="P3553" s="6"/>
      <c r="Q3553" s="6"/>
      <c r="R3553" s="6"/>
      <c r="S3553" s="6"/>
      <c r="T3553" s="6"/>
    </row>
    <row r="3554" spans="4:20" x14ac:dyDescent="0.2">
      <c r="D3554" s="6"/>
      <c r="E3554" s="6"/>
      <c r="F3554" s="6"/>
      <c r="G3554" s="19"/>
      <c r="H3554" s="19"/>
      <c r="I3554" s="19"/>
      <c r="J3554" s="19"/>
      <c r="K3554" s="6"/>
      <c r="L3554" s="6"/>
      <c r="M3554" s="6"/>
      <c r="N3554" s="6"/>
      <c r="O3554" s="6"/>
      <c r="P3554" s="6"/>
      <c r="Q3554" s="6"/>
      <c r="R3554" s="6"/>
      <c r="S3554" s="6"/>
      <c r="T3554" s="6"/>
    </row>
    <row r="3555" spans="4:20" x14ac:dyDescent="0.2">
      <c r="D3555" s="6"/>
      <c r="E3555" s="6"/>
      <c r="F3555" s="6"/>
      <c r="G3555" s="19"/>
      <c r="H3555" s="19"/>
      <c r="I3555" s="19"/>
      <c r="J3555" s="19"/>
      <c r="K3555" s="6"/>
      <c r="L3555" s="6"/>
      <c r="M3555" s="6"/>
      <c r="N3555" s="6"/>
      <c r="O3555" s="6"/>
      <c r="P3555" s="6"/>
      <c r="Q3555" s="6"/>
      <c r="R3555" s="6"/>
      <c r="S3555" s="6"/>
      <c r="T3555" s="6"/>
    </row>
    <row r="3556" spans="4:20" x14ac:dyDescent="0.2">
      <c r="D3556" s="6"/>
      <c r="E3556" s="6"/>
      <c r="F3556" s="6"/>
      <c r="G3556" s="19"/>
      <c r="H3556" s="19"/>
      <c r="I3556" s="19"/>
      <c r="J3556" s="19"/>
      <c r="K3556" s="6"/>
      <c r="L3556" s="6"/>
      <c r="M3556" s="6"/>
      <c r="N3556" s="6"/>
      <c r="O3556" s="6"/>
      <c r="P3556" s="6"/>
      <c r="Q3556" s="6"/>
      <c r="R3556" s="6"/>
      <c r="S3556" s="6"/>
      <c r="T3556" s="6"/>
    </row>
    <row r="3557" spans="4:20" x14ac:dyDescent="0.2">
      <c r="D3557" s="6"/>
      <c r="E3557" s="6"/>
      <c r="F3557" s="6"/>
      <c r="G3557" s="19"/>
      <c r="H3557" s="19"/>
      <c r="I3557" s="19"/>
      <c r="J3557" s="19"/>
      <c r="K3557" s="6"/>
      <c r="L3557" s="6"/>
      <c r="M3557" s="6"/>
      <c r="N3557" s="6"/>
      <c r="O3557" s="6"/>
      <c r="P3557" s="6"/>
      <c r="Q3557" s="6"/>
      <c r="R3557" s="6"/>
      <c r="S3557" s="6"/>
      <c r="T3557" s="6"/>
    </row>
    <row r="3558" spans="4:20" x14ac:dyDescent="0.2">
      <c r="D3558" s="6"/>
      <c r="E3558" s="6"/>
      <c r="F3558" s="6"/>
      <c r="G3558" s="19"/>
      <c r="H3558" s="19"/>
      <c r="I3558" s="19"/>
      <c r="J3558" s="19"/>
      <c r="K3558" s="6"/>
      <c r="L3558" s="6"/>
      <c r="M3558" s="6"/>
      <c r="N3558" s="6"/>
      <c r="O3558" s="6"/>
      <c r="P3558" s="6"/>
      <c r="Q3558" s="6"/>
      <c r="R3558" s="6"/>
      <c r="S3558" s="6"/>
      <c r="T3558" s="6"/>
    </row>
    <row r="3559" spans="4:20" x14ac:dyDescent="0.2">
      <c r="D3559" s="6"/>
      <c r="E3559" s="6"/>
      <c r="F3559" s="6"/>
      <c r="G3559" s="19"/>
      <c r="H3559" s="19"/>
      <c r="I3559" s="19"/>
      <c r="J3559" s="19"/>
      <c r="K3559" s="6"/>
      <c r="L3559" s="6"/>
      <c r="M3559" s="6"/>
      <c r="N3559" s="6"/>
      <c r="O3559" s="6"/>
      <c r="P3559" s="6"/>
      <c r="Q3559" s="6"/>
      <c r="R3559" s="6"/>
      <c r="S3559" s="6"/>
      <c r="T3559" s="6"/>
    </row>
    <row r="3560" spans="4:20" x14ac:dyDescent="0.2">
      <c r="D3560" s="6"/>
      <c r="E3560" s="6"/>
      <c r="F3560" s="6"/>
      <c r="G3560" s="19"/>
      <c r="H3560" s="19"/>
      <c r="I3560" s="19"/>
      <c r="J3560" s="19"/>
      <c r="K3560" s="6"/>
      <c r="L3560" s="6"/>
      <c r="M3560" s="6"/>
      <c r="N3560" s="6"/>
      <c r="O3560" s="6"/>
      <c r="P3560" s="6"/>
      <c r="Q3560" s="6"/>
      <c r="R3560" s="6"/>
      <c r="S3560" s="6"/>
      <c r="T3560" s="6"/>
    </row>
    <row r="3561" spans="4:20" x14ac:dyDescent="0.2">
      <c r="D3561" s="6"/>
      <c r="E3561" s="6"/>
      <c r="F3561" s="6"/>
      <c r="G3561" s="19"/>
      <c r="H3561" s="19"/>
      <c r="I3561" s="19"/>
      <c r="J3561" s="19"/>
      <c r="K3561" s="6"/>
      <c r="L3561" s="6"/>
      <c r="M3561" s="6"/>
      <c r="N3561" s="6"/>
      <c r="O3561" s="6"/>
      <c r="P3561" s="6"/>
      <c r="Q3561" s="6"/>
      <c r="R3561" s="6"/>
      <c r="S3561" s="6"/>
      <c r="T3561" s="6"/>
    </row>
    <row r="3562" spans="4:20" x14ac:dyDescent="0.2">
      <c r="D3562" s="6"/>
      <c r="E3562" s="6"/>
      <c r="F3562" s="6"/>
      <c r="G3562" s="19"/>
      <c r="H3562" s="19"/>
      <c r="I3562" s="19"/>
      <c r="J3562" s="19"/>
      <c r="K3562" s="6"/>
      <c r="L3562" s="6"/>
      <c r="M3562" s="6"/>
      <c r="N3562" s="6"/>
      <c r="O3562" s="6"/>
      <c r="P3562" s="6"/>
      <c r="Q3562" s="6"/>
      <c r="R3562" s="6"/>
      <c r="S3562" s="6"/>
      <c r="T3562" s="6"/>
    </row>
    <row r="3563" spans="4:20" x14ac:dyDescent="0.2">
      <c r="D3563" s="6"/>
      <c r="E3563" s="6"/>
      <c r="F3563" s="6"/>
      <c r="G3563" s="19"/>
      <c r="H3563" s="19"/>
      <c r="I3563" s="19"/>
      <c r="J3563" s="19"/>
      <c r="K3563" s="6"/>
      <c r="L3563" s="6"/>
      <c r="M3563" s="6"/>
      <c r="N3563" s="6"/>
      <c r="O3563" s="6"/>
      <c r="P3563" s="6"/>
      <c r="Q3563" s="6"/>
      <c r="R3563" s="6"/>
      <c r="S3563" s="6"/>
      <c r="T3563" s="6"/>
    </row>
    <row r="3564" spans="4:20" x14ac:dyDescent="0.2">
      <c r="D3564" s="6"/>
      <c r="E3564" s="6"/>
      <c r="F3564" s="6"/>
      <c r="G3564" s="19"/>
      <c r="H3564" s="19"/>
      <c r="I3564" s="19"/>
      <c r="J3564" s="19"/>
      <c r="K3564" s="6"/>
      <c r="L3564" s="6"/>
      <c r="M3564" s="6"/>
      <c r="N3564" s="6"/>
      <c r="O3564" s="6"/>
      <c r="P3564" s="6"/>
      <c r="Q3564" s="6"/>
      <c r="R3564" s="6"/>
      <c r="S3564" s="6"/>
      <c r="T3564" s="6"/>
    </row>
    <row r="3565" spans="4:20" x14ac:dyDescent="0.2">
      <c r="D3565" s="6"/>
      <c r="E3565" s="6"/>
      <c r="F3565" s="6"/>
      <c r="G3565" s="19"/>
      <c r="H3565" s="19"/>
      <c r="I3565" s="19"/>
      <c r="J3565" s="19"/>
      <c r="K3565" s="6"/>
      <c r="L3565" s="6"/>
      <c r="M3565" s="6"/>
      <c r="N3565" s="6"/>
      <c r="O3565" s="6"/>
      <c r="P3565" s="6"/>
      <c r="Q3565" s="6"/>
      <c r="R3565" s="6"/>
      <c r="S3565" s="6"/>
      <c r="T3565" s="6"/>
    </row>
    <row r="3566" spans="4:20" x14ac:dyDescent="0.2">
      <c r="D3566" s="6"/>
      <c r="E3566" s="6"/>
      <c r="F3566" s="6"/>
      <c r="G3566" s="19"/>
      <c r="H3566" s="19"/>
      <c r="I3566" s="19"/>
      <c r="J3566" s="19"/>
      <c r="K3566" s="6"/>
      <c r="L3566" s="6"/>
      <c r="M3566" s="6"/>
      <c r="N3566" s="6"/>
      <c r="O3566" s="6"/>
      <c r="P3566" s="6"/>
      <c r="Q3566" s="6"/>
      <c r="R3566" s="6"/>
      <c r="S3566" s="6"/>
      <c r="T3566" s="6"/>
    </row>
    <row r="3567" spans="4:20" x14ac:dyDescent="0.2">
      <c r="D3567" s="6"/>
      <c r="E3567" s="6"/>
      <c r="F3567" s="6"/>
      <c r="G3567" s="19"/>
      <c r="H3567" s="19"/>
      <c r="I3567" s="19"/>
      <c r="J3567" s="19"/>
      <c r="K3567" s="6"/>
      <c r="L3567" s="6"/>
      <c r="M3567" s="6"/>
      <c r="N3567" s="6"/>
      <c r="O3567" s="6"/>
      <c r="P3567" s="6"/>
      <c r="Q3567" s="6"/>
      <c r="R3567" s="6"/>
      <c r="S3567" s="6"/>
      <c r="T3567" s="6"/>
    </row>
    <row r="3568" spans="4:20" x14ac:dyDescent="0.2">
      <c r="D3568" s="6"/>
      <c r="E3568" s="6"/>
      <c r="F3568" s="6"/>
      <c r="G3568" s="19"/>
      <c r="H3568" s="19"/>
      <c r="I3568" s="19"/>
      <c r="J3568" s="19"/>
      <c r="K3568" s="6"/>
      <c r="L3568" s="6"/>
      <c r="M3568" s="6"/>
      <c r="N3568" s="6"/>
      <c r="O3568" s="6"/>
      <c r="P3568" s="6"/>
      <c r="Q3568" s="6"/>
      <c r="R3568" s="6"/>
      <c r="S3568" s="6"/>
      <c r="T3568" s="6"/>
    </row>
    <row r="3569" spans="4:20" x14ac:dyDescent="0.2">
      <c r="D3569" s="6"/>
      <c r="E3569" s="6"/>
      <c r="F3569" s="6"/>
      <c r="G3569" s="19"/>
      <c r="H3569" s="19"/>
      <c r="I3569" s="19"/>
      <c r="J3569" s="19"/>
      <c r="K3569" s="6"/>
      <c r="L3569" s="6"/>
      <c r="M3569" s="6"/>
      <c r="N3569" s="6"/>
      <c r="O3569" s="6"/>
      <c r="P3569" s="6"/>
      <c r="Q3569" s="6"/>
      <c r="R3569" s="6"/>
      <c r="S3569" s="6"/>
      <c r="T3569" s="6"/>
    </row>
    <row r="3570" spans="4:20" x14ac:dyDescent="0.2">
      <c r="D3570" s="6"/>
      <c r="E3570" s="6"/>
      <c r="F3570" s="6"/>
      <c r="G3570" s="19"/>
      <c r="H3570" s="19"/>
      <c r="I3570" s="19"/>
      <c r="J3570" s="19"/>
      <c r="K3570" s="6"/>
      <c r="L3570" s="6"/>
      <c r="M3570" s="6"/>
      <c r="N3570" s="6"/>
      <c r="O3570" s="6"/>
      <c r="P3570" s="6"/>
      <c r="Q3570" s="6"/>
      <c r="R3570" s="6"/>
      <c r="S3570" s="6"/>
      <c r="T3570" s="6"/>
    </row>
    <row r="3571" spans="4:20" x14ac:dyDescent="0.2">
      <c r="D3571" s="6"/>
      <c r="E3571" s="6"/>
      <c r="F3571" s="6"/>
      <c r="G3571" s="19"/>
      <c r="H3571" s="19"/>
      <c r="I3571" s="19"/>
      <c r="J3571" s="19"/>
      <c r="K3571" s="6"/>
      <c r="L3571" s="6"/>
      <c r="M3571" s="6"/>
      <c r="N3571" s="6"/>
      <c r="O3571" s="6"/>
      <c r="P3571" s="6"/>
      <c r="Q3571" s="6"/>
      <c r="R3571" s="6"/>
      <c r="S3571" s="6"/>
      <c r="T3571" s="6"/>
    </row>
    <row r="3572" spans="4:20" x14ac:dyDescent="0.2">
      <c r="D3572" s="6"/>
      <c r="E3572" s="6"/>
      <c r="F3572" s="6"/>
      <c r="G3572" s="19"/>
      <c r="H3572" s="19"/>
      <c r="I3572" s="19"/>
      <c r="J3572" s="19"/>
      <c r="K3572" s="6"/>
      <c r="L3572" s="6"/>
      <c r="M3572" s="6"/>
      <c r="N3572" s="6"/>
      <c r="O3572" s="6"/>
      <c r="P3572" s="6"/>
      <c r="Q3572" s="6"/>
      <c r="R3572" s="6"/>
      <c r="S3572" s="6"/>
      <c r="T3572" s="6"/>
    </row>
    <row r="3573" spans="4:20" x14ac:dyDescent="0.2">
      <c r="D3573" s="6"/>
      <c r="E3573" s="6"/>
      <c r="F3573" s="6"/>
      <c r="G3573" s="19"/>
      <c r="H3573" s="19"/>
      <c r="I3573" s="19"/>
      <c r="J3573" s="19"/>
      <c r="K3573" s="6"/>
      <c r="L3573" s="6"/>
      <c r="M3573" s="6"/>
      <c r="N3573" s="6"/>
      <c r="O3573" s="6"/>
      <c r="P3573" s="6"/>
      <c r="Q3573" s="6"/>
      <c r="R3573" s="6"/>
      <c r="S3573" s="6"/>
      <c r="T3573" s="6"/>
    </row>
    <row r="3574" spans="4:20" x14ac:dyDescent="0.2">
      <c r="D3574" s="6"/>
      <c r="E3574" s="6"/>
      <c r="F3574" s="6"/>
      <c r="G3574" s="19"/>
      <c r="H3574" s="19"/>
      <c r="I3574" s="19"/>
      <c r="J3574" s="19"/>
      <c r="K3574" s="6"/>
      <c r="L3574" s="6"/>
      <c r="M3574" s="6"/>
      <c r="N3574" s="6"/>
      <c r="O3574" s="6"/>
      <c r="P3574" s="6"/>
      <c r="Q3574" s="6"/>
      <c r="R3574" s="6"/>
      <c r="S3574" s="6"/>
      <c r="T3574" s="6"/>
    </row>
    <row r="3575" spans="4:20" x14ac:dyDescent="0.2">
      <c r="D3575" s="6"/>
      <c r="E3575" s="6"/>
      <c r="F3575" s="6"/>
      <c r="G3575" s="19"/>
      <c r="H3575" s="19"/>
      <c r="I3575" s="19"/>
      <c r="J3575" s="19"/>
      <c r="K3575" s="6"/>
      <c r="L3575" s="6"/>
      <c r="M3575" s="6"/>
      <c r="N3575" s="6"/>
      <c r="O3575" s="6"/>
      <c r="P3575" s="6"/>
      <c r="Q3575" s="6"/>
      <c r="R3575" s="6"/>
      <c r="S3575" s="6"/>
      <c r="T3575" s="6"/>
    </row>
    <row r="3576" spans="4:20" x14ac:dyDescent="0.2">
      <c r="D3576" s="6"/>
      <c r="E3576" s="6"/>
      <c r="F3576" s="6"/>
      <c r="G3576" s="19"/>
      <c r="H3576" s="19"/>
      <c r="I3576" s="19"/>
      <c r="J3576" s="19"/>
      <c r="K3576" s="6"/>
      <c r="L3576" s="6"/>
      <c r="M3576" s="6"/>
      <c r="N3576" s="6"/>
      <c r="O3576" s="6"/>
      <c r="P3576" s="6"/>
      <c r="Q3576" s="6"/>
      <c r="R3576" s="6"/>
      <c r="S3576" s="6"/>
      <c r="T3576" s="6"/>
    </row>
    <row r="3577" spans="4:20" x14ac:dyDescent="0.2">
      <c r="D3577" s="6"/>
      <c r="E3577" s="6"/>
      <c r="F3577" s="6"/>
      <c r="G3577" s="19"/>
      <c r="H3577" s="19"/>
      <c r="I3577" s="19"/>
      <c r="J3577" s="19"/>
      <c r="K3577" s="6"/>
      <c r="L3577" s="6"/>
      <c r="M3577" s="6"/>
      <c r="N3577" s="6"/>
      <c r="O3577" s="6"/>
      <c r="P3577" s="6"/>
      <c r="Q3577" s="6"/>
      <c r="R3577" s="6"/>
      <c r="S3577" s="6"/>
      <c r="T3577" s="6"/>
    </row>
    <row r="3578" spans="4:20" x14ac:dyDescent="0.2">
      <c r="D3578" s="6"/>
      <c r="E3578" s="6"/>
      <c r="F3578" s="6"/>
      <c r="G3578" s="19"/>
      <c r="H3578" s="19"/>
      <c r="I3578" s="19"/>
      <c r="J3578" s="19"/>
      <c r="K3578" s="6"/>
      <c r="L3578" s="6"/>
      <c r="M3578" s="6"/>
      <c r="N3578" s="6"/>
      <c r="O3578" s="6"/>
      <c r="P3578" s="6"/>
      <c r="Q3578" s="6"/>
      <c r="R3578" s="6"/>
      <c r="S3578" s="6"/>
      <c r="T3578" s="6"/>
    </row>
    <row r="3579" spans="4:20" x14ac:dyDescent="0.2">
      <c r="D3579" s="6"/>
      <c r="E3579" s="6"/>
      <c r="F3579" s="6"/>
      <c r="G3579" s="19"/>
      <c r="H3579" s="19"/>
      <c r="I3579" s="19"/>
      <c r="J3579" s="19"/>
      <c r="K3579" s="6"/>
      <c r="L3579" s="6"/>
      <c r="M3579" s="6"/>
      <c r="N3579" s="6"/>
      <c r="O3579" s="6"/>
      <c r="P3579" s="6"/>
      <c r="Q3579" s="6"/>
      <c r="R3579" s="6"/>
      <c r="S3579" s="6"/>
      <c r="T3579" s="6"/>
    </row>
    <row r="3580" spans="4:20" x14ac:dyDescent="0.2">
      <c r="D3580" s="6"/>
      <c r="E3580" s="6"/>
      <c r="F3580" s="6"/>
      <c r="G3580" s="19"/>
      <c r="H3580" s="19"/>
      <c r="I3580" s="19"/>
      <c r="J3580" s="19"/>
      <c r="K3580" s="6"/>
      <c r="L3580" s="6"/>
      <c r="M3580" s="6"/>
      <c r="N3580" s="6"/>
      <c r="O3580" s="6"/>
      <c r="P3580" s="6"/>
      <c r="Q3580" s="6"/>
      <c r="R3580" s="6"/>
      <c r="S3580" s="6"/>
      <c r="T3580" s="6"/>
    </row>
    <row r="3581" spans="4:20" x14ac:dyDescent="0.2">
      <c r="D3581" s="6"/>
      <c r="E3581" s="6"/>
      <c r="F3581" s="6"/>
      <c r="G3581" s="19"/>
      <c r="H3581" s="19"/>
      <c r="I3581" s="19"/>
      <c r="J3581" s="19"/>
      <c r="K3581" s="6"/>
      <c r="L3581" s="6"/>
      <c r="M3581" s="6"/>
      <c r="N3581" s="6"/>
      <c r="O3581" s="6"/>
      <c r="P3581" s="6"/>
      <c r="Q3581" s="6"/>
      <c r="R3581" s="6"/>
      <c r="S3581" s="6"/>
      <c r="T3581" s="6"/>
    </row>
    <row r="3582" spans="4:20" x14ac:dyDescent="0.2">
      <c r="D3582" s="6"/>
      <c r="E3582" s="6"/>
      <c r="F3582" s="6"/>
      <c r="G3582" s="19"/>
      <c r="H3582" s="19"/>
      <c r="I3582" s="19"/>
      <c r="J3582" s="19"/>
      <c r="K3582" s="6"/>
      <c r="L3582" s="6"/>
      <c r="M3582" s="6"/>
      <c r="N3582" s="6"/>
      <c r="O3582" s="6"/>
      <c r="P3582" s="6"/>
      <c r="Q3582" s="6"/>
      <c r="R3582" s="6"/>
      <c r="S3582" s="6"/>
      <c r="T3582" s="6"/>
    </row>
    <row r="3583" spans="4:20" x14ac:dyDescent="0.2">
      <c r="D3583" s="6"/>
      <c r="E3583" s="6"/>
      <c r="F3583" s="6"/>
      <c r="G3583" s="19"/>
      <c r="H3583" s="19"/>
      <c r="I3583" s="19"/>
      <c r="J3583" s="19"/>
      <c r="K3583" s="6"/>
      <c r="L3583" s="6"/>
      <c r="M3583" s="6"/>
      <c r="N3583" s="6"/>
      <c r="O3583" s="6"/>
      <c r="P3583" s="6"/>
      <c r="Q3583" s="6"/>
      <c r="R3583" s="6"/>
      <c r="S3583" s="6"/>
      <c r="T3583" s="6"/>
    </row>
    <row r="3584" spans="4:20" x14ac:dyDescent="0.2">
      <c r="D3584" s="6"/>
      <c r="E3584" s="6"/>
      <c r="F3584" s="6"/>
      <c r="G3584" s="19"/>
      <c r="H3584" s="19"/>
      <c r="I3584" s="19"/>
      <c r="J3584" s="19"/>
      <c r="K3584" s="6"/>
      <c r="L3584" s="6"/>
      <c r="M3584" s="6"/>
      <c r="N3584" s="6"/>
      <c r="O3584" s="6"/>
      <c r="P3584" s="6"/>
      <c r="Q3584" s="6"/>
      <c r="R3584" s="6"/>
      <c r="S3584" s="6"/>
      <c r="T3584" s="6"/>
    </row>
    <row r="3585" spans="4:20" x14ac:dyDescent="0.2">
      <c r="D3585" s="6"/>
      <c r="E3585" s="6"/>
      <c r="F3585" s="6"/>
      <c r="G3585" s="19"/>
      <c r="H3585" s="19"/>
      <c r="I3585" s="19"/>
      <c r="J3585" s="19"/>
      <c r="K3585" s="6"/>
      <c r="L3585" s="6"/>
      <c r="M3585" s="6"/>
      <c r="N3585" s="6"/>
      <c r="O3585" s="6"/>
      <c r="P3585" s="6"/>
      <c r="Q3585" s="6"/>
      <c r="R3585" s="6"/>
      <c r="S3585" s="6"/>
      <c r="T3585" s="6"/>
    </row>
    <row r="3586" spans="4:20" x14ac:dyDescent="0.2">
      <c r="D3586" s="6"/>
      <c r="E3586" s="6"/>
      <c r="F3586" s="6"/>
      <c r="G3586" s="19"/>
      <c r="H3586" s="19"/>
      <c r="I3586" s="19"/>
      <c r="J3586" s="19"/>
      <c r="K3586" s="6"/>
      <c r="L3586" s="6"/>
      <c r="M3586" s="6"/>
      <c r="N3586" s="6"/>
      <c r="O3586" s="6"/>
      <c r="P3586" s="6"/>
      <c r="Q3586" s="6"/>
      <c r="R3586" s="6"/>
      <c r="S3586" s="6"/>
      <c r="T3586" s="6"/>
    </row>
    <row r="3587" spans="4:20" x14ac:dyDescent="0.2">
      <c r="D3587" s="6"/>
      <c r="E3587" s="6"/>
      <c r="F3587" s="6"/>
      <c r="G3587" s="19"/>
      <c r="H3587" s="19"/>
      <c r="I3587" s="19"/>
      <c r="J3587" s="19"/>
      <c r="K3587" s="6"/>
      <c r="L3587" s="6"/>
      <c r="M3587" s="6"/>
      <c r="N3587" s="6"/>
      <c r="O3587" s="6"/>
      <c r="P3587" s="6"/>
      <c r="Q3587" s="6"/>
      <c r="R3587" s="6"/>
      <c r="S3587" s="6"/>
      <c r="T3587" s="6"/>
    </row>
    <row r="3588" spans="4:20" x14ac:dyDescent="0.2">
      <c r="D3588" s="6"/>
      <c r="E3588" s="6"/>
      <c r="F3588" s="6"/>
      <c r="G3588" s="19"/>
      <c r="H3588" s="19"/>
      <c r="I3588" s="19"/>
      <c r="J3588" s="19"/>
      <c r="K3588" s="6"/>
      <c r="L3588" s="6"/>
      <c r="M3588" s="6"/>
      <c r="N3588" s="6"/>
      <c r="O3588" s="6"/>
      <c r="P3588" s="6"/>
      <c r="Q3588" s="6"/>
      <c r="R3588" s="6"/>
      <c r="S3588" s="6"/>
      <c r="T3588" s="6"/>
    </row>
    <row r="3589" spans="4:20" x14ac:dyDescent="0.2">
      <c r="D3589" s="6"/>
      <c r="E3589" s="6"/>
      <c r="F3589" s="6"/>
      <c r="G3589" s="19"/>
      <c r="H3589" s="19"/>
      <c r="I3589" s="19"/>
      <c r="J3589" s="19"/>
      <c r="K3589" s="6"/>
      <c r="L3589" s="6"/>
      <c r="M3589" s="6"/>
      <c r="N3589" s="6"/>
      <c r="O3589" s="6"/>
      <c r="P3589" s="6"/>
      <c r="Q3589" s="6"/>
      <c r="R3589" s="6"/>
      <c r="S3589" s="6"/>
      <c r="T3589" s="6"/>
    </row>
    <row r="3590" spans="4:20" x14ac:dyDescent="0.2">
      <c r="D3590" s="6"/>
      <c r="E3590" s="6"/>
      <c r="F3590" s="6"/>
      <c r="G3590" s="19"/>
      <c r="H3590" s="19"/>
      <c r="I3590" s="19"/>
      <c r="J3590" s="19"/>
      <c r="K3590" s="6"/>
      <c r="L3590" s="6"/>
      <c r="M3590" s="6"/>
      <c r="N3590" s="6"/>
      <c r="O3590" s="6"/>
      <c r="P3590" s="6"/>
      <c r="Q3590" s="6"/>
      <c r="R3590" s="6"/>
      <c r="S3590" s="6"/>
      <c r="T3590" s="6"/>
    </row>
    <row r="3591" spans="4:20" x14ac:dyDescent="0.2">
      <c r="D3591" s="6"/>
      <c r="E3591" s="6"/>
      <c r="F3591" s="6"/>
      <c r="G3591" s="19"/>
      <c r="H3591" s="19"/>
      <c r="I3591" s="19"/>
      <c r="J3591" s="19"/>
      <c r="K3591" s="6"/>
      <c r="L3591" s="6"/>
      <c r="M3591" s="6"/>
      <c r="N3591" s="6"/>
      <c r="O3591" s="6"/>
      <c r="P3591" s="6"/>
      <c r="Q3591" s="6"/>
      <c r="R3591" s="6"/>
      <c r="S3591" s="6"/>
      <c r="T3591" s="6"/>
    </row>
    <row r="3592" spans="4:20" x14ac:dyDescent="0.2">
      <c r="D3592" s="6"/>
      <c r="E3592" s="6"/>
      <c r="F3592" s="6"/>
      <c r="G3592" s="19"/>
      <c r="H3592" s="19"/>
      <c r="I3592" s="19"/>
      <c r="J3592" s="19"/>
      <c r="K3592" s="6"/>
      <c r="L3592" s="6"/>
      <c r="M3592" s="6"/>
      <c r="N3592" s="6"/>
      <c r="O3592" s="6"/>
      <c r="P3592" s="6"/>
      <c r="Q3592" s="6"/>
      <c r="R3592" s="6"/>
      <c r="S3592" s="6"/>
      <c r="T3592" s="6"/>
    </row>
    <row r="3593" spans="4:20" x14ac:dyDescent="0.2">
      <c r="D3593" s="6"/>
      <c r="E3593" s="6"/>
      <c r="F3593" s="6"/>
      <c r="G3593" s="19"/>
      <c r="H3593" s="19"/>
      <c r="I3593" s="19"/>
      <c r="J3593" s="19"/>
      <c r="K3593" s="6"/>
      <c r="L3593" s="6"/>
      <c r="M3593" s="6"/>
      <c r="N3593" s="6"/>
      <c r="O3593" s="6"/>
      <c r="P3593" s="6"/>
      <c r="Q3593" s="6"/>
      <c r="R3593" s="6"/>
      <c r="S3593" s="6"/>
      <c r="T3593" s="6"/>
    </row>
    <row r="3594" spans="4:20" x14ac:dyDescent="0.2">
      <c r="D3594" s="6"/>
      <c r="E3594" s="6"/>
      <c r="F3594" s="6"/>
      <c r="G3594" s="19"/>
      <c r="H3594" s="19"/>
      <c r="I3594" s="19"/>
      <c r="J3594" s="19"/>
      <c r="K3594" s="6"/>
      <c r="L3594" s="6"/>
      <c r="M3594" s="6"/>
      <c r="N3594" s="6"/>
      <c r="O3594" s="6"/>
      <c r="P3594" s="6"/>
      <c r="Q3594" s="6"/>
      <c r="R3594" s="6"/>
      <c r="S3594" s="6"/>
      <c r="T3594" s="6"/>
    </row>
    <row r="3595" spans="4:20" x14ac:dyDescent="0.2">
      <c r="D3595" s="6"/>
      <c r="E3595" s="6"/>
      <c r="F3595" s="6"/>
      <c r="G3595" s="19"/>
      <c r="H3595" s="19"/>
      <c r="I3595" s="19"/>
      <c r="J3595" s="19"/>
      <c r="K3595" s="6"/>
      <c r="L3595" s="6"/>
      <c r="M3595" s="6"/>
      <c r="N3595" s="6"/>
      <c r="O3595" s="6"/>
      <c r="P3595" s="6"/>
      <c r="Q3595" s="6"/>
      <c r="R3595" s="6"/>
      <c r="S3595" s="6"/>
      <c r="T3595" s="6"/>
    </row>
    <row r="3596" spans="4:20" x14ac:dyDescent="0.2">
      <c r="D3596" s="6"/>
      <c r="E3596" s="6"/>
      <c r="F3596" s="6"/>
      <c r="G3596" s="19"/>
      <c r="H3596" s="19"/>
      <c r="I3596" s="19"/>
      <c r="J3596" s="19"/>
      <c r="K3596" s="6"/>
      <c r="L3596" s="6"/>
      <c r="M3596" s="6"/>
      <c r="N3596" s="6"/>
      <c r="O3596" s="6"/>
      <c r="P3596" s="6"/>
      <c r="Q3596" s="6"/>
      <c r="R3596" s="6"/>
      <c r="S3596" s="6"/>
      <c r="T3596" s="6"/>
    </row>
    <row r="3597" spans="4:20" x14ac:dyDescent="0.2">
      <c r="D3597" s="6"/>
      <c r="E3597" s="6"/>
      <c r="F3597" s="6"/>
      <c r="G3597" s="19"/>
      <c r="H3597" s="19"/>
      <c r="I3597" s="19"/>
      <c r="J3597" s="19"/>
      <c r="K3597" s="6"/>
      <c r="L3597" s="6"/>
      <c r="M3597" s="6"/>
      <c r="N3597" s="6"/>
      <c r="O3597" s="6"/>
      <c r="P3597" s="6"/>
      <c r="Q3597" s="6"/>
      <c r="R3597" s="6"/>
      <c r="S3597" s="6"/>
      <c r="T3597" s="6"/>
    </row>
    <row r="3598" spans="4:20" x14ac:dyDescent="0.2">
      <c r="D3598" s="6"/>
      <c r="E3598" s="6"/>
      <c r="F3598" s="6"/>
      <c r="G3598" s="19"/>
      <c r="H3598" s="19"/>
      <c r="I3598" s="19"/>
      <c r="J3598" s="19"/>
      <c r="K3598" s="6"/>
      <c r="L3598" s="6"/>
      <c r="M3598" s="6"/>
      <c r="N3598" s="6"/>
      <c r="O3598" s="6"/>
      <c r="P3598" s="6"/>
      <c r="Q3598" s="6"/>
      <c r="R3598" s="6"/>
      <c r="S3598" s="6"/>
      <c r="T3598" s="6"/>
    </row>
    <row r="3599" spans="4:20" x14ac:dyDescent="0.2">
      <c r="D3599" s="6"/>
      <c r="E3599" s="6"/>
      <c r="F3599" s="6"/>
      <c r="G3599" s="19"/>
      <c r="H3599" s="19"/>
      <c r="I3599" s="19"/>
      <c r="J3599" s="19"/>
      <c r="K3599" s="6"/>
      <c r="L3599" s="6"/>
      <c r="M3599" s="6"/>
      <c r="N3599" s="6"/>
      <c r="O3599" s="6"/>
      <c r="P3599" s="6"/>
      <c r="Q3599" s="6"/>
      <c r="R3599" s="6"/>
      <c r="S3599" s="6"/>
      <c r="T3599" s="6"/>
    </row>
    <row r="3600" spans="4:20" x14ac:dyDescent="0.2">
      <c r="D3600" s="6"/>
      <c r="E3600" s="6"/>
      <c r="F3600" s="6"/>
      <c r="G3600" s="19"/>
      <c r="H3600" s="19"/>
      <c r="I3600" s="19"/>
      <c r="J3600" s="19"/>
      <c r="K3600" s="6"/>
      <c r="L3600" s="6"/>
      <c r="M3600" s="6"/>
      <c r="N3600" s="6"/>
      <c r="O3600" s="6"/>
      <c r="P3600" s="6"/>
      <c r="Q3600" s="6"/>
      <c r="R3600" s="6"/>
      <c r="S3600" s="6"/>
      <c r="T3600" s="6"/>
    </row>
    <row r="3601" spans="4:20" x14ac:dyDescent="0.2">
      <c r="D3601" s="6"/>
      <c r="E3601" s="6"/>
      <c r="F3601" s="6"/>
      <c r="G3601" s="19"/>
      <c r="H3601" s="19"/>
      <c r="I3601" s="19"/>
      <c r="J3601" s="19"/>
      <c r="K3601" s="6"/>
      <c r="L3601" s="6"/>
      <c r="M3601" s="6"/>
      <c r="N3601" s="6"/>
      <c r="O3601" s="6"/>
      <c r="P3601" s="6"/>
      <c r="Q3601" s="6"/>
      <c r="R3601" s="6"/>
      <c r="S3601" s="6"/>
      <c r="T3601" s="6"/>
    </row>
    <row r="3602" spans="4:20" x14ac:dyDescent="0.2">
      <c r="D3602" s="6"/>
      <c r="E3602" s="6"/>
      <c r="F3602" s="6"/>
      <c r="G3602" s="19"/>
      <c r="H3602" s="19"/>
      <c r="I3602" s="19"/>
      <c r="J3602" s="19"/>
      <c r="K3602" s="6"/>
      <c r="L3602" s="6"/>
      <c r="M3602" s="6"/>
      <c r="N3602" s="6"/>
      <c r="O3602" s="6"/>
      <c r="P3602" s="6"/>
      <c r="Q3602" s="6"/>
      <c r="R3602" s="6"/>
      <c r="S3602" s="6"/>
      <c r="T3602" s="6"/>
    </row>
    <row r="3603" spans="4:20" x14ac:dyDescent="0.2">
      <c r="D3603" s="6"/>
      <c r="E3603" s="6"/>
      <c r="F3603" s="6"/>
      <c r="G3603" s="19"/>
      <c r="H3603" s="19"/>
      <c r="I3603" s="19"/>
      <c r="J3603" s="19"/>
      <c r="K3603" s="6"/>
      <c r="L3603" s="6"/>
      <c r="M3603" s="6"/>
      <c r="N3603" s="6"/>
      <c r="O3603" s="6"/>
      <c r="P3603" s="6"/>
      <c r="Q3603" s="6"/>
      <c r="R3603" s="6"/>
      <c r="S3603" s="6"/>
      <c r="T3603" s="6"/>
    </row>
    <row r="3604" spans="4:20" x14ac:dyDescent="0.2">
      <c r="D3604" s="6"/>
      <c r="E3604" s="6"/>
      <c r="F3604" s="6"/>
      <c r="G3604" s="19"/>
      <c r="H3604" s="19"/>
      <c r="I3604" s="19"/>
      <c r="J3604" s="19"/>
      <c r="K3604" s="6"/>
      <c r="L3604" s="6"/>
      <c r="M3604" s="6"/>
      <c r="N3604" s="6"/>
      <c r="O3604" s="6"/>
      <c r="P3604" s="6"/>
      <c r="Q3604" s="6"/>
      <c r="R3604" s="6"/>
      <c r="S3604" s="6"/>
      <c r="T3604" s="6"/>
    </row>
    <row r="3605" spans="4:20" x14ac:dyDescent="0.2">
      <c r="D3605" s="6"/>
      <c r="E3605" s="6"/>
      <c r="F3605" s="6"/>
      <c r="G3605" s="19"/>
      <c r="H3605" s="19"/>
      <c r="I3605" s="19"/>
      <c r="J3605" s="19"/>
      <c r="K3605" s="6"/>
      <c r="L3605" s="6"/>
      <c r="M3605" s="6"/>
      <c r="N3605" s="6"/>
      <c r="O3605" s="6"/>
      <c r="P3605" s="6"/>
      <c r="Q3605" s="6"/>
      <c r="R3605" s="6"/>
      <c r="S3605" s="6"/>
      <c r="T3605" s="6"/>
    </row>
    <row r="3606" spans="4:20" x14ac:dyDescent="0.2">
      <c r="D3606" s="6"/>
      <c r="E3606" s="6"/>
      <c r="F3606" s="6"/>
      <c r="G3606" s="19"/>
      <c r="H3606" s="19"/>
      <c r="I3606" s="19"/>
      <c r="J3606" s="19"/>
      <c r="K3606" s="6"/>
      <c r="L3606" s="6"/>
      <c r="M3606" s="6"/>
      <c r="N3606" s="6"/>
      <c r="O3606" s="6"/>
      <c r="P3606" s="6"/>
      <c r="Q3606" s="6"/>
      <c r="R3606" s="6"/>
      <c r="S3606" s="6"/>
      <c r="T3606" s="6"/>
    </row>
    <row r="3607" spans="4:20" x14ac:dyDescent="0.2">
      <c r="D3607" s="6"/>
      <c r="E3607" s="6"/>
      <c r="F3607" s="6"/>
      <c r="G3607" s="19"/>
      <c r="H3607" s="19"/>
      <c r="I3607" s="19"/>
      <c r="J3607" s="19"/>
      <c r="K3607" s="6"/>
      <c r="L3607" s="6"/>
      <c r="M3607" s="6"/>
      <c r="N3607" s="6"/>
      <c r="O3607" s="6"/>
      <c r="P3607" s="6"/>
      <c r="Q3607" s="6"/>
      <c r="R3607" s="6"/>
      <c r="S3607" s="6"/>
      <c r="T3607" s="6"/>
    </row>
    <row r="3608" spans="4:20" x14ac:dyDescent="0.2">
      <c r="D3608" s="6"/>
      <c r="E3608" s="6"/>
      <c r="F3608" s="6"/>
      <c r="G3608" s="19"/>
      <c r="H3608" s="19"/>
      <c r="I3608" s="19"/>
      <c r="J3608" s="19"/>
      <c r="K3608" s="6"/>
      <c r="L3608" s="6"/>
      <c r="M3608" s="6"/>
      <c r="N3608" s="6"/>
      <c r="O3608" s="6"/>
      <c r="P3608" s="6"/>
      <c r="Q3608" s="6"/>
      <c r="R3608" s="6"/>
      <c r="S3608" s="6"/>
      <c r="T3608" s="6"/>
    </row>
    <row r="3609" spans="4:20" x14ac:dyDescent="0.2">
      <c r="D3609" s="6"/>
      <c r="E3609" s="6"/>
      <c r="F3609" s="6"/>
      <c r="G3609" s="19"/>
      <c r="H3609" s="19"/>
      <c r="I3609" s="19"/>
      <c r="J3609" s="19"/>
      <c r="K3609" s="6"/>
      <c r="L3609" s="6"/>
      <c r="M3609" s="6"/>
      <c r="N3609" s="6"/>
      <c r="O3609" s="6"/>
      <c r="P3609" s="6"/>
      <c r="Q3609" s="6"/>
      <c r="R3609" s="6"/>
      <c r="S3609" s="6"/>
      <c r="T3609" s="6"/>
    </row>
    <row r="3610" spans="4:20" x14ac:dyDescent="0.2">
      <c r="D3610" s="6"/>
      <c r="E3610" s="6"/>
      <c r="F3610" s="6"/>
      <c r="G3610" s="19"/>
      <c r="H3610" s="19"/>
      <c r="I3610" s="19"/>
      <c r="J3610" s="19"/>
      <c r="K3610" s="6"/>
      <c r="L3610" s="6"/>
      <c r="M3610" s="6"/>
      <c r="N3610" s="6"/>
      <c r="O3610" s="6"/>
      <c r="P3610" s="6"/>
      <c r="Q3610" s="6"/>
      <c r="R3610" s="6"/>
      <c r="S3610" s="6"/>
      <c r="T3610" s="6"/>
    </row>
    <row r="3611" spans="4:20" x14ac:dyDescent="0.2">
      <c r="D3611" s="6"/>
      <c r="E3611" s="6"/>
      <c r="F3611" s="6"/>
      <c r="G3611" s="19"/>
      <c r="H3611" s="19"/>
      <c r="I3611" s="19"/>
      <c r="J3611" s="19"/>
      <c r="K3611" s="6"/>
      <c r="L3611" s="6"/>
      <c r="M3611" s="6"/>
      <c r="N3611" s="6"/>
      <c r="O3611" s="6"/>
      <c r="P3611" s="6"/>
      <c r="Q3611" s="6"/>
      <c r="R3611" s="6"/>
      <c r="S3611" s="6"/>
      <c r="T3611" s="6"/>
    </row>
    <row r="3612" spans="4:20" x14ac:dyDescent="0.2">
      <c r="D3612" s="6"/>
      <c r="E3612" s="6"/>
      <c r="F3612" s="6"/>
      <c r="G3612" s="19"/>
      <c r="H3612" s="19"/>
      <c r="I3612" s="19"/>
      <c r="J3612" s="19"/>
      <c r="K3612" s="6"/>
      <c r="L3612" s="6"/>
      <c r="M3612" s="6"/>
      <c r="N3612" s="6"/>
      <c r="O3612" s="6"/>
      <c r="P3612" s="6"/>
      <c r="Q3612" s="6"/>
      <c r="R3612" s="6"/>
      <c r="S3612" s="6"/>
      <c r="T3612" s="6"/>
    </row>
    <row r="3613" spans="4:20" x14ac:dyDescent="0.2">
      <c r="D3613" s="6"/>
      <c r="E3613" s="6"/>
      <c r="F3613" s="6"/>
      <c r="G3613" s="19"/>
      <c r="H3613" s="19"/>
      <c r="I3613" s="19"/>
      <c r="J3613" s="19"/>
      <c r="K3613" s="6"/>
      <c r="L3613" s="6"/>
      <c r="M3613" s="6"/>
      <c r="N3613" s="6"/>
      <c r="O3613" s="6"/>
      <c r="P3613" s="6"/>
      <c r="Q3613" s="6"/>
      <c r="R3613" s="6"/>
      <c r="S3613" s="6"/>
      <c r="T3613" s="6"/>
    </row>
    <row r="3614" spans="4:20" x14ac:dyDescent="0.2">
      <c r="D3614" s="6"/>
      <c r="E3614" s="6"/>
      <c r="F3614" s="6"/>
      <c r="G3614" s="19"/>
      <c r="H3614" s="19"/>
      <c r="I3614" s="19"/>
      <c r="J3614" s="19"/>
      <c r="K3614" s="6"/>
      <c r="L3614" s="6"/>
      <c r="M3614" s="6"/>
      <c r="N3614" s="6"/>
      <c r="O3614" s="6"/>
      <c r="P3614" s="6"/>
      <c r="Q3614" s="6"/>
      <c r="R3614" s="6"/>
      <c r="S3614" s="6"/>
      <c r="T3614" s="6"/>
    </row>
    <row r="3615" spans="4:20" x14ac:dyDescent="0.2">
      <c r="D3615" s="6"/>
      <c r="E3615" s="6"/>
      <c r="F3615" s="6"/>
      <c r="G3615" s="19"/>
      <c r="H3615" s="19"/>
      <c r="I3615" s="19"/>
      <c r="J3615" s="19"/>
      <c r="K3615" s="6"/>
      <c r="L3615" s="6"/>
      <c r="M3615" s="6"/>
      <c r="N3615" s="6"/>
      <c r="O3615" s="6"/>
      <c r="P3615" s="6"/>
      <c r="Q3615" s="6"/>
      <c r="R3615" s="6"/>
      <c r="S3615" s="6"/>
      <c r="T3615" s="6"/>
    </row>
    <row r="3616" spans="4:20" x14ac:dyDescent="0.2">
      <c r="D3616" s="6"/>
      <c r="E3616" s="6"/>
      <c r="F3616" s="6"/>
      <c r="G3616" s="19"/>
      <c r="H3616" s="19"/>
      <c r="I3616" s="19"/>
      <c r="J3616" s="19"/>
      <c r="K3616" s="6"/>
      <c r="L3616" s="6"/>
      <c r="M3616" s="6"/>
      <c r="N3616" s="6"/>
      <c r="O3616" s="6"/>
      <c r="P3616" s="6"/>
      <c r="Q3616" s="6"/>
      <c r="R3616" s="6"/>
      <c r="S3616" s="6"/>
      <c r="T3616" s="6"/>
    </row>
    <row r="3617" spans="4:20" x14ac:dyDescent="0.2">
      <c r="D3617" s="6"/>
      <c r="E3617" s="6"/>
      <c r="F3617" s="6"/>
      <c r="G3617" s="19"/>
      <c r="H3617" s="19"/>
      <c r="I3617" s="19"/>
      <c r="J3617" s="19"/>
      <c r="K3617" s="6"/>
      <c r="L3617" s="6"/>
      <c r="M3617" s="6"/>
      <c r="N3617" s="6"/>
      <c r="O3617" s="6"/>
      <c r="P3617" s="6"/>
      <c r="Q3617" s="6"/>
      <c r="R3617" s="6"/>
      <c r="S3617" s="6"/>
      <c r="T3617" s="6"/>
    </row>
    <row r="3618" spans="4:20" x14ac:dyDescent="0.2">
      <c r="D3618" s="6"/>
      <c r="E3618" s="6"/>
      <c r="F3618" s="6"/>
      <c r="G3618" s="19"/>
      <c r="H3618" s="19"/>
      <c r="I3618" s="19"/>
      <c r="J3618" s="19"/>
      <c r="K3618" s="6"/>
      <c r="L3618" s="6"/>
      <c r="M3618" s="6"/>
      <c r="N3618" s="6"/>
      <c r="O3618" s="6"/>
      <c r="P3618" s="6"/>
      <c r="Q3618" s="6"/>
      <c r="R3618" s="6"/>
      <c r="S3618" s="6"/>
      <c r="T3618" s="6"/>
    </row>
    <row r="3619" spans="4:20" x14ac:dyDescent="0.2">
      <c r="D3619" s="6"/>
      <c r="E3619" s="6"/>
      <c r="F3619" s="6"/>
      <c r="G3619" s="19"/>
      <c r="H3619" s="19"/>
      <c r="I3619" s="19"/>
      <c r="J3619" s="19"/>
      <c r="K3619" s="6"/>
      <c r="L3619" s="6"/>
      <c r="M3619" s="6"/>
      <c r="N3619" s="6"/>
      <c r="O3619" s="6"/>
      <c r="P3619" s="6"/>
      <c r="Q3619" s="6"/>
      <c r="R3619" s="6"/>
      <c r="S3619" s="6"/>
      <c r="T3619" s="6"/>
    </row>
    <row r="3620" spans="4:20" x14ac:dyDescent="0.2">
      <c r="D3620" s="6"/>
      <c r="E3620" s="6"/>
      <c r="F3620" s="6"/>
      <c r="G3620" s="19"/>
      <c r="H3620" s="19"/>
      <c r="I3620" s="19"/>
      <c r="J3620" s="19"/>
      <c r="K3620" s="6"/>
      <c r="L3620" s="6"/>
      <c r="M3620" s="6"/>
      <c r="N3620" s="6"/>
      <c r="O3620" s="6"/>
      <c r="P3620" s="6"/>
      <c r="Q3620" s="6"/>
      <c r="R3620" s="6"/>
      <c r="S3620" s="6"/>
      <c r="T3620" s="6"/>
    </row>
    <row r="3621" spans="4:20" x14ac:dyDescent="0.2">
      <c r="D3621" s="6"/>
      <c r="E3621" s="6"/>
      <c r="F3621" s="6"/>
      <c r="G3621" s="19"/>
      <c r="H3621" s="19"/>
      <c r="I3621" s="19"/>
      <c r="J3621" s="19"/>
      <c r="K3621" s="6"/>
      <c r="L3621" s="6"/>
      <c r="M3621" s="6"/>
      <c r="N3621" s="6"/>
      <c r="O3621" s="6"/>
      <c r="P3621" s="6"/>
      <c r="Q3621" s="6"/>
      <c r="R3621" s="6"/>
      <c r="S3621" s="6"/>
      <c r="T3621" s="6"/>
    </row>
    <row r="3622" spans="4:20" x14ac:dyDescent="0.2">
      <c r="D3622" s="6"/>
      <c r="E3622" s="6"/>
      <c r="F3622" s="6"/>
      <c r="G3622" s="19"/>
      <c r="H3622" s="19"/>
      <c r="I3622" s="19"/>
      <c r="J3622" s="19"/>
      <c r="K3622" s="6"/>
      <c r="L3622" s="6"/>
      <c r="M3622" s="6"/>
      <c r="N3622" s="6"/>
      <c r="O3622" s="6"/>
      <c r="P3622" s="6"/>
      <c r="Q3622" s="6"/>
      <c r="R3622" s="6"/>
      <c r="S3622" s="6"/>
      <c r="T3622" s="6"/>
    </row>
    <row r="3623" spans="4:20" x14ac:dyDescent="0.2">
      <c r="D3623" s="6"/>
      <c r="E3623" s="6"/>
      <c r="F3623" s="6"/>
      <c r="G3623" s="19"/>
      <c r="H3623" s="19"/>
      <c r="I3623" s="19"/>
      <c r="J3623" s="19"/>
      <c r="K3623" s="6"/>
      <c r="L3623" s="6"/>
      <c r="M3623" s="6"/>
      <c r="N3623" s="6"/>
      <c r="O3623" s="6"/>
      <c r="P3623" s="6"/>
      <c r="Q3623" s="6"/>
      <c r="R3623" s="6"/>
      <c r="S3623" s="6"/>
      <c r="T3623" s="6"/>
    </row>
    <row r="3624" spans="4:20" x14ac:dyDescent="0.2">
      <c r="D3624" s="6"/>
      <c r="E3624" s="6"/>
      <c r="F3624" s="6"/>
      <c r="G3624" s="19"/>
      <c r="H3624" s="19"/>
      <c r="I3624" s="19"/>
      <c r="J3624" s="19"/>
      <c r="K3624" s="6"/>
      <c r="L3624" s="6"/>
      <c r="M3624" s="6"/>
      <c r="N3624" s="6"/>
      <c r="O3624" s="6"/>
      <c r="P3624" s="6"/>
      <c r="Q3624" s="6"/>
      <c r="R3624" s="6"/>
      <c r="S3624" s="6"/>
      <c r="T3624" s="6"/>
    </row>
    <row r="3625" spans="4:20" x14ac:dyDescent="0.2">
      <c r="D3625" s="6"/>
      <c r="E3625" s="6"/>
      <c r="F3625" s="6"/>
      <c r="G3625" s="19"/>
      <c r="H3625" s="19"/>
      <c r="I3625" s="19"/>
      <c r="J3625" s="19"/>
      <c r="K3625" s="6"/>
      <c r="L3625" s="6"/>
      <c r="M3625" s="6"/>
      <c r="N3625" s="6"/>
      <c r="O3625" s="6"/>
      <c r="P3625" s="6"/>
      <c r="Q3625" s="6"/>
      <c r="R3625" s="6"/>
      <c r="S3625" s="6"/>
      <c r="T3625" s="6"/>
    </row>
    <row r="3626" spans="4:20" x14ac:dyDescent="0.2">
      <c r="D3626" s="6"/>
      <c r="E3626" s="6"/>
      <c r="F3626" s="6"/>
      <c r="G3626" s="19"/>
      <c r="H3626" s="19"/>
      <c r="I3626" s="19"/>
      <c r="J3626" s="19"/>
      <c r="K3626" s="6"/>
      <c r="L3626" s="6"/>
      <c r="M3626" s="6"/>
      <c r="N3626" s="6"/>
      <c r="O3626" s="6"/>
      <c r="P3626" s="6"/>
      <c r="Q3626" s="6"/>
      <c r="R3626" s="6"/>
      <c r="S3626" s="6"/>
      <c r="T3626" s="6"/>
    </row>
    <row r="3627" spans="4:20" x14ac:dyDescent="0.2">
      <c r="D3627" s="6"/>
      <c r="E3627" s="6"/>
      <c r="F3627" s="6"/>
      <c r="G3627" s="19"/>
      <c r="H3627" s="19"/>
      <c r="I3627" s="19"/>
      <c r="J3627" s="19"/>
      <c r="K3627" s="6"/>
      <c r="L3627" s="6"/>
      <c r="M3627" s="6"/>
      <c r="N3627" s="6"/>
      <c r="O3627" s="6"/>
      <c r="P3627" s="6"/>
      <c r="Q3627" s="6"/>
      <c r="R3627" s="6"/>
      <c r="S3627" s="6"/>
      <c r="T3627" s="6"/>
    </row>
    <row r="3628" spans="4:20" x14ac:dyDescent="0.2">
      <c r="D3628" s="6"/>
      <c r="E3628" s="6"/>
      <c r="F3628" s="6"/>
      <c r="G3628" s="19"/>
      <c r="H3628" s="19"/>
      <c r="I3628" s="19"/>
      <c r="J3628" s="19"/>
      <c r="K3628" s="6"/>
      <c r="L3628" s="6"/>
      <c r="M3628" s="6"/>
      <c r="N3628" s="6"/>
      <c r="O3628" s="6"/>
      <c r="P3628" s="6"/>
      <c r="Q3628" s="6"/>
      <c r="R3628" s="6"/>
      <c r="S3628" s="6"/>
      <c r="T3628" s="6"/>
    </row>
    <row r="3629" spans="4:20" x14ac:dyDescent="0.2">
      <c r="D3629" s="6"/>
      <c r="E3629" s="6"/>
      <c r="F3629" s="6"/>
      <c r="G3629" s="19"/>
      <c r="H3629" s="19"/>
      <c r="I3629" s="19"/>
      <c r="J3629" s="19"/>
      <c r="K3629" s="6"/>
      <c r="L3629" s="6"/>
      <c r="M3629" s="6"/>
      <c r="N3629" s="6"/>
      <c r="O3629" s="6"/>
      <c r="P3629" s="6"/>
      <c r="Q3629" s="6"/>
      <c r="R3629" s="6"/>
      <c r="S3629" s="6"/>
      <c r="T3629" s="6"/>
    </row>
    <row r="3630" spans="4:20" x14ac:dyDescent="0.2">
      <c r="D3630" s="6"/>
      <c r="E3630" s="6"/>
      <c r="F3630" s="6"/>
      <c r="G3630" s="19"/>
      <c r="H3630" s="19"/>
      <c r="I3630" s="19"/>
      <c r="J3630" s="19"/>
      <c r="K3630" s="6"/>
      <c r="L3630" s="6"/>
      <c r="M3630" s="6"/>
      <c r="N3630" s="6"/>
      <c r="O3630" s="6"/>
      <c r="P3630" s="6"/>
      <c r="Q3630" s="6"/>
      <c r="R3630" s="6"/>
      <c r="S3630" s="6"/>
      <c r="T3630" s="6"/>
    </row>
    <row r="3631" spans="4:20" x14ac:dyDescent="0.2">
      <c r="D3631" s="6"/>
      <c r="E3631" s="6"/>
      <c r="F3631" s="6"/>
      <c r="G3631" s="19"/>
      <c r="H3631" s="19"/>
      <c r="I3631" s="19"/>
      <c r="J3631" s="19"/>
      <c r="K3631" s="6"/>
      <c r="L3631" s="6"/>
      <c r="M3631" s="6"/>
      <c r="N3631" s="6"/>
      <c r="O3631" s="6"/>
      <c r="P3631" s="6"/>
      <c r="Q3631" s="6"/>
      <c r="R3631" s="6"/>
      <c r="S3631" s="6"/>
      <c r="T3631" s="6"/>
    </row>
    <row r="3632" spans="4:20" x14ac:dyDescent="0.2">
      <c r="D3632" s="6"/>
      <c r="E3632" s="6"/>
      <c r="F3632" s="6"/>
      <c r="G3632" s="19"/>
      <c r="H3632" s="19"/>
      <c r="I3632" s="19"/>
      <c r="J3632" s="19"/>
      <c r="K3632" s="6"/>
      <c r="L3632" s="6"/>
      <c r="M3632" s="6"/>
      <c r="N3632" s="6"/>
      <c r="O3632" s="6"/>
      <c r="P3632" s="6"/>
      <c r="Q3632" s="6"/>
      <c r="R3632" s="6"/>
      <c r="S3632" s="6"/>
      <c r="T3632" s="6"/>
    </row>
    <row r="3633" spans="4:20" x14ac:dyDescent="0.2">
      <c r="D3633" s="6"/>
      <c r="E3633" s="6"/>
      <c r="F3633" s="6"/>
      <c r="G3633" s="19"/>
      <c r="H3633" s="19"/>
      <c r="I3633" s="19"/>
      <c r="J3633" s="19"/>
      <c r="K3633" s="6"/>
      <c r="L3633" s="6"/>
      <c r="M3633" s="6"/>
      <c r="N3633" s="6"/>
      <c r="O3633" s="6"/>
      <c r="P3633" s="6"/>
      <c r="Q3633" s="6"/>
      <c r="R3633" s="6"/>
      <c r="S3633" s="6"/>
      <c r="T3633" s="6"/>
    </row>
    <row r="3634" spans="4:20" x14ac:dyDescent="0.2">
      <c r="D3634" s="6"/>
      <c r="E3634" s="6"/>
      <c r="F3634" s="6"/>
      <c r="G3634" s="19"/>
      <c r="H3634" s="19"/>
      <c r="I3634" s="19"/>
      <c r="J3634" s="19"/>
      <c r="K3634" s="6"/>
      <c r="L3634" s="6"/>
      <c r="M3634" s="6"/>
      <c r="N3634" s="6"/>
      <c r="O3634" s="6"/>
      <c r="P3634" s="6"/>
      <c r="Q3634" s="6"/>
      <c r="R3634" s="6"/>
      <c r="S3634" s="6"/>
      <c r="T3634" s="6"/>
    </row>
    <row r="3635" spans="4:20" x14ac:dyDescent="0.2">
      <c r="D3635" s="6"/>
      <c r="E3635" s="6"/>
      <c r="F3635" s="6"/>
      <c r="G3635" s="19"/>
      <c r="H3635" s="19"/>
      <c r="I3635" s="19"/>
      <c r="J3635" s="19"/>
      <c r="K3635" s="6"/>
      <c r="L3635" s="6"/>
      <c r="M3635" s="6"/>
      <c r="N3635" s="6"/>
      <c r="O3635" s="6"/>
      <c r="P3635" s="6"/>
      <c r="Q3635" s="6"/>
      <c r="R3635" s="6"/>
      <c r="S3635" s="6"/>
      <c r="T3635" s="6"/>
    </row>
    <row r="3636" spans="4:20" x14ac:dyDescent="0.2">
      <c r="D3636" s="6"/>
      <c r="E3636" s="6"/>
      <c r="F3636" s="6"/>
      <c r="G3636" s="19"/>
      <c r="H3636" s="19"/>
      <c r="I3636" s="19"/>
      <c r="J3636" s="19"/>
      <c r="K3636" s="6"/>
      <c r="L3636" s="6"/>
      <c r="M3636" s="6"/>
      <c r="N3636" s="6"/>
      <c r="O3636" s="6"/>
      <c r="P3636" s="6"/>
      <c r="Q3636" s="6"/>
      <c r="R3636" s="6"/>
      <c r="S3636" s="6"/>
      <c r="T3636" s="6"/>
    </row>
    <row r="3637" spans="4:20" x14ac:dyDescent="0.2">
      <c r="D3637" s="6"/>
      <c r="E3637" s="6"/>
      <c r="F3637" s="6"/>
      <c r="G3637" s="19"/>
      <c r="H3637" s="19"/>
      <c r="I3637" s="19"/>
      <c r="J3637" s="19"/>
      <c r="K3637" s="6"/>
      <c r="L3637" s="6"/>
      <c r="M3637" s="6"/>
      <c r="N3637" s="6"/>
      <c r="O3637" s="6"/>
      <c r="P3637" s="6"/>
      <c r="Q3637" s="6"/>
      <c r="R3637" s="6"/>
      <c r="S3637" s="6"/>
      <c r="T3637" s="6"/>
    </row>
    <row r="3638" spans="4:20" x14ac:dyDescent="0.2">
      <c r="D3638" s="6"/>
      <c r="E3638" s="6"/>
      <c r="F3638" s="6"/>
      <c r="G3638" s="19"/>
      <c r="H3638" s="19"/>
      <c r="I3638" s="19"/>
      <c r="J3638" s="19"/>
      <c r="K3638" s="6"/>
      <c r="L3638" s="6"/>
      <c r="M3638" s="6"/>
      <c r="N3638" s="6"/>
      <c r="O3638" s="6"/>
      <c r="P3638" s="6"/>
      <c r="Q3638" s="6"/>
      <c r="R3638" s="6"/>
      <c r="S3638" s="6"/>
      <c r="T3638" s="6"/>
    </row>
    <row r="3639" spans="4:20" x14ac:dyDescent="0.2">
      <c r="D3639" s="6"/>
      <c r="E3639" s="6"/>
      <c r="F3639" s="6"/>
      <c r="G3639" s="19"/>
      <c r="H3639" s="19"/>
      <c r="I3639" s="19"/>
      <c r="J3639" s="19"/>
      <c r="K3639" s="6"/>
      <c r="L3639" s="6"/>
      <c r="M3639" s="6"/>
      <c r="N3639" s="6"/>
      <c r="O3639" s="6"/>
      <c r="P3639" s="6"/>
      <c r="Q3639" s="6"/>
      <c r="R3639" s="6"/>
      <c r="S3639" s="6"/>
      <c r="T3639" s="6"/>
    </row>
    <row r="3640" spans="4:20" x14ac:dyDescent="0.2">
      <c r="D3640" s="6"/>
      <c r="E3640" s="6"/>
      <c r="F3640" s="6"/>
      <c r="G3640" s="19"/>
      <c r="H3640" s="19"/>
      <c r="I3640" s="19"/>
      <c r="J3640" s="19"/>
      <c r="K3640" s="6"/>
      <c r="L3640" s="6"/>
      <c r="M3640" s="6"/>
      <c r="N3640" s="6"/>
      <c r="O3640" s="6"/>
      <c r="P3640" s="6"/>
      <c r="Q3640" s="6"/>
      <c r="R3640" s="6"/>
      <c r="S3640" s="6"/>
      <c r="T3640" s="6"/>
    </row>
    <row r="3641" spans="4:20" x14ac:dyDescent="0.2">
      <c r="D3641" s="6"/>
      <c r="E3641" s="6"/>
      <c r="F3641" s="6"/>
      <c r="G3641" s="19"/>
      <c r="H3641" s="19"/>
      <c r="I3641" s="19"/>
      <c r="J3641" s="19"/>
      <c r="K3641" s="6"/>
      <c r="L3641" s="6"/>
      <c r="M3641" s="6"/>
      <c r="N3641" s="6"/>
      <c r="O3641" s="6"/>
      <c r="P3641" s="6"/>
      <c r="Q3641" s="6"/>
      <c r="R3641" s="6"/>
      <c r="S3641" s="6"/>
      <c r="T3641" s="6"/>
    </row>
    <row r="3642" spans="4:20" x14ac:dyDescent="0.2">
      <c r="D3642" s="6"/>
      <c r="E3642" s="6"/>
      <c r="F3642" s="6"/>
      <c r="G3642" s="19"/>
      <c r="H3642" s="19"/>
      <c r="I3642" s="19"/>
      <c r="J3642" s="19"/>
      <c r="K3642" s="6"/>
      <c r="L3642" s="6"/>
      <c r="M3642" s="6"/>
      <c r="N3642" s="6"/>
      <c r="O3642" s="6"/>
      <c r="P3642" s="6"/>
      <c r="Q3642" s="6"/>
      <c r="R3642" s="6"/>
      <c r="S3642" s="6"/>
      <c r="T3642" s="6"/>
    </row>
    <row r="3643" spans="4:20" x14ac:dyDescent="0.2">
      <c r="D3643" s="6"/>
      <c r="E3643" s="6"/>
      <c r="F3643" s="6"/>
      <c r="G3643" s="19"/>
      <c r="H3643" s="19"/>
      <c r="I3643" s="19"/>
      <c r="J3643" s="19"/>
      <c r="K3643" s="6"/>
      <c r="L3643" s="6"/>
      <c r="M3643" s="6"/>
      <c r="N3643" s="6"/>
      <c r="O3643" s="6"/>
      <c r="P3643" s="6"/>
      <c r="Q3643" s="6"/>
      <c r="R3643" s="6"/>
      <c r="S3643" s="6"/>
      <c r="T3643" s="6"/>
    </row>
    <row r="3644" spans="4:20" x14ac:dyDescent="0.2">
      <c r="D3644" s="6"/>
      <c r="E3644" s="6"/>
      <c r="F3644" s="6"/>
      <c r="G3644" s="19"/>
      <c r="H3644" s="19"/>
      <c r="I3644" s="19"/>
      <c r="J3644" s="19"/>
      <c r="K3644" s="6"/>
      <c r="L3644" s="6"/>
      <c r="M3644" s="6"/>
      <c r="N3644" s="6"/>
      <c r="O3644" s="6"/>
      <c r="P3644" s="6"/>
      <c r="Q3644" s="6"/>
      <c r="R3644" s="6"/>
      <c r="S3644" s="6"/>
      <c r="T3644" s="6"/>
    </row>
    <row r="3645" spans="4:20" x14ac:dyDescent="0.2">
      <c r="D3645" s="6"/>
      <c r="E3645" s="6"/>
      <c r="F3645" s="6"/>
      <c r="G3645" s="19"/>
      <c r="H3645" s="19"/>
      <c r="I3645" s="19"/>
      <c r="J3645" s="19"/>
      <c r="K3645" s="6"/>
      <c r="L3645" s="6"/>
      <c r="M3645" s="6"/>
      <c r="N3645" s="6"/>
      <c r="O3645" s="6"/>
      <c r="P3645" s="6"/>
      <c r="Q3645" s="6"/>
      <c r="R3645" s="6"/>
      <c r="S3645" s="6"/>
      <c r="T3645" s="6"/>
    </row>
    <row r="3646" spans="4:20" x14ac:dyDescent="0.2">
      <c r="D3646" s="6"/>
      <c r="E3646" s="6"/>
      <c r="F3646" s="6"/>
      <c r="G3646" s="19"/>
      <c r="H3646" s="19"/>
      <c r="I3646" s="19"/>
      <c r="J3646" s="19"/>
      <c r="K3646" s="6"/>
      <c r="L3646" s="6"/>
      <c r="M3646" s="6"/>
      <c r="N3646" s="6"/>
      <c r="O3646" s="6"/>
      <c r="P3646" s="6"/>
      <c r="Q3646" s="6"/>
      <c r="R3646" s="6"/>
      <c r="S3646" s="6"/>
      <c r="T3646" s="6"/>
    </row>
    <row r="3647" spans="4:20" x14ac:dyDescent="0.2">
      <c r="D3647" s="6"/>
      <c r="E3647" s="6"/>
      <c r="F3647" s="6"/>
      <c r="G3647" s="19"/>
      <c r="H3647" s="19"/>
      <c r="I3647" s="19"/>
      <c r="J3647" s="19"/>
      <c r="K3647" s="6"/>
      <c r="L3647" s="6"/>
      <c r="M3647" s="6"/>
      <c r="N3647" s="6"/>
      <c r="O3647" s="6"/>
      <c r="P3647" s="6"/>
      <c r="Q3647" s="6"/>
      <c r="R3647" s="6"/>
      <c r="S3647" s="6"/>
      <c r="T3647" s="6"/>
    </row>
    <row r="3648" spans="4:20" x14ac:dyDescent="0.2">
      <c r="D3648" s="6"/>
      <c r="E3648" s="6"/>
      <c r="F3648" s="6"/>
      <c r="G3648" s="19"/>
      <c r="H3648" s="19"/>
      <c r="I3648" s="19"/>
      <c r="J3648" s="19"/>
      <c r="K3648" s="6"/>
      <c r="L3648" s="6"/>
      <c r="M3648" s="6"/>
      <c r="N3648" s="6"/>
      <c r="O3648" s="6"/>
      <c r="P3648" s="6"/>
      <c r="Q3648" s="6"/>
      <c r="R3648" s="6"/>
      <c r="S3648" s="6"/>
      <c r="T3648" s="6"/>
    </row>
    <row r="3649" spans="4:20" x14ac:dyDescent="0.2">
      <c r="D3649" s="6"/>
      <c r="E3649" s="6"/>
      <c r="F3649" s="6"/>
      <c r="G3649" s="19"/>
      <c r="H3649" s="19"/>
      <c r="I3649" s="19"/>
      <c r="J3649" s="19"/>
      <c r="K3649" s="6"/>
      <c r="L3649" s="6"/>
      <c r="M3649" s="6"/>
      <c r="N3649" s="6"/>
      <c r="O3649" s="6"/>
      <c r="P3649" s="6"/>
      <c r="Q3649" s="6"/>
      <c r="R3649" s="6"/>
      <c r="S3649" s="6"/>
      <c r="T3649" s="6"/>
    </row>
    <row r="3650" spans="4:20" x14ac:dyDescent="0.2">
      <c r="D3650" s="6"/>
      <c r="E3650" s="6"/>
      <c r="F3650" s="6"/>
      <c r="G3650" s="19"/>
      <c r="H3650" s="19"/>
      <c r="I3650" s="19"/>
      <c r="J3650" s="19"/>
      <c r="K3650" s="6"/>
      <c r="L3650" s="6"/>
      <c r="M3650" s="6"/>
      <c r="N3650" s="6"/>
      <c r="O3650" s="6"/>
      <c r="P3650" s="6"/>
      <c r="Q3650" s="6"/>
      <c r="R3650" s="6"/>
      <c r="S3650" s="6"/>
      <c r="T3650" s="6"/>
    </row>
    <row r="3651" spans="4:20" x14ac:dyDescent="0.2">
      <c r="D3651" s="6"/>
      <c r="E3651" s="6"/>
      <c r="F3651" s="6"/>
      <c r="G3651" s="19"/>
      <c r="H3651" s="19"/>
      <c r="I3651" s="19"/>
      <c r="J3651" s="19"/>
      <c r="K3651" s="6"/>
      <c r="L3651" s="6"/>
      <c r="M3651" s="6"/>
      <c r="N3651" s="6"/>
      <c r="O3651" s="6"/>
      <c r="P3651" s="6"/>
      <c r="Q3651" s="6"/>
      <c r="R3651" s="6"/>
      <c r="S3651" s="6"/>
      <c r="T3651" s="6"/>
    </row>
    <row r="3652" spans="4:20" x14ac:dyDescent="0.2">
      <c r="D3652" s="6"/>
      <c r="E3652" s="6"/>
      <c r="F3652" s="6"/>
      <c r="G3652" s="19"/>
      <c r="H3652" s="19"/>
      <c r="I3652" s="19"/>
      <c r="J3652" s="19"/>
      <c r="K3652" s="6"/>
      <c r="L3652" s="6"/>
      <c r="M3652" s="6"/>
      <c r="N3652" s="6"/>
      <c r="O3652" s="6"/>
      <c r="P3652" s="6"/>
      <c r="Q3652" s="6"/>
      <c r="R3652" s="6"/>
      <c r="S3652" s="6"/>
      <c r="T3652" s="6"/>
    </row>
    <row r="3653" spans="4:20" x14ac:dyDescent="0.2">
      <c r="D3653" s="6"/>
      <c r="E3653" s="6"/>
      <c r="F3653" s="6"/>
      <c r="G3653" s="19"/>
      <c r="H3653" s="19"/>
      <c r="I3653" s="19"/>
      <c r="J3653" s="19"/>
      <c r="K3653" s="6"/>
      <c r="L3653" s="6"/>
      <c r="M3653" s="6"/>
      <c r="N3653" s="6"/>
      <c r="O3653" s="6"/>
      <c r="P3653" s="6"/>
      <c r="Q3653" s="6"/>
      <c r="R3653" s="6"/>
      <c r="S3653" s="6"/>
      <c r="T3653" s="6"/>
    </row>
    <row r="3654" spans="4:20" x14ac:dyDescent="0.2">
      <c r="D3654" s="6"/>
      <c r="E3654" s="6"/>
      <c r="F3654" s="6"/>
      <c r="G3654" s="19"/>
      <c r="H3654" s="19"/>
      <c r="I3654" s="19"/>
      <c r="J3654" s="19"/>
      <c r="K3654" s="6"/>
      <c r="L3654" s="6"/>
      <c r="M3654" s="6"/>
      <c r="N3654" s="6"/>
      <c r="O3654" s="6"/>
      <c r="P3654" s="6"/>
      <c r="Q3654" s="6"/>
      <c r="R3654" s="6"/>
      <c r="S3654" s="6"/>
      <c r="T3654" s="6"/>
    </row>
    <row r="3655" spans="4:20" x14ac:dyDescent="0.2">
      <c r="D3655" s="6"/>
      <c r="E3655" s="6"/>
      <c r="F3655" s="6"/>
      <c r="G3655" s="19"/>
      <c r="H3655" s="19"/>
      <c r="I3655" s="19"/>
      <c r="J3655" s="19"/>
      <c r="K3655" s="6"/>
      <c r="L3655" s="6"/>
      <c r="M3655" s="6"/>
      <c r="N3655" s="6"/>
      <c r="O3655" s="6"/>
      <c r="P3655" s="6"/>
      <c r="Q3655" s="6"/>
      <c r="R3655" s="6"/>
      <c r="S3655" s="6"/>
      <c r="T3655" s="6"/>
    </row>
    <row r="3656" spans="4:20" x14ac:dyDescent="0.2">
      <c r="D3656" s="6"/>
      <c r="E3656" s="6"/>
      <c r="F3656" s="6"/>
      <c r="G3656" s="19"/>
      <c r="H3656" s="19"/>
      <c r="I3656" s="19"/>
      <c r="J3656" s="19"/>
      <c r="K3656" s="6"/>
      <c r="L3656" s="6"/>
      <c r="M3656" s="6"/>
      <c r="N3656" s="6"/>
      <c r="O3656" s="6"/>
      <c r="P3656" s="6"/>
      <c r="Q3656" s="6"/>
      <c r="R3656" s="6"/>
      <c r="S3656" s="6"/>
      <c r="T3656" s="6"/>
    </row>
    <row r="3657" spans="4:20" x14ac:dyDescent="0.2">
      <c r="D3657" s="6"/>
      <c r="E3657" s="6"/>
      <c r="F3657" s="6"/>
      <c r="G3657" s="19"/>
      <c r="H3657" s="19"/>
      <c r="I3657" s="19"/>
      <c r="J3657" s="19"/>
      <c r="K3657" s="6"/>
      <c r="L3657" s="6"/>
      <c r="M3657" s="6"/>
      <c r="N3657" s="6"/>
      <c r="O3657" s="6"/>
      <c r="P3657" s="6"/>
      <c r="Q3657" s="6"/>
      <c r="R3657" s="6"/>
      <c r="S3657" s="6"/>
      <c r="T3657" s="6"/>
    </row>
    <row r="3658" spans="4:20" x14ac:dyDescent="0.2">
      <c r="D3658" s="6"/>
      <c r="E3658" s="6"/>
      <c r="F3658" s="6"/>
      <c r="G3658" s="19"/>
      <c r="H3658" s="19"/>
      <c r="I3658" s="19"/>
      <c r="J3658" s="19"/>
      <c r="K3658" s="6"/>
      <c r="L3658" s="6"/>
      <c r="M3658" s="6"/>
      <c r="N3658" s="6"/>
      <c r="O3658" s="6"/>
      <c r="P3658" s="6"/>
      <c r="Q3658" s="6"/>
      <c r="R3658" s="6"/>
      <c r="S3658" s="6"/>
      <c r="T3658" s="6"/>
    </row>
    <row r="3659" spans="4:20" x14ac:dyDescent="0.2">
      <c r="D3659" s="6"/>
      <c r="E3659" s="6"/>
      <c r="F3659" s="6"/>
      <c r="G3659" s="19"/>
      <c r="H3659" s="19"/>
      <c r="I3659" s="19"/>
      <c r="J3659" s="19"/>
      <c r="K3659" s="6"/>
      <c r="L3659" s="6"/>
      <c r="M3659" s="6"/>
      <c r="N3659" s="6"/>
      <c r="O3659" s="6"/>
      <c r="P3659" s="6"/>
      <c r="Q3659" s="6"/>
      <c r="R3659" s="6"/>
      <c r="S3659" s="6"/>
      <c r="T3659" s="6"/>
    </row>
    <row r="3660" spans="4:20" x14ac:dyDescent="0.2">
      <c r="D3660" s="6"/>
      <c r="E3660" s="6"/>
      <c r="F3660" s="6"/>
      <c r="G3660" s="19"/>
      <c r="H3660" s="19"/>
      <c r="I3660" s="19"/>
      <c r="J3660" s="19"/>
      <c r="K3660" s="6"/>
      <c r="L3660" s="6"/>
      <c r="M3660" s="6"/>
      <c r="N3660" s="6"/>
      <c r="O3660" s="6"/>
      <c r="P3660" s="6"/>
      <c r="Q3660" s="6"/>
      <c r="R3660" s="6"/>
      <c r="S3660" s="6"/>
      <c r="T3660" s="6"/>
    </row>
    <row r="3661" spans="4:20" x14ac:dyDescent="0.2">
      <c r="D3661" s="6"/>
      <c r="E3661" s="6"/>
      <c r="F3661" s="6"/>
      <c r="G3661" s="19"/>
      <c r="H3661" s="19"/>
      <c r="I3661" s="19"/>
      <c r="J3661" s="19"/>
      <c r="K3661" s="6"/>
      <c r="L3661" s="6"/>
      <c r="M3661" s="6"/>
      <c r="N3661" s="6"/>
      <c r="O3661" s="6"/>
      <c r="P3661" s="6"/>
      <c r="Q3661" s="6"/>
      <c r="R3661" s="6"/>
      <c r="S3661" s="6"/>
      <c r="T3661" s="6"/>
    </row>
    <row r="3662" spans="4:20" x14ac:dyDescent="0.2">
      <c r="D3662" s="6"/>
      <c r="E3662" s="6"/>
      <c r="F3662" s="6"/>
      <c r="G3662" s="19"/>
      <c r="H3662" s="19"/>
      <c r="I3662" s="19"/>
      <c r="J3662" s="19"/>
      <c r="K3662" s="6"/>
      <c r="L3662" s="6"/>
      <c r="M3662" s="6"/>
      <c r="N3662" s="6"/>
      <c r="O3662" s="6"/>
      <c r="P3662" s="6"/>
      <c r="Q3662" s="6"/>
      <c r="R3662" s="6"/>
      <c r="S3662" s="6"/>
      <c r="T3662" s="6"/>
    </row>
    <row r="3663" spans="4:20" x14ac:dyDescent="0.2">
      <c r="D3663" s="6"/>
      <c r="E3663" s="6"/>
      <c r="F3663" s="6"/>
      <c r="G3663" s="19"/>
      <c r="H3663" s="19"/>
      <c r="I3663" s="19"/>
      <c r="J3663" s="19"/>
      <c r="K3663" s="6"/>
      <c r="L3663" s="6"/>
      <c r="M3663" s="6"/>
      <c r="N3663" s="6"/>
      <c r="O3663" s="6"/>
      <c r="P3663" s="6"/>
      <c r="Q3663" s="6"/>
      <c r="R3663" s="6"/>
      <c r="S3663" s="6"/>
      <c r="T3663" s="6"/>
    </row>
    <row r="3664" spans="4:20" x14ac:dyDescent="0.2">
      <c r="D3664" s="6"/>
      <c r="E3664" s="6"/>
      <c r="F3664" s="6"/>
      <c r="G3664" s="19"/>
      <c r="H3664" s="19"/>
      <c r="I3664" s="19"/>
      <c r="J3664" s="19"/>
      <c r="K3664" s="6"/>
      <c r="L3664" s="6"/>
      <c r="M3664" s="6"/>
      <c r="N3664" s="6"/>
      <c r="O3664" s="6"/>
      <c r="P3664" s="6"/>
      <c r="Q3664" s="6"/>
      <c r="R3664" s="6"/>
      <c r="S3664" s="6"/>
      <c r="T3664" s="6"/>
    </row>
    <row r="3665" spans="4:20" x14ac:dyDescent="0.2">
      <c r="D3665" s="6"/>
      <c r="E3665" s="6"/>
      <c r="F3665" s="6"/>
      <c r="G3665" s="19"/>
      <c r="H3665" s="19"/>
      <c r="I3665" s="19"/>
      <c r="J3665" s="19"/>
      <c r="K3665" s="6"/>
      <c r="L3665" s="6"/>
      <c r="M3665" s="6"/>
      <c r="N3665" s="6"/>
      <c r="O3665" s="6"/>
      <c r="P3665" s="6"/>
      <c r="Q3665" s="6"/>
      <c r="R3665" s="6"/>
      <c r="S3665" s="6"/>
      <c r="T3665" s="6"/>
    </row>
    <row r="3666" spans="4:20" x14ac:dyDescent="0.2">
      <c r="D3666" s="6"/>
      <c r="E3666" s="6"/>
      <c r="F3666" s="6"/>
      <c r="G3666" s="19"/>
      <c r="H3666" s="19"/>
      <c r="I3666" s="19"/>
      <c r="J3666" s="19"/>
      <c r="K3666" s="6"/>
      <c r="L3666" s="6"/>
      <c r="M3666" s="6"/>
      <c r="N3666" s="6"/>
      <c r="O3666" s="6"/>
      <c r="P3666" s="6"/>
      <c r="Q3666" s="6"/>
      <c r="R3666" s="6"/>
      <c r="S3666" s="6"/>
      <c r="T3666" s="6"/>
    </row>
    <row r="3667" spans="4:20" x14ac:dyDescent="0.2">
      <c r="D3667" s="6"/>
      <c r="E3667" s="6"/>
      <c r="F3667" s="6"/>
      <c r="G3667" s="19"/>
      <c r="H3667" s="19"/>
      <c r="I3667" s="19"/>
      <c r="J3667" s="19"/>
      <c r="K3667" s="6"/>
      <c r="L3667" s="6"/>
      <c r="M3667" s="6"/>
      <c r="N3667" s="6"/>
      <c r="O3667" s="6"/>
      <c r="P3667" s="6"/>
      <c r="Q3667" s="6"/>
      <c r="R3667" s="6"/>
      <c r="S3667" s="6"/>
      <c r="T3667" s="6"/>
    </row>
    <row r="3668" spans="4:20" x14ac:dyDescent="0.2">
      <c r="D3668" s="6"/>
      <c r="E3668" s="6"/>
      <c r="F3668" s="6"/>
      <c r="G3668" s="19"/>
      <c r="H3668" s="19"/>
      <c r="I3668" s="19"/>
      <c r="J3668" s="19"/>
      <c r="K3668" s="6"/>
      <c r="L3668" s="6"/>
      <c r="M3668" s="6"/>
      <c r="N3668" s="6"/>
      <c r="O3668" s="6"/>
      <c r="P3668" s="6"/>
      <c r="Q3668" s="6"/>
      <c r="R3668" s="6"/>
      <c r="S3668" s="6"/>
      <c r="T3668" s="6"/>
    </row>
    <row r="3669" spans="4:20" x14ac:dyDescent="0.2">
      <c r="D3669" s="6"/>
      <c r="E3669" s="6"/>
      <c r="F3669" s="6"/>
      <c r="G3669" s="19"/>
      <c r="H3669" s="19"/>
      <c r="I3669" s="19"/>
      <c r="J3669" s="19"/>
      <c r="K3669" s="6"/>
      <c r="L3669" s="6"/>
      <c r="M3669" s="6"/>
      <c r="N3669" s="6"/>
      <c r="O3669" s="6"/>
      <c r="P3669" s="6"/>
      <c r="Q3669" s="6"/>
      <c r="R3669" s="6"/>
      <c r="S3669" s="6"/>
      <c r="T3669" s="6"/>
    </row>
    <row r="3670" spans="4:20" x14ac:dyDescent="0.2">
      <c r="D3670" s="6"/>
      <c r="E3670" s="6"/>
      <c r="F3670" s="6"/>
      <c r="G3670" s="19"/>
      <c r="H3670" s="19"/>
      <c r="I3670" s="19"/>
      <c r="J3670" s="19"/>
      <c r="K3670" s="6"/>
      <c r="L3670" s="6"/>
      <c r="M3670" s="6"/>
      <c r="N3670" s="6"/>
      <c r="O3670" s="6"/>
      <c r="P3670" s="6"/>
      <c r="Q3670" s="6"/>
      <c r="R3670" s="6"/>
      <c r="S3670" s="6"/>
      <c r="T3670" s="6"/>
    </row>
    <row r="3671" spans="4:20" x14ac:dyDescent="0.2">
      <c r="D3671" s="6"/>
      <c r="E3671" s="6"/>
      <c r="F3671" s="6"/>
      <c r="G3671" s="19"/>
      <c r="H3671" s="19"/>
      <c r="I3671" s="19"/>
      <c r="J3671" s="19"/>
      <c r="K3671" s="6"/>
      <c r="L3671" s="6"/>
      <c r="M3671" s="6"/>
      <c r="N3671" s="6"/>
      <c r="O3671" s="6"/>
      <c r="P3671" s="6"/>
      <c r="Q3671" s="6"/>
      <c r="R3671" s="6"/>
      <c r="S3671" s="6"/>
      <c r="T3671" s="6"/>
    </row>
    <row r="3672" spans="4:20" x14ac:dyDescent="0.2">
      <c r="D3672" s="6"/>
      <c r="E3672" s="6"/>
      <c r="F3672" s="6"/>
      <c r="G3672" s="19"/>
      <c r="H3672" s="19"/>
      <c r="I3672" s="19"/>
      <c r="J3672" s="19"/>
      <c r="K3672" s="6"/>
      <c r="L3672" s="6"/>
      <c r="M3672" s="6"/>
      <c r="N3672" s="6"/>
      <c r="O3672" s="6"/>
      <c r="P3672" s="6"/>
      <c r="Q3672" s="6"/>
      <c r="R3672" s="6"/>
      <c r="S3672" s="6"/>
      <c r="T3672" s="6"/>
    </row>
    <row r="3673" spans="4:20" x14ac:dyDescent="0.2">
      <c r="D3673" s="6"/>
      <c r="E3673" s="6"/>
      <c r="F3673" s="6"/>
      <c r="G3673" s="19"/>
      <c r="H3673" s="19"/>
      <c r="I3673" s="19"/>
      <c r="J3673" s="19"/>
      <c r="K3673" s="6"/>
      <c r="L3673" s="6"/>
      <c r="M3673" s="6"/>
      <c r="N3673" s="6"/>
      <c r="O3673" s="6"/>
      <c r="P3673" s="6"/>
      <c r="Q3673" s="6"/>
      <c r="R3673" s="6"/>
      <c r="S3673" s="6"/>
      <c r="T3673" s="6"/>
    </row>
    <row r="3674" spans="4:20" x14ac:dyDescent="0.2">
      <c r="D3674" s="6"/>
      <c r="E3674" s="6"/>
      <c r="F3674" s="6"/>
      <c r="G3674" s="19"/>
      <c r="H3674" s="19"/>
      <c r="I3674" s="19"/>
      <c r="J3674" s="19"/>
      <c r="K3674" s="6"/>
      <c r="L3674" s="6"/>
      <c r="M3674" s="6"/>
      <c r="N3674" s="6"/>
      <c r="O3674" s="6"/>
      <c r="P3674" s="6"/>
      <c r="Q3674" s="6"/>
      <c r="R3674" s="6"/>
      <c r="S3674" s="6"/>
      <c r="T3674" s="6"/>
    </row>
    <row r="3675" spans="4:20" x14ac:dyDescent="0.2">
      <c r="D3675" s="6"/>
      <c r="E3675" s="6"/>
      <c r="F3675" s="6"/>
      <c r="G3675" s="19"/>
      <c r="H3675" s="19"/>
      <c r="I3675" s="19"/>
      <c r="J3675" s="19"/>
      <c r="K3675" s="6"/>
      <c r="L3675" s="6"/>
      <c r="M3675" s="6"/>
      <c r="N3675" s="6"/>
      <c r="O3675" s="6"/>
      <c r="P3675" s="6"/>
      <c r="Q3675" s="6"/>
      <c r="R3675" s="6"/>
      <c r="S3675" s="6"/>
      <c r="T3675" s="6"/>
    </row>
    <row r="3676" spans="4:20" x14ac:dyDescent="0.2">
      <c r="D3676" s="6"/>
      <c r="E3676" s="6"/>
      <c r="F3676" s="6"/>
      <c r="G3676" s="19"/>
      <c r="H3676" s="19"/>
      <c r="I3676" s="19"/>
      <c r="J3676" s="19"/>
      <c r="K3676" s="6"/>
      <c r="L3676" s="6"/>
      <c r="M3676" s="6"/>
      <c r="N3676" s="6"/>
      <c r="O3676" s="6"/>
      <c r="P3676" s="6"/>
      <c r="Q3676" s="6"/>
      <c r="R3676" s="6"/>
      <c r="S3676" s="6"/>
      <c r="T3676" s="6"/>
    </row>
    <row r="3677" spans="4:20" x14ac:dyDescent="0.2">
      <c r="D3677" s="6"/>
      <c r="E3677" s="6"/>
      <c r="F3677" s="6"/>
      <c r="G3677" s="19"/>
      <c r="H3677" s="19"/>
      <c r="I3677" s="19"/>
      <c r="J3677" s="19"/>
      <c r="K3677" s="6"/>
      <c r="L3677" s="6"/>
      <c r="M3677" s="6"/>
      <c r="N3677" s="6"/>
      <c r="O3677" s="6"/>
      <c r="P3677" s="6"/>
      <c r="Q3677" s="6"/>
      <c r="R3677" s="6"/>
      <c r="S3677" s="6"/>
      <c r="T3677" s="6"/>
    </row>
    <row r="3678" spans="4:20" x14ac:dyDescent="0.2">
      <c r="D3678" s="6"/>
      <c r="E3678" s="6"/>
      <c r="F3678" s="6"/>
      <c r="G3678" s="19"/>
      <c r="H3678" s="19"/>
      <c r="I3678" s="19"/>
      <c r="J3678" s="19"/>
      <c r="K3678" s="6"/>
      <c r="L3678" s="6"/>
      <c r="M3678" s="6"/>
      <c r="N3678" s="6"/>
      <c r="O3678" s="6"/>
      <c r="P3678" s="6"/>
      <c r="Q3678" s="6"/>
      <c r="R3678" s="6"/>
      <c r="S3678" s="6"/>
      <c r="T3678" s="6"/>
    </row>
    <row r="3679" spans="4:20" x14ac:dyDescent="0.2">
      <c r="D3679" s="6"/>
      <c r="E3679" s="6"/>
      <c r="F3679" s="6"/>
      <c r="G3679" s="19"/>
      <c r="H3679" s="19"/>
      <c r="I3679" s="19"/>
      <c r="J3679" s="19"/>
      <c r="K3679" s="6"/>
      <c r="L3679" s="6"/>
      <c r="M3679" s="6"/>
      <c r="N3679" s="6"/>
      <c r="O3679" s="6"/>
      <c r="P3679" s="6"/>
      <c r="Q3679" s="6"/>
      <c r="R3679" s="6"/>
      <c r="S3679" s="6"/>
      <c r="T3679" s="6"/>
    </row>
    <row r="3680" spans="4:20" x14ac:dyDescent="0.2">
      <c r="D3680" s="6"/>
      <c r="E3680" s="6"/>
      <c r="F3680" s="6"/>
      <c r="G3680" s="19"/>
      <c r="H3680" s="19"/>
      <c r="I3680" s="19"/>
      <c r="J3680" s="19"/>
      <c r="K3680" s="6"/>
      <c r="L3680" s="6"/>
      <c r="M3680" s="6"/>
      <c r="N3680" s="6"/>
      <c r="O3680" s="6"/>
      <c r="P3680" s="6"/>
      <c r="Q3680" s="6"/>
      <c r="R3680" s="6"/>
      <c r="S3680" s="6"/>
      <c r="T3680" s="6"/>
    </row>
    <row r="3681" spans="4:20" x14ac:dyDescent="0.2">
      <c r="D3681" s="6"/>
      <c r="E3681" s="6"/>
      <c r="F3681" s="6"/>
      <c r="G3681" s="19"/>
      <c r="H3681" s="19"/>
      <c r="I3681" s="19"/>
      <c r="J3681" s="19"/>
      <c r="K3681" s="6"/>
      <c r="L3681" s="6"/>
      <c r="M3681" s="6"/>
      <c r="N3681" s="6"/>
      <c r="O3681" s="6"/>
      <c r="P3681" s="6"/>
      <c r="Q3681" s="6"/>
      <c r="R3681" s="6"/>
      <c r="S3681" s="6"/>
      <c r="T3681" s="6"/>
    </row>
    <row r="3682" spans="4:20" x14ac:dyDescent="0.2">
      <c r="D3682" s="6"/>
      <c r="E3682" s="6"/>
      <c r="F3682" s="6"/>
      <c r="G3682" s="19"/>
      <c r="H3682" s="19"/>
      <c r="I3682" s="19"/>
      <c r="J3682" s="19"/>
      <c r="K3682" s="6"/>
      <c r="L3682" s="6"/>
      <c r="M3682" s="6"/>
      <c r="N3682" s="6"/>
      <c r="O3682" s="6"/>
      <c r="P3682" s="6"/>
      <c r="Q3682" s="6"/>
      <c r="R3682" s="6"/>
      <c r="S3682" s="6"/>
      <c r="T3682" s="6"/>
    </row>
    <row r="3683" spans="4:20" x14ac:dyDescent="0.2">
      <c r="D3683" s="6"/>
      <c r="E3683" s="6"/>
      <c r="F3683" s="6"/>
      <c r="G3683" s="19"/>
      <c r="H3683" s="19"/>
      <c r="I3683" s="19"/>
      <c r="J3683" s="19"/>
      <c r="K3683" s="6"/>
      <c r="L3683" s="6"/>
      <c r="M3683" s="6"/>
      <c r="N3683" s="6"/>
      <c r="O3683" s="6"/>
      <c r="P3683" s="6"/>
      <c r="Q3683" s="6"/>
      <c r="R3683" s="6"/>
      <c r="S3683" s="6"/>
      <c r="T3683" s="6"/>
    </row>
    <row r="3684" spans="4:20" x14ac:dyDescent="0.2">
      <c r="D3684" s="6"/>
      <c r="E3684" s="6"/>
      <c r="F3684" s="6"/>
      <c r="G3684" s="19"/>
      <c r="H3684" s="19"/>
      <c r="I3684" s="19"/>
      <c r="J3684" s="19"/>
      <c r="K3684" s="6"/>
      <c r="L3684" s="6"/>
      <c r="M3684" s="6"/>
      <c r="N3684" s="6"/>
      <c r="O3684" s="6"/>
      <c r="P3684" s="6"/>
      <c r="Q3684" s="6"/>
      <c r="R3684" s="6"/>
      <c r="S3684" s="6"/>
      <c r="T3684" s="6"/>
    </row>
    <row r="3685" spans="4:20" x14ac:dyDescent="0.2">
      <c r="D3685" s="6"/>
      <c r="E3685" s="6"/>
      <c r="F3685" s="6"/>
      <c r="G3685" s="19"/>
      <c r="H3685" s="19"/>
      <c r="I3685" s="19"/>
      <c r="J3685" s="19"/>
      <c r="K3685" s="6"/>
      <c r="L3685" s="6"/>
      <c r="M3685" s="6"/>
      <c r="N3685" s="6"/>
      <c r="O3685" s="6"/>
      <c r="P3685" s="6"/>
      <c r="Q3685" s="6"/>
      <c r="R3685" s="6"/>
      <c r="S3685" s="6"/>
      <c r="T3685" s="6"/>
    </row>
    <row r="3686" spans="4:20" x14ac:dyDescent="0.2">
      <c r="D3686" s="6"/>
      <c r="E3686" s="6"/>
      <c r="F3686" s="6"/>
      <c r="G3686" s="19"/>
      <c r="H3686" s="19"/>
      <c r="I3686" s="19"/>
      <c r="J3686" s="19"/>
      <c r="K3686" s="6"/>
      <c r="L3686" s="6"/>
      <c r="M3686" s="6"/>
      <c r="N3686" s="6"/>
      <c r="O3686" s="6"/>
      <c r="P3686" s="6"/>
      <c r="Q3686" s="6"/>
      <c r="R3686" s="6"/>
      <c r="S3686" s="6"/>
      <c r="T3686" s="6"/>
    </row>
    <row r="3687" spans="4:20" x14ac:dyDescent="0.2">
      <c r="D3687" s="6"/>
      <c r="E3687" s="6"/>
      <c r="F3687" s="6"/>
      <c r="G3687" s="19"/>
      <c r="H3687" s="19"/>
      <c r="I3687" s="19"/>
      <c r="J3687" s="19"/>
      <c r="K3687" s="6"/>
      <c r="L3687" s="6"/>
      <c r="M3687" s="6"/>
      <c r="N3687" s="6"/>
      <c r="O3687" s="6"/>
      <c r="P3687" s="6"/>
      <c r="Q3687" s="6"/>
      <c r="R3687" s="6"/>
      <c r="S3687" s="6"/>
      <c r="T3687" s="6"/>
    </row>
    <row r="3688" spans="4:20" x14ac:dyDescent="0.2">
      <c r="D3688" s="6"/>
      <c r="E3688" s="6"/>
      <c r="F3688" s="6"/>
      <c r="G3688" s="19"/>
      <c r="H3688" s="19"/>
      <c r="I3688" s="19"/>
      <c r="J3688" s="19"/>
      <c r="K3688" s="6"/>
      <c r="L3688" s="6"/>
      <c r="M3688" s="6"/>
      <c r="N3688" s="6"/>
      <c r="O3688" s="6"/>
      <c r="P3688" s="6"/>
      <c r="Q3688" s="6"/>
      <c r="R3688" s="6"/>
      <c r="S3688" s="6"/>
      <c r="T3688" s="6"/>
    </row>
    <row r="3689" spans="4:20" x14ac:dyDescent="0.2">
      <c r="D3689" s="6"/>
      <c r="E3689" s="6"/>
      <c r="F3689" s="6"/>
      <c r="G3689" s="19"/>
      <c r="H3689" s="19"/>
      <c r="I3689" s="19"/>
      <c r="J3689" s="19"/>
      <c r="K3689" s="6"/>
      <c r="L3689" s="6"/>
      <c r="M3689" s="6"/>
      <c r="N3689" s="6"/>
      <c r="O3689" s="6"/>
      <c r="P3689" s="6"/>
      <c r="Q3689" s="6"/>
      <c r="R3689" s="6"/>
      <c r="S3689" s="6"/>
      <c r="T3689" s="6"/>
    </row>
    <row r="3690" spans="4:20" x14ac:dyDescent="0.2">
      <c r="D3690" s="6"/>
      <c r="E3690" s="6"/>
      <c r="F3690" s="6"/>
      <c r="G3690" s="19"/>
      <c r="H3690" s="19"/>
      <c r="I3690" s="19"/>
      <c r="J3690" s="19"/>
      <c r="K3690" s="6"/>
      <c r="L3690" s="6"/>
      <c r="M3690" s="6"/>
      <c r="N3690" s="6"/>
      <c r="O3690" s="6"/>
      <c r="P3690" s="6"/>
      <c r="Q3690" s="6"/>
      <c r="R3690" s="6"/>
      <c r="S3690" s="6"/>
      <c r="T3690" s="6"/>
    </row>
    <row r="3691" spans="4:20" x14ac:dyDescent="0.2">
      <c r="D3691" s="6"/>
      <c r="E3691" s="6"/>
      <c r="F3691" s="6"/>
      <c r="G3691" s="19"/>
      <c r="H3691" s="19"/>
      <c r="I3691" s="19"/>
      <c r="J3691" s="19"/>
      <c r="K3691" s="6"/>
      <c r="L3691" s="6"/>
      <c r="M3691" s="6"/>
      <c r="N3691" s="6"/>
      <c r="O3691" s="6"/>
      <c r="P3691" s="6"/>
      <c r="Q3691" s="6"/>
      <c r="R3691" s="6"/>
      <c r="S3691" s="6"/>
      <c r="T3691" s="6"/>
    </row>
    <row r="3692" spans="4:20" x14ac:dyDescent="0.2">
      <c r="D3692" s="6"/>
      <c r="E3692" s="6"/>
      <c r="F3692" s="6"/>
      <c r="G3692" s="19"/>
      <c r="H3692" s="19"/>
      <c r="I3692" s="19"/>
      <c r="J3692" s="19"/>
      <c r="K3692" s="6"/>
      <c r="L3692" s="6"/>
      <c r="M3692" s="6"/>
      <c r="N3692" s="6"/>
      <c r="O3692" s="6"/>
      <c r="P3692" s="6"/>
      <c r="Q3692" s="6"/>
      <c r="R3692" s="6"/>
      <c r="S3692" s="6"/>
      <c r="T3692" s="6"/>
    </row>
    <row r="3693" spans="4:20" x14ac:dyDescent="0.2">
      <c r="D3693" s="6"/>
      <c r="E3693" s="6"/>
      <c r="F3693" s="6"/>
      <c r="G3693" s="19"/>
      <c r="H3693" s="19"/>
      <c r="I3693" s="19"/>
      <c r="J3693" s="19"/>
      <c r="K3693" s="6"/>
      <c r="L3693" s="6"/>
      <c r="M3693" s="6"/>
      <c r="N3693" s="6"/>
      <c r="O3693" s="6"/>
      <c r="P3693" s="6"/>
      <c r="Q3693" s="6"/>
      <c r="R3693" s="6"/>
      <c r="S3693" s="6"/>
      <c r="T3693" s="6"/>
    </row>
    <row r="3694" spans="4:20" x14ac:dyDescent="0.2">
      <c r="D3694" s="6"/>
      <c r="E3694" s="6"/>
      <c r="F3694" s="6"/>
      <c r="G3694" s="19"/>
      <c r="H3694" s="19"/>
      <c r="I3694" s="19"/>
      <c r="J3694" s="19"/>
      <c r="K3694" s="6"/>
      <c r="L3694" s="6"/>
      <c r="M3694" s="6"/>
      <c r="N3694" s="6"/>
      <c r="O3694" s="6"/>
      <c r="P3694" s="6"/>
      <c r="Q3694" s="6"/>
      <c r="R3694" s="6"/>
      <c r="S3694" s="6"/>
      <c r="T3694" s="6"/>
    </row>
    <row r="3695" spans="4:20" x14ac:dyDescent="0.2">
      <c r="D3695" s="6"/>
      <c r="E3695" s="6"/>
      <c r="F3695" s="6"/>
      <c r="G3695" s="19"/>
      <c r="H3695" s="19"/>
      <c r="I3695" s="19"/>
      <c r="J3695" s="19"/>
      <c r="K3695" s="6"/>
      <c r="L3695" s="6"/>
      <c r="M3695" s="6"/>
      <c r="N3695" s="6"/>
      <c r="O3695" s="6"/>
      <c r="P3695" s="6"/>
      <c r="Q3695" s="6"/>
      <c r="R3695" s="6"/>
      <c r="S3695" s="6"/>
      <c r="T3695" s="6"/>
    </row>
    <row r="3696" spans="4:20" x14ac:dyDescent="0.2">
      <c r="D3696" s="6"/>
      <c r="E3696" s="6"/>
      <c r="F3696" s="6"/>
      <c r="G3696" s="19"/>
      <c r="H3696" s="19"/>
      <c r="I3696" s="19"/>
      <c r="J3696" s="19"/>
      <c r="K3696" s="6"/>
      <c r="L3696" s="6"/>
      <c r="M3696" s="6"/>
      <c r="N3696" s="6"/>
      <c r="O3696" s="6"/>
      <c r="P3696" s="6"/>
      <c r="Q3696" s="6"/>
      <c r="R3696" s="6"/>
      <c r="S3696" s="6"/>
      <c r="T3696" s="6"/>
    </row>
    <row r="3697" spans="4:20" x14ac:dyDescent="0.2">
      <c r="D3697" s="6"/>
      <c r="E3697" s="6"/>
      <c r="F3697" s="6"/>
      <c r="G3697" s="19"/>
      <c r="H3697" s="19"/>
      <c r="I3697" s="19"/>
      <c r="J3697" s="19"/>
      <c r="K3697" s="6"/>
      <c r="L3697" s="6"/>
      <c r="M3697" s="6"/>
      <c r="N3697" s="6"/>
      <c r="O3697" s="6"/>
      <c r="P3697" s="6"/>
      <c r="Q3697" s="6"/>
      <c r="R3697" s="6"/>
      <c r="S3697" s="6"/>
      <c r="T3697" s="6"/>
    </row>
    <row r="3698" spans="4:20" x14ac:dyDescent="0.2">
      <c r="D3698" s="6"/>
      <c r="E3698" s="6"/>
      <c r="F3698" s="6"/>
      <c r="G3698" s="19"/>
      <c r="H3698" s="19"/>
      <c r="I3698" s="19"/>
      <c r="J3698" s="19"/>
      <c r="K3698" s="6"/>
      <c r="L3698" s="6"/>
      <c r="M3698" s="6"/>
      <c r="N3698" s="6"/>
      <c r="O3698" s="6"/>
      <c r="P3698" s="6"/>
      <c r="Q3698" s="6"/>
      <c r="R3698" s="6"/>
      <c r="S3698" s="6"/>
      <c r="T3698" s="6"/>
    </row>
    <row r="3699" spans="4:20" x14ac:dyDescent="0.2">
      <c r="D3699" s="6"/>
      <c r="E3699" s="6"/>
      <c r="F3699" s="6"/>
      <c r="G3699" s="19"/>
      <c r="H3699" s="19"/>
      <c r="I3699" s="19"/>
      <c r="J3699" s="19"/>
      <c r="K3699" s="6"/>
      <c r="L3699" s="6"/>
      <c r="M3699" s="6"/>
      <c r="N3699" s="6"/>
      <c r="O3699" s="6"/>
      <c r="P3699" s="6"/>
      <c r="Q3699" s="6"/>
      <c r="R3699" s="6"/>
      <c r="S3699" s="6"/>
      <c r="T3699" s="6"/>
    </row>
    <row r="3700" spans="4:20" x14ac:dyDescent="0.2">
      <c r="D3700" s="6"/>
      <c r="E3700" s="6"/>
      <c r="F3700" s="6"/>
      <c r="G3700" s="19"/>
      <c r="H3700" s="19"/>
      <c r="I3700" s="19"/>
      <c r="J3700" s="19"/>
      <c r="K3700" s="6"/>
      <c r="L3700" s="6"/>
      <c r="M3700" s="6"/>
      <c r="N3700" s="6"/>
      <c r="O3700" s="6"/>
      <c r="P3700" s="6"/>
      <c r="Q3700" s="6"/>
      <c r="R3700" s="6"/>
      <c r="S3700" s="6"/>
      <c r="T3700" s="6"/>
    </row>
    <row r="3701" spans="4:20" x14ac:dyDescent="0.2">
      <c r="D3701" s="6"/>
      <c r="E3701" s="6"/>
      <c r="F3701" s="6"/>
      <c r="G3701" s="19"/>
      <c r="H3701" s="19"/>
      <c r="I3701" s="19"/>
      <c r="J3701" s="19"/>
      <c r="K3701" s="6"/>
      <c r="L3701" s="6"/>
      <c r="M3701" s="6"/>
      <c r="N3701" s="6"/>
      <c r="O3701" s="6"/>
      <c r="P3701" s="6"/>
      <c r="Q3701" s="6"/>
      <c r="R3701" s="6"/>
      <c r="S3701" s="6"/>
      <c r="T3701" s="6"/>
    </row>
    <row r="3702" spans="4:20" x14ac:dyDescent="0.2">
      <c r="D3702" s="6"/>
      <c r="E3702" s="6"/>
      <c r="F3702" s="6"/>
      <c r="G3702" s="19"/>
      <c r="H3702" s="19"/>
      <c r="I3702" s="19"/>
      <c r="J3702" s="19"/>
      <c r="K3702" s="6"/>
      <c r="L3702" s="6"/>
      <c r="M3702" s="6"/>
      <c r="N3702" s="6"/>
      <c r="O3702" s="6"/>
      <c r="P3702" s="6"/>
      <c r="Q3702" s="6"/>
      <c r="R3702" s="6"/>
      <c r="S3702" s="6"/>
      <c r="T3702" s="6"/>
    </row>
    <row r="3703" spans="4:20" x14ac:dyDescent="0.2">
      <c r="D3703" s="6"/>
      <c r="E3703" s="6"/>
      <c r="F3703" s="6"/>
      <c r="G3703" s="19"/>
      <c r="H3703" s="19"/>
      <c r="I3703" s="19"/>
      <c r="J3703" s="19"/>
      <c r="K3703" s="6"/>
      <c r="L3703" s="6"/>
      <c r="M3703" s="6"/>
      <c r="N3703" s="6"/>
      <c r="O3703" s="6"/>
      <c r="P3703" s="6"/>
      <c r="Q3703" s="6"/>
      <c r="R3703" s="6"/>
      <c r="S3703" s="6"/>
      <c r="T3703" s="6"/>
    </row>
    <row r="3704" spans="4:20" x14ac:dyDescent="0.2">
      <c r="D3704" s="6"/>
      <c r="E3704" s="6"/>
      <c r="F3704" s="6"/>
      <c r="G3704" s="19"/>
      <c r="H3704" s="19"/>
      <c r="I3704" s="19"/>
      <c r="J3704" s="19"/>
      <c r="K3704" s="6"/>
      <c r="L3704" s="6"/>
      <c r="M3704" s="6"/>
      <c r="N3704" s="6"/>
      <c r="O3704" s="6"/>
      <c r="P3704" s="6"/>
      <c r="Q3704" s="6"/>
      <c r="R3704" s="6"/>
      <c r="S3704" s="6"/>
      <c r="T3704" s="6"/>
    </row>
    <row r="3705" spans="4:20" x14ac:dyDescent="0.2">
      <c r="D3705" s="6"/>
      <c r="E3705" s="6"/>
      <c r="F3705" s="6"/>
      <c r="G3705" s="19"/>
      <c r="H3705" s="19"/>
      <c r="I3705" s="19"/>
      <c r="J3705" s="19"/>
      <c r="K3705" s="6"/>
      <c r="L3705" s="6"/>
      <c r="M3705" s="6"/>
      <c r="N3705" s="6"/>
      <c r="O3705" s="6"/>
      <c r="P3705" s="6"/>
      <c r="Q3705" s="6"/>
      <c r="R3705" s="6"/>
      <c r="S3705" s="6"/>
      <c r="T3705" s="6"/>
    </row>
    <row r="3706" spans="4:20" x14ac:dyDescent="0.2">
      <c r="D3706" s="6"/>
      <c r="E3706" s="6"/>
      <c r="F3706" s="6"/>
      <c r="G3706" s="19"/>
      <c r="H3706" s="19"/>
      <c r="I3706" s="19"/>
      <c r="J3706" s="19"/>
      <c r="K3706" s="6"/>
      <c r="L3706" s="6"/>
      <c r="M3706" s="6"/>
      <c r="N3706" s="6"/>
      <c r="O3706" s="6"/>
      <c r="P3706" s="6"/>
      <c r="Q3706" s="6"/>
      <c r="R3706" s="6"/>
      <c r="S3706" s="6"/>
      <c r="T3706" s="6"/>
    </row>
    <row r="3707" spans="4:20" x14ac:dyDescent="0.2">
      <c r="D3707" s="6"/>
      <c r="E3707" s="6"/>
      <c r="F3707" s="6"/>
      <c r="G3707" s="19"/>
      <c r="H3707" s="19"/>
      <c r="I3707" s="19"/>
      <c r="J3707" s="19"/>
      <c r="K3707" s="6"/>
      <c r="L3707" s="6"/>
      <c r="M3707" s="6"/>
      <c r="N3707" s="6"/>
      <c r="O3707" s="6"/>
      <c r="P3707" s="6"/>
      <c r="Q3707" s="6"/>
      <c r="R3707" s="6"/>
      <c r="S3707" s="6"/>
      <c r="T3707" s="6"/>
    </row>
    <row r="3708" spans="4:20" x14ac:dyDescent="0.2">
      <c r="D3708" s="6"/>
      <c r="E3708" s="6"/>
      <c r="F3708" s="6"/>
      <c r="G3708" s="19"/>
      <c r="H3708" s="19"/>
      <c r="I3708" s="19"/>
      <c r="J3708" s="19"/>
      <c r="K3708" s="6"/>
      <c r="L3708" s="6"/>
      <c r="M3708" s="6"/>
      <c r="N3708" s="6"/>
      <c r="O3708" s="6"/>
      <c r="P3708" s="6"/>
      <c r="Q3708" s="6"/>
      <c r="R3708" s="6"/>
      <c r="S3708" s="6"/>
      <c r="T3708" s="6"/>
    </row>
    <row r="3709" spans="4:20" x14ac:dyDescent="0.2">
      <c r="D3709" s="6"/>
      <c r="E3709" s="6"/>
      <c r="F3709" s="6"/>
      <c r="G3709" s="19"/>
      <c r="H3709" s="19"/>
      <c r="I3709" s="19"/>
      <c r="J3709" s="19"/>
      <c r="K3709" s="6"/>
      <c r="L3709" s="6"/>
      <c r="M3709" s="6"/>
      <c r="N3709" s="6"/>
      <c r="O3709" s="6"/>
      <c r="P3709" s="6"/>
      <c r="Q3709" s="6"/>
      <c r="R3709" s="6"/>
      <c r="S3709" s="6"/>
      <c r="T3709" s="6"/>
    </row>
    <row r="3710" spans="4:20" x14ac:dyDescent="0.2">
      <c r="D3710" s="6"/>
      <c r="E3710" s="6"/>
      <c r="F3710" s="6"/>
      <c r="G3710" s="19"/>
      <c r="H3710" s="19"/>
      <c r="I3710" s="19"/>
      <c r="J3710" s="19"/>
      <c r="K3710" s="6"/>
      <c r="L3710" s="6"/>
      <c r="M3710" s="6"/>
      <c r="N3710" s="6"/>
      <c r="O3710" s="6"/>
      <c r="P3710" s="6"/>
      <c r="Q3710" s="6"/>
      <c r="R3710" s="6"/>
      <c r="S3710" s="6"/>
      <c r="T3710" s="6"/>
    </row>
    <row r="3711" spans="4:20" x14ac:dyDescent="0.2">
      <c r="D3711" s="6"/>
      <c r="E3711" s="6"/>
      <c r="F3711" s="6"/>
      <c r="G3711" s="19"/>
      <c r="H3711" s="19"/>
      <c r="I3711" s="19"/>
      <c r="J3711" s="19"/>
      <c r="K3711" s="6"/>
      <c r="L3711" s="6"/>
      <c r="M3711" s="6"/>
      <c r="N3711" s="6"/>
      <c r="O3711" s="6"/>
      <c r="P3711" s="6"/>
      <c r="Q3711" s="6"/>
      <c r="R3711" s="6"/>
      <c r="S3711" s="6"/>
      <c r="T3711" s="6"/>
    </row>
    <row r="3712" spans="4:20" x14ac:dyDescent="0.2">
      <c r="D3712" s="6"/>
      <c r="E3712" s="6"/>
      <c r="F3712" s="6"/>
      <c r="G3712" s="19"/>
      <c r="H3712" s="19"/>
      <c r="I3712" s="19"/>
      <c r="J3712" s="19"/>
      <c r="K3712" s="6"/>
      <c r="L3712" s="6"/>
      <c r="M3712" s="6"/>
      <c r="N3712" s="6"/>
      <c r="O3712" s="6"/>
      <c r="P3712" s="6"/>
      <c r="Q3712" s="6"/>
      <c r="R3712" s="6"/>
      <c r="S3712" s="6"/>
      <c r="T3712" s="6"/>
    </row>
    <row r="3713" spans="4:20" x14ac:dyDescent="0.2">
      <c r="D3713" s="6"/>
      <c r="E3713" s="6"/>
      <c r="F3713" s="6"/>
      <c r="G3713" s="19"/>
      <c r="H3713" s="19"/>
      <c r="I3713" s="19"/>
      <c r="J3713" s="19"/>
      <c r="K3713" s="6"/>
      <c r="L3713" s="6"/>
      <c r="M3713" s="6"/>
      <c r="N3713" s="6"/>
      <c r="O3713" s="6"/>
      <c r="P3713" s="6"/>
      <c r="Q3713" s="6"/>
      <c r="R3713" s="6"/>
      <c r="S3713" s="6"/>
      <c r="T3713" s="6"/>
    </row>
    <row r="3714" spans="4:20" x14ac:dyDescent="0.2">
      <c r="D3714" s="6"/>
      <c r="E3714" s="6"/>
      <c r="F3714" s="6"/>
      <c r="G3714" s="19"/>
      <c r="H3714" s="19"/>
      <c r="I3714" s="19"/>
      <c r="J3714" s="19"/>
      <c r="K3714" s="6"/>
      <c r="L3714" s="6"/>
      <c r="M3714" s="6"/>
      <c r="N3714" s="6"/>
      <c r="O3714" s="6"/>
      <c r="P3714" s="6"/>
      <c r="Q3714" s="6"/>
      <c r="R3714" s="6"/>
      <c r="S3714" s="6"/>
      <c r="T3714" s="6"/>
    </row>
    <row r="3715" spans="4:20" x14ac:dyDescent="0.2">
      <c r="D3715" s="6"/>
      <c r="E3715" s="6"/>
      <c r="F3715" s="6"/>
      <c r="G3715" s="19"/>
      <c r="H3715" s="19"/>
      <c r="I3715" s="19"/>
      <c r="J3715" s="19"/>
      <c r="K3715" s="6"/>
      <c r="L3715" s="6"/>
      <c r="M3715" s="6"/>
      <c r="N3715" s="6"/>
      <c r="O3715" s="6"/>
      <c r="P3715" s="6"/>
      <c r="Q3715" s="6"/>
      <c r="R3715" s="6"/>
      <c r="S3715" s="6"/>
      <c r="T3715" s="6"/>
    </row>
    <row r="3716" spans="4:20" x14ac:dyDescent="0.2">
      <c r="D3716" s="6"/>
      <c r="E3716" s="6"/>
      <c r="F3716" s="6"/>
      <c r="G3716" s="19"/>
      <c r="H3716" s="19"/>
      <c r="I3716" s="19"/>
      <c r="J3716" s="19"/>
      <c r="K3716" s="6"/>
      <c r="L3716" s="6"/>
      <c r="M3716" s="6"/>
      <c r="N3716" s="6"/>
      <c r="O3716" s="6"/>
      <c r="P3716" s="6"/>
      <c r="Q3716" s="6"/>
      <c r="R3716" s="6"/>
      <c r="S3716" s="6"/>
      <c r="T3716" s="6"/>
    </row>
    <row r="3717" spans="4:20" x14ac:dyDescent="0.2">
      <c r="D3717" s="6"/>
      <c r="E3717" s="6"/>
      <c r="F3717" s="6"/>
      <c r="G3717" s="19"/>
      <c r="H3717" s="19"/>
      <c r="I3717" s="19"/>
      <c r="J3717" s="19"/>
      <c r="K3717" s="6"/>
      <c r="L3717" s="6"/>
      <c r="M3717" s="6"/>
      <c r="N3717" s="6"/>
      <c r="O3717" s="6"/>
      <c r="P3717" s="6"/>
      <c r="Q3717" s="6"/>
      <c r="R3717" s="6"/>
      <c r="S3717" s="6"/>
      <c r="T3717" s="6"/>
    </row>
    <row r="3718" spans="4:20" x14ac:dyDescent="0.2">
      <c r="D3718" s="6"/>
      <c r="E3718" s="6"/>
      <c r="F3718" s="6"/>
      <c r="G3718" s="19"/>
      <c r="H3718" s="19"/>
      <c r="I3718" s="19"/>
      <c r="J3718" s="19"/>
      <c r="K3718" s="6"/>
      <c r="L3718" s="6"/>
      <c r="M3718" s="6"/>
      <c r="N3718" s="6"/>
      <c r="O3718" s="6"/>
      <c r="P3718" s="6"/>
      <c r="Q3718" s="6"/>
      <c r="R3718" s="6"/>
      <c r="S3718" s="6"/>
      <c r="T3718" s="6"/>
    </row>
    <row r="3719" spans="4:20" x14ac:dyDescent="0.2">
      <c r="D3719" s="6"/>
      <c r="E3719" s="6"/>
      <c r="F3719" s="6"/>
      <c r="G3719" s="19"/>
      <c r="H3719" s="19"/>
      <c r="I3719" s="19"/>
      <c r="J3719" s="19"/>
      <c r="K3719" s="6"/>
      <c r="L3719" s="6"/>
      <c r="M3719" s="6"/>
      <c r="N3719" s="6"/>
      <c r="O3719" s="6"/>
      <c r="P3719" s="6"/>
      <c r="Q3719" s="6"/>
      <c r="R3719" s="6"/>
      <c r="S3719" s="6"/>
      <c r="T3719" s="6"/>
    </row>
    <row r="3720" spans="4:20" x14ac:dyDescent="0.2">
      <c r="D3720" s="6"/>
      <c r="E3720" s="6"/>
      <c r="F3720" s="6"/>
      <c r="G3720" s="19"/>
      <c r="H3720" s="19"/>
      <c r="I3720" s="19"/>
      <c r="J3720" s="19"/>
      <c r="K3720" s="6"/>
      <c r="L3720" s="6"/>
      <c r="M3720" s="6"/>
      <c r="N3720" s="6"/>
      <c r="O3720" s="6"/>
      <c r="P3720" s="6"/>
      <c r="Q3720" s="6"/>
      <c r="R3720" s="6"/>
      <c r="S3720" s="6"/>
      <c r="T3720" s="6"/>
    </row>
    <row r="3721" spans="4:20" x14ac:dyDescent="0.2">
      <c r="D3721" s="6"/>
      <c r="E3721" s="6"/>
      <c r="F3721" s="6"/>
      <c r="G3721" s="19"/>
      <c r="H3721" s="19"/>
      <c r="I3721" s="19"/>
      <c r="J3721" s="19"/>
      <c r="K3721" s="6"/>
      <c r="L3721" s="6"/>
      <c r="M3721" s="6"/>
      <c r="N3721" s="6"/>
      <c r="O3721" s="6"/>
      <c r="P3721" s="6"/>
      <c r="Q3721" s="6"/>
      <c r="R3721" s="6"/>
      <c r="S3721" s="6"/>
      <c r="T3721" s="6"/>
    </row>
    <row r="3722" spans="4:20" x14ac:dyDescent="0.2">
      <c r="D3722" s="6"/>
      <c r="E3722" s="6"/>
      <c r="F3722" s="6"/>
      <c r="G3722" s="19"/>
      <c r="H3722" s="19"/>
      <c r="I3722" s="19"/>
      <c r="J3722" s="19"/>
      <c r="K3722" s="6"/>
      <c r="L3722" s="6"/>
      <c r="M3722" s="6"/>
      <c r="N3722" s="6"/>
      <c r="O3722" s="6"/>
      <c r="P3722" s="6"/>
      <c r="Q3722" s="6"/>
      <c r="R3722" s="6"/>
      <c r="S3722" s="6"/>
      <c r="T3722" s="6"/>
    </row>
    <row r="3723" spans="4:20" x14ac:dyDescent="0.2">
      <c r="D3723" s="6"/>
      <c r="E3723" s="6"/>
      <c r="F3723" s="6"/>
      <c r="G3723" s="19"/>
      <c r="H3723" s="19"/>
      <c r="I3723" s="19"/>
      <c r="J3723" s="19"/>
      <c r="K3723" s="6"/>
      <c r="L3723" s="6"/>
      <c r="M3723" s="6"/>
      <c r="N3723" s="6"/>
      <c r="O3723" s="6"/>
      <c r="P3723" s="6"/>
      <c r="Q3723" s="6"/>
      <c r="R3723" s="6"/>
      <c r="S3723" s="6"/>
      <c r="T3723" s="6"/>
    </row>
    <row r="3724" spans="4:20" x14ac:dyDescent="0.2">
      <c r="D3724" s="6"/>
      <c r="E3724" s="6"/>
      <c r="F3724" s="6"/>
      <c r="G3724" s="19"/>
      <c r="H3724" s="19"/>
      <c r="I3724" s="19"/>
      <c r="J3724" s="19"/>
      <c r="K3724" s="6"/>
      <c r="L3724" s="6"/>
      <c r="M3724" s="6"/>
      <c r="N3724" s="6"/>
      <c r="O3724" s="6"/>
      <c r="P3724" s="6"/>
      <c r="Q3724" s="6"/>
      <c r="R3724" s="6"/>
      <c r="S3724" s="6"/>
      <c r="T3724" s="6"/>
    </row>
    <row r="3725" spans="4:20" x14ac:dyDescent="0.2">
      <c r="D3725" s="6"/>
      <c r="E3725" s="6"/>
      <c r="F3725" s="6"/>
      <c r="G3725" s="19"/>
      <c r="H3725" s="19"/>
      <c r="I3725" s="19"/>
      <c r="J3725" s="19"/>
      <c r="K3725" s="6"/>
      <c r="L3725" s="6"/>
      <c r="M3725" s="6"/>
      <c r="N3725" s="6"/>
      <c r="O3725" s="6"/>
      <c r="P3725" s="6"/>
      <c r="Q3725" s="6"/>
      <c r="R3725" s="6"/>
      <c r="S3725" s="6"/>
      <c r="T3725" s="6"/>
    </row>
    <row r="3726" spans="4:20" x14ac:dyDescent="0.2">
      <c r="D3726" s="6"/>
      <c r="E3726" s="6"/>
      <c r="F3726" s="6"/>
      <c r="G3726" s="19"/>
      <c r="H3726" s="19"/>
      <c r="I3726" s="19"/>
      <c r="J3726" s="19"/>
      <c r="K3726" s="6"/>
      <c r="L3726" s="6"/>
      <c r="M3726" s="6"/>
      <c r="N3726" s="6"/>
      <c r="O3726" s="6"/>
      <c r="P3726" s="6"/>
      <c r="Q3726" s="6"/>
      <c r="R3726" s="6"/>
      <c r="S3726" s="6"/>
      <c r="T3726" s="6"/>
    </row>
    <row r="3727" spans="4:20" x14ac:dyDescent="0.2">
      <c r="D3727" s="6"/>
      <c r="E3727" s="6"/>
      <c r="F3727" s="6"/>
      <c r="G3727" s="19"/>
      <c r="H3727" s="19"/>
      <c r="I3727" s="19"/>
      <c r="J3727" s="19"/>
      <c r="K3727" s="6"/>
      <c r="L3727" s="6"/>
      <c r="M3727" s="6"/>
      <c r="N3727" s="6"/>
      <c r="O3727" s="6"/>
      <c r="P3727" s="6"/>
      <c r="Q3727" s="6"/>
      <c r="R3727" s="6"/>
      <c r="S3727" s="6"/>
      <c r="T3727" s="6"/>
    </row>
    <row r="3728" spans="4:20" x14ac:dyDescent="0.2">
      <c r="D3728" s="6"/>
      <c r="E3728" s="6"/>
      <c r="F3728" s="6"/>
      <c r="G3728" s="19"/>
      <c r="H3728" s="19"/>
      <c r="I3728" s="19"/>
      <c r="J3728" s="19"/>
      <c r="K3728" s="6"/>
      <c r="L3728" s="6"/>
      <c r="M3728" s="6"/>
      <c r="N3728" s="6"/>
      <c r="O3728" s="6"/>
      <c r="P3728" s="6"/>
      <c r="Q3728" s="6"/>
      <c r="R3728" s="6"/>
      <c r="S3728" s="6"/>
      <c r="T3728" s="6"/>
    </row>
    <row r="3729" spans="4:20" x14ac:dyDescent="0.2">
      <c r="D3729" s="6"/>
      <c r="E3729" s="6"/>
      <c r="F3729" s="6"/>
      <c r="G3729" s="19"/>
      <c r="H3729" s="19"/>
      <c r="I3729" s="19"/>
      <c r="J3729" s="19"/>
      <c r="K3729" s="6"/>
      <c r="L3729" s="6"/>
      <c r="M3729" s="6"/>
      <c r="N3729" s="6"/>
      <c r="O3729" s="6"/>
      <c r="P3729" s="6"/>
      <c r="Q3729" s="6"/>
      <c r="R3729" s="6"/>
      <c r="S3729" s="6"/>
      <c r="T3729" s="6"/>
    </row>
    <row r="3730" spans="4:20" x14ac:dyDescent="0.2">
      <c r="D3730" s="6"/>
      <c r="E3730" s="6"/>
      <c r="F3730" s="6"/>
      <c r="G3730" s="19"/>
      <c r="H3730" s="19"/>
      <c r="I3730" s="19"/>
      <c r="J3730" s="19"/>
      <c r="K3730" s="6"/>
      <c r="L3730" s="6"/>
      <c r="M3730" s="6"/>
      <c r="N3730" s="6"/>
      <c r="O3730" s="6"/>
      <c r="P3730" s="6"/>
      <c r="Q3730" s="6"/>
      <c r="R3730" s="6"/>
      <c r="S3730" s="6"/>
      <c r="T3730" s="6"/>
    </row>
    <row r="3731" spans="4:20" x14ac:dyDescent="0.2">
      <c r="D3731" s="6"/>
      <c r="E3731" s="6"/>
      <c r="F3731" s="6"/>
      <c r="G3731" s="19"/>
      <c r="H3731" s="19"/>
      <c r="I3731" s="19"/>
      <c r="J3731" s="19"/>
      <c r="K3731" s="6"/>
      <c r="L3731" s="6"/>
      <c r="M3731" s="6"/>
      <c r="N3731" s="6"/>
      <c r="O3731" s="6"/>
      <c r="P3731" s="6"/>
      <c r="Q3731" s="6"/>
      <c r="R3731" s="6"/>
      <c r="S3731" s="6"/>
      <c r="T3731" s="6"/>
    </row>
    <row r="3732" spans="4:20" x14ac:dyDescent="0.2">
      <c r="D3732" s="6"/>
      <c r="E3732" s="6"/>
      <c r="F3732" s="6"/>
      <c r="G3732" s="19"/>
      <c r="H3732" s="19"/>
      <c r="I3732" s="19"/>
      <c r="J3732" s="19"/>
      <c r="K3732" s="6"/>
      <c r="L3732" s="6"/>
      <c r="M3732" s="6"/>
      <c r="N3732" s="6"/>
      <c r="O3732" s="6"/>
      <c r="P3732" s="6"/>
      <c r="Q3732" s="6"/>
      <c r="R3732" s="6"/>
      <c r="S3732" s="6"/>
      <c r="T3732" s="6"/>
    </row>
    <row r="3733" spans="4:20" x14ac:dyDescent="0.2">
      <c r="D3733" s="6"/>
      <c r="E3733" s="6"/>
      <c r="F3733" s="6"/>
      <c r="G3733" s="19"/>
      <c r="H3733" s="19"/>
      <c r="I3733" s="19"/>
      <c r="J3733" s="19"/>
      <c r="K3733" s="6"/>
      <c r="L3733" s="6"/>
      <c r="M3733" s="6"/>
      <c r="N3733" s="6"/>
      <c r="O3733" s="6"/>
      <c r="P3733" s="6"/>
      <c r="Q3733" s="6"/>
      <c r="R3733" s="6"/>
      <c r="S3733" s="6"/>
      <c r="T3733" s="6"/>
    </row>
    <row r="3734" spans="4:20" x14ac:dyDescent="0.2">
      <c r="D3734" s="6"/>
      <c r="E3734" s="6"/>
      <c r="F3734" s="6"/>
      <c r="G3734" s="19"/>
      <c r="H3734" s="19"/>
      <c r="I3734" s="19"/>
      <c r="J3734" s="19"/>
      <c r="K3734" s="6"/>
      <c r="L3734" s="6"/>
      <c r="M3734" s="6"/>
      <c r="N3734" s="6"/>
      <c r="O3734" s="6"/>
      <c r="P3734" s="6"/>
      <c r="Q3734" s="6"/>
      <c r="R3734" s="6"/>
      <c r="S3734" s="6"/>
      <c r="T3734" s="6"/>
    </row>
    <row r="3735" spans="4:20" x14ac:dyDescent="0.2">
      <c r="D3735" s="6"/>
      <c r="E3735" s="6"/>
      <c r="F3735" s="6"/>
      <c r="G3735" s="19"/>
      <c r="H3735" s="19"/>
      <c r="I3735" s="19"/>
      <c r="J3735" s="19"/>
      <c r="K3735" s="6"/>
      <c r="L3735" s="6"/>
      <c r="M3735" s="6"/>
      <c r="N3735" s="6"/>
      <c r="O3735" s="6"/>
      <c r="P3735" s="6"/>
      <c r="Q3735" s="6"/>
      <c r="R3735" s="6"/>
      <c r="S3735" s="6"/>
      <c r="T3735" s="6"/>
    </row>
    <row r="3736" spans="4:20" x14ac:dyDescent="0.2">
      <c r="D3736" s="6"/>
      <c r="E3736" s="6"/>
      <c r="F3736" s="6"/>
      <c r="G3736" s="19"/>
      <c r="H3736" s="19"/>
      <c r="I3736" s="19"/>
      <c r="J3736" s="19"/>
      <c r="K3736" s="6"/>
      <c r="L3736" s="6"/>
      <c r="M3736" s="6"/>
      <c r="N3736" s="6"/>
      <c r="O3736" s="6"/>
      <c r="P3736" s="6"/>
      <c r="Q3736" s="6"/>
      <c r="R3736" s="6"/>
      <c r="S3736" s="6"/>
      <c r="T3736" s="6"/>
    </row>
    <row r="3737" spans="4:20" x14ac:dyDescent="0.2">
      <c r="D3737" s="6"/>
      <c r="E3737" s="6"/>
      <c r="F3737" s="6"/>
      <c r="G3737" s="19"/>
      <c r="H3737" s="19"/>
      <c r="I3737" s="19"/>
      <c r="J3737" s="19"/>
      <c r="K3737" s="6"/>
      <c r="L3737" s="6"/>
      <c r="M3737" s="6"/>
      <c r="N3737" s="6"/>
      <c r="O3737" s="6"/>
      <c r="P3737" s="6"/>
      <c r="Q3737" s="6"/>
      <c r="R3737" s="6"/>
      <c r="S3737" s="6"/>
      <c r="T3737" s="6"/>
    </row>
    <row r="3738" spans="4:20" x14ac:dyDescent="0.2">
      <c r="D3738" s="6"/>
      <c r="E3738" s="6"/>
      <c r="F3738" s="6"/>
      <c r="G3738" s="19"/>
      <c r="H3738" s="19"/>
      <c r="I3738" s="19"/>
      <c r="J3738" s="19"/>
      <c r="K3738" s="6"/>
      <c r="L3738" s="6"/>
      <c r="M3738" s="6"/>
      <c r="N3738" s="6"/>
      <c r="O3738" s="6"/>
      <c r="P3738" s="6"/>
      <c r="Q3738" s="6"/>
      <c r="R3738" s="6"/>
      <c r="S3738" s="6"/>
      <c r="T3738" s="6"/>
    </row>
    <row r="3739" spans="4:20" x14ac:dyDescent="0.2">
      <c r="D3739" s="6"/>
      <c r="E3739" s="6"/>
      <c r="F3739" s="6"/>
      <c r="G3739" s="19"/>
      <c r="H3739" s="19"/>
      <c r="I3739" s="19"/>
      <c r="J3739" s="19"/>
      <c r="K3739" s="6"/>
      <c r="L3739" s="6"/>
      <c r="M3739" s="6"/>
      <c r="N3739" s="6"/>
      <c r="O3739" s="6"/>
      <c r="P3739" s="6"/>
      <c r="Q3739" s="6"/>
      <c r="R3739" s="6"/>
      <c r="S3739" s="6"/>
      <c r="T3739" s="6"/>
    </row>
    <row r="3740" spans="4:20" x14ac:dyDescent="0.2">
      <c r="D3740" s="6"/>
      <c r="E3740" s="6"/>
      <c r="F3740" s="6"/>
      <c r="G3740" s="19"/>
      <c r="H3740" s="19"/>
      <c r="I3740" s="19"/>
      <c r="J3740" s="19"/>
      <c r="K3740" s="6"/>
      <c r="L3740" s="6"/>
      <c r="M3740" s="6"/>
      <c r="N3740" s="6"/>
      <c r="O3740" s="6"/>
      <c r="P3740" s="6"/>
      <c r="Q3740" s="6"/>
      <c r="R3740" s="6"/>
      <c r="S3740" s="6"/>
      <c r="T3740" s="6"/>
    </row>
    <row r="3741" spans="4:20" x14ac:dyDescent="0.2">
      <c r="D3741" s="6"/>
      <c r="E3741" s="6"/>
      <c r="F3741" s="6"/>
      <c r="G3741" s="19"/>
      <c r="H3741" s="19"/>
      <c r="I3741" s="19"/>
      <c r="J3741" s="19"/>
      <c r="K3741" s="6"/>
      <c r="L3741" s="6"/>
      <c r="M3741" s="6"/>
      <c r="N3741" s="6"/>
      <c r="O3741" s="6"/>
      <c r="P3741" s="6"/>
      <c r="Q3741" s="6"/>
      <c r="R3741" s="6"/>
      <c r="S3741" s="6"/>
      <c r="T3741" s="6"/>
    </row>
    <row r="3742" spans="4:20" x14ac:dyDescent="0.2">
      <c r="D3742" s="6"/>
      <c r="E3742" s="6"/>
      <c r="F3742" s="6"/>
      <c r="G3742" s="19"/>
      <c r="H3742" s="19"/>
      <c r="I3742" s="19"/>
      <c r="J3742" s="19"/>
      <c r="K3742" s="6"/>
      <c r="L3742" s="6"/>
      <c r="M3742" s="6"/>
      <c r="N3742" s="6"/>
      <c r="O3742" s="6"/>
      <c r="P3742" s="6"/>
      <c r="Q3742" s="6"/>
      <c r="R3742" s="6"/>
      <c r="S3742" s="6"/>
      <c r="T3742" s="6"/>
    </row>
    <row r="3743" spans="4:20" x14ac:dyDescent="0.2">
      <c r="D3743" s="6"/>
      <c r="E3743" s="6"/>
      <c r="F3743" s="6"/>
      <c r="G3743" s="19"/>
      <c r="H3743" s="19"/>
      <c r="I3743" s="19"/>
      <c r="J3743" s="19"/>
      <c r="K3743" s="6"/>
      <c r="L3743" s="6"/>
      <c r="M3743" s="6"/>
      <c r="N3743" s="6"/>
      <c r="O3743" s="6"/>
      <c r="P3743" s="6"/>
      <c r="Q3743" s="6"/>
      <c r="R3743" s="6"/>
      <c r="S3743" s="6"/>
      <c r="T3743" s="6"/>
    </row>
    <row r="3744" spans="4:20" x14ac:dyDescent="0.2">
      <c r="D3744" s="6"/>
      <c r="E3744" s="6"/>
      <c r="F3744" s="6"/>
      <c r="G3744" s="19"/>
      <c r="H3744" s="19"/>
      <c r="I3744" s="19"/>
      <c r="J3744" s="19"/>
      <c r="K3744" s="6"/>
      <c r="L3744" s="6"/>
      <c r="M3744" s="6"/>
      <c r="N3744" s="6"/>
      <c r="O3744" s="6"/>
      <c r="P3744" s="6"/>
      <c r="Q3744" s="6"/>
      <c r="R3744" s="6"/>
      <c r="S3744" s="6"/>
      <c r="T3744" s="6"/>
    </row>
    <row r="3745" spans="4:20" x14ac:dyDescent="0.2">
      <c r="D3745" s="6"/>
      <c r="E3745" s="6"/>
      <c r="F3745" s="6"/>
      <c r="G3745" s="19"/>
      <c r="H3745" s="19"/>
      <c r="I3745" s="19"/>
      <c r="J3745" s="19"/>
      <c r="K3745" s="6"/>
      <c r="L3745" s="6"/>
      <c r="M3745" s="6"/>
      <c r="N3745" s="6"/>
      <c r="O3745" s="6"/>
      <c r="P3745" s="6"/>
      <c r="Q3745" s="6"/>
      <c r="R3745" s="6"/>
      <c r="S3745" s="6"/>
      <c r="T3745" s="6"/>
    </row>
    <row r="3746" spans="4:20" x14ac:dyDescent="0.2">
      <c r="D3746" s="6"/>
      <c r="E3746" s="6"/>
      <c r="F3746" s="6"/>
      <c r="G3746" s="19"/>
      <c r="H3746" s="19"/>
      <c r="I3746" s="19"/>
      <c r="J3746" s="19"/>
      <c r="K3746" s="6"/>
      <c r="L3746" s="6"/>
      <c r="M3746" s="6"/>
      <c r="N3746" s="6"/>
      <c r="O3746" s="6"/>
      <c r="P3746" s="6"/>
      <c r="Q3746" s="6"/>
      <c r="R3746" s="6"/>
      <c r="S3746" s="6"/>
      <c r="T3746" s="6"/>
    </row>
    <row r="3747" spans="4:20" x14ac:dyDescent="0.2">
      <c r="D3747" s="6"/>
      <c r="E3747" s="6"/>
      <c r="F3747" s="6"/>
      <c r="G3747" s="19"/>
      <c r="H3747" s="19"/>
      <c r="I3747" s="19"/>
      <c r="J3747" s="19"/>
      <c r="K3747" s="6"/>
      <c r="L3747" s="6"/>
      <c r="M3747" s="6"/>
      <c r="N3747" s="6"/>
      <c r="O3747" s="6"/>
      <c r="P3747" s="6"/>
      <c r="Q3747" s="6"/>
      <c r="R3747" s="6"/>
      <c r="S3747" s="6"/>
      <c r="T3747" s="6"/>
    </row>
    <row r="3748" spans="4:20" x14ac:dyDescent="0.2">
      <c r="D3748" s="6"/>
      <c r="E3748" s="6"/>
      <c r="F3748" s="6"/>
      <c r="G3748" s="19"/>
      <c r="H3748" s="19"/>
      <c r="I3748" s="19"/>
      <c r="J3748" s="19"/>
      <c r="K3748" s="6"/>
      <c r="L3748" s="6"/>
      <c r="M3748" s="6"/>
      <c r="N3748" s="6"/>
      <c r="O3748" s="6"/>
      <c r="P3748" s="6"/>
      <c r="Q3748" s="6"/>
      <c r="R3748" s="6"/>
      <c r="S3748" s="6"/>
      <c r="T3748" s="6"/>
    </row>
    <row r="3749" spans="4:20" x14ac:dyDescent="0.2">
      <c r="D3749" s="6"/>
      <c r="E3749" s="6"/>
      <c r="F3749" s="6"/>
      <c r="G3749" s="19"/>
      <c r="H3749" s="19"/>
      <c r="I3749" s="19"/>
      <c r="J3749" s="19"/>
      <c r="K3749" s="6"/>
      <c r="L3749" s="6"/>
      <c r="M3749" s="6"/>
      <c r="N3749" s="6"/>
      <c r="O3749" s="6"/>
      <c r="P3749" s="6"/>
      <c r="Q3749" s="6"/>
      <c r="R3749" s="6"/>
      <c r="S3749" s="6"/>
      <c r="T3749" s="6"/>
    </row>
    <row r="3750" spans="4:20" x14ac:dyDescent="0.2">
      <c r="D3750" s="6"/>
      <c r="E3750" s="6"/>
      <c r="F3750" s="6"/>
      <c r="G3750" s="19"/>
      <c r="H3750" s="19"/>
      <c r="I3750" s="19"/>
      <c r="J3750" s="19"/>
      <c r="K3750" s="6"/>
      <c r="L3750" s="6"/>
      <c r="M3750" s="6"/>
      <c r="N3750" s="6"/>
      <c r="O3750" s="6"/>
      <c r="P3750" s="6"/>
      <c r="Q3750" s="6"/>
      <c r="R3750" s="6"/>
      <c r="S3750" s="6"/>
      <c r="T3750" s="6"/>
    </row>
    <row r="3751" spans="4:20" x14ac:dyDescent="0.2">
      <c r="D3751" s="6"/>
      <c r="E3751" s="6"/>
      <c r="F3751" s="6"/>
      <c r="G3751" s="19"/>
      <c r="H3751" s="19"/>
      <c r="I3751" s="19"/>
      <c r="J3751" s="19"/>
      <c r="K3751" s="6"/>
      <c r="L3751" s="6"/>
      <c r="M3751" s="6"/>
      <c r="N3751" s="6"/>
      <c r="O3751" s="6"/>
      <c r="P3751" s="6"/>
      <c r="Q3751" s="6"/>
      <c r="R3751" s="6"/>
      <c r="S3751" s="6"/>
      <c r="T3751" s="6"/>
    </row>
    <row r="3752" spans="4:20" x14ac:dyDescent="0.2">
      <c r="D3752" s="6"/>
      <c r="E3752" s="6"/>
      <c r="F3752" s="6"/>
      <c r="G3752" s="19"/>
      <c r="H3752" s="19"/>
      <c r="I3752" s="19"/>
      <c r="J3752" s="19"/>
      <c r="K3752" s="6"/>
      <c r="L3752" s="6"/>
      <c r="M3752" s="6"/>
      <c r="N3752" s="6"/>
      <c r="O3752" s="6"/>
      <c r="P3752" s="6"/>
      <c r="Q3752" s="6"/>
      <c r="R3752" s="6"/>
      <c r="S3752" s="6"/>
      <c r="T3752" s="6"/>
    </row>
    <row r="3753" spans="4:20" x14ac:dyDescent="0.2">
      <c r="D3753" s="6"/>
      <c r="E3753" s="6"/>
      <c r="F3753" s="6"/>
      <c r="G3753" s="19"/>
      <c r="H3753" s="19"/>
      <c r="I3753" s="19"/>
      <c r="J3753" s="19"/>
      <c r="K3753" s="6"/>
      <c r="L3753" s="6"/>
      <c r="M3753" s="6"/>
      <c r="N3753" s="6"/>
      <c r="O3753" s="6"/>
      <c r="P3753" s="6"/>
      <c r="Q3753" s="6"/>
      <c r="R3753" s="6"/>
      <c r="S3753" s="6"/>
      <c r="T3753" s="6"/>
    </row>
    <row r="3754" spans="4:20" x14ac:dyDescent="0.2">
      <c r="D3754" s="6"/>
      <c r="E3754" s="6"/>
      <c r="F3754" s="6"/>
      <c r="G3754" s="19"/>
      <c r="H3754" s="19"/>
      <c r="I3754" s="19"/>
      <c r="J3754" s="19"/>
      <c r="K3754" s="6"/>
      <c r="L3754" s="6"/>
      <c r="M3754" s="6"/>
      <c r="N3754" s="6"/>
      <c r="O3754" s="6"/>
      <c r="P3754" s="6"/>
      <c r="Q3754" s="6"/>
      <c r="R3754" s="6"/>
      <c r="S3754" s="6"/>
      <c r="T3754" s="6"/>
    </row>
    <row r="3755" spans="4:20" x14ac:dyDescent="0.2">
      <c r="D3755" s="6"/>
      <c r="E3755" s="6"/>
      <c r="F3755" s="6"/>
      <c r="G3755" s="19"/>
      <c r="H3755" s="19"/>
      <c r="I3755" s="19"/>
      <c r="J3755" s="19"/>
      <c r="K3755" s="6"/>
      <c r="L3755" s="6"/>
      <c r="M3755" s="6"/>
      <c r="N3755" s="6"/>
      <c r="O3755" s="6"/>
      <c r="P3755" s="6"/>
      <c r="Q3755" s="6"/>
      <c r="R3755" s="6"/>
      <c r="S3755" s="6"/>
      <c r="T3755" s="6"/>
    </row>
    <row r="3756" spans="4:20" x14ac:dyDescent="0.2">
      <c r="D3756" s="6"/>
      <c r="E3756" s="6"/>
      <c r="F3756" s="6"/>
      <c r="G3756" s="19"/>
      <c r="H3756" s="19"/>
      <c r="I3756" s="19"/>
      <c r="J3756" s="19"/>
      <c r="K3756" s="6"/>
      <c r="L3756" s="6"/>
      <c r="M3756" s="6"/>
      <c r="N3756" s="6"/>
      <c r="O3756" s="6"/>
      <c r="P3756" s="6"/>
      <c r="Q3756" s="6"/>
      <c r="R3756" s="6"/>
      <c r="S3756" s="6"/>
      <c r="T3756" s="6"/>
    </row>
    <row r="3757" spans="4:20" x14ac:dyDescent="0.2">
      <c r="D3757" s="6"/>
      <c r="E3757" s="6"/>
      <c r="F3757" s="6"/>
      <c r="G3757" s="19"/>
      <c r="H3757" s="19"/>
      <c r="I3757" s="19"/>
      <c r="J3757" s="19"/>
      <c r="K3757" s="6"/>
      <c r="L3757" s="6"/>
      <c r="M3757" s="6"/>
      <c r="N3757" s="6"/>
      <c r="O3757" s="6"/>
      <c r="P3757" s="6"/>
      <c r="Q3757" s="6"/>
      <c r="R3757" s="6"/>
      <c r="S3757" s="6"/>
      <c r="T3757" s="6"/>
    </row>
    <row r="3758" spans="4:20" x14ac:dyDescent="0.2">
      <c r="D3758" s="6"/>
      <c r="E3758" s="6"/>
      <c r="F3758" s="6"/>
      <c r="G3758" s="19"/>
      <c r="H3758" s="19"/>
      <c r="I3758" s="19"/>
      <c r="J3758" s="19"/>
      <c r="K3758" s="6"/>
      <c r="L3758" s="6"/>
      <c r="M3758" s="6"/>
      <c r="N3758" s="6"/>
      <c r="O3758" s="6"/>
      <c r="P3758" s="6"/>
      <c r="Q3758" s="6"/>
      <c r="R3758" s="6"/>
      <c r="S3758" s="6"/>
      <c r="T3758" s="6"/>
    </row>
    <row r="3759" spans="4:20" x14ac:dyDescent="0.2">
      <c r="D3759" s="6"/>
      <c r="E3759" s="6"/>
      <c r="F3759" s="6"/>
      <c r="G3759" s="19"/>
      <c r="H3759" s="19"/>
      <c r="I3759" s="19"/>
      <c r="J3759" s="19"/>
      <c r="K3759" s="6"/>
      <c r="L3759" s="6"/>
      <c r="M3759" s="6"/>
      <c r="N3759" s="6"/>
      <c r="O3759" s="6"/>
      <c r="P3759" s="6"/>
      <c r="Q3759" s="6"/>
      <c r="R3759" s="6"/>
      <c r="S3759" s="6"/>
      <c r="T3759" s="6"/>
    </row>
    <row r="3760" spans="4:20" x14ac:dyDescent="0.2">
      <c r="D3760" s="6"/>
      <c r="E3760" s="6"/>
      <c r="F3760" s="6"/>
      <c r="G3760" s="19"/>
      <c r="H3760" s="19"/>
      <c r="I3760" s="19"/>
      <c r="J3760" s="19"/>
      <c r="K3760" s="6"/>
      <c r="L3760" s="6"/>
      <c r="M3760" s="6"/>
      <c r="N3760" s="6"/>
      <c r="O3760" s="6"/>
      <c r="P3760" s="6"/>
      <c r="Q3760" s="6"/>
      <c r="R3760" s="6"/>
      <c r="S3760" s="6"/>
      <c r="T3760" s="6"/>
    </row>
    <row r="3761" spans="4:20" x14ac:dyDescent="0.2">
      <c r="D3761" s="6"/>
      <c r="E3761" s="6"/>
      <c r="F3761" s="6"/>
      <c r="G3761" s="19"/>
      <c r="H3761" s="19"/>
      <c r="I3761" s="19"/>
      <c r="J3761" s="19"/>
      <c r="K3761" s="6"/>
      <c r="L3761" s="6"/>
      <c r="M3761" s="6"/>
      <c r="N3761" s="6"/>
      <c r="O3761" s="6"/>
      <c r="P3761" s="6"/>
      <c r="Q3761" s="6"/>
      <c r="R3761" s="6"/>
      <c r="S3761" s="6"/>
      <c r="T3761" s="6"/>
    </row>
    <row r="3762" spans="4:20" x14ac:dyDescent="0.2">
      <c r="D3762" s="6"/>
      <c r="E3762" s="6"/>
      <c r="F3762" s="6"/>
      <c r="G3762" s="19"/>
      <c r="H3762" s="19"/>
      <c r="I3762" s="19"/>
      <c r="J3762" s="19"/>
      <c r="K3762" s="6"/>
      <c r="L3762" s="6"/>
      <c r="M3762" s="6"/>
      <c r="N3762" s="6"/>
      <c r="O3762" s="6"/>
      <c r="P3762" s="6"/>
      <c r="Q3762" s="6"/>
      <c r="R3762" s="6"/>
      <c r="S3762" s="6"/>
      <c r="T3762" s="6"/>
    </row>
    <row r="3763" spans="4:20" x14ac:dyDescent="0.2">
      <c r="D3763" s="6"/>
      <c r="E3763" s="6"/>
      <c r="F3763" s="6"/>
      <c r="G3763" s="19"/>
      <c r="H3763" s="19"/>
      <c r="I3763" s="19"/>
      <c r="J3763" s="19"/>
      <c r="K3763" s="6"/>
      <c r="L3763" s="6"/>
      <c r="M3763" s="6"/>
      <c r="N3763" s="6"/>
      <c r="O3763" s="6"/>
      <c r="P3763" s="6"/>
      <c r="Q3763" s="6"/>
      <c r="R3763" s="6"/>
      <c r="S3763" s="6"/>
      <c r="T3763" s="6"/>
    </row>
    <row r="3764" spans="4:20" x14ac:dyDescent="0.2">
      <c r="D3764" s="6"/>
      <c r="E3764" s="6"/>
      <c r="F3764" s="6"/>
      <c r="G3764" s="19"/>
      <c r="H3764" s="19"/>
      <c r="I3764" s="19"/>
      <c r="J3764" s="19"/>
      <c r="K3764" s="6"/>
      <c r="L3764" s="6"/>
      <c r="M3764" s="6"/>
      <c r="N3764" s="6"/>
      <c r="O3764" s="6"/>
      <c r="P3764" s="6"/>
      <c r="Q3764" s="6"/>
      <c r="R3764" s="6"/>
      <c r="S3764" s="6"/>
      <c r="T3764" s="6"/>
    </row>
    <row r="3765" spans="4:20" x14ac:dyDescent="0.2">
      <c r="D3765" s="6"/>
      <c r="E3765" s="6"/>
      <c r="F3765" s="6"/>
      <c r="G3765" s="19"/>
      <c r="H3765" s="19"/>
      <c r="I3765" s="19"/>
      <c r="J3765" s="19"/>
      <c r="K3765" s="6"/>
      <c r="L3765" s="6"/>
      <c r="M3765" s="6"/>
      <c r="N3765" s="6"/>
      <c r="O3765" s="6"/>
      <c r="P3765" s="6"/>
      <c r="Q3765" s="6"/>
      <c r="R3765" s="6"/>
      <c r="S3765" s="6"/>
      <c r="T3765" s="6"/>
    </row>
    <row r="3766" spans="4:20" x14ac:dyDescent="0.2">
      <c r="D3766" s="6"/>
      <c r="E3766" s="6"/>
      <c r="F3766" s="6"/>
      <c r="G3766" s="19"/>
      <c r="H3766" s="19"/>
      <c r="I3766" s="19"/>
      <c r="J3766" s="19"/>
      <c r="K3766" s="6"/>
      <c r="L3766" s="6"/>
      <c r="M3766" s="6"/>
      <c r="N3766" s="6"/>
      <c r="O3766" s="6"/>
      <c r="P3766" s="6"/>
      <c r="Q3766" s="6"/>
      <c r="R3766" s="6"/>
      <c r="S3766" s="6"/>
      <c r="T3766" s="6"/>
    </row>
    <row r="3767" spans="4:20" x14ac:dyDescent="0.2">
      <c r="D3767" s="6"/>
      <c r="E3767" s="6"/>
      <c r="F3767" s="6"/>
      <c r="G3767" s="19"/>
      <c r="H3767" s="19"/>
      <c r="I3767" s="19"/>
      <c r="J3767" s="19"/>
      <c r="K3767" s="6"/>
      <c r="L3767" s="6"/>
      <c r="M3767" s="6"/>
      <c r="N3767" s="6"/>
      <c r="O3767" s="6"/>
      <c r="P3767" s="6"/>
      <c r="Q3767" s="6"/>
      <c r="R3767" s="6"/>
      <c r="S3767" s="6"/>
      <c r="T3767" s="6"/>
    </row>
    <row r="3768" spans="4:20" x14ac:dyDescent="0.2">
      <c r="D3768" s="6"/>
      <c r="E3768" s="6"/>
      <c r="F3768" s="6"/>
      <c r="G3768" s="19"/>
      <c r="H3768" s="19"/>
      <c r="I3768" s="19"/>
      <c r="J3768" s="19"/>
      <c r="K3768" s="6"/>
      <c r="L3768" s="6"/>
      <c r="M3768" s="6"/>
      <c r="N3768" s="6"/>
      <c r="O3768" s="6"/>
      <c r="P3768" s="6"/>
      <c r="Q3768" s="6"/>
      <c r="R3768" s="6"/>
      <c r="S3768" s="6"/>
      <c r="T3768" s="6"/>
    </row>
    <row r="3769" spans="4:20" x14ac:dyDescent="0.2">
      <c r="D3769" s="6"/>
      <c r="E3769" s="6"/>
      <c r="F3769" s="6"/>
      <c r="G3769" s="19"/>
      <c r="H3769" s="19"/>
      <c r="I3769" s="19"/>
      <c r="J3769" s="19"/>
      <c r="K3769" s="6"/>
      <c r="L3769" s="6"/>
      <c r="M3769" s="6"/>
      <c r="N3769" s="6"/>
      <c r="O3769" s="6"/>
      <c r="P3769" s="6"/>
      <c r="Q3769" s="6"/>
      <c r="R3769" s="6"/>
      <c r="S3769" s="6"/>
      <c r="T3769" s="6"/>
    </row>
    <row r="3770" spans="4:20" x14ac:dyDescent="0.2">
      <c r="D3770" s="6"/>
      <c r="E3770" s="6"/>
      <c r="F3770" s="6"/>
      <c r="G3770" s="19"/>
      <c r="H3770" s="19"/>
      <c r="I3770" s="19"/>
      <c r="J3770" s="19"/>
      <c r="K3770" s="6"/>
      <c r="L3770" s="6"/>
      <c r="M3770" s="6"/>
      <c r="N3770" s="6"/>
      <c r="O3770" s="6"/>
      <c r="P3770" s="6"/>
      <c r="Q3770" s="6"/>
      <c r="R3770" s="6"/>
      <c r="S3770" s="6"/>
      <c r="T3770" s="6"/>
    </row>
    <row r="3771" spans="4:20" x14ac:dyDescent="0.2">
      <c r="D3771" s="6"/>
      <c r="E3771" s="6"/>
      <c r="F3771" s="6"/>
      <c r="G3771" s="19"/>
      <c r="H3771" s="19"/>
      <c r="I3771" s="19"/>
      <c r="J3771" s="19"/>
      <c r="K3771" s="6"/>
      <c r="L3771" s="6"/>
      <c r="M3771" s="6"/>
      <c r="N3771" s="6"/>
      <c r="O3771" s="6"/>
      <c r="P3771" s="6"/>
      <c r="Q3771" s="6"/>
      <c r="R3771" s="6"/>
      <c r="S3771" s="6"/>
      <c r="T3771" s="6"/>
    </row>
    <row r="3772" spans="4:20" x14ac:dyDescent="0.2">
      <c r="D3772" s="6"/>
      <c r="E3772" s="6"/>
      <c r="F3772" s="6"/>
      <c r="G3772" s="19"/>
      <c r="H3772" s="19"/>
      <c r="I3772" s="19"/>
      <c r="J3772" s="19"/>
      <c r="K3772" s="6"/>
      <c r="L3772" s="6"/>
      <c r="M3772" s="6"/>
      <c r="N3772" s="6"/>
      <c r="O3772" s="6"/>
      <c r="P3772" s="6"/>
      <c r="Q3772" s="6"/>
      <c r="R3772" s="6"/>
      <c r="S3772" s="6"/>
      <c r="T3772" s="6"/>
    </row>
    <row r="3773" spans="4:20" x14ac:dyDescent="0.2">
      <c r="D3773" s="6"/>
      <c r="E3773" s="6"/>
      <c r="F3773" s="6"/>
      <c r="G3773" s="19"/>
      <c r="H3773" s="19"/>
      <c r="I3773" s="19"/>
      <c r="J3773" s="19"/>
      <c r="K3773" s="6"/>
      <c r="L3773" s="6"/>
      <c r="M3773" s="6"/>
      <c r="N3773" s="6"/>
      <c r="O3773" s="6"/>
      <c r="P3773" s="6"/>
      <c r="Q3773" s="6"/>
      <c r="R3773" s="6"/>
      <c r="S3773" s="6"/>
      <c r="T3773" s="6"/>
    </row>
    <row r="3774" spans="4:20" x14ac:dyDescent="0.2">
      <c r="D3774" s="6"/>
      <c r="E3774" s="6"/>
      <c r="F3774" s="6"/>
      <c r="G3774" s="19"/>
      <c r="H3774" s="19"/>
      <c r="I3774" s="19"/>
      <c r="J3774" s="19"/>
      <c r="K3774" s="6"/>
      <c r="L3774" s="6"/>
      <c r="M3774" s="6"/>
      <c r="N3774" s="6"/>
      <c r="O3774" s="6"/>
      <c r="P3774" s="6"/>
      <c r="Q3774" s="6"/>
      <c r="R3774" s="6"/>
      <c r="S3774" s="6"/>
      <c r="T3774" s="6"/>
    </row>
    <row r="3775" spans="4:20" x14ac:dyDescent="0.2">
      <c r="D3775" s="6"/>
      <c r="E3775" s="6"/>
      <c r="F3775" s="6"/>
      <c r="G3775" s="19"/>
      <c r="H3775" s="19"/>
      <c r="I3775" s="19"/>
      <c r="J3775" s="19"/>
      <c r="K3775" s="6"/>
      <c r="L3775" s="6"/>
      <c r="M3775" s="6"/>
      <c r="N3775" s="6"/>
      <c r="O3775" s="6"/>
      <c r="P3775" s="6"/>
      <c r="Q3775" s="6"/>
      <c r="R3775" s="6"/>
      <c r="S3775" s="6"/>
      <c r="T3775" s="6"/>
    </row>
    <row r="3776" spans="4:20" x14ac:dyDescent="0.2">
      <c r="D3776" s="6"/>
      <c r="E3776" s="6"/>
      <c r="F3776" s="6"/>
      <c r="G3776" s="19"/>
      <c r="H3776" s="19"/>
      <c r="I3776" s="19"/>
      <c r="J3776" s="19"/>
      <c r="K3776" s="6"/>
      <c r="L3776" s="6"/>
      <c r="M3776" s="6"/>
      <c r="N3776" s="6"/>
      <c r="O3776" s="6"/>
      <c r="P3776" s="6"/>
      <c r="Q3776" s="6"/>
      <c r="R3776" s="6"/>
      <c r="S3776" s="6"/>
      <c r="T3776" s="6"/>
    </row>
    <row r="3777" spans="4:20" x14ac:dyDescent="0.2">
      <c r="D3777" s="6"/>
      <c r="E3777" s="6"/>
      <c r="F3777" s="6"/>
      <c r="G3777" s="19"/>
      <c r="H3777" s="19"/>
      <c r="I3777" s="19"/>
      <c r="J3777" s="19"/>
      <c r="K3777" s="6"/>
      <c r="L3777" s="6"/>
      <c r="M3777" s="6"/>
      <c r="N3777" s="6"/>
      <c r="O3777" s="6"/>
      <c r="P3777" s="6"/>
      <c r="Q3777" s="6"/>
      <c r="R3777" s="6"/>
      <c r="S3777" s="6"/>
      <c r="T3777" s="6"/>
    </row>
    <row r="3778" spans="4:20" x14ac:dyDescent="0.2">
      <c r="D3778" s="6"/>
      <c r="E3778" s="6"/>
      <c r="F3778" s="6"/>
      <c r="G3778" s="19"/>
      <c r="H3778" s="19"/>
      <c r="I3778" s="19"/>
      <c r="J3778" s="19"/>
      <c r="K3778" s="6"/>
      <c r="L3778" s="6"/>
      <c r="M3778" s="6"/>
      <c r="N3778" s="6"/>
      <c r="O3778" s="6"/>
      <c r="P3778" s="6"/>
      <c r="Q3778" s="6"/>
      <c r="R3778" s="6"/>
      <c r="S3778" s="6"/>
      <c r="T3778" s="6"/>
    </row>
    <row r="3779" spans="4:20" x14ac:dyDescent="0.2">
      <c r="D3779" s="6"/>
      <c r="E3779" s="6"/>
      <c r="F3779" s="6"/>
      <c r="G3779" s="19"/>
      <c r="H3779" s="19"/>
      <c r="I3779" s="19"/>
      <c r="J3779" s="19"/>
      <c r="K3779" s="6"/>
      <c r="L3779" s="6"/>
      <c r="M3779" s="6"/>
      <c r="N3779" s="6"/>
      <c r="O3779" s="6"/>
      <c r="P3779" s="6"/>
      <c r="Q3779" s="6"/>
      <c r="R3779" s="6"/>
      <c r="S3779" s="6"/>
      <c r="T3779" s="6"/>
    </row>
    <row r="3780" spans="4:20" x14ac:dyDescent="0.2">
      <c r="D3780" s="6"/>
      <c r="E3780" s="6"/>
      <c r="F3780" s="6"/>
      <c r="G3780" s="19"/>
      <c r="H3780" s="19"/>
      <c r="I3780" s="19"/>
      <c r="J3780" s="19"/>
      <c r="K3780" s="6"/>
      <c r="L3780" s="6"/>
      <c r="M3780" s="6"/>
      <c r="N3780" s="6"/>
      <c r="O3780" s="6"/>
      <c r="P3780" s="6"/>
      <c r="Q3780" s="6"/>
      <c r="R3780" s="6"/>
      <c r="S3780" s="6"/>
      <c r="T3780" s="6"/>
    </row>
    <row r="3781" spans="4:20" x14ac:dyDescent="0.2">
      <c r="D3781" s="6"/>
      <c r="E3781" s="6"/>
      <c r="F3781" s="6"/>
      <c r="G3781" s="19"/>
      <c r="H3781" s="19"/>
      <c r="I3781" s="19"/>
      <c r="J3781" s="19"/>
      <c r="K3781" s="6"/>
      <c r="L3781" s="6"/>
      <c r="M3781" s="6"/>
      <c r="N3781" s="6"/>
      <c r="O3781" s="6"/>
      <c r="P3781" s="6"/>
      <c r="Q3781" s="6"/>
      <c r="R3781" s="6"/>
      <c r="S3781" s="6"/>
      <c r="T3781" s="6"/>
    </row>
    <row r="3782" spans="4:20" x14ac:dyDescent="0.2">
      <c r="D3782" s="6"/>
      <c r="E3782" s="6"/>
      <c r="F3782" s="6"/>
      <c r="G3782" s="19"/>
      <c r="H3782" s="19"/>
      <c r="I3782" s="19"/>
      <c r="J3782" s="19"/>
      <c r="K3782" s="6"/>
      <c r="L3782" s="6"/>
      <c r="M3782" s="6"/>
      <c r="N3782" s="6"/>
      <c r="O3782" s="6"/>
      <c r="P3782" s="6"/>
      <c r="Q3782" s="6"/>
      <c r="R3782" s="6"/>
      <c r="S3782" s="6"/>
      <c r="T3782" s="6"/>
    </row>
    <row r="3783" spans="4:20" x14ac:dyDescent="0.2">
      <c r="D3783" s="6"/>
      <c r="E3783" s="6"/>
      <c r="F3783" s="6"/>
      <c r="G3783" s="19"/>
      <c r="H3783" s="19"/>
      <c r="I3783" s="19"/>
      <c r="J3783" s="19"/>
      <c r="K3783" s="6"/>
      <c r="L3783" s="6"/>
      <c r="M3783" s="6"/>
      <c r="N3783" s="6"/>
      <c r="O3783" s="6"/>
      <c r="P3783" s="6"/>
      <c r="Q3783" s="6"/>
      <c r="R3783" s="6"/>
      <c r="S3783" s="6"/>
      <c r="T3783" s="6"/>
    </row>
    <row r="3784" spans="4:20" x14ac:dyDescent="0.2">
      <c r="D3784" s="6"/>
      <c r="E3784" s="6"/>
      <c r="F3784" s="6"/>
      <c r="G3784" s="19"/>
      <c r="H3784" s="19"/>
      <c r="I3784" s="19"/>
      <c r="J3784" s="19"/>
      <c r="K3784" s="6"/>
      <c r="L3784" s="6"/>
      <c r="M3784" s="6"/>
      <c r="N3784" s="6"/>
      <c r="O3784" s="6"/>
      <c r="P3784" s="6"/>
      <c r="Q3784" s="6"/>
      <c r="R3784" s="6"/>
      <c r="S3784" s="6"/>
      <c r="T3784" s="6"/>
    </row>
    <row r="3785" spans="4:20" x14ac:dyDescent="0.2">
      <c r="D3785" s="6"/>
      <c r="E3785" s="6"/>
      <c r="F3785" s="6"/>
      <c r="G3785" s="19"/>
      <c r="H3785" s="19"/>
      <c r="I3785" s="19"/>
      <c r="J3785" s="19"/>
      <c r="K3785" s="6"/>
      <c r="L3785" s="6"/>
      <c r="M3785" s="6"/>
      <c r="N3785" s="6"/>
      <c r="O3785" s="6"/>
      <c r="P3785" s="6"/>
      <c r="Q3785" s="6"/>
      <c r="R3785" s="6"/>
      <c r="S3785" s="6"/>
      <c r="T3785" s="6"/>
    </row>
    <row r="3786" spans="4:20" x14ac:dyDescent="0.2">
      <c r="D3786" s="6"/>
      <c r="E3786" s="6"/>
      <c r="F3786" s="6"/>
      <c r="G3786" s="19"/>
      <c r="H3786" s="19"/>
      <c r="I3786" s="19"/>
      <c r="J3786" s="19"/>
      <c r="K3786" s="6"/>
      <c r="L3786" s="6"/>
      <c r="M3786" s="6"/>
      <c r="N3786" s="6"/>
      <c r="O3786" s="6"/>
      <c r="P3786" s="6"/>
      <c r="Q3786" s="6"/>
      <c r="R3786" s="6"/>
      <c r="S3786" s="6"/>
      <c r="T3786" s="6"/>
    </row>
    <row r="3787" spans="4:20" x14ac:dyDescent="0.2">
      <c r="D3787" s="6"/>
      <c r="E3787" s="6"/>
      <c r="F3787" s="6"/>
      <c r="G3787" s="19"/>
      <c r="H3787" s="19"/>
      <c r="I3787" s="19"/>
      <c r="J3787" s="19"/>
      <c r="K3787" s="6"/>
      <c r="L3787" s="6"/>
      <c r="M3787" s="6"/>
      <c r="N3787" s="6"/>
      <c r="O3787" s="6"/>
      <c r="P3787" s="6"/>
      <c r="Q3787" s="6"/>
      <c r="R3787" s="6"/>
      <c r="S3787" s="6"/>
      <c r="T3787" s="6"/>
    </row>
    <row r="3788" spans="4:20" x14ac:dyDescent="0.2">
      <c r="D3788" s="6"/>
      <c r="E3788" s="6"/>
      <c r="F3788" s="6"/>
      <c r="G3788" s="19"/>
      <c r="H3788" s="19"/>
      <c r="I3788" s="19"/>
      <c r="J3788" s="19"/>
      <c r="K3788" s="6"/>
      <c r="L3788" s="6"/>
      <c r="M3788" s="6"/>
      <c r="N3788" s="6"/>
      <c r="O3788" s="6"/>
      <c r="P3788" s="6"/>
      <c r="Q3788" s="6"/>
      <c r="R3788" s="6"/>
      <c r="S3788" s="6"/>
      <c r="T3788" s="6"/>
    </row>
    <row r="3789" spans="4:20" x14ac:dyDescent="0.2">
      <c r="D3789" s="6"/>
      <c r="E3789" s="6"/>
      <c r="F3789" s="6"/>
      <c r="G3789" s="19"/>
      <c r="H3789" s="19"/>
      <c r="I3789" s="19"/>
      <c r="J3789" s="19"/>
      <c r="K3789" s="6"/>
      <c r="L3789" s="6"/>
      <c r="M3789" s="6"/>
      <c r="N3789" s="6"/>
      <c r="O3789" s="6"/>
      <c r="P3789" s="6"/>
      <c r="Q3789" s="6"/>
      <c r="R3789" s="6"/>
      <c r="S3789" s="6"/>
      <c r="T3789" s="6"/>
    </row>
    <row r="3790" spans="4:20" x14ac:dyDescent="0.2">
      <c r="D3790" s="6"/>
      <c r="E3790" s="6"/>
      <c r="F3790" s="6"/>
      <c r="G3790" s="19"/>
      <c r="H3790" s="19"/>
      <c r="I3790" s="19"/>
      <c r="J3790" s="19"/>
      <c r="K3790" s="6"/>
      <c r="L3790" s="6"/>
      <c r="M3790" s="6"/>
      <c r="N3790" s="6"/>
      <c r="O3790" s="6"/>
      <c r="P3790" s="6"/>
      <c r="Q3790" s="6"/>
      <c r="R3790" s="6"/>
      <c r="S3790" s="6"/>
      <c r="T3790" s="6"/>
    </row>
    <row r="3791" spans="4:20" x14ac:dyDescent="0.2">
      <c r="D3791" s="6"/>
      <c r="E3791" s="6"/>
      <c r="F3791" s="6"/>
      <c r="G3791" s="19"/>
      <c r="H3791" s="19"/>
      <c r="I3791" s="19"/>
      <c r="J3791" s="19"/>
      <c r="K3791" s="6"/>
      <c r="L3791" s="6"/>
      <c r="M3791" s="6"/>
      <c r="N3791" s="6"/>
      <c r="O3791" s="6"/>
      <c r="P3791" s="6"/>
      <c r="Q3791" s="6"/>
      <c r="R3791" s="6"/>
      <c r="S3791" s="6"/>
      <c r="T3791" s="6"/>
    </row>
    <row r="3792" spans="4:20" x14ac:dyDescent="0.2">
      <c r="D3792" s="6"/>
      <c r="E3792" s="6"/>
      <c r="F3792" s="6"/>
      <c r="G3792" s="19"/>
      <c r="H3792" s="19"/>
      <c r="I3792" s="19"/>
      <c r="J3792" s="19"/>
      <c r="K3792" s="6"/>
      <c r="L3792" s="6"/>
      <c r="M3792" s="6"/>
      <c r="N3792" s="6"/>
      <c r="O3792" s="6"/>
      <c r="P3792" s="6"/>
      <c r="Q3792" s="6"/>
      <c r="R3792" s="6"/>
      <c r="S3792" s="6"/>
      <c r="T3792" s="6"/>
    </row>
    <row r="3793" spans="4:20" x14ac:dyDescent="0.2">
      <c r="D3793" s="6"/>
      <c r="E3793" s="6"/>
      <c r="F3793" s="6"/>
      <c r="G3793" s="19"/>
      <c r="H3793" s="19"/>
      <c r="I3793" s="19"/>
      <c r="J3793" s="19"/>
      <c r="K3793" s="6"/>
      <c r="L3793" s="6"/>
      <c r="M3793" s="6"/>
      <c r="N3793" s="6"/>
      <c r="O3793" s="6"/>
      <c r="P3793" s="6"/>
      <c r="Q3793" s="6"/>
      <c r="R3793" s="6"/>
      <c r="S3793" s="6"/>
      <c r="T3793" s="6"/>
    </row>
    <row r="3794" spans="4:20" x14ac:dyDescent="0.2">
      <c r="D3794" s="6"/>
      <c r="E3794" s="6"/>
      <c r="F3794" s="6"/>
      <c r="G3794" s="19"/>
      <c r="H3794" s="19"/>
      <c r="I3794" s="19"/>
      <c r="J3794" s="19"/>
      <c r="K3794" s="6"/>
      <c r="L3794" s="6"/>
      <c r="M3794" s="6"/>
      <c r="N3794" s="6"/>
      <c r="O3794" s="6"/>
      <c r="P3794" s="6"/>
      <c r="Q3794" s="6"/>
      <c r="R3794" s="6"/>
      <c r="S3794" s="6"/>
      <c r="T3794" s="6"/>
    </row>
    <row r="3795" spans="4:20" x14ac:dyDescent="0.2">
      <c r="D3795" s="6"/>
      <c r="E3795" s="6"/>
      <c r="F3795" s="6"/>
      <c r="G3795" s="19"/>
      <c r="H3795" s="19"/>
      <c r="I3795" s="19"/>
      <c r="J3795" s="19"/>
      <c r="K3795" s="6"/>
      <c r="L3795" s="6"/>
      <c r="M3795" s="6"/>
      <c r="N3795" s="6"/>
      <c r="O3795" s="6"/>
      <c r="P3795" s="6"/>
      <c r="Q3795" s="6"/>
      <c r="R3795" s="6"/>
      <c r="S3795" s="6"/>
      <c r="T3795" s="6"/>
    </row>
    <row r="3796" spans="4:20" x14ac:dyDescent="0.2">
      <c r="D3796" s="6"/>
      <c r="E3796" s="6"/>
      <c r="F3796" s="6"/>
      <c r="G3796" s="19"/>
      <c r="H3796" s="19"/>
      <c r="I3796" s="19"/>
      <c r="J3796" s="19"/>
      <c r="K3796" s="6"/>
      <c r="L3796" s="6"/>
      <c r="M3796" s="6"/>
      <c r="N3796" s="6"/>
      <c r="O3796" s="6"/>
      <c r="P3796" s="6"/>
      <c r="Q3796" s="6"/>
      <c r="R3796" s="6"/>
      <c r="S3796" s="6"/>
      <c r="T3796" s="6"/>
    </row>
    <row r="3797" spans="4:20" x14ac:dyDescent="0.2">
      <c r="D3797" s="6"/>
      <c r="E3797" s="6"/>
      <c r="F3797" s="6"/>
      <c r="G3797" s="19"/>
      <c r="H3797" s="19"/>
      <c r="I3797" s="19"/>
      <c r="J3797" s="19"/>
      <c r="K3797" s="6"/>
      <c r="L3797" s="6"/>
      <c r="M3797" s="6"/>
      <c r="N3797" s="6"/>
      <c r="O3797" s="6"/>
      <c r="P3797" s="6"/>
      <c r="Q3797" s="6"/>
      <c r="R3797" s="6"/>
      <c r="S3797" s="6"/>
      <c r="T3797" s="6"/>
    </row>
    <row r="3798" spans="4:20" x14ac:dyDescent="0.2">
      <c r="D3798" s="6"/>
      <c r="E3798" s="6"/>
      <c r="F3798" s="6"/>
      <c r="G3798" s="19"/>
      <c r="H3798" s="19"/>
      <c r="I3798" s="19"/>
      <c r="J3798" s="19"/>
      <c r="K3798" s="6"/>
      <c r="L3798" s="6"/>
      <c r="M3798" s="6"/>
      <c r="N3798" s="6"/>
      <c r="O3798" s="6"/>
      <c r="P3798" s="6"/>
      <c r="Q3798" s="6"/>
      <c r="R3798" s="6"/>
      <c r="S3798" s="6"/>
      <c r="T3798" s="6"/>
    </row>
    <row r="3799" spans="4:20" x14ac:dyDescent="0.2">
      <c r="D3799" s="6"/>
      <c r="E3799" s="6"/>
      <c r="F3799" s="6"/>
      <c r="G3799" s="19"/>
      <c r="H3799" s="19"/>
      <c r="I3799" s="19"/>
      <c r="J3799" s="19"/>
      <c r="K3799" s="6"/>
      <c r="L3799" s="6"/>
      <c r="M3799" s="6"/>
      <c r="N3799" s="6"/>
      <c r="O3799" s="6"/>
      <c r="P3799" s="6"/>
      <c r="Q3799" s="6"/>
      <c r="R3799" s="6"/>
      <c r="S3799" s="6"/>
      <c r="T3799" s="6"/>
    </row>
    <row r="3800" spans="4:20" x14ac:dyDescent="0.2">
      <c r="D3800" s="6"/>
      <c r="E3800" s="6"/>
      <c r="F3800" s="6"/>
      <c r="G3800" s="19"/>
      <c r="H3800" s="19"/>
      <c r="I3800" s="19"/>
      <c r="J3800" s="19"/>
      <c r="K3800" s="6"/>
      <c r="L3800" s="6"/>
      <c r="M3800" s="6"/>
      <c r="N3800" s="6"/>
      <c r="O3800" s="6"/>
      <c r="P3800" s="6"/>
      <c r="Q3800" s="6"/>
      <c r="R3800" s="6"/>
      <c r="S3800" s="6"/>
      <c r="T3800" s="6"/>
    </row>
    <row r="3801" spans="4:20" x14ac:dyDescent="0.2">
      <c r="D3801" s="6"/>
      <c r="E3801" s="6"/>
      <c r="F3801" s="6"/>
      <c r="G3801" s="19"/>
      <c r="H3801" s="19"/>
      <c r="I3801" s="19"/>
      <c r="J3801" s="19"/>
      <c r="K3801" s="6"/>
      <c r="L3801" s="6"/>
      <c r="M3801" s="6"/>
      <c r="N3801" s="6"/>
      <c r="O3801" s="6"/>
      <c r="P3801" s="6"/>
      <c r="Q3801" s="6"/>
      <c r="R3801" s="6"/>
      <c r="S3801" s="6"/>
      <c r="T3801" s="6"/>
    </row>
    <row r="3802" spans="4:20" x14ac:dyDescent="0.2">
      <c r="D3802" s="6"/>
      <c r="E3802" s="6"/>
      <c r="F3802" s="6"/>
      <c r="G3802" s="19"/>
      <c r="H3802" s="19"/>
      <c r="I3802" s="19"/>
      <c r="J3802" s="19"/>
      <c r="K3802" s="6"/>
      <c r="L3802" s="6"/>
      <c r="M3802" s="6"/>
      <c r="N3802" s="6"/>
      <c r="O3802" s="6"/>
      <c r="P3802" s="6"/>
      <c r="Q3802" s="6"/>
      <c r="R3802" s="6"/>
      <c r="S3802" s="6"/>
      <c r="T3802" s="6"/>
    </row>
    <row r="3803" spans="4:20" x14ac:dyDescent="0.2">
      <c r="D3803" s="6"/>
      <c r="E3803" s="6"/>
      <c r="F3803" s="6"/>
      <c r="G3803" s="19"/>
      <c r="H3803" s="19"/>
      <c r="I3803" s="19"/>
      <c r="J3803" s="19"/>
      <c r="K3803" s="6"/>
      <c r="L3803" s="6"/>
      <c r="M3803" s="6"/>
      <c r="N3803" s="6"/>
      <c r="O3803" s="6"/>
      <c r="P3803" s="6"/>
      <c r="Q3803" s="6"/>
      <c r="R3803" s="6"/>
      <c r="S3803" s="6"/>
      <c r="T3803" s="6"/>
    </row>
    <row r="3804" spans="4:20" x14ac:dyDescent="0.2">
      <c r="D3804" s="6"/>
      <c r="E3804" s="6"/>
      <c r="F3804" s="6"/>
      <c r="G3804" s="19"/>
      <c r="H3804" s="19"/>
      <c r="I3804" s="19"/>
      <c r="J3804" s="19"/>
      <c r="K3804" s="6"/>
      <c r="L3804" s="6"/>
      <c r="M3804" s="6"/>
      <c r="N3804" s="6"/>
      <c r="O3804" s="6"/>
      <c r="P3804" s="6"/>
      <c r="Q3804" s="6"/>
      <c r="R3804" s="6"/>
      <c r="S3804" s="6"/>
      <c r="T3804" s="6"/>
    </row>
    <row r="3805" spans="4:20" x14ac:dyDescent="0.2">
      <c r="D3805" s="6"/>
      <c r="E3805" s="6"/>
      <c r="F3805" s="6"/>
      <c r="G3805" s="19"/>
      <c r="H3805" s="19"/>
      <c r="I3805" s="19"/>
      <c r="J3805" s="19"/>
      <c r="K3805" s="6"/>
      <c r="L3805" s="6"/>
      <c r="M3805" s="6"/>
      <c r="N3805" s="6"/>
      <c r="O3805" s="6"/>
      <c r="P3805" s="6"/>
      <c r="Q3805" s="6"/>
      <c r="R3805" s="6"/>
      <c r="S3805" s="6"/>
      <c r="T3805" s="6"/>
    </row>
    <row r="3806" spans="4:20" x14ac:dyDescent="0.2">
      <c r="D3806" s="6"/>
      <c r="E3806" s="6"/>
      <c r="F3806" s="6"/>
      <c r="G3806" s="19"/>
      <c r="H3806" s="19"/>
      <c r="I3806" s="19"/>
      <c r="J3806" s="19"/>
      <c r="K3806" s="6"/>
      <c r="L3806" s="6"/>
      <c r="M3806" s="6"/>
      <c r="N3806" s="6"/>
      <c r="O3806" s="6"/>
      <c r="P3806" s="6"/>
      <c r="Q3806" s="6"/>
      <c r="R3806" s="6"/>
      <c r="S3806" s="6"/>
      <c r="T3806" s="6"/>
    </row>
    <row r="3807" spans="4:20" x14ac:dyDescent="0.2">
      <c r="D3807" s="6"/>
      <c r="E3807" s="6"/>
      <c r="F3807" s="6"/>
      <c r="G3807" s="19"/>
      <c r="H3807" s="19"/>
      <c r="I3807" s="19"/>
      <c r="J3807" s="19"/>
      <c r="K3807" s="6"/>
      <c r="L3807" s="6"/>
      <c r="M3807" s="6"/>
      <c r="N3807" s="6"/>
      <c r="O3807" s="6"/>
      <c r="P3807" s="6"/>
      <c r="Q3807" s="6"/>
      <c r="R3807" s="6"/>
      <c r="S3807" s="6"/>
      <c r="T3807" s="6"/>
    </row>
    <row r="3808" spans="4:20" x14ac:dyDescent="0.2">
      <c r="D3808" s="6"/>
      <c r="E3808" s="6"/>
      <c r="F3808" s="6"/>
      <c r="G3808" s="19"/>
      <c r="H3808" s="19"/>
      <c r="I3808" s="19"/>
      <c r="J3808" s="19"/>
      <c r="K3808" s="6"/>
      <c r="L3808" s="6"/>
      <c r="M3808" s="6"/>
      <c r="N3808" s="6"/>
      <c r="O3808" s="6"/>
      <c r="P3808" s="6"/>
      <c r="Q3808" s="6"/>
      <c r="R3808" s="6"/>
      <c r="S3808" s="6"/>
      <c r="T3808" s="6"/>
    </row>
    <row r="3809" spans="4:20" x14ac:dyDescent="0.2">
      <c r="D3809" s="6"/>
      <c r="E3809" s="6"/>
      <c r="F3809" s="6"/>
      <c r="G3809" s="19"/>
      <c r="H3809" s="19"/>
      <c r="I3809" s="19"/>
      <c r="J3809" s="19"/>
      <c r="K3809" s="6"/>
      <c r="L3809" s="6"/>
      <c r="M3809" s="6"/>
      <c r="N3809" s="6"/>
      <c r="O3809" s="6"/>
      <c r="P3809" s="6"/>
      <c r="Q3809" s="6"/>
      <c r="R3809" s="6"/>
      <c r="S3809" s="6"/>
      <c r="T3809" s="6"/>
    </row>
    <row r="3810" spans="4:20" x14ac:dyDescent="0.2">
      <c r="D3810" s="6"/>
      <c r="E3810" s="6"/>
      <c r="F3810" s="6"/>
      <c r="G3810" s="19"/>
      <c r="H3810" s="19"/>
      <c r="I3810" s="19"/>
      <c r="J3810" s="19"/>
      <c r="K3810" s="6"/>
      <c r="L3810" s="6"/>
      <c r="M3810" s="6"/>
      <c r="N3810" s="6"/>
      <c r="O3810" s="6"/>
      <c r="P3810" s="6"/>
      <c r="Q3810" s="6"/>
      <c r="R3810" s="6"/>
      <c r="S3810" s="6"/>
      <c r="T3810" s="6"/>
    </row>
    <row r="3811" spans="4:20" x14ac:dyDescent="0.2">
      <c r="D3811" s="6"/>
      <c r="E3811" s="6"/>
      <c r="F3811" s="6"/>
      <c r="G3811" s="19"/>
      <c r="H3811" s="19"/>
      <c r="I3811" s="19"/>
      <c r="J3811" s="19"/>
      <c r="K3811" s="6"/>
      <c r="L3811" s="6"/>
      <c r="M3811" s="6"/>
      <c r="N3811" s="6"/>
      <c r="O3811" s="6"/>
      <c r="P3811" s="6"/>
      <c r="Q3811" s="6"/>
      <c r="R3811" s="6"/>
      <c r="S3811" s="6"/>
      <c r="T3811" s="6"/>
    </row>
    <row r="3812" spans="4:20" x14ac:dyDescent="0.2">
      <c r="D3812" s="6"/>
      <c r="E3812" s="6"/>
      <c r="F3812" s="6"/>
      <c r="G3812" s="19"/>
      <c r="H3812" s="19"/>
      <c r="I3812" s="19"/>
      <c r="J3812" s="19"/>
      <c r="K3812" s="6"/>
      <c r="L3812" s="6"/>
      <c r="M3812" s="6"/>
      <c r="N3812" s="6"/>
      <c r="O3812" s="6"/>
      <c r="P3812" s="6"/>
      <c r="Q3812" s="6"/>
      <c r="R3812" s="6"/>
      <c r="S3812" s="6"/>
      <c r="T3812" s="6"/>
    </row>
    <row r="3813" spans="4:20" x14ac:dyDescent="0.2">
      <c r="D3813" s="6"/>
      <c r="E3813" s="6"/>
      <c r="F3813" s="6"/>
      <c r="G3813" s="19"/>
      <c r="H3813" s="19"/>
      <c r="I3813" s="19"/>
      <c r="J3813" s="19"/>
      <c r="K3813" s="6"/>
      <c r="L3813" s="6"/>
      <c r="M3813" s="6"/>
      <c r="N3813" s="6"/>
      <c r="O3813" s="6"/>
      <c r="P3813" s="6"/>
      <c r="Q3813" s="6"/>
      <c r="R3813" s="6"/>
      <c r="S3813" s="6"/>
      <c r="T3813" s="6"/>
    </row>
    <row r="3814" spans="4:20" x14ac:dyDescent="0.2">
      <c r="D3814" s="6"/>
      <c r="E3814" s="6"/>
      <c r="F3814" s="6"/>
      <c r="G3814" s="19"/>
      <c r="H3814" s="19"/>
      <c r="I3814" s="19"/>
      <c r="J3814" s="19"/>
      <c r="K3814" s="6"/>
      <c r="L3814" s="6"/>
      <c r="M3814" s="6"/>
      <c r="N3814" s="6"/>
      <c r="O3814" s="6"/>
      <c r="P3814" s="6"/>
      <c r="Q3814" s="6"/>
      <c r="R3814" s="6"/>
      <c r="S3814" s="6"/>
      <c r="T3814" s="6"/>
    </row>
    <row r="3815" spans="4:20" x14ac:dyDescent="0.2">
      <c r="D3815" s="6"/>
      <c r="E3815" s="6"/>
      <c r="F3815" s="6"/>
      <c r="G3815" s="19"/>
      <c r="H3815" s="19"/>
      <c r="I3815" s="19"/>
      <c r="J3815" s="19"/>
      <c r="K3815" s="6"/>
      <c r="L3815" s="6"/>
      <c r="M3815" s="6"/>
      <c r="N3815" s="6"/>
      <c r="O3815" s="6"/>
      <c r="P3815" s="6"/>
      <c r="Q3815" s="6"/>
      <c r="R3815" s="6"/>
      <c r="S3815" s="6"/>
      <c r="T3815" s="6"/>
    </row>
    <row r="3816" spans="4:20" x14ac:dyDescent="0.2">
      <c r="D3816" s="6"/>
      <c r="E3816" s="6"/>
      <c r="F3816" s="6"/>
      <c r="G3816" s="19"/>
      <c r="H3816" s="19"/>
      <c r="I3816" s="19"/>
      <c r="J3816" s="19"/>
      <c r="K3816" s="6"/>
      <c r="L3816" s="6"/>
      <c r="M3816" s="6"/>
      <c r="N3816" s="6"/>
      <c r="O3816" s="6"/>
      <c r="P3816" s="6"/>
      <c r="Q3816" s="6"/>
      <c r="R3816" s="6"/>
      <c r="S3816" s="6"/>
      <c r="T3816" s="6"/>
    </row>
    <row r="3817" spans="4:20" x14ac:dyDescent="0.2">
      <c r="D3817" s="6"/>
      <c r="E3817" s="6"/>
      <c r="F3817" s="6"/>
      <c r="G3817" s="19"/>
      <c r="H3817" s="19"/>
      <c r="I3817" s="19"/>
      <c r="J3817" s="19"/>
      <c r="K3817" s="6"/>
      <c r="L3817" s="6"/>
      <c r="M3817" s="6"/>
      <c r="N3817" s="6"/>
      <c r="O3817" s="6"/>
      <c r="P3817" s="6"/>
      <c r="Q3817" s="6"/>
      <c r="R3817" s="6"/>
      <c r="S3817" s="6"/>
      <c r="T3817" s="6"/>
    </row>
    <row r="3818" spans="4:20" x14ac:dyDescent="0.2">
      <c r="D3818" s="6"/>
      <c r="E3818" s="6"/>
      <c r="F3818" s="6"/>
      <c r="G3818" s="19"/>
      <c r="H3818" s="19"/>
      <c r="I3818" s="19"/>
      <c r="J3818" s="19"/>
      <c r="K3818" s="6"/>
      <c r="L3818" s="6"/>
      <c r="M3818" s="6"/>
      <c r="N3818" s="6"/>
      <c r="O3818" s="6"/>
      <c r="P3818" s="6"/>
      <c r="Q3818" s="6"/>
      <c r="R3818" s="6"/>
      <c r="S3818" s="6"/>
      <c r="T3818" s="6"/>
    </row>
    <row r="3819" spans="4:20" x14ac:dyDescent="0.2">
      <c r="D3819" s="6"/>
      <c r="E3819" s="6"/>
      <c r="F3819" s="6"/>
      <c r="G3819" s="19"/>
      <c r="H3819" s="19"/>
      <c r="I3819" s="19"/>
      <c r="J3819" s="19"/>
      <c r="K3819" s="6"/>
      <c r="L3819" s="6"/>
      <c r="M3819" s="6"/>
      <c r="N3819" s="6"/>
      <c r="O3819" s="6"/>
      <c r="P3819" s="6"/>
      <c r="Q3819" s="6"/>
      <c r="R3819" s="6"/>
      <c r="S3819" s="6"/>
      <c r="T3819" s="6"/>
    </row>
    <row r="3820" spans="4:20" x14ac:dyDescent="0.2">
      <c r="D3820" s="6"/>
      <c r="E3820" s="6"/>
      <c r="F3820" s="6"/>
      <c r="G3820" s="19"/>
      <c r="H3820" s="19"/>
      <c r="I3820" s="19"/>
      <c r="J3820" s="19"/>
      <c r="K3820" s="6"/>
      <c r="L3820" s="6"/>
      <c r="M3820" s="6"/>
      <c r="N3820" s="6"/>
      <c r="O3820" s="6"/>
      <c r="P3820" s="6"/>
      <c r="Q3820" s="6"/>
      <c r="R3820" s="6"/>
      <c r="S3820" s="6"/>
      <c r="T3820" s="6"/>
    </row>
    <row r="3821" spans="4:20" x14ac:dyDescent="0.2">
      <c r="D3821" s="6"/>
      <c r="E3821" s="6"/>
      <c r="F3821" s="6"/>
      <c r="G3821" s="19"/>
      <c r="H3821" s="19"/>
      <c r="I3821" s="19"/>
      <c r="J3821" s="19"/>
      <c r="K3821" s="6"/>
      <c r="L3821" s="6"/>
      <c r="M3821" s="6"/>
      <c r="N3821" s="6"/>
      <c r="O3821" s="6"/>
      <c r="P3821" s="6"/>
      <c r="Q3821" s="6"/>
      <c r="R3821" s="6"/>
      <c r="S3821" s="6"/>
      <c r="T3821" s="6"/>
    </row>
    <row r="3822" spans="4:20" x14ac:dyDescent="0.2">
      <c r="D3822" s="6"/>
      <c r="E3822" s="6"/>
      <c r="F3822" s="6"/>
      <c r="G3822" s="19"/>
      <c r="H3822" s="19"/>
      <c r="I3822" s="19"/>
      <c r="J3822" s="19"/>
      <c r="K3822" s="6"/>
      <c r="L3822" s="6"/>
      <c r="M3822" s="6"/>
      <c r="N3822" s="6"/>
      <c r="O3822" s="6"/>
      <c r="P3822" s="6"/>
      <c r="Q3822" s="6"/>
      <c r="R3822" s="6"/>
      <c r="S3822" s="6"/>
      <c r="T3822" s="6"/>
    </row>
    <row r="3823" spans="4:20" x14ac:dyDescent="0.2">
      <c r="D3823" s="6"/>
      <c r="E3823" s="6"/>
      <c r="F3823" s="6"/>
      <c r="G3823" s="19"/>
      <c r="H3823" s="19"/>
      <c r="I3823" s="19"/>
      <c r="J3823" s="19"/>
      <c r="K3823" s="6"/>
      <c r="L3823" s="6"/>
      <c r="M3823" s="6"/>
      <c r="N3823" s="6"/>
      <c r="O3823" s="6"/>
      <c r="P3823" s="6"/>
      <c r="Q3823" s="6"/>
      <c r="R3823" s="6"/>
      <c r="S3823" s="6"/>
      <c r="T3823" s="6"/>
    </row>
    <row r="3824" spans="4:20" x14ac:dyDescent="0.2">
      <c r="D3824" s="6"/>
      <c r="E3824" s="6"/>
      <c r="F3824" s="6"/>
      <c r="G3824" s="19"/>
      <c r="H3824" s="19"/>
      <c r="I3824" s="19"/>
      <c r="J3824" s="19"/>
      <c r="K3824" s="6"/>
      <c r="L3824" s="6"/>
      <c r="M3824" s="6"/>
      <c r="N3824" s="6"/>
      <c r="O3824" s="6"/>
      <c r="P3824" s="6"/>
      <c r="Q3824" s="6"/>
      <c r="R3824" s="6"/>
      <c r="S3824" s="6"/>
      <c r="T3824" s="6"/>
    </row>
    <row r="3825" spans="4:20" x14ac:dyDescent="0.2">
      <c r="D3825" s="6"/>
      <c r="E3825" s="6"/>
      <c r="F3825" s="6"/>
      <c r="G3825" s="19"/>
      <c r="H3825" s="19"/>
      <c r="I3825" s="19"/>
      <c r="J3825" s="19"/>
      <c r="K3825" s="6"/>
      <c r="L3825" s="6"/>
      <c r="M3825" s="6"/>
      <c r="N3825" s="6"/>
      <c r="O3825" s="6"/>
      <c r="P3825" s="6"/>
      <c r="Q3825" s="6"/>
      <c r="R3825" s="6"/>
      <c r="S3825" s="6"/>
      <c r="T3825" s="6"/>
    </row>
    <row r="3826" spans="4:20" x14ac:dyDescent="0.2">
      <c r="D3826" s="6"/>
      <c r="E3826" s="6"/>
      <c r="F3826" s="6"/>
      <c r="G3826" s="19"/>
      <c r="H3826" s="19"/>
      <c r="I3826" s="19"/>
      <c r="J3826" s="19"/>
      <c r="K3826" s="6"/>
      <c r="L3826" s="6"/>
      <c r="M3826" s="6"/>
      <c r="N3826" s="6"/>
      <c r="O3826" s="6"/>
      <c r="P3826" s="6"/>
      <c r="Q3826" s="6"/>
      <c r="R3826" s="6"/>
      <c r="S3826" s="6"/>
      <c r="T3826" s="6"/>
    </row>
    <row r="3827" spans="4:20" x14ac:dyDescent="0.2">
      <c r="D3827" s="6"/>
      <c r="E3827" s="6"/>
      <c r="F3827" s="6"/>
      <c r="G3827" s="19"/>
      <c r="H3827" s="19"/>
      <c r="I3827" s="19"/>
      <c r="J3827" s="19"/>
      <c r="K3827" s="6"/>
      <c r="L3827" s="6"/>
      <c r="M3827" s="6"/>
      <c r="N3827" s="6"/>
      <c r="O3827" s="6"/>
      <c r="P3827" s="6"/>
      <c r="Q3827" s="6"/>
      <c r="R3827" s="6"/>
      <c r="S3827" s="6"/>
      <c r="T3827" s="6"/>
    </row>
    <row r="3828" spans="4:20" x14ac:dyDescent="0.2">
      <c r="D3828" s="6"/>
      <c r="E3828" s="6"/>
      <c r="F3828" s="6"/>
      <c r="G3828" s="19"/>
      <c r="H3828" s="19"/>
      <c r="I3828" s="19"/>
      <c r="J3828" s="19"/>
      <c r="K3828" s="6"/>
      <c r="L3828" s="6"/>
      <c r="M3828" s="6"/>
      <c r="N3828" s="6"/>
      <c r="O3828" s="6"/>
      <c r="P3828" s="6"/>
      <c r="Q3828" s="6"/>
      <c r="R3828" s="6"/>
      <c r="S3828" s="6"/>
      <c r="T3828" s="6"/>
    </row>
    <row r="3829" spans="4:20" x14ac:dyDescent="0.2">
      <c r="D3829" s="6"/>
      <c r="E3829" s="6"/>
      <c r="F3829" s="6"/>
      <c r="G3829" s="19"/>
      <c r="H3829" s="19"/>
      <c r="I3829" s="19"/>
      <c r="J3829" s="19"/>
      <c r="K3829" s="6"/>
      <c r="L3829" s="6"/>
      <c r="M3829" s="6"/>
      <c r="N3829" s="6"/>
      <c r="O3829" s="6"/>
      <c r="P3829" s="6"/>
      <c r="Q3829" s="6"/>
      <c r="R3829" s="6"/>
      <c r="S3829" s="6"/>
      <c r="T3829" s="6"/>
    </row>
    <row r="3830" spans="4:20" x14ac:dyDescent="0.2">
      <c r="D3830" s="6"/>
      <c r="E3830" s="6"/>
      <c r="F3830" s="6"/>
      <c r="G3830" s="19"/>
      <c r="H3830" s="19"/>
      <c r="I3830" s="19"/>
      <c r="J3830" s="19"/>
      <c r="K3830" s="6"/>
      <c r="L3830" s="6"/>
      <c r="M3830" s="6"/>
      <c r="N3830" s="6"/>
      <c r="O3830" s="6"/>
      <c r="P3830" s="6"/>
      <c r="Q3830" s="6"/>
      <c r="R3830" s="6"/>
      <c r="S3830" s="6"/>
      <c r="T3830" s="6"/>
    </row>
    <row r="3831" spans="4:20" x14ac:dyDescent="0.2">
      <c r="D3831" s="6"/>
      <c r="E3831" s="6"/>
      <c r="F3831" s="6"/>
      <c r="G3831" s="19"/>
      <c r="H3831" s="19"/>
      <c r="I3831" s="19"/>
      <c r="J3831" s="19"/>
      <c r="K3831" s="6"/>
      <c r="L3831" s="6"/>
      <c r="M3831" s="6"/>
      <c r="N3831" s="6"/>
      <c r="O3831" s="6"/>
      <c r="P3831" s="6"/>
      <c r="Q3831" s="6"/>
      <c r="R3831" s="6"/>
      <c r="S3831" s="6"/>
      <c r="T3831" s="6"/>
    </row>
    <row r="3832" spans="4:20" x14ac:dyDescent="0.2">
      <c r="D3832" s="6"/>
      <c r="E3832" s="6"/>
      <c r="F3832" s="6"/>
      <c r="G3832" s="19"/>
      <c r="H3832" s="19"/>
      <c r="I3832" s="19"/>
      <c r="J3832" s="19"/>
      <c r="K3832" s="6"/>
      <c r="L3832" s="6"/>
      <c r="M3832" s="6"/>
      <c r="N3832" s="6"/>
      <c r="O3832" s="6"/>
      <c r="P3832" s="6"/>
      <c r="Q3832" s="6"/>
      <c r="R3832" s="6"/>
      <c r="S3832" s="6"/>
      <c r="T3832" s="6"/>
    </row>
    <row r="3833" spans="4:20" x14ac:dyDescent="0.2">
      <c r="D3833" s="6"/>
      <c r="E3833" s="6"/>
      <c r="F3833" s="6"/>
      <c r="G3833" s="19"/>
      <c r="H3833" s="19"/>
      <c r="I3833" s="19"/>
      <c r="J3833" s="19"/>
      <c r="K3833" s="6"/>
      <c r="L3833" s="6"/>
      <c r="M3833" s="6"/>
      <c r="N3833" s="6"/>
      <c r="O3833" s="6"/>
      <c r="P3833" s="6"/>
      <c r="Q3833" s="6"/>
      <c r="R3833" s="6"/>
      <c r="S3833" s="6"/>
      <c r="T3833" s="6"/>
    </row>
    <row r="3834" spans="4:20" x14ac:dyDescent="0.2">
      <c r="D3834" s="6"/>
      <c r="E3834" s="6"/>
      <c r="F3834" s="6"/>
      <c r="G3834" s="19"/>
      <c r="H3834" s="19"/>
      <c r="I3834" s="19"/>
      <c r="J3834" s="19"/>
      <c r="K3834" s="6"/>
      <c r="L3834" s="6"/>
      <c r="M3834" s="6"/>
      <c r="N3834" s="6"/>
      <c r="O3834" s="6"/>
      <c r="P3834" s="6"/>
      <c r="Q3834" s="6"/>
      <c r="R3834" s="6"/>
      <c r="S3834" s="6"/>
      <c r="T3834" s="6"/>
    </row>
    <row r="3835" spans="4:20" x14ac:dyDescent="0.2">
      <c r="D3835" s="6"/>
      <c r="E3835" s="6"/>
      <c r="F3835" s="6"/>
      <c r="G3835" s="19"/>
      <c r="H3835" s="19"/>
      <c r="I3835" s="19"/>
      <c r="J3835" s="19"/>
      <c r="K3835" s="6"/>
      <c r="L3835" s="6"/>
      <c r="M3835" s="6"/>
      <c r="N3835" s="6"/>
      <c r="O3835" s="6"/>
      <c r="P3835" s="6"/>
      <c r="Q3835" s="6"/>
      <c r="R3835" s="6"/>
      <c r="S3835" s="6"/>
      <c r="T3835" s="6"/>
    </row>
    <row r="3836" spans="4:20" x14ac:dyDescent="0.2">
      <c r="D3836" s="6"/>
      <c r="E3836" s="6"/>
      <c r="F3836" s="6"/>
      <c r="G3836" s="19"/>
      <c r="H3836" s="19"/>
      <c r="I3836" s="19"/>
      <c r="J3836" s="19"/>
      <c r="K3836" s="6"/>
      <c r="L3836" s="6"/>
      <c r="M3836" s="6"/>
      <c r="N3836" s="6"/>
      <c r="O3836" s="6"/>
      <c r="P3836" s="6"/>
      <c r="Q3836" s="6"/>
      <c r="R3836" s="6"/>
      <c r="S3836" s="6"/>
      <c r="T3836" s="6"/>
    </row>
    <row r="3837" spans="4:20" x14ac:dyDescent="0.2">
      <c r="D3837" s="6"/>
      <c r="E3837" s="6"/>
      <c r="F3837" s="6"/>
      <c r="G3837" s="19"/>
      <c r="H3837" s="19"/>
      <c r="I3837" s="19"/>
      <c r="J3837" s="19"/>
      <c r="K3837" s="6"/>
      <c r="L3837" s="6"/>
      <c r="M3837" s="6"/>
      <c r="N3837" s="6"/>
      <c r="O3837" s="6"/>
      <c r="P3837" s="6"/>
      <c r="Q3837" s="6"/>
      <c r="R3837" s="6"/>
      <c r="S3837" s="6"/>
      <c r="T3837" s="6"/>
    </row>
    <row r="3838" spans="4:20" x14ac:dyDescent="0.2">
      <c r="D3838" s="6"/>
      <c r="E3838" s="6"/>
      <c r="F3838" s="6"/>
      <c r="G3838" s="19"/>
      <c r="H3838" s="19"/>
      <c r="I3838" s="19"/>
      <c r="J3838" s="19"/>
      <c r="K3838" s="6"/>
      <c r="L3838" s="6"/>
      <c r="M3838" s="6"/>
      <c r="N3838" s="6"/>
      <c r="O3838" s="6"/>
      <c r="P3838" s="6"/>
      <c r="Q3838" s="6"/>
      <c r="R3838" s="6"/>
      <c r="S3838" s="6"/>
      <c r="T3838" s="6"/>
    </row>
    <row r="3839" spans="4:20" x14ac:dyDescent="0.2">
      <c r="D3839" s="6"/>
      <c r="E3839" s="6"/>
      <c r="F3839" s="6"/>
      <c r="G3839" s="19"/>
      <c r="H3839" s="19"/>
      <c r="I3839" s="19"/>
      <c r="J3839" s="19"/>
      <c r="K3839" s="6"/>
      <c r="L3839" s="6"/>
      <c r="M3839" s="6"/>
      <c r="N3839" s="6"/>
      <c r="O3839" s="6"/>
      <c r="P3839" s="6"/>
      <c r="Q3839" s="6"/>
      <c r="R3839" s="6"/>
      <c r="S3839" s="6"/>
      <c r="T3839" s="6"/>
    </row>
    <row r="3840" spans="4:20" x14ac:dyDescent="0.2">
      <c r="D3840" s="6"/>
      <c r="E3840" s="6"/>
      <c r="F3840" s="6"/>
      <c r="G3840" s="19"/>
      <c r="H3840" s="19"/>
      <c r="I3840" s="19"/>
      <c r="J3840" s="19"/>
      <c r="K3840" s="6"/>
      <c r="L3840" s="6"/>
      <c r="M3840" s="6"/>
      <c r="N3840" s="6"/>
      <c r="O3840" s="6"/>
      <c r="P3840" s="6"/>
      <c r="Q3840" s="6"/>
      <c r="R3840" s="6"/>
      <c r="S3840" s="6"/>
      <c r="T3840" s="6"/>
    </row>
    <row r="3841" spans="4:20" x14ac:dyDescent="0.2">
      <c r="D3841" s="6"/>
      <c r="E3841" s="6"/>
      <c r="F3841" s="6"/>
      <c r="G3841" s="19"/>
      <c r="H3841" s="19"/>
      <c r="I3841" s="19"/>
      <c r="J3841" s="19"/>
      <c r="K3841" s="6"/>
      <c r="L3841" s="6"/>
      <c r="M3841" s="6"/>
      <c r="N3841" s="6"/>
      <c r="O3841" s="6"/>
      <c r="P3841" s="6"/>
      <c r="Q3841" s="6"/>
      <c r="R3841" s="6"/>
      <c r="S3841" s="6"/>
      <c r="T3841" s="6"/>
    </row>
    <row r="3842" spans="4:20" x14ac:dyDescent="0.2">
      <c r="D3842" s="6"/>
      <c r="E3842" s="6"/>
      <c r="F3842" s="6"/>
      <c r="G3842" s="19"/>
      <c r="H3842" s="19"/>
      <c r="I3842" s="19"/>
      <c r="J3842" s="19"/>
      <c r="K3842" s="6"/>
      <c r="L3842" s="6"/>
      <c r="M3842" s="6"/>
      <c r="N3842" s="6"/>
      <c r="O3842" s="6"/>
      <c r="P3842" s="6"/>
      <c r="Q3842" s="6"/>
      <c r="R3842" s="6"/>
      <c r="S3842" s="6"/>
      <c r="T3842" s="6"/>
    </row>
    <row r="3843" spans="4:20" x14ac:dyDescent="0.2">
      <c r="D3843" s="6"/>
      <c r="E3843" s="6"/>
      <c r="F3843" s="6"/>
      <c r="G3843" s="19"/>
      <c r="H3843" s="19"/>
      <c r="I3843" s="19"/>
      <c r="J3843" s="19"/>
      <c r="K3843" s="6"/>
      <c r="L3843" s="6"/>
      <c r="M3843" s="6"/>
      <c r="N3843" s="6"/>
      <c r="O3843" s="6"/>
      <c r="P3843" s="6"/>
      <c r="Q3843" s="6"/>
      <c r="R3843" s="6"/>
      <c r="S3843" s="6"/>
      <c r="T3843" s="6"/>
    </row>
    <row r="3844" spans="4:20" x14ac:dyDescent="0.2">
      <c r="D3844" s="6"/>
      <c r="E3844" s="6"/>
      <c r="F3844" s="6"/>
      <c r="G3844" s="19"/>
      <c r="H3844" s="19"/>
      <c r="I3844" s="19"/>
      <c r="J3844" s="19"/>
      <c r="K3844" s="6"/>
      <c r="L3844" s="6"/>
      <c r="M3844" s="6"/>
      <c r="N3844" s="6"/>
      <c r="O3844" s="6"/>
      <c r="P3844" s="6"/>
      <c r="Q3844" s="6"/>
      <c r="R3844" s="6"/>
      <c r="S3844" s="6"/>
      <c r="T3844" s="6"/>
    </row>
    <row r="3845" spans="4:20" x14ac:dyDescent="0.2">
      <c r="D3845" s="6"/>
      <c r="E3845" s="6"/>
      <c r="F3845" s="6"/>
      <c r="G3845" s="19"/>
      <c r="H3845" s="19"/>
      <c r="I3845" s="19"/>
      <c r="J3845" s="19"/>
      <c r="K3845" s="6"/>
      <c r="L3845" s="6"/>
      <c r="M3845" s="6"/>
      <c r="N3845" s="6"/>
      <c r="O3845" s="6"/>
      <c r="P3845" s="6"/>
      <c r="Q3845" s="6"/>
      <c r="R3845" s="6"/>
      <c r="S3845" s="6"/>
      <c r="T3845" s="6"/>
    </row>
    <row r="3846" spans="4:20" x14ac:dyDescent="0.2">
      <c r="D3846" s="6"/>
      <c r="E3846" s="6"/>
      <c r="F3846" s="6"/>
      <c r="G3846" s="19"/>
      <c r="H3846" s="19"/>
      <c r="I3846" s="19"/>
      <c r="J3846" s="19"/>
      <c r="K3846" s="6"/>
      <c r="L3846" s="6"/>
      <c r="M3846" s="6"/>
      <c r="N3846" s="6"/>
      <c r="O3846" s="6"/>
      <c r="P3846" s="6"/>
      <c r="Q3846" s="6"/>
      <c r="R3846" s="6"/>
      <c r="S3846" s="6"/>
      <c r="T3846" s="6"/>
    </row>
    <row r="3847" spans="4:20" x14ac:dyDescent="0.2">
      <c r="D3847" s="6"/>
      <c r="E3847" s="6"/>
      <c r="F3847" s="6"/>
      <c r="G3847" s="19"/>
      <c r="H3847" s="19"/>
      <c r="I3847" s="19"/>
      <c r="J3847" s="19"/>
      <c r="K3847" s="6"/>
      <c r="L3847" s="6"/>
      <c r="M3847" s="6"/>
      <c r="N3847" s="6"/>
      <c r="O3847" s="6"/>
      <c r="P3847" s="6"/>
      <c r="Q3847" s="6"/>
      <c r="R3847" s="6"/>
      <c r="S3847" s="6"/>
      <c r="T3847" s="6"/>
    </row>
    <row r="3848" spans="4:20" x14ac:dyDescent="0.2">
      <c r="D3848" s="6"/>
      <c r="E3848" s="6"/>
      <c r="F3848" s="6"/>
      <c r="G3848" s="19"/>
      <c r="H3848" s="19"/>
      <c r="I3848" s="19"/>
      <c r="J3848" s="19"/>
      <c r="K3848" s="6"/>
      <c r="L3848" s="6"/>
      <c r="M3848" s="6"/>
      <c r="N3848" s="6"/>
      <c r="O3848" s="6"/>
      <c r="P3848" s="6"/>
      <c r="Q3848" s="6"/>
      <c r="R3848" s="6"/>
      <c r="S3848" s="6"/>
      <c r="T3848" s="6"/>
    </row>
    <row r="3849" spans="4:20" x14ac:dyDescent="0.2">
      <c r="D3849" s="6"/>
      <c r="E3849" s="6"/>
      <c r="F3849" s="6"/>
      <c r="G3849" s="19"/>
      <c r="H3849" s="19"/>
      <c r="I3849" s="19"/>
      <c r="J3849" s="19"/>
      <c r="K3849" s="6"/>
      <c r="L3849" s="6"/>
      <c r="M3849" s="6"/>
      <c r="N3849" s="6"/>
      <c r="O3849" s="6"/>
      <c r="P3849" s="6"/>
      <c r="Q3849" s="6"/>
      <c r="R3849" s="6"/>
      <c r="S3849" s="6"/>
      <c r="T3849" s="6"/>
    </row>
    <row r="3850" spans="4:20" x14ac:dyDescent="0.2">
      <c r="D3850" s="6"/>
      <c r="E3850" s="6"/>
      <c r="F3850" s="6"/>
      <c r="G3850" s="19"/>
      <c r="H3850" s="19"/>
      <c r="I3850" s="19"/>
      <c r="J3850" s="19"/>
      <c r="K3850" s="6"/>
      <c r="L3850" s="6"/>
      <c r="M3850" s="6"/>
      <c r="N3850" s="6"/>
      <c r="O3850" s="6"/>
      <c r="P3850" s="6"/>
      <c r="Q3850" s="6"/>
      <c r="R3850" s="6"/>
      <c r="S3850" s="6"/>
      <c r="T3850" s="6"/>
    </row>
    <row r="3851" spans="4:20" x14ac:dyDescent="0.2">
      <c r="D3851" s="6"/>
      <c r="E3851" s="6"/>
      <c r="F3851" s="6"/>
      <c r="G3851" s="19"/>
      <c r="H3851" s="19"/>
      <c r="I3851" s="19"/>
      <c r="J3851" s="19"/>
      <c r="K3851" s="6"/>
      <c r="L3851" s="6"/>
      <c r="M3851" s="6"/>
      <c r="N3851" s="6"/>
      <c r="O3851" s="6"/>
      <c r="P3851" s="6"/>
      <c r="Q3851" s="6"/>
      <c r="R3851" s="6"/>
      <c r="S3851" s="6"/>
      <c r="T3851" s="6"/>
    </row>
    <row r="3852" spans="4:20" x14ac:dyDescent="0.2">
      <c r="D3852" s="6"/>
      <c r="E3852" s="6"/>
      <c r="F3852" s="6"/>
      <c r="G3852" s="19"/>
      <c r="H3852" s="19"/>
      <c r="I3852" s="19"/>
      <c r="J3852" s="19"/>
      <c r="K3852" s="6"/>
      <c r="L3852" s="6"/>
      <c r="M3852" s="6"/>
      <c r="N3852" s="6"/>
      <c r="O3852" s="6"/>
      <c r="P3852" s="6"/>
      <c r="Q3852" s="6"/>
      <c r="R3852" s="6"/>
      <c r="S3852" s="6"/>
      <c r="T3852" s="6"/>
    </row>
    <row r="3853" spans="4:20" x14ac:dyDescent="0.2">
      <c r="D3853" s="6"/>
      <c r="E3853" s="6"/>
      <c r="F3853" s="6"/>
      <c r="G3853" s="19"/>
      <c r="H3853" s="19"/>
      <c r="I3853" s="19"/>
      <c r="J3853" s="19"/>
      <c r="K3853" s="6"/>
      <c r="L3853" s="6"/>
      <c r="M3853" s="6"/>
      <c r="N3853" s="6"/>
      <c r="O3853" s="6"/>
      <c r="P3853" s="6"/>
      <c r="Q3853" s="6"/>
      <c r="R3853" s="6"/>
      <c r="S3853" s="6"/>
      <c r="T3853" s="6"/>
    </row>
    <row r="3854" spans="4:20" x14ac:dyDescent="0.2">
      <c r="D3854" s="6"/>
      <c r="E3854" s="6"/>
      <c r="F3854" s="6"/>
      <c r="G3854" s="19"/>
      <c r="H3854" s="19"/>
      <c r="I3854" s="19"/>
      <c r="J3854" s="19"/>
      <c r="K3854" s="6"/>
      <c r="L3854" s="6"/>
      <c r="M3854" s="6"/>
      <c r="N3854" s="6"/>
      <c r="O3854" s="6"/>
      <c r="P3854" s="6"/>
      <c r="Q3854" s="6"/>
      <c r="R3854" s="6"/>
      <c r="S3854" s="6"/>
      <c r="T3854" s="6"/>
    </row>
    <row r="3855" spans="4:20" x14ac:dyDescent="0.2">
      <c r="D3855" s="6"/>
      <c r="E3855" s="6"/>
      <c r="F3855" s="6"/>
      <c r="G3855" s="19"/>
      <c r="H3855" s="19"/>
      <c r="I3855" s="19"/>
      <c r="J3855" s="19"/>
      <c r="K3855" s="6"/>
      <c r="L3855" s="6"/>
      <c r="M3855" s="6"/>
      <c r="N3855" s="6"/>
      <c r="O3855" s="6"/>
      <c r="P3855" s="6"/>
      <c r="Q3855" s="6"/>
      <c r="R3855" s="6"/>
      <c r="S3855" s="6"/>
      <c r="T3855" s="6"/>
    </row>
    <row r="3856" spans="4:20" x14ac:dyDescent="0.2">
      <c r="D3856" s="6"/>
      <c r="E3856" s="6"/>
      <c r="F3856" s="6"/>
      <c r="G3856" s="19"/>
      <c r="H3856" s="19"/>
      <c r="I3856" s="19"/>
      <c r="J3856" s="19"/>
      <c r="K3856" s="6"/>
      <c r="L3856" s="6"/>
      <c r="M3856" s="6"/>
      <c r="N3856" s="6"/>
      <c r="O3856" s="6"/>
      <c r="P3856" s="6"/>
      <c r="Q3856" s="6"/>
      <c r="R3856" s="6"/>
      <c r="S3856" s="6"/>
      <c r="T3856" s="6"/>
    </row>
    <row r="3857" spans="4:20" x14ac:dyDescent="0.2">
      <c r="D3857" s="6"/>
      <c r="E3857" s="6"/>
      <c r="F3857" s="6"/>
      <c r="G3857" s="19"/>
      <c r="H3857" s="19"/>
      <c r="I3857" s="19"/>
      <c r="J3857" s="19"/>
      <c r="K3857" s="6"/>
      <c r="L3857" s="6"/>
      <c r="M3857" s="6"/>
      <c r="N3857" s="6"/>
      <c r="O3857" s="6"/>
      <c r="P3857" s="6"/>
      <c r="Q3857" s="6"/>
      <c r="R3857" s="6"/>
      <c r="S3857" s="6"/>
      <c r="T3857" s="6"/>
    </row>
    <row r="3858" spans="4:20" x14ac:dyDescent="0.2">
      <c r="D3858" s="6"/>
      <c r="E3858" s="6"/>
      <c r="F3858" s="6"/>
      <c r="G3858" s="19"/>
      <c r="H3858" s="19"/>
      <c r="I3858" s="19"/>
      <c r="J3858" s="19"/>
      <c r="K3858" s="6"/>
      <c r="L3858" s="6"/>
      <c r="M3858" s="6"/>
      <c r="N3858" s="6"/>
      <c r="O3858" s="6"/>
      <c r="P3858" s="6"/>
      <c r="Q3858" s="6"/>
      <c r="R3858" s="6"/>
      <c r="S3858" s="6"/>
      <c r="T3858" s="6"/>
    </row>
    <row r="3859" spans="4:20" x14ac:dyDescent="0.2">
      <c r="D3859" s="6"/>
      <c r="E3859" s="6"/>
      <c r="F3859" s="6"/>
      <c r="G3859" s="19"/>
      <c r="H3859" s="19"/>
      <c r="I3859" s="19"/>
      <c r="J3859" s="19"/>
      <c r="K3859" s="6"/>
      <c r="L3859" s="6"/>
      <c r="M3859" s="6"/>
      <c r="N3859" s="6"/>
      <c r="O3859" s="6"/>
      <c r="P3859" s="6"/>
      <c r="Q3859" s="6"/>
      <c r="R3859" s="6"/>
      <c r="S3859" s="6"/>
      <c r="T3859" s="6"/>
    </row>
    <row r="3860" spans="4:20" x14ac:dyDescent="0.2">
      <c r="D3860" s="6"/>
      <c r="E3860" s="6"/>
      <c r="F3860" s="6"/>
      <c r="G3860" s="19"/>
      <c r="H3860" s="19"/>
      <c r="I3860" s="19"/>
      <c r="J3860" s="19"/>
      <c r="K3860" s="6"/>
      <c r="L3860" s="6"/>
      <c r="M3860" s="6"/>
      <c r="N3860" s="6"/>
      <c r="O3860" s="6"/>
      <c r="P3860" s="6"/>
      <c r="Q3860" s="6"/>
      <c r="R3860" s="6"/>
      <c r="S3860" s="6"/>
      <c r="T3860" s="6"/>
    </row>
    <row r="3861" spans="4:20" x14ac:dyDescent="0.2">
      <c r="D3861" s="6"/>
      <c r="E3861" s="6"/>
      <c r="F3861" s="6"/>
      <c r="G3861" s="19"/>
      <c r="H3861" s="19"/>
      <c r="I3861" s="19"/>
      <c r="J3861" s="19"/>
      <c r="K3861" s="6"/>
      <c r="L3861" s="6"/>
      <c r="M3861" s="6"/>
      <c r="N3861" s="6"/>
      <c r="O3861" s="6"/>
      <c r="P3861" s="6"/>
      <c r="Q3861" s="6"/>
      <c r="R3861" s="6"/>
      <c r="S3861" s="6"/>
      <c r="T3861" s="6"/>
    </row>
    <row r="3862" spans="4:20" x14ac:dyDescent="0.2">
      <c r="D3862" s="6"/>
      <c r="E3862" s="6"/>
      <c r="F3862" s="6"/>
      <c r="G3862" s="19"/>
      <c r="H3862" s="19"/>
      <c r="I3862" s="19"/>
      <c r="J3862" s="19"/>
      <c r="K3862" s="6"/>
      <c r="L3862" s="6"/>
      <c r="M3862" s="6"/>
      <c r="N3862" s="6"/>
      <c r="O3862" s="6"/>
      <c r="P3862" s="6"/>
      <c r="Q3862" s="6"/>
      <c r="R3862" s="6"/>
      <c r="S3862" s="6"/>
      <c r="T3862" s="6"/>
    </row>
    <row r="3863" spans="4:20" x14ac:dyDescent="0.2">
      <c r="D3863" s="6"/>
      <c r="E3863" s="6"/>
      <c r="F3863" s="6"/>
      <c r="G3863" s="19"/>
      <c r="H3863" s="19"/>
      <c r="I3863" s="19"/>
      <c r="J3863" s="19"/>
      <c r="K3863" s="6"/>
      <c r="L3863" s="6"/>
      <c r="M3863" s="6"/>
      <c r="N3863" s="6"/>
      <c r="O3863" s="6"/>
      <c r="P3863" s="6"/>
      <c r="Q3863" s="6"/>
      <c r="R3863" s="6"/>
      <c r="S3863" s="6"/>
      <c r="T3863" s="6"/>
    </row>
    <row r="3864" spans="4:20" x14ac:dyDescent="0.2">
      <c r="D3864" s="6"/>
      <c r="E3864" s="6"/>
      <c r="F3864" s="6"/>
      <c r="G3864" s="19"/>
      <c r="H3864" s="19"/>
      <c r="I3864" s="19"/>
      <c r="J3864" s="19"/>
      <c r="K3864" s="6"/>
      <c r="L3864" s="6"/>
      <c r="M3864" s="6"/>
      <c r="N3864" s="6"/>
      <c r="O3864" s="6"/>
      <c r="P3864" s="6"/>
      <c r="Q3864" s="6"/>
      <c r="R3864" s="6"/>
      <c r="S3864" s="6"/>
      <c r="T3864" s="6"/>
    </row>
    <row r="3865" spans="4:20" x14ac:dyDescent="0.2">
      <c r="D3865" s="6"/>
      <c r="E3865" s="6"/>
      <c r="F3865" s="6"/>
      <c r="G3865" s="19"/>
      <c r="H3865" s="19"/>
      <c r="I3865" s="19"/>
      <c r="J3865" s="19"/>
      <c r="K3865" s="6"/>
      <c r="L3865" s="6"/>
      <c r="M3865" s="6"/>
      <c r="N3865" s="6"/>
      <c r="O3865" s="6"/>
      <c r="P3865" s="6"/>
      <c r="Q3865" s="6"/>
      <c r="R3865" s="6"/>
      <c r="S3865" s="6"/>
      <c r="T3865" s="6"/>
    </row>
    <row r="3866" spans="4:20" x14ac:dyDescent="0.2">
      <c r="D3866" s="6"/>
      <c r="E3866" s="6"/>
      <c r="F3866" s="6"/>
      <c r="G3866" s="19"/>
      <c r="H3866" s="19"/>
      <c r="I3866" s="19"/>
      <c r="J3866" s="19"/>
      <c r="K3866" s="6"/>
      <c r="L3866" s="6"/>
      <c r="M3866" s="6"/>
      <c r="N3866" s="6"/>
      <c r="O3866" s="6"/>
      <c r="P3866" s="6"/>
      <c r="Q3866" s="6"/>
      <c r="R3866" s="6"/>
      <c r="S3866" s="6"/>
      <c r="T3866" s="6"/>
    </row>
    <row r="3867" spans="4:20" x14ac:dyDescent="0.2">
      <c r="D3867" s="6"/>
      <c r="E3867" s="6"/>
      <c r="F3867" s="6"/>
      <c r="G3867" s="19"/>
      <c r="H3867" s="19"/>
      <c r="I3867" s="19"/>
      <c r="J3867" s="19"/>
      <c r="K3867" s="6"/>
      <c r="L3867" s="6"/>
      <c r="M3867" s="6"/>
      <c r="N3867" s="6"/>
      <c r="O3867" s="6"/>
      <c r="P3867" s="6"/>
      <c r="Q3867" s="6"/>
      <c r="R3867" s="6"/>
      <c r="S3867" s="6"/>
      <c r="T3867" s="6"/>
    </row>
    <row r="3868" spans="4:20" x14ac:dyDescent="0.2">
      <c r="D3868" s="6"/>
      <c r="E3868" s="6"/>
      <c r="F3868" s="6"/>
      <c r="G3868" s="19"/>
      <c r="H3868" s="19"/>
      <c r="I3868" s="19"/>
      <c r="J3868" s="19"/>
      <c r="K3868" s="6"/>
      <c r="L3868" s="6"/>
      <c r="M3868" s="6"/>
      <c r="N3868" s="6"/>
      <c r="O3868" s="6"/>
      <c r="P3868" s="6"/>
      <c r="Q3868" s="6"/>
      <c r="R3868" s="6"/>
      <c r="S3868" s="6"/>
      <c r="T3868" s="6"/>
    </row>
    <row r="3869" spans="4:20" x14ac:dyDescent="0.2">
      <c r="D3869" s="6"/>
      <c r="E3869" s="6"/>
      <c r="F3869" s="6"/>
      <c r="G3869" s="19"/>
      <c r="H3869" s="19"/>
      <c r="I3869" s="19"/>
      <c r="J3869" s="19"/>
      <c r="K3869" s="6"/>
      <c r="L3869" s="6"/>
      <c r="M3869" s="6"/>
      <c r="N3869" s="6"/>
      <c r="O3869" s="6"/>
      <c r="P3869" s="6"/>
      <c r="Q3869" s="6"/>
      <c r="R3869" s="6"/>
      <c r="S3869" s="6"/>
      <c r="T3869" s="6"/>
    </row>
    <row r="3870" spans="4:20" x14ac:dyDescent="0.2">
      <c r="D3870" s="6"/>
      <c r="E3870" s="6"/>
      <c r="F3870" s="6"/>
      <c r="G3870" s="19"/>
      <c r="H3870" s="19"/>
      <c r="I3870" s="19"/>
      <c r="J3870" s="19"/>
      <c r="K3870" s="6"/>
      <c r="L3870" s="6"/>
      <c r="M3870" s="6"/>
      <c r="N3870" s="6"/>
      <c r="O3870" s="6"/>
      <c r="P3870" s="6"/>
      <c r="Q3870" s="6"/>
      <c r="R3870" s="6"/>
      <c r="S3870" s="6"/>
      <c r="T3870" s="6"/>
    </row>
    <row r="3871" spans="4:20" x14ac:dyDescent="0.2">
      <c r="D3871" s="6"/>
      <c r="E3871" s="6"/>
      <c r="F3871" s="6"/>
      <c r="G3871" s="19"/>
      <c r="H3871" s="19"/>
      <c r="I3871" s="19"/>
      <c r="J3871" s="19"/>
      <c r="K3871" s="6"/>
      <c r="L3871" s="6"/>
      <c r="M3871" s="6"/>
      <c r="N3871" s="6"/>
      <c r="O3871" s="6"/>
      <c r="P3871" s="6"/>
      <c r="Q3871" s="6"/>
      <c r="R3871" s="6"/>
      <c r="S3871" s="6"/>
      <c r="T3871" s="6"/>
    </row>
    <row r="3872" spans="4:20" x14ac:dyDescent="0.2">
      <c r="D3872" s="6"/>
      <c r="E3872" s="6"/>
      <c r="F3872" s="6"/>
      <c r="G3872" s="19"/>
      <c r="H3872" s="19"/>
      <c r="I3872" s="19"/>
      <c r="J3872" s="19"/>
      <c r="K3872" s="6"/>
      <c r="L3872" s="6"/>
      <c r="M3872" s="6"/>
      <c r="N3872" s="6"/>
      <c r="O3872" s="6"/>
      <c r="P3872" s="6"/>
      <c r="Q3872" s="6"/>
      <c r="R3872" s="6"/>
      <c r="S3872" s="6"/>
      <c r="T3872" s="6"/>
    </row>
    <row r="3873" spans="4:20" x14ac:dyDescent="0.2">
      <c r="D3873" s="6"/>
      <c r="E3873" s="6"/>
      <c r="F3873" s="6"/>
      <c r="G3873" s="19"/>
      <c r="H3873" s="19"/>
      <c r="I3873" s="19"/>
      <c r="J3873" s="19"/>
      <c r="K3873" s="6"/>
      <c r="L3873" s="6"/>
      <c r="M3873" s="6"/>
      <c r="N3873" s="6"/>
      <c r="O3873" s="6"/>
      <c r="P3873" s="6"/>
      <c r="Q3873" s="6"/>
      <c r="R3873" s="6"/>
      <c r="S3873" s="6"/>
      <c r="T3873" s="6"/>
    </row>
    <row r="3874" spans="4:20" x14ac:dyDescent="0.2">
      <c r="D3874" s="6"/>
      <c r="E3874" s="6"/>
      <c r="F3874" s="6"/>
      <c r="G3874" s="19"/>
      <c r="H3874" s="19"/>
      <c r="I3874" s="19"/>
      <c r="J3874" s="19"/>
      <c r="K3874" s="6"/>
      <c r="L3874" s="6"/>
      <c r="M3874" s="6"/>
      <c r="N3874" s="6"/>
      <c r="O3874" s="6"/>
      <c r="P3874" s="6"/>
      <c r="Q3874" s="6"/>
      <c r="R3874" s="6"/>
      <c r="S3874" s="6"/>
      <c r="T3874" s="6"/>
    </row>
    <row r="3875" spans="4:20" x14ac:dyDescent="0.2">
      <c r="D3875" s="6"/>
      <c r="E3875" s="6"/>
      <c r="F3875" s="6"/>
      <c r="G3875" s="19"/>
      <c r="H3875" s="19"/>
      <c r="I3875" s="19"/>
      <c r="J3875" s="19"/>
      <c r="K3875" s="6"/>
      <c r="L3875" s="6"/>
      <c r="M3875" s="6"/>
      <c r="N3875" s="6"/>
      <c r="O3875" s="6"/>
      <c r="P3875" s="6"/>
      <c r="Q3875" s="6"/>
      <c r="R3875" s="6"/>
      <c r="S3875" s="6"/>
      <c r="T3875" s="6"/>
    </row>
    <row r="3876" spans="4:20" x14ac:dyDescent="0.2">
      <c r="D3876" s="6"/>
      <c r="E3876" s="6"/>
      <c r="F3876" s="6"/>
      <c r="G3876" s="19"/>
      <c r="H3876" s="19"/>
      <c r="I3876" s="19"/>
      <c r="J3876" s="19"/>
      <c r="K3876" s="6"/>
      <c r="L3876" s="6"/>
      <c r="M3876" s="6"/>
      <c r="N3876" s="6"/>
      <c r="O3876" s="6"/>
      <c r="P3876" s="6"/>
      <c r="Q3876" s="6"/>
      <c r="R3876" s="6"/>
      <c r="S3876" s="6"/>
      <c r="T3876" s="6"/>
    </row>
    <row r="3877" spans="4:20" x14ac:dyDescent="0.2">
      <c r="D3877" s="6"/>
      <c r="E3877" s="6"/>
      <c r="F3877" s="6"/>
      <c r="G3877" s="19"/>
      <c r="H3877" s="19"/>
      <c r="I3877" s="19"/>
      <c r="J3877" s="19"/>
      <c r="K3877" s="6"/>
      <c r="L3877" s="6"/>
      <c r="M3877" s="6"/>
      <c r="N3877" s="6"/>
      <c r="O3877" s="6"/>
      <c r="P3877" s="6"/>
      <c r="Q3877" s="6"/>
      <c r="R3877" s="6"/>
      <c r="S3877" s="6"/>
      <c r="T3877" s="6"/>
    </row>
    <row r="3878" spans="4:20" x14ac:dyDescent="0.2">
      <c r="D3878" s="6"/>
      <c r="E3878" s="6"/>
      <c r="F3878" s="6"/>
      <c r="G3878" s="19"/>
      <c r="H3878" s="19"/>
      <c r="I3878" s="19"/>
      <c r="J3878" s="19"/>
      <c r="K3878" s="6"/>
      <c r="L3878" s="6"/>
      <c r="M3878" s="6"/>
      <c r="N3878" s="6"/>
      <c r="O3878" s="6"/>
      <c r="P3878" s="6"/>
      <c r="Q3878" s="6"/>
      <c r="R3878" s="6"/>
      <c r="S3878" s="6"/>
      <c r="T3878" s="6"/>
    </row>
    <row r="3879" spans="4:20" x14ac:dyDescent="0.2">
      <c r="D3879" s="6"/>
      <c r="E3879" s="6"/>
      <c r="F3879" s="6"/>
      <c r="G3879" s="19"/>
      <c r="H3879" s="19"/>
      <c r="I3879" s="19"/>
      <c r="J3879" s="19"/>
      <c r="K3879" s="6"/>
      <c r="L3879" s="6"/>
      <c r="M3879" s="6"/>
      <c r="N3879" s="6"/>
      <c r="O3879" s="6"/>
      <c r="P3879" s="6"/>
      <c r="Q3879" s="6"/>
      <c r="R3879" s="6"/>
      <c r="S3879" s="6"/>
      <c r="T3879" s="6"/>
    </row>
    <row r="3880" spans="4:20" x14ac:dyDescent="0.2">
      <c r="D3880" s="6"/>
      <c r="E3880" s="6"/>
      <c r="F3880" s="6"/>
      <c r="G3880" s="19"/>
      <c r="H3880" s="19"/>
      <c r="I3880" s="19"/>
      <c r="J3880" s="19"/>
      <c r="K3880" s="6"/>
      <c r="L3880" s="6"/>
      <c r="M3880" s="6"/>
      <c r="N3880" s="6"/>
      <c r="O3880" s="6"/>
      <c r="P3880" s="6"/>
      <c r="Q3880" s="6"/>
      <c r="R3880" s="6"/>
      <c r="S3880" s="6"/>
      <c r="T3880" s="6"/>
    </row>
    <row r="3881" spans="4:20" x14ac:dyDescent="0.2">
      <c r="D3881" s="6"/>
      <c r="E3881" s="6"/>
      <c r="F3881" s="6"/>
      <c r="G3881" s="19"/>
      <c r="H3881" s="19"/>
      <c r="I3881" s="19"/>
      <c r="J3881" s="19"/>
      <c r="K3881" s="6"/>
      <c r="L3881" s="6"/>
      <c r="M3881" s="6"/>
      <c r="N3881" s="6"/>
      <c r="O3881" s="6"/>
      <c r="P3881" s="6"/>
      <c r="Q3881" s="6"/>
      <c r="R3881" s="6"/>
      <c r="S3881" s="6"/>
      <c r="T3881" s="6"/>
    </row>
    <row r="3882" spans="4:20" x14ac:dyDescent="0.2">
      <c r="D3882" s="6"/>
      <c r="E3882" s="6"/>
      <c r="F3882" s="6"/>
      <c r="G3882" s="19"/>
      <c r="H3882" s="19"/>
      <c r="I3882" s="19"/>
      <c r="J3882" s="19"/>
      <c r="K3882" s="6"/>
      <c r="L3882" s="6"/>
      <c r="M3882" s="6"/>
      <c r="N3882" s="6"/>
      <c r="O3882" s="6"/>
      <c r="P3882" s="6"/>
      <c r="Q3882" s="6"/>
      <c r="R3882" s="6"/>
      <c r="S3882" s="6"/>
      <c r="T3882" s="6"/>
    </row>
    <row r="3883" spans="4:20" x14ac:dyDescent="0.2">
      <c r="D3883" s="6"/>
      <c r="E3883" s="6"/>
      <c r="F3883" s="6"/>
      <c r="G3883" s="19"/>
      <c r="H3883" s="19"/>
      <c r="I3883" s="19"/>
      <c r="J3883" s="19"/>
      <c r="K3883" s="6"/>
      <c r="L3883" s="6"/>
      <c r="M3883" s="6"/>
      <c r="N3883" s="6"/>
      <c r="O3883" s="6"/>
      <c r="P3883" s="6"/>
      <c r="Q3883" s="6"/>
      <c r="R3883" s="6"/>
      <c r="S3883" s="6"/>
      <c r="T3883" s="6"/>
    </row>
    <row r="3884" spans="4:20" x14ac:dyDescent="0.2">
      <c r="D3884" s="6"/>
      <c r="E3884" s="6"/>
      <c r="F3884" s="6"/>
      <c r="G3884" s="19"/>
      <c r="H3884" s="19"/>
      <c r="I3884" s="19"/>
      <c r="J3884" s="19"/>
      <c r="K3884" s="6"/>
      <c r="L3884" s="6"/>
      <c r="M3884" s="6"/>
      <c r="N3884" s="6"/>
      <c r="O3884" s="6"/>
      <c r="P3884" s="6"/>
      <c r="Q3884" s="6"/>
      <c r="R3884" s="6"/>
      <c r="S3884" s="6"/>
      <c r="T3884" s="6"/>
    </row>
    <row r="3885" spans="4:20" x14ac:dyDescent="0.2">
      <c r="D3885" s="6"/>
      <c r="E3885" s="6"/>
      <c r="F3885" s="6"/>
      <c r="G3885" s="19"/>
      <c r="H3885" s="19"/>
      <c r="I3885" s="19"/>
      <c r="J3885" s="19"/>
      <c r="K3885" s="6"/>
      <c r="L3885" s="6"/>
      <c r="M3885" s="6"/>
      <c r="N3885" s="6"/>
      <c r="O3885" s="6"/>
      <c r="P3885" s="6"/>
      <c r="Q3885" s="6"/>
      <c r="R3885" s="6"/>
      <c r="S3885" s="6"/>
      <c r="T3885" s="6"/>
    </row>
    <row r="3886" spans="4:20" x14ac:dyDescent="0.2">
      <c r="D3886" s="6"/>
      <c r="E3886" s="6"/>
      <c r="F3886" s="6"/>
      <c r="G3886" s="19"/>
      <c r="H3886" s="19"/>
      <c r="I3886" s="19"/>
      <c r="J3886" s="19"/>
      <c r="K3886" s="6"/>
      <c r="L3886" s="6"/>
      <c r="M3886" s="6"/>
      <c r="N3886" s="6"/>
      <c r="O3886" s="6"/>
      <c r="P3886" s="6"/>
      <c r="Q3886" s="6"/>
      <c r="R3886" s="6"/>
      <c r="S3886" s="6"/>
      <c r="T3886" s="6"/>
    </row>
    <row r="3887" spans="4:20" x14ac:dyDescent="0.2">
      <c r="D3887" s="6"/>
      <c r="E3887" s="6"/>
      <c r="F3887" s="6"/>
      <c r="G3887" s="19"/>
      <c r="H3887" s="19"/>
      <c r="I3887" s="19"/>
      <c r="J3887" s="19"/>
      <c r="K3887" s="6"/>
      <c r="L3887" s="6"/>
      <c r="M3887" s="6"/>
      <c r="N3887" s="6"/>
      <c r="O3887" s="6"/>
      <c r="P3887" s="6"/>
      <c r="Q3887" s="6"/>
      <c r="R3887" s="6"/>
      <c r="S3887" s="6"/>
      <c r="T3887" s="6"/>
    </row>
    <row r="3888" spans="4:20" x14ac:dyDescent="0.2">
      <c r="D3888" s="6"/>
      <c r="E3888" s="6"/>
      <c r="F3888" s="6"/>
      <c r="G3888" s="19"/>
      <c r="H3888" s="19"/>
      <c r="I3888" s="19"/>
      <c r="J3888" s="19"/>
      <c r="K3888" s="6"/>
      <c r="L3888" s="6"/>
      <c r="M3888" s="6"/>
      <c r="N3888" s="6"/>
      <c r="O3888" s="6"/>
      <c r="P3888" s="6"/>
      <c r="Q3888" s="6"/>
      <c r="R3888" s="6"/>
      <c r="S3888" s="6"/>
      <c r="T3888" s="6"/>
    </row>
    <row r="3889" spans="4:20" x14ac:dyDescent="0.2">
      <c r="D3889" s="6"/>
      <c r="E3889" s="6"/>
      <c r="F3889" s="6"/>
      <c r="G3889" s="19"/>
      <c r="H3889" s="19"/>
      <c r="I3889" s="19"/>
      <c r="J3889" s="19"/>
      <c r="K3889" s="6"/>
      <c r="L3889" s="6"/>
      <c r="M3889" s="6"/>
      <c r="N3889" s="6"/>
      <c r="O3889" s="6"/>
      <c r="P3889" s="6"/>
      <c r="Q3889" s="6"/>
      <c r="R3889" s="6"/>
      <c r="S3889" s="6"/>
      <c r="T3889" s="6"/>
    </row>
    <row r="3890" spans="4:20" x14ac:dyDescent="0.2">
      <c r="D3890" s="6"/>
      <c r="E3890" s="6"/>
      <c r="F3890" s="6"/>
      <c r="G3890" s="19"/>
      <c r="H3890" s="19"/>
      <c r="I3890" s="19"/>
      <c r="J3890" s="19"/>
      <c r="K3890" s="6"/>
      <c r="L3890" s="6"/>
      <c r="M3890" s="6"/>
      <c r="N3890" s="6"/>
      <c r="O3890" s="6"/>
      <c r="P3890" s="6"/>
      <c r="Q3890" s="6"/>
      <c r="R3890" s="6"/>
      <c r="S3890" s="6"/>
      <c r="T3890" s="6"/>
    </row>
    <row r="3891" spans="4:20" x14ac:dyDescent="0.2">
      <c r="D3891" s="6"/>
      <c r="E3891" s="6"/>
      <c r="F3891" s="6"/>
      <c r="G3891" s="19"/>
      <c r="H3891" s="19"/>
      <c r="I3891" s="19"/>
      <c r="J3891" s="19"/>
      <c r="K3891" s="6"/>
      <c r="L3891" s="6"/>
      <c r="M3891" s="6"/>
      <c r="N3891" s="6"/>
      <c r="O3891" s="6"/>
      <c r="P3891" s="6"/>
      <c r="Q3891" s="6"/>
      <c r="R3891" s="6"/>
      <c r="S3891" s="6"/>
      <c r="T3891" s="6"/>
    </row>
    <row r="3892" spans="4:20" x14ac:dyDescent="0.2">
      <c r="D3892" s="6"/>
      <c r="E3892" s="6"/>
      <c r="F3892" s="6"/>
      <c r="G3892" s="19"/>
      <c r="H3892" s="19"/>
      <c r="I3892" s="19"/>
      <c r="J3892" s="19"/>
      <c r="K3892" s="6"/>
      <c r="L3892" s="6"/>
      <c r="M3892" s="6"/>
      <c r="N3892" s="6"/>
      <c r="O3892" s="6"/>
      <c r="P3892" s="6"/>
      <c r="Q3892" s="6"/>
      <c r="R3892" s="6"/>
      <c r="S3892" s="6"/>
      <c r="T3892" s="6"/>
    </row>
    <row r="3893" spans="4:20" x14ac:dyDescent="0.2">
      <c r="D3893" s="6"/>
      <c r="E3893" s="6"/>
      <c r="F3893" s="6"/>
      <c r="G3893" s="19"/>
      <c r="H3893" s="19"/>
      <c r="I3893" s="19"/>
      <c r="J3893" s="19"/>
      <c r="K3893" s="6"/>
      <c r="L3893" s="6"/>
      <c r="M3893" s="6"/>
      <c r="N3893" s="6"/>
      <c r="O3893" s="6"/>
      <c r="P3893" s="6"/>
      <c r="Q3893" s="6"/>
      <c r="R3893" s="6"/>
      <c r="S3893" s="6"/>
      <c r="T3893" s="6"/>
    </row>
    <row r="3894" spans="4:20" x14ac:dyDescent="0.2">
      <c r="D3894" s="6"/>
      <c r="E3894" s="6"/>
      <c r="F3894" s="6"/>
      <c r="G3894" s="19"/>
      <c r="H3894" s="19"/>
      <c r="I3894" s="19"/>
      <c r="J3894" s="19"/>
      <c r="K3894" s="6"/>
      <c r="L3894" s="6"/>
      <c r="M3894" s="6"/>
      <c r="N3894" s="6"/>
      <c r="O3894" s="6"/>
      <c r="P3894" s="6"/>
      <c r="Q3894" s="6"/>
      <c r="R3894" s="6"/>
      <c r="S3894" s="6"/>
      <c r="T3894" s="6"/>
    </row>
    <row r="3895" spans="4:20" x14ac:dyDescent="0.2">
      <c r="D3895" s="6"/>
      <c r="E3895" s="6"/>
      <c r="F3895" s="6"/>
      <c r="G3895" s="19"/>
      <c r="H3895" s="19"/>
      <c r="I3895" s="19"/>
      <c r="J3895" s="19"/>
      <c r="K3895" s="6"/>
      <c r="L3895" s="6"/>
      <c r="M3895" s="6"/>
      <c r="N3895" s="6"/>
      <c r="O3895" s="6"/>
      <c r="P3895" s="6"/>
      <c r="Q3895" s="6"/>
      <c r="R3895" s="6"/>
      <c r="S3895" s="6"/>
      <c r="T3895" s="6"/>
    </row>
    <row r="3896" spans="4:20" x14ac:dyDescent="0.2">
      <c r="D3896" s="6"/>
      <c r="E3896" s="6"/>
      <c r="F3896" s="6"/>
      <c r="G3896" s="19"/>
      <c r="H3896" s="19"/>
      <c r="I3896" s="19"/>
      <c r="J3896" s="19"/>
      <c r="K3896" s="6"/>
      <c r="L3896" s="6"/>
      <c r="M3896" s="6"/>
      <c r="N3896" s="6"/>
      <c r="O3896" s="6"/>
      <c r="P3896" s="6"/>
      <c r="Q3896" s="6"/>
      <c r="R3896" s="6"/>
      <c r="S3896" s="6"/>
      <c r="T3896" s="6"/>
    </row>
    <row r="3897" spans="4:20" x14ac:dyDescent="0.2">
      <c r="D3897" s="6"/>
      <c r="E3897" s="6"/>
      <c r="F3897" s="6"/>
      <c r="G3897" s="19"/>
      <c r="H3897" s="19"/>
      <c r="I3897" s="19"/>
      <c r="J3897" s="19"/>
      <c r="K3897" s="6"/>
      <c r="L3897" s="6"/>
      <c r="M3897" s="6"/>
      <c r="N3897" s="6"/>
      <c r="O3897" s="6"/>
      <c r="P3897" s="6"/>
      <c r="Q3897" s="6"/>
      <c r="R3897" s="6"/>
      <c r="S3897" s="6"/>
      <c r="T3897" s="6"/>
    </row>
    <row r="3898" spans="4:20" x14ac:dyDescent="0.2">
      <c r="D3898" s="6"/>
      <c r="E3898" s="6"/>
      <c r="F3898" s="6"/>
      <c r="G3898" s="19"/>
      <c r="H3898" s="19"/>
      <c r="I3898" s="19"/>
      <c r="J3898" s="19"/>
      <c r="K3898" s="6"/>
      <c r="L3898" s="6"/>
      <c r="M3898" s="6"/>
      <c r="N3898" s="6"/>
      <c r="O3898" s="6"/>
      <c r="P3898" s="6"/>
      <c r="Q3898" s="6"/>
      <c r="R3898" s="6"/>
      <c r="S3898" s="6"/>
      <c r="T3898" s="6"/>
    </row>
    <row r="3899" spans="4:20" x14ac:dyDescent="0.2">
      <c r="D3899" s="6"/>
      <c r="E3899" s="6"/>
      <c r="F3899" s="6"/>
      <c r="G3899" s="19"/>
      <c r="H3899" s="19"/>
      <c r="I3899" s="19"/>
      <c r="J3899" s="19"/>
      <c r="K3899" s="6"/>
      <c r="L3899" s="6"/>
      <c r="M3899" s="6"/>
      <c r="N3899" s="6"/>
      <c r="O3899" s="6"/>
      <c r="P3899" s="6"/>
      <c r="Q3899" s="6"/>
      <c r="R3899" s="6"/>
      <c r="S3899" s="6"/>
      <c r="T3899" s="6"/>
    </row>
    <row r="3900" spans="4:20" x14ac:dyDescent="0.2">
      <c r="D3900" s="6"/>
      <c r="E3900" s="6"/>
      <c r="F3900" s="6"/>
      <c r="G3900" s="19"/>
      <c r="H3900" s="19"/>
      <c r="I3900" s="19"/>
      <c r="J3900" s="19"/>
      <c r="K3900" s="6"/>
      <c r="L3900" s="6"/>
      <c r="M3900" s="6"/>
      <c r="N3900" s="6"/>
      <c r="O3900" s="6"/>
      <c r="P3900" s="6"/>
      <c r="Q3900" s="6"/>
      <c r="R3900" s="6"/>
      <c r="S3900" s="6"/>
      <c r="T3900" s="6"/>
    </row>
    <row r="3901" spans="4:20" x14ac:dyDescent="0.2">
      <c r="D3901" s="6"/>
      <c r="E3901" s="6"/>
      <c r="F3901" s="6"/>
      <c r="G3901" s="19"/>
      <c r="H3901" s="19"/>
      <c r="I3901" s="19"/>
      <c r="J3901" s="19"/>
      <c r="K3901" s="6"/>
      <c r="L3901" s="6"/>
      <c r="M3901" s="6"/>
      <c r="N3901" s="6"/>
      <c r="O3901" s="6"/>
      <c r="P3901" s="6"/>
      <c r="Q3901" s="6"/>
      <c r="R3901" s="6"/>
      <c r="S3901" s="6"/>
      <c r="T3901" s="6"/>
    </row>
    <row r="3902" spans="4:20" x14ac:dyDescent="0.2">
      <c r="D3902" s="6"/>
      <c r="E3902" s="6"/>
      <c r="F3902" s="6"/>
      <c r="G3902" s="19"/>
      <c r="H3902" s="19"/>
      <c r="I3902" s="19"/>
      <c r="J3902" s="19"/>
      <c r="K3902" s="6"/>
      <c r="L3902" s="6"/>
      <c r="M3902" s="6"/>
      <c r="N3902" s="6"/>
      <c r="O3902" s="6"/>
      <c r="P3902" s="6"/>
      <c r="Q3902" s="6"/>
      <c r="R3902" s="6"/>
      <c r="S3902" s="6"/>
      <c r="T3902" s="6"/>
    </row>
    <row r="3903" spans="4:20" x14ac:dyDescent="0.2">
      <c r="D3903" s="6"/>
      <c r="E3903" s="6"/>
      <c r="F3903" s="6"/>
      <c r="G3903" s="19"/>
      <c r="H3903" s="19"/>
      <c r="I3903" s="19"/>
      <c r="J3903" s="19"/>
      <c r="K3903" s="6"/>
      <c r="L3903" s="6"/>
      <c r="M3903" s="6"/>
      <c r="N3903" s="6"/>
      <c r="O3903" s="6"/>
      <c r="P3903" s="6"/>
      <c r="Q3903" s="6"/>
      <c r="R3903" s="6"/>
      <c r="S3903" s="6"/>
      <c r="T3903" s="6"/>
    </row>
    <row r="3904" spans="4:20" x14ac:dyDescent="0.2">
      <c r="D3904" s="6"/>
      <c r="E3904" s="6"/>
      <c r="F3904" s="6"/>
      <c r="G3904" s="19"/>
      <c r="H3904" s="19"/>
      <c r="I3904" s="19"/>
      <c r="J3904" s="19"/>
      <c r="K3904" s="6"/>
      <c r="L3904" s="6"/>
      <c r="M3904" s="6"/>
      <c r="N3904" s="6"/>
      <c r="O3904" s="6"/>
      <c r="P3904" s="6"/>
      <c r="Q3904" s="6"/>
      <c r="R3904" s="6"/>
      <c r="S3904" s="6"/>
      <c r="T3904" s="6"/>
    </row>
    <row r="3905" spans="4:20" x14ac:dyDescent="0.2">
      <c r="D3905" s="6"/>
      <c r="E3905" s="6"/>
      <c r="F3905" s="6"/>
      <c r="G3905" s="19"/>
      <c r="H3905" s="19"/>
      <c r="I3905" s="19"/>
      <c r="J3905" s="19"/>
      <c r="K3905" s="6"/>
      <c r="L3905" s="6"/>
      <c r="M3905" s="6"/>
      <c r="N3905" s="6"/>
      <c r="O3905" s="6"/>
      <c r="P3905" s="6"/>
      <c r="Q3905" s="6"/>
      <c r="R3905" s="6"/>
      <c r="S3905" s="6"/>
      <c r="T3905" s="6"/>
    </row>
    <row r="3906" spans="4:20" x14ac:dyDescent="0.2">
      <c r="D3906" s="6"/>
      <c r="E3906" s="6"/>
      <c r="F3906" s="6"/>
      <c r="G3906" s="19"/>
      <c r="H3906" s="19"/>
      <c r="I3906" s="19"/>
      <c r="J3906" s="19"/>
      <c r="K3906" s="6"/>
      <c r="L3906" s="6"/>
      <c r="M3906" s="6"/>
      <c r="N3906" s="6"/>
      <c r="O3906" s="6"/>
      <c r="P3906" s="6"/>
      <c r="Q3906" s="6"/>
      <c r="R3906" s="6"/>
      <c r="S3906" s="6"/>
      <c r="T3906" s="6"/>
    </row>
    <row r="3907" spans="4:20" x14ac:dyDescent="0.2">
      <c r="D3907" s="6"/>
      <c r="E3907" s="6"/>
      <c r="F3907" s="6"/>
      <c r="G3907" s="19"/>
      <c r="H3907" s="19"/>
      <c r="I3907" s="19"/>
      <c r="J3907" s="19"/>
      <c r="K3907" s="6"/>
      <c r="L3907" s="6"/>
      <c r="M3907" s="6"/>
      <c r="N3907" s="6"/>
      <c r="O3907" s="6"/>
      <c r="P3907" s="6"/>
      <c r="Q3907" s="6"/>
      <c r="R3907" s="6"/>
      <c r="S3907" s="6"/>
      <c r="T3907" s="6"/>
    </row>
    <row r="3908" spans="4:20" x14ac:dyDescent="0.2">
      <c r="D3908" s="6"/>
      <c r="E3908" s="6"/>
      <c r="F3908" s="6"/>
      <c r="G3908" s="19"/>
      <c r="H3908" s="19"/>
      <c r="I3908" s="19"/>
      <c r="J3908" s="19"/>
      <c r="K3908" s="6"/>
      <c r="L3908" s="6"/>
      <c r="M3908" s="6"/>
      <c r="N3908" s="6"/>
      <c r="O3908" s="6"/>
      <c r="P3908" s="6"/>
      <c r="Q3908" s="6"/>
      <c r="R3908" s="6"/>
      <c r="S3908" s="6"/>
      <c r="T3908" s="6"/>
    </row>
    <row r="3909" spans="4:20" x14ac:dyDescent="0.2">
      <c r="D3909" s="6"/>
      <c r="E3909" s="6"/>
      <c r="F3909" s="6"/>
      <c r="G3909" s="19"/>
      <c r="H3909" s="19"/>
      <c r="I3909" s="19"/>
      <c r="J3909" s="19"/>
      <c r="K3909" s="6"/>
      <c r="L3909" s="6"/>
      <c r="M3909" s="6"/>
      <c r="N3909" s="6"/>
      <c r="O3909" s="6"/>
      <c r="P3909" s="6"/>
      <c r="Q3909" s="6"/>
      <c r="R3909" s="6"/>
      <c r="S3909" s="6"/>
      <c r="T3909" s="6"/>
    </row>
    <row r="3910" spans="4:20" x14ac:dyDescent="0.2">
      <c r="D3910" s="6"/>
      <c r="E3910" s="6"/>
      <c r="F3910" s="6"/>
      <c r="G3910" s="19"/>
      <c r="H3910" s="19"/>
      <c r="I3910" s="19"/>
      <c r="J3910" s="19"/>
      <c r="K3910" s="6"/>
      <c r="L3910" s="6"/>
      <c r="M3910" s="6"/>
      <c r="N3910" s="6"/>
      <c r="O3910" s="6"/>
      <c r="P3910" s="6"/>
      <c r="Q3910" s="6"/>
      <c r="R3910" s="6"/>
      <c r="S3910" s="6"/>
      <c r="T3910" s="6"/>
    </row>
    <row r="3911" spans="4:20" x14ac:dyDescent="0.2">
      <c r="D3911" s="6"/>
      <c r="E3911" s="6"/>
      <c r="F3911" s="6"/>
      <c r="G3911" s="19"/>
      <c r="H3911" s="19"/>
      <c r="I3911" s="19"/>
      <c r="J3911" s="19"/>
      <c r="K3911" s="6"/>
      <c r="L3911" s="6"/>
      <c r="M3911" s="6"/>
      <c r="N3911" s="6"/>
      <c r="O3911" s="6"/>
      <c r="P3911" s="6"/>
      <c r="Q3911" s="6"/>
      <c r="R3911" s="6"/>
      <c r="S3911" s="6"/>
      <c r="T3911" s="6"/>
    </row>
    <row r="3912" spans="4:20" x14ac:dyDescent="0.2">
      <c r="D3912" s="6"/>
      <c r="E3912" s="6"/>
      <c r="F3912" s="6"/>
      <c r="G3912" s="19"/>
      <c r="H3912" s="19"/>
      <c r="I3912" s="19"/>
      <c r="J3912" s="19"/>
      <c r="K3912" s="6"/>
      <c r="L3912" s="6"/>
      <c r="M3912" s="6"/>
      <c r="N3912" s="6"/>
      <c r="O3912" s="6"/>
      <c r="P3912" s="6"/>
      <c r="Q3912" s="6"/>
      <c r="R3912" s="6"/>
      <c r="S3912" s="6"/>
      <c r="T3912" s="6"/>
    </row>
    <row r="3913" spans="4:20" x14ac:dyDescent="0.2">
      <c r="D3913" s="6"/>
      <c r="E3913" s="6"/>
      <c r="F3913" s="6"/>
      <c r="G3913" s="19"/>
      <c r="H3913" s="19"/>
      <c r="I3913" s="19"/>
      <c r="J3913" s="19"/>
      <c r="K3913" s="6"/>
      <c r="L3913" s="6"/>
      <c r="M3913" s="6"/>
      <c r="N3913" s="6"/>
      <c r="O3913" s="6"/>
      <c r="P3913" s="6"/>
      <c r="Q3913" s="6"/>
      <c r="R3913" s="6"/>
      <c r="S3913" s="6"/>
      <c r="T3913" s="6"/>
    </row>
    <row r="3914" spans="4:20" x14ac:dyDescent="0.2">
      <c r="D3914" s="6"/>
      <c r="E3914" s="6"/>
      <c r="F3914" s="6"/>
      <c r="G3914" s="19"/>
      <c r="H3914" s="19"/>
      <c r="I3914" s="19"/>
      <c r="J3914" s="19"/>
      <c r="K3914" s="6"/>
      <c r="L3914" s="6"/>
      <c r="M3914" s="6"/>
      <c r="N3914" s="6"/>
      <c r="O3914" s="6"/>
      <c r="P3914" s="6"/>
      <c r="Q3914" s="6"/>
      <c r="R3914" s="6"/>
      <c r="S3914" s="6"/>
      <c r="T3914" s="6"/>
    </row>
    <row r="3915" spans="4:20" x14ac:dyDescent="0.2">
      <c r="D3915" s="6"/>
      <c r="E3915" s="6"/>
      <c r="F3915" s="6"/>
      <c r="G3915" s="19"/>
      <c r="H3915" s="19"/>
      <c r="I3915" s="19"/>
      <c r="J3915" s="19"/>
      <c r="K3915" s="6"/>
      <c r="L3915" s="6"/>
      <c r="M3915" s="6"/>
      <c r="N3915" s="6"/>
      <c r="O3915" s="6"/>
      <c r="P3915" s="6"/>
      <c r="Q3915" s="6"/>
      <c r="R3915" s="6"/>
      <c r="S3915" s="6"/>
      <c r="T3915" s="6"/>
    </row>
    <row r="3916" spans="4:20" x14ac:dyDescent="0.2">
      <c r="D3916" s="6"/>
      <c r="E3916" s="6"/>
      <c r="F3916" s="6"/>
      <c r="G3916" s="19"/>
      <c r="H3916" s="19"/>
      <c r="I3916" s="19"/>
      <c r="J3916" s="19"/>
      <c r="K3916" s="6"/>
      <c r="L3916" s="6"/>
      <c r="M3916" s="6"/>
      <c r="N3916" s="6"/>
      <c r="O3916" s="6"/>
      <c r="P3916" s="6"/>
      <c r="Q3916" s="6"/>
      <c r="R3916" s="6"/>
      <c r="S3916" s="6"/>
      <c r="T3916" s="6"/>
    </row>
    <row r="3917" spans="4:20" x14ac:dyDescent="0.2">
      <c r="D3917" s="6"/>
      <c r="E3917" s="6"/>
      <c r="F3917" s="6"/>
      <c r="G3917" s="19"/>
      <c r="H3917" s="19"/>
      <c r="I3917" s="19"/>
      <c r="J3917" s="19"/>
      <c r="K3917" s="6"/>
      <c r="L3917" s="6"/>
      <c r="M3917" s="6"/>
      <c r="N3917" s="6"/>
      <c r="O3917" s="6"/>
      <c r="P3917" s="6"/>
      <c r="Q3917" s="6"/>
      <c r="R3917" s="6"/>
      <c r="S3917" s="6"/>
      <c r="T3917" s="6"/>
    </row>
    <row r="3918" spans="4:20" x14ac:dyDescent="0.2">
      <c r="D3918" s="6"/>
      <c r="E3918" s="6"/>
      <c r="F3918" s="6"/>
      <c r="G3918" s="19"/>
      <c r="H3918" s="19"/>
      <c r="I3918" s="19"/>
      <c r="J3918" s="19"/>
      <c r="K3918" s="6"/>
      <c r="L3918" s="6"/>
      <c r="M3918" s="6"/>
      <c r="N3918" s="6"/>
      <c r="O3918" s="6"/>
      <c r="P3918" s="6"/>
      <c r="Q3918" s="6"/>
      <c r="R3918" s="6"/>
      <c r="S3918" s="6"/>
      <c r="T3918" s="6"/>
    </row>
    <row r="3919" spans="4:20" x14ac:dyDescent="0.2">
      <c r="D3919" s="6"/>
      <c r="E3919" s="6"/>
      <c r="F3919" s="6"/>
      <c r="G3919" s="19"/>
      <c r="H3919" s="19"/>
      <c r="I3919" s="19"/>
      <c r="J3919" s="19"/>
      <c r="K3919" s="6"/>
      <c r="L3919" s="6"/>
      <c r="M3919" s="6"/>
      <c r="N3919" s="6"/>
      <c r="O3919" s="6"/>
      <c r="P3919" s="6"/>
      <c r="Q3919" s="6"/>
      <c r="R3919" s="6"/>
      <c r="S3919" s="6"/>
      <c r="T3919" s="6"/>
    </row>
    <row r="3920" spans="4:20" x14ac:dyDescent="0.2">
      <c r="D3920" s="6"/>
      <c r="E3920" s="6"/>
      <c r="F3920" s="6"/>
      <c r="G3920" s="19"/>
      <c r="H3920" s="19"/>
      <c r="I3920" s="19"/>
      <c r="J3920" s="19"/>
      <c r="K3920" s="6"/>
      <c r="L3920" s="6"/>
      <c r="M3920" s="6"/>
      <c r="N3920" s="6"/>
      <c r="O3920" s="6"/>
      <c r="P3920" s="6"/>
      <c r="Q3920" s="6"/>
      <c r="R3920" s="6"/>
      <c r="S3920" s="6"/>
      <c r="T3920" s="6"/>
    </row>
    <row r="3921" spans="4:20" x14ac:dyDescent="0.2">
      <c r="D3921" s="6"/>
      <c r="E3921" s="6"/>
      <c r="F3921" s="6"/>
      <c r="G3921" s="19"/>
      <c r="H3921" s="19"/>
      <c r="I3921" s="19"/>
      <c r="J3921" s="19"/>
      <c r="K3921" s="6"/>
      <c r="L3921" s="6"/>
      <c r="M3921" s="6"/>
      <c r="N3921" s="6"/>
      <c r="O3921" s="6"/>
      <c r="P3921" s="6"/>
      <c r="Q3921" s="6"/>
      <c r="R3921" s="6"/>
      <c r="S3921" s="6"/>
      <c r="T3921" s="6"/>
    </row>
    <row r="3922" spans="4:20" x14ac:dyDescent="0.2">
      <c r="D3922" s="6"/>
      <c r="E3922" s="6"/>
      <c r="F3922" s="6"/>
      <c r="G3922" s="19"/>
      <c r="H3922" s="19"/>
      <c r="I3922" s="19"/>
      <c r="J3922" s="19"/>
      <c r="K3922" s="6"/>
      <c r="L3922" s="6"/>
      <c r="M3922" s="6"/>
      <c r="N3922" s="6"/>
      <c r="O3922" s="6"/>
      <c r="P3922" s="6"/>
      <c r="Q3922" s="6"/>
      <c r="R3922" s="6"/>
      <c r="S3922" s="6"/>
      <c r="T3922" s="6"/>
    </row>
    <row r="3923" spans="4:20" x14ac:dyDescent="0.2">
      <c r="D3923" s="6"/>
      <c r="E3923" s="6"/>
      <c r="F3923" s="6"/>
      <c r="G3923" s="19"/>
      <c r="H3923" s="19"/>
      <c r="I3923" s="19"/>
      <c r="J3923" s="19"/>
      <c r="K3923" s="6"/>
      <c r="L3923" s="6"/>
      <c r="M3923" s="6"/>
      <c r="N3923" s="6"/>
      <c r="O3923" s="6"/>
      <c r="P3923" s="6"/>
      <c r="Q3923" s="6"/>
      <c r="R3923" s="6"/>
      <c r="S3923" s="6"/>
      <c r="T3923" s="6"/>
    </row>
    <row r="3924" spans="4:20" x14ac:dyDescent="0.2">
      <c r="D3924" s="6"/>
      <c r="E3924" s="6"/>
      <c r="F3924" s="6"/>
      <c r="G3924" s="19"/>
      <c r="H3924" s="19"/>
      <c r="I3924" s="19"/>
      <c r="J3924" s="19"/>
      <c r="K3924" s="6"/>
      <c r="L3924" s="6"/>
      <c r="M3924" s="6"/>
      <c r="N3924" s="6"/>
      <c r="O3924" s="6"/>
      <c r="P3924" s="6"/>
      <c r="Q3924" s="6"/>
      <c r="R3924" s="6"/>
      <c r="S3924" s="6"/>
      <c r="T3924" s="6"/>
    </row>
    <row r="3925" spans="4:20" x14ac:dyDescent="0.2">
      <c r="D3925" s="6"/>
      <c r="E3925" s="6"/>
      <c r="F3925" s="6"/>
      <c r="G3925" s="19"/>
      <c r="H3925" s="19"/>
      <c r="I3925" s="19"/>
      <c r="J3925" s="19"/>
      <c r="K3925" s="6"/>
      <c r="L3925" s="6"/>
      <c r="M3925" s="6"/>
      <c r="N3925" s="6"/>
      <c r="O3925" s="6"/>
      <c r="P3925" s="6"/>
      <c r="Q3925" s="6"/>
      <c r="R3925" s="6"/>
      <c r="S3925" s="6"/>
      <c r="T3925" s="6"/>
    </row>
    <row r="3926" spans="4:20" x14ac:dyDescent="0.2">
      <c r="D3926" s="6"/>
      <c r="E3926" s="6"/>
      <c r="F3926" s="6"/>
      <c r="G3926" s="19"/>
      <c r="H3926" s="19"/>
      <c r="I3926" s="19"/>
      <c r="J3926" s="19"/>
      <c r="K3926" s="6"/>
      <c r="L3926" s="6"/>
      <c r="M3926" s="6"/>
      <c r="N3926" s="6"/>
      <c r="O3926" s="6"/>
      <c r="P3926" s="6"/>
      <c r="Q3926" s="6"/>
      <c r="R3926" s="6"/>
      <c r="S3926" s="6"/>
      <c r="T3926" s="6"/>
    </row>
    <row r="3927" spans="4:20" x14ac:dyDescent="0.2">
      <c r="D3927" s="6"/>
      <c r="E3927" s="6"/>
      <c r="F3927" s="6"/>
      <c r="G3927" s="19"/>
      <c r="H3927" s="19"/>
      <c r="I3927" s="19"/>
      <c r="J3927" s="19"/>
      <c r="K3927" s="6"/>
      <c r="L3927" s="6"/>
      <c r="M3927" s="6"/>
      <c r="N3927" s="6"/>
      <c r="O3927" s="6"/>
      <c r="P3927" s="6"/>
      <c r="Q3927" s="6"/>
      <c r="R3927" s="6"/>
      <c r="S3927" s="6"/>
      <c r="T3927" s="6"/>
    </row>
    <row r="3928" spans="4:20" x14ac:dyDescent="0.2">
      <c r="D3928" s="6"/>
      <c r="E3928" s="6"/>
      <c r="F3928" s="6"/>
      <c r="G3928" s="19"/>
      <c r="H3928" s="19"/>
      <c r="I3928" s="19"/>
      <c r="J3928" s="19"/>
      <c r="K3928" s="6"/>
      <c r="L3928" s="6"/>
      <c r="M3928" s="6"/>
      <c r="N3928" s="6"/>
      <c r="O3928" s="6"/>
      <c r="P3928" s="6"/>
      <c r="Q3928" s="6"/>
      <c r="R3928" s="6"/>
      <c r="S3928" s="6"/>
      <c r="T3928" s="6"/>
    </row>
    <row r="3929" spans="4:20" x14ac:dyDescent="0.2">
      <c r="D3929" s="6"/>
      <c r="E3929" s="6"/>
      <c r="F3929" s="6"/>
      <c r="G3929" s="19"/>
      <c r="H3929" s="19"/>
      <c r="I3929" s="19"/>
      <c r="J3929" s="19"/>
      <c r="K3929" s="6"/>
      <c r="L3929" s="6"/>
      <c r="M3929" s="6"/>
      <c r="N3929" s="6"/>
      <c r="O3929" s="6"/>
      <c r="P3929" s="6"/>
      <c r="Q3929" s="6"/>
      <c r="R3929" s="6"/>
      <c r="S3929" s="6"/>
      <c r="T3929" s="6"/>
    </row>
    <row r="3930" spans="4:20" x14ac:dyDescent="0.2">
      <c r="D3930" s="6"/>
      <c r="E3930" s="6"/>
      <c r="F3930" s="6"/>
      <c r="G3930" s="19"/>
      <c r="H3930" s="19"/>
      <c r="I3930" s="19"/>
      <c r="J3930" s="19"/>
      <c r="K3930" s="6"/>
      <c r="L3930" s="6"/>
      <c r="M3930" s="6"/>
      <c r="N3930" s="6"/>
      <c r="O3930" s="6"/>
      <c r="P3930" s="6"/>
      <c r="Q3930" s="6"/>
      <c r="R3930" s="6"/>
      <c r="S3930" s="6"/>
      <c r="T3930" s="6"/>
    </row>
    <row r="3931" spans="4:20" x14ac:dyDescent="0.2">
      <c r="D3931" s="6"/>
      <c r="E3931" s="6"/>
      <c r="F3931" s="6"/>
      <c r="G3931" s="19"/>
      <c r="H3931" s="19"/>
      <c r="I3931" s="19"/>
      <c r="J3931" s="19"/>
      <c r="K3931" s="6"/>
      <c r="L3931" s="6"/>
      <c r="M3931" s="6"/>
      <c r="N3931" s="6"/>
      <c r="O3931" s="6"/>
      <c r="P3931" s="6"/>
      <c r="Q3931" s="6"/>
      <c r="R3931" s="6"/>
      <c r="S3931" s="6"/>
      <c r="T3931" s="6"/>
    </row>
    <row r="3932" spans="4:20" x14ac:dyDescent="0.2">
      <c r="D3932" s="6"/>
      <c r="E3932" s="6"/>
      <c r="F3932" s="6"/>
      <c r="G3932" s="19"/>
      <c r="H3932" s="19"/>
      <c r="I3932" s="19"/>
      <c r="J3932" s="19"/>
      <c r="K3932" s="6"/>
      <c r="L3932" s="6"/>
      <c r="M3932" s="6"/>
      <c r="N3932" s="6"/>
      <c r="O3932" s="6"/>
      <c r="P3932" s="6"/>
      <c r="Q3932" s="6"/>
      <c r="R3932" s="6"/>
      <c r="S3932" s="6"/>
      <c r="T3932" s="6"/>
    </row>
    <row r="3933" spans="4:20" x14ac:dyDescent="0.2">
      <c r="D3933" s="6"/>
      <c r="E3933" s="6"/>
      <c r="F3933" s="6"/>
      <c r="G3933" s="19"/>
      <c r="H3933" s="19"/>
      <c r="I3933" s="19"/>
      <c r="J3933" s="19"/>
      <c r="K3933" s="6"/>
      <c r="L3933" s="6"/>
      <c r="M3933" s="6"/>
      <c r="N3933" s="6"/>
      <c r="O3933" s="6"/>
      <c r="P3933" s="6"/>
      <c r="Q3933" s="6"/>
      <c r="R3933" s="6"/>
      <c r="S3933" s="6"/>
      <c r="T3933" s="6"/>
    </row>
    <row r="3934" spans="4:20" x14ac:dyDescent="0.2">
      <c r="D3934" s="6"/>
      <c r="E3934" s="6"/>
      <c r="F3934" s="6"/>
      <c r="G3934" s="19"/>
      <c r="H3934" s="19"/>
      <c r="I3934" s="19"/>
      <c r="J3934" s="19"/>
      <c r="K3934" s="6"/>
      <c r="L3934" s="6"/>
      <c r="M3934" s="6"/>
      <c r="N3934" s="6"/>
      <c r="O3934" s="6"/>
      <c r="P3934" s="6"/>
      <c r="Q3934" s="6"/>
      <c r="R3934" s="6"/>
      <c r="S3934" s="6"/>
      <c r="T3934" s="6"/>
    </row>
    <row r="3935" spans="4:20" x14ac:dyDescent="0.2">
      <c r="D3935" s="6"/>
      <c r="E3935" s="6"/>
      <c r="F3935" s="6"/>
      <c r="G3935" s="19"/>
      <c r="H3935" s="19"/>
      <c r="I3935" s="19"/>
      <c r="J3935" s="19"/>
      <c r="K3935" s="6"/>
      <c r="L3935" s="6"/>
      <c r="M3935" s="6"/>
      <c r="N3935" s="6"/>
      <c r="O3935" s="6"/>
      <c r="P3935" s="6"/>
      <c r="Q3935" s="6"/>
      <c r="R3935" s="6"/>
      <c r="S3935" s="6"/>
      <c r="T3935" s="6"/>
    </row>
    <row r="3936" spans="4:20" x14ac:dyDescent="0.2">
      <c r="D3936" s="6"/>
      <c r="E3936" s="6"/>
      <c r="F3936" s="6"/>
      <c r="G3936" s="19"/>
      <c r="H3936" s="19"/>
      <c r="I3936" s="19"/>
      <c r="J3936" s="19"/>
      <c r="K3936" s="6"/>
      <c r="L3936" s="6"/>
      <c r="M3936" s="6"/>
      <c r="N3936" s="6"/>
      <c r="O3936" s="6"/>
      <c r="P3936" s="6"/>
      <c r="Q3936" s="6"/>
      <c r="R3936" s="6"/>
      <c r="S3936" s="6"/>
      <c r="T3936" s="6"/>
    </row>
    <row r="3937" spans="4:20" x14ac:dyDescent="0.2">
      <c r="D3937" s="6"/>
      <c r="E3937" s="6"/>
      <c r="F3937" s="6"/>
      <c r="G3937" s="19"/>
      <c r="H3937" s="19"/>
      <c r="I3937" s="19"/>
      <c r="J3937" s="19"/>
      <c r="K3937" s="6"/>
      <c r="L3937" s="6"/>
      <c r="M3937" s="6"/>
      <c r="N3937" s="6"/>
      <c r="O3937" s="6"/>
      <c r="P3937" s="6"/>
      <c r="Q3937" s="6"/>
      <c r="R3937" s="6"/>
      <c r="S3937" s="6"/>
      <c r="T3937" s="6"/>
    </row>
    <row r="3938" spans="4:20" x14ac:dyDescent="0.2">
      <c r="D3938" s="6"/>
      <c r="E3938" s="6"/>
      <c r="F3938" s="6"/>
      <c r="G3938" s="19"/>
      <c r="H3938" s="19"/>
      <c r="I3938" s="19"/>
      <c r="J3938" s="19"/>
      <c r="K3938" s="6"/>
      <c r="L3938" s="6"/>
      <c r="M3938" s="6"/>
      <c r="N3938" s="6"/>
      <c r="O3938" s="6"/>
      <c r="P3938" s="6"/>
      <c r="Q3938" s="6"/>
      <c r="R3938" s="6"/>
      <c r="S3938" s="6"/>
      <c r="T3938" s="6"/>
    </row>
    <row r="3939" spans="4:20" x14ac:dyDescent="0.2">
      <c r="D3939" s="6"/>
      <c r="E3939" s="6"/>
      <c r="F3939" s="6"/>
      <c r="G3939" s="19"/>
      <c r="H3939" s="19"/>
      <c r="I3939" s="19"/>
      <c r="J3939" s="19"/>
      <c r="K3939" s="6"/>
      <c r="L3939" s="6"/>
      <c r="M3939" s="6"/>
      <c r="N3939" s="6"/>
      <c r="O3939" s="6"/>
      <c r="P3939" s="6"/>
      <c r="Q3939" s="6"/>
      <c r="R3939" s="6"/>
      <c r="S3939" s="6"/>
      <c r="T3939" s="6"/>
    </row>
    <row r="3940" spans="4:20" x14ac:dyDescent="0.2">
      <c r="D3940" s="6"/>
      <c r="E3940" s="6"/>
      <c r="F3940" s="6"/>
      <c r="G3940" s="19"/>
      <c r="H3940" s="19"/>
      <c r="I3940" s="19"/>
      <c r="J3940" s="19"/>
      <c r="K3940" s="6"/>
      <c r="L3940" s="6"/>
      <c r="M3940" s="6"/>
      <c r="N3940" s="6"/>
      <c r="O3940" s="6"/>
      <c r="P3940" s="6"/>
      <c r="Q3940" s="6"/>
      <c r="R3940" s="6"/>
      <c r="S3940" s="6"/>
      <c r="T3940" s="6"/>
    </row>
    <row r="3941" spans="4:20" x14ac:dyDescent="0.2">
      <c r="D3941" s="6"/>
      <c r="E3941" s="6"/>
      <c r="F3941" s="6"/>
      <c r="G3941" s="19"/>
      <c r="H3941" s="19"/>
      <c r="I3941" s="19"/>
      <c r="J3941" s="19"/>
      <c r="K3941" s="6"/>
      <c r="L3941" s="6"/>
      <c r="M3941" s="6"/>
      <c r="N3941" s="6"/>
      <c r="O3941" s="6"/>
      <c r="P3941" s="6"/>
      <c r="Q3941" s="6"/>
      <c r="R3941" s="6"/>
      <c r="S3941" s="6"/>
      <c r="T3941" s="6"/>
    </row>
    <row r="3942" spans="4:20" x14ac:dyDescent="0.2">
      <c r="D3942" s="6"/>
      <c r="E3942" s="6"/>
      <c r="F3942" s="6"/>
      <c r="G3942" s="19"/>
      <c r="H3942" s="19"/>
      <c r="I3942" s="19"/>
      <c r="J3942" s="19"/>
      <c r="K3942" s="6"/>
      <c r="L3942" s="6"/>
      <c r="M3942" s="6"/>
      <c r="N3942" s="6"/>
      <c r="O3942" s="6"/>
      <c r="P3942" s="6"/>
      <c r="Q3942" s="6"/>
      <c r="R3942" s="6"/>
      <c r="S3942" s="6"/>
      <c r="T3942" s="6"/>
    </row>
    <row r="3943" spans="4:20" x14ac:dyDescent="0.2">
      <c r="D3943" s="6"/>
      <c r="E3943" s="6"/>
      <c r="F3943" s="6"/>
      <c r="G3943" s="19"/>
      <c r="H3943" s="19"/>
      <c r="I3943" s="19"/>
      <c r="J3943" s="19"/>
      <c r="K3943" s="6"/>
      <c r="L3943" s="6"/>
      <c r="M3943" s="6"/>
      <c r="N3943" s="6"/>
      <c r="O3943" s="6"/>
      <c r="P3943" s="6"/>
      <c r="Q3943" s="6"/>
      <c r="R3943" s="6"/>
      <c r="S3943" s="6"/>
      <c r="T3943" s="6"/>
    </row>
    <row r="3944" spans="4:20" x14ac:dyDescent="0.2">
      <c r="D3944" s="6"/>
      <c r="E3944" s="6"/>
      <c r="F3944" s="6"/>
      <c r="G3944" s="19"/>
      <c r="H3944" s="19"/>
      <c r="I3944" s="19"/>
      <c r="J3944" s="19"/>
      <c r="K3944" s="6"/>
      <c r="L3944" s="6"/>
      <c r="M3944" s="6"/>
      <c r="N3944" s="6"/>
      <c r="O3944" s="6"/>
      <c r="P3944" s="6"/>
      <c r="Q3944" s="6"/>
      <c r="R3944" s="6"/>
      <c r="S3944" s="6"/>
      <c r="T3944" s="6"/>
    </row>
    <row r="3945" spans="4:20" x14ac:dyDescent="0.2">
      <c r="D3945" s="6"/>
      <c r="E3945" s="6"/>
      <c r="F3945" s="6"/>
      <c r="G3945" s="19"/>
      <c r="H3945" s="19"/>
      <c r="I3945" s="19"/>
      <c r="J3945" s="19"/>
      <c r="K3945" s="6"/>
      <c r="L3945" s="6"/>
      <c r="M3945" s="6"/>
      <c r="N3945" s="6"/>
      <c r="O3945" s="6"/>
      <c r="P3945" s="6"/>
      <c r="Q3945" s="6"/>
      <c r="R3945" s="6"/>
      <c r="S3945" s="6"/>
      <c r="T3945" s="6"/>
    </row>
    <row r="3946" spans="4:20" x14ac:dyDescent="0.2">
      <c r="D3946" s="6"/>
      <c r="E3946" s="6"/>
      <c r="F3946" s="6"/>
      <c r="G3946" s="19"/>
      <c r="H3946" s="19"/>
      <c r="I3946" s="19"/>
      <c r="J3946" s="19"/>
      <c r="K3946" s="6"/>
      <c r="L3946" s="6"/>
      <c r="M3946" s="6"/>
      <c r="N3946" s="6"/>
      <c r="O3946" s="6"/>
      <c r="P3946" s="6"/>
      <c r="Q3946" s="6"/>
      <c r="R3946" s="6"/>
      <c r="S3946" s="6"/>
      <c r="T3946" s="6"/>
    </row>
    <row r="3947" spans="4:20" x14ac:dyDescent="0.2">
      <c r="D3947" s="6"/>
      <c r="E3947" s="6"/>
      <c r="F3947" s="6"/>
      <c r="G3947" s="19"/>
      <c r="H3947" s="19"/>
      <c r="I3947" s="19"/>
      <c r="J3947" s="19"/>
      <c r="K3947" s="6"/>
      <c r="L3947" s="6"/>
      <c r="M3947" s="6"/>
      <c r="N3947" s="6"/>
      <c r="O3947" s="6"/>
      <c r="P3947" s="6"/>
      <c r="Q3947" s="6"/>
      <c r="R3947" s="6"/>
      <c r="S3947" s="6"/>
      <c r="T3947" s="6"/>
    </row>
    <row r="3948" spans="4:20" x14ac:dyDescent="0.2">
      <c r="D3948" s="6"/>
      <c r="E3948" s="6"/>
      <c r="F3948" s="6"/>
      <c r="G3948" s="19"/>
      <c r="H3948" s="19"/>
      <c r="I3948" s="19"/>
      <c r="J3948" s="19"/>
      <c r="K3948" s="6"/>
      <c r="L3948" s="6"/>
      <c r="M3948" s="6"/>
      <c r="N3948" s="6"/>
      <c r="O3948" s="6"/>
      <c r="P3948" s="6"/>
      <c r="Q3948" s="6"/>
      <c r="R3948" s="6"/>
      <c r="S3948" s="6"/>
      <c r="T3948" s="6"/>
    </row>
    <row r="3949" spans="4:20" x14ac:dyDescent="0.2">
      <c r="D3949" s="6"/>
      <c r="E3949" s="6"/>
      <c r="F3949" s="6"/>
      <c r="G3949" s="19"/>
      <c r="H3949" s="19"/>
      <c r="I3949" s="19"/>
      <c r="J3949" s="19"/>
      <c r="K3949" s="6"/>
      <c r="L3949" s="6"/>
      <c r="M3949" s="6"/>
      <c r="N3949" s="6"/>
      <c r="O3949" s="6"/>
      <c r="P3949" s="6"/>
      <c r="Q3949" s="6"/>
      <c r="R3949" s="6"/>
      <c r="S3949" s="6"/>
      <c r="T3949" s="6"/>
    </row>
    <row r="3950" spans="4:20" x14ac:dyDescent="0.2">
      <c r="D3950" s="6"/>
      <c r="E3950" s="6"/>
      <c r="F3950" s="6"/>
      <c r="G3950" s="19"/>
      <c r="H3950" s="19"/>
      <c r="I3950" s="19"/>
      <c r="J3950" s="19"/>
      <c r="K3950" s="6"/>
      <c r="L3950" s="6"/>
      <c r="M3950" s="6"/>
      <c r="N3950" s="6"/>
      <c r="O3950" s="6"/>
      <c r="P3950" s="6"/>
      <c r="Q3950" s="6"/>
      <c r="R3950" s="6"/>
      <c r="S3950" s="6"/>
      <c r="T3950" s="6"/>
    </row>
    <row r="3951" spans="4:20" x14ac:dyDescent="0.2">
      <c r="D3951" s="6"/>
      <c r="E3951" s="6"/>
      <c r="F3951" s="6"/>
      <c r="G3951" s="19"/>
      <c r="H3951" s="19"/>
      <c r="I3951" s="19"/>
      <c r="J3951" s="19"/>
      <c r="K3951" s="6"/>
      <c r="L3951" s="6"/>
      <c r="M3951" s="6"/>
      <c r="N3951" s="6"/>
      <c r="O3951" s="6"/>
      <c r="P3951" s="6"/>
      <c r="Q3951" s="6"/>
      <c r="R3951" s="6"/>
      <c r="S3951" s="6"/>
      <c r="T3951" s="6"/>
    </row>
    <row r="3952" spans="4:20" x14ac:dyDescent="0.2">
      <c r="D3952" s="6"/>
      <c r="E3952" s="6"/>
      <c r="F3952" s="6"/>
      <c r="G3952" s="19"/>
      <c r="H3952" s="19"/>
      <c r="I3952" s="19"/>
      <c r="J3952" s="19"/>
      <c r="K3952" s="6"/>
      <c r="L3952" s="6"/>
      <c r="M3952" s="6"/>
      <c r="N3952" s="6"/>
      <c r="O3952" s="6"/>
      <c r="P3952" s="6"/>
      <c r="Q3952" s="6"/>
      <c r="R3952" s="6"/>
      <c r="S3952" s="6"/>
      <c r="T3952" s="6"/>
    </row>
    <row r="3953" spans="4:20" x14ac:dyDescent="0.2">
      <c r="D3953" s="6"/>
      <c r="E3953" s="6"/>
      <c r="F3953" s="6"/>
      <c r="G3953" s="19"/>
      <c r="H3953" s="19"/>
      <c r="I3953" s="19"/>
      <c r="J3953" s="19"/>
      <c r="K3953" s="6"/>
      <c r="L3953" s="6"/>
      <c r="M3953" s="6"/>
      <c r="N3953" s="6"/>
      <c r="O3953" s="6"/>
      <c r="P3953" s="6"/>
      <c r="Q3953" s="6"/>
      <c r="R3953" s="6"/>
      <c r="S3953" s="6"/>
      <c r="T3953" s="6"/>
    </row>
    <row r="3954" spans="4:20" x14ac:dyDescent="0.2">
      <c r="D3954" s="6"/>
      <c r="E3954" s="6"/>
      <c r="F3954" s="6"/>
      <c r="G3954" s="19"/>
      <c r="H3954" s="19"/>
      <c r="I3954" s="19"/>
      <c r="J3954" s="19"/>
      <c r="K3954" s="6"/>
      <c r="L3954" s="6"/>
      <c r="M3954" s="6"/>
      <c r="N3954" s="6"/>
      <c r="O3954" s="6"/>
      <c r="P3954" s="6"/>
      <c r="Q3954" s="6"/>
      <c r="R3954" s="6"/>
      <c r="S3954" s="6"/>
      <c r="T3954" s="6"/>
    </row>
    <row r="3955" spans="4:20" x14ac:dyDescent="0.2">
      <c r="D3955" s="6"/>
      <c r="E3955" s="6"/>
      <c r="F3955" s="6"/>
      <c r="G3955" s="19"/>
      <c r="H3955" s="19"/>
      <c r="I3955" s="19"/>
      <c r="J3955" s="19"/>
      <c r="K3955" s="6"/>
      <c r="L3955" s="6"/>
      <c r="M3955" s="6"/>
      <c r="N3955" s="6"/>
      <c r="O3955" s="6"/>
      <c r="P3955" s="6"/>
      <c r="Q3955" s="6"/>
      <c r="R3955" s="6"/>
      <c r="S3955" s="6"/>
      <c r="T3955" s="6"/>
    </row>
    <row r="3956" spans="4:20" x14ac:dyDescent="0.2">
      <c r="D3956" s="6"/>
      <c r="E3956" s="6"/>
      <c r="F3956" s="6"/>
      <c r="G3956" s="19"/>
      <c r="H3956" s="19"/>
      <c r="I3956" s="19"/>
      <c r="J3956" s="19"/>
      <c r="K3956" s="6"/>
      <c r="L3956" s="6"/>
      <c r="M3956" s="6"/>
      <c r="N3956" s="6"/>
      <c r="O3956" s="6"/>
      <c r="P3956" s="6"/>
      <c r="Q3956" s="6"/>
      <c r="R3956" s="6"/>
      <c r="S3956" s="6"/>
      <c r="T3956" s="6"/>
    </row>
    <row r="3957" spans="4:20" x14ac:dyDescent="0.2">
      <c r="D3957" s="6"/>
      <c r="E3957" s="6"/>
      <c r="F3957" s="6"/>
      <c r="G3957" s="19"/>
      <c r="H3957" s="19"/>
      <c r="I3957" s="19"/>
      <c r="J3957" s="19"/>
      <c r="K3957" s="6"/>
      <c r="L3957" s="6"/>
      <c r="M3957" s="6"/>
      <c r="N3957" s="6"/>
      <c r="O3957" s="6"/>
      <c r="P3957" s="6"/>
      <c r="Q3957" s="6"/>
      <c r="R3957" s="6"/>
      <c r="S3957" s="6"/>
      <c r="T3957" s="6"/>
    </row>
    <row r="3958" spans="4:20" x14ac:dyDescent="0.2">
      <c r="D3958" s="6"/>
      <c r="E3958" s="6"/>
      <c r="F3958" s="6"/>
      <c r="G3958" s="19"/>
      <c r="H3958" s="19"/>
      <c r="I3958" s="19"/>
      <c r="J3958" s="19"/>
      <c r="K3958" s="6"/>
      <c r="L3958" s="6"/>
      <c r="M3958" s="6"/>
      <c r="N3958" s="6"/>
      <c r="O3958" s="6"/>
      <c r="P3958" s="6"/>
      <c r="Q3958" s="6"/>
      <c r="R3958" s="6"/>
      <c r="S3958" s="6"/>
      <c r="T3958" s="6"/>
    </row>
    <row r="3959" spans="4:20" x14ac:dyDescent="0.2">
      <c r="D3959" s="6"/>
      <c r="E3959" s="6"/>
      <c r="F3959" s="6"/>
      <c r="G3959" s="19"/>
      <c r="H3959" s="19"/>
      <c r="I3959" s="19"/>
      <c r="J3959" s="19"/>
      <c r="K3959" s="6"/>
      <c r="L3959" s="6"/>
      <c r="M3959" s="6"/>
      <c r="N3959" s="6"/>
      <c r="O3959" s="6"/>
      <c r="P3959" s="6"/>
      <c r="Q3959" s="6"/>
      <c r="R3959" s="6"/>
      <c r="S3959" s="6"/>
      <c r="T3959" s="6"/>
    </row>
    <row r="3960" spans="4:20" x14ac:dyDescent="0.2">
      <c r="D3960" s="6"/>
      <c r="E3960" s="6"/>
      <c r="F3960" s="6"/>
      <c r="G3960" s="19"/>
      <c r="H3960" s="19"/>
      <c r="I3960" s="19"/>
      <c r="J3960" s="19"/>
      <c r="K3960" s="6"/>
      <c r="L3960" s="6"/>
      <c r="M3960" s="6"/>
      <c r="N3960" s="6"/>
      <c r="O3960" s="6"/>
      <c r="P3960" s="6"/>
      <c r="Q3960" s="6"/>
      <c r="R3960" s="6"/>
      <c r="S3960" s="6"/>
      <c r="T3960" s="6"/>
    </row>
    <row r="3961" spans="4:20" x14ac:dyDescent="0.2">
      <c r="D3961" s="6"/>
      <c r="E3961" s="6"/>
      <c r="F3961" s="6"/>
      <c r="G3961" s="19"/>
      <c r="H3961" s="19"/>
      <c r="I3961" s="19"/>
      <c r="J3961" s="19"/>
      <c r="K3961" s="6"/>
      <c r="L3961" s="6"/>
      <c r="M3961" s="6"/>
      <c r="N3961" s="6"/>
      <c r="O3961" s="6"/>
      <c r="P3961" s="6"/>
      <c r="Q3961" s="6"/>
      <c r="R3961" s="6"/>
      <c r="S3961" s="6"/>
      <c r="T3961" s="6"/>
    </row>
    <row r="3962" spans="4:20" x14ac:dyDescent="0.2">
      <c r="D3962" s="6"/>
      <c r="E3962" s="6"/>
      <c r="F3962" s="6"/>
      <c r="G3962" s="19"/>
      <c r="H3962" s="19"/>
      <c r="I3962" s="19"/>
      <c r="J3962" s="19"/>
      <c r="K3962" s="6"/>
      <c r="L3962" s="6"/>
      <c r="M3962" s="6"/>
      <c r="N3962" s="6"/>
      <c r="O3962" s="6"/>
      <c r="P3962" s="6"/>
      <c r="Q3962" s="6"/>
      <c r="R3962" s="6"/>
      <c r="S3962" s="6"/>
      <c r="T3962" s="6"/>
    </row>
    <row r="3963" spans="4:20" x14ac:dyDescent="0.2">
      <c r="D3963" s="6"/>
      <c r="E3963" s="6"/>
      <c r="F3963" s="6"/>
      <c r="G3963" s="19"/>
      <c r="H3963" s="19"/>
      <c r="I3963" s="19"/>
      <c r="J3963" s="19"/>
      <c r="K3963" s="6"/>
      <c r="L3963" s="6"/>
      <c r="M3963" s="6"/>
      <c r="N3963" s="6"/>
      <c r="O3963" s="6"/>
      <c r="P3963" s="6"/>
      <c r="Q3963" s="6"/>
      <c r="R3963" s="6"/>
      <c r="S3963" s="6"/>
      <c r="T3963" s="6"/>
    </row>
    <row r="3964" spans="4:20" x14ac:dyDescent="0.2">
      <c r="D3964" s="6"/>
      <c r="E3964" s="6"/>
      <c r="F3964" s="6"/>
      <c r="G3964" s="19"/>
      <c r="H3964" s="19"/>
      <c r="I3964" s="19"/>
      <c r="J3964" s="19"/>
      <c r="K3964" s="6"/>
      <c r="L3964" s="6"/>
      <c r="M3964" s="6"/>
      <c r="N3964" s="6"/>
      <c r="O3964" s="6"/>
      <c r="P3964" s="6"/>
      <c r="Q3964" s="6"/>
      <c r="R3964" s="6"/>
      <c r="S3964" s="6"/>
      <c r="T3964" s="6"/>
    </row>
    <row r="3965" spans="4:20" x14ac:dyDescent="0.2">
      <c r="D3965" s="6"/>
      <c r="E3965" s="6"/>
      <c r="F3965" s="6"/>
      <c r="G3965" s="19"/>
      <c r="H3965" s="19"/>
      <c r="I3965" s="19"/>
      <c r="J3965" s="19"/>
      <c r="K3965" s="6"/>
      <c r="L3965" s="6"/>
      <c r="M3965" s="6"/>
      <c r="N3965" s="6"/>
      <c r="O3965" s="6"/>
      <c r="P3965" s="6"/>
      <c r="Q3965" s="6"/>
      <c r="R3965" s="6"/>
      <c r="S3965" s="6"/>
      <c r="T3965" s="6"/>
    </row>
    <row r="3966" spans="4:20" x14ac:dyDescent="0.2">
      <c r="D3966" s="6"/>
      <c r="E3966" s="6"/>
      <c r="F3966" s="6"/>
      <c r="G3966" s="19"/>
      <c r="H3966" s="19"/>
      <c r="I3966" s="19"/>
      <c r="J3966" s="19"/>
      <c r="K3966" s="6"/>
      <c r="L3966" s="6"/>
      <c r="M3966" s="6"/>
      <c r="N3966" s="6"/>
      <c r="O3966" s="6"/>
      <c r="P3966" s="6"/>
      <c r="Q3966" s="6"/>
      <c r="R3966" s="6"/>
      <c r="S3966" s="6"/>
      <c r="T3966" s="6"/>
    </row>
    <row r="3967" spans="4:20" x14ac:dyDescent="0.2">
      <c r="D3967" s="6"/>
      <c r="E3967" s="6"/>
      <c r="F3967" s="6"/>
      <c r="G3967" s="19"/>
      <c r="H3967" s="19"/>
      <c r="I3967" s="19"/>
      <c r="J3967" s="19"/>
      <c r="K3967" s="6"/>
      <c r="L3967" s="6"/>
      <c r="M3967" s="6"/>
      <c r="N3967" s="6"/>
      <c r="O3967" s="6"/>
      <c r="P3967" s="6"/>
      <c r="Q3967" s="6"/>
      <c r="R3967" s="6"/>
      <c r="S3967" s="6"/>
      <c r="T3967" s="6"/>
    </row>
    <row r="3968" spans="4:20" x14ac:dyDescent="0.2">
      <c r="D3968" s="6"/>
      <c r="E3968" s="6"/>
      <c r="F3968" s="6"/>
      <c r="G3968" s="19"/>
      <c r="H3968" s="19"/>
      <c r="I3968" s="19"/>
      <c r="J3968" s="19"/>
      <c r="K3968" s="6"/>
      <c r="L3968" s="6"/>
      <c r="M3968" s="6"/>
      <c r="N3968" s="6"/>
      <c r="O3968" s="6"/>
      <c r="P3968" s="6"/>
      <c r="Q3968" s="6"/>
      <c r="R3968" s="6"/>
      <c r="S3968" s="6"/>
      <c r="T3968" s="6"/>
    </row>
    <row r="3969" spans="4:20" x14ac:dyDescent="0.2">
      <c r="D3969" s="6"/>
      <c r="E3969" s="6"/>
      <c r="F3969" s="6"/>
      <c r="G3969" s="19"/>
      <c r="H3969" s="19"/>
      <c r="I3969" s="19"/>
      <c r="J3969" s="19"/>
      <c r="K3969" s="6"/>
      <c r="L3969" s="6"/>
      <c r="M3969" s="6"/>
      <c r="N3969" s="6"/>
      <c r="O3969" s="6"/>
      <c r="P3969" s="6"/>
      <c r="Q3969" s="6"/>
      <c r="R3969" s="6"/>
      <c r="S3969" s="6"/>
      <c r="T3969" s="6"/>
    </row>
    <row r="3970" spans="4:20" x14ac:dyDescent="0.2">
      <c r="D3970" s="6"/>
      <c r="E3970" s="6"/>
      <c r="F3970" s="6"/>
      <c r="G3970" s="19"/>
      <c r="H3970" s="19"/>
      <c r="I3970" s="19"/>
      <c r="J3970" s="19"/>
      <c r="K3970" s="6"/>
      <c r="L3970" s="6"/>
      <c r="M3970" s="6"/>
      <c r="N3970" s="6"/>
      <c r="O3970" s="6"/>
      <c r="P3970" s="6"/>
      <c r="Q3970" s="6"/>
      <c r="R3970" s="6"/>
      <c r="S3970" s="6"/>
      <c r="T3970" s="6"/>
    </row>
    <row r="3971" spans="4:20" x14ac:dyDescent="0.2">
      <c r="D3971" s="6"/>
      <c r="E3971" s="6"/>
      <c r="F3971" s="6"/>
      <c r="G3971" s="19"/>
      <c r="H3971" s="19"/>
      <c r="I3971" s="19"/>
      <c r="J3971" s="19"/>
      <c r="K3971" s="6"/>
      <c r="L3971" s="6"/>
      <c r="M3971" s="6"/>
      <c r="N3971" s="6"/>
      <c r="O3971" s="6"/>
      <c r="P3971" s="6"/>
      <c r="Q3971" s="6"/>
      <c r="R3971" s="6"/>
      <c r="S3971" s="6"/>
      <c r="T3971" s="6"/>
    </row>
    <row r="3972" spans="4:20" x14ac:dyDescent="0.2">
      <c r="D3972" s="6"/>
      <c r="E3972" s="6"/>
      <c r="F3972" s="6"/>
      <c r="G3972" s="19"/>
      <c r="H3972" s="19"/>
      <c r="I3972" s="19"/>
      <c r="J3972" s="19"/>
      <c r="K3972" s="6"/>
      <c r="L3972" s="6"/>
      <c r="M3972" s="6"/>
      <c r="N3972" s="6"/>
      <c r="O3972" s="6"/>
      <c r="P3972" s="6"/>
      <c r="Q3972" s="6"/>
      <c r="R3972" s="6"/>
      <c r="S3972" s="6"/>
      <c r="T3972" s="6"/>
    </row>
    <row r="3973" spans="4:20" x14ac:dyDescent="0.2">
      <c r="D3973" s="6"/>
      <c r="E3973" s="6"/>
      <c r="F3973" s="6"/>
      <c r="G3973" s="19"/>
      <c r="H3973" s="19"/>
      <c r="I3973" s="19"/>
      <c r="J3973" s="19"/>
      <c r="K3973" s="6"/>
      <c r="L3973" s="6"/>
      <c r="M3973" s="6"/>
      <c r="N3973" s="6"/>
      <c r="O3973" s="6"/>
      <c r="P3973" s="6"/>
      <c r="Q3973" s="6"/>
      <c r="R3973" s="6"/>
      <c r="S3973" s="6"/>
      <c r="T3973" s="6"/>
    </row>
    <row r="3974" spans="4:20" x14ac:dyDescent="0.2">
      <c r="D3974" s="6"/>
      <c r="E3974" s="6"/>
      <c r="F3974" s="6"/>
      <c r="G3974" s="19"/>
      <c r="H3974" s="19"/>
      <c r="I3974" s="19"/>
      <c r="J3974" s="19"/>
      <c r="K3974" s="6"/>
      <c r="L3974" s="6"/>
      <c r="M3974" s="6"/>
      <c r="N3974" s="6"/>
      <c r="O3974" s="6"/>
      <c r="P3974" s="6"/>
      <c r="Q3974" s="6"/>
      <c r="R3974" s="6"/>
      <c r="S3974" s="6"/>
      <c r="T3974" s="6"/>
    </row>
    <row r="3975" spans="4:20" x14ac:dyDescent="0.2">
      <c r="D3975" s="6"/>
      <c r="E3975" s="6"/>
      <c r="F3975" s="6"/>
      <c r="G3975" s="19"/>
      <c r="H3975" s="19"/>
      <c r="I3975" s="19"/>
      <c r="J3975" s="19"/>
      <c r="K3975" s="6"/>
      <c r="L3975" s="6"/>
      <c r="M3975" s="6"/>
      <c r="N3975" s="6"/>
      <c r="O3975" s="6"/>
      <c r="P3975" s="6"/>
      <c r="Q3975" s="6"/>
      <c r="R3975" s="6"/>
      <c r="S3975" s="6"/>
      <c r="T3975" s="6"/>
    </row>
    <row r="3976" spans="4:20" x14ac:dyDescent="0.2">
      <c r="D3976" s="6"/>
      <c r="E3976" s="6"/>
      <c r="F3976" s="6"/>
      <c r="G3976" s="19"/>
      <c r="H3976" s="19"/>
      <c r="I3976" s="19"/>
      <c r="J3976" s="19"/>
      <c r="K3976" s="6"/>
      <c r="L3976" s="6"/>
      <c r="M3976" s="6"/>
      <c r="N3976" s="6"/>
      <c r="O3976" s="6"/>
      <c r="P3976" s="6"/>
      <c r="Q3976" s="6"/>
      <c r="R3976" s="6"/>
      <c r="S3976" s="6"/>
      <c r="T3976" s="6"/>
    </row>
    <row r="3977" spans="4:20" x14ac:dyDescent="0.2">
      <c r="D3977" s="6"/>
      <c r="E3977" s="6"/>
      <c r="F3977" s="6"/>
      <c r="G3977" s="19"/>
      <c r="H3977" s="19"/>
      <c r="I3977" s="19"/>
      <c r="J3977" s="19"/>
      <c r="K3977" s="6"/>
      <c r="L3977" s="6"/>
      <c r="M3977" s="6"/>
      <c r="N3977" s="6"/>
      <c r="O3977" s="6"/>
      <c r="P3977" s="6"/>
      <c r="Q3977" s="6"/>
      <c r="R3977" s="6"/>
      <c r="S3977" s="6"/>
      <c r="T3977" s="6"/>
    </row>
    <row r="3978" spans="4:20" x14ac:dyDescent="0.2">
      <c r="D3978" s="6"/>
      <c r="E3978" s="6"/>
      <c r="F3978" s="6"/>
      <c r="G3978" s="19"/>
      <c r="H3978" s="19"/>
      <c r="I3978" s="19"/>
      <c r="J3978" s="19"/>
      <c r="K3978" s="6"/>
      <c r="L3978" s="6"/>
      <c r="M3978" s="6"/>
      <c r="N3978" s="6"/>
      <c r="O3978" s="6"/>
      <c r="P3978" s="6"/>
      <c r="Q3978" s="6"/>
      <c r="R3978" s="6"/>
      <c r="S3978" s="6"/>
      <c r="T3978" s="6"/>
    </row>
    <row r="3979" spans="4:20" x14ac:dyDescent="0.2">
      <c r="D3979" s="6"/>
      <c r="E3979" s="6"/>
      <c r="F3979" s="6"/>
      <c r="G3979" s="19"/>
      <c r="H3979" s="19"/>
      <c r="I3979" s="19"/>
      <c r="J3979" s="19"/>
      <c r="K3979" s="6"/>
      <c r="L3979" s="6"/>
      <c r="M3979" s="6"/>
      <c r="N3979" s="6"/>
      <c r="O3979" s="6"/>
      <c r="P3979" s="6"/>
      <c r="Q3979" s="6"/>
      <c r="R3979" s="6"/>
      <c r="S3979" s="6"/>
      <c r="T3979" s="6"/>
    </row>
    <row r="3980" spans="4:20" x14ac:dyDescent="0.2">
      <c r="D3980" s="6"/>
      <c r="E3980" s="6"/>
      <c r="F3980" s="6"/>
      <c r="G3980" s="19"/>
      <c r="H3980" s="19"/>
      <c r="I3980" s="19"/>
      <c r="J3980" s="19"/>
      <c r="K3980" s="6"/>
      <c r="L3980" s="6"/>
      <c r="M3980" s="6"/>
      <c r="N3980" s="6"/>
      <c r="O3980" s="6"/>
      <c r="P3980" s="6"/>
      <c r="Q3980" s="6"/>
      <c r="R3980" s="6"/>
      <c r="S3980" s="6"/>
      <c r="T3980" s="6"/>
    </row>
    <row r="3981" spans="4:20" x14ac:dyDescent="0.2">
      <c r="D3981" s="6"/>
      <c r="E3981" s="6"/>
      <c r="F3981" s="6"/>
      <c r="G3981" s="19"/>
      <c r="H3981" s="19"/>
      <c r="I3981" s="19"/>
      <c r="J3981" s="19"/>
      <c r="K3981" s="6"/>
      <c r="L3981" s="6"/>
      <c r="M3981" s="6"/>
      <c r="N3981" s="6"/>
      <c r="O3981" s="6"/>
      <c r="P3981" s="6"/>
      <c r="Q3981" s="6"/>
      <c r="R3981" s="6"/>
      <c r="S3981" s="6"/>
      <c r="T3981" s="6"/>
    </row>
    <row r="3982" spans="4:20" x14ac:dyDescent="0.2">
      <c r="D3982" s="6"/>
      <c r="E3982" s="6"/>
      <c r="F3982" s="6"/>
      <c r="G3982" s="19"/>
      <c r="H3982" s="19"/>
      <c r="I3982" s="19"/>
      <c r="J3982" s="19"/>
      <c r="K3982" s="6"/>
      <c r="L3982" s="6"/>
      <c r="M3982" s="6"/>
      <c r="N3982" s="6"/>
      <c r="O3982" s="6"/>
      <c r="P3982" s="6"/>
      <c r="Q3982" s="6"/>
      <c r="R3982" s="6"/>
      <c r="S3982" s="6"/>
      <c r="T3982" s="6"/>
    </row>
    <row r="3983" spans="4:20" x14ac:dyDescent="0.2">
      <c r="D3983" s="6"/>
      <c r="E3983" s="6"/>
      <c r="F3983" s="6"/>
      <c r="G3983" s="19"/>
      <c r="H3983" s="19"/>
      <c r="I3983" s="19"/>
      <c r="J3983" s="19"/>
      <c r="K3983" s="6"/>
      <c r="L3983" s="6"/>
      <c r="M3983" s="6"/>
      <c r="N3983" s="6"/>
      <c r="O3983" s="6"/>
      <c r="P3983" s="6"/>
      <c r="Q3983" s="6"/>
      <c r="R3983" s="6"/>
      <c r="S3983" s="6"/>
      <c r="T3983" s="6"/>
    </row>
    <row r="3984" spans="4:20" x14ac:dyDescent="0.2">
      <c r="D3984" s="6"/>
      <c r="E3984" s="6"/>
      <c r="F3984" s="6"/>
      <c r="G3984" s="19"/>
      <c r="H3984" s="19"/>
      <c r="I3984" s="19"/>
      <c r="J3984" s="19"/>
      <c r="K3984" s="6"/>
      <c r="L3984" s="6"/>
      <c r="M3984" s="6"/>
      <c r="N3984" s="6"/>
      <c r="O3984" s="6"/>
      <c r="P3984" s="6"/>
      <c r="Q3984" s="6"/>
      <c r="R3984" s="6"/>
      <c r="S3984" s="6"/>
      <c r="T3984" s="6"/>
    </row>
    <row r="3985" spans="4:20" x14ac:dyDescent="0.2">
      <c r="D3985" s="6"/>
      <c r="E3985" s="6"/>
      <c r="F3985" s="6"/>
      <c r="G3985" s="19"/>
      <c r="H3985" s="19"/>
      <c r="I3985" s="19"/>
      <c r="J3985" s="19"/>
      <c r="K3985" s="6"/>
      <c r="L3985" s="6"/>
      <c r="M3985" s="6"/>
      <c r="N3985" s="6"/>
      <c r="O3985" s="6"/>
      <c r="P3985" s="6"/>
      <c r="Q3985" s="6"/>
      <c r="R3985" s="6"/>
      <c r="S3985" s="6"/>
      <c r="T3985" s="6"/>
    </row>
    <row r="3986" spans="4:20" x14ac:dyDescent="0.2">
      <c r="D3986" s="6"/>
      <c r="E3986" s="6"/>
      <c r="F3986" s="6"/>
      <c r="G3986" s="19"/>
      <c r="H3986" s="19"/>
      <c r="I3986" s="19"/>
      <c r="J3986" s="19"/>
      <c r="K3986" s="6"/>
      <c r="L3986" s="6"/>
      <c r="M3986" s="6"/>
      <c r="N3986" s="6"/>
      <c r="O3986" s="6"/>
      <c r="P3986" s="6"/>
      <c r="Q3986" s="6"/>
      <c r="R3986" s="6"/>
      <c r="S3986" s="6"/>
      <c r="T3986" s="6"/>
    </row>
    <row r="3987" spans="4:20" x14ac:dyDescent="0.2">
      <c r="D3987" s="6"/>
      <c r="E3987" s="6"/>
      <c r="F3987" s="6"/>
      <c r="G3987" s="19"/>
      <c r="H3987" s="19"/>
      <c r="I3987" s="19"/>
      <c r="J3987" s="19"/>
      <c r="K3987" s="6"/>
      <c r="L3987" s="6"/>
      <c r="M3987" s="6"/>
      <c r="N3987" s="6"/>
      <c r="O3987" s="6"/>
      <c r="P3987" s="6"/>
      <c r="Q3987" s="6"/>
      <c r="R3987" s="6"/>
      <c r="S3987" s="6"/>
      <c r="T3987" s="6"/>
    </row>
    <row r="3988" spans="4:20" x14ac:dyDescent="0.2">
      <c r="D3988" s="6"/>
      <c r="E3988" s="6"/>
      <c r="F3988" s="6"/>
      <c r="G3988" s="19"/>
      <c r="H3988" s="19"/>
      <c r="I3988" s="19"/>
      <c r="J3988" s="19"/>
      <c r="K3988" s="6"/>
      <c r="L3988" s="6"/>
      <c r="M3988" s="6"/>
      <c r="N3988" s="6"/>
      <c r="O3988" s="6"/>
      <c r="P3988" s="6"/>
      <c r="Q3988" s="6"/>
      <c r="R3988" s="6"/>
      <c r="S3988" s="6"/>
      <c r="T3988" s="6"/>
    </row>
    <row r="3989" spans="4:20" x14ac:dyDescent="0.2">
      <c r="D3989" s="6"/>
      <c r="E3989" s="6"/>
      <c r="F3989" s="6"/>
      <c r="G3989" s="19"/>
      <c r="H3989" s="19"/>
      <c r="I3989" s="19"/>
      <c r="J3989" s="19"/>
      <c r="K3989" s="6"/>
      <c r="L3989" s="6"/>
      <c r="M3989" s="6"/>
      <c r="N3989" s="6"/>
      <c r="O3989" s="6"/>
      <c r="P3989" s="6"/>
      <c r="Q3989" s="6"/>
      <c r="R3989" s="6"/>
      <c r="S3989" s="6"/>
      <c r="T3989" s="6"/>
    </row>
    <row r="3990" spans="4:20" x14ac:dyDescent="0.2">
      <c r="D3990" s="6"/>
      <c r="E3990" s="6"/>
      <c r="F3990" s="6"/>
      <c r="G3990" s="19"/>
      <c r="H3990" s="19"/>
      <c r="I3990" s="19"/>
      <c r="J3990" s="19"/>
      <c r="K3990" s="6"/>
      <c r="L3990" s="6"/>
      <c r="M3990" s="6"/>
      <c r="N3990" s="6"/>
      <c r="O3990" s="6"/>
      <c r="P3990" s="6"/>
      <c r="Q3990" s="6"/>
      <c r="R3990" s="6"/>
      <c r="S3990" s="6"/>
      <c r="T3990" s="6"/>
    </row>
    <row r="3991" spans="4:20" x14ac:dyDescent="0.2">
      <c r="D3991" s="6"/>
      <c r="E3991" s="6"/>
      <c r="F3991" s="6"/>
      <c r="G3991" s="19"/>
      <c r="H3991" s="19"/>
      <c r="I3991" s="19"/>
      <c r="J3991" s="19"/>
      <c r="K3991" s="6"/>
      <c r="L3991" s="6"/>
      <c r="M3991" s="6"/>
      <c r="N3991" s="6"/>
      <c r="O3991" s="6"/>
      <c r="P3991" s="6"/>
      <c r="Q3991" s="6"/>
      <c r="R3991" s="6"/>
      <c r="S3991" s="6"/>
      <c r="T3991" s="6"/>
    </row>
    <row r="3992" spans="4:20" x14ac:dyDescent="0.2">
      <c r="D3992" s="6"/>
      <c r="E3992" s="6"/>
      <c r="F3992" s="6"/>
      <c r="G3992" s="19"/>
      <c r="H3992" s="19"/>
      <c r="I3992" s="19"/>
      <c r="J3992" s="19"/>
      <c r="K3992" s="6"/>
      <c r="L3992" s="6"/>
      <c r="M3992" s="6"/>
      <c r="N3992" s="6"/>
      <c r="O3992" s="6"/>
      <c r="P3992" s="6"/>
      <c r="Q3992" s="6"/>
      <c r="R3992" s="6"/>
      <c r="S3992" s="6"/>
      <c r="T3992" s="6"/>
    </row>
    <row r="3993" spans="4:20" x14ac:dyDescent="0.2">
      <c r="D3993" s="6"/>
      <c r="E3993" s="6"/>
      <c r="F3993" s="6"/>
      <c r="G3993" s="19"/>
      <c r="H3993" s="19"/>
      <c r="I3993" s="19"/>
      <c r="J3993" s="19"/>
      <c r="K3993" s="6"/>
      <c r="L3993" s="6"/>
      <c r="M3993" s="6"/>
      <c r="N3993" s="6"/>
      <c r="O3993" s="6"/>
      <c r="P3993" s="6"/>
      <c r="Q3993" s="6"/>
      <c r="R3993" s="6"/>
      <c r="S3993" s="6"/>
      <c r="T3993" s="6"/>
    </row>
    <row r="3994" spans="4:20" x14ac:dyDescent="0.2">
      <c r="D3994" s="6"/>
      <c r="E3994" s="6"/>
      <c r="F3994" s="6"/>
      <c r="G3994" s="19"/>
      <c r="H3994" s="19"/>
      <c r="I3994" s="19"/>
      <c r="J3994" s="19"/>
      <c r="K3994" s="6"/>
      <c r="L3994" s="6"/>
      <c r="M3994" s="6"/>
      <c r="N3994" s="6"/>
      <c r="O3994" s="6"/>
      <c r="P3994" s="6"/>
      <c r="Q3994" s="6"/>
      <c r="R3994" s="6"/>
      <c r="S3994" s="6"/>
      <c r="T3994" s="6"/>
    </row>
    <row r="3995" spans="4:20" x14ac:dyDescent="0.2">
      <c r="D3995" s="6"/>
      <c r="E3995" s="6"/>
      <c r="F3995" s="6"/>
      <c r="G3995" s="19"/>
      <c r="H3995" s="19"/>
      <c r="I3995" s="19"/>
      <c r="J3995" s="19"/>
      <c r="K3995" s="6"/>
      <c r="L3995" s="6"/>
      <c r="M3995" s="6"/>
      <c r="N3995" s="6"/>
      <c r="O3995" s="6"/>
      <c r="P3995" s="6"/>
      <c r="Q3995" s="6"/>
      <c r="R3995" s="6"/>
      <c r="S3995" s="6"/>
      <c r="T3995" s="6"/>
    </row>
    <row r="3996" spans="4:20" x14ac:dyDescent="0.2">
      <c r="D3996" s="6"/>
      <c r="E3996" s="6"/>
      <c r="F3996" s="6"/>
      <c r="G3996" s="19"/>
      <c r="H3996" s="19"/>
      <c r="I3996" s="19"/>
      <c r="J3996" s="19"/>
      <c r="K3996" s="6"/>
      <c r="L3996" s="6"/>
      <c r="M3996" s="6"/>
      <c r="N3996" s="6"/>
      <c r="O3996" s="6"/>
      <c r="P3996" s="6"/>
      <c r="Q3996" s="6"/>
      <c r="R3996" s="6"/>
      <c r="S3996" s="6"/>
      <c r="T3996" s="6"/>
    </row>
    <row r="3997" spans="4:20" x14ac:dyDescent="0.2">
      <c r="D3997" s="6"/>
      <c r="E3997" s="6"/>
      <c r="F3997" s="6"/>
      <c r="G3997" s="19"/>
      <c r="H3997" s="19"/>
      <c r="I3997" s="19"/>
      <c r="J3997" s="19"/>
      <c r="K3997" s="6"/>
      <c r="L3997" s="6"/>
      <c r="M3997" s="6"/>
      <c r="N3997" s="6"/>
      <c r="O3997" s="6"/>
      <c r="P3997" s="6"/>
      <c r="Q3997" s="6"/>
      <c r="R3997" s="6"/>
      <c r="S3997" s="6"/>
      <c r="T3997" s="6"/>
    </row>
    <row r="3998" spans="4:20" x14ac:dyDescent="0.2">
      <c r="D3998" s="6"/>
      <c r="E3998" s="6"/>
      <c r="F3998" s="6"/>
      <c r="G3998" s="19"/>
      <c r="H3998" s="19"/>
      <c r="I3998" s="19"/>
      <c r="J3998" s="19"/>
      <c r="K3998" s="6"/>
      <c r="L3998" s="6"/>
      <c r="M3998" s="6"/>
      <c r="N3998" s="6"/>
      <c r="O3998" s="6"/>
      <c r="P3998" s="6"/>
      <c r="Q3998" s="6"/>
      <c r="R3998" s="6"/>
      <c r="S3998" s="6"/>
      <c r="T3998" s="6"/>
    </row>
    <row r="3999" spans="4:20" x14ac:dyDescent="0.2">
      <c r="D3999" s="6"/>
      <c r="E3999" s="6"/>
      <c r="F3999" s="6"/>
      <c r="G3999" s="19"/>
      <c r="H3999" s="19"/>
      <c r="I3999" s="19"/>
      <c r="J3999" s="19"/>
      <c r="K3999" s="6"/>
      <c r="L3999" s="6"/>
      <c r="M3999" s="6"/>
      <c r="N3999" s="6"/>
      <c r="O3999" s="6"/>
      <c r="P3999" s="6"/>
      <c r="Q3999" s="6"/>
      <c r="R3999" s="6"/>
      <c r="S3999" s="6"/>
      <c r="T3999" s="6"/>
    </row>
    <row r="4000" spans="4:20" x14ac:dyDescent="0.2">
      <c r="D4000" s="6"/>
      <c r="E4000" s="6"/>
      <c r="F4000" s="6"/>
      <c r="G4000" s="19"/>
      <c r="H4000" s="19"/>
      <c r="I4000" s="19"/>
      <c r="J4000" s="19"/>
      <c r="K4000" s="6"/>
      <c r="L4000" s="6"/>
      <c r="M4000" s="6"/>
      <c r="N4000" s="6"/>
      <c r="O4000" s="6"/>
      <c r="P4000" s="6"/>
      <c r="Q4000" s="6"/>
      <c r="R4000" s="6"/>
      <c r="S4000" s="6"/>
      <c r="T4000" s="6"/>
    </row>
    <row r="4001" spans="4:20" x14ac:dyDescent="0.2">
      <c r="D4001" s="6"/>
      <c r="E4001" s="6"/>
      <c r="F4001" s="6"/>
      <c r="G4001" s="19"/>
      <c r="H4001" s="19"/>
      <c r="I4001" s="19"/>
      <c r="J4001" s="19"/>
      <c r="K4001" s="6"/>
      <c r="L4001" s="6"/>
      <c r="M4001" s="6"/>
      <c r="N4001" s="6"/>
      <c r="O4001" s="6"/>
      <c r="P4001" s="6"/>
      <c r="Q4001" s="6"/>
      <c r="R4001" s="6"/>
      <c r="S4001" s="6"/>
      <c r="T4001" s="6"/>
    </row>
    <row r="4002" spans="4:20" x14ac:dyDescent="0.2">
      <c r="D4002" s="6"/>
      <c r="E4002" s="6"/>
      <c r="F4002" s="6"/>
      <c r="G4002" s="19"/>
      <c r="H4002" s="19"/>
      <c r="I4002" s="19"/>
      <c r="J4002" s="19"/>
      <c r="K4002" s="6"/>
      <c r="L4002" s="6"/>
      <c r="M4002" s="6"/>
      <c r="N4002" s="6"/>
      <c r="O4002" s="6"/>
      <c r="P4002" s="6"/>
      <c r="Q4002" s="6"/>
      <c r="R4002" s="6"/>
      <c r="S4002" s="6"/>
      <c r="T4002" s="6"/>
    </row>
    <row r="4003" spans="4:20" x14ac:dyDescent="0.2">
      <c r="D4003" s="6"/>
      <c r="E4003" s="6"/>
      <c r="F4003" s="6"/>
      <c r="G4003" s="19"/>
      <c r="H4003" s="19"/>
      <c r="I4003" s="19"/>
      <c r="J4003" s="19"/>
      <c r="K4003" s="6"/>
      <c r="L4003" s="6"/>
      <c r="M4003" s="6"/>
      <c r="N4003" s="6"/>
      <c r="O4003" s="6"/>
      <c r="P4003" s="6"/>
      <c r="Q4003" s="6"/>
      <c r="R4003" s="6"/>
      <c r="S4003" s="6"/>
      <c r="T4003" s="6"/>
    </row>
    <row r="4004" spans="4:20" x14ac:dyDescent="0.2">
      <c r="D4004" s="6"/>
      <c r="E4004" s="6"/>
      <c r="F4004" s="6"/>
      <c r="G4004" s="19"/>
      <c r="H4004" s="19"/>
      <c r="I4004" s="19"/>
      <c r="J4004" s="19"/>
      <c r="K4004" s="6"/>
      <c r="L4004" s="6"/>
      <c r="M4004" s="6"/>
      <c r="N4004" s="6"/>
      <c r="O4004" s="6"/>
      <c r="P4004" s="6"/>
      <c r="Q4004" s="6"/>
      <c r="R4004" s="6"/>
      <c r="S4004" s="6"/>
      <c r="T4004" s="6"/>
    </row>
    <row r="4005" spans="4:20" x14ac:dyDescent="0.2">
      <c r="D4005" s="6"/>
      <c r="E4005" s="6"/>
      <c r="F4005" s="6"/>
      <c r="G4005" s="19"/>
      <c r="H4005" s="19"/>
      <c r="I4005" s="19"/>
      <c r="J4005" s="19"/>
      <c r="K4005" s="6"/>
      <c r="L4005" s="6"/>
      <c r="M4005" s="6"/>
      <c r="N4005" s="6"/>
      <c r="O4005" s="6"/>
      <c r="P4005" s="6"/>
      <c r="Q4005" s="6"/>
      <c r="R4005" s="6"/>
      <c r="S4005" s="6"/>
      <c r="T4005" s="6"/>
    </row>
    <row r="4006" spans="4:20" x14ac:dyDescent="0.2">
      <c r="D4006" s="6"/>
      <c r="E4006" s="6"/>
      <c r="F4006" s="6"/>
      <c r="G4006" s="19"/>
      <c r="H4006" s="19"/>
      <c r="I4006" s="19"/>
      <c r="J4006" s="19"/>
      <c r="K4006" s="6"/>
      <c r="L4006" s="6"/>
      <c r="M4006" s="6"/>
      <c r="N4006" s="6"/>
      <c r="O4006" s="6"/>
      <c r="P4006" s="6"/>
      <c r="Q4006" s="6"/>
      <c r="R4006" s="6"/>
      <c r="S4006" s="6"/>
      <c r="T4006" s="6"/>
    </row>
    <row r="4007" spans="4:20" x14ac:dyDescent="0.2">
      <c r="D4007" s="6"/>
      <c r="E4007" s="6"/>
      <c r="F4007" s="6"/>
      <c r="G4007" s="19"/>
      <c r="H4007" s="19"/>
      <c r="I4007" s="19"/>
      <c r="J4007" s="19"/>
      <c r="K4007" s="6"/>
      <c r="L4007" s="6"/>
      <c r="M4007" s="6"/>
      <c r="N4007" s="6"/>
      <c r="O4007" s="6"/>
      <c r="P4007" s="6"/>
      <c r="Q4007" s="6"/>
      <c r="R4007" s="6"/>
      <c r="S4007" s="6"/>
      <c r="T4007" s="6"/>
    </row>
    <row r="4008" spans="4:20" x14ac:dyDescent="0.2">
      <c r="D4008" s="6"/>
      <c r="E4008" s="6"/>
      <c r="F4008" s="6"/>
      <c r="G4008" s="19"/>
      <c r="H4008" s="19"/>
      <c r="I4008" s="19"/>
      <c r="J4008" s="19"/>
      <c r="K4008" s="6"/>
      <c r="L4008" s="6"/>
      <c r="M4008" s="6"/>
      <c r="N4008" s="6"/>
      <c r="O4008" s="6"/>
      <c r="P4008" s="6"/>
      <c r="Q4008" s="6"/>
      <c r="R4008" s="6"/>
      <c r="S4008" s="6"/>
      <c r="T4008" s="6"/>
    </row>
    <row r="4009" spans="4:20" x14ac:dyDescent="0.2">
      <c r="D4009" s="6"/>
      <c r="E4009" s="6"/>
      <c r="F4009" s="6"/>
      <c r="G4009" s="19"/>
      <c r="H4009" s="19"/>
      <c r="I4009" s="19"/>
      <c r="J4009" s="19"/>
      <c r="K4009" s="6"/>
      <c r="L4009" s="6"/>
      <c r="M4009" s="6"/>
      <c r="N4009" s="6"/>
      <c r="O4009" s="6"/>
      <c r="P4009" s="6"/>
      <c r="Q4009" s="6"/>
      <c r="R4009" s="6"/>
      <c r="S4009" s="6"/>
      <c r="T4009" s="6"/>
    </row>
    <row r="4010" spans="4:20" x14ac:dyDescent="0.2">
      <c r="D4010" s="6"/>
      <c r="E4010" s="6"/>
      <c r="F4010" s="6"/>
      <c r="G4010" s="19"/>
      <c r="H4010" s="19"/>
      <c r="I4010" s="19"/>
      <c r="J4010" s="19"/>
      <c r="K4010" s="6"/>
      <c r="L4010" s="6"/>
      <c r="M4010" s="6"/>
      <c r="N4010" s="6"/>
      <c r="O4010" s="6"/>
      <c r="P4010" s="6"/>
      <c r="Q4010" s="6"/>
      <c r="R4010" s="6"/>
      <c r="S4010" s="6"/>
      <c r="T4010" s="6"/>
    </row>
    <row r="4011" spans="4:20" x14ac:dyDescent="0.2">
      <c r="D4011" s="6"/>
      <c r="E4011" s="6"/>
      <c r="F4011" s="6"/>
      <c r="G4011" s="19"/>
      <c r="H4011" s="19"/>
      <c r="I4011" s="19"/>
      <c r="J4011" s="19"/>
      <c r="K4011" s="6"/>
      <c r="L4011" s="6"/>
      <c r="M4011" s="6"/>
      <c r="N4011" s="6"/>
      <c r="O4011" s="6"/>
      <c r="P4011" s="6"/>
      <c r="Q4011" s="6"/>
      <c r="R4011" s="6"/>
      <c r="S4011" s="6"/>
      <c r="T4011" s="6"/>
    </row>
    <row r="4012" spans="4:20" x14ac:dyDescent="0.2">
      <c r="D4012" s="6"/>
      <c r="E4012" s="6"/>
      <c r="F4012" s="6"/>
      <c r="G4012" s="19"/>
      <c r="H4012" s="19"/>
      <c r="I4012" s="19"/>
      <c r="J4012" s="19"/>
      <c r="K4012" s="6"/>
      <c r="L4012" s="6"/>
      <c r="M4012" s="6"/>
      <c r="N4012" s="6"/>
      <c r="O4012" s="6"/>
      <c r="P4012" s="6"/>
      <c r="Q4012" s="6"/>
      <c r="R4012" s="6"/>
      <c r="S4012" s="6"/>
      <c r="T4012" s="6"/>
    </row>
    <row r="4013" spans="4:20" x14ac:dyDescent="0.2">
      <c r="D4013" s="6"/>
      <c r="E4013" s="6"/>
      <c r="F4013" s="6"/>
      <c r="G4013" s="19"/>
      <c r="H4013" s="19"/>
      <c r="I4013" s="19"/>
      <c r="J4013" s="19"/>
      <c r="K4013" s="6"/>
      <c r="L4013" s="6"/>
      <c r="M4013" s="6"/>
      <c r="N4013" s="6"/>
      <c r="O4013" s="6"/>
      <c r="P4013" s="6"/>
      <c r="Q4013" s="6"/>
      <c r="R4013" s="6"/>
      <c r="S4013" s="6"/>
      <c r="T4013" s="6"/>
    </row>
    <row r="4014" spans="4:20" x14ac:dyDescent="0.2">
      <c r="D4014" s="6"/>
      <c r="E4014" s="6"/>
      <c r="F4014" s="6"/>
      <c r="G4014" s="19"/>
      <c r="H4014" s="19"/>
      <c r="I4014" s="19"/>
      <c r="J4014" s="19"/>
      <c r="K4014" s="6"/>
      <c r="L4014" s="6"/>
      <c r="M4014" s="6"/>
      <c r="N4014" s="6"/>
      <c r="O4014" s="6"/>
      <c r="P4014" s="6"/>
      <c r="Q4014" s="6"/>
      <c r="R4014" s="6"/>
      <c r="S4014" s="6"/>
      <c r="T4014" s="6"/>
    </row>
    <row r="4015" spans="4:20" x14ac:dyDescent="0.2">
      <c r="D4015" s="6"/>
      <c r="E4015" s="6"/>
      <c r="F4015" s="6"/>
      <c r="G4015" s="19"/>
      <c r="H4015" s="19"/>
      <c r="I4015" s="19"/>
      <c r="J4015" s="19"/>
      <c r="K4015" s="6"/>
      <c r="L4015" s="6"/>
      <c r="M4015" s="6"/>
      <c r="N4015" s="6"/>
      <c r="O4015" s="6"/>
      <c r="P4015" s="6"/>
      <c r="Q4015" s="6"/>
      <c r="R4015" s="6"/>
      <c r="S4015" s="6"/>
      <c r="T4015" s="6"/>
    </row>
    <row r="4016" spans="4:20" x14ac:dyDescent="0.2">
      <c r="D4016" s="6"/>
      <c r="E4016" s="6"/>
      <c r="F4016" s="6"/>
      <c r="G4016" s="19"/>
      <c r="H4016" s="19"/>
      <c r="I4016" s="19"/>
      <c r="J4016" s="19"/>
      <c r="K4016" s="6"/>
      <c r="L4016" s="6"/>
      <c r="M4016" s="6"/>
      <c r="N4016" s="6"/>
      <c r="O4016" s="6"/>
      <c r="P4016" s="6"/>
      <c r="Q4016" s="6"/>
      <c r="R4016" s="6"/>
      <c r="S4016" s="6"/>
      <c r="T4016" s="6"/>
    </row>
    <row r="4017" spans="4:20" x14ac:dyDescent="0.2">
      <c r="D4017" s="6"/>
      <c r="E4017" s="6"/>
      <c r="F4017" s="6"/>
      <c r="G4017" s="19"/>
      <c r="H4017" s="19"/>
      <c r="I4017" s="19"/>
      <c r="J4017" s="19"/>
      <c r="K4017" s="6"/>
      <c r="L4017" s="6"/>
      <c r="M4017" s="6"/>
      <c r="N4017" s="6"/>
      <c r="O4017" s="6"/>
      <c r="P4017" s="6"/>
      <c r="Q4017" s="6"/>
      <c r="R4017" s="6"/>
      <c r="S4017" s="6"/>
      <c r="T4017" s="6"/>
    </row>
    <row r="4018" spans="4:20" x14ac:dyDescent="0.2">
      <c r="D4018" s="6"/>
      <c r="E4018" s="6"/>
      <c r="F4018" s="6"/>
      <c r="G4018" s="19"/>
      <c r="H4018" s="19"/>
      <c r="I4018" s="19"/>
      <c r="J4018" s="19"/>
      <c r="K4018" s="6"/>
      <c r="L4018" s="6"/>
      <c r="M4018" s="6"/>
      <c r="N4018" s="6"/>
      <c r="O4018" s="6"/>
      <c r="P4018" s="6"/>
      <c r="Q4018" s="6"/>
      <c r="R4018" s="6"/>
      <c r="S4018" s="6"/>
      <c r="T4018" s="6"/>
    </row>
    <row r="4019" spans="4:20" x14ac:dyDescent="0.2">
      <c r="D4019" s="6"/>
      <c r="E4019" s="6"/>
      <c r="F4019" s="6"/>
      <c r="G4019" s="19"/>
      <c r="H4019" s="19"/>
      <c r="I4019" s="19"/>
      <c r="J4019" s="19"/>
      <c r="K4019" s="6"/>
      <c r="L4019" s="6"/>
      <c r="M4019" s="6"/>
      <c r="N4019" s="6"/>
      <c r="O4019" s="6"/>
      <c r="P4019" s="6"/>
      <c r="Q4019" s="6"/>
      <c r="R4019" s="6"/>
      <c r="S4019" s="6"/>
      <c r="T4019" s="6"/>
    </row>
    <row r="4020" spans="4:20" x14ac:dyDescent="0.2">
      <c r="D4020" s="6"/>
      <c r="E4020" s="6"/>
      <c r="F4020" s="6"/>
      <c r="G4020" s="19"/>
      <c r="H4020" s="19"/>
      <c r="I4020" s="19"/>
      <c r="J4020" s="19"/>
      <c r="K4020" s="6"/>
      <c r="L4020" s="6"/>
      <c r="M4020" s="6"/>
      <c r="N4020" s="6"/>
      <c r="O4020" s="6"/>
      <c r="P4020" s="6"/>
      <c r="Q4020" s="6"/>
      <c r="R4020" s="6"/>
      <c r="S4020" s="6"/>
      <c r="T4020" s="6"/>
    </row>
    <row r="4021" spans="4:20" x14ac:dyDescent="0.2">
      <c r="D4021" s="6"/>
      <c r="E4021" s="6"/>
      <c r="F4021" s="6"/>
      <c r="G4021" s="19"/>
      <c r="H4021" s="19"/>
      <c r="I4021" s="19"/>
      <c r="J4021" s="19"/>
      <c r="K4021" s="6"/>
      <c r="L4021" s="6"/>
      <c r="M4021" s="6"/>
      <c r="N4021" s="6"/>
      <c r="O4021" s="6"/>
      <c r="P4021" s="6"/>
      <c r="Q4021" s="6"/>
      <c r="R4021" s="6"/>
      <c r="S4021" s="6"/>
      <c r="T4021" s="6"/>
    </row>
    <row r="4022" spans="4:20" x14ac:dyDescent="0.2">
      <c r="D4022" s="6"/>
      <c r="E4022" s="6"/>
      <c r="F4022" s="6"/>
      <c r="G4022" s="19"/>
      <c r="H4022" s="19"/>
      <c r="I4022" s="19"/>
      <c r="J4022" s="19"/>
      <c r="K4022" s="6"/>
      <c r="L4022" s="6"/>
      <c r="M4022" s="6"/>
      <c r="N4022" s="6"/>
      <c r="O4022" s="6"/>
      <c r="P4022" s="6"/>
      <c r="Q4022" s="6"/>
      <c r="R4022" s="6"/>
      <c r="S4022" s="6"/>
      <c r="T4022" s="6"/>
    </row>
    <row r="4023" spans="4:20" x14ac:dyDescent="0.2">
      <c r="D4023" s="6"/>
      <c r="E4023" s="6"/>
      <c r="F4023" s="6"/>
      <c r="G4023" s="19"/>
      <c r="H4023" s="19"/>
      <c r="I4023" s="19"/>
      <c r="J4023" s="19"/>
      <c r="K4023" s="6"/>
      <c r="L4023" s="6"/>
      <c r="M4023" s="6"/>
      <c r="N4023" s="6"/>
      <c r="O4023" s="6"/>
      <c r="P4023" s="6"/>
      <c r="Q4023" s="6"/>
      <c r="R4023" s="6"/>
      <c r="S4023" s="6"/>
      <c r="T4023" s="6"/>
    </row>
    <row r="4024" spans="4:20" x14ac:dyDescent="0.2">
      <c r="D4024" s="6"/>
      <c r="E4024" s="6"/>
      <c r="F4024" s="6"/>
      <c r="G4024" s="19"/>
      <c r="H4024" s="19"/>
      <c r="I4024" s="19"/>
      <c r="J4024" s="19"/>
      <c r="K4024" s="6"/>
      <c r="L4024" s="6"/>
      <c r="M4024" s="6"/>
      <c r="N4024" s="6"/>
      <c r="O4024" s="6"/>
      <c r="P4024" s="6"/>
      <c r="Q4024" s="6"/>
      <c r="R4024" s="6"/>
      <c r="S4024" s="6"/>
      <c r="T4024" s="6"/>
    </row>
    <row r="4025" spans="4:20" x14ac:dyDescent="0.2">
      <c r="D4025" s="6"/>
      <c r="E4025" s="6"/>
      <c r="F4025" s="6"/>
      <c r="G4025" s="19"/>
      <c r="H4025" s="19"/>
      <c r="I4025" s="19"/>
      <c r="J4025" s="19"/>
      <c r="K4025" s="6"/>
      <c r="L4025" s="6"/>
      <c r="M4025" s="6"/>
      <c r="N4025" s="6"/>
      <c r="O4025" s="6"/>
      <c r="P4025" s="6"/>
      <c r="Q4025" s="6"/>
      <c r="R4025" s="6"/>
      <c r="S4025" s="6"/>
      <c r="T4025" s="6"/>
    </row>
    <row r="4026" spans="4:20" x14ac:dyDescent="0.2">
      <c r="D4026" s="6"/>
      <c r="E4026" s="6"/>
      <c r="F4026" s="6"/>
      <c r="G4026" s="19"/>
      <c r="H4026" s="19"/>
      <c r="I4026" s="19"/>
      <c r="J4026" s="19"/>
      <c r="K4026" s="6"/>
      <c r="L4026" s="6"/>
      <c r="M4026" s="6"/>
      <c r="N4026" s="6"/>
      <c r="O4026" s="6"/>
      <c r="P4026" s="6"/>
      <c r="Q4026" s="6"/>
      <c r="R4026" s="6"/>
      <c r="S4026" s="6"/>
      <c r="T4026" s="6"/>
    </row>
    <row r="4027" spans="4:20" x14ac:dyDescent="0.2">
      <c r="D4027" s="6"/>
      <c r="E4027" s="6"/>
      <c r="F4027" s="6"/>
      <c r="G4027" s="19"/>
      <c r="H4027" s="19"/>
      <c r="I4027" s="19"/>
      <c r="J4027" s="19"/>
      <c r="K4027" s="6"/>
      <c r="L4027" s="6"/>
      <c r="M4027" s="6"/>
      <c r="N4027" s="6"/>
      <c r="O4027" s="6"/>
      <c r="P4027" s="6"/>
      <c r="Q4027" s="6"/>
      <c r="R4027" s="6"/>
      <c r="S4027" s="6"/>
      <c r="T4027" s="6"/>
    </row>
    <row r="4028" spans="4:20" x14ac:dyDescent="0.2">
      <c r="D4028" s="6"/>
      <c r="E4028" s="6"/>
      <c r="F4028" s="6"/>
      <c r="G4028" s="19"/>
      <c r="H4028" s="19"/>
      <c r="I4028" s="19"/>
      <c r="J4028" s="19"/>
      <c r="K4028" s="6"/>
      <c r="L4028" s="6"/>
      <c r="M4028" s="6"/>
      <c r="N4028" s="6"/>
      <c r="O4028" s="6"/>
      <c r="P4028" s="6"/>
      <c r="Q4028" s="6"/>
      <c r="R4028" s="6"/>
      <c r="S4028" s="6"/>
      <c r="T4028" s="6"/>
    </row>
    <row r="4029" spans="4:20" x14ac:dyDescent="0.2">
      <c r="D4029" s="6"/>
      <c r="E4029" s="6"/>
      <c r="F4029" s="6"/>
      <c r="G4029" s="19"/>
      <c r="H4029" s="19"/>
      <c r="I4029" s="19"/>
      <c r="J4029" s="19"/>
      <c r="K4029" s="6"/>
      <c r="L4029" s="6"/>
      <c r="M4029" s="6"/>
      <c r="N4029" s="6"/>
      <c r="O4029" s="6"/>
      <c r="P4029" s="6"/>
      <c r="Q4029" s="6"/>
      <c r="R4029" s="6"/>
      <c r="S4029" s="6"/>
      <c r="T4029" s="6"/>
    </row>
    <row r="4030" spans="4:20" x14ac:dyDescent="0.2">
      <c r="D4030" s="6"/>
      <c r="E4030" s="6"/>
      <c r="F4030" s="6"/>
      <c r="G4030" s="19"/>
      <c r="H4030" s="19"/>
      <c r="I4030" s="19"/>
      <c r="J4030" s="19"/>
      <c r="K4030" s="6"/>
      <c r="L4030" s="6"/>
      <c r="M4030" s="6"/>
      <c r="N4030" s="6"/>
      <c r="O4030" s="6"/>
      <c r="P4030" s="6"/>
      <c r="Q4030" s="6"/>
      <c r="R4030" s="6"/>
      <c r="S4030" s="6"/>
      <c r="T4030" s="6"/>
    </row>
    <row r="4031" spans="4:20" x14ac:dyDescent="0.2">
      <c r="D4031" s="6"/>
      <c r="E4031" s="6"/>
      <c r="F4031" s="6"/>
      <c r="G4031" s="19"/>
      <c r="H4031" s="19"/>
      <c r="I4031" s="19"/>
      <c r="J4031" s="19"/>
      <c r="K4031" s="6"/>
      <c r="L4031" s="6"/>
      <c r="M4031" s="6"/>
      <c r="N4031" s="6"/>
      <c r="O4031" s="6"/>
      <c r="P4031" s="6"/>
      <c r="Q4031" s="6"/>
      <c r="R4031" s="6"/>
      <c r="S4031" s="6"/>
      <c r="T4031" s="6"/>
    </row>
    <row r="4032" spans="4:20" x14ac:dyDescent="0.2">
      <c r="D4032" s="6"/>
      <c r="E4032" s="6"/>
      <c r="F4032" s="6"/>
      <c r="G4032" s="19"/>
      <c r="H4032" s="19"/>
      <c r="I4032" s="19"/>
      <c r="J4032" s="19"/>
      <c r="K4032" s="6"/>
      <c r="L4032" s="6"/>
      <c r="M4032" s="6"/>
      <c r="N4032" s="6"/>
      <c r="O4032" s="6"/>
      <c r="P4032" s="6"/>
      <c r="Q4032" s="6"/>
      <c r="R4032" s="6"/>
      <c r="S4032" s="6"/>
      <c r="T4032" s="6"/>
    </row>
    <row r="4033" spans="4:20" x14ac:dyDescent="0.2">
      <c r="D4033" s="6"/>
      <c r="E4033" s="6"/>
      <c r="F4033" s="6"/>
      <c r="G4033" s="19"/>
      <c r="H4033" s="19"/>
      <c r="I4033" s="19"/>
      <c r="J4033" s="19"/>
      <c r="K4033" s="6"/>
      <c r="L4033" s="6"/>
      <c r="M4033" s="6"/>
      <c r="N4033" s="6"/>
      <c r="O4033" s="6"/>
      <c r="P4033" s="6"/>
      <c r="Q4033" s="6"/>
      <c r="R4033" s="6"/>
      <c r="S4033" s="6"/>
      <c r="T4033" s="6"/>
    </row>
    <row r="4034" spans="4:20" x14ac:dyDescent="0.2">
      <c r="D4034" s="6"/>
      <c r="E4034" s="6"/>
      <c r="F4034" s="6"/>
      <c r="G4034" s="19"/>
      <c r="H4034" s="19"/>
      <c r="I4034" s="19"/>
      <c r="J4034" s="19"/>
      <c r="K4034" s="6"/>
      <c r="L4034" s="6"/>
      <c r="M4034" s="6"/>
      <c r="N4034" s="6"/>
      <c r="O4034" s="6"/>
      <c r="P4034" s="6"/>
      <c r="Q4034" s="6"/>
      <c r="R4034" s="6"/>
      <c r="S4034" s="6"/>
      <c r="T4034" s="6"/>
    </row>
    <row r="4035" spans="4:20" x14ac:dyDescent="0.2">
      <c r="D4035" s="6"/>
      <c r="E4035" s="6"/>
      <c r="F4035" s="6"/>
      <c r="G4035" s="19"/>
      <c r="H4035" s="19"/>
      <c r="I4035" s="19"/>
      <c r="J4035" s="19"/>
      <c r="K4035" s="6"/>
      <c r="L4035" s="6"/>
      <c r="M4035" s="6"/>
      <c r="N4035" s="6"/>
      <c r="O4035" s="6"/>
      <c r="P4035" s="6"/>
      <c r="Q4035" s="6"/>
      <c r="R4035" s="6"/>
      <c r="S4035" s="6"/>
      <c r="T4035" s="6"/>
    </row>
    <row r="4036" spans="4:20" x14ac:dyDescent="0.2">
      <c r="D4036" s="6"/>
      <c r="E4036" s="6"/>
      <c r="F4036" s="6"/>
      <c r="G4036" s="19"/>
      <c r="H4036" s="19"/>
      <c r="I4036" s="19"/>
      <c r="J4036" s="19"/>
      <c r="K4036" s="6"/>
      <c r="L4036" s="6"/>
      <c r="M4036" s="6"/>
      <c r="N4036" s="6"/>
      <c r="O4036" s="6"/>
      <c r="P4036" s="6"/>
      <c r="Q4036" s="6"/>
      <c r="R4036" s="6"/>
      <c r="S4036" s="6"/>
      <c r="T4036" s="6"/>
    </row>
    <row r="4037" spans="4:20" x14ac:dyDescent="0.2">
      <c r="D4037" s="6"/>
      <c r="E4037" s="6"/>
      <c r="F4037" s="6"/>
      <c r="G4037" s="19"/>
      <c r="H4037" s="19"/>
      <c r="I4037" s="19"/>
      <c r="J4037" s="19"/>
      <c r="K4037" s="6"/>
      <c r="L4037" s="6"/>
      <c r="M4037" s="6"/>
      <c r="N4037" s="6"/>
      <c r="O4037" s="6"/>
      <c r="P4037" s="6"/>
      <c r="Q4037" s="6"/>
      <c r="R4037" s="6"/>
      <c r="S4037" s="6"/>
      <c r="T4037" s="6"/>
    </row>
    <row r="4038" spans="4:20" x14ac:dyDescent="0.2">
      <c r="D4038" s="6"/>
      <c r="E4038" s="6"/>
      <c r="F4038" s="6"/>
      <c r="G4038" s="19"/>
      <c r="H4038" s="19"/>
      <c r="I4038" s="19"/>
      <c r="J4038" s="19"/>
      <c r="K4038" s="6"/>
      <c r="L4038" s="6"/>
      <c r="M4038" s="6"/>
      <c r="N4038" s="6"/>
      <c r="O4038" s="6"/>
      <c r="P4038" s="6"/>
      <c r="Q4038" s="6"/>
      <c r="R4038" s="6"/>
      <c r="S4038" s="6"/>
      <c r="T4038" s="6"/>
    </row>
    <row r="4039" spans="4:20" x14ac:dyDescent="0.2">
      <c r="D4039" s="6"/>
      <c r="E4039" s="6"/>
      <c r="F4039" s="6"/>
      <c r="G4039" s="19"/>
      <c r="H4039" s="19"/>
      <c r="I4039" s="19"/>
      <c r="J4039" s="19"/>
      <c r="K4039" s="6"/>
      <c r="L4039" s="6"/>
      <c r="M4039" s="6"/>
      <c r="N4039" s="6"/>
      <c r="O4039" s="6"/>
      <c r="P4039" s="6"/>
      <c r="Q4039" s="6"/>
      <c r="R4039" s="6"/>
      <c r="S4039" s="6"/>
      <c r="T4039" s="6"/>
    </row>
    <row r="4040" spans="4:20" x14ac:dyDescent="0.2">
      <c r="D4040" s="6"/>
      <c r="E4040" s="6"/>
      <c r="F4040" s="6"/>
      <c r="G4040" s="19"/>
      <c r="H4040" s="19"/>
      <c r="I4040" s="19"/>
      <c r="J4040" s="19"/>
      <c r="K4040" s="6"/>
      <c r="L4040" s="6"/>
      <c r="M4040" s="6"/>
      <c r="N4040" s="6"/>
      <c r="O4040" s="6"/>
      <c r="P4040" s="6"/>
      <c r="Q4040" s="6"/>
      <c r="R4040" s="6"/>
      <c r="S4040" s="6"/>
      <c r="T4040" s="6"/>
    </row>
    <row r="4041" spans="4:20" x14ac:dyDescent="0.2">
      <c r="D4041" s="6"/>
      <c r="E4041" s="6"/>
      <c r="F4041" s="6"/>
      <c r="G4041" s="19"/>
      <c r="H4041" s="19"/>
      <c r="I4041" s="19"/>
      <c r="J4041" s="19"/>
      <c r="K4041" s="6"/>
      <c r="L4041" s="6"/>
      <c r="M4041" s="6"/>
      <c r="N4041" s="6"/>
      <c r="O4041" s="6"/>
      <c r="P4041" s="6"/>
      <c r="Q4041" s="6"/>
      <c r="R4041" s="6"/>
      <c r="S4041" s="6"/>
      <c r="T4041" s="6"/>
    </row>
    <row r="4042" spans="4:20" x14ac:dyDescent="0.2">
      <c r="D4042" s="6"/>
      <c r="E4042" s="6"/>
      <c r="F4042" s="6"/>
      <c r="G4042" s="19"/>
      <c r="H4042" s="19"/>
      <c r="I4042" s="19"/>
      <c r="J4042" s="19"/>
      <c r="K4042" s="6"/>
      <c r="L4042" s="6"/>
      <c r="M4042" s="6"/>
      <c r="N4042" s="6"/>
      <c r="O4042" s="6"/>
      <c r="P4042" s="6"/>
      <c r="Q4042" s="6"/>
      <c r="R4042" s="6"/>
      <c r="S4042" s="6"/>
      <c r="T4042" s="6"/>
    </row>
    <row r="4043" spans="4:20" x14ac:dyDescent="0.2">
      <c r="D4043" s="6"/>
      <c r="E4043" s="6"/>
      <c r="F4043" s="6"/>
      <c r="G4043" s="19"/>
      <c r="H4043" s="19"/>
      <c r="I4043" s="19"/>
      <c r="J4043" s="19"/>
      <c r="K4043" s="6"/>
      <c r="L4043" s="6"/>
      <c r="M4043" s="6"/>
      <c r="N4043" s="6"/>
      <c r="O4043" s="6"/>
      <c r="P4043" s="6"/>
      <c r="Q4043" s="6"/>
      <c r="R4043" s="6"/>
      <c r="S4043" s="6"/>
      <c r="T4043" s="6"/>
    </row>
    <row r="4044" spans="4:20" x14ac:dyDescent="0.2">
      <c r="D4044" s="6"/>
      <c r="E4044" s="6"/>
      <c r="F4044" s="6"/>
      <c r="G4044" s="19"/>
      <c r="H4044" s="19"/>
      <c r="I4044" s="19"/>
      <c r="J4044" s="19"/>
      <c r="K4044" s="6"/>
      <c r="L4044" s="6"/>
      <c r="M4044" s="6"/>
      <c r="N4044" s="6"/>
      <c r="O4044" s="6"/>
      <c r="P4044" s="6"/>
      <c r="Q4044" s="6"/>
      <c r="R4044" s="6"/>
      <c r="S4044" s="6"/>
      <c r="T4044" s="6"/>
    </row>
    <row r="4045" spans="4:20" x14ac:dyDescent="0.2">
      <c r="D4045" s="6"/>
      <c r="E4045" s="6"/>
      <c r="F4045" s="6"/>
      <c r="G4045" s="19"/>
      <c r="H4045" s="19"/>
      <c r="I4045" s="19"/>
      <c r="J4045" s="19"/>
      <c r="K4045" s="6"/>
      <c r="L4045" s="6"/>
      <c r="M4045" s="6"/>
      <c r="N4045" s="6"/>
      <c r="O4045" s="6"/>
      <c r="P4045" s="6"/>
      <c r="Q4045" s="6"/>
      <c r="R4045" s="6"/>
      <c r="S4045" s="6"/>
      <c r="T4045" s="6"/>
    </row>
    <row r="4046" spans="4:20" x14ac:dyDescent="0.2">
      <c r="D4046" s="6"/>
      <c r="E4046" s="6"/>
      <c r="F4046" s="6"/>
      <c r="G4046" s="19"/>
      <c r="H4046" s="19"/>
      <c r="I4046" s="19"/>
      <c r="J4046" s="19"/>
      <c r="K4046" s="6"/>
      <c r="L4046" s="6"/>
      <c r="M4046" s="6"/>
      <c r="N4046" s="6"/>
      <c r="O4046" s="6"/>
      <c r="P4046" s="6"/>
      <c r="Q4046" s="6"/>
      <c r="R4046" s="6"/>
      <c r="S4046" s="6"/>
      <c r="T4046" s="6"/>
    </row>
    <row r="4047" spans="4:20" x14ac:dyDescent="0.2">
      <c r="D4047" s="6"/>
      <c r="E4047" s="6"/>
      <c r="F4047" s="6"/>
      <c r="G4047" s="19"/>
      <c r="H4047" s="19"/>
      <c r="I4047" s="19"/>
      <c r="J4047" s="19"/>
      <c r="K4047" s="6"/>
      <c r="L4047" s="6"/>
      <c r="M4047" s="6"/>
      <c r="N4047" s="6"/>
      <c r="O4047" s="6"/>
      <c r="P4047" s="6"/>
      <c r="Q4047" s="6"/>
      <c r="R4047" s="6"/>
      <c r="S4047" s="6"/>
      <c r="T4047" s="6"/>
    </row>
    <row r="4048" spans="4:20" x14ac:dyDescent="0.2">
      <c r="D4048" s="6"/>
      <c r="E4048" s="6"/>
      <c r="F4048" s="6"/>
      <c r="G4048" s="19"/>
      <c r="H4048" s="19"/>
      <c r="I4048" s="19"/>
      <c r="J4048" s="19"/>
      <c r="K4048" s="6"/>
      <c r="L4048" s="6"/>
      <c r="M4048" s="6"/>
      <c r="N4048" s="6"/>
      <c r="O4048" s="6"/>
      <c r="P4048" s="6"/>
      <c r="Q4048" s="6"/>
      <c r="R4048" s="6"/>
      <c r="S4048" s="6"/>
      <c r="T4048" s="6"/>
    </row>
    <row r="4049" spans="4:20" x14ac:dyDescent="0.2">
      <c r="D4049" s="6"/>
      <c r="E4049" s="6"/>
      <c r="F4049" s="6"/>
      <c r="G4049" s="19"/>
      <c r="H4049" s="19"/>
      <c r="I4049" s="19"/>
      <c r="J4049" s="19"/>
      <c r="K4049" s="6"/>
      <c r="L4049" s="6"/>
      <c r="M4049" s="6"/>
      <c r="N4049" s="6"/>
      <c r="O4049" s="6"/>
      <c r="P4049" s="6"/>
      <c r="Q4049" s="6"/>
      <c r="R4049" s="6"/>
      <c r="S4049" s="6"/>
      <c r="T4049" s="6"/>
    </row>
    <row r="4050" spans="4:20" x14ac:dyDescent="0.2">
      <c r="D4050" s="6"/>
      <c r="E4050" s="6"/>
      <c r="F4050" s="6"/>
      <c r="G4050" s="19"/>
      <c r="H4050" s="19"/>
      <c r="I4050" s="19"/>
      <c r="J4050" s="19"/>
      <c r="K4050" s="6"/>
      <c r="L4050" s="6"/>
      <c r="M4050" s="6"/>
      <c r="N4050" s="6"/>
      <c r="O4050" s="6"/>
      <c r="P4050" s="6"/>
      <c r="Q4050" s="6"/>
      <c r="R4050" s="6"/>
      <c r="S4050" s="6"/>
      <c r="T4050" s="6"/>
    </row>
    <row r="4051" spans="4:20" x14ac:dyDescent="0.2">
      <c r="D4051" s="6"/>
      <c r="E4051" s="6"/>
      <c r="F4051" s="6"/>
      <c r="G4051" s="19"/>
      <c r="H4051" s="19"/>
      <c r="I4051" s="19"/>
      <c r="J4051" s="19"/>
      <c r="K4051" s="6"/>
      <c r="L4051" s="6"/>
      <c r="M4051" s="6"/>
      <c r="N4051" s="6"/>
      <c r="O4051" s="6"/>
      <c r="P4051" s="6"/>
      <c r="Q4051" s="6"/>
      <c r="R4051" s="6"/>
      <c r="S4051" s="6"/>
      <c r="T4051" s="6"/>
    </row>
    <row r="4052" spans="4:20" x14ac:dyDescent="0.2">
      <c r="D4052" s="6"/>
      <c r="E4052" s="6"/>
      <c r="F4052" s="6"/>
      <c r="G4052" s="19"/>
      <c r="H4052" s="19"/>
      <c r="I4052" s="19"/>
      <c r="J4052" s="19"/>
      <c r="K4052" s="6"/>
      <c r="L4052" s="6"/>
      <c r="M4052" s="6"/>
      <c r="N4052" s="6"/>
      <c r="O4052" s="6"/>
      <c r="P4052" s="6"/>
      <c r="Q4052" s="6"/>
      <c r="R4052" s="6"/>
      <c r="S4052" s="6"/>
      <c r="T4052" s="6"/>
    </row>
    <row r="4053" spans="4:20" x14ac:dyDescent="0.2">
      <c r="D4053" s="6"/>
      <c r="E4053" s="6"/>
      <c r="F4053" s="6"/>
      <c r="G4053" s="19"/>
      <c r="H4053" s="19"/>
      <c r="I4053" s="19"/>
      <c r="J4053" s="19"/>
      <c r="K4053" s="6"/>
      <c r="L4053" s="6"/>
      <c r="M4053" s="6"/>
      <c r="N4053" s="6"/>
      <c r="O4053" s="6"/>
      <c r="P4053" s="6"/>
      <c r="Q4053" s="6"/>
      <c r="R4053" s="6"/>
      <c r="S4053" s="6"/>
      <c r="T4053" s="6"/>
    </row>
    <row r="4054" spans="4:20" x14ac:dyDescent="0.2">
      <c r="D4054" s="6"/>
      <c r="E4054" s="6"/>
      <c r="F4054" s="6"/>
      <c r="G4054" s="19"/>
      <c r="H4054" s="19"/>
      <c r="I4054" s="19"/>
      <c r="J4054" s="19"/>
      <c r="K4054" s="6"/>
      <c r="L4054" s="6"/>
      <c r="M4054" s="6"/>
      <c r="N4054" s="6"/>
      <c r="O4054" s="6"/>
      <c r="P4054" s="6"/>
      <c r="Q4054" s="6"/>
      <c r="R4054" s="6"/>
      <c r="S4054" s="6"/>
      <c r="T4054" s="6"/>
    </row>
    <row r="4055" spans="4:20" x14ac:dyDescent="0.2">
      <c r="D4055" s="6"/>
      <c r="E4055" s="6"/>
      <c r="F4055" s="6"/>
      <c r="G4055" s="19"/>
      <c r="H4055" s="19"/>
      <c r="I4055" s="19"/>
      <c r="J4055" s="19"/>
      <c r="K4055" s="6"/>
      <c r="L4055" s="6"/>
      <c r="M4055" s="6"/>
      <c r="N4055" s="6"/>
      <c r="O4055" s="6"/>
      <c r="P4055" s="6"/>
      <c r="Q4055" s="6"/>
      <c r="R4055" s="6"/>
      <c r="S4055" s="6"/>
      <c r="T4055" s="6"/>
    </row>
    <row r="4056" spans="4:20" x14ac:dyDescent="0.2">
      <c r="D4056" s="6"/>
      <c r="E4056" s="6"/>
      <c r="F4056" s="6"/>
      <c r="G4056" s="19"/>
      <c r="H4056" s="19"/>
      <c r="I4056" s="19"/>
      <c r="J4056" s="19"/>
      <c r="K4056" s="6"/>
      <c r="L4056" s="6"/>
      <c r="M4056" s="6"/>
      <c r="N4056" s="6"/>
      <c r="O4056" s="6"/>
      <c r="P4056" s="6"/>
      <c r="Q4056" s="6"/>
      <c r="R4056" s="6"/>
      <c r="S4056" s="6"/>
      <c r="T4056" s="6"/>
    </row>
    <row r="4057" spans="4:20" x14ac:dyDescent="0.2">
      <c r="D4057" s="6"/>
      <c r="E4057" s="6"/>
      <c r="F4057" s="6"/>
      <c r="G4057" s="19"/>
      <c r="H4057" s="19"/>
      <c r="I4057" s="19"/>
      <c r="J4057" s="19"/>
      <c r="K4057" s="6"/>
      <c r="L4057" s="6"/>
      <c r="M4057" s="6"/>
      <c r="N4057" s="6"/>
      <c r="O4057" s="6"/>
      <c r="P4057" s="6"/>
      <c r="Q4057" s="6"/>
      <c r="R4057" s="6"/>
      <c r="S4057" s="6"/>
      <c r="T4057" s="6"/>
    </row>
    <row r="4058" spans="4:20" x14ac:dyDescent="0.2">
      <c r="D4058" s="6"/>
      <c r="E4058" s="6"/>
      <c r="F4058" s="6"/>
      <c r="G4058" s="19"/>
      <c r="H4058" s="19"/>
      <c r="I4058" s="19"/>
      <c r="J4058" s="19"/>
      <c r="K4058" s="6"/>
      <c r="L4058" s="6"/>
      <c r="M4058" s="6"/>
      <c r="N4058" s="6"/>
      <c r="O4058" s="6"/>
      <c r="P4058" s="6"/>
      <c r="Q4058" s="6"/>
      <c r="R4058" s="6"/>
      <c r="S4058" s="6"/>
      <c r="T4058" s="6"/>
    </row>
    <row r="4059" spans="4:20" x14ac:dyDescent="0.2">
      <c r="D4059" s="6"/>
      <c r="E4059" s="6"/>
      <c r="F4059" s="6"/>
      <c r="G4059" s="19"/>
      <c r="H4059" s="19"/>
      <c r="I4059" s="19"/>
      <c r="J4059" s="19"/>
      <c r="K4059" s="6"/>
      <c r="L4059" s="6"/>
      <c r="M4059" s="6"/>
      <c r="N4059" s="6"/>
      <c r="O4059" s="6"/>
      <c r="P4059" s="6"/>
      <c r="Q4059" s="6"/>
      <c r="R4059" s="6"/>
      <c r="S4059" s="6"/>
      <c r="T4059" s="6"/>
    </row>
    <row r="4060" spans="4:20" x14ac:dyDescent="0.2">
      <c r="D4060" s="6"/>
      <c r="E4060" s="6"/>
      <c r="F4060" s="6"/>
      <c r="G4060" s="19"/>
      <c r="H4060" s="19"/>
      <c r="I4060" s="19"/>
      <c r="J4060" s="19"/>
      <c r="K4060" s="6"/>
      <c r="L4060" s="6"/>
      <c r="M4060" s="6"/>
      <c r="N4060" s="6"/>
      <c r="O4060" s="6"/>
      <c r="P4060" s="6"/>
      <c r="Q4060" s="6"/>
      <c r="R4060" s="6"/>
      <c r="S4060" s="6"/>
      <c r="T4060" s="6"/>
    </row>
    <row r="4061" spans="4:20" x14ac:dyDescent="0.2">
      <c r="D4061" s="6"/>
      <c r="E4061" s="6"/>
      <c r="F4061" s="6"/>
      <c r="G4061" s="19"/>
      <c r="H4061" s="19"/>
      <c r="I4061" s="19"/>
      <c r="J4061" s="19"/>
      <c r="K4061" s="6"/>
      <c r="L4061" s="6"/>
      <c r="M4061" s="6"/>
      <c r="N4061" s="6"/>
      <c r="O4061" s="6"/>
      <c r="P4061" s="6"/>
      <c r="Q4061" s="6"/>
      <c r="R4061" s="6"/>
      <c r="S4061" s="6"/>
      <c r="T4061" s="6"/>
    </row>
    <row r="4062" spans="4:20" x14ac:dyDescent="0.2">
      <c r="D4062" s="6"/>
      <c r="E4062" s="6"/>
      <c r="F4062" s="6"/>
      <c r="G4062" s="19"/>
      <c r="H4062" s="19"/>
      <c r="I4062" s="19"/>
      <c r="J4062" s="19"/>
      <c r="K4062" s="6"/>
      <c r="L4062" s="6"/>
      <c r="M4062" s="6"/>
      <c r="N4062" s="6"/>
      <c r="O4062" s="6"/>
      <c r="P4062" s="6"/>
      <c r="Q4062" s="6"/>
      <c r="R4062" s="6"/>
      <c r="S4062" s="6"/>
      <c r="T4062" s="6"/>
    </row>
    <row r="4063" spans="4:20" x14ac:dyDescent="0.2">
      <c r="D4063" s="6"/>
      <c r="E4063" s="6"/>
      <c r="F4063" s="6"/>
      <c r="G4063" s="19"/>
      <c r="H4063" s="19"/>
      <c r="I4063" s="19"/>
      <c r="J4063" s="19"/>
      <c r="K4063" s="6"/>
      <c r="L4063" s="6"/>
      <c r="M4063" s="6"/>
      <c r="N4063" s="6"/>
      <c r="O4063" s="6"/>
      <c r="P4063" s="6"/>
      <c r="Q4063" s="6"/>
      <c r="R4063" s="6"/>
      <c r="S4063" s="6"/>
      <c r="T4063" s="6"/>
    </row>
    <row r="4064" spans="4:20" x14ac:dyDescent="0.2">
      <c r="D4064" s="6"/>
      <c r="E4064" s="6"/>
      <c r="F4064" s="6"/>
      <c r="G4064" s="19"/>
      <c r="H4064" s="19"/>
      <c r="I4064" s="19"/>
      <c r="J4064" s="19"/>
      <c r="K4064" s="6"/>
      <c r="L4064" s="6"/>
      <c r="M4064" s="6"/>
      <c r="N4064" s="6"/>
      <c r="O4064" s="6"/>
      <c r="P4064" s="6"/>
      <c r="Q4064" s="6"/>
      <c r="R4064" s="6"/>
      <c r="S4064" s="6"/>
      <c r="T4064" s="6"/>
    </row>
    <row r="4065" spans="4:20" x14ac:dyDescent="0.2">
      <c r="D4065" s="6"/>
      <c r="E4065" s="6"/>
      <c r="F4065" s="6"/>
      <c r="G4065" s="19"/>
      <c r="H4065" s="19"/>
      <c r="I4065" s="19"/>
      <c r="J4065" s="19"/>
      <c r="K4065" s="6"/>
      <c r="L4065" s="6"/>
      <c r="M4065" s="6"/>
      <c r="N4065" s="6"/>
      <c r="O4065" s="6"/>
      <c r="P4065" s="6"/>
      <c r="Q4065" s="6"/>
      <c r="R4065" s="6"/>
      <c r="S4065" s="6"/>
      <c r="T4065" s="6"/>
    </row>
    <row r="4066" spans="4:20" x14ac:dyDescent="0.2">
      <c r="D4066" s="6"/>
      <c r="E4066" s="6"/>
      <c r="F4066" s="6"/>
      <c r="G4066" s="19"/>
      <c r="H4066" s="19"/>
      <c r="I4066" s="19"/>
      <c r="J4066" s="19"/>
      <c r="K4066" s="6"/>
      <c r="L4066" s="6"/>
      <c r="M4066" s="6"/>
      <c r="N4066" s="6"/>
      <c r="O4066" s="6"/>
      <c r="P4066" s="6"/>
      <c r="Q4066" s="6"/>
      <c r="R4066" s="6"/>
      <c r="S4066" s="6"/>
      <c r="T4066" s="6"/>
    </row>
    <row r="4067" spans="4:20" x14ac:dyDescent="0.2">
      <c r="D4067" s="6"/>
      <c r="E4067" s="6"/>
      <c r="F4067" s="6"/>
      <c r="G4067" s="19"/>
      <c r="H4067" s="19"/>
      <c r="I4067" s="19"/>
      <c r="J4067" s="19"/>
      <c r="K4067" s="6"/>
      <c r="L4067" s="6"/>
      <c r="M4067" s="6"/>
      <c r="N4067" s="6"/>
      <c r="O4067" s="6"/>
      <c r="P4067" s="6"/>
      <c r="Q4067" s="6"/>
      <c r="R4067" s="6"/>
      <c r="S4067" s="6"/>
      <c r="T4067" s="6"/>
    </row>
    <row r="4068" spans="4:20" x14ac:dyDescent="0.2">
      <c r="D4068" s="6"/>
      <c r="E4068" s="6"/>
      <c r="F4068" s="6"/>
      <c r="G4068" s="19"/>
      <c r="H4068" s="19"/>
      <c r="I4068" s="19"/>
      <c r="J4068" s="19"/>
      <c r="K4068" s="6"/>
      <c r="L4068" s="6"/>
      <c r="M4068" s="6"/>
      <c r="N4068" s="6"/>
      <c r="O4068" s="6"/>
      <c r="P4068" s="6"/>
      <c r="Q4068" s="6"/>
      <c r="R4068" s="6"/>
      <c r="S4068" s="6"/>
      <c r="T4068" s="6"/>
    </row>
    <row r="4069" spans="4:20" x14ac:dyDescent="0.2">
      <c r="D4069" s="6"/>
      <c r="E4069" s="6"/>
      <c r="F4069" s="6"/>
      <c r="G4069" s="19"/>
      <c r="H4069" s="19"/>
      <c r="I4069" s="19"/>
      <c r="J4069" s="19"/>
      <c r="K4069" s="6"/>
      <c r="L4069" s="6"/>
      <c r="M4069" s="6"/>
      <c r="N4069" s="6"/>
      <c r="O4069" s="6"/>
      <c r="P4069" s="6"/>
      <c r="Q4069" s="6"/>
      <c r="R4069" s="6"/>
      <c r="S4069" s="6"/>
      <c r="T4069" s="6"/>
    </row>
    <row r="4070" spans="4:20" x14ac:dyDescent="0.2">
      <c r="D4070" s="6"/>
      <c r="E4070" s="6"/>
      <c r="F4070" s="6"/>
      <c r="G4070" s="19"/>
      <c r="H4070" s="19"/>
      <c r="I4070" s="19"/>
      <c r="J4070" s="19"/>
      <c r="K4070" s="6"/>
      <c r="L4070" s="6"/>
      <c r="M4070" s="6"/>
      <c r="N4070" s="6"/>
      <c r="O4070" s="6"/>
      <c r="P4070" s="6"/>
      <c r="Q4070" s="6"/>
      <c r="R4070" s="6"/>
      <c r="S4070" s="6"/>
      <c r="T4070" s="6"/>
    </row>
    <row r="4071" spans="4:20" x14ac:dyDescent="0.2">
      <c r="D4071" s="6"/>
      <c r="E4071" s="6"/>
      <c r="F4071" s="6"/>
      <c r="G4071" s="19"/>
      <c r="H4071" s="19"/>
      <c r="I4071" s="19"/>
      <c r="J4071" s="19"/>
      <c r="K4071" s="6"/>
      <c r="L4071" s="6"/>
      <c r="M4071" s="6"/>
      <c r="N4071" s="6"/>
      <c r="O4071" s="6"/>
      <c r="P4071" s="6"/>
      <c r="Q4071" s="6"/>
      <c r="R4071" s="6"/>
      <c r="S4071" s="6"/>
      <c r="T4071" s="6"/>
    </row>
    <row r="4072" spans="4:20" x14ac:dyDescent="0.2">
      <c r="D4072" s="6"/>
      <c r="E4072" s="6"/>
      <c r="F4072" s="6"/>
      <c r="G4072" s="19"/>
      <c r="H4072" s="19"/>
      <c r="I4072" s="19"/>
      <c r="J4072" s="19"/>
      <c r="K4072" s="6"/>
      <c r="L4072" s="6"/>
      <c r="M4072" s="6"/>
      <c r="N4072" s="6"/>
      <c r="O4072" s="6"/>
      <c r="P4072" s="6"/>
      <c r="Q4072" s="6"/>
      <c r="R4072" s="6"/>
      <c r="S4072" s="6"/>
      <c r="T4072" s="6"/>
    </row>
    <row r="4073" spans="4:20" x14ac:dyDescent="0.2">
      <c r="D4073" s="6"/>
      <c r="E4073" s="6"/>
      <c r="F4073" s="6"/>
      <c r="G4073" s="19"/>
      <c r="H4073" s="19"/>
      <c r="I4073" s="19"/>
      <c r="J4073" s="19"/>
      <c r="K4073" s="6"/>
      <c r="L4073" s="6"/>
      <c r="M4073" s="6"/>
      <c r="N4073" s="6"/>
      <c r="O4073" s="6"/>
      <c r="P4073" s="6"/>
      <c r="Q4073" s="6"/>
      <c r="R4073" s="6"/>
      <c r="S4073" s="6"/>
      <c r="T4073" s="6"/>
    </row>
    <row r="4074" spans="4:20" x14ac:dyDescent="0.2">
      <c r="D4074" s="6"/>
      <c r="E4074" s="6"/>
      <c r="F4074" s="6"/>
      <c r="G4074" s="19"/>
      <c r="H4074" s="19"/>
      <c r="I4074" s="19"/>
      <c r="J4074" s="19"/>
      <c r="K4074" s="6"/>
      <c r="L4074" s="6"/>
      <c r="M4074" s="6"/>
      <c r="N4074" s="6"/>
      <c r="O4074" s="6"/>
      <c r="P4074" s="6"/>
      <c r="Q4074" s="6"/>
      <c r="R4074" s="6"/>
      <c r="S4074" s="6"/>
      <c r="T4074" s="6"/>
    </row>
    <row r="4075" spans="4:20" x14ac:dyDescent="0.2">
      <c r="D4075" s="6"/>
      <c r="E4075" s="6"/>
      <c r="F4075" s="6"/>
      <c r="G4075" s="19"/>
      <c r="H4075" s="19"/>
      <c r="I4075" s="19"/>
      <c r="J4075" s="19"/>
      <c r="K4075" s="6"/>
      <c r="L4075" s="6"/>
      <c r="M4075" s="6"/>
      <c r="N4075" s="6"/>
      <c r="O4075" s="6"/>
      <c r="P4075" s="6"/>
      <c r="Q4075" s="6"/>
      <c r="R4075" s="6"/>
      <c r="S4075" s="6"/>
      <c r="T4075" s="6"/>
    </row>
    <row r="4076" spans="4:20" x14ac:dyDescent="0.2">
      <c r="D4076" s="6"/>
      <c r="E4076" s="6"/>
      <c r="F4076" s="6"/>
      <c r="G4076" s="19"/>
      <c r="H4076" s="19"/>
      <c r="I4076" s="19"/>
      <c r="J4076" s="19"/>
      <c r="K4076" s="6"/>
      <c r="L4076" s="6"/>
      <c r="M4076" s="6"/>
      <c r="N4076" s="6"/>
      <c r="O4076" s="6"/>
      <c r="P4076" s="6"/>
      <c r="Q4076" s="6"/>
      <c r="R4076" s="6"/>
      <c r="S4076" s="6"/>
      <c r="T4076" s="6"/>
    </row>
    <row r="4077" spans="4:20" x14ac:dyDescent="0.2">
      <c r="D4077" s="6"/>
      <c r="E4077" s="6"/>
      <c r="F4077" s="6"/>
      <c r="G4077" s="19"/>
      <c r="H4077" s="19"/>
      <c r="I4077" s="19"/>
      <c r="J4077" s="19"/>
      <c r="K4077" s="6"/>
      <c r="L4077" s="6"/>
      <c r="M4077" s="6"/>
      <c r="N4077" s="6"/>
      <c r="O4077" s="6"/>
      <c r="P4077" s="6"/>
      <c r="Q4077" s="6"/>
      <c r="R4077" s="6"/>
      <c r="S4077" s="6"/>
      <c r="T4077" s="6"/>
    </row>
    <row r="4078" spans="4:20" x14ac:dyDescent="0.2">
      <c r="D4078" s="6"/>
      <c r="E4078" s="6"/>
      <c r="F4078" s="6"/>
      <c r="G4078" s="19"/>
      <c r="H4078" s="19"/>
      <c r="I4078" s="19"/>
      <c r="J4078" s="19"/>
      <c r="K4078" s="6"/>
      <c r="L4078" s="6"/>
      <c r="M4078" s="6"/>
      <c r="N4078" s="6"/>
      <c r="O4078" s="6"/>
      <c r="P4078" s="6"/>
      <c r="Q4078" s="6"/>
      <c r="R4078" s="6"/>
      <c r="S4078" s="6"/>
      <c r="T4078" s="6"/>
    </row>
    <row r="4079" spans="4:20" x14ac:dyDescent="0.2">
      <c r="D4079" s="6"/>
      <c r="E4079" s="6"/>
      <c r="F4079" s="6"/>
      <c r="G4079" s="19"/>
      <c r="H4079" s="19"/>
      <c r="I4079" s="19"/>
      <c r="J4079" s="19"/>
      <c r="K4079" s="6"/>
      <c r="L4079" s="6"/>
      <c r="M4079" s="6"/>
      <c r="N4079" s="6"/>
      <c r="O4079" s="6"/>
      <c r="P4079" s="6"/>
      <c r="Q4079" s="6"/>
      <c r="R4079" s="6"/>
      <c r="S4079" s="6"/>
      <c r="T4079" s="6"/>
    </row>
    <row r="4080" spans="4:20" x14ac:dyDescent="0.2">
      <c r="D4080" s="6"/>
      <c r="E4080" s="6"/>
      <c r="F4080" s="6"/>
      <c r="G4080" s="19"/>
      <c r="H4080" s="19"/>
      <c r="I4080" s="19"/>
      <c r="J4080" s="19"/>
      <c r="K4080" s="6"/>
      <c r="L4080" s="6"/>
      <c r="M4080" s="6"/>
      <c r="N4080" s="6"/>
      <c r="O4080" s="6"/>
      <c r="P4080" s="6"/>
      <c r="Q4080" s="6"/>
      <c r="R4080" s="6"/>
      <c r="S4080" s="6"/>
      <c r="T4080" s="6"/>
    </row>
    <row r="4081" spans="4:20" x14ac:dyDescent="0.2">
      <c r="D4081" s="6"/>
      <c r="E4081" s="6"/>
      <c r="F4081" s="6"/>
      <c r="G4081" s="19"/>
      <c r="H4081" s="19"/>
      <c r="I4081" s="19"/>
      <c r="J4081" s="19"/>
      <c r="K4081" s="6"/>
      <c r="L4081" s="6"/>
      <c r="M4081" s="6"/>
      <c r="N4081" s="6"/>
      <c r="O4081" s="6"/>
      <c r="P4081" s="6"/>
      <c r="Q4081" s="6"/>
      <c r="R4081" s="6"/>
      <c r="S4081" s="6"/>
      <c r="T4081" s="6"/>
    </row>
    <row r="4082" spans="4:20" x14ac:dyDescent="0.2">
      <c r="D4082" s="6"/>
      <c r="E4082" s="6"/>
      <c r="F4082" s="6"/>
      <c r="G4082" s="19"/>
      <c r="H4082" s="19"/>
      <c r="I4082" s="19"/>
      <c r="J4082" s="19"/>
      <c r="K4082" s="6"/>
      <c r="L4082" s="6"/>
      <c r="M4082" s="6"/>
      <c r="N4082" s="6"/>
      <c r="O4082" s="6"/>
      <c r="P4082" s="6"/>
      <c r="Q4082" s="6"/>
      <c r="R4082" s="6"/>
      <c r="S4082" s="6"/>
      <c r="T4082" s="6"/>
    </row>
    <row r="4083" spans="4:20" x14ac:dyDescent="0.2">
      <c r="D4083" s="6"/>
      <c r="E4083" s="6"/>
      <c r="F4083" s="6"/>
      <c r="G4083" s="19"/>
      <c r="H4083" s="19"/>
      <c r="I4083" s="19"/>
      <c r="J4083" s="19"/>
      <c r="K4083" s="6"/>
      <c r="L4083" s="6"/>
      <c r="M4083" s="6"/>
      <c r="N4083" s="6"/>
      <c r="O4083" s="6"/>
      <c r="P4083" s="6"/>
      <c r="Q4083" s="6"/>
      <c r="R4083" s="6"/>
      <c r="S4083" s="6"/>
      <c r="T4083" s="6"/>
    </row>
    <row r="4084" spans="4:20" x14ac:dyDescent="0.2">
      <c r="D4084" s="6"/>
      <c r="E4084" s="6"/>
      <c r="F4084" s="6"/>
      <c r="G4084" s="19"/>
      <c r="H4084" s="19"/>
      <c r="I4084" s="19"/>
      <c r="J4084" s="19"/>
      <c r="K4084" s="6"/>
      <c r="L4084" s="6"/>
      <c r="M4084" s="6"/>
      <c r="N4084" s="6"/>
      <c r="O4084" s="6"/>
      <c r="P4084" s="6"/>
      <c r="Q4084" s="6"/>
      <c r="R4084" s="6"/>
      <c r="S4084" s="6"/>
      <c r="T4084" s="6"/>
    </row>
    <row r="4085" spans="4:20" x14ac:dyDescent="0.2">
      <c r="D4085" s="6"/>
      <c r="E4085" s="6"/>
      <c r="F4085" s="6"/>
      <c r="G4085" s="19"/>
      <c r="H4085" s="19"/>
      <c r="I4085" s="19"/>
      <c r="J4085" s="19"/>
      <c r="K4085" s="6"/>
      <c r="L4085" s="6"/>
      <c r="M4085" s="6"/>
      <c r="N4085" s="6"/>
      <c r="O4085" s="6"/>
      <c r="P4085" s="6"/>
      <c r="Q4085" s="6"/>
      <c r="R4085" s="6"/>
      <c r="S4085" s="6"/>
      <c r="T4085" s="6"/>
    </row>
    <row r="4086" spans="4:20" x14ac:dyDescent="0.2">
      <c r="D4086" s="6"/>
      <c r="E4086" s="6"/>
      <c r="F4086" s="6"/>
      <c r="G4086" s="19"/>
      <c r="H4086" s="19"/>
      <c r="I4086" s="19"/>
      <c r="J4086" s="19"/>
      <c r="K4086" s="6"/>
      <c r="L4086" s="6"/>
      <c r="M4086" s="6"/>
      <c r="N4086" s="6"/>
      <c r="O4086" s="6"/>
      <c r="P4086" s="6"/>
      <c r="Q4086" s="6"/>
      <c r="R4086" s="6"/>
      <c r="S4086" s="6"/>
      <c r="T4086" s="6"/>
    </row>
    <row r="4087" spans="4:20" x14ac:dyDescent="0.2">
      <c r="D4087" s="6"/>
      <c r="E4087" s="6"/>
      <c r="F4087" s="6"/>
      <c r="G4087" s="19"/>
      <c r="H4087" s="19"/>
      <c r="I4087" s="19"/>
      <c r="J4087" s="19"/>
      <c r="K4087" s="6"/>
      <c r="L4087" s="6"/>
      <c r="M4087" s="6"/>
      <c r="N4087" s="6"/>
      <c r="O4087" s="6"/>
      <c r="P4087" s="6"/>
      <c r="Q4087" s="6"/>
      <c r="R4087" s="6"/>
      <c r="S4087" s="6"/>
      <c r="T4087" s="6"/>
    </row>
    <row r="4088" spans="4:20" x14ac:dyDescent="0.2">
      <c r="D4088" s="6"/>
      <c r="E4088" s="6"/>
      <c r="F4088" s="6"/>
      <c r="G4088" s="19"/>
      <c r="H4088" s="19"/>
      <c r="I4088" s="19"/>
      <c r="J4088" s="19"/>
      <c r="K4088" s="6"/>
      <c r="L4088" s="6"/>
      <c r="M4088" s="6"/>
      <c r="N4088" s="6"/>
      <c r="O4088" s="6"/>
      <c r="P4088" s="6"/>
      <c r="Q4088" s="6"/>
      <c r="R4088" s="6"/>
      <c r="S4088" s="6"/>
      <c r="T4088" s="6"/>
    </row>
    <row r="4089" spans="4:20" x14ac:dyDescent="0.2">
      <c r="D4089" s="6"/>
      <c r="E4089" s="6"/>
      <c r="F4089" s="6"/>
      <c r="G4089" s="19"/>
      <c r="H4089" s="19"/>
      <c r="I4089" s="19"/>
      <c r="J4089" s="19"/>
      <c r="K4089" s="6"/>
      <c r="L4089" s="6"/>
      <c r="M4089" s="6"/>
      <c r="N4089" s="6"/>
      <c r="O4089" s="6"/>
      <c r="P4089" s="6"/>
      <c r="Q4089" s="6"/>
      <c r="R4089" s="6"/>
      <c r="S4089" s="6"/>
      <c r="T4089" s="6"/>
    </row>
    <row r="4090" spans="4:20" x14ac:dyDescent="0.2">
      <c r="D4090" s="6"/>
      <c r="E4090" s="6"/>
      <c r="F4090" s="6"/>
      <c r="G4090" s="19"/>
      <c r="H4090" s="19"/>
      <c r="I4090" s="19"/>
      <c r="J4090" s="19"/>
      <c r="K4090" s="6"/>
      <c r="L4090" s="6"/>
      <c r="M4090" s="6"/>
      <c r="N4090" s="6"/>
      <c r="O4090" s="6"/>
      <c r="P4090" s="6"/>
      <c r="Q4090" s="6"/>
      <c r="R4090" s="6"/>
      <c r="S4090" s="6"/>
      <c r="T4090" s="6"/>
    </row>
    <row r="4091" spans="4:20" x14ac:dyDescent="0.2">
      <c r="D4091" s="6"/>
      <c r="E4091" s="6"/>
      <c r="F4091" s="6"/>
      <c r="G4091" s="19"/>
      <c r="H4091" s="19"/>
      <c r="I4091" s="19"/>
      <c r="J4091" s="19"/>
      <c r="K4091" s="6"/>
      <c r="L4091" s="6"/>
      <c r="M4091" s="6"/>
      <c r="N4091" s="6"/>
      <c r="O4091" s="6"/>
      <c r="P4091" s="6"/>
      <c r="Q4091" s="6"/>
      <c r="R4091" s="6"/>
      <c r="S4091" s="6"/>
      <c r="T4091" s="6"/>
    </row>
    <row r="4092" spans="4:20" x14ac:dyDescent="0.2">
      <c r="D4092" s="6"/>
      <c r="E4092" s="6"/>
      <c r="F4092" s="6"/>
      <c r="G4092" s="19"/>
      <c r="H4092" s="19"/>
      <c r="I4092" s="19"/>
      <c r="J4092" s="19"/>
      <c r="K4092" s="6"/>
      <c r="L4092" s="6"/>
      <c r="M4092" s="6"/>
      <c r="N4092" s="6"/>
      <c r="O4092" s="6"/>
      <c r="P4092" s="6"/>
      <c r="Q4092" s="6"/>
      <c r="R4092" s="6"/>
      <c r="S4092" s="6"/>
      <c r="T4092" s="6"/>
    </row>
    <row r="4093" spans="4:20" x14ac:dyDescent="0.2">
      <c r="D4093" s="6"/>
      <c r="E4093" s="6"/>
      <c r="F4093" s="6"/>
      <c r="G4093" s="19"/>
      <c r="H4093" s="19"/>
      <c r="I4093" s="19"/>
      <c r="J4093" s="19"/>
      <c r="K4093" s="6"/>
      <c r="L4093" s="6"/>
      <c r="M4093" s="6"/>
      <c r="N4093" s="6"/>
      <c r="O4093" s="6"/>
      <c r="P4093" s="6"/>
      <c r="Q4093" s="6"/>
      <c r="R4093" s="6"/>
      <c r="S4093" s="6"/>
      <c r="T4093" s="6"/>
    </row>
    <row r="4094" spans="4:20" x14ac:dyDescent="0.2">
      <c r="D4094" s="6"/>
      <c r="E4094" s="6"/>
      <c r="F4094" s="6"/>
      <c r="G4094" s="19"/>
      <c r="H4094" s="19"/>
      <c r="I4094" s="19"/>
      <c r="J4094" s="19"/>
      <c r="K4094" s="6"/>
      <c r="L4094" s="6"/>
      <c r="M4094" s="6"/>
      <c r="N4094" s="6"/>
      <c r="O4094" s="6"/>
      <c r="P4094" s="6"/>
      <c r="Q4094" s="6"/>
      <c r="R4094" s="6"/>
      <c r="S4094" s="6"/>
      <c r="T4094" s="6"/>
    </row>
    <row r="4095" spans="4:20" x14ac:dyDescent="0.2">
      <c r="D4095" s="6"/>
      <c r="E4095" s="6"/>
      <c r="F4095" s="6"/>
      <c r="G4095" s="19"/>
      <c r="H4095" s="19"/>
      <c r="I4095" s="19"/>
      <c r="J4095" s="19"/>
      <c r="K4095" s="6"/>
      <c r="L4095" s="6"/>
      <c r="M4095" s="6"/>
      <c r="N4095" s="6"/>
      <c r="O4095" s="6"/>
      <c r="P4095" s="6"/>
      <c r="Q4095" s="6"/>
      <c r="R4095" s="6"/>
      <c r="S4095" s="6"/>
      <c r="T4095" s="6"/>
    </row>
    <row r="4096" spans="4:20" x14ac:dyDescent="0.2">
      <c r="D4096" s="6"/>
      <c r="E4096" s="6"/>
      <c r="F4096" s="6"/>
      <c r="G4096" s="19"/>
      <c r="H4096" s="19"/>
      <c r="I4096" s="19"/>
      <c r="J4096" s="19"/>
      <c r="K4096" s="6"/>
      <c r="L4096" s="6"/>
      <c r="M4096" s="6"/>
      <c r="N4096" s="6"/>
      <c r="O4096" s="6"/>
      <c r="P4096" s="6"/>
      <c r="Q4096" s="6"/>
      <c r="R4096" s="6"/>
      <c r="S4096" s="6"/>
      <c r="T4096" s="6"/>
    </row>
    <row r="4097" spans="4:20" x14ac:dyDescent="0.2">
      <c r="D4097" s="6"/>
      <c r="E4097" s="6"/>
      <c r="F4097" s="6"/>
      <c r="G4097" s="19"/>
      <c r="H4097" s="19"/>
      <c r="I4097" s="19"/>
      <c r="J4097" s="19"/>
      <c r="K4097" s="6"/>
      <c r="L4097" s="6"/>
      <c r="M4097" s="6"/>
      <c r="N4097" s="6"/>
      <c r="O4097" s="6"/>
      <c r="P4097" s="6"/>
      <c r="Q4097" s="6"/>
      <c r="R4097" s="6"/>
      <c r="S4097" s="6"/>
      <c r="T4097" s="6"/>
    </row>
    <row r="4098" spans="4:20" x14ac:dyDescent="0.2">
      <c r="D4098" s="6"/>
      <c r="E4098" s="6"/>
      <c r="F4098" s="6"/>
      <c r="G4098" s="19"/>
      <c r="H4098" s="19"/>
      <c r="I4098" s="19"/>
      <c r="J4098" s="19"/>
      <c r="K4098" s="6"/>
      <c r="L4098" s="6"/>
      <c r="M4098" s="6"/>
      <c r="N4098" s="6"/>
      <c r="O4098" s="6"/>
      <c r="P4098" s="6"/>
      <c r="Q4098" s="6"/>
      <c r="R4098" s="6"/>
      <c r="S4098" s="6"/>
      <c r="T4098" s="6"/>
    </row>
    <row r="4099" spans="4:20" x14ac:dyDescent="0.2">
      <c r="D4099" s="6"/>
      <c r="E4099" s="6"/>
      <c r="F4099" s="6"/>
      <c r="G4099" s="19"/>
      <c r="H4099" s="19"/>
      <c r="I4099" s="19"/>
      <c r="J4099" s="19"/>
      <c r="K4099" s="6"/>
      <c r="L4099" s="6"/>
      <c r="M4099" s="6"/>
      <c r="N4099" s="6"/>
      <c r="O4099" s="6"/>
      <c r="P4099" s="6"/>
      <c r="Q4099" s="6"/>
      <c r="R4099" s="6"/>
      <c r="S4099" s="6"/>
      <c r="T4099" s="6"/>
    </row>
    <row r="4100" spans="4:20" x14ac:dyDescent="0.2">
      <c r="D4100" s="6"/>
      <c r="E4100" s="6"/>
      <c r="F4100" s="6"/>
      <c r="G4100" s="19"/>
      <c r="H4100" s="19"/>
      <c r="I4100" s="19"/>
      <c r="J4100" s="19"/>
      <c r="K4100" s="6"/>
      <c r="L4100" s="6"/>
      <c r="M4100" s="6"/>
      <c r="N4100" s="6"/>
      <c r="O4100" s="6"/>
      <c r="P4100" s="6"/>
      <c r="Q4100" s="6"/>
      <c r="R4100" s="6"/>
      <c r="S4100" s="6"/>
      <c r="T4100" s="6"/>
    </row>
    <row r="4101" spans="4:20" x14ac:dyDescent="0.2">
      <c r="D4101" s="6"/>
      <c r="E4101" s="6"/>
      <c r="F4101" s="6"/>
      <c r="G4101" s="19"/>
      <c r="H4101" s="19"/>
      <c r="I4101" s="19"/>
      <c r="J4101" s="19"/>
      <c r="K4101" s="6"/>
      <c r="L4101" s="6"/>
      <c r="M4101" s="6"/>
      <c r="N4101" s="6"/>
      <c r="O4101" s="6"/>
      <c r="P4101" s="6"/>
      <c r="Q4101" s="6"/>
      <c r="R4101" s="6"/>
      <c r="S4101" s="6"/>
      <c r="T4101" s="6"/>
    </row>
    <row r="4102" spans="4:20" x14ac:dyDescent="0.2">
      <c r="D4102" s="6"/>
      <c r="E4102" s="6"/>
      <c r="F4102" s="6"/>
      <c r="G4102" s="19"/>
      <c r="H4102" s="19"/>
      <c r="I4102" s="19"/>
      <c r="J4102" s="19"/>
      <c r="K4102" s="6"/>
      <c r="L4102" s="6"/>
      <c r="M4102" s="6"/>
      <c r="N4102" s="6"/>
      <c r="O4102" s="6"/>
      <c r="P4102" s="6"/>
      <c r="Q4102" s="6"/>
      <c r="R4102" s="6"/>
      <c r="S4102" s="6"/>
      <c r="T4102" s="6"/>
    </row>
    <row r="4103" spans="4:20" x14ac:dyDescent="0.2">
      <c r="D4103" s="6"/>
      <c r="E4103" s="6"/>
      <c r="F4103" s="6"/>
      <c r="G4103" s="19"/>
      <c r="H4103" s="19"/>
      <c r="I4103" s="19"/>
      <c r="J4103" s="19"/>
      <c r="K4103" s="6"/>
      <c r="L4103" s="6"/>
      <c r="M4103" s="6"/>
      <c r="N4103" s="6"/>
      <c r="O4103" s="6"/>
      <c r="P4103" s="6"/>
      <c r="Q4103" s="6"/>
      <c r="R4103" s="6"/>
      <c r="S4103" s="6"/>
      <c r="T4103" s="6"/>
    </row>
    <row r="4104" spans="4:20" x14ac:dyDescent="0.2">
      <c r="D4104" s="6"/>
      <c r="E4104" s="6"/>
      <c r="F4104" s="6"/>
      <c r="G4104" s="19"/>
      <c r="H4104" s="19"/>
      <c r="I4104" s="19"/>
      <c r="J4104" s="19"/>
      <c r="K4104" s="6"/>
      <c r="L4104" s="6"/>
      <c r="M4104" s="6"/>
      <c r="N4104" s="6"/>
      <c r="O4104" s="6"/>
      <c r="P4104" s="6"/>
      <c r="Q4104" s="6"/>
      <c r="R4104" s="6"/>
      <c r="S4104" s="6"/>
      <c r="T4104" s="6"/>
    </row>
    <row r="4105" spans="4:20" x14ac:dyDescent="0.2">
      <c r="D4105" s="6"/>
      <c r="E4105" s="6"/>
      <c r="F4105" s="6"/>
      <c r="G4105" s="19"/>
      <c r="H4105" s="19"/>
      <c r="I4105" s="19"/>
      <c r="J4105" s="19"/>
      <c r="K4105" s="6"/>
      <c r="L4105" s="6"/>
      <c r="M4105" s="6"/>
      <c r="N4105" s="6"/>
      <c r="O4105" s="6"/>
      <c r="P4105" s="6"/>
      <c r="Q4105" s="6"/>
      <c r="R4105" s="6"/>
      <c r="S4105" s="6"/>
      <c r="T4105" s="6"/>
    </row>
    <row r="4106" spans="4:20" x14ac:dyDescent="0.2">
      <c r="D4106" s="6"/>
      <c r="E4106" s="6"/>
      <c r="F4106" s="6"/>
      <c r="G4106" s="19"/>
      <c r="H4106" s="19"/>
      <c r="I4106" s="19"/>
      <c r="J4106" s="19"/>
      <c r="K4106" s="6"/>
      <c r="L4106" s="6"/>
      <c r="M4106" s="6"/>
      <c r="N4106" s="6"/>
      <c r="O4106" s="6"/>
      <c r="P4106" s="6"/>
      <c r="Q4106" s="6"/>
      <c r="R4106" s="6"/>
      <c r="S4106" s="6"/>
      <c r="T4106" s="6"/>
    </row>
    <row r="4107" spans="4:20" x14ac:dyDescent="0.2">
      <c r="D4107" s="6"/>
      <c r="E4107" s="6"/>
      <c r="F4107" s="6"/>
      <c r="G4107" s="19"/>
      <c r="H4107" s="19"/>
      <c r="I4107" s="19"/>
      <c r="J4107" s="19"/>
      <c r="K4107" s="6"/>
      <c r="L4107" s="6"/>
      <c r="M4107" s="6"/>
      <c r="N4107" s="6"/>
      <c r="O4107" s="6"/>
      <c r="P4107" s="6"/>
      <c r="Q4107" s="6"/>
      <c r="R4107" s="6"/>
      <c r="S4107" s="6"/>
      <c r="T4107" s="6"/>
    </row>
    <row r="4108" spans="4:20" x14ac:dyDescent="0.2">
      <c r="D4108" s="6"/>
      <c r="E4108" s="6"/>
      <c r="F4108" s="6"/>
      <c r="G4108" s="19"/>
      <c r="H4108" s="19"/>
      <c r="I4108" s="19"/>
      <c r="J4108" s="19"/>
      <c r="K4108" s="6"/>
      <c r="L4108" s="6"/>
      <c r="M4108" s="6"/>
      <c r="N4108" s="6"/>
      <c r="O4108" s="6"/>
      <c r="P4108" s="6"/>
      <c r="Q4108" s="6"/>
      <c r="R4108" s="6"/>
      <c r="S4108" s="6"/>
      <c r="T4108" s="6"/>
    </row>
    <row r="4109" spans="4:20" x14ac:dyDescent="0.2">
      <c r="D4109" s="6"/>
      <c r="E4109" s="6"/>
      <c r="F4109" s="6"/>
      <c r="G4109" s="19"/>
      <c r="H4109" s="19"/>
      <c r="I4109" s="19"/>
      <c r="J4109" s="19"/>
      <c r="K4109" s="6"/>
      <c r="L4109" s="6"/>
      <c r="M4109" s="6"/>
      <c r="N4109" s="6"/>
      <c r="O4109" s="6"/>
      <c r="P4109" s="6"/>
      <c r="Q4109" s="6"/>
      <c r="R4109" s="6"/>
      <c r="S4109" s="6"/>
      <c r="T4109" s="6"/>
    </row>
    <row r="4110" spans="4:20" x14ac:dyDescent="0.2">
      <c r="D4110" s="6"/>
      <c r="E4110" s="6"/>
      <c r="F4110" s="6"/>
      <c r="G4110" s="19"/>
      <c r="H4110" s="19"/>
      <c r="I4110" s="19"/>
      <c r="J4110" s="19"/>
      <c r="K4110" s="6"/>
      <c r="L4110" s="6"/>
      <c r="M4110" s="6"/>
      <c r="N4110" s="6"/>
      <c r="O4110" s="6"/>
      <c r="P4110" s="6"/>
      <c r="Q4110" s="6"/>
      <c r="R4110" s="6"/>
      <c r="S4110" s="6"/>
      <c r="T4110" s="6"/>
    </row>
    <row r="4111" spans="4:20" x14ac:dyDescent="0.2">
      <c r="D4111" s="6"/>
      <c r="E4111" s="6"/>
      <c r="F4111" s="6"/>
      <c r="G4111" s="19"/>
      <c r="H4111" s="19"/>
      <c r="I4111" s="19"/>
      <c r="J4111" s="19"/>
      <c r="K4111" s="6"/>
      <c r="L4111" s="6"/>
      <c r="M4111" s="6"/>
      <c r="N4111" s="6"/>
      <c r="O4111" s="6"/>
      <c r="P4111" s="6"/>
      <c r="Q4111" s="6"/>
      <c r="R4111" s="6"/>
      <c r="S4111" s="6"/>
      <c r="T4111" s="6"/>
    </row>
    <row r="4112" spans="4:20" x14ac:dyDescent="0.2">
      <c r="D4112" s="6"/>
      <c r="E4112" s="6"/>
      <c r="F4112" s="6"/>
      <c r="G4112" s="19"/>
      <c r="H4112" s="19"/>
      <c r="I4112" s="19"/>
      <c r="J4112" s="19"/>
      <c r="K4112" s="6"/>
      <c r="L4112" s="6"/>
      <c r="M4112" s="6"/>
      <c r="N4112" s="6"/>
      <c r="O4112" s="6"/>
      <c r="P4112" s="6"/>
      <c r="Q4112" s="6"/>
      <c r="R4112" s="6"/>
      <c r="S4112" s="6"/>
      <c r="T4112" s="6"/>
    </row>
    <row r="4113" spans="4:20" x14ac:dyDescent="0.2">
      <c r="D4113" s="6"/>
      <c r="E4113" s="6"/>
      <c r="F4113" s="6"/>
      <c r="G4113" s="19"/>
      <c r="H4113" s="19"/>
      <c r="I4113" s="19"/>
      <c r="J4113" s="19"/>
      <c r="K4113" s="6"/>
      <c r="L4113" s="6"/>
      <c r="M4113" s="6"/>
      <c r="N4113" s="6"/>
      <c r="O4113" s="6"/>
      <c r="P4113" s="6"/>
      <c r="Q4113" s="6"/>
      <c r="R4113" s="6"/>
      <c r="S4113" s="6"/>
      <c r="T4113" s="6"/>
    </row>
    <row r="4114" spans="4:20" x14ac:dyDescent="0.2">
      <c r="D4114" s="6"/>
      <c r="E4114" s="6"/>
      <c r="F4114" s="6"/>
      <c r="G4114" s="19"/>
      <c r="H4114" s="19"/>
      <c r="I4114" s="19"/>
      <c r="J4114" s="19"/>
      <c r="K4114" s="6"/>
      <c r="L4114" s="6"/>
      <c r="M4114" s="6"/>
      <c r="N4114" s="6"/>
      <c r="O4114" s="6"/>
      <c r="P4114" s="6"/>
      <c r="Q4114" s="6"/>
      <c r="R4114" s="6"/>
      <c r="S4114" s="6"/>
      <c r="T4114" s="6"/>
    </row>
    <row r="4115" spans="4:20" x14ac:dyDescent="0.2">
      <c r="D4115" s="6"/>
      <c r="E4115" s="6"/>
      <c r="F4115" s="6"/>
      <c r="G4115" s="19"/>
      <c r="H4115" s="19"/>
      <c r="I4115" s="19"/>
      <c r="J4115" s="19"/>
      <c r="K4115" s="6"/>
      <c r="L4115" s="6"/>
      <c r="M4115" s="6"/>
      <c r="N4115" s="6"/>
      <c r="O4115" s="6"/>
      <c r="P4115" s="6"/>
      <c r="Q4115" s="6"/>
      <c r="R4115" s="6"/>
      <c r="S4115" s="6"/>
      <c r="T4115" s="6"/>
    </row>
    <row r="4116" spans="4:20" x14ac:dyDescent="0.2">
      <c r="D4116" s="6"/>
      <c r="E4116" s="6"/>
      <c r="F4116" s="6"/>
      <c r="G4116" s="19"/>
      <c r="H4116" s="19"/>
      <c r="I4116" s="19"/>
      <c r="J4116" s="19"/>
      <c r="K4116" s="6"/>
      <c r="L4116" s="6"/>
      <c r="M4116" s="6"/>
      <c r="N4116" s="6"/>
      <c r="O4116" s="6"/>
      <c r="P4116" s="6"/>
      <c r="Q4116" s="6"/>
      <c r="R4116" s="6"/>
      <c r="S4116" s="6"/>
      <c r="T4116" s="6"/>
    </row>
    <row r="4117" spans="4:20" x14ac:dyDescent="0.2">
      <c r="D4117" s="6"/>
      <c r="E4117" s="6"/>
      <c r="F4117" s="6"/>
      <c r="G4117" s="19"/>
      <c r="H4117" s="19"/>
      <c r="I4117" s="19"/>
      <c r="J4117" s="19"/>
      <c r="K4117" s="6"/>
      <c r="L4117" s="6"/>
      <c r="M4117" s="6"/>
      <c r="N4117" s="6"/>
      <c r="O4117" s="6"/>
      <c r="P4117" s="6"/>
      <c r="Q4117" s="6"/>
      <c r="R4117" s="6"/>
      <c r="S4117" s="6"/>
      <c r="T4117" s="6"/>
    </row>
    <row r="4118" spans="4:20" x14ac:dyDescent="0.2">
      <c r="D4118" s="6"/>
      <c r="E4118" s="6"/>
      <c r="F4118" s="6"/>
      <c r="G4118" s="19"/>
      <c r="H4118" s="19"/>
      <c r="I4118" s="19"/>
      <c r="J4118" s="19"/>
      <c r="K4118" s="6"/>
      <c r="L4118" s="6"/>
      <c r="M4118" s="6"/>
      <c r="N4118" s="6"/>
      <c r="O4118" s="6"/>
      <c r="P4118" s="6"/>
      <c r="Q4118" s="6"/>
      <c r="R4118" s="6"/>
      <c r="S4118" s="6"/>
      <c r="T4118" s="6"/>
    </row>
    <row r="4119" spans="4:20" x14ac:dyDescent="0.2">
      <c r="D4119" s="6"/>
      <c r="E4119" s="6"/>
      <c r="F4119" s="6"/>
      <c r="G4119" s="19"/>
      <c r="H4119" s="19"/>
      <c r="I4119" s="19"/>
      <c r="J4119" s="19"/>
      <c r="K4119" s="6"/>
      <c r="L4119" s="6"/>
      <c r="M4119" s="6"/>
      <c r="N4119" s="6"/>
      <c r="O4119" s="6"/>
      <c r="P4119" s="6"/>
      <c r="Q4119" s="6"/>
      <c r="R4119" s="6"/>
      <c r="S4119" s="6"/>
      <c r="T4119" s="6"/>
    </row>
    <row r="4120" spans="4:20" x14ac:dyDescent="0.2">
      <c r="D4120" s="6"/>
      <c r="E4120" s="6"/>
      <c r="F4120" s="6"/>
      <c r="G4120" s="19"/>
      <c r="H4120" s="19"/>
      <c r="I4120" s="19"/>
      <c r="J4120" s="19"/>
      <c r="K4120" s="6"/>
      <c r="L4120" s="6"/>
      <c r="M4120" s="6"/>
      <c r="N4120" s="6"/>
      <c r="O4120" s="6"/>
      <c r="P4120" s="6"/>
      <c r="Q4120" s="6"/>
      <c r="R4120" s="6"/>
      <c r="S4120" s="6"/>
      <c r="T4120" s="6"/>
    </row>
    <row r="4121" spans="4:20" x14ac:dyDescent="0.2">
      <c r="D4121" s="6"/>
      <c r="E4121" s="6"/>
      <c r="F4121" s="6"/>
      <c r="G4121" s="19"/>
      <c r="H4121" s="19"/>
      <c r="I4121" s="19"/>
      <c r="J4121" s="19"/>
      <c r="K4121" s="6"/>
      <c r="L4121" s="6"/>
      <c r="M4121" s="6"/>
      <c r="N4121" s="6"/>
      <c r="O4121" s="6"/>
      <c r="P4121" s="6"/>
      <c r="Q4121" s="6"/>
      <c r="R4121" s="6"/>
      <c r="S4121" s="6"/>
      <c r="T4121" s="6"/>
    </row>
    <row r="4122" spans="4:20" x14ac:dyDescent="0.2">
      <c r="D4122" s="6"/>
      <c r="E4122" s="6"/>
      <c r="F4122" s="6"/>
      <c r="G4122" s="19"/>
      <c r="H4122" s="19"/>
      <c r="I4122" s="19"/>
      <c r="J4122" s="19"/>
      <c r="K4122" s="6"/>
      <c r="L4122" s="6"/>
      <c r="M4122" s="6"/>
      <c r="N4122" s="6"/>
      <c r="O4122" s="6"/>
      <c r="P4122" s="6"/>
      <c r="Q4122" s="6"/>
      <c r="R4122" s="6"/>
      <c r="S4122" s="6"/>
      <c r="T4122" s="6"/>
    </row>
    <row r="4123" spans="4:20" x14ac:dyDescent="0.2">
      <c r="D4123" s="6"/>
      <c r="E4123" s="6"/>
      <c r="F4123" s="6"/>
      <c r="G4123" s="19"/>
      <c r="H4123" s="19"/>
      <c r="I4123" s="19"/>
      <c r="J4123" s="19"/>
      <c r="K4123" s="6"/>
      <c r="L4123" s="6"/>
      <c r="M4123" s="6"/>
      <c r="N4123" s="6"/>
      <c r="O4123" s="6"/>
      <c r="P4123" s="6"/>
      <c r="Q4123" s="6"/>
      <c r="R4123" s="6"/>
      <c r="S4123" s="6"/>
      <c r="T4123" s="6"/>
    </row>
    <row r="4124" spans="4:20" x14ac:dyDescent="0.2">
      <c r="D4124" s="6"/>
      <c r="E4124" s="6"/>
      <c r="F4124" s="6"/>
      <c r="G4124" s="19"/>
      <c r="H4124" s="19"/>
      <c r="I4124" s="19"/>
      <c r="J4124" s="19"/>
      <c r="K4124" s="6"/>
      <c r="L4124" s="6"/>
      <c r="M4124" s="6"/>
      <c r="N4124" s="6"/>
      <c r="O4124" s="6"/>
      <c r="P4124" s="6"/>
      <c r="Q4124" s="6"/>
      <c r="R4124" s="6"/>
      <c r="S4124" s="6"/>
      <c r="T4124" s="6"/>
    </row>
    <row r="4125" spans="4:20" x14ac:dyDescent="0.2">
      <c r="D4125" s="6"/>
      <c r="E4125" s="6"/>
      <c r="F4125" s="6"/>
      <c r="G4125" s="19"/>
      <c r="H4125" s="19"/>
      <c r="I4125" s="19"/>
      <c r="J4125" s="19"/>
      <c r="K4125" s="6"/>
      <c r="L4125" s="6"/>
      <c r="M4125" s="6"/>
      <c r="N4125" s="6"/>
      <c r="O4125" s="6"/>
      <c r="P4125" s="6"/>
      <c r="Q4125" s="6"/>
      <c r="R4125" s="6"/>
      <c r="S4125" s="6"/>
      <c r="T4125" s="6"/>
    </row>
    <row r="4126" spans="4:20" x14ac:dyDescent="0.2">
      <c r="D4126" s="6"/>
      <c r="E4126" s="6"/>
      <c r="F4126" s="6"/>
      <c r="G4126" s="19"/>
      <c r="H4126" s="19"/>
      <c r="I4126" s="19"/>
      <c r="J4126" s="19"/>
      <c r="K4126" s="6"/>
      <c r="L4126" s="6"/>
      <c r="M4126" s="6"/>
      <c r="N4126" s="6"/>
      <c r="O4126" s="6"/>
      <c r="P4126" s="6"/>
      <c r="Q4126" s="6"/>
      <c r="R4126" s="6"/>
      <c r="S4126" s="6"/>
      <c r="T4126" s="6"/>
    </row>
    <row r="4127" spans="4:20" x14ac:dyDescent="0.2">
      <c r="D4127" s="6"/>
      <c r="E4127" s="6"/>
      <c r="F4127" s="6"/>
      <c r="G4127" s="19"/>
      <c r="H4127" s="19"/>
      <c r="I4127" s="19"/>
      <c r="J4127" s="19"/>
      <c r="K4127" s="6"/>
      <c r="L4127" s="6"/>
      <c r="M4127" s="6"/>
      <c r="N4127" s="6"/>
      <c r="O4127" s="6"/>
      <c r="P4127" s="6"/>
      <c r="Q4127" s="6"/>
      <c r="R4127" s="6"/>
      <c r="S4127" s="6"/>
      <c r="T4127" s="6"/>
    </row>
    <row r="4128" spans="4:20" x14ac:dyDescent="0.2">
      <c r="D4128" s="6"/>
      <c r="E4128" s="6"/>
      <c r="F4128" s="6"/>
      <c r="G4128" s="19"/>
      <c r="H4128" s="19"/>
      <c r="I4128" s="19"/>
      <c r="J4128" s="19"/>
      <c r="K4128" s="6"/>
      <c r="L4128" s="6"/>
      <c r="M4128" s="6"/>
      <c r="N4128" s="6"/>
      <c r="O4128" s="6"/>
      <c r="P4128" s="6"/>
      <c r="Q4128" s="6"/>
      <c r="R4128" s="6"/>
      <c r="S4128" s="6"/>
      <c r="T4128" s="6"/>
    </row>
    <row r="4129" spans="4:20" x14ac:dyDescent="0.2">
      <c r="D4129" s="6"/>
      <c r="E4129" s="6"/>
      <c r="F4129" s="6"/>
      <c r="G4129" s="19"/>
      <c r="H4129" s="19"/>
      <c r="I4129" s="19"/>
      <c r="J4129" s="19"/>
      <c r="K4129" s="6"/>
      <c r="L4129" s="6"/>
      <c r="M4129" s="6"/>
      <c r="N4129" s="6"/>
      <c r="O4129" s="6"/>
      <c r="P4129" s="6"/>
      <c r="Q4129" s="6"/>
      <c r="R4129" s="6"/>
      <c r="S4129" s="6"/>
      <c r="T4129" s="6"/>
    </row>
    <row r="4130" spans="4:20" x14ac:dyDescent="0.2">
      <c r="D4130" s="6"/>
      <c r="E4130" s="6"/>
      <c r="F4130" s="6"/>
      <c r="G4130" s="19"/>
      <c r="H4130" s="19"/>
      <c r="I4130" s="19"/>
      <c r="J4130" s="19"/>
      <c r="K4130" s="6"/>
      <c r="L4130" s="6"/>
      <c r="M4130" s="6"/>
      <c r="N4130" s="6"/>
      <c r="O4130" s="6"/>
      <c r="P4130" s="6"/>
      <c r="Q4130" s="6"/>
      <c r="R4130" s="6"/>
      <c r="S4130" s="6"/>
      <c r="T4130" s="6"/>
    </row>
    <row r="4131" spans="4:20" x14ac:dyDescent="0.2">
      <c r="D4131" s="6"/>
      <c r="E4131" s="6"/>
      <c r="F4131" s="6"/>
      <c r="G4131" s="19"/>
      <c r="H4131" s="19"/>
      <c r="I4131" s="19"/>
      <c r="J4131" s="19"/>
      <c r="K4131" s="6"/>
      <c r="L4131" s="6"/>
      <c r="M4131" s="6"/>
      <c r="N4131" s="6"/>
      <c r="O4131" s="6"/>
      <c r="P4131" s="6"/>
      <c r="Q4131" s="6"/>
      <c r="R4131" s="6"/>
      <c r="S4131" s="6"/>
      <c r="T4131" s="6"/>
    </row>
    <row r="4132" spans="4:20" x14ac:dyDescent="0.2">
      <c r="D4132" s="6"/>
      <c r="E4132" s="6"/>
      <c r="F4132" s="6"/>
      <c r="G4132" s="19"/>
      <c r="H4132" s="19"/>
      <c r="I4132" s="19"/>
      <c r="J4132" s="19"/>
      <c r="K4132" s="6"/>
      <c r="L4132" s="6"/>
      <c r="M4132" s="6"/>
      <c r="N4132" s="6"/>
      <c r="O4132" s="6"/>
      <c r="P4132" s="6"/>
      <c r="Q4132" s="6"/>
      <c r="R4132" s="6"/>
      <c r="S4132" s="6"/>
      <c r="T4132" s="6"/>
    </row>
    <row r="4133" spans="4:20" x14ac:dyDescent="0.2">
      <c r="D4133" s="6"/>
      <c r="E4133" s="6"/>
      <c r="F4133" s="6"/>
      <c r="G4133" s="19"/>
      <c r="H4133" s="19"/>
      <c r="I4133" s="19"/>
      <c r="J4133" s="19"/>
      <c r="K4133" s="6"/>
      <c r="L4133" s="6"/>
      <c r="M4133" s="6"/>
      <c r="N4133" s="6"/>
      <c r="O4133" s="6"/>
      <c r="P4133" s="6"/>
      <c r="Q4133" s="6"/>
      <c r="R4133" s="6"/>
      <c r="S4133" s="6"/>
      <c r="T4133" s="6"/>
    </row>
    <row r="4134" spans="4:20" x14ac:dyDescent="0.2">
      <c r="D4134" s="6"/>
      <c r="E4134" s="6"/>
      <c r="F4134" s="6"/>
      <c r="G4134" s="19"/>
      <c r="H4134" s="19"/>
      <c r="I4134" s="19"/>
      <c r="J4134" s="19"/>
      <c r="K4134" s="6"/>
      <c r="L4134" s="6"/>
      <c r="M4134" s="6"/>
      <c r="N4134" s="6"/>
      <c r="O4134" s="6"/>
      <c r="P4134" s="6"/>
      <c r="Q4134" s="6"/>
      <c r="R4134" s="6"/>
      <c r="S4134" s="6"/>
      <c r="T4134" s="6"/>
    </row>
    <row r="4135" spans="4:20" x14ac:dyDescent="0.2">
      <c r="D4135" s="6"/>
      <c r="E4135" s="6"/>
      <c r="F4135" s="6"/>
      <c r="G4135" s="19"/>
      <c r="H4135" s="19"/>
      <c r="I4135" s="19"/>
      <c r="J4135" s="19"/>
      <c r="K4135" s="6"/>
      <c r="L4135" s="6"/>
      <c r="M4135" s="6"/>
      <c r="N4135" s="6"/>
      <c r="O4135" s="6"/>
      <c r="P4135" s="6"/>
      <c r="Q4135" s="6"/>
      <c r="R4135" s="6"/>
      <c r="S4135" s="6"/>
      <c r="T4135" s="6"/>
    </row>
    <row r="4136" spans="4:20" x14ac:dyDescent="0.2">
      <c r="D4136" s="6"/>
      <c r="E4136" s="6"/>
      <c r="F4136" s="6"/>
      <c r="G4136" s="19"/>
      <c r="H4136" s="19"/>
      <c r="I4136" s="19"/>
      <c r="J4136" s="19"/>
      <c r="K4136" s="6"/>
      <c r="L4136" s="6"/>
      <c r="M4136" s="6"/>
      <c r="N4136" s="6"/>
      <c r="O4136" s="6"/>
      <c r="P4136" s="6"/>
      <c r="Q4136" s="6"/>
      <c r="R4136" s="6"/>
      <c r="S4136" s="6"/>
      <c r="T4136" s="6"/>
    </row>
    <row r="4137" spans="4:20" x14ac:dyDescent="0.2">
      <c r="D4137" s="6"/>
      <c r="E4137" s="6"/>
      <c r="F4137" s="6"/>
      <c r="G4137" s="19"/>
      <c r="H4137" s="19"/>
      <c r="I4137" s="19"/>
      <c r="J4137" s="19"/>
      <c r="K4137" s="6"/>
      <c r="L4137" s="6"/>
      <c r="M4137" s="6"/>
      <c r="N4137" s="6"/>
      <c r="O4137" s="6"/>
      <c r="P4137" s="6"/>
      <c r="Q4137" s="6"/>
      <c r="R4137" s="6"/>
      <c r="S4137" s="6"/>
      <c r="T4137" s="6"/>
    </row>
    <row r="4138" spans="4:20" x14ac:dyDescent="0.2">
      <c r="D4138" s="6"/>
      <c r="E4138" s="6"/>
      <c r="F4138" s="6"/>
      <c r="G4138" s="19"/>
      <c r="H4138" s="19"/>
      <c r="I4138" s="19"/>
      <c r="J4138" s="19"/>
      <c r="K4138" s="6"/>
      <c r="L4138" s="6"/>
      <c r="M4138" s="6"/>
      <c r="N4138" s="6"/>
      <c r="O4138" s="6"/>
      <c r="P4138" s="6"/>
      <c r="Q4138" s="6"/>
      <c r="R4138" s="6"/>
      <c r="S4138" s="6"/>
      <c r="T4138" s="6"/>
    </row>
    <row r="4139" spans="4:20" x14ac:dyDescent="0.2">
      <c r="D4139" s="6"/>
      <c r="E4139" s="6"/>
      <c r="F4139" s="6"/>
      <c r="G4139" s="19"/>
      <c r="H4139" s="19"/>
      <c r="I4139" s="19"/>
      <c r="J4139" s="19"/>
      <c r="K4139" s="6"/>
      <c r="L4139" s="6"/>
      <c r="M4139" s="6"/>
      <c r="N4139" s="6"/>
      <c r="O4139" s="6"/>
      <c r="P4139" s="6"/>
      <c r="Q4139" s="6"/>
      <c r="R4139" s="6"/>
      <c r="S4139" s="6"/>
      <c r="T4139" s="6"/>
    </row>
    <row r="4140" spans="4:20" x14ac:dyDescent="0.2">
      <c r="D4140" s="6"/>
      <c r="E4140" s="6"/>
      <c r="F4140" s="6"/>
      <c r="G4140" s="19"/>
      <c r="H4140" s="19"/>
      <c r="I4140" s="19"/>
      <c r="J4140" s="19"/>
      <c r="K4140" s="6"/>
      <c r="L4140" s="6"/>
      <c r="M4140" s="6"/>
      <c r="N4140" s="6"/>
      <c r="O4140" s="6"/>
      <c r="P4140" s="6"/>
      <c r="Q4140" s="6"/>
      <c r="R4140" s="6"/>
      <c r="S4140" s="6"/>
      <c r="T4140" s="6"/>
    </row>
    <row r="4141" spans="4:20" x14ac:dyDescent="0.2">
      <c r="D4141" s="6"/>
      <c r="E4141" s="6"/>
      <c r="F4141" s="6"/>
      <c r="G4141" s="19"/>
      <c r="H4141" s="19"/>
      <c r="I4141" s="19"/>
      <c r="J4141" s="19"/>
      <c r="K4141" s="6"/>
      <c r="L4141" s="6"/>
      <c r="M4141" s="6"/>
      <c r="N4141" s="6"/>
      <c r="O4141" s="6"/>
      <c r="P4141" s="6"/>
      <c r="Q4141" s="6"/>
      <c r="R4141" s="6"/>
      <c r="S4141" s="6"/>
      <c r="T4141" s="6"/>
    </row>
    <row r="4142" spans="4:20" x14ac:dyDescent="0.2">
      <c r="D4142" s="6"/>
      <c r="E4142" s="6"/>
      <c r="F4142" s="6"/>
      <c r="G4142" s="19"/>
      <c r="H4142" s="19"/>
      <c r="I4142" s="19"/>
      <c r="J4142" s="19"/>
      <c r="K4142" s="6"/>
      <c r="L4142" s="6"/>
      <c r="M4142" s="6"/>
      <c r="N4142" s="6"/>
      <c r="O4142" s="6"/>
      <c r="P4142" s="6"/>
      <c r="Q4142" s="6"/>
      <c r="R4142" s="6"/>
      <c r="S4142" s="6"/>
      <c r="T4142" s="6"/>
    </row>
    <row r="4143" spans="4:20" x14ac:dyDescent="0.2">
      <c r="D4143" s="6"/>
      <c r="E4143" s="6"/>
      <c r="F4143" s="6"/>
      <c r="G4143" s="19"/>
      <c r="H4143" s="19"/>
      <c r="I4143" s="19"/>
      <c r="J4143" s="19"/>
      <c r="K4143" s="6"/>
      <c r="L4143" s="6"/>
      <c r="M4143" s="6"/>
      <c r="N4143" s="6"/>
      <c r="O4143" s="6"/>
      <c r="P4143" s="6"/>
      <c r="Q4143" s="6"/>
      <c r="R4143" s="6"/>
      <c r="S4143" s="6"/>
      <c r="T4143" s="6"/>
    </row>
    <row r="4144" spans="4:20" x14ac:dyDescent="0.2">
      <c r="D4144" s="6"/>
      <c r="E4144" s="6"/>
      <c r="F4144" s="6"/>
      <c r="G4144" s="19"/>
      <c r="H4144" s="19"/>
      <c r="I4144" s="19"/>
      <c r="J4144" s="19"/>
      <c r="K4144" s="6"/>
      <c r="L4144" s="6"/>
      <c r="M4144" s="6"/>
      <c r="N4144" s="6"/>
      <c r="O4144" s="6"/>
      <c r="P4144" s="6"/>
      <c r="Q4144" s="6"/>
      <c r="R4144" s="6"/>
      <c r="S4144" s="6"/>
      <c r="T4144" s="6"/>
    </row>
    <row r="4145" spans="4:20" x14ac:dyDescent="0.2">
      <c r="D4145" s="6"/>
      <c r="E4145" s="6"/>
      <c r="F4145" s="6"/>
      <c r="G4145" s="19"/>
      <c r="H4145" s="19"/>
      <c r="I4145" s="19"/>
      <c r="J4145" s="19"/>
      <c r="K4145" s="6"/>
      <c r="L4145" s="6"/>
      <c r="M4145" s="6"/>
      <c r="N4145" s="6"/>
      <c r="O4145" s="6"/>
      <c r="P4145" s="6"/>
      <c r="Q4145" s="6"/>
      <c r="R4145" s="6"/>
      <c r="S4145" s="6"/>
      <c r="T4145" s="6"/>
    </row>
    <row r="4146" spans="4:20" x14ac:dyDescent="0.2">
      <c r="D4146" s="6"/>
      <c r="E4146" s="6"/>
      <c r="F4146" s="6"/>
      <c r="G4146" s="19"/>
      <c r="H4146" s="19"/>
      <c r="I4146" s="19"/>
      <c r="J4146" s="19"/>
      <c r="K4146" s="6"/>
      <c r="L4146" s="6"/>
      <c r="M4146" s="6"/>
      <c r="N4146" s="6"/>
      <c r="O4146" s="6"/>
      <c r="P4146" s="6"/>
      <c r="Q4146" s="6"/>
      <c r="R4146" s="6"/>
      <c r="S4146" s="6"/>
      <c r="T4146" s="6"/>
    </row>
    <row r="4147" spans="4:20" x14ac:dyDescent="0.2">
      <c r="D4147" s="6"/>
      <c r="E4147" s="6"/>
      <c r="F4147" s="6"/>
      <c r="G4147" s="19"/>
      <c r="H4147" s="19"/>
      <c r="I4147" s="19"/>
      <c r="J4147" s="19"/>
      <c r="K4147" s="6"/>
      <c r="L4147" s="6"/>
      <c r="M4147" s="6"/>
      <c r="N4147" s="6"/>
      <c r="O4147" s="6"/>
      <c r="P4147" s="6"/>
      <c r="Q4147" s="6"/>
      <c r="R4147" s="6"/>
      <c r="S4147" s="6"/>
      <c r="T4147" s="6"/>
    </row>
    <row r="4148" spans="4:20" x14ac:dyDescent="0.2">
      <c r="D4148" s="6"/>
      <c r="E4148" s="6"/>
      <c r="F4148" s="6"/>
      <c r="G4148" s="19"/>
      <c r="H4148" s="19"/>
      <c r="I4148" s="19"/>
      <c r="J4148" s="19"/>
      <c r="K4148" s="6"/>
      <c r="L4148" s="6"/>
      <c r="M4148" s="6"/>
      <c r="N4148" s="6"/>
      <c r="O4148" s="6"/>
      <c r="P4148" s="6"/>
      <c r="Q4148" s="6"/>
      <c r="R4148" s="6"/>
      <c r="S4148" s="6"/>
      <c r="T4148" s="6"/>
    </row>
    <row r="4149" spans="4:20" x14ac:dyDescent="0.2">
      <c r="D4149" s="6"/>
      <c r="E4149" s="6"/>
      <c r="F4149" s="6"/>
      <c r="G4149" s="19"/>
      <c r="H4149" s="19"/>
      <c r="I4149" s="19"/>
      <c r="J4149" s="19"/>
      <c r="K4149" s="6"/>
      <c r="L4149" s="6"/>
      <c r="M4149" s="6"/>
      <c r="N4149" s="6"/>
      <c r="O4149" s="6"/>
      <c r="P4149" s="6"/>
      <c r="Q4149" s="6"/>
      <c r="R4149" s="6"/>
      <c r="S4149" s="6"/>
      <c r="T4149" s="6"/>
    </row>
    <row r="4150" spans="4:20" x14ac:dyDescent="0.2">
      <c r="D4150" s="6"/>
      <c r="E4150" s="6"/>
      <c r="F4150" s="6"/>
      <c r="G4150" s="19"/>
      <c r="H4150" s="19"/>
      <c r="I4150" s="19"/>
      <c r="J4150" s="19"/>
      <c r="K4150" s="6"/>
      <c r="L4150" s="6"/>
      <c r="M4150" s="6"/>
      <c r="N4150" s="6"/>
      <c r="O4150" s="6"/>
      <c r="P4150" s="6"/>
      <c r="Q4150" s="6"/>
      <c r="R4150" s="6"/>
      <c r="S4150" s="6"/>
      <c r="T4150" s="6"/>
    </row>
    <row r="4151" spans="4:20" x14ac:dyDescent="0.2">
      <c r="D4151" s="6"/>
      <c r="E4151" s="6"/>
      <c r="F4151" s="6"/>
      <c r="G4151" s="19"/>
      <c r="H4151" s="19"/>
      <c r="I4151" s="19"/>
      <c r="J4151" s="19"/>
      <c r="K4151" s="6"/>
      <c r="L4151" s="6"/>
      <c r="M4151" s="6"/>
      <c r="N4151" s="6"/>
      <c r="O4151" s="6"/>
      <c r="P4151" s="6"/>
      <c r="Q4151" s="6"/>
      <c r="R4151" s="6"/>
      <c r="S4151" s="6"/>
      <c r="T4151" s="6"/>
    </row>
    <row r="4152" spans="4:20" x14ac:dyDescent="0.2">
      <c r="D4152" s="6"/>
      <c r="E4152" s="6"/>
      <c r="F4152" s="6"/>
      <c r="G4152" s="19"/>
      <c r="H4152" s="19"/>
      <c r="I4152" s="19"/>
      <c r="J4152" s="19"/>
      <c r="K4152" s="6"/>
      <c r="L4152" s="6"/>
      <c r="M4152" s="6"/>
      <c r="N4152" s="6"/>
      <c r="O4152" s="6"/>
      <c r="P4152" s="6"/>
      <c r="Q4152" s="6"/>
      <c r="R4152" s="6"/>
      <c r="S4152" s="6"/>
      <c r="T4152" s="6"/>
    </row>
    <row r="4153" spans="4:20" x14ac:dyDescent="0.2">
      <c r="D4153" s="6"/>
      <c r="E4153" s="6"/>
      <c r="F4153" s="6"/>
      <c r="G4153" s="19"/>
      <c r="H4153" s="19"/>
      <c r="I4153" s="19"/>
      <c r="J4153" s="19"/>
      <c r="K4153" s="6"/>
      <c r="L4153" s="6"/>
      <c r="M4153" s="6"/>
      <c r="N4153" s="6"/>
      <c r="O4153" s="6"/>
      <c r="P4153" s="6"/>
      <c r="Q4153" s="6"/>
      <c r="R4153" s="6"/>
      <c r="S4153" s="6"/>
      <c r="T4153" s="6"/>
    </row>
    <row r="4154" spans="4:20" x14ac:dyDescent="0.2">
      <c r="D4154" s="6"/>
      <c r="E4154" s="6"/>
      <c r="F4154" s="6"/>
      <c r="G4154" s="19"/>
      <c r="H4154" s="19"/>
      <c r="I4154" s="19"/>
      <c r="J4154" s="19"/>
      <c r="K4154" s="6"/>
      <c r="L4154" s="6"/>
      <c r="M4154" s="6"/>
      <c r="N4154" s="6"/>
      <c r="O4154" s="6"/>
      <c r="P4154" s="6"/>
      <c r="Q4154" s="6"/>
      <c r="R4154" s="6"/>
      <c r="S4154" s="6"/>
      <c r="T4154" s="6"/>
    </row>
    <row r="4155" spans="4:20" x14ac:dyDescent="0.2">
      <c r="D4155" s="6"/>
      <c r="E4155" s="6"/>
      <c r="F4155" s="6"/>
      <c r="G4155" s="19"/>
      <c r="H4155" s="19"/>
      <c r="I4155" s="19"/>
      <c r="J4155" s="19"/>
      <c r="K4155" s="6"/>
      <c r="L4155" s="6"/>
      <c r="M4155" s="6"/>
      <c r="N4155" s="6"/>
      <c r="O4155" s="6"/>
      <c r="P4155" s="6"/>
      <c r="Q4155" s="6"/>
      <c r="R4155" s="6"/>
      <c r="S4155" s="6"/>
      <c r="T4155" s="6"/>
    </row>
    <row r="4156" spans="4:20" x14ac:dyDescent="0.2">
      <c r="D4156" s="6"/>
      <c r="E4156" s="6"/>
      <c r="F4156" s="6"/>
      <c r="G4156" s="19"/>
      <c r="H4156" s="19"/>
      <c r="I4156" s="19"/>
      <c r="J4156" s="19"/>
      <c r="K4156" s="6"/>
      <c r="L4156" s="6"/>
      <c r="M4156" s="6"/>
      <c r="N4156" s="6"/>
      <c r="O4156" s="6"/>
      <c r="P4156" s="6"/>
      <c r="Q4156" s="6"/>
      <c r="R4156" s="6"/>
      <c r="S4156" s="6"/>
      <c r="T4156" s="6"/>
    </row>
    <row r="4157" spans="4:20" x14ac:dyDescent="0.2">
      <c r="D4157" s="6"/>
      <c r="E4157" s="6"/>
      <c r="F4157" s="6"/>
      <c r="G4157" s="19"/>
      <c r="H4157" s="19"/>
      <c r="I4157" s="19"/>
      <c r="J4157" s="19"/>
      <c r="K4157" s="6"/>
      <c r="L4157" s="6"/>
      <c r="M4157" s="6"/>
      <c r="N4157" s="6"/>
      <c r="O4157" s="6"/>
      <c r="P4157" s="6"/>
      <c r="Q4157" s="6"/>
      <c r="R4157" s="6"/>
      <c r="S4157" s="6"/>
      <c r="T4157" s="6"/>
    </row>
    <row r="4158" spans="4:20" x14ac:dyDescent="0.2">
      <c r="D4158" s="6"/>
      <c r="E4158" s="6"/>
      <c r="F4158" s="6"/>
      <c r="G4158" s="19"/>
      <c r="H4158" s="19"/>
      <c r="I4158" s="19"/>
      <c r="J4158" s="19"/>
      <c r="K4158" s="6"/>
      <c r="L4158" s="6"/>
      <c r="M4158" s="6"/>
      <c r="N4158" s="6"/>
      <c r="O4158" s="6"/>
      <c r="P4158" s="6"/>
      <c r="Q4158" s="6"/>
      <c r="R4158" s="6"/>
      <c r="S4158" s="6"/>
      <c r="T4158" s="6"/>
    </row>
    <row r="4159" spans="4:20" x14ac:dyDescent="0.2">
      <c r="D4159" s="6"/>
      <c r="E4159" s="6"/>
      <c r="F4159" s="6"/>
      <c r="G4159" s="19"/>
      <c r="H4159" s="19"/>
      <c r="I4159" s="19"/>
      <c r="J4159" s="19"/>
      <c r="K4159" s="6"/>
      <c r="L4159" s="6"/>
      <c r="M4159" s="6"/>
      <c r="N4159" s="6"/>
      <c r="O4159" s="6"/>
      <c r="P4159" s="6"/>
      <c r="Q4159" s="6"/>
      <c r="R4159" s="6"/>
      <c r="S4159" s="6"/>
      <c r="T4159" s="6"/>
    </row>
    <row r="4160" spans="4:20" x14ac:dyDescent="0.2">
      <c r="D4160" s="6"/>
      <c r="E4160" s="6"/>
      <c r="F4160" s="6"/>
      <c r="G4160" s="19"/>
      <c r="H4160" s="19"/>
      <c r="I4160" s="19"/>
      <c r="J4160" s="19"/>
      <c r="K4160" s="6"/>
      <c r="L4160" s="6"/>
      <c r="M4160" s="6"/>
      <c r="N4160" s="6"/>
      <c r="O4160" s="6"/>
      <c r="P4160" s="6"/>
      <c r="Q4160" s="6"/>
      <c r="R4160" s="6"/>
      <c r="S4160" s="6"/>
      <c r="T4160" s="6"/>
    </row>
    <row r="4161" spans="4:20" x14ac:dyDescent="0.2">
      <c r="D4161" s="6"/>
      <c r="E4161" s="6"/>
      <c r="F4161" s="6"/>
      <c r="G4161" s="19"/>
      <c r="H4161" s="19"/>
      <c r="I4161" s="19"/>
      <c r="J4161" s="19"/>
      <c r="K4161" s="6"/>
      <c r="L4161" s="6"/>
      <c r="M4161" s="6"/>
      <c r="N4161" s="6"/>
      <c r="O4161" s="6"/>
      <c r="P4161" s="6"/>
      <c r="Q4161" s="6"/>
      <c r="R4161" s="6"/>
      <c r="S4161" s="6"/>
      <c r="T4161" s="6"/>
    </row>
    <row r="4162" spans="4:20" x14ac:dyDescent="0.2">
      <c r="D4162" s="6"/>
      <c r="E4162" s="6"/>
      <c r="F4162" s="6"/>
      <c r="G4162" s="19"/>
      <c r="H4162" s="19"/>
      <c r="I4162" s="19"/>
      <c r="J4162" s="19"/>
      <c r="K4162" s="6"/>
      <c r="L4162" s="6"/>
      <c r="M4162" s="6"/>
      <c r="N4162" s="6"/>
      <c r="O4162" s="6"/>
      <c r="P4162" s="6"/>
      <c r="Q4162" s="6"/>
      <c r="R4162" s="6"/>
      <c r="S4162" s="6"/>
      <c r="T4162" s="6"/>
    </row>
    <row r="4163" spans="4:20" x14ac:dyDescent="0.2">
      <c r="D4163" s="6"/>
      <c r="E4163" s="6"/>
      <c r="F4163" s="6"/>
      <c r="G4163" s="19"/>
      <c r="H4163" s="19"/>
      <c r="I4163" s="19"/>
      <c r="J4163" s="19"/>
      <c r="K4163" s="6"/>
      <c r="L4163" s="6"/>
      <c r="M4163" s="6"/>
      <c r="N4163" s="6"/>
      <c r="O4163" s="6"/>
      <c r="P4163" s="6"/>
      <c r="Q4163" s="6"/>
      <c r="R4163" s="6"/>
      <c r="S4163" s="6"/>
      <c r="T4163" s="6"/>
    </row>
    <row r="4164" spans="4:20" x14ac:dyDescent="0.2">
      <c r="D4164" s="6"/>
      <c r="E4164" s="6"/>
      <c r="F4164" s="6"/>
      <c r="G4164" s="19"/>
      <c r="H4164" s="19"/>
      <c r="I4164" s="19"/>
      <c r="J4164" s="19"/>
      <c r="K4164" s="6"/>
      <c r="L4164" s="6"/>
      <c r="M4164" s="6"/>
      <c r="N4164" s="6"/>
      <c r="O4164" s="6"/>
      <c r="P4164" s="6"/>
      <c r="Q4164" s="6"/>
      <c r="R4164" s="6"/>
      <c r="S4164" s="6"/>
      <c r="T4164" s="6"/>
    </row>
    <row r="4165" spans="4:20" x14ac:dyDescent="0.2">
      <c r="D4165" s="6"/>
      <c r="E4165" s="6"/>
      <c r="F4165" s="6"/>
      <c r="G4165" s="19"/>
      <c r="H4165" s="19"/>
      <c r="I4165" s="19"/>
      <c r="J4165" s="19"/>
      <c r="K4165" s="6"/>
      <c r="L4165" s="6"/>
      <c r="M4165" s="6"/>
      <c r="N4165" s="6"/>
      <c r="O4165" s="6"/>
      <c r="P4165" s="6"/>
      <c r="Q4165" s="6"/>
      <c r="R4165" s="6"/>
      <c r="S4165" s="6"/>
      <c r="T4165" s="6"/>
    </row>
    <row r="4166" spans="4:20" x14ac:dyDescent="0.2">
      <c r="D4166" s="6"/>
      <c r="E4166" s="6"/>
      <c r="F4166" s="6"/>
      <c r="G4166" s="19"/>
      <c r="H4166" s="19"/>
      <c r="I4166" s="19"/>
      <c r="J4166" s="19"/>
      <c r="K4166" s="6"/>
      <c r="L4166" s="6"/>
      <c r="M4166" s="6"/>
      <c r="N4166" s="6"/>
      <c r="O4166" s="6"/>
      <c r="P4166" s="6"/>
      <c r="Q4166" s="6"/>
      <c r="R4166" s="6"/>
      <c r="S4166" s="6"/>
      <c r="T4166" s="6"/>
    </row>
    <row r="4167" spans="4:20" x14ac:dyDescent="0.2">
      <c r="D4167" s="6"/>
      <c r="E4167" s="6"/>
      <c r="F4167" s="6"/>
      <c r="G4167" s="19"/>
      <c r="H4167" s="19"/>
      <c r="I4167" s="19"/>
      <c r="J4167" s="19"/>
      <c r="K4167" s="6"/>
      <c r="L4167" s="6"/>
      <c r="M4167" s="6"/>
      <c r="N4167" s="6"/>
      <c r="O4167" s="6"/>
      <c r="P4167" s="6"/>
      <c r="Q4167" s="6"/>
      <c r="R4167" s="6"/>
      <c r="S4167" s="6"/>
      <c r="T4167" s="6"/>
    </row>
    <row r="4168" spans="4:20" x14ac:dyDescent="0.2">
      <c r="D4168" s="6"/>
      <c r="E4168" s="6"/>
      <c r="F4168" s="6"/>
      <c r="G4168" s="19"/>
      <c r="H4168" s="19"/>
      <c r="I4168" s="19"/>
      <c r="J4168" s="19"/>
      <c r="K4168" s="6"/>
      <c r="L4168" s="6"/>
      <c r="M4168" s="6"/>
      <c r="N4168" s="6"/>
      <c r="O4168" s="6"/>
      <c r="P4168" s="6"/>
      <c r="Q4168" s="6"/>
      <c r="R4168" s="6"/>
      <c r="S4168" s="6"/>
      <c r="T4168" s="6"/>
    </row>
    <row r="4169" spans="4:20" x14ac:dyDescent="0.2">
      <c r="D4169" s="6"/>
      <c r="E4169" s="6"/>
      <c r="F4169" s="6"/>
      <c r="G4169" s="19"/>
      <c r="H4169" s="19"/>
      <c r="I4169" s="19"/>
      <c r="J4169" s="19"/>
      <c r="K4169" s="6"/>
      <c r="L4169" s="6"/>
      <c r="M4169" s="6"/>
      <c r="N4169" s="6"/>
      <c r="O4169" s="6"/>
      <c r="P4169" s="6"/>
      <c r="Q4169" s="6"/>
      <c r="R4169" s="6"/>
      <c r="S4169" s="6"/>
      <c r="T4169" s="6"/>
    </row>
    <row r="4170" spans="4:20" x14ac:dyDescent="0.2">
      <c r="D4170" s="6"/>
      <c r="E4170" s="6"/>
      <c r="F4170" s="6"/>
      <c r="G4170" s="19"/>
      <c r="H4170" s="19"/>
      <c r="I4170" s="19"/>
      <c r="J4170" s="19"/>
      <c r="K4170" s="6"/>
      <c r="L4170" s="6"/>
      <c r="M4170" s="6"/>
      <c r="N4170" s="6"/>
      <c r="O4170" s="6"/>
      <c r="P4170" s="6"/>
      <c r="Q4170" s="6"/>
      <c r="R4170" s="6"/>
      <c r="S4170" s="6"/>
      <c r="T4170" s="6"/>
    </row>
    <row r="4171" spans="4:20" x14ac:dyDescent="0.2">
      <c r="D4171" s="6"/>
      <c r="E4171" s="6"/>
      <c r="F4171" s="6"/>
      <c r="G4171" s="19"/>
      <c r="H4171" s="19"/>
      <c r="I4171" s="19"/>
      <c r="J4171" s="19"/>
      <c r="K4171" s="6"/>
      <c r="L4171" s="6"/>
      <c r="M4171" s="6"/>
      <c r="N4171" s="6"/>
      <c r="O4171" s="6"/>
      <c r="P4171" s="6"/>
      <c r="Q4171" s="6"/>
      <c r="R4171" s="6"/>
      <c r="S4171" s="6"/>
      <c r="T4171" s="6"/>
    </row>
    <row r="4172" spans="4:20" x14ac:dyDescent="0.2">
      <c r="D4172" s="6"/>
      <c r="E4172" s="6"/>
      <c r="F4172" s="6"/>
      <c r="G4172" s="19"/>
      <c r="H4172" s="19"/>
      <c r="I4172" s="19"/>
      <c r="J4172" s="19"/>
      <c r="K4172" s="6"/>
      <c r="L4172" s="6"/>
      <c r="M4172" s="6"/>
      <c r="N4172" s="6"/>
      <c r="O4172" s="6"/>
      <c r="P4172" s="6"/>
      <c r="Q4172" s="6"/>
      <c r="R4172" s="6"/>
      <c r="S4172" s="6"/>
      <c r="T4172" s="6"/>
    </row>
    <row r="4173" spans="4:20" x14ac:dyDescent="0.2">
      <c r="D4173" s="6"/>
      <c r="E4173" s="6"/>
      <c r="F4173" s="6"/>
      <c r="G4173" s="19"/>
      <c r="H4173" s="19"/>
      <c r="I4173" s="19"/>
      <c r="J4173" s="19"/>
      <c r="K4173" s="6"/>
      <c r="L4173" s="6"/>
      <c r="M4173" s="6"/>
      <c r="N4173" s="6"/>
      <c r="O4173" s="6"/>
      <c r="P4173" s="6"/>
      <c r="Q4173" s="6"/>
      <c r="R4173" s="6"/>
      <c r="S4173" s="6"/>
      <c r="T4173" s="6"/>
    </row>
    <row r="4174" spans="4:20" x14ac:dyDescent="0.2">
      <c r="D4174" s="6"/>
      <c r="E4174" s="6"/>
      <c r="F4174" s="6"/>
      <c r="G4174" s="19"/>
      <c r="H4174" s="19"/>
      <c r="I4174" s="19"/>
      <c r="J4174" s="19"/>
      <c r="K4174" s="6"/>
      <c r="L4174" s="6"/>
      <c r="M4174" s="6"/>
      <c r="N4174" s="6"/>
      <c r="O4174" s="6"/>
      <c r="P4174" s="6"/>
      <c r="Q4174" s="6"/>
      <c r="R4174" s="6"/>
      <c r="S4174" s="6"/>
      <c r="T4174" s="6"/>
    </row>
    <row r="4175" spans="4:20" x14ac:dyDescent="0.2">
      <c r="D4175" s="6"/>
      <c r="E4175" s="6"/>
      <c r="F4175" s="6"/>
      <c r="G4175" s="19"/>
      <c r="H4175" s="19"/>
      <c r="I4175" s="19"/>
      <c r="J4175" s="19"/>
      <c r="K4175" s="6"/>
      <c r="L4175" s="6"/>
      <c r="M4175" s="6"/>
      <c r="N4175" s="6"/>
      <c r="O4175" s="6"/>
      <c r="P4175" s="6"/>
      <c r="Q4175" s="6"/>
      <c r="R4175" s="6"/>
      <c r="S4175" s="6"/>
      <c r="T4175" s="6"/>
    </row>
    <row r="4176" spans="4:20" x14ac:dyDescent="0.2">
      <c r="D4176" s="6"/>
      <c r="E4176" s="6"/>
      <c r="F4176" s="6"/>
      <c r="G4176" s="19"/>
      <c r="H4176" s="19"/>
      <c r="I4176" s="19"/>
      <c r="J4176" s="19"/>
      <c r="K4176" s="6"/>
      <c r="L4176" s="6"/>
      <c r="M4176" s="6"/>
      <c r="N4176" s="6"/>
      <c r="O4176" s="6"/>
      <c r="P4176" s="6"/>
      <c r="Q4176" s="6"/>
      <c r="R4176" s="6"/>
      <c r="S4176" s="6"/>
      <c r="T4176" s="6"/>
    </row>
    <row r="4177" spans="4:20" x14ac:dyDescent="0.2">
      <c r="D4177" s="6"/>
      <c r="E4177" s="6"/>
      <c r="F4177" s="6"/>
      <c r="G4177" s="19"/>
      <c r="H4177" s="19"/>
      <c r="I4177" s="19"/>
      <c r="J4177" s="19"/>
      <c r="K4177" s="6"/>
      <c r="L4177" s="6"/>
      <c r="M4177" s="6"/>
      <c r="N4177" s="6"/>
      <c r="O4177" s="6"/>
      <c r="P4177" s="6"/>
      <c r="Q4177" s="6"/>
      <c r="R4177" s="6"/>
      <c r="S4177" s="6"/>
      <c r="T4177" s="6"/>
    </row>
    <row r="4178" spans="4:20" x14ac:dyDescent="0.2">
      <c r="D4178" s="6"/>
      <c r="E4178" s="6"/>
      <c r="F4178" s="6"/>
      <c r="G4178" s="19"/>
      <c r="H4178" s="19"/>
      <c r="I4178" s="19"/>
      <c r="J4178" s="19"/>
      <c r="K4178" s="6"/>
      <c r="L4178" s="6"/>
      <c r="M4178" s="6"/>
      <c r="N4178" s="6"/>
      <c r="O4178" s="6"/>
      <c r="P4178" s="6"/>
      <c r="Q4178" s="6"/>
      <c r="R4178" s="6"/>
      <c r="S4178" s="6"/>
      <c r="T4178" s="6"/>
    </row>
    <row r="4179" spans="4:20" x14ac:dyDescent="0.2">
      <c r="D4179" s="6"/>
      <c r="E4179" s="6"/>
      <c r="F4179" s="6"/>
      <c r="G4179" s="19"/>
      <c r="H4179" s="19"/>
      <c r="I4179" s="19"/>
      <c r="J4179" s="19"/>
      <c r="K4179" s="6"/>
      <c r="L4179" s="6"/>
      <c r="M4179" s="6"/>
      <c r="N4179" s="6"/>
      <c r="O4179" s="6"/>
      <c r="P4179" s="6"/>
      <c r="Q4179" s="6"/>
      <c r="R4179" s="6"/>
      <c r="S4179" s="6"/>
      <c r="T4179" s="6"/>
    </row>
    <row r="4180" spans="4:20" x14ac:dyDescent="0.2">
      <c r="D4180" s="6"/>
      <c r="E4180" s="6"/>
      <c r="F4180" s="6"/>
      <c r="G4180" s="19"/>
      <c r="H4180" s="19"/>
      <c r="I4180" s="19"/>
      <c r="J4180" s="19"/>
      <c r="K4180" s="6"/>
      <c r="L4180" s="6"/>
      <c r="M4180" s="6"/>
      <c r="N4180" s="6"/>
      <c r="O4180" s="6"/>
      <c r="P4180" s="6"/>
      <c r="Q4180" s="6"/>
      <c r="R4180" s="6"/>
      <c r="S4180" s="6"/>
      <c r="T4180" s="6"/>
    </row>
    <row r="4181" spans="4:20" x14ac:dyDescent="0.2">
      <c r="D4181" s="6"/>
      <c r="E4181" s="6"/>
      <c r="F4181" s="6"/>
      <c r="G4181" s="19"/>
      <c r="H4181" s="19"/>
      <c r="I4181" s="19"/>
      <c r="J4181" s="19"/>
      <c r="K4181" s="6"/>
      <c r="L4181" s="6"/>
      <c r="M4181" s="6"/>
      <c r="N4181" s="6"/>
      <c r="O4181" s="6"/>
      <c r="P4181" s="6"/>
      <c r="Q4181" s="6"/>
      <c r="R4181" s="6"/>
      <c r="S4181" s="6"/>
      <c r="T4181" s="6"/>
    </row>
    <row r="4182" spans="4:20" x14ac:dyDescent="0.2">
      <c r="D4182" s="6"/>
      <c r="E4182" s="6"/>
      <c r="F4182" s="6"/>
      <c r="G4182" s="19"/>
      <c r="H4182" s="19"/>
      <c r="I4182" s="19"/>
      <c r="J4182" s="19"/>
      <c r="K4182" s="6"/>
      <c r="L4182" s="6"/>
      <c r="M4182" s="6"/>
      <c r="N4182" s="6"/>
      <c r="O4182" s="6"/>
      <c r="P4182" s="6"/>
      <c r="Q4182" s="6"/>
      <c r="R4182" s="6"/>
      <c r="S4182" s="6"/>
      <c r="T4182" s="6"/>
    </row>
    <row r="4183" spans="4:20" x14ac:dyDescent="0.2">
      <c r="D4183" s="6"/>
      <c r="E4183" s="6"/>
      <c r="F4183" s="6"/>
      <c r="G4183" s="19"/>
      <c r="H4183" s="19"/>
      <c r="I4183" s="19"/>
      <c r="J4183" s="19"/>
      <c r="K4183" s="6"/>
      <c r="L4183" s="6"/>
      <c r="M4183" s="6"/>
      <c r="N4183" s="6"/>
      <c r="O4183" s="6"/>
      <c r="P4183" s="6"/>
      <c r="Q4183" s="6"/>
      <c r="R4183" s="6"/>
      <c r="S4183" s="6"/>
      <c r="T4183" s="6"/>
    </row>
    <row r="4184" spans="4:20" x14ac:dyDescent="0.2">
      <c r="D4184" s="6"/>
      <c r="E4184" s="6"/>
      <c r="F4184" s="6"/>
      <c r="G4184" s="19"/>
      <c r="H4184" s="19"/>
      <c r="I4184" s="19"/>
      <c r="J4184" s="19"/>
      <c r="K4184" s="6"/>
      <c r="L4184" s="6"/>
      <c r="M4184" s="6"/>
      <c r="N4184" s="6"/>
      <c r="O4184" s="6"/>
      <c r="P4184" s="6"/>
      <c r="Q4184" s="6"/>
      <c r="R4184" s="6"/>
      <c r="S4184" s="6"/>
      <c r="T4184" s="6"/>
    </row>
    <row r="4185" spans="4:20" x14ac:dyDescent="0.2">
      <c r="D4185" s="6"/>
      <c r="E4185" s="6"/>
      <c r="F4185" s="6"/>
      <c r="G4185" s="19"/>
      <c r="H4185" s="19"/>
      <c r="I4185" s="19"/>
      <c r="J4185" s="19"/>
      <c r="K4185" s="6"/>
      <c r="L4185" s="6"/>
      <c r="M4185" s="6"/>
      <c r="N4185" s="6"/>
      <c r="O4185" s="6"/>
      <c r="P4185" s="6"/>
      <c r="Q4185" s="6"/>
      <c r="R4185" s="6"/>
      <c r="S4185" s="6"/>
      <c r="T4185" s="6"/>
    </row>
    <row r="4186" spans="4:20" x14ac:dyDescent="0.2">
      <c r="D4186" s="6"/>
      <c r="E4186" s="6"/>
      <c r="F4186" s="6"/>
      <c r="G4186" s="19"/>
      <c r="H4186" s="19"/>
      <c r="I4186" s="19"/>
      <c r="J4186" s="19"/>
      <c r="K4186" s="6"/>
      <c r="L4186" s="6"/>
      <c r="M4186" s="6"/>
      <c r="N4186" s="6"/>
      <c r="O4186" s="6"/>
      <c r="P4186" s="6"/>
      <c r="Q4186" s="6"/>
      <c r="R4186" s="6"/>
      <c r="S4186" s="6"/>
      <c r="T4186" s="6"/>
    </row>
    <row r="4187" spans="4:20" x14ac:dyDescent="0.2">
      <c r="D4187" s="6"/>
      <c r="E4187" s="6"/>
      <c r="F4187" s="6"/>
      <c r="G4187" s="19"/>
      <c r="H4187" s="19"/>
      <c r="I4187" s="19"/>
      <c r="J4187" s="19"/>
      <c r="K4187" s="6"/>
      <c r="L4187" s="6"/>
      <c r="M4187" s="6"/>
      <c r="N4187" s="6"/>
      <c r="O4187" s="6"/>
      <c r="P4187" s="6"/>
      <c r="Q4187" s="6"/>
      <c r="R4187" s="6"/>
      <c r="S4187" s="6"/>
      <c r="T4187" s="6"/>
    </row>
    <row r="4188" spans="4:20" x14ac:dyDescent="0.2">
      <c r="D4188" s="6"/>
      <c r="E4188" s="6"/>
      <c r="F4188" s="6"/>
      <c r="G4188" s="19"/>
      <c r="H4188" s="19"/>
      <c r="I4188" s="19"/>
      <c r="J4188" s="19"/>
      <c r="K4188" s="6"/>
      <c r="L4188" s="6"/>
      <c r="M4188" s="6"/>
      <c r="N4188" s="6"/>
      <c r="O4188" s="6"/>
      <c r="P4188" s="6"/>
      <c r="Q4188" s="6"/>
      <c r="R4188" s="6"/>
      <c r="S4188" s="6"/>
      <c r="T4188" s="6"/>
    </row>
    <row r="4189" spans="4:20" x14ac:dyDescent="0.2">
      <c r="D4189" s="6"/>
      <c r="E4189" s="6"/>
      <c r="F4189" s="6"/>
      <c r="G4189" s="19"/>
      <c r="H4189" s="19"/>
      <c r="I4189" s="19"/>
      <c r="J4189" s="19"/>
      <c r="K4189" s="6"/>
      <c r="L4189" s="6"/>
      <c r="M4189" s="6"/>
      <c r="N4189" s="6"/>
      <c r="O4189" s="6"/>
      <c r="P4189" s="6"/>
      <c r="Q4189" s="6"/>
      <c r="R4189" s="6"/>
      <c r="S4189" s="6"/>
      <c r="T4189" s="6"/>
    </row>
    <row r="4190" spans="4:20" x14ac:dyDescent="0.2">
      <c r="D4190" s="6"/>
      <c r="E4190" s="6"/>
      <c r="F4190" s="6"/>
      <c r="G4190" s="19"/>
      <c r="H4190" s="19"/>
      <c r="I4190" s="19"/>
      <c r="J4190" s="19"/>
      <c r="K4190" s="6"/>
      <c r="L4190" s="6"/>
      <c r="M4190" s="6"/>
      <c r="N4190" s="6"/>
      <c r="O4190" s="6"/>
      <c r="P4190" s="6"/>
      <c r="Q4190" s="6"/>
      <c r="R4190" s="6"/>
      <c r="S4190" s="6"/>
      <c r="T4190" s="6"/>
    </row>
    <row r="4191" spans="4:20" x14ac:dyDescent="0.2">
      <c r="D4191" s="6"/>
      <c r="E4191" s="6"/>
      <c r="F4191" s="6"/>
      <c r="G4191" s="19"/>
      <c r="H4191" s="19"/>
      <c r="I4191" s="19"/>
      <c r="J4191" s="19"/>
      <c r="K4191" s="6"/>
      <c r="L4191" s="6"/>
      <c r="M4191" s="6"/>
      <c r="N4191" s="6"/>
      <c r="O4191" s="6"/>
      <c r="P4191" s="6"/>
      <c r="Q4191" s="6"/>
      <c r="R4191" s="6"/>
      <c r="S4191" s="6"/>
      <c r="T4191" s="6"/>
    </row>
    <row r="4192" spans="4:20" x14ac:dyDescent="0.2">
      <c r="D4192" s="6"/>
      <c r="E4192" s="6"/>
      <c r="F4192" s="6"/>
      <c r="G4192" s="19"/>
      <c r="H4192" s="19"/>
      <c r="I4192" s="19"/>
      <c r="J4192" s="19"/>
      <c r="K4192" s="6"/>
      <c r="L4192" s="6"/>
      <c r="M4192" s="6"/>
      <c r="N4192" s="6"/>
      <c r="O4192" s="6"/>
      <c r="P4192" s="6"/>
      <c r="Q4192" s="6"/>
      <c r="R4192" s="6"/>
      <c r="S4192" s="6"/>
      <c r="T4192" s="6"/>
    </row>
    <row r="4193" spans="4:20" x14ac:dyDescent="0.2">
      <c r="D4193" s="6"/>
      <c r="E4193" s="6"/>
      <c r="F4193" s="6"/>
      <c r="G4193" s="19"/>
      <c r="H4193" s="19"/>
      <c r="I4193" s="19"/>
      <c r="J4193" s="19"/>
      <c r="K4193" s="6"/>
      <c r="L4193" s="6"/>
      <c r="M4193" s="6"/>
      <c r="N4193" s="6"/>
      <c r="O4193" s="6"/>
      <c r="P4193" s="6"/>
      <c r="Q4193" s="6"/>
      <c r="R4193" s="6"/>
      <c r="S4193" s="6"/>
      <c r="T4193" s="6"/>
    </row>
    <row r="4194" spans="4:20" x14ac:dyDescent="0.2">
      <c r="D4194" s="6"/>
      <c r="E4194" s="6"/>
      <c r="F4194" s="6"/>
      <c r="G4194" s="19"/>
      <c r="H4194" s="19"/>
      <c r="I4194" s="19"/>
      <c r="J4194" s="19"/>
      <c r="K4194" s="6"/>
      <c r="L4194" s="6"/>
      <c r="M4194" s="6"/>
      <c r="N4194" s="6"/>
      <c r="O4194" s="6"/>
      <c r="P4194" s="6"/>
      <c r="Q4194" s="6"/>
      <c r="R4194" s="6"/>
      <c r="S4194" s="6"/>
      <c r="T4194" s="6"/>
    </row>
    <row r="4195" spans="4:20" x14ac:dyDescent="0.2">
      <c r="D4195" s="6"/>
      <c r="E4195" s="6"/>
      <c r="F4195" s="6"/>
      <c r="G4195" s="19"/>
      <c r="H4195" s="19"/>
      <c r="I4195" s="19"/>
      <c r="J4195" s="19"/>
      <c r="K4195" s="6"/>
      <c r="L4195" s="6"/>
      <c r="M4195" s="6"/>
      <c r="N4195" s="6"/>
      <c r="O4195" s="6"/>
      <c r="P4195" s="6"/>
      <c r="Q4195" s="6"/>
      <c r="R4195" s="6"/>
      <c r="S4195" s="6"/>
      <c r="T4195" s="6"/>
    </row>
    <row r="4196" spans="4:20" x14ac:dyDescent="0.2">
      <c r="D4196" s="6"/>
      <c r="E4196" s="6"/>
      <c r="F4196" s="6"/>
      <c r="G4196" s="19"/>
      <c r="H4196" s="19"/>
      <c r="I4196" s="19"/>
      <c r="J4196" s="19"/>
      <c r="K4196" s="6"/>
      <c r="L4196" s="6"/>
      <c r="M4196" s="6"/>
      <c r="N4196" s="6"/>
      <c r="O4196" s="6"/>
      <c r="P4196" s="6"/>
      <c r="Q4196" s="6"/>
      <c r="R4196" s="6"/>
      <c r="S4196" s="6"/>
      <c r="T4196" s="6"/>
    </row>
    <row r="4197" spans="4:20" x14ac:dyDescent="0.2">
      <c r="D4197" s="6"/>
      <c r="E4197" s="6"/>
      <c r="F4197" s="6"/>
      <c r="G4197" s="19"/>
      <c r="H4197" s="19"/>
      <c r="I4197" s="19"/>
      <c r="J4197" s="19"/>
      <c r="K4197" s="6"/>
      <c r="L4197" s="6"/>
      <c r="M4197" s="6"/>
      <c r="N4197" s="6"/>
      <c r="O4197" s="6"/>
      <c r="P4197" s="6"/>
      <c r="Q4197" s="6"/>
      <c r="R4197" s="6"/>
      <c r="S4197" s="6"/>
      <c r="T4197" s="6"/>
    </row>
    <row r="4198" spans="4:20" x14ac:dyDescent="0.2">
      <c r="D4198" s="6"/>
      <c r="E4198" s="6"/>
      <c r="F4198" s="6"/>
      <c r="G4198" s="19"/>
      <c r="H4198" s="19"/>
      <c r="I4198" s="19"/>
      <c r="J4198" s="19"/>
      <c r="K4198" s="6"/>
      <c r="L4198" s="6"/>
      <c r="M4198" s="6"/>
      <c r="N4198" s="6"/>
      <c r="O4198" s="6"/>
      <c r="P4198" s="6"/>
      <c r="Q4198" s="6"/>
      <c r="R4198" s="6"/>
      <c r="S4198" s="6"/>
      <c r="T4198" s="6"/>
    </row>
    <row r="4199" spans="4:20" x14ac:dyDescent="0.2">
      <c r="D4199" s="6"/>
      <c r="E4199" s="6"/>
      <c r="F4199" s="6"/>
      <c r="G4199" s="19"/>
      <c r="H4199" s="19"/>
      <c r="I4199" s="19"/>
      <c r="J4199" s="19"/>
      <c r="K4199" s="6"/>
      <c r="L4199" s="6"/>
      <c r="M4199" s="6"/>
      <c r="N4199" s="6"/>
      <c r="O4199" s="6"/>
      <c r="P4199" s="6"/>
      <c r="Q4199" s="6"/>
      <c r="R4199" s="6"/>
      <c r="S4199" s="6"/>
      <c r="T4199" s="6"/>
    </row>
    <row r="4200" spans="4:20" x14ac:dyDescent="0.2">
      <c r="D4200" s="6"/>
      <c r="E4200" s="6"/>
      <c r="F4200" s="6"/>
      <c r="G4200" s="19"/>
      <c r="H4200" s="19"/>
      <c r="I4200" s="19"/>
      <c r="J4200" s="19"/>
      <c r="K4200" s="6"/>
      <c r="L4200" s="6"/>
      <c r="M4200" s="6"/>
      <c r="N4200" s="6"/>
      <c r="O4200" s="6"/>
      <c r="P4200" s="6"/>
      <c r="Q4200" s="6"/>
      <c r="R4200" s="6"/>
      <c r="S4200" s="6"/>
      <c r="T4200" s="6"/>
    </row>
    <row r="4201" spans="4:20" x14ac:dyDescent="0.2">
      <c r="D4201" s="6"/>
      <c r="E4201" s="6"/>
      <c r="F4201" s="6"/>
      <c r="G4201" s="19"/>
      <c r="H4201" s="19"/>
      <c r="I4201" s="19"/>
      <c r="J4201" s="19"/>
      <c r="K4201" s="6"/>
      <c r="L4201" s="6"/>
      <c r="M4201" s="6"/>
      <c r="N4201" s="6"/>
      <c r="O4201" s="6"/>
      <c r="P4201" s="6"/>
      <c r="Q4201" s="6"/>
      <c r="R4201" s="6"/>
      <c r="S4201" s="6"/>
      <c r="T4201" s="6"/>
    </row>
    <row r="4202" spans="4:20" x14ac:dyDescent="0.2">
      <c r="D4202" s="6"/>
      <c r="E4202" s="6"/>
      <c r="F4202" s="6"/>
      <c r="G4202" s="19"/>
      <c r="H4202" s="19"/>
      <c r="I4202" s="19"/>
      <c r="J4202" s="19"/>
      <c r="K4202" s="6"/>
      <c r="L4202" s="6"/>
      <c r="M4202" s="6"/>
      <c r="N4202" s="6"/>
      <c r="O4202" s="6"/>
      <c r="P4202" s="6"/>
      <c r="Q4202" s="6"/>
      <c r="R4202" s="6"/>
      <c r="S4202" s="6"/>
      <c r="T4202" s="6"/>
    </row>
    <row r="4203" spans="4:20" x14ac:dyDescent="0.2">
      <c r="D4203" s="6"/>
      <c r="E4203" s="6"/>
      <c r="F4203" s="6"/>
      <c r="G4203" s="19"/>
      <c r="H4203" s="19"/>
      <c r="I4203" s="19"/>
      <c r="J4203" s="19"/>
      <c r="K4203" s="6"/>
      <c r="L4203" s="6"/>
      <c r="M4203" s="6"/>
      <c r="N4203" s="6"/>
      <c r="O4203" s="6"/>
      <c r="P4203" s="6"/>
      <c r="Q4203" s="6"/>
      <c r="R4203" s="6"/>
      <c r="S4203" s="6"/>
      <c r="T4203" s="6"/>
    </row>
    <row r="4204" spans="4:20" x14ac:dyDescent="0.2">
      <c r="D4204" s="6"/>
      <c r="E4204" s="6"/>
      <c r="F4204" s="6"/>
      <c r="G4204" s="19"/>
      <c r="H4204" s="19"/>
      <c r="I4204" s="19"/>
      <c r="J4204" s="19"/>
      <c r="K4204" s="6"/>
      <c r="L4204" s="6"/>
      <c r="M4204" s="6"/>
      <c r="N4204" s="6"/>
      <c r="O4204" s="6"/>
      <c r="P4204" s="6"/>
      <c r="Q4204" s="6"/>
      <c r="R4204" s="6"/>
      <c r="S4204" s="6"/>
      <c r="T4204" s="6"/>
    </row>
    <row r="4205" spans="4:20" x14ac:dyDescent="0.2">
      <c r="D4205" s="6"/>
      <c r="E4205" s="6"/>
      <c r="F4205" s="6"/>
      <c r="G4205" s="19"/>
      <c r="H4205" s="19"/>
      <c r="I4205" s="19"/>
      <c r="J4205" s="19"/>
      <c r="K4205" s="6"/>
      <c r="L4205" s="6"/>
      <c r="M4205" s="6"/>
      <c r="N4205" s="6"/>
      <c r="O4205" s="6"/>
      <c r="P4205" s="6"/>
      <c r="Q4205" s="6"/>
      <c r="R4205" s="6"/>
      <c r="S4205" s="6"/>
      <c r="T4205" s="6"/>
    </row>
    <row r="4206" spans="4:20" x14ac:dyDescent="0.2">
      <c r="D4206" s="6"/>
      <c r="E4206" s="6"/>
      <c r="F4206" s="6"/>
      <c r="G4206" s="19"/>
      <c r="H4206" s="19"/>
      <c r="I4206" s="19"/>
      <c r="J4206" s="19"/>
      <c r="K4206" s="6"/>
      <c r="L4206" s="6"/>
      <c r="M4206" s="6"/>
      <c r="N4206" s="6"/>
      <c r="O4206" s="6"/>
      <c r="P4206" s="6"/>
      <c r="Q4206" s="6"/>
      <c r="R4206" s="6"/>
      <c r="S4206" s="6"/>
      <c r="T4206" s="6"/>
    </row>
    <row r="4207" spans="4:20" x14ac:dyDescent="0.2">
      <c r="D4207" s="6"/>
      <c r="E4207" s="6"/>
      <c r="F4207" s="6"/>
      <c r="G4207" s="19"/>
      <c r="H4207" s="19"/>
      <c r="I4207" s="19"/>
      <c r="J4207" s="19"/>
      <c r="K4207" s="6"/>
      <c r="L4207" s="6"/>
      <c r="M4207" s="6"/>
      <c r="N4207" s="6"/>
      <c r="O4207" s="6"/>
      <c r="P4207" s="6"/>
      <c r="Q4207" s="6"/>
      <c r="R4207" s="6"/>
      <c r="S4207" s="6"/>
      <c r="T4207" s="6"/>
    </row>
    <row r="4208" spans="4:20" x14ac:dyDescent="0.2">
      <c r="D4208" s="6"/>
      <c r="E4208" s="6"/>
      <c r="F4208" s="6"/>
      <c r="G4208" s="19"/>
      <c r="H4208" s="19"/>
      <c r="I4208" s="19"/>
      <c r="J4208" s="19"/>
      <c r="K4208" s="6"/>
      <c r="L4208" s="6"/>
      <c r="M4208" s="6"/>
      <c r="N4208" s="6"/>
      <c r="O4208" s="6"/>
      <c r="P4208" s="6"/>
      <c r="Q4208" s="6"/>
      <c r="R4208" s="6"/>
      <c r="S4208" s="6"/>
      <c r="T4208" s="6"/>
    </row>
    <row r="4209" spans="4:20" x14ac:dyDescent="0.2">
      <c r="D4209" s="6"/>
      <c r="E4209" s="6"/>
      <c r="F4209" s="6"/>
      <c r="G4209" s="19"/>
      <c r="H4209" s="19"/>
      <c r="I4209" s="19"/>
      <c r="J4209" s="19"/>
      <c r="K4209" s="6"/>
      <c r="L4209" s="6"/>
      <c r="M4209" s="6"/>
      <c r="N4209" s="6"/>
      <c r="O4209" s="6"/>
      <c r="P4209" s="6"/>
      <c r="Q4209" s="6"/>
      <c r="R4209" s="6"/>
      <c r="S4209" s="6"/>
      <c r="T4209" s="6"/>
    </row>
    <row r="4210" spans="4:20" x14ac:dyDescent="0.2">
      <c r="D4210" s="6"/>
      <c r="E4210" s="6"/>
      <c r="F4210" s="6"/>
      <c r="G4210" s="19"/>
      <c r="H4210" s="19"/>
      <c r="I4210" s="19"/>
      <c r="J4210" s="19"/>
      <c r="K4210" s="6"/>
      <c r="L4210" s="6"/>
      <c r="M4210" s="6"/>
      <c r="N4210" s="6"/>
      <c r="O4210" s="6"/>
      <c r="P4210" s="6"/>
      <c r="Q4210" s="6"/>
      <c r="R4210" s="6"/>
      <c r="S4210" s="6"/>
      <c r="T4210" s="6"/>
    </row>
    <row r="4211" spans="4:20" x14ac:dyDescent="0.2">
      <c r="D4211" s="6"/>
      <c r="E4211" s="6"/>
      <c r="F4211" s="6"/>
      <c r="G4211" s="19"/>
      <c r="H4211" s="19"/>
      <c r="I4211" s="19"/>
      <c r="J4211" s="19"/>
      <c r="K4211" s="6"/>
      <c r="L4211" s="6"/>
      <c r="M4211" s="6"/>
      <c r="N4211" s="6"/>
      <c r="O4211" s="6"/>
      <c r="P4211" s="6"/>
      <c r="Q4211" s="6"/>
      <c r="R4211" s="6"/>
      <c r="S4211" s="6"/>
      <c r="T4211" s="6"/>
    </row>
    <row r="4212" spans="4:20" x14ac:dyDescent="0.2">
      <c r="D4212" s="6"/>
      <c r="E4212" s="6"/>
      <c r="F4212" s="6"/>
      <c r="G4212" s="19"/>
      <c r="H4212" s="19"/>
      <c r="I4212" s="19"/>
      <c r="J4212" s="19"/>
      <c r="K4212" s="6"/>
      <c r="L4212" s="6"/>
      <c r="M4212" s="6"/>
      <c r="N4212" s="6"/>
      <c r="O4212" s="6"/>
      <c r="P4212" s="6"/>
      <c r="Q4212" s="6"/>
      <c r="R4212" s="6"/>
      <c r="S4212" s="6"/>
      <c r="T4212" s="6"/>
    </row>
    <row r="4213" spans="4:20" x14ac:dyDescent="0.2">
      <c r="D4213" s="6"/>
      <c r="E4213" s="6"/>
      <c r="F4213" s="6"/>
      <c r="G4213" s="19"/>
      <c r="H4213" s="19"/>
      <c r="I4213" s="19"/>
      <c r="J4213" s="19"/>
      <c r="K4213" s="6"/>
      <c r="L4213" s="6"/>
      <c r="M4213" s="6"/>
      <c r="N4213" s="6"/>
      <c r="O4213" s="6"/>
      <c r="P4213" s="6"/>
      <c r="Q4213" s="6"/>
      <c r="R4213" s="6"/>
      <c r="S4213" s="6"/>
      <c r="T4213" s="6"/>
    </row>
    <row r="4214" spans="4:20" x14ac:dyDescent="0.2">
      <c r="D4214" s="6"/>
      <c r="E4214" s="6"/>
      <c r="F4214" s="6"/>
      <c r="G4214" s="19"/>
      <c r="H4214" s="19"/>
      <c r="I4214" s="19"/>
      <c r="J4214" s="19"/>
      <c r="K4214" s="6"/>
      <c r="L4214" s="6"/>
      <c r="M4214" s="6"/>
      <c r="N4214" s="6"/>
      <c r="O4214" s="6"/>
      <c r="P4214" s="6"/>
      <c r="Q4214" s="6"/>
      <c r="R4214" s="6"/>
      <c r="S4214" s="6"/>
      <c r="T4214" s="6"/>
    </row>
    <row r="4215" spans="4:20" x14ac:dyDescent="0.2">
      <c r="D4215" s="6"/>
      <c r="E4215" s="6"/>
      <c r="F4215" s="6"/>
      <c r="G4215" s="19"/>
      <c r="H4215" s="19"/>
      <c r="I4215" s="19"/>
      <c r="J4215" s="19"/>
      <c r="K4215" s="6"/>
      <c r="L4215" s="6"/>
      <c r="M4215" s="6"/>
      <c r="N4215" s="6"/>
      <c r="O4215" s="6"/>
      <c r="P4215" s="6"/>
      <c r="Q4215" s="6"/>
      <c r="R4215" s="6"/>
      <c r="S4215" s="6"/>
      <c r="T4215" s="6"/>
    </row>
    <row r="4216" spans="4:20" x14ac:dyDescent="0.2">
      <c r="D4216" s="6"/>
      <c r="E4216" s="6"/>
      <c r="F4216" s="6"/>
      <c r="G4216" s="19"/>
      <c r="H4216" s="19"/>
      <c r="I4216" s="19"/>
      <c r="J4216" s="19"/>
      <c r="K4216" s="6"/>
      <c r="L4216" s="6"/>
      <c r="M4216" s="6"/>
      <c r="N4216" s="6"/>
      <c r="O4216" s="6"/>
      <c r="P4216" s="6"/>
      <c r="Q4216" s="6"/>
      <c r="R4216" s="6"/>
      <c r="S4216" s="6"/>
      <c r="T4216" s="6"/>
    </row>
    <row r="4217" spans="4:20" x14ac:dyDescent="0.2">
      <c r="D4217" s="6"/>
      <c r="E4217" s="6"/>
      <c r="F4217" s="6"/>
      <c r="G4217" s="19"/>
      <c r="H4217" s="19"/>
      <c r="I4217" s="19"/>
      <c r="J4217" s="19"/>
      <c r="K4217" s="6"/>
      <c r="L4217" s="6"/>
      <c r="M4217" s="6"/>
      <c r="N4217" s="6"/>
      <c r="O4217" s="6"/>
      <c r="P4217" s="6"/>
      <c r="Q4217" s="6"/>
      <c r="R4217" s="6"/>
      <c r="S4217" s="6"/>
      <c r="T4217" s="6"/>
    </row>
    <row r="4218" spans="4:20" x14ac:dyDescent="0.2">
      <c r="D4218" s="6"/>
      <c r="E4218" s="6"/>
      <c r="F4218" s="6"/>
      <c r="G4218" s="19"/>
      <c r="H4218" s="19"/>
      <c r="I4218" s="19"/>
      <c r="J4218" s="19"/>
      <c r="K4218" s="6"/>
      <c r="L4218" s="6"/>
      <c r="M4218" s="6"/>
      <c r="N4218" s="6"/>
      <c r="O4218" s="6"/>
      <c r="P4218" s="6"/>
      <c r="Q4218" s="6"/>
      <c r="R4218" s="6"/>
      <c r="S4218" s="6"/>
      <c r="T4218" s="6"/>
    </row>
    <row r="4219" spans="4:20" x14ac:dyDescent="0.2">
      <c r="D4219" s="6"/>
      <c r="E4219" s="6"/>
      <c r="F4219" s="6"/>
      <c r="G4219" s="19"/>
      <c r="H4219" s="19"/>
      <c r="I4219" s="19"/>
      <c r="J4219" s="19"/>
      <c r="K4219" s="6"/>
      <c r="L4219" s="6"/>
      <c r="M4219" s="6"/>
      <c r="N4219" s="6"/>
      <c r="O4219" s="6"/>
      <c r="P4219" s="6"/>
      <c r="Q4219" s="6"/>
      <c r="R4219" s="6"/>
      <c r="S4219" s="6"/>
      <c r="T4219" s="6"/>
    </row>
    <row r="4220" spans="4:20" x14ac:dyDescent="0.2">
      <c r="D4220" s="6"/>
      <c r="E4220" s="6"/>
      <c r="F4220" s="6"/>
      <c r="G4220" s="19"/>
      <c r="H4220" s="19"/>
      <c r="I4220" s="19"/>
      <c r="J4220" s="19"/>
      <c r="K4220" s="6"/>
      <c r="L4220" s="6"/>
      <c r="M4220" s="6"/>
      <c r="N4220" s="6"/>
      <c r="O4220" s="6"/>
      <c r="P4220" s="6"/>
      <c r="Q4220" s="6"/>
      <c r="R4220" s="6"/>
      <c r="S4220" s="6"/>
      <c r="T4220" s="6"/>
    </row>
    <row r="4221" spans="4:20" x14ac:dyDescent="0.2">
      <c r="D4221" s="6"/>
      <c r="E4221" s="6"/>
      <c r="F4221" s="6"/>
      <c r="G4221" s="19"/>
      <c r="H4221" s="19"/>
      <c r="I4221" s="19"/>
      <c r="J4221" s="19"/>
      <c r="K4221" s="6"/>
      <c r="L4221" s="6"/>
      <c r="M4221" s="6"/>
      <c r="N4221" s="6"/>
      <c r="O4221" s="6"/>
      <c r="P4221" s="6"/>
      <c r="Q4221" s="6"/>
      <c r="R4221" s="6"/>
      <c r="S4221" s="6"/>
      <c r="T4221" s="6"/>
    </row>
    <row r="4222" spans="4:20" x14ac:dyDescent="0.2">
      <c r="D4222" s="6"/>
      <c r="E4222" s="6"/>
      <c r="F4222" s="6"/>
      <c r="G4222" s="19"/>
      <c r="H4222" s="19"/>
      <c r="I4222" s="19"/>
      <c r="J4222" s="19"/>
      <c r="K4222" s="6"/>
      <c r="L4222" s="6"/>
      <c r="M4222" s="6"/>
      <c r="N4222" s="6"/>
      <c r="O4222" s="6"/>
      <c r="P4222" s="6"/>
      <c r="Q4222" s="6"/>
      <c r="R4222" s="6"/>
      <c r="S4222" s="6"/>
      <c r="T4222" s="6"/>
    </row>
    <row r="4223" spans="4:20" x14ac:dyDescent="0.2">
      <c r="D4223" s="6"/>
      <c r="E4223" s="6"/>
      <c r="F4223" s="6"/>
      <c r="G4223" s="19"/>
      <c r="H4223" s="19"/>
      <c r="I4223" s="19"/>
      <c r="J4223" s="19"/>
      <c r="K4223" s="6"/>
      <c r="L4223" s="6"/>
      <c r="M4223" s="6"/>
      <c r="N4223" s="6"/>
      <c r="O4223" s="6"/>
      <c r="P4223" s="6"/>
      <c r="Q4223" s="6"/>
      <c r="R4223" s="6"/>
      <c r="S4223" s="6"/>
      <c r="T4223" s="6"/>
    </row>
    <row r="4224" spans="4:20" x14ac:dyDescent="0.2">
      <c r="D4224" s="6"/>
      <c r="E4224" s="6"/>
      <c r="F4224" s="6"/>
      <c r="G4224" s="19"/>
      <c r="H4224" s="19"/>
      <c r="I4224" s="19"/>
      <c r="J4224" s="19"/>
      <c r="K4224" s="6"/>
      <c r="L4224" s="6"/>
      <c r="M4224" s="6"/>
      <c r="N4224" s="6"/>
      <c r="O4224" s="6"/>
      <c r="P4224" s="6"/>
      <c r="Q4224" s="6"/>
      <c r="R4224" s="6"/>
      <c r="S4224" s="6"/>
      <c r="T4224" s="6"/>
    </row>
    <row r="4225" spans="4:20" x14ac:dyDescent="0.2">
      <c r="D4225" s="6"/>
      <c r="E4225" s="6"/>
      <c r="F4225" s="6"/>
      <c r="G4225" s="19"/>
      <c r="H4225" s="19"/>
      <c r="I4225" s="19"/>
      <c r="J4225" s="19"/>
      <c r="K4225" s="6"/>
      <c r="L4225" s="6"/>
      <c r="M4225" s="6"/>
      <c r="N4225" s="6"/>
      <c r="O4225" s="6"/>
      <c r="P4225" s="6"/>
      <c r="Q4225" s="6"/>
      <c r="R4225" s="6"/>
      <c r="S4225" s="6"/>
      <c r="T4225" s="6"/>
    </row>
    <row r="4226" spans="4:20" x14ac:dyDescent="0.2">
      <c r="D4226" s="6"/>
      <c r="E4226" s="6"/>
      <c r="F4226" s="6"/>
      <c r="G4226" s="19"/>
      <c r="H4226" s="19"/>
      <c r="I4226" s="19"/>
      <c r="J4226" s="19"/>
      <c r="K4226" s="6"/>
      <c r="L4226" s="6"/>
      <c r="M4226" s="6"/>
      <c r="N4226" s="6"/>
      <c r="O4226" s="6"/>
      <c r="P4226" s="6"/>
      <c r="Q4226" s="6"/>
      <c r="R4226" s="6"/>
      <c r="S4226" s="6"/>
      <c r="T4226" s="6"/>
    </row>
    <row r="4227" spans="4:20" x14ac:dyDescent="0.2">
      <c r="D4227" s="6"/>
      <c r="E4227" s="6"/>
      <c r="F4227" s="6"/>
      <c r="G4227" s="19"/>
      <c r="H4227" s="19"/>
      <c r="I4227" s="19"/>
      <c r="J4227" s="19"/>
      <c r="K4227" s="6"/>
      <c r="L4227" s="6"/>
      <c r="M4227" s="6"/>
      <c r="N4227" s="6"/>
      <c r="O4227" s="6"/>
      <c r="P4227" s="6"/>
      <c r="Q4227" s="6"/>
      <c r="R4227" s="6"/>
      <c r="S4227" s="6"/>
      <c r="T4227" s="6"/>
    </row>
    <row r="4228" spans="4:20" x14ac:dyDescent="0.2">
      <c r="D4228" s="6"/>
      <c r="E4228" s="6"/>
      <c r="F4228" s="6"/>
      <c r="G4228" s="19"/>
      <c r="H4228" s="19"/>
      <c r="I4228" s="19"/>
      <c r="J4228" s="19"/>
      <c r="K4228" s="6"/>
      <c r="L4228" s="6"/>
      <c r="M4228" s="6"/>
      <c r="N4228" s="6"/>
      <c r="O4228" s="6"/>
      <c r="P4228" s="6"/>
      <c r="Q4228" s="6"/>
      <c r="R4228" s="6"/>
      <c r="S4228" s="6"/>
      <c r="T4228" s="6"/>
    </row>
    <row r="4229" spans="4:20" x14ac:dyDescent="0.2">
      <c r="D4229" s="6"/>
      <c r="E4229" s="6"/>
      <c r="F4229" s="6"/>
      <c r="G4229" s="19"/>
      <c r="H4229" s="19"/>
      <c r="I4229" s="19"/>
      <c r="J4229" s="19"/>
      <c r="K4229" s="6"/>
      <c r="L4229" s="6"/>
      <c r="M4229" s="6"/>
      <c r="N4229" s="6"/>
      <c r="O4229" s="6"/>
      <c r="P4229" s="6"/>
      <c r="Q4229" s="6"/>
      <c r="R4229" s="6"/>
      <c r="S4229" s="6"/>
      <c r="T4229" s="6"/>
    </row>
    <row r="4230" spans="4:20" x14ac:dyDescent="0.2">
      <c r="D4230" s="6"/>
      <c r="E4230" s="6"/>
      <c r="F4230" s="6"/>
      <c r="G4230" s="19"/>
      <c r="H4230" s="19"/>
      <c r="I4230" s="19"/>
      <c r="J4230" s="19"/>
      <c r="K4230" s="6"/>
      <c r="L4230" s="6"/>
      <c r="M4230" s="6"/>
      <c r="N4230" s="6"/>
      <c r="O4230" s="6"/>
      <c r="P4230" s="6"/>
      <c r="Q4230" s="6"/>
      <c r="R4230" s="6"/>
      <c r="S4230" s="6"/>
      <c r="T4230" s="6"/>
    </row>
    <row r="4231" spans="4:20" x14ac:dyDescent="0.2">
      <c r="D4231" s="6"/>
      <c r="E4231" s="6"/>
      <c r="F4231" s="6"/>
      <c r="G4231" s="19"/>
      <c r="H4231" s="19"/>
      <c r="I4231" s="19"/>
      <c r="J4231" s="19"/>
      <c r="K4231" s="6"/>
      <c r="L4231" s="6"/>
      <c r="M4231" s="6"/>
      <c r="N4231" s="6"/>
      <c r="O4231" s="6"/>
      <c r="P4231" s="6"/>
      <c r="Q4231" s="6"/>
      <c r="R4231" s="6"/>
      <c r="S4231" s="6"/>
      <c r="T4231" s="6"/>
    </row>
    <row r="4232" spans="4:20" x14ac:dyDescent="0.2">
      <c r="D4232" s="6"/>
      <c r="E4232" s="6"/>
      <c r="F4232" s="6"/>
      <c r="G4232" s="19"/>
      <c r="H4232" s="19"/>
      <c r="I4232" s="19"/>
      <c r="J4232" s="19"/>
      <c r="K4232" s="6"/>
      <c r="L4232" s="6"/>
      <c r="M4232" s="6"/>
      <c r="N4232" s="6"/>
      <c r="O4232" s="6"/>
      <c r="P4232" s="6"/>
      <c r="Q4232" s="6"/>
      <c r="R4232" s="6"/>
      <c r="S4232" s="6"/>
      <c r="T4232" s="6"/>
    </row>
    <row r="4233" spans="4:20" x14ac:dyDescent="0.2">
      <c r="D4233" s="6"/>
      <c r="E4233" s="6"/>
      <c r="F4233" s="6"/>
      <c r="G4233" s="19"/>
      <c r="H4233" s="19"/>
      <c r="I4233" s="19"/>
      <c r="J4233" s="19"/>
      <c r="K4233" s="6"/>
      <c r="L4233" s="6"/>
      <c r="M4233" s="6"/>
      <c r="N4233" s="6"/>
      <c r="O4233" s="6"/>
      <c r="P4233" s="6"/>
      <c r="Q4233" s="6"/>
      <c r="R4233" s="6"/>
      <c r="S4233" s="6"/>
      <c r="T4233" s="6"/>
    </row>
    <row r="4234" spans="4:20" x14ac:dyDescent="0.2">
      <c r="D4234" s="6"/>
      <c r="E4234" s="6"/>
      <c r="F4234" s="6"/>
      <c r="G4234" s="19"/>
      <c r="H4234" s="19"/>
      <c r="I4234" s="19"/>
      <c r="J4234" s="19"/>
      <c r="K4234" s="6"/>
      <c r="L4234" s="6"/>
      <c r="M4234" s="6"/>
      <c r="N4234" s="6"/>
      <c r="O4234" s="6"/>
      <c r="P4234" s="6"/>
      <c r="Q4234" s="6"/>
      <c r="R4234" s="6"/>
      <c r="S4234" s="6"/>
      <c r="T4234" s="6"/>
    </row>
    <row r="4235" spans="4:20" x14ac:dyDescent="0.2">
      <c r="D4235" s="6"/>
      <c r="E4235" s="6"/>
      <c r="F4235" s="6"/>
      <c r="G4235" s="19"/>
      <c r="H4235" s="19"/>
      <c r="I4235" s="19"/>
      <c r="J4235" s="19"/>
      <c r="K4235" s="6"/>
      <c r="L4235" s="6"/>
      <c r="M4235" s="6"/>
      <c r="N4235" s="6"/>
      <c r="O4235" s="6"/>
      <c r="P4235" s="6"/>
      <c r="Q4235" s="6"/>
      <c r="R4235" s="6"/>
      <c r="S4235" s="6"/>
      <c r="T4235" s="6"/>
    </row>
    <row r="4236" spans="4:20" x14ac:dyDescent="0.2">
      <c r="D4236" s="6"/>
      <c r="E4236" s="6"/>
      <c r="F4236" s="6"/>
      <c r="G4236" s="19"/>
      <c r="H4236" s="19"/>
      <c r="I4236" s="19"/>
      <c r="J4236" s="19"/>
      <c r="K4236" s="6"/>
      <c r="L4236" s="6"/>
      <c r="M4236" s="6"/>
      <c r="N4236" s="6"/>
      <c r="O4236" s="6"/>
      <c r="P4236" s="6"/>
      <c r="Q4236" s="6"/>
      <c r="R4236" s="6"/>
      <c r="S4236" s="6"/>
      <c r="T4236" s="6"/>
    </row>
    <row r="4237" spans="4:20" x14ac:dyDescent="0.2">
      <c r="D4237" s="6"/>
      <c r="E4237" s="6"/>
      <c r="F4237" s="6"/>
      <c r="G4237" s="19"/>
      <c r="H4237" s="19"/>
      <c r="I4237" s="19"/>
      <c r="J4237" s="19"/>
      <c r="K4237" s="6"/>
      <c r="L4237" s="6"/>
      <c r="M4237" s="6"/>
      <c r="N4237" s="6"/>
      <c r="O4237" s="6"/>
      <c r="P4237" s="6"/>
      <c r="Q4237" s="6"/>
      <c r="R4237" s="6"/>
      <c r="S4237" s="6"/>
      <c r="T4237" s="6"/>
    </row>
    <row r="4238" spans="4:20" x14ac:dyDescent="0.2">
      <c r="D4238" s="6"/>
      <c r="E4238" s="6"/>
      <c r="F4238" s="6"/>
      <c r="G4238" s="19"/>
      <c r="H4238" s="19"/>
      <c r="I4238" s="19"/>
      <c r="J4238" s="19"/>
      <c r="K4238" s="6"/>
      <c r="L4238" s="6"/>
      <c r="M4238" s="6"/>
      <c r="N4238" s="6"/>
      <c r="O4238" s="6"/>
      <c r="P4238" s="6"/>
      <c r="Q4238" s="6"/>
      <c r="R4238" s="6"/>
      <c r="S4238" s="6"/>
      <c r="T4238" s="6"/>
    </row>
    <row r="4239" spans="4:20" x14ac:dyDescent="0.2">
      <c r="D4239" s="6"/>
      <c r="E4239" s="6"/>
      <c r="F4239" s="6"/>
      <c r="G4239" s="19"/>
      <c r="H4239" s="19"/>
      <c r="I4239" s="19"/>
      <c r="J4239" s="19"/>
      <c r="K4239" s="6"/>
      <c r="L4239" s="6"/>
      <c r="M4239" s="6"/>
      <c r="N4239" s="6"/>
      <c r="O4239" s="6"/>
      <c r="P4239" s="6"/>
      <c r="Q4239" s="6"/>
      <c r="R4239" s="6"/>
      <c r="S4239" s="6"/>
      <c r="T4239" s="6"/>
    </row>
    <row r="4240" spans="4:20" x14ac:dyDescent="0.2">
      <c r="D4240" s="6"/>
      <c r="E4240" s="6"/>
      <c r="F4240" s="6"/>
      <c r="G4240" s="19"/>
      <c r="H4240" s="19"/>
      <c r="I4240" s="19"/>
      <c r="J4240" s="19"/>
      <c r="K4240" s="6"/>
      <c r="L4240" s="6"/>
      <c r="M4240" s="6"/>
      <c r="N4240" s="6"/>
      <c r="O4240" s="6"/>
      <c r="P4240" s="6"/>
      <c r="Q4240" s="6"/>
      <c r="R4240" s="6"/>
      <c r="S4240" s="6"/>
      <c r="T4240" s="6"/>
    </row>
    <row r="4241" spans="4:20" x14ac:dyDescent="0.2">
      <c r="D4241" s="6"/>
      <c r="E4241" s="6"/>
      <c r="F4241" s="6"/>
      <c r="G4241" s="19"/>
      <c r="H4241" s="19"/>
      <c r="I4241" s="19"/>
      <c r="J4241" s="19"/>
      <c r="K4241" s="6"/>
      <c r="L4241" s="6"/>
      <c r="M4241" s="6"/>
      <c r="N4241" s="6"/>
      <c r="O4241" s="6"/>
      <c r="P4241" s="6"/>
      <c r="Q4241" s="6"/>
      <c r="R4241" s="6"/>
      <c r="S4241" s="6"/>
      <c r="T4241" s="6"/>
    </row>
    <row r="4242" spans="4:20" x14ac:dyDescent="0.2">
      <c r="D4242" s="6"/>
      <c r="E4242" s="6"/>
      <c r="F4242" s="6"/>
      <c r="G4242" s="19"/>
      <c r="H4242" s="19"/>
      <c r="I4242" s="19"/>
      <c r="J4242" s="19"/>
      <c r="K4242" s="6"/>
      <c r="L4242" s="6"/>
      <c r="M4242" s="6"/>
      <c r="N4242" s="6"/>
      <c r="O4242" s="6"/>
      <c r="P4242" s="6"/>
      <c r="Q4242" s="6"/>
      <c r="R4242" s="6"/>
      <c r="S4242" s="6"/>
      <c r="T4242" s="6"/>
    </row>
    <row r="4243" spans="4:20" x14ac:dyDescent="0.2">
      <c r="D4243" s="6"/>
      <c r="E4243" s="6"/>
      <c r="F4243" s="6"/>
      <c r="G4243" s="19"/>
      <c r="H4243" s="19"/>
      <c r="I4243" s="19"/>
      <c r="J4243" s="19"/>
      <c r="K4243" s="6"/>
      <c r="L4243" s="6"/>
      <c r="M4243" s="6"/>
      <c r="N4243" s="6"/>
      <c r="O4243" s="6"/>
      <c r="P4243" s="6"/>
      <c r="Q4243" s="6"/>
      <c r="R4243" s="6"/>
      <c r="S4243" s="6"/>
      <c r="T4243" s="6"/>
    </row>
    <row r="4244" spans="4:20" x14ac:dyDescent="0.2">
      <c r="D4244" s="6"/>
      <c r="E4244" s="6"/>
      <c r="F4244" s="6"/>
      <c r="G4244" s="19"/>
      <c r="H4244" s="19"/>
      <c r="I4244" s="19"/>
      <c r="J4244" s="19"/>
      <c r="K4244" s="6"/>
      <c r="L4244" s="6"/>
      <c r="M4244" s="6"/>
      <c r="N4244" s="6"/>
      <c r="O4244" s="6"/>
      <c r="P4244" s="6"/>
      <c r="Q4244" s="6"/>
      <c r="R4244" s="6"/>
      <c r="S4244" s="6"/>
      <c r="T4244" s="6"/>
    </row>
    <row r="4245" spans="4:20" x14ac:dyDescent="0.2">
      <c r="D4245" s="6"/>
      <c r="E4245" s="6"/>
      <c r="F4245" s="6"/>
      <c r="G4245" s="19"/>
      <c r="H4245" s="19"/>
      <c r="I4245" s="19"/>
      <c r="J4245" s="19"/>
      <c r="K4245" s="6"/>
      <c r="L4245" s="6"/>
      <c r="M4245" s="6"/>
      <c r="N4245" s="6"/>
      <c r="O4245" s="6"/>
      <c r="P4245" s="6"/>
      <c r="Q4245" s="6"/>
      <c r="R4245" s="6"/>
      <c r="S4245" s="6"/>
      <c r="T4245" s="6"/>
    </row>
    <row r="4246" spans="4:20" x14ac:dyDescent="0.2">
      <c r="D4246" s="6"/>
      <c r="E4246" s="6"/>
      <c r="F4246" s="6"/>
      <c r="G4246" s="19"/>
      <c r="H4246" s="19"/>
      <c r="I4246" s="19"/>
      <c r="J4246" s="19"/>
      <c r="K4246" s="6"/>
      <c r="L4246" s="6"/>
      <c r="M4246" s="6"/>
      <c r="N4246" s="6"/>
      <c r="O4246" s="6"/>
      <c r="P4246" s="6"/>
      <c r="Q4246" s="6"/>
      <c r="R4246" s="6"/>
      <c r="S4246" s="6"/>
      <c r="T4246" s="6"/>
    </row>
    <row r="4247" spans="4:20" x14ac:dyDescent="0.2">
      <c r="D4247" s="6"/>
      <c r="E4247" s="6"/>
      <c r="F4247" s="6"/>
      <c r="G4247" s="19"/>
      <c r="H4247" s="19"/>
      <c r="I4247" s="19"/>
      <c r="J4247" s="19"/>
      <c r="K4247" s="6"/>
      <c r="L4247" s="6"/>
      <c r="M4247" s="6"/>
      <c r="N4247" s="6"/>
      <c r="O4247" s="6"/>
      <c r="P4247" s="6"/>
      <c r="Q4247" s="6"/>
      <c r="R4247" s="6"/>
      <c r="S4247" s="6"/>
      <c r="T4247" s="6"/>
    </row>
    <row r="4248" spans="4:20" x14ac:dyDescent="0.2">
      <c r="D4248" s="6"/>
      <c r="E4248" s="6"/>
      <c r="F4248" s="6"/>
      <c r="G4248" s="19"/>
      <c r="H4248" s="19"/>
      <c r="I4248" s="19"/>
      <c r="J4248" s="19"/>
      <c r="K4248" s="6"/>
      <c r="L4248" s="6"/>
      <c r="M4248" s="6"/>
      <c r="N4248" s="6"/>
      <c r="O4248" s="6"/>
      <c r="P4248" s="6"/>
      <c r="Q4248" s="6"/>
      <c r="R4248" s="6"/>
      <c r="S4248" s="6"/>
      <c r="T4248" s="6"/>
    </row>
    <row r="4249" spans="4:20" x14ac:dyDescent="0.2">
      <c r="D4249" s="6"/>
      <c r="E4249" s="6"/>
      <c r="F4249" s="6"/>
      <c r="G4249" s="19"/>
      <c r="H4249" s="19"/>
      <c r="I4249" s="19"/>
      <c r="J4249" s="19"/>
      <c r="K4249" s="6"/>
      <c r="L4249" s="6"/>
      <c r="M4249" s="6"/>
      <c r="N4249" s="6"/>
      <c r="O4249" s="6"/>
      <c r="P4249" s="6"/>
      <c r="Q4249" s="6"/>
      <c r="R4249" s="6"/>
      <c r="S4249" s="6"/>
      <c r="T4249" s="6"/>
    </row>
    <row r="4250" spans="4:20" x14ac:dyDescent="0.2">
      <c r="D4250" s="6"/>
      <c r="E4250" s="6"/>
      <c r="F4250" s="6"/>
      <c r="G4250" s="19"/>
      <c r="H4250" s="19"/>
      <c r="I4250" s="19"/>
      <c r="J4250" s="19"/>
      <c r="K4250" s="6"/>
      <c r="L4250" s="6"/>
      <c r="M4250" s="6"/>
      <c r="N4250" s="6"/>
      <c r="O4250" s="6"/>
      <c r="P4250" s="6"/>
      <c r="Q4250" s="6"/>
      <c r="R4250" s="6"/>
      <c r="S4250" s="6"/>
      <c r="T4250" s="6"/>
    </row>
    <row r="4251" spans="4:20" x14ac:dyDescent="0.2">
      <c r="D4251" s="6"/>
      <c r="E4251" s="6"/>
      <c r="F4251" s="6"/>
      <c r="G4251" s="19"/>
      <c r="H4251" s="19"/>
      <c r="I4251" s="19"/>
      <c r="J4251" s="19"/>
      <c r="K4251" s="6"/>
      <c r="L4251" s="6"/>
      <c r="M4251" s="6"/>
      <c r="N4251" s="6"/>
      <c r="O4251" s="6"/>
      <c r="P4251" s="6"/>
      <c r="Q4251" s="6"/>
      <c r="R4251" s="6"/>
      <c r="S4251" s="6"/>
      <c r="T4251" s="6"/>
    </row>
    <row r="4252" spans="4:20" x14ac:dyDescent="0.2">
      <c r="D4252" s="6"/>
      <c r="E4252" s="6"/>
      <c r="F4252" s="6"/>
      <c r="G4252" s="19"/>
      <c r="H4252" s="19"/>
      <c r="I4252" s="19"/>
      <c r="J4252" s="19"/>
      <c r="K4252" s="6"/>
      <c r="L4252" s="6"/>
      <c r="M4252" s="6"/>
      <c r="N4252" s="6"/>
      <c r="O4252" s="6"/>
      <c r="P4252" s="6"/>
      <c r="Q4252" s="6"/>
      <c r="R4252" s="6"/>
      <c r="S4252" s="6"/>
      <c r="T4252" s="6"/>
    </row>
    <row r="4253" spans="4:20" x14ac:dyDescent="0.2">
      <c r="D4253" s="6"/>
      <c r="E4253" s="6"/>
      <c r="F4253" s="6"/>
      <c r="G4253" s="19"/>
      <c r="H4253" s="19"/>
      <c r="I4253" s="19"/>
      <c r="J4253" s="19"/>
      <c r="K4253" s="6"/>
      <c r="L4253" s="6"/>
      <c r="M4253" s="6"/>
      <c r="N4253" s="6"/>
      <c r="O4253" s="6"/>
      <c r="P4253" s="6"/>
      <c r="Q4253" s="6"/>
      <c r="R4253" s="6"/>
      <c r="S4253" s="6"/>
      <c r="T4253" s="6"/>
    </row>
    <row r="4254" spans="4:20" x14ac:dyDescent="0.2">
      <c r="D4254" s="6"/>
      <c r="E4254" s="6"/>
      <c r="F4254" s="6"/>
      <c r="G4254" s="19"/>
      <c r="H4254" s="19"/>
      <c r="I4254" s="19"/>
      <c r="J4254" s="19"/>
      <c r="K4254" s="6"/>
      <c r="L4254" s="6"/>
      <c r="M4254" s="6"/>
      <c r="N4254" s="6"/>
      <c r="O4254" s="6"/>
      <c r="P4254" s="6"/>
      <c r="Q4254" s="6"/>
      <c r="R4254" s="6"/>
      <c r="S4254" s="6"/>
      <c r="T4254" s="6"/>
    </row>
    <row r="4255" spans="4:20" x14ac:dyDescent="0.2">
      <c r="D4255" s="6"/>
      <c r="E4255" s="6"/>
      <c r="F4255" s="6"/>
      <c r="G4255" s="19"/>
      <c r="H4255" s="19"/>
      <c r="I4255" s="19"/>
      <c r="J4255" s="19"/>
      <c r="K4255" s="6"/>
      <c r="L4255" s="6"/>
      <c r="M4255" s="6"/>
      <c r="N4255" s="6"/>
      <c r="O4255" s="6"/>
      <c r="P4255" s="6"/>
      <c r="Q4255" s="6"/>
      <c r="R4255" s="6"/>
      <c r="S4255" s="6"/>
      <c r="T4255" s="6"/>
    </row>
    <row r="4256" spans="4:20" x14ac:dyDescent="0.2">
      <c r="D4256" s="6"/>
      <c r="E4256" s="6"/>
      <c r="F4256" s="6"/>
      <c r="G4256" s="19"/>
      <c r="H4256" s="19"/>
      <c r="I4256" s="19"/>
      <c r="J4256" s="19"/>
      <c r="K4256" s="6"/>
      <c r="L4256" s="6"/>
      <c r="M4256" s="6"/>
      <c r="N4256" s="6"/>
      <c r="O4256" s="6"/>
      <c r="P4256" s="6"/>
      <c r="Q4256" s="6"/>
      <c r="R4256" s="6"/>
      <c r="S4256" s="6"/>
      <c r="T4256" s="6"/>
    </row>
    <row r="4257" spans="4:20" x14ac:dyDescent="0.2">
      <c r="D4257" s="6"/>
      <c r="E4257" s="6"/>
      <c r="F4257" s="6"/>
      <c r="G4257" s="19"/>
      <c r="H4257" s="19"/>
      <c r="I4257" s="19"/>
      <c r="J4257" s="19"/>
      <c r="K4257" s="6"/>
      <c r="L4257" s="6"/>
      <c r="M4257" s="6"/>
      <c r="N4257" s="6"/>
      <c r="O4257" s="6"/>
      <c r="P4257" s="6"/>
      <c r="Q4257" s="6"/>
      <c r="R4257" s="6"/>
      <c r="S4257" s="6"/>
      <c r="T4257" s="6"/>
    </row>
    <row r="4258" spans="4:20" x14ac:dyDescent="0.2">
      <c r="D4258" s="6"/>
      <c r="E4258" s="6"/>
      <c r="F4258" s="6"/>
      <c r="G4258" s="19"/>
      <c r="H4258" s="19"/>
      <c r="I4258" s="19"/>
      <c r="J4258" s="19"/>
      <c r="K4258" s="6"/>
      <c r="L4258" s="6"/>
      <c r="M4258" s="6"/>
      <c r="N4258" s="6"/>
      <c r="O4258" s="6"/>
      <c r="P4258" s="6"/>
      <c r="Q4258" s="6"/>
      <c r="R4258" s="6"/>
      <c r="S4258" s="6"/>
      <c r="T4258" s="6"/>
    </row>
    <row r="4259" spans="4:20" x14ac:dyDescent="0.2">
      <c r="D4259" s="6"/>
      <c r="E4259" s="6"/>
      <c r="F4259" s="6"/>
      <c r="G4259" s="19"/>
      <c r="H4259" s="19"/>
      <c r="I4259" s="19"/>
      <c r="J4259" s="19"/>
      <c r="K4259" s="6"/>
      <c r="L4259" s="6"/>
      <c r="M4259" s="6"/>
      <c r="N4259" s="6"/>
      <c r="O4259" s="6"/>
      <c r="P4259" s="6"/>
      <c r="Q4259" s="6"/>
      <c r="R4259" s="6"/>
      <c r="S4259" s="6"/>
      <c r="T4259" s="6"/>
    </row>
    <row r="4260" spans="4:20" x14ac:dyDescent="0.2">
      <c r="D4260" s="6"/>
      <c r="E4260" s="6"/>
      <c r="F4260" s="6"/>
      <c r="G4260" s="19"/>
      <c r="H4260" s="19"/>
      <c r="I4260" s="19"/>
      <c r="J4260" s="19"/>
      <c r="K4260" s="6"/>
      <c r="L4260" s="6"/>
      <c r="M4260" s="6"/>
      <c r="N4260" s="6"/>
      <c r="O4260" s="6"/>
      <c r="P4260" s="6"/>
      <c r="Q4260" s="6"/>
      <c r="R4260" s="6"/>
      <c r="S4260" s="6"/>
      <c r="T4260" s="6"/>
    </row>
    <row r="4261" spans="4:20" x14ac:dyDescent="0.2">
      <c r="D4261" s="6"/>
      <c r="E4261" s="6"/>
      <c r="F4261" s="6"/>
      <c r="G4261" s="19"/>
      <c r="H4261" s="19"/>
      <c r="I4261" s="19"/>
      <c r="J4261" s="19"/>
      <c r="K4261" s="6"/>
      <c r="L4261" s="6"/>
      <c r="M4261" s="6"/>
      <c r="N4261" s="6"/>
      <c r="O4261" s="6"/>
      <c r="P4261" s="6"/>
      <c r="Q4261" s="6"/>
      <c r="R4261" s="6"/>
      <c r="S4261" s="6"/>
      <c r="T4261" s="6"/>
    </row>
    <row r="4262" spans="4:20" x14ac:dyDescent="0.2">
      <c r="D4262" s="6"/>
      <c r="E4262" s="6"/>
      <c r="F4262" s="6"/>
      <c r="G4262" s="19"/>
      <c r="H4262" s="19"/>
      <c r="I4262" s="19"/>
      <c r="J4262" s="19"/>
      <c r="K4262" s="6"/>
      <c r="L4262" s="6"/>
      <c r="M4262" s="6"/>
      <c r="N4262" s="6"/>
      <c r="O4262" s="6"/>
      <c r="P4262" s="6"/>
      <c r="Q4262" s="6"/>
      <c r="R4262" s="6"/>
      <c r="S4262" s="6"/>
      <c r="T4262" s="6"/>
    </row>
    <row r="4263" spans="4:20" x14ac:dyDescent="0.2">
      <c r="D4263" s="6"/>
      <c r="E4263" s="6"/>
      <c r="F4263" s="6"/>
      <c r="G4263" s="19"/>
      <c r="H4263" s="19"/>
      <c r="I4263" s="19"/>
      <c r="J4263" s="19"/>
      <c r="K4263" s="6"/>
      <c r="L4263" s="6"/>
      <c r="M4263" s="6"/>
      <c r="N4263" s="6"/>
      <c r="O4263" s="6"/>
      <c r="P4263" s="6"/>
      <c r="Q4263" s="6"/>
      <c r="R4263" s="6"/>
      <c r="S4263" s="6"/>
      <c r="T4263" s="6"/>
    </row>
    <row r="4264" spans="4:20" x14ac:dyDescent="0.2">
      <c r="D4264" s="6"/>
      <c r="E4264" s="6"/>
      <c r="F4264" s="6"/>
      <c r="G4264" s="19"/>
      <c r="H4264" s="19"/>
      <c r="I4264" s="19"/>
      <c r="J4264" s="19"/>
      <c r="K4264" s="6"/>
      <c r="L4264" s="6"/>
      <c r="M4264" s="6"/>
      <c r="N4264" s="6"/>
      <c r="O4264" s="6"/>
      <c r="P4264" s="6"/>
      <c r="Q4264" s="6"/>
      <c r="R4264" s="6"/>
      <c r="S4264" s="6"/>
      <c r="T4264" s="6"/>
    </row>
    <row r="4265" spans="4:20" x14ac:dyDescent="0.2">
      <c r="D4265" s="6"/>
      <c r="E4265" s="6"/>
      <c r="F4265" s="6"/>
      <c r="G4265" s="19"/>
      <c r="H4265" s="19"/>
      <c r="I4265" s="19"/>
      <c r="J4265" s="19"/>
      <c r="K4265" s="6"/>
      <c r="L4265" s="6"/>
      <c r="M4265" s="6"/>
      <c r="N4265" s="6"/>
      <c r="O4265" s="6"/>
      <c r="P4265" s="6"/>
      <c r="Q4265" s="6"/>
      <c r="R4265" s="6"/>
      <c r="S4265" s="6"/>
      <c r="T4265" s="6"/>
    </row>
    <row r="4266" spans="4:20" x14ac:dyDescent="0.2">
      <c r="D4266" s="6"/>
      <c r="E4266" s="6"/>
      <c r="F4266" s="6"/>
      <c r="G4266" s="19"/>
      <c r="H4266" s="19"/>
      <c r="I4266" s="19"/>
      <c r="J4266" s="19"/>
      <c r="K4266" s="6"/>
      <c r="L4266" s="6"/>
      <c r="M4266" s="6"/>
      <c r="N4266" s="6"/>
      <c r="O4266" s="6"/>
      <c r="P4266" s="6"/>
      <c r="Q4266" s="6"/>
      <c r="R4266" s="6"/>
      <c r="S4266" s="6"/>
      <c r="T4266" s="6"/>
    </row>
    <row r="4267" spans="4:20" x14ac:dyDescent="0.2">
      <c r="D4267" s="6"/>
      <c r="E4267" s="6"/>
      <c r="F4267" s="6"/>
      <c r="G4267" s="19"/>
      <c r="H4267" s="19"/>
      <c r="I4267" s="19"/>
      <c r="J4267" s="19"/>
      <c r="K4267" s="6"/>
      <c r="L4267" s="6"/>
      <c r="M4267" s="6"/>
      <c r="N4267" s="6"/>
      <c r="O4267" s="6"/>
      <c r="P4267" s="6"/>
      <c r="Q4267" s="6"/>
      <c r="R4267" s="6"/>
      <c r="S4267" s="6"/>
      <c r="T4267" s="6"/>
    </row>
    <row r="4268" spans="4:20" x14ac:dyDescent="0.2">
      <c r="D4268" s="6"/>
      <c r="E4268" s="6"/>
      <c r="F4268" s="6"/>
      <c r="G4268" s="19"/>
      <c r="H4268" s="19"/>
      <c r="I4268" s="19"/>
      <c r="J4268" s="19"/>
      <c r="K4268" s="6"/>
      <c r="L4268" s="6"/>
      <c r="M4268" s="6"/>
      <c r="N4268" s="6"/>
      <c r="O4268" s="6"/>
      <c r="P4268" s="6"/>
      <c r="Q4268" s="6"/>
      <c r="R4268" s="6"/>
      <c r="S4268" s="6"/>
      <c r="T4268" s="6"/>
    </row>
    <row r="4269" spans="4:20" x14ac:dyDescent="0.2">
      <c r="D4269" s="6"/>
      <c r="E4269" s="6"/>
      <c r="F4269" s="6"/>
      <c r="G4269" s="19"/>
      <c r="H4269" s="19"/>
      <c r="I4269" s="19"/>
      <c r="J4269" s="19"/>
      <c r="K4269" s="6"/>
      <c r="L4269" s="6"/>
      <c r="M4269" s="6"/>
      <c r="N4269" s="6"/>
      <c r="O4269" s="6"/>
      <c r="P4269" s="6"/>
      <c r="Q4269" s="6"/>
      <c r="R4269" s="6"/>
      <c r="S4269" s="6"/>
      <c r="T4269" s="6"/>
    </row>
    <row r="4270" spans="4:20" x14ac:dyDescent="0.2">
      <c r="D4270" s="6"/>
      <c r="E4270" s="6"/>
      <c r="F4270" s="6"/>
      <c r="G4270" s="19"/>
      <c r="H4270" s="19"/>
      <c r="I4270" s="19"/>
      <c r="J4270" s="19"/>
      <c r="K4270" s="6"/>
      <c r="L4270" s="6"/>
      <c r="M4270" s="6"/>
      <c r="N4270" s="6"/>
      <c r="O4270" s="6"/>
      <c r="P4270" s="6"/>
      <c r="Q4270" s="6"/>
      <c r="R4270" s="6"/>
      <c r="S4270" s="6"/>
      <c r="T4270" s="6"/>
    </row>
    <row r="4271" spans="4:20" x14ac:dyDescent="0.2">
      <c r="D4271" s="6"/>
      <c r="E4271" s="6"/>
      <c r="F4271" s="6"/>
      <c r="G4271" s="19"/>
      <c r="H4271" s="19"/>
      <c r="I4271" s="19"/>
      <c r="J4271" s="19"/>
      <c r="K4271" s="6"/>
      <c r="L4271" s="6"/>
      <c r="M4271" s="6"/>
      <c r="N4271" s="6"/>
      <c r="O4271" s="6"/>
      <c r="P4271" s="6"/>
      <c r="Q4271" s="6"/>
      <c r="R4271" s="6"/>
      <c r="S4271" s="6"/>
      <c r="T4271" s="6"/>
    </row>
    <row r="4272" spans="4:20" x14ac:dyDescent="0.2">
      <c r="D4272" s="6"/>
      <c r="E4272" s="6"/>
      <c r="F4272" s="6"/>
      <c r="G4272" s="19"/>
      <c r="H4272" s="19"/>
      <c r="I4272" s="19"/>
      <c r="J4272" s="19"/>
      <c r="K4272" s="6"/>
      <c r="L4272" s="6"/>
      <c r="M4272" s="6"/>
      <c r="N4272" s="6"/>
      <c r="O4272" s="6"/>
      <c r="P4272" s="6"/>
      <c r="Q4272" s="6"/>
      <c r="R4272" s="6"/>
      <c r="S4272" s="6"/>
      <c r="T4272" s="6"/>
    </row>
    <row r="4273" spans="4:20" x14ac:dyDescent="0.2">
      <c r="D4273" s="6"/>
      <c r="E4273" s="6"/>
      <c r="F4273" s="6"/>
      <c r="G4273" s="19"/>
      <c r="H4273" s="19"/>
      <c r="I4273" s="19"/>
      <c r="J4273" s="19"/>
      <c r="K4273" s="6"/>
      <c r="L4273" s="6"/>
      <c r="M4273" s="6"/>
      <c r="N4273" s="6"/>
      <c r="O4273" s="6"/>
      <c r="P4273" s="6"/>
      <c r="Q4273" s="6"/>
      <c r="R4273" s="6"/>
      <c r="S4273" s="6"/>
      <c r="T4273" s="6"/>
    </row>
    <row r="4274" spans="4:20" x14ac:dyDescent="0.2">
      <c r="D4274" s="6"/>
      <c r="E4274" s="6"/>
      <c r="F4274" s="6"/>
      <c r="G4274" s="19"/>
      <c r="H4274" s="19"/>
      <c r="I4274" s="19"/>
      <c r="J4274" s="19"/>
      <c r="K4274" s="6"/>
      <c r="L4274" s="6"/>
      <c r="M4274" s="6"/>
      <c r="N4274" s="6"/>
      <c r="O4274" s="6"/>
      <c r="P4274" s="6"/>
      <c r="Q4274" s="6"/>
      <c r="R4274" s="6"/>
      <c r="S4274" s="6"/>
      <c r="T4274" s="6"/>
    </row>
    <row r="4275" spans="4:20" x14ac:dyDescent="0.2">
      <c r="D4275" s="6"/>
      <c r="E4275" s="6"/>
      <c r="F4275" s="6"/>
      <c r="G4275" s="19"/>
      <c r="H4275" s="19"/>
      <c r="I4275" s="19"/>
      <c r="J4275" s="19"/>
      <c r="K4275" s="6"/>
      <c r="L4275" s="6"/>
      <c r="M4275" s="6"/>
      <c r="N4275" s="6"/>
      <c r="O4275" s="6"/>
      <c r="P4275" s="6"/>
      <c r="Q4275" s="6"/>
      <c r="R4275" s="6"/>
      <c r="S4275" s="6"/>
      <c r="T4275" s="6"/>
    </row>
    <row r="4276" spans="4:20" x14ac:dyDescent="0.2">
      <c r="D4276" s="6"/>
      <c r="E4276" s="6"/>
      <c r="F4276" s="6"/>
      <c r="G4276" s="19"/>
      <c r="H4276" s="19"/>
      <c r="I4276" s="19"/>
      <c r="J4276" s="19"/>
      <c r="K4276" s="6"/>
      <c r="L4276" s="6"/>
      <c r="M4276" s="6"/>
      <c r="N4276" s="6"/>
      <c r="O4276" s="6"/>
      <c r="P4276" s="6"/>
      <c r="Q4276" s="6"/>
      <c r="R4276" s="6"/>
      <c r="S4276" s="6"/>
      <c r="T4276" s="6"/>
    </row>
    <row r="4277" spans="4:20" x14ac:dyDescent="0.2">
      <c r="D4277" s="6"/>
      <c r="E4277" s="6"/>
      <c r="F4277" s="6"/>
      <c r="G4277" s="19"/>
      <c r="H4277" s="19"/>
      <c r="I4277" s="19"/>
      <c r="J4277" s="19"/>
      <c r="K4277" s="6"/>
      <c r="L4277" s="6"/>
      <c r="M4277" s="6"/>
      <c r="N4277" s="6"/>
      <c r="O4277" s="6"/>
      <c r="P4277" s="6"/>
      <c r="Q4277" s="6"/>
      <c r="R4277" s="6"/>
      <c r="S4277" s="6"/>
      <c r="T4277" s="6"/>
    </row>
    <row r="4278" spans="4:20" x14ac:dyDescent="0.2">
      <c r="D4278" s="6"/>
      <c r="E4278" s="6"/>
      <c r="F4278" s="6"/>
      <c r="G4278" s="19"/>
      <c r="H4278" s="19"/>
      <c r="I4278" s="19"/>
      <c r="J4278" s="19"/>
      <c r="K4278" s="6"/>
      <c r="L4278" s="6"/>
      <c r="M4278" s="6"/>
      <c r="N4278" s="6"/>
      <c r="O4278" s="6"/>
      <c r="P4278" s="6"/>
      <c r="Q4278" s="6"/>
      <c r="R4278" s="6"/>
      <c r="S4278" s="6"/>
      <c r="T4278" s="6"/>
    </row>
    <row r="4279" spans="4:20" x14ac:dyDescent="0.2">
      <c r="D4279" s="6"/>
      <c r="E4279" s="6"/>
      <c r="F4279" s="6"/>
      <c r="G4279" s="19"/>
      <c r="H4279" s="19"/>
      <c r="I4279" s="19"/>
      <c r="J4279" s="19"/>
      <c r="K4279" s="6"/>
      <c r="L4279" s="6"/>
      <c r="M4279" s="6"/>
      <c r="N4279" s="6"/>
      <c r="O4279" s="6"/>
      <c r="P4279" s="6"/>
      <c r="Q4279" s="6"/>
      <c r="R4279" s="6"/>
      <c r="S4279" s="6"/>
      <c r="T4279" s="6"/>
    </row>
    <row r="4280" spans="4:20" x14ac:dyDescent="0.2">
      <c r="D4280" s="6"/>
      <c r="E4280" s="6"/>
      <c r="F4280" s="6"/>
      <c r="G4280" s="19"/>
      <c r="H4280" s="19"/>
      <c r="I4280" s="19"/>
      <c r="J4280" s="19"/>
      <c r="K4280" s="6"/>
      <c r="L4280" s="6"/>
      <c r="M4280" s="6"/>
      <c r="N4280" s="6"/>
      <c r="O4280" s="6"/>
      <c r="P4280" s="6"/>
      <c r="Q4280" s="6"/>
      <c r="R4280" s="6"/>
      <c r="S4280" s="6"/>
      <c r="T4280" s="6"/>
    </row>
    <row r="4281" spans="4:20" x14ac:dyDescent="0.2">
      <c r="D4281" s="6"/>
      <c r="E4281" s="6"/>
      <c r="F4281" s="6"/>
      <c r="G4281" s="19"/>
      <c r="H4281" s="19"/>
      <c r="I4281" s="19"/>
      <c r="J4281" s="19"/>
      <c r="K4281" s="6"/>
      <c r="L4281" s="6"/>
      <c r="M4281" s="6"/>
      <c r="N4281" s="6"/>
      <c r="O4281" s="6"/>
      <c r="P4281" s="6"/>
      <c r="Q4281" s="6"/>
      <c r="R4281" s="6"/>
      <c r="S4281" s="6"/>
      <c r="T4281" s="6"/>
    </row>
    <row r="4282" spans="4:20" x14ac:dyDescent="0.2">
      <c r="D4282" s="6"/>
      <c r="E4282" s="6"/>
      <c r="F4282" s="6"/>
      <c r="G4282" s="19"/>
      <c r="H4282" s="19"/>
      <c r="I4282" s="19"/>
      <c r="J4282" s="19"/>
      <c r="K4282" s="6"/>
      <c r="L4282" s="6"/>
      <c r="M4282" s="6"/>
      <c r="N4282" s="6"/>
      <c r="O4282" s="6"/>
      <c r="P4282" s="6"/>
      <c r="Q4282" s="6"/>
      <c r="R4282" s="6"/>
      <c r="S4282" s="6"/>
      <c r="T4282" s="6"/>
    </row>
    <row r="4283" spans="4:20" x14ac:dyDescent="0.2">
      <c r="D4283" s="6"/>
      <c r="E4283" s="6"/>
      <c r="F4283" s="6"/>
      <c r="G4283" s="19"/>
      <c r="H4283" s="19"/>
      <c r="I4283" s="19"/>
      <c r="J4283" s="19"/>
      <c r="K4283" s="6"/>
      <c r="L4283" s="6"/>
      <c r="M4283" s="6"/>
      <c r="N4283" s="6"/>
      <c r="O4283" s="6"/>
      <c r="P4283" s="6"/>
      <c r="Q4283" s="6"/>
      <c r="R4283" s="6"/>
      <c r="S4283" s="6"/>
      <c r="T4283" s="6"/>
    </row>
    <row r="4284" spans="4:20" x14ac:dyDescent="0.2">
      <c r="D4284" s="6"/>
      <c r="E4284" s="6"/>
      <c r="F4284" s="6"/>
      <c r="G4284" s="19"/>
      <c r="H4284" s="19"/>
      <c r="I4284" s="19"/>
      <c r="J4284" s="19"/>
      <c r="K4284" s="6"/>
      <c r="L4284" s="6"/>
      <c r="M4284" s="6"/>
      <c r="N4284" s="6"/>
      <c r="O4284" s="6"/>
      <c r="P4284" s="6"/>
      <c r="Q4284" s="6"/>
      <c r="R4284" s="6"/>
      <c r="S4284" s="6"/>
      <c r="T4284" s="6"/>
    </row>
    <row r="4285" spans="4:20" x14ac:dyDescent="0.2">
      <c r="D4285" s="6"/>
      <c r="E4285" s="6"/>
      <c r="F4285" s="6"/>
      <c r="G4285" s="19"/>
      <c r="H4285" s="19"/>
      <c r="I4285" s="19"/>
      <c r="J4285" s="19"/>
      <c r="K4285" s="6"/>
      <c r="L4285" s="6"/>
      <c r="M4285" s="6"/>
      <c r="N4285" s="6"/>
      <c r="O4285" s="6"/>
      <c r="P4285" s="6"/>
      <c r="Q4285" s="6"/>
      <c r="R4285" s="6"/>
      <c r="S4285" s="6"/>
      <c r="T4285" s="6"/>
    </row>
    <row r="4286" spans="4:20" x14ac:dyDescent="0.2">
      <c r="D4286" s="6"/>
      <c r="E4286" s="6"/>
      <c r="F4286" s="6"/>
      <c r="G4286" s="19"/>
      <c r="H4286" s="19"/>
      <c r="I4286" s="19"/>
      <c r="J4286" s="19"/>
      <c r="K4286" s="6"/>
      <c r="L4286" s="6"/>
      <c r="M4286" s="6"/>
      <c r="N4286" s="6"/>
      <c r="O4286" s="6"/>
      <c r="P4286" s="6"/>
      <c r="Q4286" s="6"/>
      <c r="R4286" s="6"/>
      <c r="S4286" s="6"/>
      <c r="T4286" s="6"/>
    </row>
    <row r="4287" spans="4:20" x14ac:dyDescent="0.2">
      <c r="D4287" s="6"/>
      <c r="E4287" s="6"/>
      <c r="F4287" s="6"/>
      <c r="G4287" s="19"/>
      <c r="H4287" s="19"/>
      <c r="I4287" s="19"/>
      <c r="J4287" s="19"/>
      <c r="K4287" s="6"/>
      <c r="L4287" s="6"/>
      <c r="M4287" s="6"/>
      <c r="N4287" s="6"/>
      <c r="O4287" s="6"/>
      <c r="P4287" s="6"/>
      <c r="Q4287" s="6"/>
      <c r="R4287" s="6"/>
      <c r="S4287" s="6"/>
      <c r="T4287" s="6"/>
    </row>
    <row r="4288" spans="4:20" x14ac:dyDescent="0.2">
      <c r="D4288" s="6"/>
      <c r="E4288" s="6"/>
      <c r="F4288" s="6"/>
      <c r="G4288" s="19"/>
      <c r="H4288" s="19"/>
      <c r="I4288" s="19"/>
      <c r="J4288" s="19"/>
      <c r="K4288" s="6"/>
      <c r="L4288" s="6"/>
      <c r="M4288" s="6"/>
      <c r="N4288" s="6"/>
      <c r="O4288" s="6"/>
      <c r="P4288" s="6"/>
      <c r="Q4288" s="6"/>
      <c r="R4288" s="6"/>
      <c r="S4288" s="6"/>
      <c r="T4288" s="6"/>
    </row>
    <row r="4289" spans="4:20" x14ac:dyDescent="0.2">
      <c r="D4289" s="6"/>
      <c r="E4289" s="6"/>
      <c r="F4289" s="6"/>
      <c r="G4289" s="19"/>
      <c r="H4289" s="19"/>
      <c r="I4289" s="19"/>
      <c r="J4289" s="19"/>
      <c r="K4289" s="6"/>
      <c r="L4289" s="6"/>
      <c r="M4289" s="6"/>
      <c r="N4289" s="6"/>
      <c r="O4289" s="6"/>
      <c r="P4289" s="6"/>
      <c r="Q4289" s="6"/>
      <c r="R4289" s="6"/>
      <c r="S4289" s="6"/>
      <c r="T4289" s="6"/>
    </row>
    <row r="4290" spans="4:20" x14ac:dyDescent="0.2">
      <c r="D4290" s="6"/>
      <c r="E4290" s="6"/>
      <c r="F4290" s="6"/>
      <c r="G4290" s="19"/>
      <c r="H4290" s="19"/>
      <c r="I4290" s="19"/>
      <c r="J4290" s="19"/>
      <c r="K4290" s="6"/>
      <c r="L4290" s="6"/>
      <c r="M4290" s="6"/>
      <c r="N4290" s="6"/>
      <c r="O4290" s="6"/>
      <c r="P4290" s="6"/>
      <c r="Q4290" s="6"/>
      <c r="R4290" s="6"/>
      <c r="S4290" s="6"/>
      <c r="T4290" s="6"/>
    </row>
    <row r="4291" spans="4:20" x14ac:dyDescent="0.2">
      <c r="D4291" s="6"/>
      <c r="E4291" s="6"/>
      <c r="F4291" s="6"/>
      <c r="G4291" s="19"/>
      <c r="H4291" s="19"/>
      <c r="I4291" s="19"/>
      <c r="J4291" s="19"/>
      <c r="K4291" s="6"/>
      <c r="L4291" s="6"/>
      <c r="M4291" s="6"/>
      <c r="N4291" s="6"/>
      <c r="O4291" s="6"/>
      <c r="P4291" s="6"/>
      <c r="Q4291" s="6"/>
      <c r="R4291" s="6"/>
      <c r="S4291" s="6"/>
      <c r="T4291" s="6"/>
    </row>
    <row r="4292" spans="4:20" x14ac:dyDescent="0.2">
      <c r="D4292" s="6"/>
      <c r="E4292" s="6"/>
      <c r="F4292" s="6"/>
      <c r="G4292" s="19"/>
      <c r="H4292" s="19"/>
      <c r="I4292" s="19"/>
      <c r="J4292" s="19"/>
      <c r="K4292" s="6"/>
      <c r="L4292" s="6"/>
      <c r="M4292" s="6"/>
      <c r="N4292" s="6"/>
      <c r="O4292" s="6"/>
      <c r="P4292" s="6"/>
      <c r="Q4292" s="6"/>
      <c r="R4292" s="6"/>
      <c r="S4292" s="6"/>
      <c r="T4292" s="6"/>
    </row>
    <row r="4293" spans="4:20" x14ac:dyDescent="0.2">
      <c r="D4293" s="6"/>
      <c r="E4293" s="6"/>
      <c r="F4293" s="6"/>
      <c r="G4293" s="19"/>
      <c r="H4293" s="19"/>
      <c r="I4293" s="19"/>
      <c r="J4293" s="19"/>
      <c r="K4293" s="6"/>
      <c r="L4293" s="6"/>
      <c r="M4293" s="6"/>
      <c r="N4293" s="6"/>
      <c r="O4293" s="6"/>
      <c r="P4293" s="6"/>
      <c r="Q4293" s="6"/>
      <c r="R4293" s="6"/>
      <c r="S4293" s="6"/>
      <c r="T4293" s="6"/>
    </row>
    <row r="4294" spans="4:20" x14ac:dyDescent="0.2">
      <c r="D4294" s="6"/>
      <c r="E4294" s="6"/>
      <c r="F4294" s="6"/>
      <c r="G4294" s="19"/>
      <c r="H4294" s="19"/>
      <c r="I4294" s="19"/>
      <c r="J4294" s="19"/>
      <c r="K4294" s="6"/>
      <c r="L4294" s="6"/>
      <c r="M4294" s="6"/>
      <c r="N4294" s="6"/>
      <c r="O4294" s="6"/>
      <c r="P4294" s="6"/>
      <c r="Q4294" s="6"/>
      <c r="R4294" s="6"/>
      <c r="S4294" s="6"/>
      <c r="T4294" s="6"/>
    </row>
    <row r="4295" spans="4:20" x14ac:dyDescent="0.2">
      <c r="D4295" s="6"/>
      <c r="E4295" s="6"/>
      <c r="F4295" s="6"/>
      <c r="G4295" s="19"/>
      <c r="H4295" s="19"/>
      <c r="I4295" s="19"/>
      <c r="J4295" s="19"/>
      <c r="K4295" s="6"/>
      <c r="L4295" s="6"/>
      <c r="M4295" s="6"/>
      <c r="N4295" s="6"/>
      <c r="O4295" s="6"/>
      <c r="P4295" s="6"/>
      <c r="Q4295" s="6"/>
      <c r="R4295" s="6"/>
      <c r="S4295" s="6"/>
      <c r="T4295" s="6"/>
    </row>
    <row r="4296" spans="4:20" x14ac:dyDescent="0.2">
      <c r="D4296" s="6"/>
      <c r="E4296" s="6"/>
      <c r="F4296" s="6"/>
      <c r="G4296" s="19"/>
      <c r="H4296" s="19"/>
      <c r="I4296" s="19"/>
      <c r="J4296" s="19"/>
      <c r="K4296" s="6"/>
      <c r="L4296" s="6"/>
      <c r="M4296" s="6"/>
      <c r="N4296" s="6"/>
      <c r="O4296" s="6"/>
      <c r="P4296" s="6"/>
      <c r="Q4296" s="6"/>
      <c r="R4296" s="6"/>
      <c r="S4296" s="6"/>
      <c r="T4296" s="6"/>
    </row>
    <row r="4297" spans="4:20" x14ac:dyDescent="0.2">
      <c r="D4297" s="6"/>
      <c r="E4297" s="6"/>
      <c r="F4297" s="6"/>
      <c r="G4297" s="19"/>
      <c r="H4297" s="19"/>
      <c r="I4297" s="19"/>
      <c r="J4297" s="19"/>
      <c r="K4297" s="6"/>
      <c r="L4297" s="6"/>
      <c r="M4297" s="6"/>
      <c r="N4297" s="6"/>
      <c r="O4297" s="6"/>
      <c r="P4297" s="6"/>
      <c r="Q4297" s="6"/>
      <c r="R4297" s="6"/>
      <c r="S4297" s="6"/>
      <c r="T4297" s="6"/>
    </row>
    <row r="4298" spans="4:20" x14ac:dyDescent="0.2">
      <c r="D4298" s="6"/>
      <c r="E4298" s="6"/>
      <c r="F4298" s="6"/>
      <c r="G4298" s="19"/>
      <c r="H4298" s="19"/>
      <c r="I4298" s="19"/>
      <c r="J4298" s="19"/>
      <c r="K4298" s="6"/>
      <c r="L4298" s="6"/>
      <c r="M4298" s="6"/>
      <c r="N4298" s="6"/>
      <c r="O4298" s="6"/>
      <c r="P4298" s="6"/>
      <c r="Q4298" s="6"/>
      <c r="R4298" s="6"/>
      <c r="S4298" s="6"/>
      <c r="T4298" s="6"/>
    </row>
    <row r="4299" spans="4:20" x14ac:dyDescent="0.2">
      <c r="D4299" s="6"/>
      <c r="E4299" s="6"/>
      <c r="F4299" s="6"/>
      <c r="G4299" s="19"/>
      <c r="H4299" s="19"/>
      <c r="I4299" s="19"/>
      <c r="J4299" s="19"/>
      <c r="K4299" s="6"/>
      <c r="L4299" s="6"/>
      <c r="M4299" s="6"/>
      <c r="N4299" s="6"/>
      <c r="O4299" s="6"/>
      <c r="P4299" s="6"/>
      <c r="Q4299" s="6"/>
      <c r="R4299" s="6"/>
      <c r="S4299" s="6"/>
      <c r="T4299" s="6"/>
    </row>
    <row r="4300" spans="4:20" x14ac:dyDescent="0.2">
      <c r="D4300" s="6"/>
      <c r="E4300" s="6"/>
      <c r="F4300" s="6"/>
      <c r="G4300" s="19"/>
      <c r="H4300" s="19"/>
      <c r="I4300" s="19"/>
      <c r="J4300" s="19"/>
      <c r="K4300" s="6"/>
      <c r="L4300" s="6"/>
      <c r="M4300" s="6"/>
      <c r="N4300" s="6"/>
      <c r="O4300" s="6"/>
      <c r="P4300" s="6"/>
      <c r="Q4300" s="6"/>
      <c r="R4300" s="6"/>
      <c r="S4300" s="6"/>
      <c r="T4300" s="6"/>
    </row>
    <row r="4301" spans="4:20" x14ac:dyDescent="0.2">
      <c r="D4301" s="6"/>
      <c r="E4301" s="6"/>
      <c r="F4301" s="6"/>
      <c r="G4301" s="19"/>
      <c r="H4301" s="19"/>
      <c r="I4301" s="19"/>
      <c r="J4301" s="19"/>
      <c r="K4301" s="6"/>
      <c r="L4301" s="6"/>
      <c r="M4301" s="6"/>
      <c r="N4301" s="6"/>
      <c r="O4301" s="6"/>
      <c r="P4301" s="6"/>
      <c r="Q4301" s="6"/>
      <c r="R4301" s="6"/>
      <c r="S4301" s="6"/>
      <c r="T4301" s="6"/>
    </row>
    <row r="4302" spans="4:20" x14ac:dyDescent="0.2">
      <c r="D4302" s="6"/>
      <c r="E4302" s="6"/>
      <c r="F4302" s="6"/>
      <c r="G4302" s="19"/>
      <c r="H4302" s="19"/>
      <c r="I4302" s="19"/>
      <c r="J4302" s="19"/>
      <c r="K4302" s="6"/>
      <c r="L4302" s="6"/>
      <c r="M4302" s="6"/>
      <c r="N4302" s="6"/>
      <c r="O4302" s="6"/>
      <c r="P4302" s="6"/>
      <c r="Q4302" s="6"/>
      <c r="R4302" s="6"/>
      <c r="S4302" s="6"/>
      <c r="T4302" s="6"/>
    </row>
    <row r="4303" spans="4:20" x14ac:dyDescent="0.2">
      <c r="D4303" s="6"/>
      <c r="E4303" s="6"/>
      <c r="F4303" s="6"/>
      <c r="G4303" s="19"/>
      <c r="H4303" s="19"/>
      <c r="I4303" s="19"/>
      <c r="J4303" s="19"/>
      <c r="K4303" s="6"/>
      <c r="L4303" s="6"/>
      <c r="M4303" s="6"/>
      <c r="N4303" s="6"/>
      <c r="O4303" s="6"/>
      <c r="P4303" s="6"/>
      <c r="Q4303" s="6"/>
      <c r="R4303" s="6"/>
      <c r="S4303" s="6"/>
      <c r="T4303" s="6"/>
    </row>
    <row r="4304" spans="4:20" x14ac:dyDescent="0.2">
      <c r="D4304" s="6"/>
      <c r="E4304" s="6"/>
      <c r="F4304" s="6"/>
      <c r="G4304" s="19"/>
      <c r="H4304" s="19"/>
      <c r="I4304" s="19"/>
      <c r="J4304" s="19"/>
      <c r="K4304" s="6"/>
      <c r="L4304" s="6"/>
      <c r="M4304" s="6"/>
      <c r="N4304" s="6"/>
      <c r="O4304" s="6"/>
      <c r="P4304" s="6"/>
      <c r="Q4304" s="6"/>
      <c r="R4304" s="6"/>
      <c r="S4304" s="6"/>
      <c r="T4304" s="6"/>
    </row>
    <row r="4305" spans="4:20" x14ac:dyDescent="0.2">
      <c r="D4305" s="6"/>
      <c r="E4305" s="6"/>
      <c r="F4305" s="6"/>
      <c r="G4305" s="19"/>
      <c r="H4305" s="19"/>
      <c r="I4305" s="19"/>
      <c r="J4305" s="19"/>
      <c r="K4305" s="6"/>
      <c r="L4305" s="6"/>
      <c r="M4305" s="6"/>
      <c r="N4305" s="6"/>
      <c r="O4305" s="6"/>
      <c r="P4305" s="6"/>
      <c r="Q4305" s="6"/>
      <c r="R4305" s="6"/>
      <c r="S4305" s="6"/>
      <c r="T4305" s="6"/>
    </row>
    <row r="4306" spans="4:20" x14ac:dyDescent="0.2">
      <c r="D4306" s="6"/>
      <c r="E4306" s="6"/>
      <c r="F4306" s="6"/>
      <c r="G4306" s="19"/>
      <c r="H4306" s="19"/>
      <c r="I4306" s="19"/>
      <c r="J4306" s="19"/>
      <c r="K4306" s="6"/>
      <c r="L4306" s="6"/>
      <c r="M4306" s="6"/>
      <c r="N4306" s="6"/>
      <c r="O4306" s="6"/>
      <c r="P4306" s="6"/>
      <c r="Q4306" s="6"/>
      <c r="R4306" s="6"/>
      <c r="S4306" s="6"/>
      <c r="T4306" s="6"/>
    </row>
    <row r="4307" spans="4:20" x14ac:dyDescent="0.2">
      <c r="D4307" s="6"/>
      <c r="E4307" s="6"/>
      <c r="F4307" s="6"/>
      <c r="G4307" s="19"/>
      <c r="H4307" s="19"/>
      <c r="I4307" s="19"/>
      <c r="J4307" s="19"/>
      <c r="K4307" s="6"/>
      <c r="L4307" s="6"/>
      <c r="M4307" s="6"/>
      <c r="N4307" s="6"/>
      <c r="O4307" s="6"/>
      <c r="P4307" s="6"/>
      <c r="Q4307" s="6"/>
      <c r="R4307" s="6"/>
      <c r="S4307" s="6"/>
      <c r="T4307" s="6"/>
    </row>
    <row r="4308" spans="4:20" x14ac:dyDescent="0.2">
      <c r="D4308" s="6"/>
      <c r="E4308" s="6"/>
      <c r="F4308" s="6"/>
      <c r="G4308" s="19"/>
      <c r="H4308" s="19"/>
      <c r="I4308" s="19"/>
      <c r="J4308" s="19"/>
      <c r="K4308" s="6"/>
      <c r="L4308" s="6"/>
      <c r="M4308" s="6"/>
      <c r="N4308" s="6"/>
      <c r="O4308" s="6"/>
      <c r="P4308" s="6"/>
      <c r="Q4308" s="6"/>
      <c r="R4308" s="6"/>
      <c r="S4308" s="6"/>
      <c r="T4308" s="6"/>
    </row>
    <row r="4309" spans="4:20" x14ac:dyDescent="0.2">
      <c r="D4309" s="6"/>
      <c r="E4309" s="6"/>
      <c r="F4309" s="6"/>
      <c r="G4309" s="19"/>
      <c r="H4309" s="19"/>
      <c r="I4309" s="19"/>
      <c r="J4309" s="19"/>
      <c r="K4309" s="6"/>
      <c r="L4309" s="6"/>
      <c r="M4309" s="6"/>
      <c r="N4309" s="6"/>
      <c r="O4309" s="6"/>
      <c r="P4309" s="6"/>
      <c r="Q4309" s="6"/>
      <c r="R4309" s="6"/>
      <c r="S4309" s="6"/>
      <c r="T4309" s="6"/>
    </row>
    <row r="4310" spans="4:20" x14ac:dyDescent="0.2">
      <c r="D4310" s="6"/>
      <c r="E4310" s="6"/>
      <c r="F4310" s="6"/>
      <c r="G4310" s="19"/>
      <c r="H4310" s="19"/>
      <c r="I4310" s="19"/>
      <c r="J4310" s="19"/>
      <c r="K4310" s="6"/>
      <c r="L4310" s="6"/>
      <c r="M4310" s="6"/>
      <c r="N4310" s="6"/>
      <c r="O4310" s="6"/>
      <c r="P4310" s="6"/>
      <c r="Q4310" s="6"/>
      <c r="R4310" s="6"/>
      <c r="S4310" s="6"/>
      <c r="T4310" s="6"/>
    </row>
    <row r="4311" spans="4:20" x14ac:dyDescent="0.2">
      <c r="D4311" s="6"/>
      <c r="E4311" s="6"/>
      <c r="F4311" s="6"/>
      <c r="G4311" s="19"/>
      <c r="H4311" s="19"/>
      <c r="I4311" s="19"/>
      <c r="J4311" s="19"/>
      <c r="K4311" s="6"/>
      <c r="L4311" s="6"/>
      <c r="M4311" s="6"/>
      <c r="N4311" s="6"/>
      <c r="O4311" s="6"/>
      <c r="P4311" s="6"/>
      <c r="Q4311" s="6"/>
      <c r="R4311" s="6"/>
      <c r="S4311" s="6"/>
      <c r="T4311" s="6"/>
    </row>
    <row r="4312" spans="4:20" x14ac:dyDescent="0.2">
      <c r="D4312" s="6"/>
      <c r="E4312" s="6"/>
      <c r="F4312" s="6"/>
      <c r="G4312" s="19"/>
      <c r="H4312" s="19"/>
      <c r="I4312" s="19"/>
      <c r="J4312" s="19"/>
      <c r="K4312" s="6"/>
      <c r="L4312" s="6"/>
      <c r="M4312" s="6"/>
      <c r="N4312" s="6"/>
      <c r="O4312" s="6"/>
      <c r="P4312" s="6"/>
      <c r="Q4312" s="6"/>
      <c r="R4312" s="6"/>
      <c r="S4312" s="6"/>
      <c r="T4312" s="6"/>
    </row>
    <row r="4313" spans="4:20" x14ac:dyDescent="0.2">
      <c r="D4313" s="6"/>
      <c r="E4313" s="6"/>
      <c r="F4313" s="6"/>
      <c r="G4313" s="19"/>
      <c r="H4313" s="19"/>
      <c r="I4313" s="19"/>
      <c r="J4313" s="19"/>
      <c r="K4313" s="6"/>
      <c r="L4313" s="6"/>
      <c r="M4313" s="6"/>
      <c r="N4313" s="6"/>
      <c r="O4313" s="6"/>
      <c r="P4313" s="6"/>
      <c r="Q4313" s="6"/>
      <c r="R4313" s="6"/>
      <c r="S4313" s="6"/>
      <c r="T4313" s="6"/>
    </row>
    <row r="4314" spans="4:20" x14ac:dyDescent="0.2">
      <c r="D4314" s="6"/>
      <c r="E4314" s="6"/>
      <c r="F4314" s="6"/>
      <c r="G4314" s="19"/>
      <c r="H4314" s="19"/>
      <c r="I4314" s="19"/>
      <c r="J4314" s="19"/>
      <c r="K4314" s="6"/>
      <c r="L4314" s="6"/>
      <c r="M4314" s="6"/>
      <c r="N4314" s="6"/>
      <c r="O4314" s="6"/>
      <c r="P4314" s="6"/>
      <c r="Q4314" s="6"/>
      <c r="R4314" s="6"/>
      <c r="S4314" s="6"/>
      <c r="T4314" s="6"/>
    </row>
    <row r="4315" spans="4:20" x14ac:dyDescent="0.2">
      <c r="D4315" s="6"/>
      <c r="E4315" s="6"/>
      <c r="F4315" s="6"/>
      <c r="G4315" s="19"/>
      <c r="H4315" s="19"/>
      <c r="I4315" s="19"/>
      <c r="J4315" s="19"/>
      <c r="K4315" s="6"/>
      <c r="L4315" s="6"/>
      <c r="M4315" s="6"/>
      <c r="N4315" s="6"/>
      <c r="O4315" s="6"/>
      <c r="P4315" s="6"/>
      <c r="Q4315" s="6"/>
      <c r="R4315" s="6"/>
      <c r="S4315" s="6"/>
      <c r="T4315" s="6"/>
    </row>
    <row r="4316" spans="4:20" x14ac:dyDescent="0.2">
      <c r="D4316" s="6"/>
      <c r="E4316" s="6"/>
      <c r="F4316" s="6"/>
      <c r="G4316" s="19"/>
      <c r="H4316" s="19"/>
      <c r="I4316" s="19"/>
      <c r="J4316" s="19"/>
      <c r="K4316" s="6"/>
      <c r="L4316" s="6"/>
      <c r="M4316" s="6"/>
      <c r="N4316" s="6"/>
      <c r="O4316" s="6"/>
      <c r="P4316" s="6"/>
      <c r="Q4316" s="6"/>
      <c r="R4316" s="6"/>
      <c r="S4316" s="6"/>
      <c r="T4316" s="6"/>
    </row>
    <row r="4317" spans="4:20" x14ac:dyDescent="0.2">
      <c r="D4317" s="6"/>
      <c r="E4317" s="6"/>
      <c r="F4317" s="6"/>
      <c r="G4317" s="19"/>
      <c r="H4317" s="19"/>
      <c r="I4317" s="19"/>
      <c r="J4317" s="19"/>
      <c r="K4317" s="6"/>
      <c r="L4317" s="6"/>
      <c r="M4317" s="6"/>
      <c r="N4317" s="6"/>
      <c r="O4317" s="6"/>
      <c r="P4317" s="6"/>
      <c r="Q4317" s="6"/>
      <c r="R4317" s="6"/>
      <c r="S4317" s="6"/>
      <c r="T4317" s="6"/>
    </row>
    <row r="4318" spans="4:20" x14ac:dyDescent="0.2">
      <c r="D4318" s="6"/>
      <c r="E4318" s="6"/>
      <c r="F4318" s="6"/>
      <c r="G4318" s="19"/>
      <c r="H4318" s="19"/>
      <c r="I4318" s="19"/>
      <c r="J4318" s="19"/>
      <c r="K4318" s="6"/>
      <c r="L4318" s="6"/>
      <c r="M4318" s="6"/>
      <c r="N4318" s="6"/>
      <c r="O4318" s="6"/>
      <c r="P4318" s="6"/>
      <c r="Q4318" s="6"/>
      <c r="R4318" s="6"/>
      <c r="S4318" s="6"/>
      <c r="T4318" s="6"/>
    </row>
    <row r="4319" spans="4:20" x14ac:dyDescent="0.2">
      <c r="D4319" s="6"/>
      <c r="E4319" s="6"/>
      <c r="F4319" s="6"/>
      <c r="G4319" s="19"/>
      <c r="H4319" s="19"/>
      <c r="I4319" s="19"/>
      <c r="J4319" s="19"/>
      <c r="K4319" s="6"/>
      <c r="L4319" s="6"/>
      <c r="M4319" s="6"/>
      <c r="N4319" s="6"/>
      <c r="O4319" s="6"/>
      <c r="P4319" s="6"/>
      <c r="Q4319" s="6"/>
      <c r="R4319" s="6"/>
      <c r="S4319" s="6"/>
      <c r="T4319" s="6"/>
    </row>
    <row r="4320" spans="4:20" x14ac:dyDescent="0.2">
      <c r="D4320" s="6"/>
      <c r="E4320" s="6"/>
      <c r="F4320" s="6"/>
      <c r="G4320" s="19"/>
      <c r="H4320" s="19"/>
      <c r="I4320" s="19"/>
      <c r="J4320" s="19"/>
      <c r="K4320" s="6"/>
      <c r="L4320" s="6"/>
      <c r="M4320" s="6"/>
      <c r="N4320" s="6"/>
      <c r="O4320" s="6"/>
      <c r="P4320" s="6"/>
      <c r="Q4320" s="6"/>
      <c r="R4320" s="6"/>
      <c r="S4320" s="6"/>
      <c r="T4320" s="6"/>
    </row>
    <row r="4321" spans="4:20" x14ac:dyDescent="0.2">
      <c r="D4321" s="6"/>
      <c r="E4321" s="6"/>
      <c r="F4321" s="6"/>
      <c r="G4321" s="19"/>
      <c r="H4321" s="19"/>
      <c r="I4321" s="19"/>
      <c r="J4321" s="19"/>
      <c r="K4321" s="6"/>
      <c r="L4321" s="6"/>
      <c r="M4321" s="6"/>
      <c r="N4321" s="6"/>
      <c r="O4321" s="6"/>
      <c r="P4321" s="6"/>
      <c r="Q4321" s="6"/>
      <c r="R4321" s="6"/>
      <c r="S4321" s="6"/>
      <c r="T4321" s="6"/>
    </row>
    <row r="4322" spans="4:20" x14ac:dyDescent="0.2">
      <c r="D4322" s="6"/>
      <c r="E4322" s="6"/>
      <c r="F4322" s="6"/>
      <c r="G4322" s="19"/>
      <c r="H4322" s="19"/>
      <c r="I4322" s="19"/>
      <c r="J4322" s="19"/>
      <c r="K4322" s="6"/>
      <c r="L4322" s="6"/>
      <c r="M4322" s="6"/>
      <c r="N4322" s="6"/>
      <c r="O4322" s="6"/>
      <c r="P4322" s="6"/>
      <c r="Q4322" s="6"/>
      <c r="R4322" s="6"/>
      <c r="S4322" s="6"/>
      <c r="T4322" s="6"/>
    </row>
    <row r="4323" spans="4:20" x14ac:dyDescent="0.2">
      <c r="D4323" s="6"/>
      <c r="E4323" s="6"/>
      <c r="F4323" s="6"/>
      <c r="G4323" s="19"/>
      <c r="H4323" s="19"/>
      <c r="I4323" s="19"/>
      <c r="J4323" s="19"/>
      <c r="K4323" s="6"/>
      <c r="L4323" s="6"/>
      <c r="M4323" s="6"/>
      <c r="N4323" s="6"/>
      <c r="O4323" s="6"/>
      <c r="P4323" s="6"/>
      <c r="Q4323" s="6"/>
      <c r="R4323" s="6"/>
      <c r="S4323" s="6"/>
      <c r="T4323" s="6"/>
    </row>
    <row r="4324" spans="4:20" x14ac:dyDescent="0.2">
      <c r="D4324" s="6"/>
      <c r="E4324" s="6"/>
      <c r="F4324" s="6"/>
      <c r="G4324" s="19"/>
      <c r="H4324" s="19"/>
      <c r="I4324" s="19"/>
      <c r="J4324" s="19"/>
      <c r="K4324" s="6"/>
      <c r="L4324" s="6"/>
      <c r="M4324" s="6"/>
      <c r="N4324" s="6"/>
      <c r="O4324" s="6"/>
      <c r="P4324" s="6"/>
      <c r="Q4324" s="6"/>
      <c r="R4324" s="6"/>
      <c r="S4324" s="6"/>
      <c r="T4324" s="6"/>
    </row>
    <row r="4325" spans="4:20" x14ac:dyDescent="0.2">
      <c r="D4325" s="6"/>
      <c r="E4325" s="6"/>
      <c r="F4325" s="6"/>
      <c r="G4325" s="19"/>
      <c r="H4325" s="19"/>
      <c r="I4325" s="19"/>
      <c r="J4325" s="19"/>
      <c r="K4325" s="6"/>
      <c r="L4325" s="6"/>
      <c r="M4325" s="6"/>
      <c r="N4325" s="6"/>
      <c r="O4325" s="6"/>
      <c r="P4325" s="6"/>
      <c r="Q4325" s="6"/>
      <c r="R4325" s="6"/>
      <c r="S4325" s="6"/>
      <c r="T4325" s="6"/>
    </row>
    <row r="4326" spans="4:20" x14ac:dyDescent="0.2">
      <c r="D4326" s="6"/>
      <c r="E4326" s="6"/>
      <c r="F4326" s="6"/>
      <c r="G4326" s="19"/>
      <c r="H4326" s="19"/>
      <c r="I4326" s="19"/>
      <c r="J4326" s="19"/>
      <c r="K4326" s="6"/>
      <c r="L4326" s="6"/>
      <c r="M4326" s="6"/>
      <c r="N4326" s="6"/>
      <c r="O4326" s="6"/>
      <c r="P4326" s="6"/>
      <c r="Q4326" s="6"/>
      <c r="R4326" s="6"/>
      <c r="S4326" s="6"/>
      <c r="T4326" s="6"/>
    </row>
    <row r="4327" spans="4:20" x14ac:dyDescent="0.2">
      <c r="D4327" s="6"/>
      <c r="E4327" s="6"/>
      <c r="F4327" s="6"/>
      <c r="G4327" s="19"/>
      <c r="H4327" s="19"/>
      <c r="I4327" s="19"/>
      <c r="J4327" s="19"/>
      <c r="K4327" s="6"/>
      <c r="L4327" s="6"/>
      <c r="M4327" s="6"/>
      <c r="N4327" s="6"/>
      <c r="O4327" s="6"/>
      <c r="P4327" s="6"/>
      <c r="Q4327" s="6"/>
      <c r="R4327" s="6"/>
      <c r="S4327" s="6"/>
      <c r="T4327" s="6"/>
    </row>
    <row r="4328" spans="4:20" x14ac:dyDescent="0.2">
      <c r="D4328" s="6"/>
      <c r="E4328" s="6"/>
      <c r="F4328" s="6"/>
      <c r="G4328" s="19"/>
      <c r="H4328" s="19"/>
      <c r="I4328" s="19"/>
      <c r="J4328" s="19"/>
      <c r="K4328" s="6"/>
      <c r="L4328" s="6"/>
      <c r="M4328" s="6"/>
      <c r="N4328" s="6"/>
      <c r="O4328" s="6"/>
      <c r="P4328" s="6"/>
      <c r="Q4328" s="6"/>
      <c r="R4328" s="6"/>
      <c r="S4328" s="6"/>
      <c r="T4328" s="6"/>
    </row>
    <row r="4329" spans="4:20" x14ac:dyDescent="0.2">
      <c r="D4329" s="6"/>
      <c r="E4329" s="6"/>
      <c r="F4329" s="6"/>
      <c r="G4329" s="19"/>
      <c r="H4329" s="19"/>
      <c r="I4329" s="19"/>
      <c r="J4329" s="19"/>
      <c r="K4329" s="6"/>
      <c r="L4329" s="6"/>
      <c r="M4329" s="6"/>
      <c r="N4329" s="6"/>
      <c r="O4329" s="6"/>
      <c r="P4329" s="6"/>
      <c r="Q4329" s="6"/>
      <c r="R4329" s="6"/>
      <c r="S4329" s="6"/>
      <c r="T4329" s="6"/>
    </row>
    <row r="4330" spans="4:20" x14ac:dyDescent="0.2">
      <c r="D4330" s="6"/>
      <c r="E4330" s="6"/>
      <c r="F4330" s="6"/>
      <c r="G4330" s="19"/>
      <c r="H4330" s="19"/>
      <c r="I4330" s="19"/>
      <c r="J4330" s="19"/>
      <c r="K4330" s="6"/>
      <c r="L4330" s="6"/>
      <c r="M4330" s="6"/>
      <c r="N4330" s="6"/>
      <c r="O4330" s="6"/>
      <c r="P4330" s="6"/>
      <c r="Q4330" s="6"/>
      <c r="R4330" s="6"/>
      <c r="S4330" s="6"/>
      <c r="T4330" s="6"/>
    </row>
    <row r="4331" spans="4:20" x14ac:dyDescent="0.2">
      <c r="D4331" s="6"/>
      <c r="E4331" s="6"/>
      <c r="F4331" s="6"/>
      <c r="G4331" s="19"/>
      <c r="H4331" s="19"/>
      <c r="I4331" s="19"/>
      <c r="J4331" s="19"/>
      <c r="K4331" s="6"/>
      <c r="L4331" s="6"/>
      <c r="M4331" s="6"/>
      <c r="N4331" s="6"/>
      <c r="O4331" s="6"/>
      <c r="P4331" s="6"/>
      <c r="Q4331" s="6"/>
      <c r="R4331" s="6"/>
      <c r="S4331" s="6"/>
      <c r="T4331" s="6"/>
    </row>
    <row r="4332" spans="4:20" x14ac:dyDescent="0.2">
      <c r="D4332" s="6"/>
      <c r="E4332" s="6"/>
      <c r="F4332" s="6"/>
      <c r="G4332" s="19"/>
      <c r="H4332" s="19"/>
      <c r="I4332" s="19"/>
      <c r="J4332" s="19"/>
      <c r="K4332" s="6"/>
      <c r="L4332" s="6"/>
      <c r="M4332" s="6"/>
      <c r="N4332" s="6"/>
      <c r="O4332" s="6"/>
      <c r="P4332" s="6"/>
      <c r="Q4332" s="6"/>
      <c r="R4332" s="6"/>
      <c r="S4332" s="6"/>
      <c r="T4332" s="6"/>
    </row>
    <row r="4333" spans="4:20" x14ac:dyDescent="0.2">
      <c r="D4333" s="6"/>
      <c r="E4333" s="6"/>
      <c r="F4333" s="6"/>
      <c r="G4333" s="19"/>
      <c r="H4333" s="19"/>
      <c r="I4333" s="19"/>
      <c r="J4333" s="19"/>
      <c r="K4333" s="6"/>
      <c r="L4333" s="6"/>
      <c r="M4333" s="6"/>
      <c r="N4333" s="6"/>
      <c r="O4333" s="6"/>
      <c r="P4333" s="6"/>
      <c r="Q4333" s="6"/>
      <c r="R4333" s="6"/>
      <c r="S4333" s="6"/>
      <c r="T4333" s="6"/>
    </row>
    <row r="4334" spans="4:20" x14ac:dyDescent="0.2">
      <c r="D4334" s="6"/>
      <c r="E4334" s="6"/>
      <c r="F4334" s="6"/>
      <c r="G4334" s="19"/>
      <c r="H4334" s="19"/>
      <c r="I4334" s="19"/>
      <c r="J4334" s="19"/>
      <c r="K4334" s="6"/>
      <c r="L4334" s="6"/>
      <c r="M4334" s="6"/>
      <c r="N4334" s="6"/>
      <c r="O4334" s="6"/>
      <c r="P4334" s="6"/>
      <c r="Q4334" s="6"/>
      <c r="R4334" s="6"/>
      <c r="S4334" s="6"/>
      <c r="T4334" s="6"/>
    </row>
    <row r="4335" spans="4:20" x14ac:dyDescent="0.2">
      <c r="D4335" s="6"/>
      <c r="E4335" s="6"/>
      <c r="F4335" s="6"/>
      <c r="G4335" s="19"/>
      <c r="H4335" s="19"/>
      <c r="I4335" s="19"/>
      <c r="J4335" s="19"/>
      <c r="K4335" s="6"/>
      <c r="L4335" s="6"/>
      <c r="M4335" s="6"/>
      <c r="N4335" s="6"/>
      <c r="O4335" s="6"/>
      <c r="P4335" s="6"/>
      <c r="Q4335" s="6"/>
      <c r="R4335" s="6"/>
      <c r="S4335" s="6"/>
      <c r="T4335" s="6"/>
    </row>
    <row r="4336" spans="4:20" x14ac:dyDescent="0.2">
      <c r="D4336" s="6"/>
      <c r="E4336" s="6"/>
      <c r="F4336" s="6"/>
      <c r="G4336" s="19"/>
      <c r="H4336" s="19"/>
      <c r="I4336" s="19"/>
      <c r="J4336" s="19"/>
      <c r="K4336" s="6"/>
      <c r="L4336" s="6"/>
      <c r="M4336" s="6"/>
      <c r="N4336" s="6"/>
      <c r="O4336" s="6"/>
      <c r="P4336" s="6"/>
      <c r="Q4336" s="6"/>
      <c r="R4336" s="6"/>
      <c r="S4336" s="6"/>
      <c r="T4336" s="6"/>
    </row>
    <row r="4337" spans="4:20" x14ac:dyDescent="0.2">
      <c r="D4337" s="6"/>
      <c r="E4337" s="6"/>
      <c r="F4337" s="6"/>
      <c r="G4337" s="19"/>
      <c r="H4337" s="19"/>
      <c r="I4337" s="19"/>
      <c r="J4337" s="19"/>
      <c r="K4337" s="6"/>
      <c r="L4337" s="6"/>
      <c r="M4337" s="6"/>
      <c r="N4337" s="6"/>
      <c r="O4337" s="6"/>
      <c r="P4337" s="6"/>
      <c r="Q4337" s="6"/>
      <c r="R4337" s="6"/>
      <c r="S4337" s="6"/>
      <c r="T4337" s="6"/>
    </row>
    <row r="4338" spans="4:20" x14ac:dyDescent="0.2">
      <c r="D4338" s="6"/>
      <c r="E4338" s="6"/>
      <c r="F4338" s="6"/>
      <c r="G4338" s="19"/>
      <c r="H4338" s="19"/>
      <c r="I4338" s="19"/>
      <c r="J4338" s="19"/>
      <c r="K4338" s="6"/>
      <c r="L4338" s="6"/>
      <c r="M4338" s="6"/>
      <c r="N4338" s="6"/>
      <c r="O4338" s="6"/>
      <c r="P4338" s="6"/>
      <c r="Q4338" s="6"/>
      <c r="R4338" s="6"/>
      <c r="S4338" s="6"/>
      <c r="T4338" s="6"/>
    </row>
    <row r="4339" spans="4:20" x14ac:dyDescent="0.2">
      <c r="D4339" s="6"/>
      <c r="E4339" s="6"/>
      <c r="F4339" s="6"/>
      <c r="G4339" s="19"/>
      <c r="H4339" s="19"/>
      <c r="I4339" s="19"/>
      <c r="J4339" s="19"/>
      <c r="K4339" s="6"/>
      <c r="L4339" s="6"/>
      <c r="M4339" s="6"/>
      <c r="N4339" s="6"/>
      <c r="O4339" s="6"/>
      <c r="P4339" s="6"/>
      <c r="Q4339" s="6"/>
      <c r="R4339" s="6"/>
      <c r="S4339" s="6"/>
      <c r="T4339" s="6"/>
    </row>
    <row r="4340" spans="4:20" x14ac:dyDescent="0.2">
      <c r="D4340" s="6"/>
      <c r="E4340" s="6"/>
      <c r="F4340" s="6"/>
      <c r="G4340" s="19"/>
      <c r="H4340" s="19"/>
      <c r="I4340" s="19"/>
      <c r="J4340" s="19"/>
      <c r="K4340" s="6"/>
      <c r="L4340" s="6"/>
      <c r="M4340" s="6"/>
      <c r="N4340" s="6"/>
      <c r="O4340" s="6"/>
      <c r="P4340" s="6"/>
      <c r="Q4340" s="6"/>
      <c r="R4340" s="6"/>
      <c r="S4340" s="6"/>
      <c r="T4340" s="6"/>
    </row>
    <row r="4341" spans="4:20" x14ac:dyDescent="0.2">
      <c r="D4341" s="6"/>
      <c r="E4341" s="6"/>
      <c r="F4341" s="6"/>
      <c r="G4341" s="19"/>
      <c r="H4341" s="19"/>
      <c r="I4341" s="19"/>
      <c r="J4341" s="19"/>
      <c r="K4341" s="6"/>
      <c r="L4341" s="6"/>
      <c r="M4341" s="6"/>
      <c r="N4341" s="6"/>
      <c r="O4341" s="6"/>
      <c r="P4341" s="6"/>
      <c r="Q4341" s="6"/>
      <c r="R4341" s="6"/>
      <c r="S4341" s="6"/>
      <c r="T4341" s="6"/>
    </row>
    <row r="4342" spans="4:20" x14ac:dyDescent="0.2">
      <c r="D4342" s="6"/>
      <c r="E4342" s="6"/>
      <c r="F4342" s="6"/>
      <c r="G4342" s="19"/>
      <c r="H4342" s="19"/>
      <c r="I4342" s="19"/>
      <c r="J4342" s="19"/>
      <c r="K4342" s="6"/>
      <c r="L4342" s="6"/>
      <c r="M4342" s="6"/>
      <c r="N4342" s="6"/>
      <c r="O4342" s="6"/>
      <c r="P4342" s="6"/>
      <c r="Q4342" s="6"/>
      <c r="R4342" s="6"/>
      <c r="S4342" s="6"/>
      <c r="T4342" s="6"/>
    </row>
    <row r="4343" spans="4:20" x14ac:dyDescent="0.2">
      <c r="D4343" s="6"/>
      <c r="E4343" s="6"/>
      <c r="F4343" s="6"/>
      <c r="G4343" s="19"/>
      <c r="H4343" s="19"/>
      <c r="I4343" s="19"/>
      <c r="J4343" s="19"/>
      <c r="K4343" s="6"/>
      <c r="L4343" s="6"/>
      <c r="M4343" s="6"/>
      <c r="N4343" s="6"/>
      <c r="O4343" s="6"/>
      <c r="P4343" s="6"/>
      <c r="Q4343" s="6"/>
      <c r="R4343" s="6"/>
      <c r="S4343" s="6"/>
      <c r="T4343" s="6"/>
    </row>
    <row r="4344" spans="4:20" x14ac:dyDescent="0.2">
      <c r="D4344" s="6"/>
      <c r="E4344" s="6"/>
      <c r="F4344" s="6"/>
      <c r="G4344" s="19"/>
      <c r="H4344" s="19"/>
      <c r="I4344" s="19"/>
      <c r="J4344" s="19"/>
      <c r="K4344" s="6"/>
      <c r="L4344" s="6"/>
      <c r="M4344" s="6"/>
      <c r="N4344" s="6"/>
      <c r="O4344" s="6"/>
      <c r="P4344" s="6"/>
      <c r="Q4344" s="6"/>
      <c r="R4344" s="6"/>
      <c r="S4344" s="6"/>
      <c r="T4344" s="6"/>
    </row>
    <row r="4345" spans="4:20" x14ac:dyDescent="0.2">
      <c r="D4345" s="6"/>
      <c r="E4345" s="6"/>
      <c r="F4345" s="6"/>
      <c r="G4345" s="19"/>
      <c r="H4345" s="19"/>
      <c r="I4345" s="19"/>
      <c r="J4345" s="19"/>
      <c r="K4345" s="6"/>
      <c r="L4345" s="6"/>
      <c r="M4345" s="6"/>
      <c r="N4345" s="6"/>
      <c r="O4345" s="6"/>
      <c r="P4345" s="6"/>
      <c r="Q4345" s="6"/>
      <c r="R4345" s="6"/>
      <c r="S4345" s="6"/>
      <c r="T4345" s="6"/>
    </row>
    <row r="4346" spans="4:20" x14ac:dyDescent="0.2">
      <c r="D4346" s="6"/>
      <c r="E4346" s="6"/>
      <c r="F4346" s="6"/>
      <c r="G4346" s="19"/>
      <c r="H4346" s="19"/>
      <c r="I4346" s="19"/>
      <c r="J4346" s="19"/>
      <c r="K4346" s="6"/>
      <c r="L4346" s="6"/>
      <c r="M4346" s="6"/>
      <c r="N4346" s="6"/>
      <c r="O4346" s="6"/>
      <c r="P4346" s="6"/>
      <c r="Q4346" s="6"/>
      <c r="R4346" s="6"/>
      <c r="S4346" s="6"/>
      <c r="T4346" s="6"/>
    </row>
    <row r="4347" spans="4:20" x14ac:dyDescent="0.2">
      <c r="D4347" s="6"/>
      <c r="E4347" s="6"/>
      <c r="F4347" s="6"/>
      <c r="G4347" s="19"/>
      <c r="H4347" s="19"/>
      <c r="I4347" s="19"/>
      <c r="J4347" s="19"/>
      <c r="K4347" s="6"/>
      <c r="L4347" s="6"/>
      <c r="M4347" s="6"/>
      <c r="N4347" s="6"/>
      <c r="O4347" s="6"/>
      <c r="P4347" s="6"/>
      <c r="Q4347" s="6"/>
      <c r="R4347" s="6"/>
      <c r="S4347" s="6"/>
      <c r="T4347" s="6"/>
    </row>
    <row r="4348" spans="4:20" x14ac:dyDescent="0.2">
      <c r="D4348" s="6"/>
      <c r="E4348" s="6"/>
      <c r="F4348" s="6"/>
      <c r="G4348" s="19"/>
      <c r="H4348" s="19"/>
      <c r="I4348" s="19"/>
      <c r="J4348" s="19"/>
      <c r="K4348" s="6"/>
      <c r="L4348" s="6"/>
      <c r="M4348" s="6"/>
      <c r="N4348" s="6"/>
      <c r="O4348" s="6"/>
      <c r="P4348" s="6"/>
      <c r="Q4348" s="6"/>
      <c r="R4348" s="6"/>
      <c r="S4348" s="6"/>
      <c r="T4348" s="6"/>
    </row>
    <row r="4349" spans="4:20" x14ac:dyDescent="0.2">
      <c r="D4349" s="6"/>
      <c r="E4349" s="6"/>
      <c r="F4349" s="6"/>
      <c r="G4349" s="19"/>
      <c r="H4349" s="19"/>
      <c r="I4349" s="19"/>
      <c r="J4349" s="19"/>
      <c r="K4349" s="6"/>
      <c r="L4349" s="6"/>
      <c r="M4349" s="6"/>
      <c r="N4349" s="6"/>
      <c r="O4349" s="6"/>
      <c r="P4349" s="6"/>
      <c r="Q4349" s="6"/>
      <c r="R4349" s="6"/>
      <c r="S4349" s="6"/>
      <c r="T4349" s="6"/>
    </row>
    <row r="4350" spans="4:20" x14ac:dyDescent="0.2">
      <c r="D4350" s="6"/>
      <c r="E4350" s="6"/>
      <c r="F4350" s="6"/>
      <c r="G4350" s="19"/>
      <c r="H4350" s="19"/>
      <c r="I4350" s="19"/>
      <c r="J4350" s="19"/>
      <c r="K4350" s="6"/>
      <c r="L4350" s="6"/>
      <c r="M4350" s="6"/>
      <c r="N4350" s="6"/>
      <c r="O4350" s="6"/>
      <c r="P4350" s="6"/>
      <c r="Q4350" s="6"/>
      <c r="R4350" s="6"/>
      <c r="S4350" s="6"/>
      <c r="T4350" s="6"/>
    </row>
    <row r="4351" spans="4:20" x14ac:dyDescent="0.2">
      <c r="D4351" s="6"/>
      <c r="E4351" s="6"/>
      <c r="F4351" s="6"/>
      <c r="G4351" s="19"/>
      <c r="H4351" s="19"/>
      <c r="I4351" s="19"/>
      <c r="J4351" s="19"/>
      <c r="K4351" s="6"/>
      <c r="L4351" s="6"/>
      <c r="M4351" s="6"/>
      <c r="N4351" s="6"/>
      <c r="O4351" s="6"/>
      <c r="P4351" s="6"/>
      <c r="Q4351" s="6"/>
      <c r="R4351" s="6"/>
      <c r="S4351" s="6"/>
      <c r="T4351" s="6"/>
    </row>
    <row r="4352" spans="4:20" x14ac:dyDescent="0.2">
      <c r="D4352" s="6"/>
      <c r="E4352" s="6"/>
      <c r="F4352" s="6"/>
      <c r="G4352" s="19"/>
      <c r="H4352" s="19"/>
      <c r="I4352" s="19"/>
      <c r="J4352" s="19"/>
      <c r="K4352" s="6"/>
      <c r="L4352" s="6"/>
      <c r="M4352" s="6"/>
      <c r="N4352" s="6"/>
      <c r="O4352" s="6"/>
      <c r="P4352" s="6"/>
      <c r="Q4352" s="6"/>
      <c r="R4352" s="6"/>
      <c r="S4352" s="6"/>
      <c r="T4352" s="6"/>
    </row>
    <row r="4353" spans="4:20" x14ac:dyDescent="0.2">
      <c r="D4353" s="6"/>
      <c r="E4353" s="6"/>
      <c r="F4353" s="6"/>
      <c r="G4353" s="19"/>
      <c r="H4353" s="19"/>
      <c r="I4353" s="19"/>
      <c r="J4353" s="19"/>
      <c r="K4353" s="6"/>
      <c r="L4353" s="6"/>
      <c r="M4353" s="6"/>
      <c r="N4353" s="6"/>
      <c r="O4353" s="6"/>
      <c r="P4353" s="6"/>
      <c r="Q4353" s="6"/>
      <c r="R4353" s="6"/>
      <c r="S4353" s="6"/>
      <c r="T4353" s="6"/>
    </row>
    <row r="4354" spans="4:20" x14ac:dyDescent="0.2">
      <c r="D4354" s="6"/>
      <c r="E4354" s="6"/>
      <c r="F4354" s="6"/>
      <c r="G4354" s="19"/>
      <c r="H4354" s="19"/>
      <c r="I4354" s="19"/>
      <c r="J4354" s="19"/>
      <c r="K4354" s="6"/>
      <c r="L4354" s="6"/>
      <c r="M4354" s="6"/>
      <c r="N4354" s="6"/>
      <c r="O4354" s="6"/>
      <c r="P4354" s="6"/>
      <c r="Q4354" s="6"/>
      <c r="R4354" s="6"/>
      <c r="S4354" s="6"/>
      <c r="T4354" s="6"/>
    </row>
    <row r="4355" spans="4:20" x14ac:dyDescent="0.2">
      <c r="D4355" s="6"/>
      <c r="E4355" s="6"/>
      <c r="F4355" s="6"/>
      <c r="G4355" s="19"/>
      <c r="H4355" s="19"/>
      <c r="I4355" s="19"/>
      <c r="J4355" s="19"/>
      <c r="K4355" s="6"/>
      <c r="L4355" s="6"/>
      <c r="M4355" s="6"/>
      <c r="N4355" s="6"/>
      <c r="O4355" s="6"/>
      <c r="P4355" s="6"/>
      <c r="Q4355" s="6"/>
      <c r="R4355" s="6"/>
      <c r="S4355" s="6"/>
      <c r="T4355" s="6"/>
    </row>
    <row r="4356" spans="4:20" x14ac:dyDescent="0.2">
      <c r="D4356" s="6"/>
      <c r="E4356" s="6"/>
      <c r="F4356" s="6"/>
      <c r="G4356" s="19"/>
      <c r="H4356" s="19"/>
      <c r="I4356" s="19"/>
      <c r="J4356" s="19"/>
      <c r="K4356" s="6"/>
      <c r="L4356" s="6"/>
      <c r="M4356" s="6"/>
      <c r="N4356" s="6"/>
      <c r="O4356" s="6"/>
      <c r="P4356" s="6"/>
      <c r="Q4356" s="6"/>
      <c r="R4356" s="6"/>
      <c r="S4356" s="6"/>
      <c r="T4356" s="6"/>
    </row>
    <row r="4357" spans="4:20" x14ac:dyDescent="0.2">
      <c r="D4357" s="6"/>
      <c r="E4357" s="6"/>
      <c r="F4357" s="6"/>
      <c r="G4357" s="19"/>
      <c r="H4357" s="19"/>
      <c r="I4357" s="19"/>
      <c r="J4357" s="19"/>
      <c r="K4357" s="6"/>
      <c r="L4357" s="6"/>
      <c r="M4357" s="6"/>
      <c r="N4357" s="6"/>
      <c r="O4357" s="6"/>
      <c r="P4357" s="6"/>
      <c r="Q4357" s="6"/>
      <c r="R4357" s="6"/>
      <c r="S4357" s="6"/>
      <c r="T4357" s="6"/>
    </row>
    <row r="4358" spans="4:20" x14ac:dyDescent="0.2">
      <c r="D4358" s="6"/>
      <c r="E4358" s="6"/>
      <c r="F4358" s="6"/>
      <c r="G4358" s="19"/>
      <c r="H4358" s="19"/>
      <c r="I4358" s="19"/>
      <c r="J4358" s="19"/>
      <c r="K4358" s="6"/>
      <c r="L4358" s="6"/>
      <c r="M4358" s="6"/>
      <c r="N4358" s="6"/>
      <c r="O4358" s="6"/>
      <c r="P4358" s="6"/>
      <c r="Q4358" s="6"/>
      <c r="R4358" s="6"/>
      <c r="S4358" s="6"/>
      <c r="T4358" s="6"/>
    </row>
    <row r="4359" spans="4:20" x14ac:dyDescent="0.2">
      <c r="D4359" s="6"/>
      <c r="E4359" s="6"/>
      <c r="F4359" s="6"/>
      <c r="G4359" s="19"/>
      <c r="H4359" s="19"/>
      <c r="I4359" s="19"/>
      <c r="J4359" s="19"/>
      <c r="K4359" s="6"/>
      <c r="L4359" s="6"/>
      <c r="M4359" s="6"/>
      <c r="N4359" s="6"/>
      <c r="O4359" s="6"/>
      <c r="P4359" s="6"/>
      <c r="Q4359" s="6"/>
      <c r="R4359" s="6"/>
      <c r="S4359" s="6"/>
      <c r="T4359" s="6"/>
    </row>
    <row r="4360" spans="4:20" x14ac:dyDescent="0.2">
      <c r="D4360" s="6"/>
      <c r="E4360" s="6"/>
      <c r="F4360" s="6"/>
      <c r="G4360" s="19"/>
      <c r="H4360" s="19"/>
      <c r="I4360" s="19"/>
      <c r="J4360" s="19"/>
      <c r="K4360" s="6"/>
      <c r="L4360" s="6"/>
      <c r="M4360" s="6"/>
      <c r="N4360" s="6"/>
      <c r="O4360" s="6"/>
      <c r="P4360" s="6"/>
      <c r="Q4360" s="6"/>
      <c r="R4360" s="6"/>
      <c r="S4360" s="6"/>
      <c r="T4360" s="6"/>
    </row>
    <row r="4361" spans="4:20" x14ac:dyDescent="0.2">
      <c r="D4361" s="6"/>
      <c r="E4361" s="6"/>
      <c r="F4361" s="6"/>
      <c r="G4361" s="19"/>
      <c r="H4361" s="19"/>
      <c r="I4361" s="19"/>
      <c r="J4361" s="19"/>
      <c r="K4361" s="6"/>
      <c r="L4361" s="6"/>
      <c r="M4361" s="6"/>
      <c r="N4361" s="6"/>
      <c r="O4361" s="6"/>
      <c r="P4361" s="6"/>
      <c r="Q4361" s="6"/>
      <c r="R4361" s="6"/>
      <c r="S4361" s="6"/>
      <c r="T4361" s="6"/>
    </row>
    <row r="4362" spans="4:20" x14ac:dyDescent="0.2">
      <c r="D4362" s="6"/>
      <c r="E4362" s="6"/>
      <c r="F4362" s="6"/>
      <c r="G4362" s="19"/>
      <c r="H4362" s="19"/>
      <c r="I4362" s="19"/>
      <c r="J4362" s="19"/>
      <c r="K4362" s="6"/>
      <c r="L4362" s="6"/>
      <c r="M4362" s="6"/>
      <c r="N4362" s="6"/>
      <c r="O4362" s="6"/>
      <c r="P4362" s="6"/>
      <c r="Q4362" s="6"/>
      <c r="R4362" s="6"/>
      <c r="S4362" s="6"/>
      <c r="T4362" s="6"/>
    </row>
    <row r="4363" spans="4:20" x14ac:dyDescent="0.2">
      <c r="D4363" s="6"/>
      <c r="E4363" s="6"/>
      <c r="F4363" s="6"/>
      <c r="G4363" s="19"/>
      <c r="H4363" s="19"/>
      <c r="I4363" s="19"/>
      <c r="J4363" s="19"/>
      <c r="K4363" s="6"/>
      <c r="L4363" s="6"/>
      <c r="M4363" s="6"/>
      <c r="N4363" s="6"/>
      <c r="O4363" s="6"/>
      <c r="P4363" s="6"/>
      <c r="Q4363" s="6"/>
      <c r="R4363" s="6"/>
      <c r="S4363" s="6"/>
      <c r="T4363" s="6"/>
    </row>
    <row r="4364" spans="4:20" x14ac:dyDescent="0.2">
      <c r="D4364" s="6"/>
      <c r="E4364" s="6"/>
      <c r="F4364" s="6"/>
      <c r="G4364" s="19"/>
      <c r="H4364" s="19"/>
      <c r="I4364" s="19"/>
      <c r="J4364" s="19"/>
      <c r="K4364" s="6"/>
      <c r="L4364" s="6"/>
      <c r="M4364" s="6"/>
      <c r="N4364" s="6"/>
      <c r="O4364" s="6"/>
      <c r="P4364" s="6"/>
      <c r="Q4364" s="6"/>
      <c r="R4364" s="6"/>
      <c r="S4364" s="6"/>
      <c r="T4364" s="6"/>
    </row>
    <row r="4365" spans="4:20" x14ac:dyDescent="0.2">
      <c r="D4365" s="6"/>
      <c r="E4365" s="6"/>
      <c r="F4365" s="6"/>
      <c r="G4365" s="19"/>
      <c r="H4365" s="19"/>
      <c r="I4365" s="19"/>
      <c r="J4365" s="19"/>
      <c r="K4365" s="6"/>
      <c r="L4365" s="6"/>
      <c r="M4365" s="6"/>
      <c r="N4365" s="6"/>
      <c r="O4365" s="6"/>
      <c r="P4365" s="6"/>
      <c r="Q4365" s="6"/>
      <c r="R4365" s="6"/>
      <c r="S4365" s="6"/>
      <c r="T4365" s="6"/>
    </row>
    <row r="4366" spans="4:20" x14ac:dyDescent="0.2">
      <c r="D4366" s="6"/>
      <c r="E4366" s="6"/>
      <c r="F4366" s="6"/>
      <c r="G4366" s="19"/>
      <c r="H4366" s="19"/>
      <c r="I4366" s="19"/>
      <c r="J4366" s="19"/>
      <c r="K4366" s="6"/>
      <c r="L4366" s="6"/>
      <c r="M4366" s="6"/>
      <c r="N4366" s="6"/>
      <c r="O4366" s="6"/>
      <c r="P4366" s="6"/>
      <c r="Q4366" s="6"/>
      <c r="R4366" s="6"/>
      <c r="S4366" s="6"/>
      <c r="T4366" s="6"/>
    </row>
    <row r="4367" spans="4:20" x14ac:dyDescent="0.2">
      <c r="D4367" s="6"/>
      <c r="E4367" s="6"/>
      <c r="F4367" s="6"/>
      <c r="G4367" s="19"/>
      <c r="H4367" s="19"/>
      <c r="I4367" s="19"/>
      <c r="J4367" s="19"/>
      <c r="K4367" s="6"/>
      <c r="L4367" s="6"/>
      <c r="M4367" s="6"/>
      <c r="N4367" s="6"/>
      <c r="O4367" s="6"/>
      <c r="P4367" s="6"/>
      <c r="Q4367" s="6"/>
      <c r="R4367" s="6"/>
      <c r="S4367" s="6"/>
      <c r="T4367" s="6"/>
    </row>
    <row r="4368" spans="4:20" x14ac:dyDescent="0.2">
      <c r="D4368" s="6"/>
      <c r="E4368" s="6"/>
      <c r="F4368" s="6"/>
      <c r="G4368" s="19"/>
      <c r="H4368" s="19"/>
      <c r="I4368" s="19"/>
      <c r="J4368" s="19"/>
      <c r="K4368" s="6"/>
      <c r="L4368" s="6"/>
      <c r="M4368" s="6"/>
      <c r="N4368" s="6"/>
      <c r="O4368" s="6"/>
      <c r="P4368" s="6"/>
      <c r="Q4368" s="6"/>
      <c r="R4368" s="6"/>
      <c r="S4368" s="6"/>
      <c r="T4368" s="6"/>
    </row>
    <row r="4369" spans="4:20" x14ac:dyDescent="0.2">
      <c r="D4369" s="6"/>
      <c r="E4369" s="6"/>
      <c r="F4369" s="6"/>
      <c r="G4369" s="19"/>
      <c r="H4369" s="19"/>
      <c r="I4369" s="19"/>
      <c r="J4369" s="19"/>
      <c r="K4369" s="6"/>
      <c r="L4369" s="6"/>
      <c r="M4369" s="6"/>
      <c r="N4369" s="6"/>
      <c r="O4369" s="6"/>
      <c r="P4369" s="6"/>
      <c r="Q4369" s="6"/>
      <c r="R4369" s="6"/>
      <c r="S4369" s="6"/>
      <c r="T4369" s="6"/>
    </row>
    <row r="4370" spans="4:20" x14ac:dyDescent="0.2">
      <c r="D4370" s="6"/>
      <c r="E4370" s="6"/>
      <c r="F4370" s="6"/>
      <c r="G4370" s="19"/>
      <c r="H4370" s="19"/>
      <c r="I4370" s="19"/>
      <c r="J4370" s="19"/>
      <c r="K4370" s="6"/>
      <c r="L4370" s="6"/>
      <c r="M4370" s="6"/>
      <c r="N4370" s="6"/>
      <c r="O4370" s="6"/>
      <c r="P4370" s="6"/>
      <c r="Q4370" s="6"/>
      <c r="R4370" s="6"/>
      <c r="S4370" s="6"/>
      <c r="T4370" s="6"/>
    </row>
    <row r="4371" spans="4:20" x14ac:dyDescent="0.2">
      <c r="D4371" s="6"/>
      <c r="E4371" s="6"/>
      <c r="F4371" s="6"/>
      <c r="G4371" s="19"/>
      <c r="H4371" s="19"/>
      <c r="I4371" s="19"/>
      <c r="J4371" s="19"/>
      <c r="K4371" s="6"/>
      <c r="L4371" s="6"/>
      <c r="M4371" s="6"/>
      <c r="N4371" s="6"/>
      <c r="O4371" s="6"/>
      <c r="P4371" s="6"/>
      <c r="Q4371" s="6"/>
      <c r="R4371" s="6"/>
      <c r="S4371" s="6"/>
      <c r="T4371" s="6"/>
    </row>
    <row r="4372" spans="4:20" x14ac:dyDescent="0.2">
      <c r="D4372" s="6"/>
      <c r="E4372" s="6"/>
      <c r="F4372" s="6"/>
      <c r="G4372" s="19"/>
      <c r="H4372" s="19"/>
      <c r="I4372" s="19"/>
      <c r="J4372" s="19"/>
      <c r="K4372" s="6"/>
      <c r="L4372" s="6"/>
      <c r="M4372" s="6"/>
      <c r="N4372" s="6"/>
      <c r="O4372" s="6"/>
      <c r="P4372" s="6"/>
      <c r="Q4372" s="6"/>
      <c r="R4372" s="6"/>
      <c r="S4372" s="6"/>
      <c r="T4372" s="6"/>
    </row>
    <row r="4373" spans="4:20" x14ac:dyDescent="0.2">
      <c r="D4373" s="6"/>
      <c r="E4373" s="6"/>
      <c r="F4373" s="6"/>
      <c r="G4373" s="19"/>
      <c r="H4373" s="19"/>
      <c r="I4373" s="19"/>
      <c r="J4373" s="19"/>
      <c r="K4373" s="6"/>
      <c r="L4373" s="6"/>
      <c r="M4373" s="6"/>
      <c r="N4373" s="6"/>
      <c r="O4373" s="6"/>
      <c r="P4373" s="6"/>
      <c r="Q4373" s="6"/>
      <c r="R4373" s="6"/>
      <c r="S4373" s="6"/>
      <c r="T4373" s="6"/>
    </row>
    <row r="4374" spans="4:20" x14ac:dyDescent="0.2">
      <c r="D4374" s="6"/>
      <c r="E4374" s="6"/>
      <c r="F4374" s="6"/>
      <c r="G4374" s="19"/>
      <c r="H4374" s="19"/>
      <c r="I4374" s="19"/>
      <c r="J4374" s="19"/>
      <c r="K4374" s="6"/>
      <c r="L4374" s="6"/>
      <c r="M4374" s="6"/>
      <c r="N4374" s="6"/>
      <c r="O4374" s="6"/>
      <c r="P4374" s="6"/>
      <c r="Q4374" s="6"/>
      <c r="R4374" s="6"/>
      <c r="S4374" s="6"/>
      <c r="T4374" s="6"/>
    </row>
    <row r="4375" spans="4:20" x14ac:dyDescent="0.2">
      <c r="D4375" s="6"/>
      <c r="E4375" s="6"/>
      <c r="F4375" s="6"/>
      <c r="G4375" s="19"/>
      <c r="H4375" s="19"/>
      <c r="I4375" s="19"/>
      <c r="J4375" s="19"/>
      <c r="K4375" s="6"/>
      <c r="L4375" s="6"/>
      <c r="M4375" s="6"/>
      <c r="N4375" s="6"/>
      <c r="O4375" s="6"/>
      <c r="P4375" s="6"/>
      <c r="Q4375" s="6"/>
      <c r="R4375" s="6"/>
      <c r="S4375" s="6"/>
      <c r="T4375" s="6"/>
    </row>
    <row r="4376" spans="4:20" x14ac:dyDescent="0.2">
      <c r="D4376" s="6"/>
      <c r="E4376" s="6"/>
      <c r="F4376" s="6"/>
      <c r="G4376" s="19"/>
      <c r="H4376" s="19"/>
      <c r="I4376" s="19"/>
      <c r="J4376" s="19"/>
      <c r="K4376" s="6"/>
      <c r="L4376" s="6"/>
      <c r="M4376" s="6"/>
      <c r="N4376" s="6"/>
      <c r="O4376" s="6"/>
      <c r="P4376" s="6"/>
      <c r="Q4376" s="6"/>
      <c r="R4376" s="6"/>
      <c r="S4376" s="6"/>
      <c r="T4376" s="6"/>
    </row>
    <row r="4377" spans="4:20" x14ac:dyDescent="0.2">
      <c r="D4377" s="6"/>
      <c r="E4377" s="6"/>
      <c r="F4377" s="6"/>
      <c r="G4377" s="19"/>
      <c r="H4377" s="19"/>
      <c r="I4377" s="19"/>
      <c r="J4377" s="19"/>
      <c r="K4377" s="6"/>
      <c r="L4377" s="6"/>
      <c r="M4377" s="6"/>
      <c r="N4377" s="6"/>
      <c r="O4377" s="6"/>
      <c r="P4377" s="6"/>
      <c r="Q4377" s="6"/>
      <c r="R4377" s="6"/>
      <c r="S4377" s="6"/>
      <c r="T4377" s="6"/>
    </row>
    <row r="4378" spans="4:20" x14ac:dyDescent="0.2">
      <c r="D4378" s="6"/>
      <c r="E4378" s="6"/>
      <c r="F4378" s="6"/>
      <c r="G4378" s="19"/>
      <c r="H4378" s="19"/>
      <c r="I4378" s="19"/>
      <c r="J4378" s="19"/>
      <c r="K4378" s="6"/>
      <c r="L4378" s="6"/>
      <c r="M4378" s="6"/>
      <c r="N4378" s="6"/>
      <c r="O4378" s="6"/>
      <c r="P4378" s="6"/>
      <c r="Q4378" s="6"/>
      <c r="R4378" s="6"/>
      <c r="S4378" s="6"/>
      <c r="T4378" s="6"/>
    </row>
    <row r="4379" spans="4:20" x14ac:dyDescent="0.2">
      <c r="D4379" s="6"/>
      <c r="E4379" s="6"/>
      <c r="F4379" s="6"/>
      <c r="G4379" s="19"/>
      <c r="H4379" s="19"/>
      <c r="I4379" s="19"/>
      <c r="J4379" s="19"/>
      <c r="K4379" s="6"/>
      <c r="L4379" s="6"/>
      <c r="M4379" s="6"/>
      <c r="N4379" s="6"/>
      <c r="O4379" s="6"/>
      <c r="P4379" s="6"/>
      <c r="Q4379" s="6"/>
      <c r="R4379" s="6"/>
      <c r="S4379" s="6"/>
      <c r="T4379" s="6"/>
    </row>
    <row r="4380" spans="4:20" x14ac:dyDescent="0.2">
      <c r="D4380" s="6"/>
      <c r="E4380" s="6"/>
      <c r="F4380" s="6"/>
      <c r="G4380" s="19"/>
      <c r="H4380" s="19"/>
      <c r="I4380" s="19"/>
      <c r="J4380" s="19"/>
      <c r="K4380" s="6"/>
      <c r="L4380" s="6"/>
      <c r="M4380" s="6"/>
      <c r="N4380" s="6"/>
      <c r="O4380" s="6"/>
      <c r="P4380" s="6"/>
      <c r="Q4380" s="6"/>
      <c r="R4380" s="6"/>
      <c r="S4380" s="6"/>
      <c r="T4380" s="6"/>
    </row>
    <row r="4381" spans="4:20" x14ac:dyDescent="0.2">
      <c r="D4381" s="6"/>
      <c r="E4381" s="6"/>
      <c r="F4381" s="6"/>
      <c r="G4381" s="19"/>
      <c r="H4381" s="19"/>
      <c r="I4381" s="19"/>
      <c r="J4381" s="19"/>
      <c r="K4381" s="6"/>
      <c r="L4381" s="6"/>
      <c r="M4381" s="6"/>
      <c r="N4381" s="6"/>
      <c r="O4381" s="6"/>
      <c r="P4381" s="6"/>
      <c r="Q4381" s="6"/>
      <c r="R4381" s="6"/>
      <c r="S4381" s="6"/>
      <c r="T4381" s="6"/>
    </row>
    <row r="4382" spans="4:20" x14ac:dyDescent="0.2">
      <c r="D4382" s="6"/>
      <c r="E4382" s="6"/>
      <c r="F4382" s="6"/>
      <c r="G4382" s="19"/>
      <c r="H4382" s="19"/>
      <c r="I4382" s="19"/>
      <c r="J4382" s="19"/>
      <c r="K4382" s="6"/>
      <c r="L4382" s="6"/>
      <c r="M4382" s="6"/>
      <c r="N4382" s="6"/>
      <c r="O4382" s="6"/>
      <c r="P4382" s="6"/>
      <c r="Q4382" s="6"/>
      <c r="R4382" s="6"/>
      <c r="S4382" s="6"/>
      <c r="T4382" s="6"/>
    </row>
    <row r="4383" spans="4:20" x14ac:dyDescent="0.2">
      <c r="D4383" s="6"/>
      <c r="E4383" s="6"/>
      <c r="F4383" s="6"/>
      <c r="G4383" s="19"/>
      <c r="H4383" s="19"/>
      <c r="I4383" s="19"/>
      <c r="J4383" s="19"/>
      <c r="K4383" s="6"/>
      <c r="L4383" s="6"/>
      <c r="M4383" s="6"/>
      <c r="N4383" s="6"/>
      <c r="O4383" s="6"/>
      <c r="P4383" s="6"/>
      <c r="Q4383" s="6"/>
      <c r="R4383" s="6"/>
      <c r="S4383" s="6"/>
      <c r="T4383" s="6"/>
    </row>
    <row r="4384" spans="4:20" x14ac:dyDescent="0.2">
      <c r="D4384" s="6"/>
      <c r="E4384" s="6"/>
      <c r="F4384" s="6"/>
      <c r="G4384" s="19"/>
      <c r="H4384" s="19"/>
      <c r="I4384" s="19"/>
      <c r="J4384" s="19"/>
      <c r="K4384" s="6"/>
      <c r="L4384" s="6"/>
      <c r="M4384" s="6"/>
      <c r="N4384" s="6"/>
      <c r="O4384" s="6"/>
      <c r="P4384" s="6"/>
      <c r="Q4384" s="6"/>
      <c r="R4384" s="6"/>
      <c r="S4384" s="6"/>
      <c r="T4384" s="6"/>
    </row>
    <row r="4385" spans="4:20" x14ac:dyDescent="0.2">
      <c r="D4385" s="6"/>
      <c r="E4385" s="6"/>
      <c r="F4385" s="6"/>
      <c r="G4385" s="19"/>
      <c r="H4385" s="19"/>
      <c r="I4385" s="19"/>
      <c r="J4385" s="19"/>
      <c r="K4385" s="6"/>
      <c r="L4385" s="6"/>
      <c r="M4385" s="6"/>
      <c r="N4385" s="6"/>
      <c r="O4385" s="6"/>
      <c r="P4385" s="6"/>
      <c r="Q4385" s="6"/>
      <c r="R4385" s="6"/>
      <c r="S4385" s="6"/>
      <c r="T4385" s="6"/>
    </row>
    <row r="4386" spans="4:20" x14ac:dyDescent="0.2">
      <c r="D4386" s="6"/>
      <c r="E4386" s="6"/>
      <c r="F4386" s="6"/>
      <c r="G4386" s="19"/>
      <c r="H4386" s="19"/>
      <c r="I4386" s="19"/>
      <c r="J4386" s="19"/>
      <c r="K4386" s="6"/>
      <c r="L4386" s="6"/>
      <c r="M4386" s="6"/>
      <c r="N4386" s="6"/>
      <c r="O4386" s="6"/>
      <c r="P4386" s="6"/>
      <c r="Q4386" s="6"/>
      <c r="R4386" s="6"/>
      <c r="S4386" s="6"/>
      <c r="T4386" s="6"/>
    </row>
    <row r="4387" spans="4:20" x14ac:dyDescent="0.2">
      <c r="D4387" s="6"/>
      <c r="E4387" s="6"/>
      <c r="F4387" s="6"/>
      <c r="G4387" s="19"/>
      <c r="H4387" s="19"/>
      <c r="I4387" s="19"/>
      <c r="J4387" s="19"/>
      <c r="K4387" s="6"/>
      <c r="L4387" s="6"/>
      <c r="M4387" s="6"/>
      <c r="N4387" s="6"/>
      <c r="O4387" s="6"/>
      <c r="P4387" s="6"/>
      <c r="Q4387" s="6"/>
      <c r="R4387" s="6"/>
      <c r="S4387" s="6"/>
      <c r="T4387" s="6"/>
    </row>
    <row r="4388" spans="4:20" x14ac:dyDescent="0.2">
      <c r="D4388" s="6"/>
      <c r="E4388" s="6"/>
      <c r="F4388" s="6"/>
      <c r="G4388" s="19"/>
      <c r="H4388" s="19"/>
      <c r="I4388" s="19"/>
      <c r="J4388" s="19"/>
      <c r="K4388" s="6"/>
      <c r="L4388" s="6"/>
      <c r="M4388" s="6"/>
      <c r="N4388" s="6"/>
      <c r="O4388" s="6"/>
      <c r="P4388" s="6"/>
      <c r="Q4388" s="6"/>
      <c r="R4388" s="6"/>
      <c r="S4388" s="6"/>
      <c r="T4388" s="6"/>
    </row>
    <row r="4389" spans="4:20" x14ac:dyDescent="0.2">
      <c r="D4389" s="6"/>
      <c r="E4389" s="6"/>
      <c r="F4389" s="6"/>
      <c r="G4389" s="19"/>
      <c r="H4389" s="19"/>
      <c r="I4389" s="19"/>
      <c r="J4389" s="19"/>
      <c r="K4389" s="6"/>
      <c r="L4389" s="6"/>
      <c r="M4389" s="6"/>
      <c r="N4389" s="6"/>
      <c r="O4389" s="6"/>
      <c r="P4389" s="6"/>
      <c r="Q4389" s="6"/>
      <c r="R4389" s="6"/>
      <c r="S4389" s="6"/>
      <c r="T4389" s="6"/>
    </row>
    <row r="4390" spans="4:20" x14ac:dyDescent="0.2">
      <c r="D4390" s="6"/>
      <c r="E4390" s="6"/>
      <c r="F4390" s="6"/>
      <c r="G4390" s="19"/>
      <c r="H4390" s="19"/>
      <c r="I4390" s="19"/>
      <c r="J4390" s="19"/>
      <c r="K4390" s="6"/>
      <c r="L4390" s="6"/>
      <c r="M4390" s="6"/>
      <c r="N4390" s="6"/>
      <c r="O4390" s="6"/>
      <c r="P4390" s="6"/>
      <c r="Q4390" s="6"/>
      <c r="R4390" s="6"/>
      <c r="S4390" s="6"/>
      <c r="T4390" s="6"/>
    </row>
    <row r="4391" spans="4:20" x14ac:dyDescent="0.2">
      <c r="D4391" s="6"/>
      <c r="E4391" s="6"/>
      <c r="F4391" s="6"/>
      <c r="G4391" s="19"/>
      <c r="H4391" s="19"/>
      <c r="I4391" s="19"/>
      <c r="J4391" s="19"/>
      <c r="K4391" s="6"/>
      <c r="L4391" s="6"/>
      <c r="M4391" s="6"/>
      <c r="N4391" s="6"/>
      <c r="O4391" s="6"/>
      <c r="P4391" s="6"/>
      <c r="Q4391" s="6"/>
      <c r="R4391" s="6"/>
      <c r="S4391" s="6"/>
      <c r="T4391" s="6"/>
    </row>
    <row r="4392" spans="4:20" x14ac:dyDescent="0.2">
      <c r="D4392" s="6"/>
      <c r="E4392" s="6"/>
      <c r="F4392" s="6"/>
      <c r="G4392" s="19"/>
      <c r="H4392" s="19"/>
      <c r="I4392" s="19"/>
      <c r="J4392" s="19"/>
      <c r="K4392" s="6"/>
      <c r="L4392" s="6"/>
      <c r="M4392" s="6"/>
      <c r="N4392" s="6"/>
      <c r="O4392" s="6"/>
      <c r="P4392" s="6"/>
      <c r="Q4392" s="6"/>
      <c r="R4392" s="6"/>
      <c r="S4392" s="6"/>
      <c r="T4392" s="6"/>
    </row>
    <row r="4393" spans="4:20" x14ac:dyDescent="0.2">
      <c r="D4393" s="6"/>
      <c r="E4393" s="6"/>
      <c r="F4393" s="6"/>
      <c r="G4393" s="19"/>
      <c r="H4393" s="19"/>
      <c r="I4393" s="19"/>
      <c r="J4393" s="19"/>
      <c r="K4393" s="6"/>
      <c r="L4393" s="6"/>
      <c r="M4393" s="6"/>
      <c r="N4393" s="6"/>
      <c r="O4393" s="6"/>
      <c r="P4393" s="6"/>
      <c r="Q4393" s="6"/>
      <c r="R4393" s="6"/>
      <c r="S4393" s="6"/>
      <c r="T4393" s="6"/>
    </row>
    <row r="4394" spans="4:20" x14ac:dyDescent="0.2">
      <c r="D4394" s="6"/>
      <c r="E4394" s="6"/>
      <c r="F4394" s="6"/>
      <c r="G4394" s="19"/>
      <c r="H4394" s="19"/>
      <c r="I4394" s="19"/>
      <c r="J4394" s="19"/>
      <c r="K4394" s="6"/>
      <c r="L4394" s="6"/>
      <c r="M4394" s="6"/>
      <c r="N4394" s="6"/>
      <c r="O4394" s="6"/>
      <c r="P4394" s="6"/>
      <c r="Q4394" s="6"/>
      <c r="R4394" s="6"/>
      <c r="S4394" s="6"/>
      <c r="T4394" s="6"/>
    </row>
    <row r="4395" spans="4:20" x14ac:dyDescent="0.2">
      <c r="D4395" s="6"/>
      <c r="E4395" s="6"/>
      <c r="F4395" s="6"/>
      <c r="G4395" s="19"/>
      <c r="H4395" s="19"/>
      <c r="I4395" s="19"/>
      <c r="J4395" s="19"/>
      <c r="K4395" s="6"/>
      <c r="L4395" s="6"/>
      <c r="M4395" s="6"/>
      <c r="N4395" s="6"/>
      <c r="O4395" s="6"/>
      <c r="P4395" s="6"/>
      <c r="Q4395" s="6"/>
      <c r="R4395" s="6"/>
      <c r="S4395" s="6"/>
      <c r="T4395" s="6"/>
    </row>
    <row r="4396" spans="4:20" x14ac:dyDescent="0.2">
      <c r="D4396" s="6"/>
      <c r="E4396" s="6"/>
      <c r="F4396" s="6"/>
      <c r="G4396" s="19"/>
      <c r="H4396" s="19"/>
      <c r="I4396" s="19"/>
      <c r="J4396" s="19"/>
      <c r="K4396" s="6"/>
      <c r="L4396" s="6"/>
      <c r="M4396" s="6"/>
      <c r="N4396" s="6"/>
      <c r="O4396" s="6"/>
      <c r="P4396" s="6"/>
      <c r="Q4396" s="6"/>
      <c r="R4396" s="6"/>
      <c r="S4396" s="6"/>
      <c r="T4396" s="6"/>
    </row>
    <row r="4397" spans="4:20" x14ac:dyDescent="0.2">
      <c r="D4397" s="6"/>
      <c r="E4397" s="6"/>
      <c r="F4397" s="6"/>
      <c r="G4397" s="19"/>
      <c r="H4397" s="19"/>
      <c r="I4397" s="19"/>
      <c r="J4397" s="19"/>
      <c r="K4397" s="6"/>
      <c r="L4397" s="6"/>
      <c r="M4397" s="6"/>
      <c r="N4397" s="6"/>
      <c r="O4397" s="6"/>
      <c r="P4397" s="6"/>
      <c r="Q4397" s="6"/>
      <c r="R4397" s="6"/>
      <c r="S4397" s="6"/>
      <c r="T4397" s="6"/>
    </row>
    <row r="4398" spans="4:20" x14ac:dyDescent="0.2">
      <c r="D4398" s="6"/>
      <c r="E4398" s="6"/>
      <c r="F4398" s="6"/>
      <c r="G4398" s="19"/>
      <c r="H4398" s="19"/>
      <c r="I4398" s="19"/>
      <c r="J4398" s="19"/>
      <c r="K4398" s="6"/>
      <c r="L4398" s="6"/>
      <c r="M4398" s="6"/>
      <c r="N4398" s="6"/>
      <c r="O4398" s="6"/>
      <c r="P4398" s="6"/>
      <c r="Q4398" s="6"/>
      <c r="R4398" s="6"/>
      <c r="S4398" s="6"/>
      <c r="T4398" s="6"/>
    </row>
    <row r="4399" spans="4:20" x14ac:dyDescent="0.2">
      <c r="D4399" s="6"/>
      <c r="E4399" s="6"/>
      <c r="F4399" s="6"/>
      <c r="G4399" s="19"/>
      <c r="H4399" s="19"/>
      <c r="I4399" s="19"/>
      <c r="J4399" s="19"/>
      <c r="K4399" s="6"/>
      <c r="L4399" s="6"/>
      <c r="M4399" s="6"/>
      <c r="N4399" s="6"/>
      <c r="O4399" s="6"/>
      <c r="P4399" s="6"/>
      <c r="Q4399" s="6"/>
      <c r="R4399" s="6"/>
      <c r="S4399" s="6"/>
      <c r="T4399" s="6"/>
    </row>
    <row r="4400" spans="4:20" x14ac:dyDescent="0.2">
      <c r="D4400" s="6"/>
      <c r="E4400" s="6"/>
      <c r="F4400" s="6"/>
      <c r="G4400" s="19"/>
      <c r="H4400" s="19"/>
      <c r="I4400" s="19"/>
      <c r="J4400" s="19"/>
      <c r="K4400" s="6"/>
      <c r="L4400" s="6"/>
      <c r="M4400" s="6"/>
      <c r="N4400" s="6"/>
      <c r="O4400" s="6"/>
      <c r="P4400" s="6"/>
      <c r="Q4400" s="6"/>
      <c r="R4400" s="6"/>
      <c r="S4400" s="6"/>
      <c r="T4400" s="6"/>
    </row>
    <row r="4401" spans="4:20" x14ac:dyDescent="0.2">
      <c r="D4401" s="6"/>
      <c r="E4401" s="6"/>
      <c r="F4401" s="6"/>
      <c r="G4401" s="19"/>
      <c r="H4401" s="19"/>
      <c r="I4401" s="19"/>
      <c r="J4401" s="19"/>
      <c r="K4401" s="6"/>
      <c r="L4401" s="6"/>
      <c r="M4401" s="6"/>
      <c r="N4401" s="6"/>
      <c r="O4401" s="6"/>
      <c r="P4401" s="6"/>
      <c r="Q4401" s="6"/>
      <c r="R4401" s="6"/>
      <c r="S4401" s="6"/>
      <c r="T4401" s="6"/>
    </row>
    <row r="4402" spans="4:20" x14ac:dyDescent="0.2">
      <c r="D4402" s="6"/>
      <c r="E4402" s="6"/>
      <c r="F4402" s="6"/>
      <c r="G4402" s="19"/>
      <c r="H4402" s="19"/>
      <c r="I4402" s="19"/>
      <c r="J4402" s="19"/>
      <c r="K4402" s="6"/>
      <c r="L4402" s="6"/>
      <c r="M4402" s="6"/>
      <c r="N4402" s="6"/>
      <c r="O4402" s="6"/>
      <c r="P4402" s="6"/>
      <c r="Q4402" s="6"/>
      <c r="R4402" s="6"/>
      <c r="S4402" s="6"/>
      <c r="T4402" s="6"/>
    </row>
    <row r="4403" spans="4:20" x14ac:dyDescent="0.2">
      <c r="D4403" s="6"/>
      <c r="E4403" s="6"/>
      <c r="F4403" s="6"/>
      <c r="G4403" s="19"/>
      <c r="H4403" s="19"/>
      <c r="I4403" s="19"/>
      <c r="J4403" s="19"/>
      <c r="K4403" s="6"/>
      <c r="L4403" s="6"/>
      <c r="M4403" s="6"/>
      <c r="N4403" s="6"/>
      <c r="O4403" s="6"/>
      <c r="P4403" s="6"/>
      <c r="Q4403" s="6"/>
      <c r="R4403" s="6"/>
      <c r="S4403" s="6"/>
      <c r="T4403" s="6"/>
    </row>
    <row r="4404" spans="4:20" x14ac:dyDescent="0.2">
      <c r="D4404" s="6"/>
      <c r="E4404" s="6"/>
      <c r="F4404" s="6"/>
      <c r="G4404" s="19"/>
      <c r="H4404" s="19"/>
      <c r="I4404" s="19"/>
      <c r="J4404" s="19"/>
      <c r="K4404" s="6"/>
      <c r="L4404" s="6"/>
      <c r="M4404" s="6"/>
      <c r="N4404" s="6"/>
      <c r="O4404" s="6"/>
      <c r="P4404" s="6"/>
      <c r="Q4404" s="6"/>
      <c r="R4404" s="6"/>
      <c r="S4404" s="6"/>
      <c r="T4404" s="6"/>
    </row>
    <row r="4405" spans="4:20" x14ac:dyDescent="0.2">
      <c r="D4405" s="6"/>
      <c r="E4405" s="6"/>
      <c r="F4405" s="6"/>
      <c r="G4405" s="19"/>
      <c r="H4405" s="19"/>
      <c r="I4405" s="19"/>
      <c r="J4405" s="19"/>
      <c r="K4405" s="6"/>
      <c r="L4405" s="6"/>
      <c r="M4405" s="6"/>
      <c r="N4405" s="6"/>
      <c r="O4405" s="6"/>
      <c r="P4405" s="6"/>
      <c r="Q4405" s="6"/>
      <c r="R4405" s="6"/>
      <c r="S4405" s="6"/>
      <c r="T4405" s="6"/>
    </row>
    <row r="4406" spans="4:20" x14ac:dyDescent="0.2">
      <c r="D4406" s="6"/>
      <c r="E4406" s="6"/>
      <c r="F4406" s="6"/>
      <c r="G4406" s="19"/>
      <c r="H4406" s="19"/>
      <c r="I4406" s="19"/>
      <c r="J4406" s="19"/>
      <c r="K4406" s="6"/>
      <c r="L4406" s="6"/>
      <c r="M4406" s="6"/>
      <c r="N4406" s="6"/>
      <c r="O4406" s="6"/>
      <c r="P4406" s="6"/>
      <c r="Q4406" s="6"/>
      <c r="R4406" s="6"/>
      <c r="S4406" s="6"/>
      <c r="T4406" s="6"/>
    </row>
    <row r="4407" spans="4:20" x14ac:dyDescent="0.2">
      <c r="D4407" s="6"/>
      <c r="E4407" s="6"/>
      <c r="F4407" s="6"/>
      <c r="G4407" s="19"/>
      <c r="H4407" s="19"/>
      <c r="I4407" s="19"/>
      <c r="J4407" s="19"/>
      <c r="K4407" s="6"/>
      <c r="L4407" s="6"/>
      <c r="M4407" s="6"/>
      <c r="N4407" s="6"/>
      <c r="O4407" s="6"/>
      <c r="P4407" s="6"/>
      <c r="Q4407" s="6"/>
      <c r="R4407" s="6"/>
      <c r="S4407" s="6"/>
      <c r="T4407" s="6"/>
    </row>
    <row r="4408" spans="4:20" x14ac:dyDescent="0.2">
      <c r="D4408" s="6"/>
      <c r="E4408" s="6"/>
      <c r="F4408" s="6"/>
      <c r="G4408" s="19"/>
      <c r="H4408" s="19"/>
      <c r="I4408" s="19"/>
      <c r="J4408" s="19"/>
      <c r="K4408" s="6"/>
      <c r="L4408" s="6"/>
      <c r="M4408" s="6"/>
      <c r="N4408" s="6"/>
      <c r="O4408" s="6"/>
      <c r="P4408" s="6"/>
      <c r="Q4408" s="6"/>
      <c r="R4408" s="6"/>
      <c r="S4408" s="6"/>
      <c r="T4408" s="6"/>
    </row>
    <row r="4409" spans="4:20" x14ac:dyDescent="0.2">
      <c r="D4409" s="6"/>
      <c r="E4409" s="6"/>
      <c r="F4409" s="6"/>
      <c r="G4409" s="19"/>
      <c r="H4409" s="19"/>
      <c r="I4409" s="19"/>
      <c r="J4409" s="19"/>
      <c r="K4409" s="6"/>
      <c r="L4409" s="6"/>
      <c r="M4409" s="6"/>
      <c r="N4409" s="6"/>
      <c r="O4409" s="6"/>
      <c r="P4409" s="6"/>
      <c r="Q4409" s="6"/>
      <c r="R4409" s="6"/>
      <c r="S4409" s="6"/>
      <c r="T4409" s="6"/>
    </row>
    <row r="4410" spans="4:20" x14ac:dyDescent="0.2">
      <c r="D4410" s="6"/>
      <c r="E4410" s="6"/>
      <c r="F4410" s="6"/>
      <c r="G4410" s="19"/>
      <c r="H4410" s="19"/>
      <c r="I4410" s="19"/>
      <c r="J4410" s="19"/>
      <c r="K4410" s="6"/>
      <c r="L4410" s="6"/>
      <c r="M4410" s="6"/>
      <c r="N4410" s="6"/>
      <c r="O4410" s="6"/>
      <c r="P4410" s="6"/>
      <c r="Q4410" s="6"/>
      <c r="R4410" s="6"/>
      <c r="S4410" s="6"/>
      <c r="T4410" s="6"/>
    </row>
    <row r="4411" spans="4:20" x14ac:dyDescent="0.2">
      <c r="D4411" s="6"/>
      <c r="E4411" s="6"/>
      <c r="F4411" s="6"/>
      <c r="G4411" s="19"/>
      <c r="H4411" s="19"/>
      <c r="I4411" s="19"/>
      <c r="J4411" s="19"/>
      <c r="K4411" s="6"/>
      <c r="L4411" s="6"/>
      <c r="M4411" s="6"/>
      <c r="N4411" s="6"/>
      <c r="O4411" s="6"/>
      <c r="P4411" s="6"/>
      <c r="Q4411" s="6"/>
      <c r="R4411" s="6"/>
      <c r="S4411" s="6"/>
      <c r="T4411" s="6"/>
    </row>
    <row r="4412" spans="4:20" x14ac:dyDescent="0.2">
      <c r="D4412" s="6"/>
      <c r="E4412" s="6"/>
      <c r="F4412" s="6"/>
      <c r="G4412" s="19"/>
      <c r="H4412" s="19"/>
      <c r="I4412" s="19"/>
      <c r="J4412" s="19"/>
      <c r="K4412" s="6"/>
      <c r="L4412" s="6"/>
      <c r="M4412" s="6"/>
      <c r="N4412" s="6"/>
      <c r="O4412" s="6"/>
      <c r="P4412" s="6"/>
      <c r="Q4412" s="6"/>
      <c r="R4412" s="6"/>
      <c r="S4412" s="6"/>
      <c r="T4412" s="6"/>
    </row>
    <row r="4413" spans="4:20" x14ac:dyDescent="0.2">
      <c r="D4413" s="6"/>
      <c r="E4413" s="6"/>
      <c r="F4413" s="6"/>
      <c r="G4413" s="19"/>
      <c r="H4413" s="19"/>
      <c r="I4413" s="19"/>
      <c r="J4413" s="19"/>
      <c r="K4413" s="6"/>
      <c r="L4413" s="6"/>
      <c r="M4413" s="6"/>
      <c r="N4413" s="6"/>
      <c r="O4413" s="6"/>
      <c r="P4413" s="6"/>
      <c r="Q4413" s="6"/>
      <c r="R4413" s="6"/>
      <c r="S4413" s="6"/>
      <c r="T4413" s="6"/>
    </row>
    <row r="4414" spans="4:20" x14ac:dyDescent="0.2">
      <c r="D4414" s="6"/>
      <c r="E4414" s="6"/>
      <c r="F4414" s="6"/>
      <c r="G4414" s="19"/>
      <c r="H4414" s="19"/>
      <c r="I4414" s="19"/>
      <c r="J4414" s="19"/>
      <c r="K4414" s="6"/>
      <c r="L4414" s="6"/>
      <c r="M4414" s="6"/>
      <c r="N4414" s="6"/>
      <c r="O4414" s="6"/>
      <c r="P4414" s="6"/>
      <c r="Q4414" s="6"/>
      <c r="R4414" s="6"/>
      <c r="S4414" s="6"/>
      <c r="T4414" s="6"/>
    </row>
    <row r="4415" spans="4:20" x14ac:dyDescent="0.2">
      <c r="D4415" s="6"/>
      <c r="E4415" s="6"/>
      <c r="F4415" s="6"/>
      <c r="G4415" s="19"/>
      <c r="H4415" s="19"/>
      <c r="I4415" s="19"/>
      <c r="J4415" s="19"/>
      <c r="K4415" s="6"/>
      <c r="L4415" s="6"/>
      <c r="M4415" s="6"/>
      <c r="N4415" s="6"/>
      <c r="O4415" s="6"/>
      <c r="P4415" s="6"/>
      <c r="Q4415" s="6"/>
      <c r="R4415" s="6"/>
      <c r="S4415" s="6"/>
      <c r="T4415" s="6"/>
    </row>
    <row r="4416" spans="4:20" x14ac:dyDescent="0.2">
      <c r="D4416" s="6"/>
      <c r="E4416" s="6"/>
      <c r="F4416" s="6"/>
      <c r="G4416" s="19"/>
      <c r="H4416" s="19"/>
      <c r="I4416" s="19"/>
      <c r="J4416" s="19"/>
      <c r="K4416" s="6"/>
      <c r="L4416" s="6"/>
      <c r="M4416" s="6"/>
      <c r="N4416" s="6"/>
      <c r="O4416" s="6"/>
      <c r="P4416" s="6"/>
      <c r="Q4416" s="6"/>
      <c r="R4416" s="6"/>
      <c r="S4416" s="6"/>
      <c r="T4416" s="6"/>
    </row>
    <row r="4417" spans="4:20" x14ac:dyDescent="0.2">
      <c r="D4417" s="6"/>
      <c r="E4417" s="6"/>
      <c r="F4417" s="6"/>
      <c r="G4417" s="19"/>
      <c r="H4417" s="19"/>
      <c r="I4417" s="19"/>
      <c r="J4417" s="19"/>
      <c r="K4417" s="6"/>
      <c r="L4417" s="6"/>
      <c r="M4417" s="6"/>
      <c r="N4417" s="6"/>
      <c r="O4417" s="6"/>
      <c r="P4417" s="6"/>
      <c r="Q4417" s="6"/>
      <c r="R4417" s="6"/>
      <c r="S4417" s="6"/>
      <c r="T4417" s="6"/>
    </row>
    <row r="4418" spans="4:20" x14ac:dyDescent="0.2">
      <c r="D4418" s="6"/>
      <c r="E4418" s="6"/>
      <c r="F4418" s="6"/>
      <c r="G4418" s="19"/>
      <c r="H4418" s="19"/>
      <c r="I4418" s="19"/>
      <c r="J4418" s="19"/>
      <c r="K4418" s="6"/>
      <c r="L4418" s="6"/>
      <c r="M4418" s="6"/>
      <c r="N4418" s="6"/>
      <c r="O4418" s="6"/>
      <c r="P4418" s="6"/>
      <c r="Q4418" s="6"/>
      <c r="R4418" s="6"/>
      <c r="S4418" s="6"/>
      <c r="T4418" s="6"/>
    </row>
    <row r="4419" spans="4:20" x14ac:dyDescent="0.2">
      <c r="D4419" s="6"/>
      <c r="E4419" s="6"/>
      <c r="F4419" s="6"/>
      <c r="G4419" s="19"/>
      <c r="H4419" s="19"/>
      <c r="I4419" s="19"/>
      <c r="J4419" s="19"/>
      <c r="K4419" s="6"/>
      <c r="L4419" s="6"/>
      <c r="M4419" s="6"/>
      <c r="N4419" s="6"/>
      <c r="O4419" s="6"/>
      <c r="P4419" s="6"/>
      <c r="Q4419" s="6"/>
      <c r="R4419" s="6"/>
      <c r="S4419" s="6"/>
      <c r="T4419" s="6"/>
    </row>
    <row r="4420" spans="4:20" x14ac:dyDescent="0.2">
      <c r="D4420" s="6"/>
      <c r="E4420" s="6"/>
      <c r="F4420" s="6"/>
      <c r="G4420" s="19"/>
      <c r="H4420" s="19"/>
      <c r="I4420" s="19"/>
      <c r="J4420" s="19"/>
      <c r="K4420" s="6"/>
      <c r="L4420" s="6"/>
      <c r="M4420" s="6"/>
      <c r="N4420" s="6"/>
      <c r="O4420" s="6"/>
      <c r="P4420" s="6"/>
      <c r="Q4420" s="6"/>
      <c r="R4420" s="6"/>
      <c r="S4420" s="6"/>
      <c r="T4420" s="6"/>
    </row>
    <row r="4421" spans="4:20" x14ac:dyDescent="0.2">
      <c r="D4421" s="6"/>
      <c r="E4421" s="6"/>
      <c r="F4421" s="6"/>
      <c r="G4421" s="19"/>
      <c r="H4421" s="19"/>
      <c r="I4421" s="19"/>
      <c r="J4421" s="19"/>
      <c r="K4421" s="6"/>
      <c r="L4421" s="6"/>
      <c r="M4421" s="6"/>
      <c r="N4421" s="6"/>
      <c r="O4421" s="6"/>
      <c r="P4421" s="6"/>
      <c r="Q4421" s="6"/>
      <c r="R4421" s="6"/>
      <c r="S4421" s="6"/>
      <c r="T4421" s="6"/>
    </row>
    <row r="4422" spans="4:20" x14ac:dyDescent="0.2">
      <c r="D4422" s="6"/>
      <c r="E4422" s="6"/>
      <c r="F4422" s="6"/>
      <c r="G4422" s="19"/>
      <c r="H4422" s="19"/>
      <c r="I4422" s="19"/>
      <c r="J4422" s="19"/>
      <c r="K4422" s="6"/>
      <c r="L4422" s="6"/>
      <c r="M4422" s="6"/>
      <c r="N4422" s="6"/>
      <c r="O4422" s="6"/>
      <c r="P4422" s="6"/>
      <c r="Q4422" s="6"/>
      <c r="R4422" s="6"/>
      <c r="S4422" s="6"/>
      <c r="T4422" s="6"/>
    </row>
    <row r="4423" spans="4:20" x14ac:dyDescent="0.2">
      <c r="D4423" s="6"/>
      <c r="E4423" s="6"/>
      <c r="F4423" s="6"/>
      <c r="G4423" s="19"/>
      <c r="H4423" s="19"/>
      <c r="I4423" s="19"/>
      <c r="J4423" s="19"/>
      <c r="K4423" s="6"/>
      <c r="L4423" s="6"/>
      <c r="M4423" s="6"/>
      <c r="N4423" s="6"/>
      <c r="O4423" s="6"/>
      <c r="P4423" s="6"/>
      <c r="Q4423" s="6"/>
      <c r="R4423" s="6"/>
      <c r="S4423" s="6"/>
      <c r="T4423" s="6"/>
    </row>
    <row r="4424" spans="4:20" x14ac:dyDescent="0.2">
      <c r="D4424" s="6"/>
      <c r="E4424" s="6"/>
      <c r="F4424" s="6"/>
      <c r="G4424" s="19"/>
      <c r="H4424" s="19"/>
      <c r="I4424" s="19"/>
      <c r="J4424" s="19"/>
      <c r="K4424" s="6"/>
      <c r="L4424" s="6"/>
      <c r="M4424" s="6"/>
      <c r="N4424" s="6"/>
      <c r="O4424" s="6"/>
      <c r="P4424" s="6"/>
      <c r="Q4424" s="6"/>
      <c r="R4424" s="6"/>
      <c r="S4424" s="6"/>
      <c r="T4424" s="6"/>
    </row>
    <row r="4425" spans="4:20" x14ac:dyDescent="0.2">
      <c r="D4425" s="6"/>
      <c r="E4425" s="6"/>
      <c r="F4425" s="6"/>
      <c r="G4425" s="19"/>
      <c r="H4425" s="19"/>
      <c r="I4425" s="19"/>
      <c r="J4425" s="19"/>
      <c r="K4425" s="6"/>
      <c r="L4425" s="6"/>
      <c r="M4425" s="6"/>
      <c r="N4425" s="6"/>
      <c r="O4425" s="6"/>
      <c r="P4425" s="6"/>
      <c r="Q4425" s="6"/>
      <c r="R4425" s="6"/>
      <c r="S4425" s="6"/>
      <c r="T4425" s="6"/>
    </row>
    <row r="4426" spans="4:20" x14ac:dyDescent="0.2">
      <c r="D4426" s="6"/>
      <c r="E4426" s="6"/>
      <c r="F4426" s="6"/>
      <c r="G4426" s="19"/>
      <c r="H4426" s="19"/>
      <c r="I4426" s="19"/>
      <c r="J4426" s="19"/>
      <c r="K4426" s="6"/>
      <c r="L4426" s="6"/>
      <c r="M4426" s="6"/>
      <c r="N4426" s="6"/>
      <c r="O4426" s="6"/>
      <c r="P4426" s="6"/>
      <c r="Q4426" s="6"/>
      <c r="R4426" s="6"/>
      <c r="S4426" s="6"/>
      <c r="T4426" s="6"/>
    </row>
    <row r="4427" spans="4:20" x14ac:dyDescent="0.2">
      <c r="D4427" s="6"/>
      <c r="E4427" s="6"/>
      <c r="F4427" s="6"/>
      <c r="G4427" s="19"/>
      <c r="H4427" s="19"/>
      <c r="I4427" s="19"/>
      <c r="J4427" s="19"/>
      <c r="K4427" s="6"/>
      <c r="L4427" s="6"/>
      <c r="M4427" s="6"/>
      <c r="N4427" s="6"/>
      <c r="O4427" s="6"/>
      <c r="P4427" s="6"/>
      <c r="Q4427" s="6"/>
      <c r="R4427" s="6"/>
      <c r="S4427" s="6"/>
      <c r="T4427" s="6"/>
    </row>
    <row r="4428" spans="4:20" x14ac:dyDescent="0.2">
      <c r="D4428" s="6"/>
      <c r="E4428" s="6"/>
      <c r="F4428" s="6"/>
      <c r="G4428" s="19"/>
      <c r="H4428" s="19"/>
      <c r="I4428" s="19"/>
      <c r="J4428" s="19"/>
      <c r="K4428" s="6"/>
      <c r="L4428" s="6"/>
      <c r="M4428" s="6"/>
      <c r="N4428" s="6"/>
      <c r="O4428" s="6"/>
      <c r="P4428" s="6"/>
      <c r="Q4428" s="6"/>
      <c r="R4428" s="6"/>
      <c r="S4428" s="6"/>
      <c r="T4428" s="6"/>
    </row>
    <row r="4429" spans="4:20" x14ac:dyDescent="0.2">
      <c r="D4429" s="6"/>
      <c r="E4429" s="6"/>
      <c r="F4429" s="6"/>
      <c r="G4429" s="19"/>
      <c r="H4429" s="19"/>
      <c r="I4429" s="19"/>
      <c r="J4429" s="19"/>
      <c r="K4429" s="6"/>
      <c r="L4429" s="6"/>
      <c r="M4429" s="6"/>
      <c r="N4429" s="6"/>
      <c r="O4429" s="6"/>
      <c r="P4429" s="6"/>
      <c r="Q4429" s="6"/>
      <c r="R4429" s="6"/>
      <c r="S4429" s="6"/>
      <c r="T4429" s="6"/>
    </row>
    <row r="4430" spans="4:20" x14ac:dyDescent="0.2">
      <c r="D4430" s="6"/>
      <c r="E4430" s="6"/>
      <c r="F4430" s="6"/>
      <c r="G4430" s="19"/>
      <c r="H4430" s="19"/>
      <c r="I4430" s="19"/>
      <c r="J4430" s="19"/>
      <c r="K4430" s="6"/>
      <c r="L4430" s="6"/>
      <c r="M4430" s="6"/>
      <c r="N4430" s="6"/>
      <c r="O4430" s="6"/>
      <c r="P4430" s="6"/>
      <c r="Q4430" s="6"/>
      <c r="R4430" s="6"/>
      <c r="S4430" s="6"/>
      <c r="T4430" s="6"/>
    </row>
    <row r="4431" spans="4:20" x14ac:dyDescent="0.2">
      <c r="D4431" s="6"/>
      <c r="E4431" s="6"/>
      <c r="F4431" s="6"/>
      <c r="G4431" s="19"/>
      <c r="H4431" s="19"/>
      <c r="I4431" s="19"/>
      <c r="J4431" s="19"/>
      <c r="K4431" s="6"/>
      <c r="L4431" s="6"/>
      <c r="M4431" s="6"/>
      <c r="N4431" s="6"/>
      <c r="O4431" s="6"/>
      <c r="P4431" s="6"/>
      <c r="Q4431" s="6"/>
      <c r="R4431" s="6"/>
      <c r="S4431" s="6"/>
      <c r="T4431" s="6"/>
    </row>
    <row r="4432" spans="4:20" x14ac:dyDescent="0.2">
      <c r="D4432" s="6"/>
      <c r="E4432" s="6"/>
      <c r="F4432" s="6"/>
      <c r="G4432" s="19"/>
      <c r="H4432" s="19"/>
      <c r="I4432" s="19"/>
      <c r="J4432" s="19"/>
      <c r="K4432" s="6"/>
      <c r="L4432" s="6"/>
      <c r="M4432" s="6"/>
      <c r="N4432" s="6"/>
      <c r="O4432" s="6"/>
      <c r="P4432" s="6"/>
      <c r="Q4432" s="6"/>
      <c r="R4432" s="6"/>
      <c r="S4432" s="6"/>
      <c r="T4432" s="6"/>
    </row>
    <row r="4433" spans="4:20" x14ac:dyDescent="0.2">
      <c r="D4433" s="6"/>
      <c r="E4433" s="6"/>
      <c r="F4433" s="6"/>
      <c r="G4433" s="19"/>
      <c r="H4433" s="19"/>
      <c r="I4433" s="19"/>
      <c r="J4433" s="19"/>
      <c r="K4433" s="6"/>
      <c r="L4433" s="6"/>
      <c r="M4433" s="6"/>
      <c r="N4433" s="6"/>
      <c r="O4433" s="6"/>
      <c r="P4433" s="6"/>
      <c r="Q4433" s="6"/>
      <c r="R4433" s="6"/>
      <c r="S4433" s="6"/>
      <c r="T4433" s="6"/>
    </row>
    <row r="4434" spans="4:20" x14ac:dyDescent="0.2">
      <c r="D4434" s="6"/>
      <c r="E4434" s="6"/>
      <c r="F4434" s="6"/>
      <c r="G4434" s="19"/>
      <c r="H4434" s="19"/>
      <c r="I4434" s="19"/>
      <c r="J4434" s="19"/>
      <c r="K4434" s="6"/>
      <c r="L4434" s="6"/>
      <c r="M4434" s="6"/>
      <c r="N4434" s="6"/>
      <c r="O4434" s="6"/>
      <c r="P4434" s="6"/>
      <c r="Q4434" s="6"/>
      <c r="R4434" s="6"/>
      <c r="S4434" s="6"/>
      <c r="T4434" s="6"/>
    </row>
    <row r="4435" spans="4:20" x14ac:dyDescent="0.2">
      <c r="D4435" s="6"/>
      <c r="E4435" s="6"/>
      <c r="F4435" s="6"/>
      <c r="G4435" s="19"/>
      <c r="H4435" s="19"/>
      <c r="I4435" s="19"/>
      <c r="J4435" s="19"/>
      <c r="K4435" s="6"/>
      <c r="L4435" s="6"/>
      <c r="M4435" s="6"/>
      <c r="N4435" s="6"/>
      <c r="O4435" s="6"/>
      <c r="P4435" s="6"/>
      <c r="Q4435" s="6"/>
      <c r="R4435" s="6"/>
      <c r="S4435" s="6"/>
      <c r="T4435" s="6"/>
    </row>
    <row r="4436" spans="4:20" x14ac:dyDescent="0.2">
      <c r="D4436" s="6"/>
      <c r="E4436" s="6"/>
      <c r="F4436" s="6"/>
      <c r="G4436" s="19"/>
      <c r="H4436" s="19"/>
      <c r="I4436" s="19"/>
      <c r="J4436" s="19"/>
      <c r="K4436" s="6"/>
      <c r="L4436" s="6"/>
      <c r="M4436" s="6"/>
      <c r="N4436" s="6"/>
      <c r="O4436" s="6"/>
      <c r="P4436" s="6"/>
      <c r="Q4436" s="6"/>
      <c r="R4436" s="6"/>
      <c r="S4436" s="6"/>
      <c r="T4436" s="6"/>
    </row>
    <row r="4437" spans="4:20" x14ac:dyDescent="0.2">
      <c r="D4437" s="6"/>
      <c r="E4437" s="6"/>
      <c r="F4437" s="6"/>
      <c r="G4437" s="19"/>
      <c r="H4437" s="19"/>
      <c r="I4437" s="19"/>
      <c r="J4437" s="19"/>
      <c r="K4437" s="6"/>
      <c r="L4437" s="6"/>
      <c r="M4437" s="6"/>
      <c r="N4437" s="6"/>
      <c r="O4437" s="6"/>
      <c r="P4437" s="6"/>
      <c r="Q4437" s="6"/>
      <c r="R4437" s="6"/>
      <c r="S4437" s="6"/>
      <c r="T4437" s="6"/>
    </row>
    <row r="4438" spans="4:20" x14ac:dyDescent="0.2">
      <c r="D4438" s="6"/>
      <c r="E4438" s="6"/>
      <c r="F4438" s="6"/>
      <c r="G4438" s="19"/>
      <c r="H4438" s="19"/>
      <c r="I4438" s="19"/>
      <c r="J4438" s="19"/>
      <c r="K4438" s="6"/>
      <c r="L4438" s="6"/>
      <c r="M4438" s="6"/>
      <c r="N4438" s="6"/>
      <c r="O4438" s="6"/>
      <c r="P4438" s="6"/>
      <c r="Q4438" s="6"/>
      <c r="R4438" s="6"/>
      <c r="S4438" s="6"/>
      <c r="T4438" s="6"/>
    </row>
    <row r="4439" spans="4:20" x14ac:dyDescent="0.2">
      <c r="D4439" s="6"/>
      <c r="E4439" s="6"/>
      <c r="F4439" s="6"/>
      <c r="G4439" s="19"/>
      <c r="H4439" s="19"/>
      <c r="I4439" s="19"/>
      <c r="J4439" s="19"/>
      <c r="K4439" s="6"/>
      <c r="L4439" s="6"/>
      <c r="M4439" s="6"/>
      <c r="N4439" s="6"/>
      <c r="O4439" s="6"/>
      <c r="P4439" s="6"/>
      <c r="Q4439" s="6"/>
      <c r="R4439" s="6"/>
      <c r="S4439" s="6"/>
      <c r="T4439" s="6"/>
    </row>
    <row r="4440" spans="4:20" x14ac:dyDescent="0.2">
      <c r="D4440" s="6"/>
      <c r="E4440" s="6"/>
      <c r="F4440" s="6"/>
      <c r="G4440" s="19"/>
      <c r="H4440" s="19"/>
      <c r="I4440" s="19"/>
      <c r="J4440" s="19"/>
      <c r="K4440" s="6"/>
      <c r="L4440" s="6"/>
      <c r="M4440" s="6"/>
      <c r="N4440" s="6"/>
      <c r="O4440" s="6"/>
      <c r="P4440" s="6"/>
      <c r="Q4440" s="6"/>
      <c r="R4440" s="6"/>
      <c r="S4440" s="6"/>
      <c r="T4440" s="6"/>
    </row>
    <row r="4441" spans="4:20" x14ac:dyDescent="0.2">
      <c r="D4441" s="6"/>
      <c r="E4441" s="6"/>
      <c r="F4441" s="6"/>
      <c r="G4441" s="19"/>
      <c r="H4441" s="19"/>
      <c r="I4441" s="19"/>
      <c r="J4441" s="19"/>
      <c r="K4441" s="6"/>
      <c r="L4441" s="6"/>
      <c r="M4441" s="6"/>
      <c r="N4441" s="6"/>
      <c r="O4441" s="6"/>
      <c r="P4441" s="6"/>
      <c r="Q4441" s="6"/>
      <c r="R4441" s="6"/>
      <c r="S4441" s="6"/>
      <c r="T4441" s="6"/>
    </row>
    <row r="4442" spans="4:20" x14ac:dyDescent="0.2">
      <c r="D4442" s="6"/>
      <c r="E4442" s="6"/>
      <c r="F4442" s="6"/>
      <c r="G4442" s="19"/>
      <c r="H4442" s="19"/>
      <c r="I4442" s="19"/>
      <c r="J4442" s="19"/>
      <c r="K4442" s="6"/>
      <c r="L4442" s="6"/>
      <c r="M4442" s="6"/>
      <c r="N4442" s="6"/>
      <c r="O4442" s="6"/>
      <c r="P4442" s="6"/>
      <c r="Q4442" s="6"/>
      <c r="R4442" s="6"/>
      <c r="S4442" s="6"/>
      <c r="T4442" s="6"/>
    </row>
    <row r="4443" spans="4:20" x14ac:dyDescent="0.2">
      <c r="D4443" s="6"/>
      <c r="E4443" s="6"/>
      <c r="F4443" s="6"/>
      <c r="G4443" s="19"/>
      <c r="H4443" s="19"/>
      <c r="I4443" s="19"/>
      <c r="J4443" s="19"/>
      <c r="K4443" s="6"/>
      <c r="L4443" s="6"/>
      <c r="M4443" s="6"/>
      <c r="N4443" s="6"/>
      <c r="O4443" s="6"/>
      <c r="P4443" s="6"/>
      <c r="Q4443" s="6"/>
      <c r="R4443" s="6"/>
      <c r="S4443" s="6"/>
      <c r="T4443" s="6"/>
    </row>
    <row r="4444" spans="4:20" x14ac:dyDescent="0.2">
      <c r="D4444" s="6"/>
      <c r="E4444" s="6"/>
      <c r="F4444" s="6"/>
      <c r="G4444" s="19"/>
      <c r="H4444" s="19"/>
      <c r="I4444" s="19"/>
      <c r="J4444" s="19"/>
      <c r="K4444" s="6"/>
      <c r="L4444" s="6"/>
      <c r="M4444" s="6"/>
      <c r="N4444" s="6"/>
      <c r="O4444" s="6"/>
      <c r="P4444" s="6"/>
      <c r="Q4444" s="6"/>
      <c r="R4444" s="6"/>
      <c r="S4444" s="6"/>
      <c r="T4444" s="6"/>
    </row>
    <row r="4445" spans="4:20" x14ac:dyDescent="0.2">
      <c r="D4445" s="6"/>
      <c r="E4445" s="6"/>
      <c r="F4445" s="6"/>
      <c r="G4445" s="19"/>
      <c r="H4445" s="19"/>
      <c r="I4445" s="19"/>
      <c r="J4445" s="19"/>
      <c r="K4445" s="6"/>
      <c r="L4445" s="6"/>
      <c r="M4445" s="6"/>
      <c r="N4445" s="6"/>
      <c r="O4445" s="6"/>
      <c r="P4445" s="6"/>
      <c r="Q4445" s="6"/>
      <c r="R4445" s="6"/>
      <c r="S4445" s="6"/>
      <c r="T4445" s="6"/>
    </row>
    <row r="4446" spans="4:20" x14ac:dyDescent="0.2">
      <c r="D4446" s="6"/>
      <c r="E4446" s="6"/>
      <c r="F4446" s="6"/>
      <c r="G4446" s="19"/>
      <c r="H4446" s="19"/>
      <c r="I4446" s="19"/>
      <c r="J4446" s="19"/>
      <c r="K4446" s="6"/>
      <c r="L4446" s="6"/>
      <c r="M4446" s="6"/>
      <c r="N4446" s="6"/>
      <c r="O4446" s="6"/>
      <c r="P4446" s="6"/>
      <c r="Q4446" s="6"/>
      <c r="R4446" s="6"/>
      <c r="S4446" s="6"/>
      <c r="T4446" s="6"/>
    </row>
    <row r="4447" spans="4:20" x14ac:dyDescent="0.2">
      <c r="D4447" s="6"/>
      <c r="E4447" s="6"/>
      <c r="F4447" s="6"/>
      <c r="G4447" s="19"/>
      <c r="H4447" s="19"/>
      <c r="I4447" s="19"/>
      <c r="J4447" s="19"/>
      <c r="K4447" s="6"/>
      <c r="L4447" s="6"/>
      <c r="M4447" s="6"/>
      <c r="N4447" s="6"/>
      <c r="O4447" s="6"/>
      <c r="P4447" s="6"/>
      <c r="Q4447" s="6"/>
      <c r="R4447" s="6"/>
      <c r="S4447" s="6"/>
      <c r="T4447" s="6"/>
    </row>
    <row r="4448" spans="4:20" x14ac:dyDescent="0.2">
      <c r="D4448" s="6"/>
      <c r="E4448" s="6"/>
      <c r="F4448" s="6"/>
      <c r="G4448" s="19"/>
      <c r="H4448" s="19"/>
      <c r="I4448" s="19"/>
      <c r="J4448" s="19"/>
      <c r="K4448" s="6"/>
      <c r="L4448" s="6"/>
      <c r="M4448" s="6"/>
      <c r="N4448" s="6"/>
      <c r="O4448" s="6"/>
      <c r="P4448" s="6"/>
      <c r="Q4448" s="6"/>
      <c r="R4448" s="6"/>
      <c r="S4448" s="6"/>
      <c r="T4448" s="6"/>
    </row>
    <row r="4449" spans="4:20" x14ac:dyDescent="0.2">
      <c r="D4449" s="6"/>
      <c r="E4449" s="6"/>
      <c r="F4449" s="6"/>
      <c r="G4449" s="19"/>
      <c r="H4449" s="19"/>
      <c r="I4449" s="19"/>
      <c r="J4449" s="19"/>
      <c r="K4449" s="6"/>
      <c r="L4449" s="6"/>
      <c r="M4449" s="6"/>
      <c r="N4449" s="6"/>
      <c r="O4449" s="6"/>
      <c r="P4449" s="6"/>
      <c r="Q4449" s="6"/>
      <c r="R4449" s="6"/>
      <c r="S4449" s="6"/>
      <c r="T4449" s="6"/>
    </row>
    <row r="4450" spans="4:20" x14ac:dyDescent="0.2">
      <c r="D4450" s="6"/>
      <c r="E4450" s="6"/>
      <c r="F4450" s="6"/>
      <c r="G4450" s="19"/>
      <c r="H4450" s="19"/>
      <c r="I4450" s="19"/>
      <c r="J4450" s="19"/>
      <c r="K4450" s="6"/>
      <c r="L4450" s="6"/>
      <c r="M4450" s="6"/>
      <c r="N4450" s="6"/>
      <c r="O4450" s="6"/>
      <c r="P4450" s="6"/>
      <c r="Q4450" s="6"/>
      <c r="R4450" s="6"/>
      <c r="S4450" s="6"/>
      <c r="T4450" s="6"/>
    </row>
    <row r="4451" spans="4:20" x14ac:dyDescent="0.2">
      <c r="D4451" s="6"/>
      <c r="E4451" s="6"/>
      <c r="F4451" s="6"/>
      <c r="G4451" s="19"/>
      <c r="H4451" s="19"/>
      <c r="I4451" s="19"/>
      <c r="J4451" s="19"/>
      <c r="K4451" s="6"/>
      <c r="L4451" s="6"/>
      <c r="M4451" s="6"/>
      <c r="N4451" s="6"/>
      <c r="O4451" s="6"/>
      <c r="P4451" s="6"/>
      <c r="Q4451" s="6"/>
      <c r="R4451" s="6"/>
      <c r="S4451" s="6"/>
      <c r="T4451" s="6"/>
    </row>
    <row r="4452" spans="4:20" x14ac:dyDescent="0.2">
      <c r="D4452" s="6"/>
      <c r="E4452" s="6"/>
      <c r="F4452" s="6"/>
      <c r="G4452" s="19"/>
      <c r="H4452" s="19"/>
      <c r="I4452" s="19"/>
      <c r="J4452" s="19"/>
      <c r="K4452" s="6"/>
      <c r="L4452" s="6"/>
      <c r="M4452" s="6"/>
      <c r="N4452" s="6"/>
      <c r="O4452" s="6"/>
      <c r="P4452" s="6"/>
      <c r="Q4452" s="6"/>
      <c r="R4452" s="6"/>
      <c r="S4452" s="6"/>
      <c r="T4452" s="6"/>
    </row>
    <row r="4453" spans="4:20" x14ac:dyDescent="0.2">
      <c r="D4453" s="6"/>
      <c r="E4453" s="6"/>
      <c r="F4453" s="6"/>
      <c r="G4453" s="19"/>
      <c r="H4453" s="19"/>
      <c r="I4453" s="19"/>
      <c r="J4453" s="19"/>
      <c r="K4453" s="6"/>
      <c r="L4453" s="6"/>
      <c r="M4453" s="6"/>
      <c r="N4453" s="6"/>
      <c r="O4453" s="6"/>
      <c r="P4453" s="6"/>
      <c r="Q4453" s="6"/>
      <c r="R4453" s="6"/>
      <c r="S4453" s="6"/>
      <c r="T4453" s="6"/>
    </row>
    <row r="4454" spans="4:20" x14ac:dyDescent="0.2">
      <c r="D4454" s="6"/>
      <c r="E4454" s="6"/>
      <c r="F4454" s="6"/>
      <c r="G4454" s="19"/>
      <c r="H4454" s="19"/>
      <c r="I4454" s="19"/>
      <c r="J4454" s="19"/>
      <c r="K4454" s="6"/>
      <c r="L4454" s="6"/>
      <c r="M4454" s="6"/>
      <c r="N4454" s="6"/>
      <c r="O4454" s="6"/>
      <c r="P4454" s="6"/>
      <c r="Q4454" s="6"/>
      <c r="R4454" s="6"/>
      <c r="S4454" s="6"/>
      <c r="T4454" s="6"/>
    </row>
    <row r="4455" spans="4:20" x14ac:dyDescent="0.2">
      <c r="D4455" s="6"/>
      <c r="E4455" s="6"/>
      <c r="F4455" s="6"/>
      <c r="G4455" s="19"/>
      <c r="H4455" s="19"/>
      <c r="I4455" s="19"/>
      <c r="J4455" s="19"/>
      <c r="K4455" s="6"/>
      <c r="L4455" s="6"/>
      <c r="M4455" s="6"/>
      <c r="N4455" s="6"/>
      <c r="O4455" s="6"/>
      <c r="P4455" s="6"/>
      <c r="Q4455" s="6"/>
      <c r="R4455" s="6"/>
      <c r="S4455" s="6"/>
      <c r="T4455" s="6"/>
    </row>
    <row r="4456" spans="4:20" x14ac:dyDescent="0.2">
      <c r="D4456" s="6"/>
      <c r="E4456" s="6"/>
      <c r="F4456" s="6"/>
      <c r="G4456" s="19"/>
      <c r="H4456" s="19"/>
      <c r="I4456" s="19"/>
      <c r="J4456" s="19"/>
      <c r="K4456" s="6"/>
      <c r="L4456" s="6"/>
      <c r="M4456" s="6"/>
      <c r="N4456" s="6"/>
      <c r="O4456" s="6"/>
      <c r="P4456" s="6"/>
      <c r="Q4456" s="6"/>
      <c r="R4456" s="6"/>
      <c r="S4456" s="6"/>
      <c r="T4456" s="6"/>
    </row>
    <row r="4457" spans="4:20" x14ac:dyDescent="0.2">
      <c r="D4457" s="6"/>
      <c r="E4457" s="6"/>
      <c r="F4457" s="6"/>
      <c r="G4457" s="19"/>
      <c r="H4457" s="19"/>
      <c r="I4457" s="19"/>
      <c r="J4457" s="19"/>
      <c r="K4457" s="6"/>
      <c r="L4457" s="6"/>
      <c r="M4457" s="6"/>
      <c r="N4457" s="6"/>
      <c r="O4457" s="6"/>
      <c r="P4457" s="6"/>
      <c r="Q4457" s="6"/>
      <c r="R4457" s="6"/>
      <c r="S4457" s="6"/>
      <c r="T4457" s="6"/>
    </row>
    <row r="4458" spans="4:20" x14ac:dyDescent="0.2">
      <c r="D4458" s="6"/>
      <c r="E4458" s="6"/>
      <c r="F4458" s="6"/>
      <c r="G4458" s="19"/>
      <c r="H4458" s="19"/>
      <c r="I4458" s="19"/>
      <c r="J4458" s="19"/>
      <c r="K4458" s="6"/>
      <c r="L4458" s="6"/>
      <c r="M4458" s="6"/>
      <c r="N4458" s="6"/>
      <c r="O4458" s="6"/>
      <c r="P4458" s="6"/>
      <c r="Q4458" s="6"/>
      <c r="R4458" s="6"/>
      <c r="S4458" s="6"/>
      <c r="T4458" s="6"/>
    </row>
    <row r="4459" spans="4:20" x14ac:dyDescent="0.2">
      <c r="D4459" s="6"/>
      <c r="E4459" s="6"/>
      <c r="F4459" s="6"/>
      <c r="G4459" s="19"/>
      <c r="H4459" s="19"/>
      <c r="I4459" s="19"/>
      <c r="J4459" s="19"/>
      <c r="K4459" s="6"/>
      <c r="L4459" s="6"/>
      <c r="M4459" s="6"/>
      <c r="N4459" s="6"/>
      <c r="O4459" s="6"/>
      <c r="P4459" s="6"/>
      <c r="Q4459" s="6"/>
      <c r="R4459" s="6"/>
      <c r="S4459" s="6"/>
      <c r="T4459" s="6"/>
    </row>
    <row r="4460" spans="4:20" x14ac:dyDescent="0.2">
      <c r="D4460" s="6"/>
      <c r="E4460" s="6"/>
      <c r="F4460" s="6"/>
      <c r="G4460" s="19"/>
      <c r="H4460" s="19"/>
      <c r="I4460" s="19"/>
      <c r="J4460" s="19"/>
      <c r="K4460" s="6"/>
      <c r="L4460" s="6"/>
      <c r="M4460" s="6"/>
      <c r="N4460" s="6"/>
      <c r="O4460" s="6"/>
      <c r="P4460" s="6"/>
      <c r="Q4460" s="6"/>
      <c r="R4460" s="6"/>
      <c r="S4460" s="6"/>
      <c r="T4460" s="6"/>
    </row>
    <row r="4461" spans="4:20" x14ac:dyDescent="0.2">
      <c r="D4461" s="6"/>
      <c r="E4461" s="6"/>
      <c r="F4461" s="6"/>
      <c r="G4461" s="19"/>
      <c r="H4461" s="19"/>
      <c r="I4461" s="19"/>
      <c r="J4461" s="19"/>
      <c r="K4461" s="6"/>
      <c r="L4461" s="6"/>
      <c r="M4461" s="6"/>
      <c r="N4461" s="6"/>
      <c r="O4461" s="6"/>
      <c r="P4461" s="6"/>
      <c r="Q4461" s="6"/>
      <c r="R4461" s="6"/>
      <c r="S4461" s="6"/>
      <c r="T4461" s="6"/>
    </row>
    <row r="4462" spans="4:20" x14ac:dyDescent="0.2">
      <c r="D4462" s="6"/>
      <c r="E4462" s="6"/>
      <c r="F4462" s="6"/>
      <c r="G4462" s="19"/>
      <c r="H4462" s="19"/>
      <c r="I4462" s="19"/>
      <c r="J4462" s="19"/>
      <c r="K4462" s="6"/>
      <c r="L4462" s="6"/>
      <c r="M4462" s="6"/>
      <c r="N4462" s="6"/>
      <c r="O4462" s="6"/>
      <c r="P4462" s="6"/>
      <c r="Q4462" s="6"/>
      <c r="R4462" s="6"/>
      <c r="S4462" s="6"/>
      <c r="T4462" s="6"/>
    </row>
    <row r="4463" spans="4:20" x14ac:dyDescent="0.2">
      <c r="D4463" s="6"/>
      <c r="E4463" s="6"/>
      <c r="F4463" s="6"/>
      <c r="G4463" s="19"/>
      <c r="H4463" s="19"/>
      <c r="I4463" s="19"/>
      <c r="J4463" s="19"/>
      <c r="K4463" s="6"/>
      <c r="L4463" s="6"/>
      <c r="M4463" s="6"/>
      <c r="N4463" s="6"/>
      <c r="O4463" s="6"/>
      <c r="P4463" s="6"/>
      <c r="Q4463" s="6"/>
      <c r="R4463" s="6"/>
      <c r="S4463" s="6"/>
      <c r="T4463" s="6"/>
    </row>
    <row r="4464" spans="4:20" x14ac:dyDescent="0.2">
      <c r="D4464" s="6"/>
      <c r="E4464" s="6"/>
      <c r="F4464" s="6"/>
      <c r="G4464" s="19"/>
      <c r="H4464" s="19"/>
      <c r="I4464" s="19"/>
      <c r="J4464" s="19"/>
      <c r="K4464" s="6"/>
      <c r="L4464" s="6"/>
      <c r="M4464" s="6"/>
      <c r="N4464" s="6"/>
      <c r="O4464" s="6"/>
      <c r="P4464" s="6"/>
      <c r="Q4464" s="6"/>
      <c r="R4464" s="6"/>
      <c r="S4464" s="6"/>
      <c r="T4464" s="6"/>
    </row>
    <row r="4465" spans="4:20" x14ac:dyDescent="0.2">
      <c r="D4465" s="6"/>
      <c r="E4465" s="6"/>
      <c r="F4465" s="6"/>
      <c r="G4465" s="19"/>
      <c r="H4465" s="19"/>
      <c r="I4465" s="19"/>
      <c r="J4465" s="19"/>
      <c r="K4465" s="6"/>
      <c r="L4465" s="6"/>
      <c r="M4465" s="6"/>
      <c r="N4465" s="6"/>
      <c r="O4465" s="6"/>
      <c r="P4465" s="6"/>
      <c r="Q4465" s="6"/>
      <c r="R4465" s="6"/>
      <c r="S4465" s="6"/>
      <c r="T4465" s="6"/>
    </row>
    <row r="4466" spans="4:20" x14ac:dyDescent="0.2">
      <c r="D4466" s="6"/>
      <c r="E4466" s="6"/>
      <c r="F4466" s="6"/>
      <c r="G4466" s="19"/>
      <c r="H4466" s="19"/>
      <c r="I4466" s="19"/>
      <c r="J4466" s="19"/>
      <c r="K4466" s="6"/>
      <c r="L4466" s="6"/>
      <c r="M4466" s="6"/>
      <c r="N4466" s="6"/>
      <c r="O4466" s="6"/>
      <c r="P4466" s="6"/>
      <c r="Q4466" s="6"/>
      <c r="R4466" s="6"/>
      <c r="S4466" s="6"/>
      <c r="T4466" s="6"/>
    </row>
    <row r="4467" spans="4:20" x14ac:dyDescent="0.2">
      <c r="D4467" s="6"/>
      <c r="E4467" s="6"/>
      <c r="F4467" s="6"/>
      <c r="G4467" s="19"/>
      <c r="H4467" s="19"/>
      <c r="I4467" s="19"/>
      <c r="J4467" s="19"/>
      <c r="K4467" s="6"/>
      <c r="L4467" s="6"/>
      <c r="M4467" s="6"/>
      <c r="N4467" s="6"/>
      <c r="O4467" s="6"/>
      <c r="P4467" s="6"/>
      <c r="Q4467" s="6"/>
      <c r="R4467" s="6"/>
      <c r="S4467" s="6"/>
      <c r="T4467" s="6"/>
    </row>
    <row r="4468" spans="4:20" x14ac:dyDescent="0.2">
      <c r="D4468" s="6"/>
      <c r="E4468" s="6"/>
      <c r="F4468" s="6"/>
      <c r="G4468" s="19"/>
      <c r="H4468" s="19"/>
      <c r="I4468" s="19"/>
      <c r="J4468" s="19"/>
      <c r="K4468" s="6"/>
      <c r="L4468" s="6"/>
      <c r="M4468" s="6"/>
      <c r="N4468" s="6"/>
      <c r="O4468" s="6"/>
      <c r="P4468" s="6"/>
      <c r="Q4468" s="6"/>
      <c r="R4468" s="6"/>
      <c r="S4468" s="6"/>
      <c r="T4468" s="6"/>
    </row>
    <row r="4469" spans="4:20" x14ac:dyDescent="0.2">
      <c r="D4469" s="6"/>
      <c r="E4469" s="6"/>
      <c r="F4469" s="6"/>
      <c r="G4469" s="19"/>
      <c r="H4469" s="19"/>
      <c r="I4469" s="19"/>
      <c r="J4469" s="19"/>
      <c r="K4469" s="6"/>
      <c r="L4469" s="6"/>
      <c r="M4469" s="6"/>
      <c r="N4469" s="6"/>
      <c r="O4469" s="6"/>
      <c r="P4469" s="6"/>
      <c r="Q4469" s="6"/>
      <c r="R4469" s="6"/>
      <c r="S4469" s="6"/>
      <c r="T4469" s="6"/>
    </row>
    <row r="4470" spans="4:20" x14ac:dyDescent="0.2">
      <c r="D4470" s="6"/>
      <c r="E4470" s="6"/>
      <c r="F4470" s="6"/>
      <c r="G4470" s="19"/>
      <c r="H4470" s="19"/>
      <c r="I4470" s="19"/>
      <c r="J4470" s="19"/>
      <c r="K4470" s="6"/>
      <c r="L4470" s="6"/>
      <c r="M4470" s="6"/>
      <c r="N4470" s="6"/>
      <c r="O4470" s="6"/>
      <c r="P4470" s="6"/>
      <c r="Q4470" s="6"/>
      <c r="R4470" s="6"/>
      <c r="S4470" s="6"/>
      <c r="T4470" s="6"/>
    </row>
    <row r="4471" spans="4:20" x14ac:dyDescent="0.2">
      <c r="D4471" s="6"/>
      <c r="E4471" s="6"/>
      <c r="F4471" s="6"/>
      <c r="G4471" s="19"/>
      <c r="H4471" s="19"/>
      <c r="I4471" s="19"/>
      <c r="J4471" s="19"/>
      <c r="K4471" s="6"/>
      <c r="L4471" s="6"/>
      <c r="M4471" s="6"/>
      <c r="N4471" s="6"/>
      <c r="O4471" s="6"/>
      <c r="P4471" s="6"/>
      <c r="Q4471" s="6"/>
      <c r="R4471" s="6"/>
      <c r="S4471" s="6"/>
      <c r="T4471" s="6"/>
    </row>
    <row r="4472" spans="4:20" x14ac:dyDescent="0.2">
      <c r="D4472" s="6"/>
      <c r="E4472" s="6"/>
      <c r="F4472" s="6"/>
      <c r="G4472" s="19"/>
      <c r="H4472" s="19"/>
      <c r="I4472" s="19"/>
      <c r="J4472" s="19"/>
      <c r="K4472" s="6"/>
      <c r="L4472" s="6"/>
      <c r="M4472" s="6"/>
      <c r="N4472" s="6"/>
      <c r="O4472" s="6"/>
      <c r="P4472" s="6"/>
      <c r="Q4472" s="6"/>
      <c r="R4472" s="6"/>
      <c r="S4472" s="6"/>
      <c r="T4472" s="6"/>
    </row>
    <row r="4473" spans="4:20" x14ac:dyDescent="0.2">
      <c r="D4473" s="6"/>
      <c r="E4473" s="6"/>
      <c r="F4473" s="6"/>
      <c r="G4473" s="19"/>
      <c r="H4473" s="19"/>
      <c r="I4473" s="19"/>
      <c r="J4473" s="19"/>
      <c r="K4473" s="6"/>
      <c r="L4473" s="6"/>
      <c r="M4473" s="6"/>
      <c r="N4473" s="6"/>
      <c r="O4473" s="6"/>
      <c r="P4473" s="6"/>
      <c r="Q4473" s="6"/>
      <c r="R4473" s="6"/>
      <c r="S4473" s="6"/>
      <c r="T4473" s="6"/>
    </row>
    <row r="4474" spans="4:20" x14ac:dyDescent="0.2">
      <c r="D4474" s="6"/>
      <c r="E4474" s="6"/>
      <c r="F4474" s="6"/>
      <c r="G4474" s="19"/>
      <c r="H4474" s="19"/>
      <c r="I4474" s="19"/>
      <c r="J4474" s="19"/>
      <c r="K4474" s="6"/>
      <c r="L4474" s="6"/>
      <c r="M4474" s="6"/>
      <c r="N4474" s="6"/>
      <c r="O4474" s="6"/>
      <c r="P4474" s="6"/>
      <c r="Q4474" s="6"/>
      <c r="R4474" s="6"/>
      <c r="S4474" s="6"/>
      <c r="T4474" s="6"/>
    </row>
    <row r="4475" spans="4:20" x14ac:dyDescent="0.2">
      <c r="D4475" s="6"/>
      <c r="E4475" s="6"/>
      <c r="F4475" s="6"/>
      <c r="G4475" s="19"/>
      <c r="H4475" s="19"/>
      <c r="I4475" s="19"/>
      <c r="J4475" s="19"/>
      <c r="K4475" s="6"/>
      <c r="L4475" s="6"/>
      <c r="M4475" s="6"/>
      <c r="N4475" s="6"/>
      <c r="O4475" s="6"/>
      <c r="P4475" s="6"/>
      <c r="Q4475" s="6"/>
      <c r="R4475" s="6"/>
      <c r="S4475" s="6"/>
      <c r="T4475" s="6"/>
    </row>
    <row r="4476" spans="4:20" x14ac:dyDescent="0.2">
      <c r="D4476" s="6"/>
      <c r="E4476" s="6"/>
      <c r="F4476" s="6"/>
      <c r="G4476" s="19"/>
      <c r="H4476" s="19"/>
      <c r="I4476" s="19"/>
      <c r="J4476" s="19"/>
      <c r="K4476" s="6"/>
      <c r="L4476" s="6"/>
      <c r="M4476" s="6"/>
      <c r="N4476" s="6"/>
      <c r="O4476" s="6"/>
      <c r="P4476" s="6"/>
      <c r="Q4476" s="6"/>
      <c r="R4476" s="6"/>
      <c r="S4476" s="6"/>
      <c r="T4476" s="6"/>
    </row>
    <row r="4477" spans="4:20" x14ac:dyDescent="0.2">
      <c r="D4477" s="6"/>
      <c r="E4477" s="6"/>
      <c r="F4477" s="6"/>
      <c r="G4477" s="19"/>
      <c r="H4477" s="19"/>
      <c r="I4477" s="19"/>
      <c r="J4477" s="19"/>
      <c r="K4477" s="6"/>
      <c r="L4477" s="6"/>
      <c r="M4477" s="6"/>
      <c r="N4477" s="6"/>
      <c r="O4477" s="6"/>
      <c r="P4477" s="6"/>
      <c r="Q4477" s="6"/>
      <c r="R4477" s="6"/>
      <c r="S4477" s="6"/>
      <c r="T4477" s="6"/>
    </row>
    <row r="4478" spans="4:20" x14ac:dyDescent="0.2">
      <c r="D4478" s="6"/>
      <c r="E4478" s="6"/>
      <c r="F4478" s="6"/>
      <c r="G4478" s="19"/>
      <c r="H4478" s="19"/>
      <c r="I4478" s="19"/>
      <c r="J4478" s="19"/>
      <c r="K4478" s="6"/>
      <c r="L4478" s="6"/>
      <c r="M4478" s="6"/>
      <c r="N4478" s="6"/>
      <c r="O4478" s="6"/>
      <c r="P4478" s="6"/>
      <c r="Q4478" s="6"/>
      <c r="R4478" s="6"/>
      <c r="S4478" s="6"/>
      <c r="T4478" s="6"/>
    </row>
    <row r="4479" spans="4:20" x14ac:dyDescent="0.2">
      <c r="D4479" s="6"/>
      <c r="E4479" s="6"/>
      <c r="F4479" s="6"/>
      <c r="G4479" s="19"/>
      <c r="H4479" s="19"/>
      <c r="I4479" s="19"/>
      <c r="J4479" s="19"/>
      <c r="K4479" s="6"/>
      <c r="L4479" s="6"/>
      <c r="M4479" s="6"/>
      <c r="N4479" s="6"/>
      <c r="O4479" s="6"/>
      <c r="P4479" s="6"/>
      <c r="Q4479" s="6"/>
      <c r="R4479" s="6"/>
      <c r="S4479" s="6"/>
      <c r="T4479" s="6"/>
    </row>
    <row r="4480" spans="4:20" x14ac:dyDescent="0.2">
      <c r="D4480" s="6"/>
      <c r="E4480" s="6"/>
      <c r="F4480" s="6"/>
      <c r="G4480" s="19"/>
      <c r="H4480" s="19"/>
      <c r="I4480" s="19"/>
      <c r="J4480" s="19"/>
      <c r="K4480" s="6"/>
      <c r="L4480" s="6"/>
      <c r="M4480" s="6"/>
      <c r="N4480" s="6"/>
      <c r="O4480" s="6"/>
      <c r="P4480" s="6"/>
      <c r="Q4480" s="6"/>
      <c r="R4480" s="6"/>
      <c r="S4480" s="6"/>
      <c r="T4480" s="6"/>
    </row>
    <row r="4481" spans="4:20" x14ac:dyDescent="0.2">
      <c r="D4481" s="6"/>
      <c r="E4481" s="6"/>
      <c r="F4481" s="6"/>
      <c r="G4481" s="19"/>
      <c r="H4481" s="19"/>
      <c r="I4481" s="19"/>
      <c r="J4481" s="19"/>
      <c r="K4481" s="6"/>
      <c r="L4481" s="6"/>
      <c r="M4481" s="6"/>
      <c r="N4481" s="6"/>
      <c r="O4481" s="6"/>
      <c r="P4481" s="6"/>
      <c r="Q4481" s="6"/>
      <c r="R4481" s="6"/>
      <c r="S4481" s="6"/>
      <c r="T4481" s="6"/>
    </row>
    <row r="4482" spans="4:20" x14ac:dyDescent="0.2">
      <c r="D4482" s="6"/>
      <c r="E4482" s="6"/>
      <c r="F4482" s="6"/>
      <c r="G4482" s="19"/>
      <c r="H4482" s="19"/>
      <c r="I4482" s="19"/>
      <c r="J4482" s="19"/>
      <c r="K4482" s="6"/>
      <c r="L4482" s="6"/>
      <c r="M4482" s="6"/>
      <c r="N4482" s="6"/>
      <c r="O4482" s="6"/>
      <c r="P4482" s="6"/>
      <c r="Q4482" s="6"/>
      <c r="R4482" s="6"/>
      <c r="S4482" s="6"/>
      <c r="T4482" s="6"/>
    </row>
    <row r="4483" spans="4:20" x14ac:dyDescent="0.2">
      <c r="D4483" s="6"/>
      <c r="E4483" s="6"/>
      <c r="F4483" s="6"/>
      <c r="G4483" s="19"/>
      <c r="H4483" s="19"/>
      <c r="I4483" s="19"/>
      <c r="J4483" s="19"/>
      <c r="K4483" s="6"/>
      <c r="L4483" s="6"/>
      <c r="M4483" s="6"/>
      <c r="N4483" s="6"/>
      <c r="O4483" s="6"/>
      <c r="P4483" s="6"/>
      <c r="Q4483" s="6"/>
      <c r="R4483" s="6"/>
      <c r="S4483" s="6"/>
      <c r="T4483" s="6"/>
    </row>
    <row r="4484" spans="4:20" x14ac:dyDescent="0.2">
      <c r="D4484" s="6"/>
      <c r="E4484" s="6"/>
      <c r="F4484" s="6"/>
      <c r="G4484" s="19"/>
      <c r="H4484" s="19"/>
      <c r="I4484" s="19"/>
      <c r="J4484" s="19"/>
      <c r="K4484" s="6"/>
      <c r="L4484" s="6"/>
      <c r="M4484" s="6"/>
      <c r="N4484" s="6"/>
      <c r="O4484" s="6"/>
      <c r="P4484" s="6"/>
      <c r="Q4484" s="6"/>
      <c r="R4484" s="6"/>
      <c r="S4484" s="6"/>
      <c r="T4484" s="6"/>
    </row>
    <row r="4485" spans="4:20" x14ac:dyDescent="0.2">
      <c r="D4485" s="6"/>
      <c r="E4485" s="6"/>
      <c r="F4485" s="6"/>
      <c r="G4485" s="19"/>
      <c r="H4485" s="19"/>
      <c r="I4485" s="19"/>
      <c r="J4485" s="19"/>
      <c r="K4485" s="6"/>
      <c r="L4485" s="6"/>
      <c r="M4485" s="6"/>
      <c r="N4485" s="6"/>
      <c r="O4485" s="6"/>
      <c r="P4485" s="6"/>
      <c r="Q4485" s="6"/>
      <c r="R4485" s="6"/>
      <c r="S4485" s="6"/>
      <c r="T4485" s="6"/>
    </row>
    <row r="4486" spans="4:20" x14ac:dyDescent="0.2">
      <c r="D4486" s="6"/>
      <c r="E4486" s="6"/>
      <c r="F4486" s="6"/>
      <c r="G4486" s="19"/>
      <c r="H4486" s="19"/>
      <c r="I4486" s="19"/>
      <c r="J4486" s="19"/>
      <c r="K4486" s="6"/>
      <c r="L4486" s="6"/>
      <c r="M4486" s="6"/>
      <c r="N4486" s="6"/>
      <c r="O4486" s="6"/>
      <c r="P4486" s="6"/>
      <c r="Q4486" s="6"/>
      <c r="R4486" s="6"/>
      <c r="S4486" s="6"/>
      <c r="T4486" s="6"/>
    </row>
    <row r="4487" spans="4:20" x14ac:dyDescent="0.2">
      <c r="D4487" s="6"/>
      <c r="E4487" s="6"/>
      <c r="F4487" s="6"/>
      <c r="G4487" s="19"/>
      <c r="H4487" s="19"/>
      <c r="I4487" s="19"/>
      <c r="J4487" s="19"/>
      <c r="K4487" s="6"/>
      <c r="L4487" s="6"/>
      <c r="M4487" s="6"/>
      <c r="N4487" s="6"/>
      <c r="O4487" s="6"/>
      <c r="P4487" s="6"/>
      <c r="Q4487" s="6"/>
      <c r="R4487" s="6"/>
      <c r="S4487" s="6"/>
      <c r="T4487" s="6"/>
    </row>
    <row r="4488" spans="4:20" x14ac:dyDescent="0.2">
      <c r="D4488" s="6"/>
      <c r="E4488" s="6"/>
      <c r="F4488" s="6"/>
      <c r="G4488" s="19"/>
      <c r="H4488" s="19"/>
      <c r="I4488" s="19"/>
      <c r="J4488" s="19"/>
      <c r="K4488" s="6"/>
      <c r="L4488" s="6"/>
      <c r="M4488" s="6"/>
      <c r="N4488" s="6"/>
      <c r="O4488" s="6"/>
      <c r="P4488" s="6"/>
      <c r="Q4488" s="6"/>
      <c r="R4488" s="6"/>
      <c r="S4488" s="6"/>
      <c r="T4488" s="6"/>
    </row>
    <row r="4489" spans="4:20" x14ac:dyDescent="0.2">
      <c r="D4489" s="6"/>
      <c r="E4489" s="6"/>
      <c r="F4489" s="6"/>
      <c r="G4489" s="19"/>
      <c r="H4489" s="19"/>
      <c r="I4489" s="19"/>
      <c r="J4489" s="19"/>
      <c r="K4489" s="6"/>
      <c r="L4489" s="6"/>
      <c r="M4489" s="6"/>
      <c r="N4489" s="6"/>
      <c r="O4489" s="6"/>
      <c r="P4489" s="6"/>
      <c r="Q4489" s="6"/>
      <c r="R4489" s="6"/>
      <c r="S4489" s="6"/>
      <c r="T4489" s="6"/>
    </row>
    <row r="4490" spans="4:20" x14ac:dyDescent="0.2">
      <c r="D4490" s="6"/>
      <c r="E4490" s="6"/>
      <c r="F4490" s="6"/>
      <c r="G4490" s="19"/>
      <c r="H4490" s="19"/>
      <c r="I4490" s="19"/>
      <c r="J4490" s="19"/>
      <c r="K4490" s="6"/>
      <c r="L4490" s="6"/>
      <c r="M4490" s="6"/>
      <c r="N4490" s="6"/>
      <c r="O4490" s="6"/>
      <c r="P4490" s="6"/>
      <c r="Q4490" s="6"/>
      <c r="R4490" s="6"/>
      <c r="S4490" s="6"/>
      <c r="T4490" s="6"/>
    </row>
    <row r="4491" spans="4:20" x14ac:dyDescent="0.2">
      <c r="D4491" s="6"/>
      <c r="E4491" s="6"/>
      <c r="F4491" s="6"/>
      <c r="G4491" s="19"/>
      <c r="H4491" s="19"/>
      <c r="I4491" s="19"/>
      <c r="J4491" s="19"/>
      <c r="K4491" s="6"/>
      <c r="L4491" s="6"/>
      <c r="M4491" s="6"/>
      <c r="N4491" s="6"/>
      <c r="O4491" s="6"/>
      <c r="P4491" s="6"/>
      <c r="Q4491" s="6"/>
      <c r="R4491" s="6"/>
      <c r="S4491" s="6"/>
      <c r="T4491" s="6"/>
    </row>
    <row r="4492" spans="4:20" x14ac:dyDescent="0.2">
      <c r="D4492" s="6"/>
      <c r="E4492" s="6"/>
      <c r="F4492" s="6"/>
      <c r="G4492" s="19"/>
      <c r="H4492" s="19"/>
      <c r="I4492" s="19"/>
      <c r="J4492" s="19"/>
      <c r="K4492" s="6"/>
      <c r="L4492" s="6"/>
      <c r="M4492" s="6"/>
      <c r="N4492" s="6"/>
      <c r="O4492" s="6"/>
      <c r="P4492" s="6"/>
      <c r="Q4492" s="6"/>
      <c r="R4492" s="6"/>
      <c r="S4492" s="6"/>
      <c r="T4492" s="6"/>
    </row>
    <row r="4493" spans="4:20" x14ac:dyDescent="0.2">
      <c r="D4493" s="6"/>
      <c r="E4493" s="6"/>
      <c r="F4493" s="6"/>
      <c r="G4493" s="19"/>
      <c r="H4493" s="19"/>
      <c r="I4493" s="19"/>
      <c r="J4493" s="19"/>
      <c r="K4493" s="6"/>
      <c r="L4493" s="6"/>
      <c r="M4493" s="6"/>
      <c r="N4493" s="6"/>
      <c r="O4493" s="6"/>
      <c r="P4493" s="6"/>
      <c r="Q4493" s="6"/>
      <c r="R4493" s="6"/>
      <c r="S4493" s="6"/>
      <c r="T4493" s="6"/>
    </row>
    <row r="4494" spans="4:20" x14ac:dyDescent="0.2">
      <c r="D4494" s="6"/>
      <c r="E4494" s="6"/>
      <c r="F4494" s="6"/>
      <c r="G4494" s="19"/>
      <c r="H4494" s="19"/>
      <c r="I4494" s="19"/>
      <c r="J4494" s="19"/>
      <c r="K4494" s="6"/>
      <c r="L4494" s="6"/>
      <c r="M4494" s="6"/>
      <c r="N4494" s="6"/>
      <c r="O4494" s="6"/>
      <c r="P4494" s="6"/>
      <c r="Q4494" s="6"/>
      <c r="R4494" s="6"/>
      <c r="S4494" s="6"/>
      <c r="T4494" s="6"/>
    </row>
    <row r="4495" spans="4:20" x14ac:dyDescent="0.2">
      <c r="D4495" s="6"/>
      <c r="E4495" s="6"/>
      <c r="F4495" s="6"/>
      <c r="G4495" s="19"/>
      <c r="H4495" s="19"/>
      <c r="I4495" s="19"/>
      <c r="J4495" s="19"/>
      <c r="K4495" s="6"/>
      <c r="L4495" s="6"/>
      <c r="M4495" s="6"/>
      <c r="N4495" s="6"/>
      <c r="O4495" s="6"/>
      <c r="P4495" s="6"/>
      <c r="Q4495" s="6"/>
      <c r="R4495" s="6"/>
      <c r="S4495" s="6"/>
      <c r="T4495" s="6"/>
    </row>
    <row r="4496" spans="4:20" x14ac:dyDescent="0.2">
      <c r="D4496" s="6"/>
      <c r="E4496" s="6"/>
      <c r="F4496" s="6"/>
      <c r="G4496" s="19"/>
      <c r="H4496" s="19"/>
      <c r="I4496" s="19"/>
      <c r="J4496" s="19"/>
      <c r="K4496" s="6"/>
      <c r="L4496" s="6"/>
      <c r="M4496" s="6"/>
      <c r="N4496" s="6"/>
      <c r="O4496" s="6"/>
      <c r="P4496" s="6"/>
      <c r="Q4496" s="6"/>
      <c r="R4496" s="6"/>
      <c r="S4496" s="6"/>
      <c r="T4496" s="6"/>
    </row>
    <row r="4497" spans="4:20" x14ac:dyDescent="0.2">
      <c r="D4497" s="6"/>
      <c r="E4497" s="6"/>
      <c r="F4497" s="6"/>
      <c r="G4497" s="19"/>
      <c r="H4497" s="19"/>
      <c r="I4497" s="19"/>
      <c r="J4497" s="19"/>
      <c r="K4497" s="6"/>
      <c r="L4497" s="6"/>
      <c r="M4497" s="6"/>
      <c r="N4497" s="6"/>
      <c r="O4497" s="6"/>
      <c r="P4497" s="6"/>
      <c r="Q4497" s="6"/>
      <c r="R4497" s="6"/>
      <c r="S4497" s="6"/>
      <c r="T4497" s="6"/>
    </row>
    <row r="4498" spans="4:20" x14ac:dyDescent="0.2">
      <c r="D4498" s="6"/>
      <c r="E4498" s="6"/>
      <c r="F4498" s="6"/>
      <c r="G4498" s="19"/>
      <c r="H4498" s="19"/>
      <c r="I4498" s="19"/>
      <c r="J4498" s="19"/>
      <c r="K4498" s="6"/>
      <c r="L4498" s="6"/>
      <c r="M4498" s="6"/>
      <c r="N4498" s="6"/>
      <c r="O4498" s="6"/>
      <c r="P4498" s="6"/>
      <c r="Q4498" s="6"/>
      <c r="R4498" s="6"/>
      <c r="S4498" s="6"/>
      <c r="T4498" s="6"/>
    </row>
    <row r="4499" spans="4:20" x14ac:dyDescent="0.2">
      <c r="D4499" s="6"/>
      <c r="E4499" s="6"/>
      <c r="F4499" s="6"/>
      <c r="G4499" s="19"/>
      <c r="H4499" s="19"/>
      <c r="I4499" s="19"/>
      <c r="J4499" s="19"/>
      <c r="K4499" s="6"/>
      <c r="L4499" s="6"/>
      <c r="M4499" s="6"/>
      <c r="N4499" s="6"/>
      <c r="O4499" s="6"/>
      <c r="P4499" s="6"/>
      <c r="Q4499" s="6"/>
      <c r="R4499" s="6"/>
      <c r="S4499" s="6"/>
      <c r="T4499" s="6"/>
    </row>
    <row r="4500" spans="4:20" x14ac:dyDescent="0.2">
      <c r="D4500" s="6"/>
      <c r="E4500" s="6"/>
      <c r="F4500" s="6"/>
      <c r="G4500" s="19"/>
      <c r="H4500" s="19"/>
      <c r="I4500" s="19"/>
      <c r="J4500" s="19"/>
      <c r="K4500" s="6"/>
      <c r="L4500" s="6"/>
      <c r="M4500" s="6"/>
      <c r="N4500" s="6"/>
      <c r="O4500" s="6"/>
      <c r="P4500" s="6"/>
      <c r="Q4500" s="6"/>
      <c r="R4500" s="6"/>
      <c r="S4500" s="6"/>
      <c r="T4500" s="6"/>
    </row>
    <row r="4501" spans="4:20" x14ac:dyDescent="0.2">
      <c r="D4501" s="6"/>
      <c r="E4501" s="6"/>
      <c r="F4501" s="6"/>
      <c r="G4501" s="19"/>
      <c r="H4501" s="19"/>
      <c r="I4501" s="19"/>
      <c r="J4501" s="19"/>
      <c r="K4501" s="6"/>
      <c r="L4501" s="6"/>
      <c r="M4501" s="6"/>
      <c r="N4501" s="6"/>
      <c r="O4501" s="6"/>
      <c r="P4501" s="6"/>
      <c r="Q4501" s="6"/>
      <c r="R4501" s="6"/>
      <c r="S4501" s="6"/>
      <c r="T4501" s="6"/>
    </row>
    <row r="4502" spans="4:20" x14ac:dyDescent="0.2">
      <c r="D4502" s="6"/>
      <c r="E4502" s="6"/>
      <c r="F4502" s="6"/>
      <c r="G4502" s="19"/>
      <c r="H4502" s="19"/>
      <c r="I4502" s="19"/>
      <c r="J4502" s="19"/>
      <c r="K4502" s="6"/>
      <c r="L4502" s="6"/>
      <c r="M4502" s="6"/>
      <c r="N4502" s="6"/>
      <c r="O4502" s="6"/>
      <c r="P4502" s="6"/>
      <c r="Q4502" s="6"/>
      <c r="R4502" s="6"/>
      <c r="S4502" s="6"/>
      <c r="T4502" s="6"/>
    </row>
    <row r="4503" spans="4:20" x14ac:dyDescent="0.2">
      <c r="D4503" s="6"/>
      <c r="E4503" s="6"/>
      <c r="F4503" s="6"/>
      <c r="G4503" s="19"/>
      <c r="H4503" s="19"/>
      <c r="I4503" s="19"/>
      <c r="J4503" s="19"/>
      <c r="K4503" s="6"/>
      <c r="L4503" s="6"/>
      <c r="M4503" s="6"/>
      <c r="N4503" s="6"/>
      <c r="O4503" s="6"/>
      <c r="P4503" s="6"/>
      <c r="Q4503" s="6"/>
      <c r="R4503" s="6"/>
      <c r="S4503" s="6"/>
      <c r="T4503" s="6"/>
    </row>
    <row r="4504" spans="4:20" x14ac:dyDescent="0.2">
      <c r="D4504" s="6"/>
      <c r="E4504" s="6"/>
      <c r="F4504" s="6"/>
      <c r="G4504" s="19"/>
      <c r="H4504" s="19"/>
      <c r="I4504" s="19"/>
      <c r="J4504" s="19"/>
      <c r="K4504" s="6"/>
      <c r="L4504" s="6"/>
      <c r="M4504" s="6"/>
      <c r="N4504" s="6"/>
      <c r="O4504" s="6"/>
      <c r="P4504" s="6"/>
      <c r="Q4504" s="6"/>
      <c r="R4504" s="6"/>
      <c r="S4504" s="6"/>
      <c r="T4504" s="6"/>
    </row>
    <row r="4505" spans="4:20" x14ac:dyDescent="0.2">
      <c r="D4505" s="6"/>
      <c r="E4505" s="6"/>
      <c r="F4505" s="6"/>
      <c r="G4505" s="19"/>
      <c r="H4505" s="19"/>
      <c r="I4505" s="19"/>
      <c r="J4505" s="19"/>
      <c r="K4505" s="6"/>
      <c r="L4505" s="6"/>
      <c r="M4505" s="6"/>
      <c r="N4505" s="6"/>
      <c r="O4505" s="6"/>
      <c r="P4505" s="6"/>
      <c r="Q4505" s="6"/>
      <c r="R4505" s="6"/>
      <c r="S4505" s="6"/>
      <c r="T4505" s="6"/>
    </row>
    <row r="4506" spans="4:20" x14ac:dyDescent="0.2">
      <c r="D4506" s="6"/>
      <c r="E4506" s="6"/>
      <c r="F4506" s="6"/>
      <c r="G4506" s="19"/>
      <c r="H4506" s="19"/>
      <c r="I4506" s="19"/>
      <c r="J4506" s="19"/>
      <c r="K4506" s="6"/>
      <c r="L4506" s="6"/>
      <c r="M4506" s="6"/>
      <c r="N4506" s="6"/>
      <c r="O4506" s="6"/>
      <c r="P4506" s="6"/>
      <c r="Q4506" s="6"/>
      <c r="R4506" s="6"/>
      <c r="S4506" s="6"/>
      <c r="T4506" s="6"/>
    </row>
    <row r="4507" spans="4:20" x14ac:dyDescent="0.2">
      <c r="D4507" s="6"/>
      <c r="E4507" s="6"/>
      <c r="F4507" s="6"/>
      <c r="G4507" s="19"/>
      <c r="H4507" s="19"/>
      <c r="I4507" s="19"/>
      <c r="J4507" s="19"/>
      <c r="K4507" s="6"/>
      <c r="L4507" s="6"/>
      <c r="M4507" s="6"/>
      <c r="N4507" s="6"/>
      <c r="O4507" s="6"/>
      <c r="P4507" s="6"/>
      <c r="Q4507" s="6"/>
      <c r="R4507" s="6"/>
      <c r="S4507" s="6"/>
      <c r="T4507" s="6"/>
    </row>
    <row r="4508" spans="4:20" x14ac:dyDescent="0.2">
      <c r="D4508" s="6"/>
      <c r="E4508" s="6"/>
      <c r="F4508" s="6"/>
      <c r="G4508" s="19"/>
      <c r="H4508" s="19"/>
      <c r="I4508" s="19"/>
      <c r="J4508" s="19"/>
      <c r="K4508" s="6"/>
      <c r="L4508" s="6"/>
      <c r="M4508" s="6"/>
      <c r="N4508" s="6"/>
      <c r="O4508" s="6"/>
      <c r="P4508" s="6"/>
      <c r="Q4508" s="6"/>
      <c r="R4508" s="6"/>
      <c r="S4508" s="6"/>
      <c r="T4508" s="6"/>
    </row>
    <row r="4509" spans="4:20" x14ac:dyDescent="0.2">
      <c r="D4509" s="6"/>
      <c r="E4509" s="6"/>
      <c r="F4509" s="6"/>
      <c r="G4509" s="19"/>
      <c r="H4509" s="19"/>
      <c r="I4509" s="19"/>
      <c r="J4509" s="19"/>
      <c r="K4509" s="6"/>
      <c r="L4509" s="6"/>
      <c r="M4509" s="6"/>
      <c r="N4509" s="6"/>
      <c r="O4509" s="6"/>
      <c r="P4509" s="6"/>
      <c r="Q4509" s="6"/>
      <c r="R4509" s="6"/>
      <c r="S4509" s="6"/>
      <c r="T4509" s="6"/>
    </row>
    <row r="4510" spans="4:20" x14ac:dyDescent="0.2">
      <c r="D4510" s="6"/>
      <c r="E4510" s="6"/>
      <c r="F4510" s="6"/>
      <c r="G4510" s="19"/>
      <c r="H4510" s="19"/>
      <c r="I4510" s="19"/>
      <c r="J4510" s="19"/>
      <c r="K4510" s="6"/>
      <c r="L4510" s="6"/>
      <c r="M4510" s="6"/>
      <c r="N4510" s="6"/>
      <c r="O4510" s="6"/>
      <c r="P4510" s="6"/>
      <c r="Q4510" s="6"/>
      <c r="R4510" s="6"/>
      <c r="S4510" s="6"/>
      <c r="T4510" s="6"/>
    </row>
    <row r="4511" spans="4:20" x14ac:dyDescent="0.2">
      <c r="D4511" s="6"/>
      <c r="E4511" s="6"/>
      <c r="F4511" s="6"/>
      <c r="G4511" s="19"/>
      <c r="H4511" s="19"/>
      <c r="I4511" s="19"/>
      <c r="J4511" s="19"/>
      <c r="K4511" s="6"/>
      <c r="L4511" s="6"/>
      <c r="M4511" s="6"/>
      <c r="N4511" s="6"/>
      <c r="O4511" s="6"/>
      <c r="P4511" s="6"/>
      <c r="Q4511" s="6"/>
      <c r="R4511" s="6"/>
      <c r="S4511" s="6"/>
      <c r="T4511" s="6"/>
    </row>
    <row r="4512" spans="4:20" x14ac:dyDescent="0.2">
      <c r="D4512" s="6"/>
      <c r="E4512" s="6"/>
      <c r="F4512" s="6"/>
      <c r="G4512" s="19"/>
      <c r="H4512" s="19"/>
      <c r="I4512" s="19"/>
      <c r="J4512" s="19"/>
      <c r="K4512" s="6"/>
      <c r="L4512" s="6"/>
      <c r="M4512" s="6"/>
      <c r="N4512" s="6"/>
      <c r="O4512" s="6"/>
      <c r="P4512" s="6"/>
      <c r="Q4512" s="6"/>
      <c r="R4512" s="6"/>
      <c r="S4512" s="6"/>
      <c r="T4512" s="6"/>
    </row>
    <row r="4513" spans="4:20" x14ac:dyDescent="0.2">
      <c r="D4513" s="6"/>
      <c r="E4513" s="6"/>
      <c r="F4513" s="6"/>
      <c r="G4513" s="19"/>
      <c r="H4513" s="19"/>
      <c r="I4513" s="19"/>
      <c r="J4513" s="19"/>
      <c r="K4513" s="6"/>
      <c r="L4513" s="6"/>
      <c r="M4513" s="6"/>
      <c r="N4513" s="6"/>
      <c r="O4513" s="6"/>
      <c r="P4513" s="6"/>
      <c r="Q4513" s="6"/>
      <c r="R4513" s="6"/>
      <c r="S4513" s="6"/>
      <c r="T4513" s="6"/>
    </row>
    <row r="4514" spans="4:20" x14ac:dyDescent="0.2">
      <c r="D4514" s="6"/>
      <c r="E4514" s="6"/>
      <c r="F4514" s="6"/>
      <c r="G4514" s="19"/>
      <c r="H4514" s="19"/>
      <c r="I4514" s="19"/>
      <c r="J4514" s="19"/>
      <c r="K4514" s="6"/>
      <c r="L4514" s="6"/>
      <c r="M4514" s="6"/>
      <c r="N4514" s="6"/>
      <c r="O4514" s="6"/>
      <c r="P4514" s="6"/>
      <c r="Q4514" s="6"/>
      <c r="R4514" s="6"/>
      <c r="S4514" s="6"/>
      <c r="T4514" s="6"/>
    </row>
    <row r="4515" spans="4:20" x14ac:dyDescent="0.2">
      <c r="D4515" s="6"/>
      <c r="E4515" s="6"/>
      <c r="F4515" s="6"/>
      <c r="G4515" s="19"/>
      <c r="H4515" s="19"/>
      <c r="I4515" s="19"/>
      <c r="J4515" s="19"/>
      <c r="K4515" s="6"/>
      <c r="L4515" s="6"/>
      <c r="M4515" s="6"/>
      <c r="N4515" s="6"/>
      <c r="O4515" s="6"/>
      <c r="P4515" s="6"/>
      <c r="Q4515" s="6"/>
      <c r="R4515" s="6"/>
      <c r="S4515" s="6"/>
      <c r="T4515" s="6"/>
    </row>
    <row r="4516" spans="4:20" x14ac:dyDescent="0.2">
      <c r="D4516" s="6"/>
      <c r="E4516" s="6"/>
      <c r="F4516" s="6"/>
      <c r="G4516" s="19"/>
      <c r="H4516" s="19"/>
      <c r="I4516" s="19"/>
      <c r="J4516" s="19"/>
      <c r="K4516" s="6"/>
      <c r="L4516" s="6"/>
      <c r="M4516" s="6"/>
      <c r="N4516" s="6"/>
      <c r="O4516" s="6"/>
      <c r="P4516" s="6"/>
      <c r="Q4516" s="6"/>
      <c r="R4516" s="6"/>
      <c r="S4516" s="6"/>
      <c r="T4516" s="6"/>
    </row>
    <row r="4517" spans="4:20" x14ac:dyDescent="0.2">
      <c r="D4517" s="6"/>
      <c r="E4517" s="6"/>
      <c r="F4517" s="6"/>
      <c r="G4517" s="19"/>
      <c r="H4517" s="19"/>
      <c r="I4517" s="19"/>
      <c r="J4517" s="19"/>
      <c r="K4517" s="6"/>
      <c r="L4517" s="6"/>
      <c r="M4517" s="6"/>
      <c r="N4517" s="6"/>
      <c r="O4517" s="6"/>
      <c r="P4517" s="6"/>
      <c r="Q4517" s="6"/>
      <c r="R4517" s="6"/>
      <c r="S4517" s="6"/>
      <c r="T4517" s="6"/>
    </row>
    <row r="4518" spans="4:20" x14ac:dyDescent="0.2">
      <c r="D4518" s="6"/>
      <c r="E4518" s="6"/>
      <c r="F4518" s="6"/>
      <c r="G4518" s="19"/>
      <c r="H4518" s="19"/>
      <c r="I4518" s="19"/>
      <c r="J4518" s="19"/>
      <c r="K4518" s="6"/>
      <c r="L4518" s="6"/>
      <c r="M4518" s="6"/>
      <c r="N4518" s="6"/>
      <c r="O4518" s="6"/>
      <c r="P4518" s="6"/>
      <c r="Q4518" s="6"/>
      <c r="R4518" s="6"/>
      <c r="S4518" s="6"/>
      <c r="T4518" s="6"/>
    </row>
    <row r="4519" spans="4:20" x14ac:dyDescent="0.2">
      <c r="D4519" s="6"/>
      <c r="E4519" s="6"/>
      <c r="F4519" s="6"/>
      <c r="G4519" s="19"/>
      <c r="H4519" s="19"/>
      <c r="I4519" s="19"/>
      <c r="J4519" s="19"/>
      <c r="K4519" s="6"/>
      <c r="L4519" s="6"/>
      <c r="M4519" s="6"/>
      <c r="N4519" s="6"/>
      <c r="O4519" s="6"/>
      <c r="P4519" s="6"/>
      <c r="Q4519" s="6"/>
      <c r="R4519" s="6"/>
      <c r="S4519" s="6"/>
      <c r="T4519" s="6"/>
    </row>
    <row r="4520" spans="4:20" x14ac:dyDescent="0.2">
      <c r="D4520" s="6"/>
      <c r="E4520" s="6"/>
      <c r="F4520" s="6"/>
      <c r="G4520" s="19"/>
      <c r="H4520" s="19"/>
      <c r="I4520" s="19"/>
      <c r="J4520" s="19"/>
      <c r="K4520" s="6"/>
      <c r="L4520" s="6"/>
      <c r="M4520" s="6"/>
      <c r="N4520" s="6"/>
      <c r="O4520" s="6"/>
      <c r="P4520" s="6"/>
      <c r="Q4520" s="6"/>
      <c r="R4520" s="6"/>
      <c r="S4520" s="6"/>
      <c r="T4520" s="6"/>
    </row>
    <row r="4521" spans="4:20" x14ac:dyDescent="0.2">
      <c r="D4521" s="6"/>
      <c r="E4521" s="6"/>
      <c r="F4521" s="6"/>
      <c r="G4521" s="19"/>
      <c r="H4521" s="19"/>
      <c r="I4521" s="19"/>
      <c r="J4521" s="19"/>
      <c r="K4521" s="6"/>
      <c r="L4521" s="6"/>
      <c r="M4521" s="6"/>
      <c r="N4521" s="6"/>
      <c r="O4521" s="6"/>
      <c r="P4521" s="6"/>
      <c r="Q4521" s="6"/>
      <c r="R4521" s="6"/>
      <c r="S4521" s="6"/>
      <c r="T4521" s="6"/>
    </row>
    <row r="4522" spans="4:20" x14ac:dyDescent="0.2">
      <c r="D4522" s="6"/>
      <c r="E4522" s="6"/>
      <c r="F4522" s="6"/>
      <c r="G4522" s="19"/>
      <c r="H4522" s="19"/>
      <c r="I4522" s="19"/>
      <c r="J4522" s="19"/>
      <c r="K4522" s="6"/>
      <c r="L4522" s="6"/>
      <c r="M4522" s="6"/>
      <c r="N4522" s="6"/>
      <c r="O4522" s="6"/>
      <c r="P4522" s="6"/>
      <c r="Q4522" s="6"/>
      <c r="R4522" s="6"/>
      <c r="S4522" s="6"/>
      <c r="T4522" s="6"/>
    </row>
    <row r="4523" spans="4:20" x14ac:dyDescent="0.2">
      <c r="D4523" s="6"/>
      <c r="E4523" s="6"/>
      <c r="F4523" s="6"/>
      <c r="G4523" s="19"/>
      <c r="H4523" s="19"/>
      <c r="I4523" s="19"/>
      <c r="J4523" s="19"/>
      <c r="K4523" s="6"/>
      <c r="L4523" s="6"/>
      <c r="M4523" s="6"/>
      <c r="N4523" s="6"/>
      <c r="O4523" s="6"/>
      <c r="P4523" s="6"/>
      <c r="Q4523" s="6"/>
      <c r="R4523" s="6"/>
      <c r="S4523" s="6"/>
      <c r="T4523" s="6"/>
    </row>
    <row r="4524" spans="4:20" x14ac:dyDescent="0.2">
      <c r="D4524" s="6"/>
      <c r="E4524" s="6"/>
      <c r="F4524" s="6"/>
      <c r="G4524" s="19"/>
      <c r="H4524" s="19"/>
      <c r="I4524" s="19"/>
      <c r="J4524" s="19"/>
      <c r="K4524" s="6"/>
      <c r="L4524" s="6"/>
      <c r="M4524" s="6"/>
      <c r="N4524" s="6"/>
      <c r="O4524" s="6"/>
      <c r="P4524" s="6"/>
      <c r="Q4524" s="6"/>
      <c r="R4524" s="6"/>
      <c r="S4524" s="6"/>
      <c r="T4524" s="6"/>
    </row>
    <row r="4525" spans="4:20" x14ac:dyDescent="0.2">
      <c r="D4525" s="6"/>
      <c r="E4525" s="6"/>
      <c r="F4525" s="6"/>
      <c r="G4525" s="19"/>
      <c r="H4525" s="19"/>
      <c r="I4525" s="19"/>
      <c r="J4525" s="19"/>
      <c r="K4525" s="6"/>
      <c r="L4525" s="6"/>
      <c r="M4525" s="6"/>
      <c r="N4525" s="6"/>
      <c r="O4525" s="6"/>
      <c r="P4525" s="6"/>
      <c r="Q4525" s="6"/>
      <c r="R4525" s="6"/>
      <c r="S4525" s="6"/>
      <c r="T4525" s="6"/>
    </row>
    <row r="4526" spans="4:20" x14ac:dyDescent="0.2">
      <c r="D4526" s="6"/>
      <c r="E4526" s="6"/>
      <c r="F4526" s="6"/>
      <c r="G4526" s="19"/>
      <c r="H4526" s="19"/>
      <c r="I4526" s="19"/>
      <c r="J4526" s="19"/>
      <c r="K4526" s="6"/>
      <c r="L4526" s="6"/>
      <c r="M4526" s="6"/>
      <c r="N4526" s="6"/>
      <c r="O4526" s="6"/>
      <c r="P4526" s="6"/>
      <c r="Q4526" s="6"/>
      <c r="R4526" s="6"/>
      <c r="S4526" s="6"/>
      <c r="T4526" s="6"/>
    </row>
    <row r="4527" spans="4:20" x14ac:dyDescent="0.2">
      <c r="D4527" s="6"/>
      <c r="E4527" s="6"/>
      <c r="F4527" s="6"/>
      <c r="G4527" s="19"/>
      <c r="H4527" s="19"/>
      <c r="I4527" s="19"/>
      <c r="J4527" s="19"/>
      <c r="K4527" s="6"/>
      <c r="L4527" s="6"/>
      <c r="M4527" s="6"/>
      <c r="N4527" s="6"/>
      <c r="O4527" s="6"/>
      <c r="P4527" s="6"/>
      <c r="Q4527" s="6"/>
      <c r="R4527" s="6"/>
      <c r="S4527" s="6"/>
      <c r="T4527" s="6"/>
    </row>
    <row r="4528" spans="4:20" x14ac:dyDescent="0.2">
      <c r="D4528" s="6"/>
      <c r="E4528" s="6"/>
      <c r="F4528" s="6"/>
      <c r="G4528" s="19"/>
      <c r="H4528" s="19"/>
      <c r="I4528" s="19"/>
      <c r="J4528" s="19"/>
      <c r="K4528" s="6"/>
      <c r="L4528" s="6"/>
      <c r="M4528" s="6"/>
      <c r="N4528" s="6"/>
      <c r="O4528" s="6"/>
      <c r="P4528" s="6"/>
      <c r="Q4528" s="6"/>
      <c r="R4528" s="6"/>
      <c r="S4528" s="6"/>
      <c r="T4528" s="6"/>
    </row>
    <row r="4529" spans="4:20" x14ac:dyDescent="0.2">
      <c r="D4529" s="6"/>
      <c r="E4529" s="6"/>
      <c r="F4529" s="6"/>
      <c r="G4529" s="19"/>
      <c r="H4529" s="19"/>
      <c r="I4529" s="19"/>
      <c r="J4529" s="19"/>
      <c r="K4529" s="6"/>
      <c r="L4529" s="6"/>
      <c r="M4529" s="6"/>
      <c r="N4529" s="6"/>
      <c r="O4529" s="6"/>
      <c r="P4529" s="6"/>
      <c r="Q4529" s="6"/>
      <c r="R4529" s="6"/>
      <c r="S4529" s="6"/>
      <c r="T4529" s="6"/>
    </row>
    <row r="4530" spans="4:20" x14ac:dyDescent="0.2">
      <c r="D4530" s="6"/>
      <c r="E4530" s="6"/>
      <c r="F4530" s="6"/>
      <c r="G4530" s="19"/>
      <c r="H4530" s="19"/>
      <c r="I4530" s="19"/>
      <c r="J4530" s="19"/>
      <c r="K4530" s="6"/>
      <c r="L4530" s="6"/>
      <c r="M4530" s="6"/>
      <c r="N4530" s="6"/>
      <c r="O4530" s="6"/>
      <c r="P4530" s="6"/>
      <c r="Q4530" s="6"/>
      <c r="R4530" s="6"/>
      <c r="S4530" s="6"/>
      <c r="T4530" s="6"/>
    </row>
    <row r="4531" spans="4:20" x14ac:dyDescent="0.2">
      <c r="D4531" s="6"/>
      <c r="E4531" s="6"/>
      <c r="F4531" s="6"/>
      <c r="G4531" s="19"/>
      <c r="H4531" s="19"/>
      <c r="I4531" s="19"/>
      <c r="J4531" s="19"/>
      <c r="K4531" s="6"/>
      <c r="L4531" s="6"/>
      <c r="M4531" s="6"/>
      <c r="N4531" s="6"/>
      <c r="O4531" s="6"/>
      <c r="P4531" s="6"/>
      <c r="Q4531" s="6"/>
      <c r="R4531" s="6"/>
      <c r="S4531" s="6"/>
      <c r="T4531" s="6"/>
    </row>
    <row r="4532" spans="4:20" x14ac:dyDescent="0.2">
      <c r="D4532" s="6"/>
      <c r="E4532" s="6"/>
      <c r="F4532" s="6"/>
      <c r="G4532" s="19"/>
      <c r="H4532" s="19"/>
      <c r="I4532" s="19"/>
      <c r="J4532" s="19"/>
      <c r="K4532" s="6"/>
      <c r="L4532" s="6"/>
      <c r="M4532" s="6"/>
      <c r="N4532" s="6"/>
      <c r="O4532" s="6"/>
      <c r="P4532" s="6"/>
      <c r="Q4532" s="6"/>
      <c r="R4532" s="6"/>
      <c r="S4532" s="6"/>
      <c r="T4532" s="6"/>
    </row>
    <row r="4533" spans="4:20" x14ac:dyDescent="0.2">
      <c r="D4533" s="6"/>
      <c r="E4533" s="6"/>
      <c r="F4533" s="6"/>
      <c r="G4533" s="19"/>
      <c r="H4533" s="19"/>
      <c r="I4533" s="19"/>
      <c r="J4533" s="19"/>
      <c r="K4533" s="6"/>
      <c r="L4533" s="6"/>
      <c r="M4533" s="6"/>
      <c r="N4533" s="6"/>
      <c r="O4533" s="6"/>
      <c r="P4533" s="6"/>
      <c r="Q4533" s="6"/>
      <c r="R4533" s="6"/>
      <c r="S4533" s="6"/>
      <c r="T4533" s="6"/>
    </row>
    <row r="4534" spans="4:20" x14ac:dyDescent="0.2">
      <c r="D4534" s="6"/>
      <c r="E4534" s="6"/>
      <c r="F4534" s="6"/>
      <c r="G4534" s="19"/>
      <c r="H4534" s="19"/>
      <c r="I4534" s="19"/>
      <c r="J4534" s="19"/>
      <c r="K4534" s="6"/>
      <c r="L4534" s="6"/>
      <c r="M4534" s="6"/>
      <c r="N4534" s="6"/>
      <c r="O4534" s="6"/>
      <c r="P4534" s="6"/>
      <c r="Q4534" s="6"/>
      <c r="R4534" s="6"/>
      <c r="S4534" s="6"/>
      <c r="T4534" s="6"/>
    </row>
    <row r="4535" spans="4:20" x14ac:dyDescent="0.2">
      <c r="D4535" s="6"/>
      <c r="E4535" s="6"/>
      <c r="F4535" s="6"/>
      <c r="G4535" s="19"/>
      <c r="H4535" s="19"/>
      <c r="I4535" s="19"/>
      <c r="J4535" s="19"/>
      <c r="K4535" s="6"/>
      <c r="L4535" s="6"/>
      <c r="M4535" s="6"/>
      <c r="N4535" s="6"/>
      <c r="O4535" s="6"/>
      <c r="P4535" s="6"/>
      <c r="Q4535" s="6"/>
      <c r="R4535" s="6"/>
      <c r="S4535" s="6"/>
      <c r="T4535" s="6"/>
    </row>
    <row r="4536" spans="4:20" x14ac:dyDescent="0.2">
      <c r="D4536" s="6"/>
      <c r="E4536" s="6"/>
      <c r="F4536" s="6"/>
      <c r="G4536" s="19"/>
      <c r="H4536" s="19"/>
      <c r="I4536" s="19"/>
      <c r="J4536" s="19"/>
      <c r="K4536" s="6"/>
      <c r="L4536" s="6"/>
      <c r="M4536" s="6"/>
      <c r="N4536" s="6"/>
      <c r="O4536" s="6"/>
      <c r="P4536" s="6"/>
      <c r="Q4536" s="6"/>
      <c r="R4536" s="6"/>
      <c r="S4536" s="6"/>
      <c r="T4536" s="6"/>
    </row>
    <row r="4537" spans="4:20" x14ac:dyDescent="0.2">
      <c r="D4537" s="6"/>
      <c r="E4537" s="6"/>
      <c r="F4537" s="6"/>
      <c r="G4537" s="19"/>
      <c r="H4537" s="19"/>
      <c r="I4537" s="19"/>
      <c r="J4537" s="19"/>
      <c r="K4537" s="6"/>
      <c r="L4537" s="6"/>
      <c r="M4537" s="6"/>
      <c r="N4537" s="6"/>
      <c r="O4537" s="6"/>
      <c r="P4537" s="6"/>
      <c r="Q4537" s="6"/>
      <c r="R4537" s="6"/>
      <c r="S4537" s="6"/>
      <c r="T4537" s="6"/>
    </row>
    <row r="4538" spans="4:20" x14ac:dyDescent="0.2">
      <c r="D4538" s="6"/>
      <c r="E4538" s="6"/>
      <c r="F4538" s="6"/>
      <c r="G4538" s="19"/>
      <c r="H4538" s="19"/>
      <c r="I4538" s="19"/>
      <c r="J4538" s="19"/>
      <c r="K4538" s="6"/>
      <c r="L4538" s="6"/>
      <c r="M4538" s="6"/>
      <c r="N4538" s="6"/>
      <c r="O4538" s="6"/>
      <c r="P4538" s="6"/>
      <c r="Q4538" s="6"/>
      <c r="R4538" s="6"/>
      <c r="S4538" s="6"/>
      <c r="T4538" s="6"/>
    </row>
    <row r="4539" spans="4:20" x14ac:dyDescent="0.2">
      <c r="D4539" s="6"/>
      <c r="E4539" s="6"/>
      <c r="F4539" s="6"/>
      <c r="G4539" s="19"/>
      <c r="H4539" s="19"/>
      <c r="I4539" s="19"/>
      <c r="J4539" s="19"/>
      <c r="K4539" s="6"/>
      <c r="L4539" s="6"/>
      <c r="M4539" s="6"/>
      <c r="N4539" s="6"/>
      <c r="O4539" s="6"/>
      <c r="P4539" s="6"/>
      <c r="Q4539" s="6"/>
      <c r="R4539" s="6"/>
      <c r="S4539" s="6"/>
      <c r="T4539" s="6"/>
    </row>
    <row r="4540" spans="4:20" x14ac:dyDescent="0.2">
      <c r="D4540" s="6"/>
      <c r="E4540" s="6"/>
      <c r="F4540" s="6"/>
      <c r="G4540" s="19"/>
      <c r="H4540" s="19"/>
      <c r="I4540" s="19"/>
      <c r="J4540" s="19"/>
      <c r="K4540" s="6"/>
      <c r="L4540" s="6"/>
      <c r="M4540" s="6"/>
      <c r="N4540" s="6"/>
      <c r="O4540" s="6"/>
      <c r="P4540" s="6"/>
      <c r="Q4540" s="6"/>
      <c r="R4540" s="6"/>
      <c r="S4540" s="6"/>
      <c r="T4540" s="6"/>
    </row>
    <row r="4541" spans="4:20" x14ac:dyDescent="0.2">
      <c r="D4541" s="6"/>
      <c r="E4541" s="6"/>
      <c r="F4541" s="6"/>
      <c r="G4541" s="19"/>
      <c r="H4541" s="19"/>
      <c r="I4541" s="19"/>
      <c r="J4541" s="19"/>
      <c r="K4541" s="6"/>
      <c r="L4541" s="6"/>
      <c r="M4541" s="6"/>
      <c r="N4541" s="6"/>
      <c r="O4541" s="6"/>
      <c r="P4541" s="6"/>
      <c r="Q4541" s="6"/>
      <c r="R4541" s="6"/>
      <c r="S4541" s="6"/>
      <c r="T4541" s="6"/>
    </row>
    <row r="4542" spans="4:20" x14ac:dyDescent="0.2">
      <c r="D4542" s="6"/>
      <c r="E4542" s="6"/>
      <c r="F4542" s="6"/>
      <c r="G4542" s="19"/>
      <c r="H4542" s="19"/>
      <c r="I4542" s="19"/>
      <c r="J4542" s="19"/>
      <c r="K4542" s="6"/>
      <c r="L4542" s="6"/>
      <c r="M4542" s="6"/>
      <c r="N4542" s="6"/>
      <c r="O4542" s="6"/>
      <c r="P4542" s="6"/>
      <c r="Q4542" s="6"/>
      <c r="R4542" s="6"/>
      <c r="S4542" s="6"/>
      <c r="T4542" s="6"/>
    </row>
    <row r="4543" spans="4:20" x14ac:dyDescent="0.2">
      <c r="D4543" s="6"/>
      <c r="E4543" s="6"/>
      <c r="F4543" s="6"/>
      <c r="G4543" s="19"/>
      <c r="H4543" s="19"/>
      <c r="I4543" s="19"/>
      <c r="J4543" s="19"/>
      <c r="K4543" s="6"/>
      <c r="L4543" s="6"/>
      <c r="M4543" s="6"/>
      <c r="N4543" s="6"/>
      <c r="O4543" s="6"/>
      <c r="P4543" s="6"/>
      <c r="Q4543" s="6"/>
      <c r="R4543" s="6"/>
      <c r="S4543" s="6"/>
      <c r="T4543" s="6"/>
    </row>
    <row r="4544" spans="4:20" x14ac:dyDescent="0.2">
      <c r="D4544" s="6"/>
      <c r="E4544" s="6"/>
      <c r="F4544" s="6"/>
      <c r="G4544" s="19"/>
      <c r="H4544" s="19"/>
      <c r="I4544" s="19"/>
      <c r="J4544" s="19"/>
      <c r="K4544" s="6"/>
      <c r="L4544" s="6"/>
      <c r="M4544" s="6"/>
      <c r="N4544" s="6"/>
      <c r="O4544" s="6"/>
      <c r="P4544" s="6"/>
      <c r="Q4544" s="6"/>
      <c r="R4544" s="6"/>
      <c r="S4544" s="6"/>
      <c r="T4544" s="6"/>
    </row>
    <row r="4545" spans="4:20" x14ac:dyDescent="0.2">
      <c r="D4545" s="6"/>
      <c r="E4545" s="6"/>
      <c r="F4545" s="6"/>
      <c r="G4545" s="19"/>
      <c r="H4545" s="19"/>
      <c r="I4545" s="19"/>
      <c r="J4545" s="19"/>
      <c r="K4545" s="6"/>
      <c r="L4545" s="6"/>
      <c r="M4545" s="6"/>
      <c r="N4545" s="6"/>
      <c r="O4545" s="6"/>
      <c r="P4545" s="6"/>
      <c r="Q4545" s="6"/>
      <c r="R4545" s="6"/>
      <c r="S4545" s="6"/>
      <c r="T4545" s="6"/>
    </row>
    <row r="4546" spans="4:20" x14ac:dyDescent="0.2">
      <c r="D4546" s="6"/>
      <c r="E4546" s="6"/>
      <c r="F4546" s="6"/>
      <c r="G4546" s="19"/>
      <c r="H4546" s="19"/>
      <c r="I4546" s="19"/>
      <c r="J4546" s="19"/>
      <c r="K4546" s="6"/>
      <c r="L4546" s="6"/>
      <c r="M4546" s="6"/>
      <c r="N4546" s="6"/>
      <c r="O4546" s="6"/>
      <c r="P4546" s="6"/>
      <c r="Q4546" s="6"/>
      <c r="R4546" s="6"/>
      <c r="S4546" s="6"/>
      <c r="T4546" s="6"/>
    </row>
    <row r="4547" spans="4:20" x14ac:dyDescent="0.2">
      <c r="D4547" s="6"/>
      <c r="E4547" s="6"/>
      <c r="F4547" s="6"/>
      <c r="G4547" s="19"/>
      <c r="H4547" s="19"/>
      <c r="I4547" s="19"/>
      <c r="J4547" s="19"/>
      <c r="K4547" s="6"/>
      <c r="L4547" s="6"/>
      <c r="M4547" s="6"/>
      <c r="N4547" s="6"/>
      <c r="O4547" s="6"/>
      <c r="P4547" s="6"/>
      <c r="Q4547" s="6"/>
      <c r="R4547" s="6"/>
      <c r="S4547" s="6"/>
      <c r="T4547" s="6"/>
    </row>
    <row r="4548" spans="4:20" x14ac:dyDescent="0.2">
      <c r="D4548" s="6"/>
      <c r="E4548" s="6"/>
      <c r="F4548" s="6"/>
      <c r="G4548" s="19"/>
      <c r="H4548" s="19"/>
      <c r="I4548" s="19"/>
      <c r="J4548" s="19"/>
      <c r="K4548" s="6"/>
      <c r="L4548" s="6"/>
      <c r="M4548" s="6"/>
      <c r="N4548" s="6"/>
      <c r="O4548" s="6"/>
      <c r="P4548" s="6"/>
      <c r="Q4548" s="6"/>
      <c r="R4548" s="6"/>
      <c r="S4548" s="6"/>
      <c r="T4548" s="6"/>
    </row>
    <row r="4549" spans="4:20" x14ac:dyDescent="0.2">
      <c r="D4549" s="6"/>
      <c r="E4549" s="6"/>
      <c r="F4549" s="6"/>
      <c r="G4549" s="19"/>
      <c r="H4549" s="19"/>
      <c r="I4549" s="19"/>
      <c r="J4549" s="19"/>
      <c r="K4549" s="6"/>
      <c r="L4549" s="6"/>
      <c r="M4549" s="6"/>
      <c r="N4549" s="6"/>
      <c r="O4549" s="6"/>
      <c r="P4549" s="6"/>
      <c r="Q4549" s="6"/>
      <c r="R4549" s="6"/>
      <c r="S4549" s="6"/>
      <c r="T4549" s="6"/>
    </row>
    <row r="4550" spans="4:20" x14ac:dyDescent="0.2">
      <c r="D4550" s="6"/>
      <c r="E4550" s="6"/>
      <c r="F4550" s="6"/>
      <c r="G4550" s="19"/>
      <c r="H4550" s="19"/>
      <c r="I4550" s="19"/>
      <c r="J4550" s="19"/>
      <c r="K4550" s="6"/>
      <c r="L4550" s="6"/>
      <c r="M4550" s="6"/>
      <c r="N4550" s="6"/>
      <c r="O4550" s="6"/>
      <c r="P4550" s="6"/>
      <c r="Q4550" s="6"/>
      <c r="R4550" s="6"/>
      <c r="S4550" s="6"/>
      <c r="T4550" s="6"/>
    </row>
    <row r="4551" spans="4:20" x14ac:dyDescent="0.2">
      <c r="D4551" s="6"/>
      <c r="E4551" s="6"/>
      <c r="F4551" s="6"/>
      <c r="G4551" s="19"/>
      <c r="H4551" s="19"/>
      <c r="I4551" s="19"/>
      <c r="J4551" s="19"/>
      <c r="K4551" s="6"/>
      <c r="L4551" s="6"/>
      <c r="M4551" s="6"/>
      <c r="N4551" s="6"/>
      <c r="O4551" s="6"/>
      <c r="P4551" s="6"/>
      <c r="Q4551" s="6"/>
      <c r="R4551" s="6"/>
      <c r="S4551" s="6"/>
      <c r="T4551" s="6"/>
    </row>
    <row r="4552" spans="4:20" x14ac:dyDescent="0.2">
      <c r="D4552" s="6"/>
      <c r="E4552" s="6"/>
      <c r="F4552" s="6"/>
      <c r="G4552" s="19"/>
      <c r="H4552" s="19"/>
      <c r="I4552" s="19"/>
      <c r="J4552" s="19"/>
      <c r="K4552" s="6"/>
      <c r="L4552" s="6"/>
      <c r="M4552" s="6"/>
      <c r="N4552" s="6"/>
      <c r="O4552" s="6"/>
      <c r="P4552" s="6"/>
      <c r="Q4552" s="6"/>
      <c r="R4552" s="6"/>
      <c r="S4552" s="6"/>
      <c r="T4552" s="6"/>
    </row>
    <row r="4553" spans="4:20" x14ac:dyDescent="0.2">
      <c r="D4553" s="6"/>
      <c r="E4553" s="6"/>
      <c r="F4553" s="6"/>
      <c r="G4553" s="19"/>
      <c r="H4553" s="19"/>
      <c r="I4553" s="19"/>
      <c r="J4553" s="19"/>
      <c r="K4553" s="6"/>
      <c r="L4553" s="6"/>
      <c r="M4553" s="6"/>
      <c r="N4553" s="6"/>
      <c r="O4553" s="6"/>
      <c r="P4553" s="6"/>
      <c r="Q4553" s="6"/>
      <c r="R4553" s="6"/>
      <c r="S4553" s="6"/>
      <c r="T4553" s="6"/>
    </row>
    <row r="4554" spans="4:20" x14ac:dyDescent="0.2">
      <c r="D4554" s="6"/>
      <c r="E4554" s="6"/>
      <c r="F4554" s="6"/>
      <c r="G4554" s="19"/>
      <c r="H4554" s="19"/>
      <c r="I4554" s="19"/>
      <c r="J4554" s="19"/>
      <c r="K4554" s="6"/>
      <c r="L4554" s="6"/>
      <c r="M4554" s="6"/>
      <c r="N4554" s="6"/>
      <c r="O4554" s="6"/>
      <c r="P4554" s="6"/>
      <c r="Q4554" s="6"/>
      <c r="R4554" s="6"/>
      <c r="S4554" s="6"/>
      <c r="T4554" s="6"/>
    </row>
    <row r="4555" spans="4:20" x14ac:dyDescent="0.2">
      <c r="D4555" s="6"/>
      <c r="E4555" s="6"/>
      <c r="F4555" s="6"/>
      <c r="G4555" s="19"/>
      <c r="H4555" s="19"/>
      <c r="I4555" s="19"/>
      <c r="J4555" s="19"/>
      <c r="K4555" s="6"/>
      <c r="L4555" s="6"/>
      <c r="M4555" s="6"/>
      <c r="N4555" s="6"/>
      <c r="O4555" s="6"/>
      <c r="P4555" s="6"/>
      <c r="Q4555" s="6"/>
      <c r="R4555" s="6"/>
      <c r="S4555" s="6"/>
      <c r="T4555" s="6"/>
    </row>
    <row r="4556" spans="4:20" x14ac:dyDescent="0.2">
      <c r="D4556" s="6"/>
      <c r="E4556" s="6"/>
      <c r="F4556" s="6"/>
      <c r="G4556" s="19"/>
      <c r="H4556" s="19"/>
      <c r="I4556" s="19"/>
      <c r="J4556" s="19"/>
      <c r="K4556" s="6"/>
      <c r="L4556" s="6"/>
      <c r="M4556" s="6"/>
      <c r="N4556" s="6"/>
      <c r="O4556" s="6"/>
      <c r="P4556" s="6"/>
      <c r="Q4556" s="6"/>
      <c r="R4556" s="6"/>
      <c r="S4556" s="6"/>
      <c r="T4556" s="6"/>
    </row>
    <row r="4557" spans="4:20" x14ac:dyDescent="0.2">
      <c r="D4557" s="6"/>
      <c r="E4557" s="6"/>
      <c r="F4557" s="6"/>
      <c r="G4557" s="19"/>
      <c r="H4557" s="19"/>
      <c r="I4557" s="19"/>
      <c r="J4557" s="19"/>
      <c r="K4557" s="6"/>
      <c r="L4557" s="6"/>
      <c r="M4557" s="6"/>
      <c r="N4557" s="6"/>
      <c r="O4557" s="6"/>
      <c r="P4557" s="6"/>
      <c r="Q4557" s="6"/>
      <c r="R4557" s="6"/>
      <c r="S4557" s="6"/>
      <c r="T4557" s="6"/>
    </row>
    <row r="4558" spans="4:20" x14ac:dyDescent="0.2">
      <c r="D4558" s="6"/>
      <c r="E4558" s="6"/>
      <c r="F4558" s="6"/>
      <c r="G4558" s="19"/>
      <c r="H4558" s="19"/>
      <c r="I4558" s="19"/>
      <c r="J4558" s="19"/>
      <c r="K4558" s="6"/>
      <c r="L4558" s="6"/>
      <c r="M4558" s="6"/>
      <c r="N4558" s="6"/>
      <c r="O4558" s="6"/>
      <c r="P4558" s="6"/>
      <c r="Q4558" s="6"/>
      <c r="R4558" s="6"/>
      <c r="S4558" s="6"/>
      <c r="T4558" s="6"/>
    </row>
    <row r="4559" spans="4:20" x14ac:dyDescent="0.2">
      <c r="D4559" s="6"/>
      <c r="E4559" s="6"/>
      <c r="F4559" s="6"/>
      <c r="G4559" s="19"/>
      <c r="H4559" s="19"/>
      <c r="I4559" s="19"/>
      <c r="J4559" s="19"/>
      <c r="K4559" s="6"/>
      <c r="L4559" s="6"/>
      <c r="M4559" s="6"/>
      <c r="N4559" s="6"/>
      <c r="O4559" s="6"/>
      <c r="P4559" s="6"/>
      <c r="Q4559" s="6"/>
      <c r="R4559" s="6"/>
      <c r="S4559" s="6"/>
      <c r="T4559" s="6"/>
    </row>
    <row r="4560" spans="4:20" x14ac:dyDescent="0.2">
      <c r="D4560" s="6"/>
      <c r="E4560" s="6"/>
      <c r="F4560" s="6"/>
      <c r="G4560" s="19"/>
      <c r="H4560" s="19"/>
      <c r="I4560" s="19"/>
      <c r="J4560" s="19"/>
      <c r="K4560" s="6"/>
      <c r="L4560" s="6"/>
      <c r="M4560" s="6"/>
      <c r="N4560" s="6"/>
      <c r="O4560" s="6"/>
      <c r="P4560" s="6"/>
      <c r="Q4560" s="6"/>
      <c r="R4560" s="6"/>
      <c r="S4560" s="6"/>
      <c r="T4560" s="6"/>
    </row>
    <row r="4561" spans="4:20" x14ac:dyDescent="0.2">
      <c r="D4561" s="6"/>
      <c r="E4561" s="6"/>
      <c r="F4561" s="6"/>
      <c r="G4561" s="19"/>
      <c r="H4561" s="19"/>
      <c r="I4561" s="19"/>
      <c r="J4561" s="19"/>
      <c r="K4561" s="6"/>
      <c r="L4561" s="6"/>
      <c r="M4561" s="6"/>
      <c r="N4561" s="6"/>
      <c r="O4561" s="6"/>
      <c r="P4561" s="6"/>
      <c r="Q4561" s="6"/>
      <c r="R4561" s="6"/>
      <c r="S4561" s="6"/>
      <c r="T4561" s="6"/>
    </row>
    <row r="4562" spans="4:20" x14ac:dyDescent="0.2">
      <c r="D4562" s="6"/>
      <c r="E4562" s="6"/>
      <c r="F4562" s="6"/>
      <c r="G4562" s="19"/>
      <c r="H4562" s="19"/>
      <c r="I4562" s="19"/>
      <c r="J4562" s="19"/>
      <c r="K4562" s="6"/>
      <c r="L4562" s="6"/>
      <c r="M4562" s="6"/>
      <c r="N4562" s="6"/>
      <c r="O4562" s="6"/>
      <c r="P4562" s="6"/>
      <c r="Q4562" s="6"/>
      <c r="R4562" s="6"/>
      <c r="S4562" s="6"/>
      <c r="T4562" s="6"/>
    </row>
    <row r="4563" spans="4:20" x14ac:dyDescent="0.2">
      <c r="D4563" s="6"/>
      <c r="E4563" s="6"/>
      <c r="F4563" s="6"/>
      <c r="G4563" s="19"/>
      <c r="H4563" s="19"/>
      <c r="I4563" s="19"/>
      <c r="J4563" s="19"/>
      <c r="K4563" s="6"/>
      <c r="L4563" s="6"/>
      <c r="M4563" s="6"/>
      <c r="N4563" s="6"/>
      <c r="O4563" s="6"/>
      <c r="P4563" s="6"/>
      <c r="Q4563" s="6"/>
      <c r="R4563" s="6"/>
      <c r="S4563" s="6"/>
      <c r="T4563" s="6"/>
    </row>
    <row r="4564" spans="4:20" x14ac:dyDescent="0.2">
      <c r="D4564" s="6"/>
      <c r="E4564" s="6"/>
      <c r="F4564" s="6"/>
      <c r="G4564" s="19"/>
      <c r="H4564" s="19"/>
      <c r="I4564" s="19"/>
      <c r="J4564" s="19"/>
      <c r="K4564" s="6"/>
      <c r="L4564" s="6"/>
      <c r="M4564" s="6"/>
      <c r="N4564" s="6"/>
      <c r="O4564" s="6"/>
      <c r="P4564" s="6"/>
      <c r="Q4564" s="6"/>
      <c r="R4564" s="6"/>
      <c r="S4564" s="6"/>
      <c r="T4564" s="6"/>
    </row>
    <row r="4565" spans="4:20" x14ac:dyDescent="0.2">
      <c r="D4565" s="6"/>
      <c r="E4565" s="6"/>
      <c r="F4565" s="6"/>
      <c r="G4565" s="19"/>
      <c r="H4565" s="19"/>
      <c r="I4565" s="19"/>
      <c r="J4565" s="19"/>
      <c r="K4565" s="6"/>
      <c r="L4565" s="6"/>
      <c r="M4565" s="6"/>
      <c r="N4565" s="6"/>
      <c r="O4565" s="6"/>
      <c r="P4565" s="6"/>
      <c r="Q4565" s="6"/>
      <c r="R4565" s="6"/>
      <c r="S4565" s="6"/>
      <c r="T4565" s="6"/>
    </row>
    <row r="4566" spans="4:20" x14ac:dyDescent="0.2">
      <c r="D4566" s="6"/>
      <c r="E4566" s="6"/>
      <c r="F4566" s="6"/>
      <c r="G4566" s="19"/>
      <c r="H4566" s="19"/>
      <c r="I4566" s="19"/>
      <c r="J4566" s="19"/>
      <c r="K4566" s="6"/>
      <c r="L4566" s="6"/>
      <c r="M4566" s="6"/>
      <c r="N4566" s="6"/>
      <c r="O4566" s="6"/>
      <c r="P4566" s="6"/>
      <c r="Q4566" s="6"/>
      <c r="R4566" s="6"/>
      <c r="S4566" s="6"/>
      <c r="T4566" s="6"/>
    </row>
    <row r="4567" spans="4:20" x14ac:dyDescent="0.2">
      <c r="D4567" s="6"/>
      <c r="E4567" s="6"/>
      <c r="F4567" s="6"/>
      <c r="G4567" s="19"/>
      <c r="H4567" s="19"/>
      <c r="I4567" s="19"/>
      <c r="J4567" s="19"/>
      <c r="K4567" s="6"/>
      <c r="L4567" s="6"/>
      <c r="M4567" s="6"/>
      <c r="N4567" s="6"/>
      <c r="O4567" s="6"/>
      <c r="P4567" s="6"/>
      <c r="Q4567" s="6"/>
      <c r="R4567" s="6"/>
      <c r="S4567" s="6"/>
      <c r="T4567" s="6"/>
    </row>
    <row r="4568" spans="4:20" x14ac:dyDescent="0.2">
      <c r="D4568" s="6"/>
      <c r="E4568" s="6"/>
      <c r="F4568" s="6"/>
      <c r="G4568" s="19"/>
      <c r="H4568" s="19"/>
      <c r="I4568" s="19"/>
      <c r="J4568" s="19"/>
      <c r="K4568" s="6"/>
      <c r="L4568" s="6"/>
      <c r="M4568" s="6"/>
      <c r="N4568" s="6"/>
      <c r="O4568" s="6"/>
      <c r="P4568" s="6"/>
      <c r="Q4568" s="6"/>
      <c r="R4568" s="6"/>
      <c r="S4568" s="6"/>
      <c r="T4568" s="6"/>
    </row>
    <row r="4569" spans="4:20" x14ac:dyDescent="0.2">
      <c r="D4569" s="6"/>
      <c r="E4569" s="6"/>
      <c r="F4569" s="6"/>
      <c r="G4569" s="19"/>
      <c r="H4569" s="19"/>
      <c r="I4569" s="19"/>
      <c r="J4569" s="19"/>
      <c r="K4569" s="6"/>
      <c r="L4569" s="6"/>
      <c r="M4569" s="6"/>
      <c r="N4569" s="6"/>
      <c r="O4569" s="6"/>
      <c r="P4569" s="6"/>
      <c r="Q4569" s="6"/>
      <c r="R4569" s="6"/>
      <c r="S4569" s="6"/>
      <c r="T4569" s="6"/>
    </row>
    <row r="4570" spans="4:20" x14ac:dyDescent="0.2">
      <c r="D4570" s="6"/>
      <c r="E4570" s="6"/>
      <c r="F4570" s="6"/>
      <c r="G4570" s="19"/>
      <c r="H4570" s="19"/>
      <c r="I4570" s="19"/>
      <c r="J4570" s="19"/>
      <c r="K4570" s="6"/>
      <c r="L4570" s="6"/>
      <c r="M4570" s="6"/>
      <c r="N4570" s="6"/>
      <c r="O4570" s="6"/>
      <c r="P4570" s="6"/>
      <c r="Q4570" s="6"/>
      <c r="R4570" s="6"/>
      <c r="S4570" s="6"/>
      <c r="T4570" s="6"/>
    </row>
    <row r="4571" spans="4:20" x14ac:dyDescent="0.2">
      <c r="D4571" s="6"/>
      <c r="E4571" s="6"/>
      <c r="F4571" s="6"/>
      <c r="G4571" s="19"/>
      <c r="H4571" s="19"/>
      <c r="I4571" s="19"/>
      <c r="J4571" s="19"/>
      <c r="K4571" s="6"/>
      <c r="L4571" s="6"/>
      <c r="M4571" s="6"/>
      <c r="N4571" s="6"/>
      <c r="O4571" s="6"/>
      <c r="P4571" s="6"/>
      <c r="Q4571" s="6"/>
      <c r="R4571" s="6"/>
      <c r="S4571" s="6"/>
      <c r="T4571" s="6"/>
    </row>
    <row r="4572" spans="4:20" x14ac:dyDescent="0.2">
      <c r="D4572" s="6"/>
      <c r="E4572" s="6"/>
      <c r="F4572" s="6"/>
      <c r="G4572" s="19"/>
      <c r="H4572" s="19"/>
      <c r="I4572" s="19"/>
      <c r="J4572" s="19"/>
      <c r="K4572" s="6"/>
      <c r="L4572" s="6"/>
      <c r="M4572" s="6"/>
      <c r="N4572" s="6"/>
      <c r="O4572" s="6"/>
      <c r="P4572" s="6"/>
      <c r="Q4572" s="6"/>
      <c r="R4572" s="6"/>
      <c r="S4572" s="6"/>
      <c r="T4572" s="6"/>
    </row>
    <row r="4573" spans="4:20" x14ac:dyDescent="0.2">
      <c r="D4573" s="6"/>
      <c r="E4573" s="6"/>
      <c r="F4573" s="6"/>
      <c r="G4573" s="19"/>
      <c r="H4573" s="19"/>
      <c r="I4573" s="19"/>
      <c r="J4573" s="19"/>
      <c r="K4573" s="6"/>
      <c r="L4573" s="6"/>
      <c r="M4573" s="6"/>
      <c r="N4573" s="6"/>
      <c r="O4573" s="6"/>
      <c r="P4573" s="6"/>
      <c r="Q4573" s="6"/>
      <c r="R4573" s="6"/>
      <c r="S4573" s="6"/>
      <c r="T4573" s="6"/>
    </row>
    <row r="4574" spans="4:20" x14ac:dyDescent="0.2">
      <c r="D4574" s="6"/>
      <c r="E4574" s="6"/>
      <c r="F4574" s="6"/>
      <c r="G4574" s="19"/>
      <c r="H4574" s="19"/>
      <c r="I4574" s="19"/>
      <c r="J4574" s="19"/>
      <c r="K4574" s="6"/>
      <c r="L4574" s="6"/>
      <c r="M4574" s="6"/>
      <c r="N4574" s="6"/>
      <c r="O4574" s="6"/>
      <c r="P4574" s="6"/>
      <c r="Q4574" s="6"/>
      <c r="R4574" s="6"/>
      <c r="S4574" s="6"/>
      <c r="T4574" s="6"/>
    </row>
    <row r="4575" spans="4:20" x14ac:dyDescent="0.2">
      <c r="D4575" s="6"/>
      <c r="E4575" s="6"/>
      <c r="F4575" s="6"/>
      <c r="G4575" s="19"/>
      <c r="H4575" s="19"/>
      <c r="I4575" s="19"/>
      <c r="J4575" s="19"/>
      <c r="K4575" s="6"/>
      <c r="L4575" s="6"/>
      <c r="M4575" s="6"/>
      <c r="N4575" s="6"/>
      <c r="O4575" s="6"/>
      <c r="P4575" s="6"/>
      <c r="Q4575" s="6"/>
      <c r="R4575" s="6"/>
      <c r="S4575" s="6"/>
      <c r="T4575" s="6"/>
    </row>
    <row r="4576" spans="4:20" x14ac:dyDescent="0.2">
      <c r="D4576" s="6"/>
      <c r="E4576" s="6"/>
      <c r="F4576" s="6"/>
      <c r="G4576" s="19"/>
      <c r="H4576" s="19"/>
      <c r="I4576" s="19"/>
      <c r="J4576" s="19"/>
      <c r="K4576" s="6"/>
      <c r="L4576" s="6"/>
      <c r="M4576" s="6"/>
      <c r="N4576" s="6"/>
      <c r="O4576" s="6"/>
      <c r="P4576" s="6"/>
      <c r="Q4576" s="6"/>
      <c r="R4576" s="6"/>
      <c r="S4576" s="6"/>
      <c r="T4576" s="6"/>
    </row>
    <row r="4577" spans="4:20" x14ac:dyDescent="0.2">
      <c r="D4577" s="6"/>
      <c r="E4577" s="6"/>
      <c r="F4577" s="6"/>
      <c r="G4577" s="19"/>
      <c r="H4577" s="19"/>
      <c r="I4577" s="19"/>
      <c r="J4577" s="19"/>
      <c r="K4577" s="6"/>
      <c r="L4577" s="6"/>
      <c r="M4577" s="6"/>
      <c r="N4577" s="6"/>
      <c r="O4577" s="6"/>
      <c r="P4577" s="6"/>
      <c r="Q4577" s="6"/>
      <c r="R4577" s="6"/>
      <c r="S4577" s="6"/>
      <c r="T4577" s="6"/>
    </row>
    <row r="4578" spans="4:20" x14ac:dyDescent="0.2">
      <c r="D4578" s="6"/>
      <c r="E4578" s="6"/>
      <c r="F4578" s="6"/>
      <c r="G4578" s="19"/>
      <c r="H4578" s="19"/>
      <c r="I4578" s="19"/>
      <c r="J4578" s="19"/>
      <c r="K4578" s="6"/>
      <c r="L4578" s="6"/>
      <c r="M4578" s="6"/>
      <c r="N4578" s="6"/>
      <c r="O4578" s="6"/>
      <c r="P4578" s="6"/>
      <c r="Q4578" s="6"/>
      <c r="R4578" s="6"/>
      <c r="S4578" s="6"/>
      <c r="T4578" s="6"/>
    </row>
    <row r="4579" spans="4:20" x14ac:dyDescent="0.2">
      <c r="D4579" s="6"/>
      <c r="E4579" s="6"/>
      <c r="F4579" s="6"/>
      <c r="G4579" s="19"/>
      <c r="H4579" s="19"/>
      <c r="I4579" s="19"/>
      <c r="J4579" s="19"/>
      <c r="K4579" s="6"/>
      <c r="L4579" s="6"/>
      <c r="M4579" s="6"/>
      <c r="N4579" s="6"/>
      <c r="O4579" s="6"/>
      <c r="P4579" s="6"/>
      <c r="Q4579" s="6"/>
      <c r="R4579" s="6"/>
      <c r="S4579" s="6"/>
      <c r="T4579" s="6"/>
    </row>
    <row r="4580" spans="4:20" x14ac:dyDescent="0.2">
      <c r="D4580" s="6"/>
      <c r="E4580" s="6"/>
      <c r="F4580" s="6"/>
      <c r="G4580" s="19"/>
      <c r="H4580" s="19"/>
      <c r="I4580" s="19"/>
      <c r="J4580" s="19"/>
      <c r="K4580" s="6"/>
      <c r="L4580" s="6"/>
      <c r="M4580" s="6"/>
      <c r="N4580" s="6"/>
      <c r="O4580" s="6"/>
      <c r="P4580" s="6"/>
      <c r="Q4580" s="6"/>
      <c r="R4580" s="6"/>
      <c r="S4580" s="6"/>
      <c r="T4580" s="6"/>
    </row>
    <row r="4581" spans="4:20" x14ac:dyDescent="0.2">
      <c r="D4581" s="6"/>
      <c r="E4581" s="6"/>
      <c r="F4581" s="6"/>
      <c r="G4581" s="19"/>
      <c r="H4581" s="19"/>
      <c r="I4581" s="19"/>
      <c r="J4581" s="19"/>
      <c r="K4581" s="6"/>
      <c r="L4581" s="6"/>
      <c r="M4581" s="6"/>
      <c r="N4581" s="6"/>
      <c r="O4581" s="6"/>
      <c r="P4581" s="6"/>
      <c r="Q4581" s="6"/>
      <c r="R4581" s="6"/>
      <c r="S4581" s="6"/>
      <c r="T4581" s="6"/>
    </row>
    <row r="4582" spans="4:20" x14ac:dyDescent="0.2">
      <c r="D4582" s="6"/>
      <c r="E4582" s="6"/>
      <c r="F4582" s="6"/>
      <c r="G4582" s="19"/>
      <c r="H4582" s="19"/>
      <c r="I4582" s="19"/>
      <c r="J4582" s="19"/>
      <c r="K4582" s="6"/>
      <c r="L4582" s="6"/>
      <c r="M4582" s="6"/>
      <c r="N4582" s="6"/>
      <c r="O4582" s="6"/>
      <c r="P4582" s="6"/>
      <c r="Q4582" s="6"/>
      <c r="R4582" s="6"/>
      <c r="S4582" s="6"/>
      <c r="T4582" s="6"/>
    </row>
    <row r="4583" spans="4:20" x14ac:dyDescent="0.2">
      <c r="D4583" s="6"/>
      <c r="E4583" s="6"/>
      <c r="F4583" s="6"/>
      <c r="G4583" s="19"/>
      <c r="H4583" s="19"/>
      <c r="I4583" s="19"/>
      <c r="J4583" s="19"/>
      <c r="K4583" s="6"/>
      <c r="L4583" s="6"/>
      <c r="M4583" s="6"/>
      <c r="N4583" s="6"/>
      <c r="O4583" s="6"/>
      <c r="P4583" s="6"/>
      <c r="Q4583" s="6"/>
      <c r="R4583" s="6"/>
      <c r="S4583" s="6"/>
      <c r="T4583" s="6"/>
    </row>
    <row r="4584" spans="4:20" x14ac:dyDescent="0.2">
      <c r="D4584" s="6"/>
      <c r="E4584" s="6"/>
      <c r="F4584" s="6"/>
      <c r="G4584" s="19"/>
      <c r="H4584" s="19"/>
      <c r="I4584" s="19"/>
      <c r="J4584" s="19"/>
      <c r="K4584" s="6"/>
      <c r="L4584" s="6"/>
      <c r="M4584" s="6"/>
      <c r="N4584" s="6"/>
      <c r="O4584" s="6"/>
      <c r="P4584" s="6"/>
      <c r="Q4584" s="6"/>
      <c r="R4584" s="6"/>
      <c r="S4584" s="6"/>
      <c r="T4584" s="6"/>
    </row>
    <row r="4585" spans="4:20" x14ac:dyDescent="0.2">
      <c r="D4585" s="6"/>
      <c r="E4585" s="6"/>
      <c r="F4585" s="6"/>
      <c r="G4585" s="19"/>
      <c r="H4585" s="19"/>
      <c r="I4585" s="19"/>
      <c r="J4585" s="19"/>
      <c r="K4585" s="6"/>
      <c r="L4585" s="6"/>
      <c r="M4585" s="6"/>
      <c r="N4585" s="6"/>
      <c r="O4585" s="6"/>
      <c r="P4585" s="6"/>
      <c r="Q4585" s="6"/>
      <c r="R4585" s="6"/>
      <c r="S4585" s="6"/>
      <c r="T4585" s="6"/>
    </row>
    <row r="4586" spans="4:20" x14ac:dyDescent="0.2">
      <c r="D4586" s="6"/>
      <c r="E4586" s="6"/>
      <c r="F4586" s="6"/>
      <c r="G4586" s="19"/>
      <c r="H4586" s="19"/>
      <c r="I4586" s="19"/>
      <c r="J4586" s="19"/>
      <c r="K4586" s="6"/>
      <c r="L4586" s="6"/>
      <c r="M4586" s="6"/>
      <c r="N4586" s="6"/>
      <c r="O4586" s="6"/>
      <c r="P4586" s="6"/>
      <c r="Q4586" s="6"/>
      <c r="R4586" s="6"/>
      <c r="S4586" s="6"/>
      <c r="T4586" s="6"/>
    </row>
    <row r="4587" spans="4:20" x14ac:dyDescent="0.2">
      <c r="D4587" s="6"/>
      <c r="E4587" s="6"/>
      <c r="F4587" s="6"/>
      <c r="G4587" s="19"/>
      <c r="H4587" s="19"/>
      <c r="I4587" s="19"/>
      <c r="J4587" s="19"/>
      <c r="K4587" s="6"/>
      <c r="L4587" s="6"/>
      <c r="M4587" s="6"/>
      <c r="N4587" s="6"/>
      <c r="O4587" s="6"/>
      <c r="P4587" s="6"/>
      <c r="Q4587" s="6"/>
      <c r="R4587" s="6"/>
      <c r="S4587" s="6"/>
      <c r="T4587" s="6"/>
    </row>
    <row r="4588" spans="4:20" x14ac:dyDescent="0.2">
      <c r="D4588" s="6"/>
      <c r="E4588" s="6"/>
      <c r="F4588" s="6"/>
      <c r="G4588" s="19"/>
      <c r="H4588" s="19"/>
      <c r="I4588" s="19"/>
      <c r="J4588" s="19"/>
      <c r="K4588" s="6"/>
      <c r="L4588" s="6"/>
      <c r="M4588" s="6"/>
      <c r="N4588" s="6"/>
      <c r="O4588" s="6"/>
      <c r="P4588" s="6"/>
      <c r="Q4588" s="6"/>
      <c r="R4588" s="6"/>
      <c r="S4588" s="6"/>
      <c r="T4588" s="6"/>
    </row>
    <row r="4589" spans="4:20" x14ac:dyDescent="0.2">
      <c r="D4589" s="6"/>
      <c r="E4589" s="6"/>
      <c r="F4589" s="6"/>
      <c r="G4589" s="19"/>
      <c r="H4589" s="19"/>
      <c r="I4589" s="19"/>
      <c r="J4589" s="19"/>
      <c r="K4589" s="6"/>
      <c r="L4589" s="6"/>
      <c r="M4589" s="6"/>
      <c r="N4589" s="6"/>
      <c r="O4589" s="6"/>
      <c r="P4589" s="6"/>
      <c r="Q4589" s="6"/>
      <c r="R4589" s="6"/>
      <c r="S4589" s="6"/>
      <c r="T4589" s="6"/>
    </row>
    <row r="4590" spans="4:20" x14ac:dyDescent="0.2">
      <c r="D4590" s="6"/>
      <c r="E4590" s="6"/>
      <c r="F4590" s="6"/>
      <c r="G4590" s="19"/>
      <c r="H4590" s="19"/>
      <c r="I4590" s="19"/>
      <c r="J4590" s="19"/>
      <c r="K4590" s="6"/>
      <c r="L4590" s="6"/>
      <c r="M4590" s="6"/>
      <c r="N4590" s="6"/>
      <c r="O4590" s="6"/>
      <c r="P4590" s="6"/>
      <c r="Q4590" s="6"/>
      <c r="R4590" s="6"/>
      <c r="S4590" s="6"/>
      <c r="T4590" s="6"/>
    </row>
    <row r="4591" spans="4:20" x14ac:dyDescent="0.2">
      <c r="D4591" s="6"/>
      <c r="E4591" s="6"/>
      <c r="F4591" s="6"/>
      <c r="G4591" s="19"/>
      <c r="H4591" s="19"/>
      <c r="I4591" s="19"/>
      <c r="J4591" s="19"/>
      <c r="K4591" s="6"/>
      <c r="L4591" s="6"/>
      <c r="M4591" s="6"/>
      <c r="N4591" s="6"/>
      <c r="O4591" s="6"/>
      <c r="P4591" s="6"/>
      <c r="Q4591" s="6"/>
      <c r="R4591" s="6"/>
      <c r="S4591" s="6"/>
      <c r="T4591" s="6"/>
    </row>
    <row r="4592" spans="4:20" x14ac:dyDescent="0.2">
      <c r="D4592" s="6"/>
      <c r="E4592" s="6"/>
      <c r="F4592" s="6"/>
      <c r="G4592" s="19"/>
      <c r="H4592" s="19"/>
      <c r="I4592" s="19"/>
      <c r="J4592" s="19"/>
      <c r="K4592" s="6"/>
      <c r="L4592" s="6"/>
      <c r="M4592" s="6"/>
      <c r="N4592" s="6"/>
      <c r="O4592" s="6"/>
      <c r="P4592" s="6"/>
      <c r="Q4592" s="6"/>
      <c r="R4592" s="6"/>
      <c r="S4592" s="6"/>
      <c r="T4592" s="6"/>
    </row>
    <row r="4593" spans="4:20" x14ac:dyDescent="0.2">
      <c r="D4593" s="6"/>
      <c r="E4593" s="6"/>
      <c r="F4593" s="6"/>
      <c r="G4593" s="19"/>
      <c r="H4593" s="19"/>
      <c r="I4593" s="19"/>
      <c r="J4593" s="19"/>
      <c r="K4593" s="6"/>
      <c r="L4593" s="6"/>
      <c r="M4593" s="6"/>
      <c r="N4593" s="6"/>
      <c r="O4593" s="6"/>
      <c r="P4593" s="6"/>
      <c r="Q4593" s="6"/>
      <c r="R4593" s="6"/>
      <c r="S4593" s="6"/>
      <c r="T4593" s="6"/>
    </row>
    <row r="4594" spans="4:20" x14ac:dyDescent="0.2">
      <c r="D4594" s="6"/>
      <c r="E4594" s="6"/>
      <c r="F4594" s="6"/>
      <c r="G4594" s="19"/>
      <c r="H4594" s="19"/>
      <c r="I4594" s="19"/>
      <c r="J4594" s="19"/>
      <c r="K4594" s="6"/>
      <c r="L4594" s="6"/>
      <c r="M4594" s="6"/>
      <c r="N4594" s="6"/>
      <c r="O4594" s="6"/>
      <c r="P4594" s="6"/>
      <c r="Q4594" s="6"/>
      <c r="R4594" s="6"/>
      <c r="S4594" s="6"/>
      <c r="T4594" s="6"/>
    </row>
    <row r="4595" spans="4:20" x14ac:dyDescent="0.2">
      <c r="D4595" s="6"/>
      <c r="E4595" s="6"/>
      <c r="F4595" s="6"/>
      <c r="G4595" s="19"/>
      <c r="H4595" s="19"/>
      <c r="I4595" s="19"/>
      <c r="J4595" s="19"/>
      <c r="K4595" s="6"/>
      <c r="L4595" s="6"/>
      <c r="M4595" s="6"/>
      <c r="N4595" s="6"/>
      <c r="O4595" s="6"/>
      <c r="P4595" s="6"/>
      <c r="Q4595" s="6"/>
      <c r="R4595" s="6"/>
      <c r="S4595" s="6"/>
      <c r="T4595" s="6"/>
    </row>
    <row r="4596" spans="4:20" x14ac:dyDescent="0.2">
      <c r="D4596" s="6"/>
      <c r="E4596" s="6"/>
      <c r="F4596" s="6"/>
      <c r="G4596" s="19"/>
      <c r="H4596" s="19"/>
      <c r="I4596" s="19"/>
      <c r="J4596" s="19"/>
      <c r="K4596" s="6"/>
      <c r="L4596" s="6"/>
      <c r="M4596" s="6"/>
      <c r="N4596" s="6"/>
      <c r="O4596" s="6"/>
      <c r="P4596" s="6"/>
      <c r="Q4596" s="6"/>
      <c r="R4596" s="6"/>
      <c r="S4596" s="6"/>
      <c r="T4596" s="6"/>
    </row>
    <row r="4597" spans="4:20" x14ac:dyDescent="0.2">
      <c r="D4597" s="6"/>
      <c r="E4597" s="6"/>
      <c r="F4597" s="6"/>
      <c r="G4597" s="19"/>
      <c r="H4597" s="19"/>
      <c r="I4597" s="19"/>
      <c r="J4597" s="19"/>
      <c r="K4597" s="6"/>
      <c r="L4597" s="6"/>
      <c r="M4597" s="6"/>
      <c r="N4597" s="6"/>
      <c r="O4597" s="6"/>
      <c r="P4597" s="6"/>
      <c r="Q4597" s="6"/>
      <c r="R4597" s="6"/>
      <c r="S4597" s="6"/>
      <c r="T4597" s="6"/>
    </row>
    <row r="4598" spans="4:20" x14ac:dyDescent="0.2">
      <c r="D4598" s="6"/>
      <c r="E4598" s="6"/>
      <c r="F4598" s="6"/>
      <c r="G4598" s="19"/>
      <c r="H4598" s="19"/>
      <c r="I4598" s="19"/>
      <c r="J4598" s="19"/>
      <c r="K4598" s="6"/>
      <c r="L4598" s="6"/>
      <c r="M4598" s="6"/>
      <c r="N4598" s="6"/>
      <c r="O4598" s="6"/>
      <c r="P4598" s="6"/>
      <c r="Q4598" s="6"/>
      <c r="R4598" s="6"/>
      <c r="S4598" s="6"/>
      <c r="T4598" s="6"/>
    </row>
    <row r="4599" spans="4:20" x14ac:dyDescent="0.2">
      <c r="D4599" s="6"/>
      <c r="E4599" s="6"/>
      <c r="F4599" s="6"/>
      <c r="G4599" s="19"/>
      <c r="H4599" s="19"/>
      <c r="I4599" s="19"/>
      <c r="J4599" s="19"/>
      <c r="K4599" s="6"/>
      <c r="L4599" s="6"/>
      <c r="M4599" s="6"/>
      <c r="N4599" s="6"/>
      <c r="O4599" s="6"/>
      <c r="P4599" s="6"/>
      <c r="Q4599" s="6"/>
      <c r="R4599" s="6"/>
      <c r="S4599" s="6"/>
      <c r="T4599" s="6"/>
    </row>
    <row r="4600" spans="4:20" x14ac:dyDescent="0.2">
      <c r="D4600" s="6"/>
      <c r="E4600" s="6"/>
      <c r="F4600" s="6"/>
      <c r="G4600" s="19"/>
      <c r="H4600" s="19"/>
      <c r="I4600" s="19"/>
      <c r="J4600" s="19"/>
      <c r="K4600" s="6"/>
      <c r="L4600" s="6"/>
      <c r="M4600" s="6"/>
      <c r="N4600" s="6"/>
      <c r="O4600" s="6"/>
      <c r="P4600" s="6"/>
      <c r="Q4600" s="6"/>
      <c r="R4600" s="6"/>
      <c r="S4600" s="6"/>
      <c r="T4600" s="6"/>
    </row>
    <row r="4601" spans="4:20" x14ac:dyDescent="0.2">
      <c r="D4601" s="6"/>
      <c r="E4601" s="6"/>
      <c r="F4601" s="6"/>
      <c r="G4601" s="19"/>
      <c r="H4601" s="19"/>
      <c r="I4601" s="19"/>
      <c r="J4601" s="19"/>
      <c r="K4601" s="6"/>
      <c r="L4601" s="6"/>
      <c r="M4601" s="6"/>
      <c r="N4601" s="6"/>
      <c r="O4601" s="6"/>
      <c r="P4601" s="6"/>
      <c r="Q4601" s="6"/>
      <c r="R4601" s="6"/>
      <c r="S4601" s="6"/>
      <c r="T4601" s="6"/>
    </row>
    <row r="4602" spans="4:20" x14ac:dyDescent="0.2">
      <c r="D4602" s="6"/>
      <c r="E4602" s="6"/>
      <c r="F4602" s="6"/>
      <c r="G4602" s="19"/>
      <c r="H4602" s="19"/>
      <c r="I4602" s="19"/>
      <c r="J4602" s="19"/>
      <c r="K4602" s="6"/>
      <c r="L4602" s="6"/>
      <c r="M4602" s="6"/>
      <c r="N4602" s="6"/>
      <c r="O4602" s="6"/>
      <c r="P4602" s="6"/>
      <c r="Q4602" s="6"/>
      <c r="R4602" s="6"/>
      <c r="S4602" s="6"/>
      <c r="T4602" s="6"/>
    </row>
    <row r="4603" spans="4:20" x14ac:dyDescent="0.2">
      <c r="D4603" s="6"/>
      <c r="E4603" s="6"/>
      <c r="F4603" s="6"/>
      <c r="G4603" s="19"/>
      <c r="H4603" s="19"/>
      <c r="I4603" s="19"/>
      <c r="J4603" s="19"/>
      <c r="K4603" s="6"/>
      <c r="L4603" s="6"/>
      <c r="M4603" s="6"/>
      <c r="N4603" s="6"/>
      <c r="O4603" s="6"/>
      <c r="P4603" s="6"/>
      <c r="Q4603" s="6"/>
      <c r="R4603" s="6"/>
      <c r="S4603" s="6"/>
      <c r="T4603" s="6"/>
    </row>
    <row r="4604" spans="4:20" x14ac:dyDescent="0.2">
      <c r="D4604" s="6"/>
      <c r="E4604" s="6"/>
      <c r="F4604" s="6"/>
      <c r="G4604" s="19"/>
      <c r="H4604" s="19"/>
      <c r="I4604" s="19"/>
      <c r="J4604" s="19"/>
      <c r="K4604" s="6"/>
      <c r="L4604" s="6"/>
      <c r="M4604" s="6"/>
      <c r="N4604" s="6"/>
      <c r="O4604" s="6"/>
      <c r="P4604" s="6"/>
      <c r="Q4604" s="6"/>
      <c r="R4604" s="6"/>
      <c r="S4604" s="6"/>
      <c r="T4604" s="6"/>
    </row>
    <row r="4605" spans="4:20" x14ac:dyDescent="0.2">
      <c r="D4605" s="6"/>
      <c r="E4605" s="6"/>
      <c r="F4605" s="6"/>
      <c r="G4605" s="19"/>
      <c r="H4605" s="19"/>
      <c r="I4605" s="19"/>
      <c r="J4605" s="19"/>
      <c r="K4605" s="6"/>
      <c r="L4605" s="6"/>
      <c r="M4605" s="6"/>
      <c r="N4605" s="6"/>
      <c r="O4605" s="6"/>
      <c r="P4605" s="6"/>
      <c r="Q4605" s="6"/>
      <c r="R4605" s="6"/>
      <c r="S4605" s="6"/>
      <c r="T4605" s="6"/>
    </row>
    <row r="4606" spans="4:20" x14ac:dyDescent="0.2">
      <c r="D4606" s="6"/>
      <c r="E4606" s="6"/>
      <c r="F4606" s="6"/>
      <c r="G4606" s="19"/>
      <c r="H4606" s="19"/>
      <c r="I4606" s="19"/>
      <c r="J4606" s="19"/>
      <c r="K4606" s="6"/>
      <c r="L4606" s="6"/>
      <c r="M4606" s="6"/>
      <c r="N4606" s="6"/>
      <c r="O4606" s="6"/>
      <c r="P4606" s="6"/>
      <c r="Q4606" s="6"/>
      <c r="R4606" s="6"/>
      <c r="S4606" s="6"/>
      <c r="T4606" s="6"/>
    </row>
    <row r="4607" spans="4:20" x14ac:dyDescent="0.2">
      <c r="D4607" s="6"/>
      <c r="E4607" s="6"/>
      <c r="F4607" s="6"/>
      <c r="G4607" s="19"/>
      <c r="H4607" s="19"/>
      <c r="I4607" s="19"/>
      <c r="J4607" s="19"/>
      <c r="K4607" s="6"/>
      <c r="L4607" s="6"/>
      <c r="M4607" s="6"/>
      <c r="N4607" s="6"/>
      <c r="O4607" s="6"/>
      <c r="P4607" s="6"/>
      <c r="Q4607" s="6"/>
      <c r="R4607" s="6"/>
      <c r="S4607" s="6"/>
      <c r="T4607" s="6"/>
    </row>
    <row r="4608" spans="4:20" x14ac:dyDescent="0.2">
      <c r="D4608" s="6"/>
      <c r="E4608" s="6"/>
      <c r="F4608" s="6"/>
      <c r="G4608" s="19"/>
      <c r="H4608" s="19"/>
      <c r="I4608" s="19"/>
      <c r="J4608" s="19"/>
      <c r="K4608" s="6"/>
      <c r="L4608" s="6"/>
      <c r="M4608" s="6"/>
      <c r="N4608" s="6"/>
      <c r="O4608" s="6"/>
      <c r="P4608" s="6"/>
      <c r="Q4608" s="6"/>
      <c r="R4608" s="6"/>
      <c r="S4608" s="6"/>
      <c r="T4608" s="6"/>
    </row>
    <row r="4609" spans="4:20" x14ac:dyDescent="0.2">
      <c r="D4609" s="6"/>
      <c r="E4609" s="6"/>
      <c r="F4609" s="6"/>
      <c r="G4609" s="19"/>
      <c r="H4609" s="19"/>
      <c r="I4609" s="19"/>
      <c r="J4609" s="19"/>
      <c r="K4609" s="6"/>
      <c r="L4609" s="6"/>
      <c r="M4609" s="6"/>
      <c r="N4609" s="6"/>
      <c r="O4609" s="6"/>
      <c r="P4609" s="6"/>
      <c r="Q4609" s="6"/>
      <c r="R4609" s="6"/>
      <c r="S4609" s="6"/>
      <c r="T4609" s="6"/>
    </row>
    <row r="4610" spans="4:20" x14ac:dyDescent="0.2">
      <c r="D4610" s="6"/>
      <c r="E4610" s="6"/>
      <c r="F4610" s="6"/>
      <c r="G4610" s="19"/>
      <c r="H4610" s="19"/>
      <c r="I4610" s="19"/>
      <c r="J4610" s="19"/>
      <c r="K4610" s="6"/>
      <c r="L4610" s="6"/>
      <c r="M4610" s="6"/>
      <c r="N4610" s="6"/>
      <c r="O4610" s="6"/>
      <c r="P4610" s="6"/>
      <c r="Q4610" s="6"/>
      <c r="R4610" s="6"/>
      <c r="S4610" s="6"/>
      <c r="T4610" s="6"/>
    </row>
    <row r="4611" spans="4:20" x14ac:dyDescent="0.2">
      <c r="D4611" s="6"/>
      <c r="E4611" s="6"/>
      <c r="F4611" s="6"/>
      <c r="G4611" s="19"/>
      <c r="H4611" s="19"/>
      <c r="I4611" s="19"/>
      <c r="J4611" s="19"/>
      <c r="K4611" s="6"/>
      <c r="L4611" s="6"/>
      <c r="M4611" s="6"/>
      <c r="N4611" s="6"/>
      <c r="O4611" s="6"/>
      <c r="P4611" s="6"/>
      <c r="Q4611" s="6"/>
      <c r="R4611" s="6"/>
      <c r="S4611" s="6"/>
      <c r="T4611" s="6"/>
    </row>
    <row r="4612" spans="4:20" x14ac:dyDescent="0.2">
      <c r="D4612" s="6"/>
      <c r="E4612" s="6"/>
      <c r="F4612" s="6"/>
      <c r="G4612" s="19"/>
      <c r="H4612" s="19"/>
      <c r="I4612" s="19"/>
      <c r="J4612" s="19"/>
      <c r="K4612" s="6"/>
      <c r="L4612" s="6"/>
      <c r="M4612" s="6"/>
      <c r="N4612" s="6"/>
      <c r="O4612" s="6"/>
      <c r="P4612" s="6"/>
      <c r="Q4612" s="6"/>
      <c r="R4612" s="6"/>
      <c r="S4612" s="6"/>
      <c r="T4612" s="6"/>
    </row>
    <row r="4613" spans="4:20" x14ac:dyDescent="0.2">
      <c r="D4613" s="6"/>
      <c r="E4613" s="6"/>
      <c r="F4613" s="6"/>
      <c r="G4613" s="19"/>
      <c r="H4613" s="19"/>
      <c r="I4613" s="19"/>
      <c r="J4613" s="19"/>
      <c r="K4613" s="6"/>
      <c r="L4613" s="6"/>
      <c r="M4613" s="6"/>
      <c r="N4613" s="6"/>
      <c r="O4613" s="6"/>
      <c r="P4613" s="6"/>
      <c r="Q4613" s="6"/>
      <c r="R4613" s="6"/>
      <c r="S4613" s="6"/>
      <c r="T4613" s="6"/>
    </row>
    <row r="4614" spans="4:20" x14ac:dyDescent="0.2">
      <c r="D4614" s="6"/>
      <c r="E4614" s="6"/>
      <c r="F4614" s="6"/>
      <c r="G4614" s="19"/>
      <c r="H4614" s="19"/>
      <c r="I4614" s="19"/>
      <c r="J4614" s="19"/>
      <c r="K4614" s="6"/>
      <c r="L4614" s="6"/>
      <c r="M4614" s="6"/>
      <c r="N4614" s="6"/>
      <c r="O4614" s="6"/>
      <c r="P4614" s="6"/>
      <c r="Q4614" s="6"/>
      <c r="R4614" s="6"/>
      <c r="S4614" s="6"/>
      <c r="T4614" s="6"/>
    </row>
    <row r="4615" spans="4:20" x14ac:dyDescent="0.2">
      <c r="D4615" s="6"/>
      <c r="E4615" s="6"/>
      <c r="F4615" s="6"/>
      <c r="G4615" s="19"/>
      <c r="H4615" s="19"/>
      <c r="I4615" s="19"/>
      <c r="J4615" s="19"/>
      <c r="K4615" s="6"/>
      <c r="L4615" s="6"/>
      <c r="M4615" s="6"/>
      <c r="N4615" s="6"/>
      <c r="O4615" s="6"/>
      <c r="P4615" s="6"/>
      <c r="Q4615" s="6"/>
      <c r="R4615" s="6"/>
      <c r="S4615" s="6"/>
      <c r="T4615" s="6"/>
    </row>
    <row r="4616" spans="4:20" x14ac:dyDescent="0.2">
      <c r="D4616" s="6"/>
      <c r="E4616" s="6"/>
      <c r="F4616" s="6"/>
      <c r="G4616" s="19"/>
      <c r="H4616" s="19"/>
      <c r="I4616" s="19"/>
      <c r="J4616" s="19"/>
      <c r="K4616" s="6"/>
      <c r="L4616" s="6"/>
      <c r="M4616" s="6"/>
      <c r="N4616" s="6"/>
      <c r="O4616" s="6"/>
      <c r="P4616" s="6"/>
      <c r="Q4616" s="6"/>
      <c r="R4616" s="6"/>
      <c r="S4616" s="6"/>
      <c r="T4616" s="6"/>
    </row>
    <row r="4617" spans="4:20" x14ac:dyDescent="0.2">
      <c r="D4617" s="6"/>
      <c r="E4617" s="6"/>
      <c r="F4617" s="6"/>
      <c r="G4617" s="19"/>
      <c r="H4617" s="19"/>
      <c r="I4617" s="19"/>
      <c r="J4617" s="19"/>
      <c r="K4617" s="6"/>
      <c r="L4617" s="6"/>
      <c r="M4617" s="6"/>
      <c r="N4617" s="6"/>
      <c r="O4617" s="6"/>
      <c r="P4617" s="6"/>
      <c r="Q4617" s="6"/>
      <c r="R4617" s="6"/>
      <c r="S4617" s="6"/>
      <c r="T4617" s="6"/>
    </row>
    <row r="4618" spans="4:20" x14ac:dyDescent="0.2">
      <c r="D4618" s="6"/>
      <c r="E4618" s="6"/>
      <c r="F4618" s="6"/>
      <c r="G4618" s="19"/>
      <c r="H4618" s="19"/>
      <c r="I4618" s="19"/>
      <c r="J4618" s="19"/>
      <c r="K4618" s="6"/>
      <c r="L4618" s="6"/>
      <c r="M4618" s="6"/>
      <c r="N4618" s="6"/>
      <c r="O4618" s="6"/>
      <c r="P4618" s="6"/>
      <c r="Q4618" s="6"/>
      <c r="R4618" s="6"/>
      <c r="S4618" s="6"/>
      <c r="T4618" s="6"/>
    </row>
    <row r="4619" spans="4:20" x14ac:dyDescent="0.2">
      <c r="D4619" s="6"/>
      <c r="E4619" s="6"/>
      <c r="F4619" s="6"/>
      <c r="G4619" s="19"/>
      <c r="H4619" s="19"/>
      <c r="I4619" s="19"/>
      <c r="J4619" s="19"/>
      <c r="K4619" s="6"/>
      <c r="L4619" s="6"/>
      <c r="M4619" s="6"/>
      <c r="N4619" s="6"/>
      <c r="O4619" s="6"/>
      <c r="P4619" s="6"/>
      <c r="Q4619" s="6"/>
      <c r="R4619" s="6"/>
      <c r="S4619" s="6"/>
      <c r="T4619" s="6"/>
    </row>
    <row r="4620" spans="4:20" x14ac:dyDescent="0.2">
      <c r="D4620" s="6"/>
      <c r="E4620" s="6"/>
      <c r="F4620" s="6"/>
      <c r="G4620" s="19"/>
      <c r="H4620" s="19"/>
      <c r="I4620" s="19"/>
      <c r="J4620" s="19"/>
      <c r="K4620" s="6"/>
      <c r="L4620" s="6"/>
      <c r="M4620" s="6"/>
      <c r="N4620" s="6"/>
      <c r="O4620" s="6"/>
      <c r="P4620" s="6"/>
      <c r="Q4620" s="6"/>
      <c r="R4620" s="6"/>
      <c r="S4620" s="6"/>
      <c r="T4620" s="6"/>
    </row>
    <row r="4621" spans="4:20" x14ac:dyDescent="0.2">
      <c r="D4621" s="6"/>
      <c r="E4621" s="6"/>
      <c r="F4621" s="6"/>
      <c r="G4621" s="19"/>
      <c r="H4621" s="19"/>
      <c r="I4621" s="19"/>
      <c r="J4621" s="19"/>
      <c r="K4621" s="6"/>
      <c r="L4621" s="6"/>
      <c r="M4621" s="6"/>
      <c r="N4621" s="6"/>
      <c r="O4621" s="6"/>
      <c r="P4621" s="6"/>
      <c r="Q4621" s="6"/>
      <c r="R4621" s="6"/>
      <c r="S4621" s="6"/>
      <c r="T4621" s="6"/>
    </row>
    <row r="4622" spans="4:20" x14ac:dyDescent="0.2">
      <c r="D4622" s="6"/>
      <c r="E4622" s="6"/>
      <c r="F4622" s="6"/>
      <c r="G4622" s="19"/>
      <c r="H4622" s="19"/>
      <c r="I4622" s="19"/>
      <c r="J4622" s="19"/>
      <c r="K4622" s="6"/>
      <c r="L4622" s="6"/>
      <c r="M4622" s="6"/>
      <c r="N4622" s="6"/>
      <c r="O4622" s="6"/>
      <c r="P4622" s="6"/>
      <c r="Q4622" s="6"/>
      <c r="R4622" s="6"/>
      <c r="S4622" s="6"/>
      <c r="T4622" s="6"/>
    </row>
    <row r="4623" spans="4:20" x14ac:dyDescent="0.2">
      <c r="D4623" s="6"/>
      <c r="E4623" s="6"/>
      <c r="F4623" s="6"/>
      <c r="G4623" s="19"/>
      <c r="H4623" s="19"/>
      <c r="I4623" s="19"/>
      <c r="J4623" s="19"/>
      <c r="K4623" s="6"/>
      <c r="L4623" s="6"/>
      <c r="M4623" s="6"/>
      <c r="N4623" s="6"/>
      <c r="O4623" s="6"/>
      <c r="P4623" s="6"/>
      <c r="Q4623" s="6"/>
      <c r="R4623" s="6"/>
      <c r="S4623" s="6"/>
      <c r="T4623" s="6"/>
    </row>
    <row r="4624" spans="4:20" x14ac:dyDescent="0.2">
      <c r="D4624" s="6"/>
      <c r="E4624" s="6"/>
      <c r="F4624" s="6"/>
      <c r="G4624" s="19"/>
      <c r="H4624" s="19"/>
      <c r="I4624" s="19"/>
      <c r="J4624" s="19"/>
      <c r="K4624" s="6"/>
      <c r="L4624" s="6"/>
      <c r="M4624" s="6"/>
      <c r="N4624" s="6"/>
      <c r="O4624" s="6"/>
      <c r="P4624" s="6"/>
      <c r="Q4624" s="6"/>
      <c r="R4624" s="6"/>
      <c r="S4624" s="6"/>
      <c r="T4624" s="6"/>
    </row>
    <row r="4625" spans="4:20" x14ac:dyDescent="0.2">
      <c r="D4625" s="6"/>
      <c r="E4625" s="6"/>
      <c r="F4625" s="6"/>
      <c r="G4625" s="19"/>
      <c r="H4625" s="19"/>
      <c r="I4625" s="19"/>
      <c r="J4625" s="19"/>
      <c r="K4625" s="6"/>
      <c r="L4625" s="6"/>
      <c r="M4625" s="6"/>
      <c r="N4625" s="6"/>
      <c r="O4625" s="6"/>
      <c r="P4625" s="6"/>
      <c r="Q4625" s="6"/>
      <c r="R4625" s="6"/>
      <c r="S4625" s="6"/>
      <c r="T4625" s="6"/>
    </row>
    <row r="4626" spans="4:20" x14ac:dyDescent="0.2">
      <c r="D4626" s="6"/>
      <c r="E4626" s="6"/>
      <c r="F4626" s="6"/>
      <c r="G4626" s="19"/>
      <c r="H4626" s="19"/>
      <c r="I4626" s="19"/>
      <c r="J4626" s="19"/>
      <c r="K4626" s="6"/>
      <c r="L4626" s="6"/>
      <c r="M4626" s="6"/>
      <c r="N4626" s="6"/>
      <c r="O4626" s="6"/>
      <c r="P4626" s="6"/>
      <c r="Q4626" s="6"/>
      <c r="R4626" s="6"/>
      <c r="S4626" s="6"/>
      <c r="T4626" s="6"/>
    </row>
    <row r="4627" spans="4:20" x14ac:dyDescent="0.2">
      <c r="D4627" s="6"/>
      <c r="E4627" s="6"/>
      <c r="F4627" s="6"/>
      <c r="G4627" s="19"/>
      <c r="H4627" s="19"/>
      <c r="I4627" s="19"/>
      <c r="J4627" s="19"/>
      <c r="K4627" s="6"/>
      <c r="L4627" s="6"/>
      <c r="M4627" s="6"/>
      <c r="N4627" s="6"/>
      <c r="O4627" s="6"/>
      <c r="P4627" s="6"/>
      <c r="Q4627" s="6"/>
      <c r="R4627" s="6"/>
      <c r="S4627" s="6"/>
      <c r="T4627" s="6"/>
    </row>
    <row r="4628" spans="4:20" x14ac:dyDescent="0.2">
      <c r="D4628" s="6"/>
      <c r="E4628" s="6"/>
      <c r="F4628" s="6"/>
      <c r="G4628" s="19"/>
      <c r="H4628" s="19"/>
      <c r="I4628" s="19"/>
      <c r="J4628" s="19"/>
      <c r="K4628" s="6"/>
      <c r="L4628" s="6"/>
      <c r="M4628" s="6"/>
      <c r="N4628" s="6"/>
      <c r="O4628" s="6"/>
      <c r="P4628" s="6"/>
      <c r="Q4628" s="6"/>
      <c r="R4628" s="6"/>
      <c r="S4628" s="6"/>
      <c r="T4628" s="6"/>
    </row>
    <row r="4629" spans="4:20" x14ac:dyDescent="0.2">
      <c r="D4629" s="6"/>
      <c r="E4629" s="6"/>
      <c r="F4629" s="6"/>
      <c r="G4629" s="19"/>
      <c r="H4629" s="19"/>
      <c r="I4629" s="19"/>
      <c r="J4629" s="19"/>
      <c r="K4629" s="6"/>
      <c r="L4629" s="6"/>
      <c r="M4629" s="6"/>
      <c r="N4629" s="6"/>
      <c r="O4629" s="6"/>
      <c r="P4629" s="6"/>
      <c r="Q4629" s="6"/>
      <c r="R4629" s="6"/>
      <c r="S4629" s="6"/>
      <c r="T4629" s="6"/>
    </row>
    <row r="4630" spans="4:20" x14ac:dyDescent="0.2">
      <c r="D4630" s="6"/>
      <c r="E4630" s="6"/>
      <c r="F4630" s="6"/>
      <c r="G4630" s="19"/>
      <c r="H4630" s="19"/>
      <c r="I4630" s="19"/>
      <c r="J4630" s="19"/>
      <c r="K4630" s="6"/>
      <c r="L4630" s="6"/>
      <c r="M4630" s="6"/>
      <c r="N4630" s="6"/>
      <c r="O4630" s="6"/>
      <c r="P4630" s="6"/>
      <c r="Q4630" s="6"/>
      <c r="R4630" s="6"/>
      <c r="S4630" s="6"/>
      <c r="T4630" s="6"/>
    </row>
    <row r="4631" spans="4:20" x14ac:dyDescent="0.2">
      <c r="D4631" s="6"/>
      <c r="E4631" s="6"/>
      <c r="F4631" s="6"/>
      <c r="G4631" s="19"/>
      <c r="H4631" s="19"/>
      <c r="I4631" s="19"/>
      <c r="J4631" s="19"/>
      <c r="K4631" s="6"/>
      <c r="L4631" s="6"/>
      <c r="M4631" s="6"/>
      <c r="N4631" s="6"/>
      <c r="O4631" s="6"/>
      <c r="P4631" s="6"/>
      <c r="Q4631" s="6"/>
      <c r="R4631" s="6"/>
      <c r="S4631" s="6"/>
      <c r="T4631" s="6"/>
    </row>
    <row r="4632" spans="4:20" x14ac:dyDescent="0.2">
      <c r="D4632" s="6"/>
      <c r="E4632" s="6"/>
      <c r="F4632" s="6"/>
      <c r="G4632" s="19"/>
      <c r="H4632" s="19"/>
      <c r="I4632" s="19"/>
      <c r="J4632" s="19"/>
      <c r="K4632" s="6"/>
      <c r="L4632" s="6"/>
      <c r="M4632" s="6"/>
      <c r="N4632" s="6"/>
      <c r="O4632" s="6"/>
      <c r="P4632" s="6"/>
      <c r="Q4632" s="6"/>
      <c r="R4632" s="6"/>
      <c r="S4632" s="6"/>
      <c r="T4632" s="6"/>
    </row>
    <row r="4633" spans="4:20" x14ac:dyDescent="0.2">
      <c r="D4633" s="6"/>
      <c r="E4633" s="6"/>
      <c r="F4633" s="6"/>
      <c r="G4633" s="19"/>
      <c r="H4633" s="19"/>
      <c r="I4633" s="19"/>
      <c r="J4633" s="19"/>
      <c r="K4633" s="6"/>
      <c r="L4633" s="6"/>
      <c r="M4633" s="6"/>
      <c r="N4633" s="6"/>
      <c r="O4633" s="6"/>
      <c r="P4633" s="6"/>
      <c r="Q4633" s="6"/>
      <c r="R4633" s="6"/>
      <c r="S4633" s="6"/>
      <c r="T4633" s="6"/>
    </row>
    <row r="4634" spans="4:20" x14ac:dyDescent="0.2">
      <c r="D4634" s="6"/>
      <c r="E4634" s="6"/>
      <c r="F4634" s="6"/>
      <c r="G4634" s="19"/>
      <c r="H4634" s="19"/>
      <c r="I4634" s="19"/>
      <c r="J4634" s="19"/>
      <c r="K4634" s="6"/>
      <c r="L4634" s="6"/>
      <c r="M4634" s="6"/>
      <c r="N4634" s="6"/>
      <c r="O4634" s="6"/>
      <c r="P4634" s="6"/>
      <c r="Q4634" s="6"/>
      <c r="R4634" s="6"/>
      <c r="S4634" s="6"/>
      <c r="T4634" s="6"/>
    </row>
    <row r="4635" spans="4:20" x14ac:dyDescent="0.2">
      <c r="D4635" s="6"/>
      <c r="E4635" s="6"/>
      <c r="F4635" s="6"/>
      <c r="G4635" s="19"/>
      <c r="H4635" s="19"/>
      <c r="I4635" s="19"/>
      <c r="J4635" s="19"/>
      <c r="K4635" s="6"/>
      <c r="L4635" s="6"/>
      <c r="M4635" s="6"/>
      <c r="N4635" s="6"/>
      <c r="O4635" s="6"/>
      <c r="P4635" s="6"/>
      <c r="Q4635" s="6"/>
      <c r="R4635" s="6"/>
      <c r="S4635" s="6"/>
      <c r="T4635" s="6"/>
    </row>
    <row r="4636" spans="4:20" x14ac:dyDescent="0.2">
      <c r="D4636" s="6"/>
      <c r="E4636" s="6"/>
      <c r="F4636" s="6"/>
      <c r="G4636" s="19"/>
      <c r="H4636" s="19"/>
      <c r="I4636" s="19"/>
      <c r="J4636" s="19"/>
      <c r="K4636" s="6"/>
      <c r="L4636" s="6"/>
      <c r="M4636" s="6"/>
      <c r="N4636" s="6"/>
      <c r="O4636" s="6"/>
      <c r="P4636" s="6"/>
      <c r="Q4636" s="6"/>
      <c r="R4636" s="6"/>
      <c r="S4636" s="6"/>
      <c r="T4636" s="6"/>
    </row>
    <row r="4637" spans="4:20" x14ac:dyDescent="0.2">
      <c r="D4637" s="6"/>
      <c r="E4637" s="6"/>
      <c r="F4637" s="6"/>
      <c r="G4637" s="19"/>
      <c r="H4637" s="19"/>
      <c r="I4637" s="19"/>
      <c r="J4637" s="19"/>
      <c r="K4637" s="6"/>
      <c r="L4637" s="6"/>
      <c r="M4637" s="6"/>
      <c r="N4637" s="6"/>
      <c r="O4637" s="6"/>
      <c r="P4637" s="6"/>
      <c r="Q4637" s="6"/>
      <c r="R4637" s="6"/>
      <c r="S4637" s="6"/>
      <c r="T4637" s="6"/>
    </row>
    <row r="4638" spans="4:20" x14ac:dyDescent="0.2">
      <c r="D4638" s="6"/>
      <c r="E4638" s="6"/>
      <c r="F4638" s="6"/>
      <c r="G4638" s="19"/>
      <c r="H4638" s="19"/>
      <c r="I4638" s="19"/>
      <c r="J4638" s="19"/>
      <c r="K4638" s="6"/>
      <c r="L4638" s="6"/>
      <c r="M4638" s="6"/>
      <c r="N4638" s="6"/>
      <c r="O4638" s="6"/>
      <c r="P4638" s="6"/>
      <c r="Q4638" s="6"/>
      <c r="R4638" s="6"/>
      <c r="S4638" s="6"/>
      <c r="T4638" s="6"/>
    </row>
    <row r="4639" spans="4:20" x14ac:dyDescent="0.2">
      <c r="D4639" s="6"/>
      <c r="E4639" s="6"/>
      <c r="F4639" s="6"/>
      <c r="G4639" s="19"/>
      <c r="H4639" s="19"/>
      <c r="I4639" s="19"/>
      <c r="J4639" s="19"/>
      <c r="K4639" s="6"/>
      <c r="L4639" s="6"/>
      <c r="M4639" s="6"/>
      <c r="N4639" s="6"/>
      <c r="O4639" s="6"/>
      <c r="P4639" s="6"/>
      <c r="Q4639" s="6"/>
      <c r="R4639" s="6"/>
      <c r="S4639" s="6"/>
      <c r="T4639" s="6"/>
    </row>
    <row r="4640" spans="4:20" x14ac:dyDescent="0.2">
      <c r="D4640" s="6"/>
      <c r="E4640" s="6"/>
      <c r="F4640" s="6"/>
      <c r="G4640" s="19"/>
      <c r="H4640" s="19"/>
      <c r="I4640" s="19"/>
      <c r="J4640" s="19"/>
      <c r="K4640" s="6"/>
      <c r="L4640" s="6"/>
      <c r="M4640" s="6"/>
      <c r="N4640" s="6"/>
      <c r="O4640" s="6"/>
      <c r="P4640" s="6"/>
      <c r="Q4640" s="6"/>
      <c r="R4640" s="6"/>
      <c r="S4640" s="6"/>
      <c r="T4640" s="6"/>
    </row>
    <row r="4641" spans="4:20" x14ac:dyDescent="0.2">
      <c r="D4641" s="6"/>
      <c r="E4641" s="6"/>
      <c r="F4641" s="6"/>
      <c r="G4641" s="19"/>
      <c r="H4641" s="19"/>
      <c r="I4641" s="19"/>
      <c r="J4641" s="19"/>
      <c r="K4641" s="6"/>
      <c r="L4641" s="6"/>
      <c r="M4641" s="6"/>
      <c r="N4641" s="6"/>
      <c r="O4641" s="6"/>
      <c r="P4641" s="6"/>
      <c r="Q4641" s="6"/>
      <c r="R4641" s="6"/>
      <c r="S4641" s="6"/>
      <c r="T4641" s="6"/>
    </row>
    <row r="4642" spans="4:20" x14ac:dyDescent="0.2">
      <c r="D4642" s="6"/>
      <c r="E4642" s="6"/>
      <c r="F4642" s="6"/>
      <c r="G4642" s="19"/>
      <c r="H4642" s="19"/>
      <c r="I4642" s="19"/>
      <c r="J4642" s="19"/>
      <c r="K4642" s="6"/>
      <c r="L4642" s="6"/>
      <c r="M4642" s="6"/>
      <c r="N4642" s="6"/>
      <c r="O4642" s="6"/>
      <c r="P4642" s="6"/>
      <c r="Q4642" s="6"/>
      <c r="R4642" s="6"/>
      <c r="S4642" s="6"/>
      <c r="T4642" s="6"/>
    </row>
    <row r="4643" spans="4:20" x14ac:dyDescent="0.2">
      <c r="D4643" s="6"/>
      <c r="E4643" s="6"/>
      <c r="F4643" s="6"/>
      <c r="G4643" s="19"/>
      <c r="H4643" s="19"/>
      <c r="I4643" s="19"/>
      <c r="J4643" s="19"/>
      <c r="K4643" s="6"/>
      <c r="L4643" s="6"/>
      <c r="M4643" s="6"/>
      <c r="N4643" s="6"/>
      <c r="O4643" s="6"/>
      <c r="P4643" s="6"/>
      <c r="Q4643" s="6"/>
      <c r="R4643" s="6"/>
      <c r="S4643" s="6"/>
      <c r="T4643" s="6"/>
    </row>
    <row r="4644" spans="4:20" x14ac:dyDescent="0.2">
      <c r="D4644" s="6"/>
      <c r="E4644" s="6"/>
      <c r="F4644" s="6"/>
      <c r="G4644" s="19"/>
      <c r="H4644" s="19"/>
      <c r="I4644" s="19"/>
      <c r="J4644" s="19"/>
      <c r="K4644" s="6"/>
      <c r="L4644" s="6"/>
      <c r="M4644" s="6"/>
      <c r="N4644" s="6"/>
      <c r="O4644" s="6"/>
      <c r="P4644" s="6"/>
      <c r="Q4644" s="6"/>
      <c r="R4644" s="6"/>
      <c r="S4644" s="6"/>
      <c r="T4644" s="6"/>
    </row>
    <row r="4645" spans="4:20" x14ac:dyDescent="0.2">
      <c r="D4645" s="6"/>
      <c r="E4645" s="6"/>
      <c r="F4645" s="6"/>
      <c r="G4645" s="19"/>
      <c r="H4645" s="19"/>
      <c r="I4645" s="19"/>
      <c r="J4645" s="19"/>
      <c r="K4645" s="6"/>
      <c r="L4645" s="6"/>
      <c r="M4645" s="6"/>
      <c r="N4645" s="6"/>
      <c r="O4645" s="6"/>
      <c r="P4645" s="6"/>
      <c r="Q4645" s="6"/>
      <c r="R4645" s="6"/>
      <c r="S4645" s="6"/>
      <c r="T4645" s="6"/>
    </row>
    <row r="4646" spans="4:20" x14ac:dyDescent="0.2">
      <c r="D4646" s="6"/>
      <c r="E4646" s="6"/>
      <c r="F4646" s="6"/>
      <c r="G4646" s="19"/>
      <c r="H4646" s="19"/>
      <c r="I4646" s="19"/>
      <c r="J4646" s="19"/>
      <c r="K4646" s="6"/>
      <c r="L4646" s="6"/>
      <c r="M4646" s="6"/>
      <c r="N4646" s="6"/>
      <c r="O4646" s="6"/>
      <c r="P4646" s="6"/>
      <c r="Q4646" s="6"/>
      <c r="R4646" s="6"/>
      <c r="S4646" s="6"/>
      <c r="T4646" s="6"/>
    </row>
    <row r="4647" spans="4:20" x14ac:dyDescent="0.2">
      <c r="D4647" s="6"/>
      <c r="E4647" s="6"/>
      <c r="F4647" s="6"/>
      <c r="G4647" s="19"/>
      <c r="H4647" s="19"/>
      <c r="I4647" s="19"/>
      <c r="J4647" s="19"/>
      <c r="K4647" s="6"/>
      <c r="L4647" s="6"/>
      <c r="M4647" s="6"/>
      <c r="N4647" s="6"/>
      <c r="O4647" s="6"/>
      <c r="P4647" s="6"/>
      <c r="Q4647" s="6"/>
      <c r="R4647" s="6"/>
      <c r="S4647" s="6"/>
      <c r="T4647" s="6"/>
    </row>
    <row r="4648" spans="4:20" x14ac:dyDescent="0.2">
      <c r="D4648" s="6"/>
      <c r="E4648" s="6"/>
      <c r="F4648" s="6"/>
      <c r="G4648" s="19"/>
      <c r="H4648" s="19"/>
      <c r="I4648" s="19"/>
      <c r="J4648" s="19"/>
      <c r="K4648" s="6"/>
      <c r="L4648" s="6"/>
      <c r="M4648" s="6"/>
      <c r="N4648" s="6"/>
      <c r="O4648" s="6"/>
      <c r="P4648" s="6"/>
      <c r="Q4648" s="6"/>
      <c r="R4648" s="6"/>
      <c r="S4648" s="6"/>
      <c r="T4648" s="6"/>
    </row>
    <row r="4649" spans="4:20" x14ac:dyDescent="0.2">
      <c r="D4649" s="6"/>
      <c r="E4649" s="6"/>
      <c r="F4649" s="6"/>
      <c r="G4649" s="19"/>
      <c r="H4649" s="19"/>
      <c r="I4649" s="19"/>
      <c r="J4649" s="19"/>
      <c r="K4649" s="6"/>
      <c r="L4649" s="6"/>
      <c r="M4649" s="6"/>
      <c r="N4649" s="6"/>
      <c r="O4649" s="6"/>
      <c r="P4649" s="6"/>
      <c r="Q4649" s="6"/>
      <c r="R4649" s="6"/>
      <c r="S4649" s="6"/>
      <c r="T4649" s="6"/>
    </row>
    <row r="4650" spans="4:20" x14ac:dyDescent="0.2">
      <c r="D4650" s="6"/>
      <c r="E4650" s="6"/>
      <c r="F4650" s="6"/>
      <c r="G4650" s="19"/>
      <c r="H4650" s="19"/>
      <c r="I4650" s="19"/>
      <c r="J4650" s="19"/>
      <c r="K4650" s="6"/>
      <c r="L4650" s="6"/>
      <c r="M4650" s="6"/>
      <c r="N4650" s="6"/>
      <c r="O4650" s="6"/>
      <c r="P4650" s="6"/>
      <c r="Q4650" s="6"/>
      <c r="R4650" s="6"/>
      <c r="S4650" s="6"/>
      <c r="T4650" s="6"/>
    </row>
    <row r="4651" spans="4:20" x14ac:dyDescent="0.2">
      <c r="D4651" s="6"/>
      <c r="E4651" s="6"/>
      <c r="F4651" s="6"/>
      <c r="G4651" s="19"/>
      <c r="H4651" s="19"/>
      <c r="I4651" s="19"/>
      <c r="J4651" s="19"/>
      <c r="K4651" s="6"/>
      <c r="L4651" s="6"/>
      <c r="M4651" s="6"/>
      <c r="N4651" s="6"/>
      <c r="O4651" s="6"/>
      <c r="P4651" s="6"/>
      <c r="Q4651" s="6"/>
      <c r="R4651" s="6"/>
      <c r="S4651" s="6"/>
      <c r="T4651" s="6"/>
    </row>
    <row r="4652" spans="4:20" x14ac:dyDescent="0.2">
      <c r="D4652" s="6"/>
      <c r="E4652" s="6"/>
      <c r="F4652" s="6"/>
      <c r="G4652" s="19"/>
      <c r="H4652" s="19"/>
      <c r="I4652" s="19"/>
      <c r="J4652" s="19"/>
      <c r="K4652" s="6"/>
      <c r="L4652" s="6"/>
      <c r="M4652" s="6"/>
      <c r="N4652" s="6"/>
      <c r="O4652" s="6"/>
      <c r="P4652" s="6"/>
      <c r="Q4652" s="6"/>
      <c r="R4652" s="6"/>
      <c r="S4652" s="6"/>
      <c r="T4652" s="6"/>
    </row>
    <row r="4653" spans="4:20" x14ac:dyDescent="0.2">
      <c r="D4653" s="6"/>
      <c r="E4653" s="6"/>
      <c r="F4653" s="6"/>
      <c r="G4653" s="19"/>
      <c r="H4653" s="19"/>
      <c r="I4653" s="19"/>
      <c r="J4653" s="19"/>
      <c r="K4653" s="6"/>
      <c r="L4653" s="6"/>
      <c r="M4653" s="6"/>
      <c r="N4653" s="6"/>
      <c r="O4653" s="6"/>
      <c r="P4653" s="6"/>
      <c r="Q4653" s="6"/>
      <c r="R4653" s="6"/>
      <c r="S4653" s="6"/>
      <c r="T4653" s="6"/>
    </row>
    <row r="4654" spans="4:20" x14ac:dyDescent="0.2">
      <c r="D4654" s="6"/>
      <c r="E4654" s="6"/>
      <c r="F4654" s="6"/>
      <c r="G4654" s="19"/>
      <c r="H4654" s="19"/>
      <c r="I4654" s="19"/>
      <c r="J4654" s="19"/>
      <c r="K4654" s="6"/>
      <c r="L4654" s="6"/>
      <c r="M4654" s="6"/>
      <c r="N4654" s="6"/>
      <c r="O4654" s="6"/>
      <c r="P4654" s="6"/>
      <c r="Q4654" s="6"/>
      <c r="R4654" s="6"/>
      <c r="S4654" s="6"/>
      <c r="T4654" s="6"/>
    </row>
    <row r="4655" spans="4:20" x14ac:dyDescent="0.2">
      <c r="D4655" s="6"/>
      <c r="E4655" s="6"/>
      <c r="F4655" s="6"/>
      <c r="G4655" s="19"/>
      <c r="H4655" s="19"/>
      <c r="I4655" s="19"/>
      <c r="J4655" s="19"/>
      <c r="K4655" s="6"/>
      <c r="L4655" s="6"/>
      <c r="M4655" s="6"/>
      <c r="N4655" s="6"/>
      <c r="O4655" s="6"/>
      <c r="P4655" s="6"/>
      <c r="Q4655" s="6"/>
      <c r="R4655" s="6"/>
      <c r="S4655" s="6"/>
      <c r="T4655" s="6"/>
    </row>
    <row r="4656" spans="4:20" x14ac:dyDescent="0.2">
      <c r="D4656" s="6"/>
      <c r="E4656" s="6"/>
      <c r="F4656" s="6"/>
      <c r="G4656" s="19"/>
      <c r="H4656" s="19"/>
      <c r="I4656" s="19"/>
      <c r="J4656" s="19"/>
      <c r="K4656" s="6"/>
      <c r="L4656" s="6"/>
      <c r="M4656" s="6"/>
      <c r="N4656" s="6"/>
      <c r="O4656" s="6"/>
      <c r="P4656" s="6"/>
      <c r="Q4656" s="6"/>
      <c r="R4656" s="6"/>
      <c r="S4656" s="6"/>
      <c r="T4656" s="6"/>
    </row>
    <row r="4657" spans="4:20" x14ac:dyDescent="0.2">
      <c r="D4657" s="6"/>
      <c r="E4657" s="6"/>
      <c r="F4657" s="6"/>
      <c r="G4657" s="19"/>
      <c r="H4657" s="19"/>
      <c r="I4657" s="19"/>
      <c r="J4657" s="19"/>
      <c r="K4657" s="6"/>
      <c r="L4657" s="6"/>
      <c r="M4657" s="6"/>
      <c r="N4657" s="6"/>
      <c r="O4657" s="6"/>
      <c r="P4657" s="6"/>
      <c r="Q4657" s="6"/>
      <c r="R4657" s="6"/>
      <c r="S4657" s="6"/>
      <c r="T4657" s="6"/>
    </row>
    <row r="4658" spans="4:20" x14ac:dyDescent="0.2">
      <c r="D4658" s="6"/>
      <c r="E4658" s="6"/>
      <c r="F4658" s="6"/>
      <c r="G4658" s="19"/>
      <c r="H4658" s="19"/>
      <c r="I4658" s="19"/>
      <c r="J4658" s="19"/>
      <c r="K4658" s="6"/>
      <c r="L4658" s="6"/>
      <c r="M4658" s="6"/>
      <c r="N4658" s="6"/>
      <c r="O4658" s="6"/>
      <c r="P4658" s="6"/>
      <c r="Q4658" s="6"/>
      <c r="R4658" s="6"/>
      <c r="S4658" s="6"/>
      <c r="T4658" s="6"/>
    </row>
    <row r="4659" spans="4:20" x14ac:dyDescent="0.2">
      <c r="D4659" s="6"/>
      <c r="E4659" s="6"/>
      <c r="F4659" s="6"/>
      <c r="G4659" s="19"/>
      <c r="H4659" s="19"/>
      <c r="I4659" s="19"/>
      <c r="J4659" s="19"/>
      <c r="K4659" s="6"/>
      <c r="L4659" s="6"/>
      <c r="M4659" s="6"/>
      <c r="N4659" s="6"/>
      <c r="O4659" s="6"/>
      <c r="P4659" s="6"/>
      <c r="Q4659" s="6"/>
      <c r="R4659" s="6"/>
      <c r="S4659" s="6"/>
      <c r="T4659" s="6"/>
    </row>
    <row r="4660" spans="4:20" x14ac:dyDescent="0.2">
      <c r="D4660" s="6"/>
      <c r="E4660" s="6"/>
      <c r="F4660" s="6"/>
      <c r="G4660" s="19"/>
      <c r="H4660" s="19"/>
      <c r="I4660" s="19"/>
      <c r="J4660" s="19"/>
      <c r="K4660" s="6"/>
      <c r="L4660" s="6"/>
      <c r="M4660" s="6"/>
      <c r="N4660" s="6"/>
      <c r="O4660" s="6"/>
      <c r="P4660" s="6"/>
      <c r="Q4660" s="6"/>
      <c r="R4660" s="6"/>
      <c r="S4660" s="6"/>
      <c r="T4660" s="6"/>
    </row>
    <row r="4661" spans="4:20" x14ac:dyDescent="0.2">
      <c r="D4661" s="6"/>
      <c r="E4661" s="6"/>
      <c r="F4661" s="6"/>
      <c r="G4661" s="19"/>
      <c r="H4661" s="19"/>
      <c r="I4661" s="19"/>
      <c r="J4661" s="19"/>
      <c r="K4661" s="6"/>
      <c r="L4661" s="6"/>
      <c r="M4661" s="6"/>
      <c r="N4661" s="6"/>
      <c r="O4661" s="6"/>
      <c r="P4661" s="6"/>
      <c r="Q4661" s="6"/>
      <c r="R4661" s="6"/>
      <c r="S4661" s="6"/>
      <c r="T4661" s="6"/>
    </row>
    <row r="4662" spans="4:20" x14ac:dyDescent="0.2">
      <c r="D4662" s="6"/>
      <c r="E4662" s="6"/>
      <c r="F4662" s="6"/>
      <c r="G4662" s="19"/>
      <c r="H4662" s="19"/>
      <c r="I4662" s="19"/>
      <c r="J4662" s="19"/>
      <c r="K4662" s="6"/>
      <c r="L4662" s="6"/>
      <c r="M4662" s="6"/>
      <c r="N4662" s="6"/>
      <c r="O4662" s="6"/>
      <c r="P4662" s="6"/>
      <c r="Q4662" s="6"/>
      <c r="R4662" s="6"/>
      <c r="S4662" s="6"/>
      <c r="T4662" s="6"/>
    </row>
    <row r="4663" spans="4:20" x14ac:dyDescent="0.2">
      <c r="D4663" s="6"/>
      <c r="E4663" s="6"/>
      <c r="F4663" s="6"/>
      <c r="G4663" s="19"/>
      <c r="H4663" s="19"/>
      <c r="I4663" s="19"/>
      <c r="J4663" s="19"/>
      <c r="K4663" s="6"/>
      <c r="L4663" s="6"/>
      <c r="M4663" s="6"/>
      <c r="N4663" s="6"/>
      <c r="O4663" s="6"/>
      <c r="P4663" s="6"/>
      <c r="Q4663" s="6"/>
      <c r="R4663" s="6"/>
      <c r="S4663" s="6"/>
      <c r="T4663" s="6"/>
    </row>
    <row r="4664" spans="4:20" x14ac:dyDescent="0.2">
      <c r="D4664" s="6"/>
      <c r="E4664" s="6"/>
      <c r="F4664" s="6"/>
      <c r="G4664" s="19"/>
      <c r="H4664" s="19"/>
      <c r="I4664" s="19"/>
      <c r="J4664" s="19"/>
      <c r="K4664" s="6"/>
      <c r="L4664" s="6"/>
      <c r="M4664" s="6"/>
      <c r="N4664" s="6"/>
      <c r="O4664" s="6"/>
      <c r="P4664" s="6"/>
      <c r="Q4664" s="6"/>
      <c r="R4664" s="6"/>
      <c r="S4664" s="6"/>
      <c r="T4664" s="6"/>
    </row>
    <row r="4665" spans="4:20" x14ac:dyDescent="0.2">
      <c r="D4665" s="6"/>
      <c r="E4665" s="6"/>
      <c r="F4665" s="6"/>
      <c r="G4665" s="19"/>
      <c r="H4665" s="19"/>
      <c r="I4665" s="19"/>
      <c r="J4665" s="19"/>
      <c r="K4665" s="6"/>
      <c r="L4665" s="6"/>
      <c r="M4665" s="6"/>
      <c r="N4665" s="6"/>
      <c r="O4665" s="6"/>
      <c r="P4665" s="6"/>
      <c r="Q4665" s="6"/>
      <c r="R4665" s="6"/>
      <c r="S4665" s="6"/>
      <c r="T4665" s="6"/>
    </row>
    <row r="4666" spans="4:20" x14ac:dyDescent="0.2">
      <c r="D4666" s="6"/>
      <c r="E4666" s="6"/>
      <c r="F4666" s="6"/>
      <c r="G4666" s="19"/>
      <c r="H4666" s="19"/>
      <c r="I4666" s="19"/>
      <c r="J4666" s="19"/>
      <c r="K4666" s="6"/>
      <c r="L4666" s="6"/>
      <c r="M4666" s="6"/>
      <c r="N4666" s="6"/>
      <c r="O4666" s="6"/>
      <c r="P4666" s="6"/>
      <c r="Q4666" s="6"/>
      <c r="R4666" s="6"/>
      <c r="S4666" s="6"/>
      <c r="T4666" s="6"/>
    </row>
    <row r="4667" spans="4:20" x14ac:dyDescent="0.2">
      <c r="D4667" s="6"/>
      <c r="E4667" s="6"/>
      <c r="F4667" s="6"/>
      <c r="G4667" s="19"/>
      <c r="H4667" s="19"/>
      <c r="I4667" s="19"/>
      <c r="J4667" s="19"/>
      <c r="K4667" s="6"/>
      <c r="L4667" s="6"/>
      <c r="M4667" s="6"/>
      <c r="N4667" s="6"/>
      <c r="O4667" s="6"/>
      <c r="P4667" s="6"/>
      <c r="Q4667" s="6"/>
      <c r="R4667" s="6"/>
      <c r="S4667" s="6"/>
      <c r="T4667" s="6"/>
    </row>
    <row r="4668" spans="4:20" x14ac:dyDescent="0.2">
      <c r="D4668" s="6"/>
      <c r="E4668" s="6"/>
      <c r="F4668" s="6"/>
      <c r="G4668" s="19"/>
      <c r="H4668" s="19"/>
      <c r="I4668" s="19"/>
      <c r="J4668" s="19"/>
      <c r="K4668" s="6"/>
      <c r="L4668" s="6"/>
      <c r="M4668" s="6"/>
      <c r="N4668" s="6"/>
      <c r="O4668" s="6"/>
      <c r="P4668" s="6"/>
      <c r="Q4668" s="6"/>
      <c r="R4668" s="6"/>
      <c r="S4668" s="6"/>
      <c r="T4668" s="6"/>
    </row>
    <row r="4669" spans="4:20" x14ac:dyDescent="0.2">
      <c r="D4669" s="6"/>
      <c r="E4669" s="6"/>
      <c r="F4669" s="6"/>
      <c r="G4669" s="19"/>
      <c r="H4669" s="19"/>
      <c r="I4669" s="19"/>
      <c r="J4669" s="19"/>
      <c r="K4669" s="6"/>
      <c r="L4669" s="6"/>
      <c r="M4669" s="6"/>
      <c r="N4669" s="6"/>
      <c r="O4669" s="6"/>
      <c r="P4669" s="6"/>
      <c r="Q4669" s="6"/>
      <c r="R4669" s="6"/>
      <c r="S4669" s="6"/>
      <c r="T4669" s="6"/>
    </row>
    <row r="4670" spans="4:20" x14ac:dyDescent="0.2">
      <c r="D4670" s="6"/>
      <c r="E4670" s="6"/>
      <c r="F4670" s="6"/>
      <c r="G4670" s="19"/>
      <c r="H4670" s="19"/>
      <c r="I4670" s="19"/>
      <c r="J4670" s="19"/>
      <c r="K4670" s="6"/>
      <c r="L4670" s="6"/>
      <c r="M4670" s="6"/>
      <c r="N4670" s="6"/>
      <c r="O4670" s="6"/>
      <c r="P4670" s="6"/>
      <c r="Q4670" s="6"/>
      <c r="R4670" s="6"/>
      <c r="S4670" s="6"/>
      <c r="T4670" s="6"/>
    </row>
    <row r="4671" spans="4:20" x14ac:dyDescent="0.2">
      <c r="D4671" s="6"/>
      <c r="E4671" s="6"/>
      <c r="F4671" s="6"/>
      <c r="G4671" s="19"/>
      <c r="H4671" s="19"/>
      <c r="I4671" s="19"/>
      <c r="J4671" s="19"/>
      <c r="K4671" s="6"/>
      <c r="L4671" s="6"/>
      <c r="M4671" s="6"/>
      <c r="N4671" s="6"/>
      <c r="O4671" s="6"/>
      <c r="P4671" s="6"/>
      <c r="Q4671" s="6"/>
      <c r="R4671" s="6"/>
      <c r="S4671" s="6"/>
      <c r="T4671" s="6"/>
    </row>
    <row r="4672" spans="4:20" x14ac:dyDescent="0.2">
      <c r="D4672" s="6"/>
      <c r="E4672" s="6"/>
      <c r="F4672" s="6"/>
      <c r="G4672" s="19"/>
      <c r="H4672" s="19"/>
      <c r="I4672" s="19"/>
      <c r="J4672" s="19"/>
      <c r="K4672" s="6"/>
      <c r="L4672" s="6"/>
      <c r="M4672" s="6"/>
      <c r="N4672" s="6"/>
      <c r="O4672" s="6"/>
      <c r="P4672" s="6"/>
      <c r="Q4672" s="6"/>
      <c r="R4672" s="6"/>
      <c r="S4672" s="6"/>
      <c r="T4672" s="6"/>
    </row>
    <row r="4673" spans="4:20" x14ac:dyDescent="0.2">
      <c r="D4673" s="6"/>
      <c r="E4673" s="6"/>
      <c r="F4673" s="6"/>
      <c r="G4673" s="19"/>
      <c r="H4673" s="19"/>
      <c r="I4673" s="19"/>
      <c r="J4673" s="19"/>
      <c r="K4673" s="6"/>
      <c r="L4673" s="6"/>
      <c r="M4673" s="6"/>
      <c r="N4673" s="6"/>
      <c r="O4673" s="6"/>
      <c r="P4673" s="6"/>
      <c r="Q4673" s="6"/>
      <c r="R4673" s="6"/>
      <c r="S4673" s="6"/>
      <c r="T4673" s="6"/>
    </row>
    <row r="4674" spans="4:20" x14ac:dyDescent="0.2">
      <c r="D4674" s="6"/>
      <c r="E4674" s="6"/>
      <c r="F4674" s="6"/>
      <c r="G4674" s="19"/>
      <c r="H4674" s="19"/>
      <c r="I4674" s="19"/>
      <c r="J4674" s="19"/>
      <c r="K4674" s="6"/>
      <c r="L4674" s="6"/>
      <c r="M4674" s="6"/>
      <c r="N4674" s="6"/>
      <c r="O4674" s="6"/>
      <c r="P4674" s="6"/>
      <c r="Q4674" s="6"/>
      <c r="R4674" s="6"/>
      <c r="S4674" s="6"/>
      <c r="T4674" s="6"/>
    </row>
    <row r="4675" spans="4:20" x14ac:dyDescent="0.2">
      <c r="D4675" s="6"/>
      <c r="E4675" s="6"/>
      <c r="F4675" s="6"/>
      <c r="G4675" s="19"/>
      <c r="H4675" s="19"/>
      <c r="I4675" s="19"/>
      <c r="J4675" s="19"/>
      <c r="K4675" s="6"/>
      <c r="L4675" s="6"/>
      <c r="M4675" s="6"/>
      <c r="N4675" s="6"/>
      <c r="O4675" s="6"/>
      <c r="P4675" s="6"/>
      <c r="Q4675" s="6"/>
      <c r="R4675" s="6"/>
      <c r="S4675" s="6"/>
      <c r="T4675" s="6"/>
    </row>
    <row r="4676" spans="4:20" x14ac:dyDescent="0.2">
      <c r="D4676" s="6"/>
      <c r="E4676" s="6"/>
      <c r="F4676" s="6"/>
      <c r="G4676" s="19"/>
      <c r="H4676" s="19"/>
      <c r="I4676" s="19"/>
      <c r="J4676" s="19"/>
      <c r="K4676" s="6"/>
      <c r="L4676" s="6"/>
      <c r="M4676" s="6"/>
      <c r="N4676" s="6"/>
      <c r="O4676" s="6"/>
      <c r="P4676" s="6"/>
      <c r="Q4676" s="6"/>
      <c r="R4676" s="6"/>
      <c r="S4676" s="6"/>
      <c r="T4676" s="6"/>
    </row>
    <row r="4677" spans="4:20" x14ac:dyDescent="0.2">
      <c r="D4677" s="6"/>
      <c r="E4677" s="6"/>
      <c r="F4677" s="6"/>
      <c r="G4677" s="19"/>
      <c r="H4677" s="19"/>
      <c r="I4677" s="19"/>
      <c r="J4677" s="19"/>
      <c r="K4677" s="6"/>
      <c r="L4677" s="6"/>
      <c r="M4677" s="6"/>
      <c r="N4677" s="6"/>
      <c r="O4677" s="6"/>
      <c r="P4677" s="6"/>
      <c r="Q4677" s="6"/>
      <c r="R4677" s="6"/>
      <c r="S4677" s="6"/>
      <c r="T4677" s="6"/>
    </row>
    <row r="4678" spans="4:20" x14ac:dyDescent="0.2">
      <c r="D4678" s="6"/>
      <c r="E4678" s="6"/>
      <c r="F4678" s="6"/>
      <c r="G4678" s="19"/>
      <c r="H4678" s="19"/>
      <c r="I4678" s="19"/>
      <c r="J4678" s="19"/>
      <c r="K4678" s="6"/>
      <c r="L4678" s="6"/>
      <c r="M4678" s="6"/>
      <c r="N4678" s="6"/>
      <c r="O4678" s="6"/>
      <c r="P4678" s="6"/>
      <c r="Q4678" s="6"/>
      <c r="R4678" s="6"/>
      <c r="S4678" s="6"/>
      <c r="T4678" s="6"/>
    </row>
    <row r="4679" spans="4:20" x14ac:dyDescent="0.2">
      <c r="D4679" s="6"/>
      <c r="E4679" s="6"/>
      <c r="F4679" s="6"/>
      <c r="G4679" s="19"/>
      <c r="H4679" s="19"/>
      <c r="I4679" s="19"/>
      <c r="J4679" s="19"/>
      <c r="K4679" s="6"/>
      <c r="L4679" s="6"/>
      <c r="M4679" s="6"/>
      <c r="N4679" s="6"/>
      <c r="O4679" s="6"/>
      <c r="P4679" s="6"/>
      <c r="Q4679" s="6"/>
      <c r="R4679" s="6"/>
      <c r="S4679" s="6"/>
      <c r="T4679" s="6"/>
    </row>
    <row r="4680" spans="4:20" x14ac:dyDescent="0.2">
      <c r="D4680" s="6"/>
      <c r="E4680" s="6"/>
      <c r="F4680" s="6"/>
      <c r="G4680" s="19"/>
      <c r="H4680" s="19"/>
      <c r="I4680" s="19"/>
      <c r="J4680" s="19"/>
      <c r="K4680" s="6"/>
      <c r="L4680" s="6"/>
      <c r="M4680" s="6"/>
      <c r="N4680" s="6"/>
      <c r="O4680" s="6"/>
      <c r="P4680" s="6"/>
      <c r="Q4680" s="6"/>
      <c r="R4680" s="6"/>
      <c r="S4680" s="6"/>
      <c r="T4680" s="6"/>
    </row>
    <row r="4681" spans="4:20" x14ac:dyDescent="0.2">
      <c r="D4681" s="6"/>
      <c r="E4681" s="6"/>
      <c r="F4681" s="6"/>
      <c r="G4681" s="19"/>
      <c r="H4681" s="19"/>
      <c r="I4681" s="19"/>
      <c r="J4681" s="19"/>
      <c r="K4681" s="6"/>
      <c r="L4681" s="6"/>
      <c r="M4681" s="6"/>
      <c r="N4681" s="6"/>
      <c r="O4681" s="6"/>
      <c r="P4681" s="6"/>
      <c r="Q4681" s="6"/>
      <c r="R4681" s="6"/>
      <c r="S4681" s="6"/>
      <c r="T4681" s="6"/>
    </row>
    <row r="4682" spans="4:20" x14ac:dyDescent="0.2">
      <c r="D4682" s="6"/>
      <c r="E4682" s="6"/>
      <c r="F4682" s="6"/>
      <c r="G4682" s="19"/>
      <c r="H4682" s="19"/>
      <c r="I4682" s="19"/>
      <c r="J4682" s="19"/>
      <c r="K4682" s="6"/>
      <c r="L4682" s="6"/>
      <c r="M4682" s="6"/>
      <c r="N4682" s="6"/>
      <c r="O4682" s="6"/>
      <c r="P4682" s="6"/>
      <c r="Q4682" s="6"/>
      <c r="R4682" s="6"/>
      <c r="S4682" s="6"/>
      <c r="T4682" s="6"/>
    </row>
    <row r="4683" spans="4:20" x14ac:dyDescent="0.2">
      <c r="D4683" s="6"/>
      <c r="E4683" s="6"/>
      <c r="F4683" s="6"/>
      <c r="G4683" s="19"/>
      <c r="H4683" s="19"/>
      <c r="I4683" s="19"/>
      <c r="J4683" s="19"/>
      <c r="K4683" s="6"/>
      <c r="L4683" s="6"/>
      <c r="M4683" s="6"/>
      <c r="N4683" s="6"/>
      <c r="O4683" s="6"/>
      <c r="P4683" s="6"/>
      <c r="Q4683" s="6"/>
      <c r="R4683" s="6"/>
      <c r="S4683" s="6"/>
      <c r="T4683" s="6"/>
    </row>
    <row r="4684" spans="4:20" x14ac:dyDescent="0.2">
      <c r="D4684" s="6"/>
      <c r="E4684" s="6"/>
      <c r="F4684" s="6"/>
      <c r="G4684" s="19"/>
      <c r="H4684" s="19"/>
      <c r="I4684" s="19"/>
      <c r="J4684" s="19"/>
      <c r="K4684" s="6"/>
      <c r="L4684" s="6"/>
      <c r="M4684" s="6"/>
      <c r="N4684" s="6"/>
      <c r="O4684" s="6"/>
      <c r="P4684" s="6"/>
      <c r="Q4684" s="6"/>
      <c r="R4684" s="6"/>
      <c r="S4684" s="6"/>
      <c r="T4684" s="6"/>
    </row>
    <row r="4685" spans="4:20" x14ac:dyDescent="0.2">
      <c r="D4685" s="6"/>
      <c r="E4685" s="6"/>
      <c r="F4685" s="6"/>
      <c r="G4685" s="19"/>
      <c r="H4685" s="19"/>
      <c r="I4685" s="19"/>
      <c r="J4685" s="19"/>
      <c r="K4685" s="6"/>
      <c r="L4685" s="6"/>
      <c r="M4685" s="6"/>
      <c r="N4685" s="6"/>
      <c r="O4685" s="6"/>
      <c r="P4685" s="6"/>
      <c r="Q4685" s="6"/>
      <c r="R4685" s="6"/>
      <c r="S4685" s="6"/>
      <c r="T4685" s="6"/>
    </row>
    <row r="4686" spans="4:20" x14ac:dyDescent="0.2">
      <c r="D4686" s="6"/>
      <c r="E4686" s="6"/>
      <c r="F4686" s="6"/>
      <c r="G4686" s="19"/>
      <c r="H4686" s="19"/>
      <c r="I4686" s="19"/>
      <c r="J4686" s="19"/>
      <c r="K4686" s="6"/>
      <c r="L4686" s="6"/>
      <c r="M4686" s="6"/>
      <c r="N4686" s="6"/>
      <c r="O4686" s="6"/>
      <c r="P4686" s="6"/>
      <c r="Q4686" s="6"/>
      <c r="R4686" s="6"/>
      <c r="S4686" s="6"/>
      <c r="T4686" s="6"/>
    </row>
    <row r="4687" spans="4:20" x14ac:dyDescent="0.2">
      <c r="D4687" s="6"/>
      <c r="E4687" s="6"/>
      <c r="F4687" s="6"/>
      <c r="G4687" s="19"/>
      <c r="H4687" s="19"/>
      <c r="I4687" s="19"/>
      <c r="J4687" s="19"/>
      <c r="K4687" s="6"/>
      <c r="L4687" s="6"/>
      <c r="M4687" s="6"/>
      <c r="N4687" s="6"/>
      <c r="O4687" s="6"/>
      <c r="P4687" s="6"/>
      <c r="Q4687" s="6"/>
      <c r="R4687" s="6"/>
      <c r="S4687" s="6"/>
      <c r="T4687" s="6"/>
    </row>
    <row r="4688" spans="4:20" x14ac:dyDescent="0.2">
      <c r="D4688" s="6"/>
      <c r="E4688" s="6"/>
      <c r="F4688" s="6"/>
      <c r="G4688" s="19"/>
      <c r="H4688" s="19"/>
      <c r="I4688" s="19"/>
      <c r="J4688" s="19"/>
      <c r="K4688" s="6"/>
      <c r="L4688" s="6"/>
      <c r="M4688" s="6"/>
      <c r="N4688" s="6"/>
      <c r="O4688" s="6"/>
      <c r="P4688" s="6"/>
      <c r="Q4688" s="6"/>
      <c r="R4688" s="6"/>
      <c r="S4688" s="6"/>
      <c r="T4688" s="6"/>
    </row>
    <row r="4689" spans="4:20" x14ac:dyDescent="0.2">
      <c r="D4689" s="6"/>
      <c r="E4689" s="6"/>
      <c r="F4689" s="6"/>
      <c r="G4689" s="19"/>
      <c r="H4689" s="19"/>
      <c r="I4689" s="19"/>
      <c r="J4689" s="19"/>
      <c r="K4689" s="6"/>
      <c r="L4689" s="6"/>
      <c r="M4689" s="6"/>
      <c r="N4689" s="6"/>
      <c r="O4689" s="6"/>
      <c r="P4689" s="6"/>
      <c r="Q4689" s="6"/>
      <c r="R4689" s="6"/>
      <c r="S4689" s="6"/>
      <c r="T4689" s="6"/>
    </row>
    <row r="4690" spans="4:20" x14ac:dyDescent="0.2">
      <c r="D4690" s="6"/>
      <c r="E4690" s="6"/>
      <c r="F4690" s="6"/>
      <c r="G4690" s="19"/>
      <c r="H4690" s="19"/>
      <c r="I4690" s="19"/>
      <c r="J4690" s="19"/>
      <c r="K4690" s="6"/>
      <c r="L4690" s="6"/>
      <c r="M4690" s="6"/>
      <c r="N4690" s="6"/>
      <c r="O4690" s="6"/>
      <c r="P4690" s="6"/>
      <c r="Q4690" s="6"/>
      <c r="R4690" s="6"/>
      <c r="S4690" s="6"/>
      <c r="T4690" s="6"/>
    </row>
    <row r="4691" spans="4:20" x14ac:dyDescent="0.2">
      <c r="D4691" s="6"/>
      <c r="E4691" s="6"/>
      <c r="F4691" s="6"/>
      <c r="G4691" s="19"/>
      <c r="H4691" s="19"/>
      <c r="I4691" s="19"/>
      <c r="J4691" s="19"/>
      <c r="K4691" s="6"/>
      <c r="L4691" s="6"/>
      <c r="M4691" s="6"/>
      <c r="N4691" s="6"/>
      <c r="O4691" s="6"/>
      <c r="P4691" s="6"/>
      <c r="Q4691" s="6"/>
      <c r="R4691" s="6"/>
      <c r="S4691" s="6"/>
      <c r="T4691" s="6"/>
    </row>
    <row r="4692" spans="4:20" x14ac:dyDescent="0.2">
      <c r="D4692" s="6"/>
      <c r="E4692" s="6"/>
      <c r="F4692" s="6"/>
      <c r="G4692" s="19"/>
      <c r="H4692" s="19"/>
      <c r="I4692" s="19"/>
      <c r="J4692" s="19"/>
      <c r="K4692" s="6"/>
      <c r="L4692" s="6"/>
      <c r="M4692" s="6"/>
      <c r="N4692" s="6"/>
      <c r="O4692" s="6"/>
      <c r="P4692" s="6"/>
      <c r="Q4692" s="6"/>
      <c r="R4692" s="6"/>
      <c r="S4692" s="6"/>
      <c r="T4692" s="6"/>
    </row>
    <row r="4693" spans="4:20" x14ac:dyDescent="0.2">
      <c r="D4693" s="6"/>
      <c r="E4693" s="6"/>
      <c r="F4693" s="6"/>
      <c r="G4693" s="19"/>
      <c r="H4693" s="19"/>
      <c r="I4693" s="19"/>
      <c r="J4693" s="19"/>
      <c r="K4693" s="6"/>
      <c r="L4693" s="6"/>
      <c r="M4693" s="6"/>
      <c r="N4693" s="6"/>
      <c r="O4693" s="6"/>
      <c r="P4693" s="6"/>
      <c r="Q4693" s="6"/>
      <c r="R4693" s="6"/>
      <c r="S4693" s="6"/>
      <c r="T4693" s="6"/>
    </row>
    <row r="4694" spans="4:20" x14ac:dyDescent="0.2">
      <c r="D4694" s="6"/>
      <c r="E4694" s="6"/>
      <c r="F4694" s="6"/>
      <c r="G4694" s="19"/>
      <c r="H4694" s="19"/>
      <c r="I4694" s="19"/>
      <c r="J4694" s="19"/>
      <c r="K4694" s="6"/>
      <c r="L4694" s="6"/>
      <c r="M4694" s="6"/>
      <c r="N4694" s="6"/>
      <c r="O4694" s="6"/>
      <c r="P4694" s="6"/>
      <c r="Q4694" s="6"/>
      <c r="R4694" s="6"/>
      <c r="S4694" s="6"/>
      <c r="T4694" s="6"/>
    </row>
    <row r="4695" spans="4:20" x14ac:dyDescent="0.2">
      <c r="D4695" s="6"/>
      <c r="E4695" s="6"/>
      <c r="F4695" s="6"/>
      <c r="G4695" s="19"/>
      <c r="H4695" s="19"/>
      <c r="I4695" s="19"/>
      <c r="J4695" s="19"/>
      <c r="K4695" s="6"/>
      <c r="L4695" s="6"/>
      <c r="M4695" s="6"/>
      <c r="N4695" s="6"/>
      <c r="O4695" s="6"/>
      <c r="P4695" s="6"/>
      <c r="Q4695" s="6"/>
      <c r="R4695" s="6"/>
      <c r="S4695" s="6"/>
      <c r="T4695" s="6"/>
    </row>
    <row r="4696" spans="4:20" x14ac:dyDescent="0.2">
      <c r="D4696" s="6"/>
      <c r="E4696" s="6"/>
      <c r="F4696" s="6"/>
      <c r="G4696" s="19"/>
      <c r="H4696" s="19"/>
      <c r="I4696" s="19"/>
      <c r="J4696" s="19"/>
      <c r="K4696" s="6"/>
      <c r="L4696" s="6"/>
      <c r="M4696" s="6"/>
      <c r="N4696" s="6"/>
      <c r="O4696" s="6"/>
      <c r="P4696" s="6"/>
      <c r="Q4696" s="6"/>
      <c r="R4696" s="6"/>
      <c r="S4696" s="6"/>
      <c r="T4696" s="6"/>
    </row>
    <row r="4697" spans="4:20" x14ac:dyDescent="0.2">
      <c r="D4697" s="6"/>
      <c r="E4697" s="6"/>
      <c r="F4697" s="6"/>
      <c r="G4697" s="19"/>
      <c r="H4697" s="19"/>
      <c r="I4697" s="19"/>
      <c r="J4697" s="19"/>
      <c r="K4697" s="6"/>
      <c r="L4697" s="6"/>
      <c r="M4697" s="6"/>
      <c r="N4697" s="6"/>
      <c r="O4697" s="6"/>
      <c r="P4697" s="6"/>
      <c r="Q4697" s="6"/>
      <c r="R4697" s="6"/>
      <c r="S4697" s="6"/>
      <c r="T4697" s="6"/>
    </row>
    <row r="4698" spans="4:20" x14ac:dyDescent="0.2">
      <c r="D4698" s="6"/>
      <c r="E4698" s="6"/>
      <c r="F4698" s="6"/>
      <c r="G4698" s="19"/>
      <c r="H4698" s="19"/>
      <c r="I4698" s="19"/>
      <c r="J4698" s="19"/>
      <c r="K4698" s="6"/>
      <c r="L4698" s="6"/>
      <c r="M4698" s="6"/>
      <c r="N4698" s="6"/>
      <c r="O4698" s="6"/>
      <c r="P4698" s="6"/>
      <c r="Q4698" s="6"/>
      <c r="R4698" s="6"/>
      <c r="S4698" s="6"/>
      <c r="T4698" s="6"/>
    </row>
    <row r="4699" spans="4:20" x14ac:dyDescent="0.2">
      <c r="D4699" s="6"/>
      <c r="E4699" s="6"/>
      <c r="F4699" s="6"/>
      <c r="G4699" s="19"/>
      <c r="H4699" s="19"/>
      <c r="I4699" s="19"/>
      <c r="J4699" s="19"/>
      <c r="K4699" s="6"/>
      <c r="L4699" s="6"/>
      <c r="M4699" s="6"/>
      <c r="N4699" s="6"/>
      <c r="O4699" s="6"/>
      <c r="P4699" s="6"/>
      <c r="Q4699" s="6"/>
      <c r="R4699" s="6"/>
      <c r="S4699" s="6"/>
      <c r="T4699" s="6"/>
    </row>
    <row r="4700" spans="4:20" x14ac:dyDescent="0.2">
      <c r="D4700" s="6"/>
      <c r="E4700" s="6"/>
      <c r="F4700" s="6"/>
      <c r="G4700" s="19"/>
      <c r="H4700" s="19"/>
      <c r="I4700" s="19"/>
      <c r="J4700" s="19"/>
      <c r="K4700" s="6"/>
      <c r="L4700" s="6"/>
      <c r="M4700" s="6"/>
      <c r="N4700" s="6"/>
      <c r="O4700" s="6"/>
      <c r="P4700" s="6"/>
      <c r="Q4700" s="6"/>
      <c r="R4700" s="6"/>
      <c r="S4700" s="6"/>
      <c r="T4700" s="6"/>
    </row>
    <row r="4701" spans="4:20" x14ac:dyDescent="0.2">
      <c r="D4701" s="6"/>
      <c r="E4701" s="6"/>
      <c r="F4701" s="6"/>
      <c r="G4701" s="19"/>
      <c r="H4701" s="19"/>
      <c r="I4701" s="19"/>
      <c r="J4701" s="19"/>
      <c r="K4701" s="6"/>
      <c r="L4701" s="6"/>
      <c r="M4701" s="6"/>
      <c r="N4701" s="6"/>
      <c r="O4701" s="6"/>
      <c r="P4701" s="6"/>
      <c r="Q4701" s="6"/>
      <c r="R4701" s="6"/>
      <c r="S4701" s="6"/>
      <c r="T4701" s="6"/>
    </row>
    <row r="4702" spans="4:20" x14ac:dyDescent="0.2">
      <c r="D4702" s="6"/>
      <c r="E4702" s="6"/>
      <c r="F4702" s="6"/>
      <c r="G4702" s="19"/>
      <c r="H4702" s="19"/>
      <c r="I4702" s="19"/>
      <c r="J4702" s="19"/>
      <c r="K4702" s="6"/>
      <c r="L4702" s="6"/>
      <c r="M4702" s="6"/>
      <c r="N4702" s="6"/>
      <c r="O4702" s="6"/>
      <c r="P4702" s="6"/>
      <c r="Q4702" s="6"/>
      <c r="R4702" s="6"/>
      <c r="S4702" s="6"/>
      <c r="T4702" s="6"/>
    </row>
    <row r="4703" spans="4:20" x14ac:dyDescent="0.2">
      <c r="D4703" s="6"/>
      <c r="E4703" s="6"/>
      <c r="F4703" s="6"/>
      <c r="G4703" s="19"/>
      <c r="H4703" s="19"/>
      <c r="I4703" s="19"/>
      <c r="J4703" s="19"/>
      <c r="K4703" s="6"/>
      <c r="L4703" s="6"/>
      <c r="M4703" s="6"/>
      <c r="N4703" s="6"/>
      <c r="O4703" s="6"/>
      <c r="P4703" s="6"/>
      <c r="Q4703" s="6"/>
      <c r="R4703" s="6"/>
      <c r="S4703" s="6"/>
      <c r="T4703" s="6"/>
    </row>
    <row r="4704" spans="4:20" x14ac:dyDescent="0.2">
      <c r="D4704" s="6"/>
      <c r="E4704" s="6"/>
      <c r="F4704" s="6"/>
      <c r="G4704" s="19"/>
      <c r="H4704" s="19"/>
      <c r="I4704" s="19"/>
      <c r="J4704" s="19"/>
      <c r="K4704" s="6"/>
      <c r="L4704" s="6"/>
      <c r="M4704" s="6"/>
      <c r="N4704" s="6"/>
      <c r="O4704" s="6"/>
      <c r="P4704" s="6"/>
      <c r="Q4704" s="6"/>
      <c r="R4704" s="6"/>
      <c r="S4704" s="6"/>
      <c r="T4704" s="6"/>
    </row>
    <row r="4705" spans="4:20" x14ac:dyDescent="0.2">
      <c r="D4705" s="6"/>
      <c r="E4705" s="6"/>
      <c r="F4705" s="6"/>
      <c r="G4705" s="19"/>
      <c r="H4705" s="19"/>
      <c r="I4705" s="19"/>
      <c r="J4705" s="19"/>
      <c r="K4705" s="6"/>
      <c r="L4705" s="6"/>
      <c r="M4705" s="6"/>
      <c r="N4705" s="6"/>
      <c r="O4705" s="6"/>
      <c r="P4705" s="6"/>
      <c r="Q4705" s="6"/>
      <c r="R4705" s="6"/>
      <c r="S4705" s="6"/>
      <c r="T4705" s="6"/>
    </row>
    <row r="4706" spans="4:20" x14ac:dyDescent="0.2">
      <c r="D4706" s="6"/>
      <c r="E4706" s="6"/>
      <c r="F4706" s="6"/>
      <c r="G4706" s="19"/>
      <c r="H4706" s="19"/>
      <c r="I4706" s="19"/>
      <c r="J4706" s="19"/>
      <c r="K4706" s="6"/>
      <c r="L4706" s="6"/>
      <c r="M4706" s="6"/>
      <c r="N4706" s="6"/>
      <c r="O4706" s="6"/>
      <c r="P4706" s="6"/>
      <c r="Q4706" s="6"/>
      <c r="R4706" s="6"/>
      <c r="S4706" s="6"/>
      <c r="T4706" s="6"/>
    </row>
    <row r="4707" spans="4:20" x14ac:dyDescent="0.2">
      <c r="D4707" s="6"/>
      <c r="E4707" s="6"/>
      <c r="F4707" s="6"/>
      <c r="G4707" s="19"/>
      <c r="H4707" s="19"/>
      <c r="I4707" s="19"/>
      <c r="J4707" s="19"/>
      <c r="K4707" s="6"/>
      <c r="L4707" s="6"/>
      <c r="M4707" s="6"/>
      <c r="N4707" s="6"/>
      <c r="O4707" s="6"/>
      <c r="P4707" s="6"/>
      <c r="Q4707" s="6"/>
      <c r="R4707" s="6"/>
      <c r="S4707" s="6"/>
      <c r="T4707" s="6"/>
    </row>
    <row r="4708" spans="4:20" x14ac:dyDescent="0.2">
      <c r="D4708" s="6"/>
      <c r="E4708" s="6"/>
      <c r="F4708" s="6"/>
      <c r="G4708" s="19"/>
      <c r="H4708" s="19"/>
      <c r="I4708" s="19"/>
      <c r="J4708" s="19"/>
      <c r="K4708" s="6"/>
      <c r="L4708" s="6"/>
      <c r="M4708" s="6"/>
      <c r="N4708" s="6"/>
      <c r="O4708" s="6"/>
      <c r="P4708" s="6"/>
      <c r="Q4708" s="6"/>
      <c r="R4708" s="6"/>
      <c r="S4708" s="6"/>
      <c r="T4708" s="6"/>
    </row>
    <row r="4709" spans="4:20" x14ac:dyDescent="0.2">
      <c r="D4709" s="6"/>
      <c r="E4709" s="6"/>
      <c r="F4709" s="6"/>
      <c r="G4709" s="19"/>
      <c r="H4709" s="19"/>
      <c r="I4709" s="19"/>
      <c r="J4709" s="19"/>
      <c r="K4709" s="6"/>
      <c r="L4709" s="6"/>
      <c r="M4709" s="6"/>
      <c r="N4709" s="6"/>
      <c r="O4709" s="6"/>
      <c r="P4709" s="6"/>
      <c r="Q4709" s="6"/>
      <c r="R4709" s="6"/>
      <c r="S4709" s="6"/>
      <c r="T4709" s="6"/>
    </row>
    <row r="4710" spans="4:20" x14ac:dyDescent="0.2">
      <c r="D4710" s="6"/>
      <c r="E4710" s="6"/>
      <c r="F4710" s="6"/>
      <c r="G4710" s="19"/>
      <c r="H4710" s="19"/>
      <c r="I4710" s="19"/>
      <c r="J4710" s="19"/>
      <c r="K4710" s="6"/>
      <c r="L4710" s="6"/>
      <c r="M4710" s="6"/>
      <c r="N4710" s="6"/>
      <c r="O4710" s="6"/>
      <c r="P4710" s="6"/>
      <c r="Q4710" s="6"/>
      <c r="R4710" s="6"/>
      <c r="S4710" s="6"/>
      <c r="T4710" s="6"/>
    </row>
    <row r="4711" spans="4:20" x14ac:dyDescent="0.2">
      <c r="D4711" s="6"/>
      <c r="E4711" s="6"/>
      <c r="F4711" s="6"/>
      <c r="G4711" s="19"/>
      <c r="H4711" s="19"/>
      <c r="I4711" s="19"/>
      <c r="J4711" s="19"/>
      <c r="K4711" s="6"/>
      <c r="L4711" s="6"/>
      <c r="M4711" s="6"/>
      <c r="N4711" s="6"/>
      <c r="O4711" s="6"/>
      <c r="P4711" s="6"/>
      <c r="Q4711" s="6"/>
      <c r="R4711" s="6"/>
      <c r="S4711" s="6"/>
      <c r="T4711" s="6"/>
    </row>
    <row r="4712" spans="4:20" x14ac:dyDescent="0.2">
      <c r="D4712" s="6"/>
      <c r="E4712" s="6"/>
      <c r="F4712" s="6"/>
      <c r="G4712" s="19"/>
      <c r="H4712" s="19"/>
      <c r="I4712" s="19"/>
      <c r="J4712" s="19"/>
      <c r="K4712" s="6"/>
      <c r="L4712" s="6"/>
      <c r="M4712" s="6"/>
      <c r="N4712" s="6"/>
      <c r="O4712" s="6"/>
      <c r="P4712" s="6"/>
      <c r="Q4712" s="6"/>
      <c r="R4712" s="6"/>
      <c r="S4712" s="6"/>
      <c r="T4712" s="6"/>
    </row>
    <row r="4713" spans="4:20" x14ac:dyDescent="0.2">
      <c r="D4713" s="6"/>
      <c r="E4713" s="6"/>
      <c r="F4713" s="6"/>
      <c r="G4713" s="19"/>
      <c r="H4713" s="19"/>
      <c r="I4713" s="19"/>
      <c r="J4713" s="19"/>
      <c r="K4713" s="6"/>
      <c r="L4713" s="6"/>
      <c r="M4713" s="6"/>
      <c r="N4713" s="6"/>
      <c r="O4713" s="6"/>
      <c r="P4713" s="6"/>
      <c r="Q4713" s="6"/>
      <c r="R4713" s="6"/>
      <c r="S4713" s="6"/>
      <c r="T4713" s="6"/>
    </row>
    <row r="4714" spans="4:20" x14ac:dyDescent="0.2">
      <c r="D4714" s="6"/>
      <c r="E4714" s="6"/>
      <c r="F4714" s="6"/>
      <c r="G4714" s="19"/>
      <c r="H4714" s="19"/>
      <c r="I4714" s="19"/>
      <c r="J4714" s="19"/>
      <c r="K4714" s="6"/>
      <c r="L4714" s="6"/>
      <c r="M4714" s="6"/>
      <c r="N4714" s="6"/>
      <c r="O4714" s="6"/>
      <c r="P4714" s="6"/>
      <c r="Q4714" s="6"/>
      <c r="R4714" s="6"/>
      <c r="S4714" s="6"/>
      <c r="T4714" s="6"/>
    </row>
    <row r="4715" spans="4:20" x14ac:dyDescent="0.2">
      <c r="D4715" s="6"/>
      <c r="E4715" s="6"/>
      <c r="F4715" s="6"/>
      <c r="G4715" s="19"/>
      <c r="H4715" s="19"/>
      <c r="I4715" s="19"/>
      <c r="J4715" s="19"/>
      <c r="K4715" s="6"/>
      <c r="L4715" s="6"/>
      <c r="M4715" s="6"/>
      <c r="N4715" s="6"/>
      <c r="O4715" s="6"/>
      <c r="P4715" s="6"/>
      <c r="Q4715" s="6"/>
      <c r="R4715" s="6"/>
      <c r="S4715" s="6"/>
      <c r="T4715" s="6"/>
    </row>
    <row r="4716" spans="4:20" x14ac:dyDescent="0.2">
      <c r="D4716" s="6"/>
      <c r="E4716" s="6"/>
      <c r="F4716" s="6"/>
      <c r="G4716" s="19"/>
      <c r="H4716" s="19"/>
      <c r="I4716" s="19"/>
      <c r="J4716" s="19"/>
      <c r="K4716" s="6"/>
      <c r="L4716" s="6"/>
      <c r="M4716" s="6"/>
      <c r="N4716" s="6"/>
      <c r="O4716" s="6"/>
      <c r="P4716" s="6"/>
      <c r="Q4716" s="6"/>
      <c r="R4716" s="6"/>
      <c r="S4716" s="6"/>
      <c r="T4716" s="6"/>
    </row>
    <row r="4717" spans="4:20" x14ac:dyDescent="0.2">
      <c r="D4717" s="6"/>
      <c r="E4717" s="6"/>
      <c r="F4717" s="6"/>
      <c r="G4717" s="19"/>
      <c r="H4717" s="19"/>
      <c r="I4717" s="19"/>
      <c r="J4717" s="19"/>
      <c r="K4717" s="6"/>
      <c r="L4717" s="6"/>
      <c r="M4717" s="6"/>
      <c r="N4717" s="6"/>
      <c r="O4717" s="6"/>
      <c r="P4717" s="6"/>
      <c r="Q4717" s="6"/>
      <c r="R4717" s="6"/>
      <c r="S4717" s="6"/>
      <c r="T4717" s="6"/>
    </row>
    <row r="4718" spans="4:20" x14ac:dyDescent="0.2">
      <c r="D4718" s="6"/>
      <c r="E4718" s="6"/>
      <c r="F4718" s="6"/>
      <c r="G4718" s="19"/>
      <c r="H4718" s="19"/>
      <c r="I4718" s="19"/>
      <c r="J4718" s="19"/>
      <c r="K4718" s="6"/>
      <c r="L4718" s="6"/>
      <c r="M4718" s="6"/>
      <c r="N4718" s="6"/>
      <c r="O4718" s="6"/>
      <c r="P4718" s="6"/>
      <c r="Q4718" s="6"/>
      <c r="R4718" s="6"/>
      <c r="S4718" s="6"/>
      <c r="T4718" s="6"/>
    </row>
    <row r="4719" spans="4:20" x14ac:dyDescent="0.2">
      <c r="D4719" s="6"/>
      <c r="E4719" s="6"/>
      <c r="F4719" s="6"/>
      <c r="G4719" s="19"/>
      <c r="H4719" s="19"/>
      <c r="I4719" s="19"/>
      <c r="J4719" s="19"/>
      <c r="K4719" s="6"/>
      <c r="L4719" s="6"/>
      <c r="M4719" s="6"/>
      <c r="N4719" s="6"/>
      <c r="O4719" s="6"/>
      <c r="P4719" s="6"/>
      <c r="Q4719" s="6"/>
      <c r="R4719" s="6"/>
      <c r="S4719" s="6"/>
      <c r="T4719" s="6"/>
    </row>
    <row r="4720" spans="4:20" x14ac:dyDescent="0.2">
      <c r="D4720" s="6"/>
      <c r="E4720" s="6"/>
      <c r="F4720" s="6"/>
      <c r="G4720" s="19"/>
      <c r="H4720" s="19"/>
      <c r="I4720" s="19"/>
      <c r="J4720" s="19"/>
      <c r="K4720" s="6"/>
      <c r="L4720" s="6"/>
      <c r="M4720" s="6"/>
      <c r="N4720" s="6"/>
      <c r="O4720" s="6"/>
      <c r="P4720" s="6"/>
      <c r="Q4720" s="6"/>
      <c r="R4720" s="6"/>
      <c r="S4720" s="6"/>
      <c r="T4720" s="6"/>
    </row>
    <row r="4721" spans="4:20" x14ac:dyDescent="0.2">
      <c r="D4721" s="6"/>
      <c r="E4721" s="6"/>
      <c r="F4721" s="6"/>
      <c r="G4721" s="19"/>
      <c r="H4721" s="19"/>
      <c r="I4721" s="19"/>
      <c r="J4721" s="19"/>
      <c r="K4721" s="6"/>
      <c r="L4721" s="6"/>
      <c r="M4721" s="6"/>
      <c r="N4721" s="6"/>
      <c r="O4721" s="6"/>
      <c r="P4721" s="6"/>
      <c r="Q4721" s="6"/>
      <c r="R4721" s="6"/>
      <c r="S4721" s="6"/>
      <c r="T4721" s="6"/>
    </row>
    <row r="4722" spans="4:20" x14ac:dyDescent="0.2">
      <c r="D4722" s="6"/>
      <c r="E4722" s="6"/>
      <c r="F4722" s="6"/>
      <c r="G4722" s="19"/>
      <c r="H4722" s="19"/>
      <c r="I4722" s="19"/>
      <c r="J4722" s="19"/>
      <c r="K4722" s="6"/>
      <c r="L4722" s="6"/>
      <c r="M4722" s="6"/>
      <c r="N4722" s="6"/>
      <c r="O4722" s="6"/>
      <c r="P4722" s="6"/>
      <c r="Q4722" s="6"/>
      <c r="R4722" s="6"/>
      <c r="S4722" s="6"/>
      <c r="T4722" s="6"/>
    </row>
    <row r="4723" spans="4:20" x14ac:dyDescent="0.2">
      <c r="D4723" s="6"/>
      <c r="E4723" s="6"/>
      <c r="F4723" s="6"/>
      <c r="G4723" s="19"/>
      <c r="H4723" s="19"/>
      <c r="I4723" s="19"/>
      <c r="J4723" s="19"/>
      <c r="K4723" s="6"/>
      <c r="L4723" s="6"/>
      <c r="M4723" s="6"/>
      <c r="N4723" s="6"/>
      <c r="O4723" s="6"/>
      <c r="P4723" s="6"/>
      <c r="Q4723" s="6"/>
      <c r="R4723" s="6"/>
      <c r="S4723" s="6"/>
      <c r="T4723" s="6"/>
    </row>
    <row r="4724" spans="4:20" x14ac:dyDescent="0.2">
      <c r="D4724" s="6"/>
      <c r="E4724" s="6"/>
      <c r="F4724" s="6"/>
      <c r="G4724" s="19"/>
      <c r="H4724" s="19"/>
      <c r="I4724" s="19"/>
      <c r="J4724" s="19"/>
      <c r="K4724" s="6"/>
      <c r="L4724" s="6"/>
      <c r="M4724" s="6"/>
      <c r="N4724" s="6"/>
      <c r="O4724" s="6"/>
      <c r="P4724" s="6"/>
      <c r="Q4724" s="6"/>
      <c r="R4724" s="6"/>
      <c r="S4724" s="6"/>
      <c r="T4724" s="6"/>
    </row>
    <row r="4725" spans="4:20" x14ac:dyDescent="0.2">
      <c r="D4725" s="6"/>
      <c r="E4725" s="6"/>
      <c r="F4725" s="6"/>
      <c r="G4725" s="19"/>
      <c r="H4725" s="19"/>
      <c r="I4725" s="19"/>
      <c r="J4725" s="19"/>
      <c r="K4725" s="6"/>
      <c r="L4725" s="6"/>
      <c r="M4725" s="6"/>
      <c r="N4725" s="6"/>
      <c r="O4725" s="6"/>
      <c r="P4725" s="6"/>
      <c r="Q4725" s="6"/>
      <c r="R4725" s="6"/>
      <c r="S4725" s="6"/>
      <c r="T4725" s="6"/>
    </row>
    <row r="4726" spans="4:20" x14ac:dyDescent="0.2">
      <c r="D4726" s="6"/>
      <c r="E4726" s="6"/>
      <c r="F4726" s="6"/>
      <c r="G4726" s="19"/>
      <c r="H4726" s="19"/>
      <c r="I4726" s="19"/>
      <c r="J4726" s="19"/>
      <c r="K4726" s="6"/>
      <c r="L4726" s="6"/>
      <c r="M4726" s="6"/>
      <c r="N4726" s="6"/>
      <c r="O4726" s="6"/>
      <c r="P4726" s="6"/>
      <c r="Q4726" s="6"/>
      <c r="R4726" s="6"/>
      <c r="S4726" s="6"/>
      <c r="T4726" s="6"/>
    </row>
    <row r="4727" spans="4:20" x14ac:dyDescent="0.2">
      <c r="D4727" s="6"/>
      <c r="E4727" s="6"/>
      <c r="F4727" s="6"/>
      <c r="G4727" s="19"/>
      <c r="H4727" s="19"/>
      <c r="I4727" s="19"/>
      <c r="J4727" s="19"/>
      <c r="K4727" s="6"/>
      <c r="L4727" s="6"/>
      <c r="M4727" s="6"/>
      <c r="N4727" s="6"/>
      <c r="O4727" s="6"/>
      <c r="P4727" s="6"/>
      <c r="Q4727" s="6"/>
      <c r="R4727" s="6"/>
      <c r="S4727" s="6"/>
      <c r="T4727" s="6"/>
    </row>
    <row r="4728" spans="4:20" x14ac:dyDescent="0.2">
      <c r="D4728" s="6"/>
      <c r="E4728" s="6"/>
      <c r="F4728" s="6"/>
      <c r="G4728" s="19"/>
      <c r="H4728" s="19"/>
      <c r="I4728" s="19"/>
      <c r="J4728" s="19"/>
      <c r="K4728" s="6"/>
      <c r="L4728" s="6"/>
      <c r="M4728" s="6"/>
      <c r="N4728" s="6"/>
      <c r="O4728" s="6"/>
      <c r="P4728" s="6"/>
      <c r="Q4728" s="6"/>
      <c r="R4728" s="6"/>
      <c r="S4728" s="6"/>
      <c r="T4728" s="6"/>
    </row>
    <row r="4729" spans="4:20" x14ac:dyDescent="0.2">
      <c r="D4729" s="6"/>
      <c r="E4729" s="6"/>
      <c r="F4729" s="6"/>
      <c r="G4729" s="19"/>
      <c r="H4729" s="19"/>
      <c r="I4729" s="19"/>
      <c r="J4729" s="19"/>
      <c r="K4729" s="6"/>
      <c r="L4729" s="6"/>
      <c r="M4729" s="6"/>
      <c r="N4729" s="6"/>
      <c r="O4729" s="6"/>
      <c r="P4729" s="6"/>
      <c r="Q4729" s="6"/>
      <c r="R4729" s="6"/>
      <c r="S4729" s="6"/>
      <c r="T4729" s="6"/>
    </row>
    <row r="4730" spans="4:20" x14ac:dyDescent="0.2">
      <c r="D4730" s="6"/>
      <c r="E4730" s="6"/>
      <c r="F4730" s="6"/>
      <c r="G4730" s="19"/>
      <c r="H4730" s="19"/>
      <c r="I4730" s="19"/>
      <c r="J4730" s="19"/>
      <c r="K4730" s="6"/>
      <c r="L4730" s="6"/>
      <c r="M4730" s="6"/>
      <c r="N4730" s="6"/>
      <c r="O4730" s="6"/>
      <c r="P4730" s="6"/>
      <c r="Q4730" s="6"/>
      <c r="R4730" s="6"/>
      <c r="S4730" s="6"/>
      <c r="T4730" s="6"/>
    </row>
    <row r="4731" spans="4:20" x14ac:dyDescent="0.2">
      <c r="D4731" s="6"/>
      <c r="E4731" s="6"/>
      <c r="F4731" s="6"/>
      <c r="G4731" s="19"/>
      <c r="H4731" s="19"/>
      <c r="I4731" s="19"/>
      <c r="J4731" s="19"/>
      <c r="K4731" s="6"/>
      <c r="L4731" s="6"/>
      <c r="M4731" s="6"/>
      <c r="N4731" s="6"/>
      <c r="O4731" s="6"/>
      <c r="P4731" s="6"/>
      <c r="Q4731" s="6"/>
      <c r="R4731" s="6"/>
      <c r="S4731" s="6"/>
      <c r="T4731" s="6"/>
    </row>
    <row r="4732" spans="4:20" x14ac:dyDescent="0.2">
      <c r="D4732" s="6"/>
      <c r="E4732" s="6"/>
      <c r="F4732" s="6"/>
      <c r="G4732" s="19"/>
      <c r="H4732" s="19"/>
      <c r="I4732" s="19"/>
      <c r="J4732" s="19"/>
      <c r="K4732" s="6"/>
      <c r="L4732" s="6"/>
      <c r="M4732" s="6"/>
      <c r="N4732" s="6"/>
      <c r="O4732" s="6"/>
      <c r="P4732" s="6"/>
      <c r="Q4732" s="6"/>
      <c r="R4732" s="6"/>
      <c r="S4732" s="6"/>
      <c r="T4732" s="6"/>
    </row>
    <row r="4733" spans="4:20" x14ac:dyDescent="0.2">
      <c r="D4733" s="6"/>
      <c r="E4733" s="6"/>
      <c r="F4733" s="6"/>
      <c r="G4733" s="19"/>
      <c r="H4733" s="19"/>
      <c r="I4733" s="19"/>
      <c r="J4733" s="19"/>
      <c r="K4733" s="6"/>
      <c r="L4733" s="6"/>
      <c r="M4733" s="6"/>
      <c r="N4733" s="6"/>
      <c r="O4733" s="6"/>
      <c r="P4733" s="6"/>
      <c r="Q4733" s="6"/>
      <c r="R4733" s="6"/>
      <c r="S4733" s="6"/>
      <c r="T4733" s="6"/>
    </row>
    <row r="4734" spans="4:20" x14ac:dyDescent="0.2">
      <c r="D4734" s="6"/>
      <c r="E4734" s="6"/>
      <c r="F4734" s="6"/>
      <c r="G4734" s="19"/>
      <c r="H4734" s="19"/>
      <c r="I4734" s="19"/>
      <c r="J4734" s="19"/>
      <c r="K4734" s="6"/>
      <c r="L4734" s="6"/>
      <c r="M4734" s="6"/>
      <c r="N4734" s="6"/>
      <c r="O4734" s="6"/>
      <c r="P4734" s="6"/>
      <c r="Q4734" s="6"/>
      <c r="R4734" s="6"/>
      <c r="S4734" s="6"/>
      <c r="T4734" s="6"/>
    </row>
    <row r="4735" spans="4:20" x14ac:dyDescent="0.2">
      <c r="D4735" s="6"/>
      <c r="E4735" s="6"/>
      <c r="F4735" s="6"/>
      <c r="G4735" s="19"/>
      <c r="H4735" s="19"/>
      <c r="I4735" s="19"/>
      <c r="J4735" s="19"/>
      <c r="K4735" s="6"/>
      <c r="L4735" s="6"/>
      <c r="M4735" s="6"/>
      <c r="N4735" s="6"/>
      <c r="O4735" s="6"/>
      <c r="P4735" s="6"/>
      <c r="Q4735" s="6"/>
      <c r="R4735" s="6"/>
      <c r="S4735" s="6"/>
      <c r="T4735" s="6"/>
    </row>
    <row r="4736" spans="4:20" x14ac:dyDescent="0.2">
      <c r="D4736" s="6"/>
      <c r="E4736" s="6"/>
      <c r="F4736" s="6"/>
      <c r="G4736" s="19"/>
      <c r="H4736" s="19"/>
      <c r="I4736" s="19"/>
      <c r="J4736" s="19"/>
      <c r="K4736" s="6"/>
      <c r="L4736" s="6"/>
      <c r="M4736" s="6"/>
      <c r="N4736" s="6"/>
      <c r="O4736" s="6"/>
      <c r="P4736" s="6"/>
      <c r="Q4736" s="6"/>
      <c r="R4736" s="6"/>
      <c r="S4736" s="6"/>
      <c r="T4736" s="6"/>
    </row>
    <row r="4737" spans="4:20" x14ac:dyDescent="0.2">
      <c r="D4737" s="6"/>
      <c r="E4737" s="6"/>
      <c r="F4737" s="6"/>
      <c r="G4737" s="19"/>
      <c r="H4737" s="19"/>
      <c r="I4737" s="19"/>
      <c r="J4737" s="19"/>
      <c r="K4737" s="6"/>
      <c r="L4737" s="6"/>
      <c r="M4737" s="6"/>
      <c r="N4737" s="6"/>
      <c r="O4737" s="6"/>
      <c r="P4737" s="6"/>
      <c r="Q4737" s="6"/>
      <c r="R4737" s="6"/>
      <c r="S4737" s="6"/>
      <c r="T4737" s="6"/>
    </row>
    <row r="4738" spans="4:20" x14ac:dyDescent="0.2">
      <c r="D4738" s="6"/>
      <c r="E4738" s="6"/>
      <c r="F4738" s="6"/>
      <c r="G4738" s="19"/>
      <c r="H4738" s="19"/>
      <c r="I4738" s="19"/>
      <c r="J4738" s="19"/>
      <c r="K4738" s="6"/>
      <c r="L4738" s="6"/>
      <c r="M4738" s="6"/>
      <c r="N4738" s="6"/>
      <c r="O4738" s="6"/>
      <c r="P4738" s="6"/>
      <c r="Q4738" s="6"/>
      <c r="R4738" s="6"/>
      <c r="S4738" s="6"/>
      <c r="T4738" s="6"/>
    </row>
    <row r="4739" spans="4:20" x14ac:dyDescent="0.2">
      <c r="D4739" s="6"/>
      <c r="E4739" s="6"/>
      <c r="F4739" s="6"/>
      <c r="G4739" s="19"/>
      <c r="H4739" s="19"/>
      <c r="I4739" s="19"/>
      <c r="J4739" s="19"/>
      <c r="K4739" s="6"/>
      <c r="L4739" s="6"/>
      <c r="M4739" s="6"/>
      <c r="N4739" s="6"/>
      <c r="O4739" s="6"/>
      <c r="P4739" s="6"/>
      <c r="Q4739" s="6"/>
      <c r="R4739" s="6"/>
      <c r="S4739" s="6"/>
      <c r="T4739" s="6"/>
    </row>
    <row r="4740" spans="4:20" x14ac:dyDescent="0.2">
      <c r="D4740" s="6"/>
      <c r="E4740" s="6"/>
      <c r="F4740" s="6"/>
      <c r="G4740" s="19"/>
      <c r="H4740" s="19"/>
      <c r="I4740" s="19"/>
      <c r="J4740" s="19"/>
      <c r="K4740" s="6"/>
      <c r="L4740" s="6"/>
      <c r="M4740" s="6"/>
      <c r="N4740" s="6"/>
      <c r="O4740" s="6"/>
      <c r="P4740" s="6"/>
      <c r="Q4740" s="6"/>
      <c r="R4740" s="6"/>
      <c r="S4740" s="6"/>
      <c r="T4740" s="6"/>
    </row>
    <row r="4741" spans="4:20" x14ac:dyDescent="0.2">
      <c r="D4741" s="6"/>
      <c r="E4741" s="6"/>
      <c r="F4741" s="6"/>
      <c r="G4741" s="19"/>
      <c r="H4741" s="19"/>
      <c r="I4741" s="19"/>
      <c r="J4741" s="19"/>
      <c r="K4741" s="6"/>
      <c r="L4741" s="6"/>
      <c r="M4741" s="6"/>
      <c r="N4741" s="6"/>
      <c r="O4741" s="6"/>
      <c r="P4741" s="6"/>
      <c r="Q4741" s="6"/>
      <c r="R4741" s="6"/>
      <c r="S4741" s="6"/>
      <c r="T4741" s="6"/>
    </row>
    <row r="4742" spans="4:20" x14ac:dyDescent="0.2">
      <c r="D4742" s="6"/>
      <c r="E4742" s="6"/>
      <c r="F4742" s="6"/>
      <c r="G4742" s="19"/>
      <c r="H4742" s="19"/>
      <c r="I4742" s="19"/>
      <c r="J4742" s="19"/>
      <c r="K4742" s="6"/>
      <c r="L4742" s="6"/>
      <c r="M4742" s="6"/>
      <c r="N4742" s="6"/>
      <c r="O4742" s="6"/>
      <c r="P4742" s="6"/>
      <c r="Q4742" s="6"/>
      <c r="R4742" s="6"/>
      <c r="S4742" s="6"/>
      <c r="T4742" s="6"/>
    </row>
    <row r="4743" spans="4:20" x14ac:dyDescent="0.2">
      <c r="D4743" s="6"/>
      <c r="E4743" s="6"/>
      <c r="F4743" s="6"/>
      <c r="G4743" s="19"/>
      <c r="H4743" s="19"/>
      <c r="I4743" s="19"/>
      <c r="J4743" s="19"/>
      <c r="K4743" s="6"/>
      <c r="L4743" s="6"/>
      <c r="M4743" s="6"/>
      <c r="N4743" s="6"/>
      <c r="O4743" s="6"/>
      <c r="P4743" s="6"/>
      <c r="Q4743" s="6"/>
      <c r="R4743" s="6"/>
      <c r="S4743" s="6"/>
      <c r="T4743" s="6"/>
    </row>
    <row r="4744" spans="4:20" x14ac:dyDescent="0.2">
      <c r="D4744" s="6"/>
      <c r="E4744" s="6"/>
      <c r="F4744" s="6"/>
      <c r="G4744" s="19"/>
      <c r="H4744" s="19"/>
      <c r="I4744" s="19"/>
      <c r="J4744" s="19"/>
      <c r="K4744" s="6"/>
      <c r="L4744" s="6"/>
      <c r="M4744" s="6"/>
      <c r="N4744" s="6"/>
      <c r="O4744" s="6"/>
      <c r="P4744" s="6"/>
      <c r="Q4744" s="6"/>
      <c r="R4744" s="6"/>
      <c r="S4744" s="6"/>
      <c r="T4744" s="6"/>
    </row>
    <row r="4745" spans="4:20" x14ac:dyDescent="0.2">
      <c r="D4745" s="6"/>
      <c r="E4745" s="6"/>
      <c r="F4745" s="6"/>
      <c r="G4745" s="19"/>
      <c r="H4745" s="19"/>
      <c r="I4745" s="19"/>
      <c r="J4745" s="19"/>
      <c r="K4745" s="6"/>
      <c r="L4745" s="6"/>
      <c r="M4745" s="6"/>
      <c r="N4745" s="6"/>
      <c r="O4745" s="6"/>
      <c r="P4745" s="6"/>
      <c r="Q4745" s="6"/>
      <c r="R4745" s="6"/>
      <c r="S4745" s="6"/>
      <c r="T4745" s="6"/>
    </row>
    <row r="4746" spans="4:20" x14ac:dyDescent="0.2">
      <c r="D4746" s="6"/>
      <c r="E4746" s="6"/>
      <c r="F4746" s="6"/>
      <c r="G4746" s="19"/>
      <c r="H4746" s="19"/>
      <c r="I4746" s="19"/>
      <c r="J4746" s="19"/>
      <c r="K4746" s="6"/>
      <c r="L4746" s="6"/>
      <c r="M4746" s="6"/>
      <c r="N4746" s="6"/>
      <c r="O4746" s="6"/>
      <c r="P4746" s="6"/>
      <c r="Q4746" s="6"/>
      <c r="R4746" s="6"/>
      <c r="S4746" s="6"/>
      <c r="T4746" s="6"/>
    </row>
    <row r="4747" spans="4:20" x14ac:dyDescent="0.2">
      <c r="D4747" s="6"/>
      <c r="E4747" s="6"/>
      <c r="F4747" s="6"/>
      <c r="G4747" s="19"/>
      <c r="H4747" s="19"/>
      <c r="I4747" s="19"/>
      <c r="J4747" s="19"/>
      <c r="K4747" s="6"/>
      <c r="L4747" s="6"/>
      <c r="M4747" s="6"/>
      <c r="N4747" s="6"/>
      <c r="O4747" s="6"/>
      <c r="P4747" s="6"/>
      <c r="Q4747" s="6"/>
      <c r="R4747" s="6"/>
      <c r="S4747" s="6"/>
      <c r="T4747" s="6"/>
    </row>
    <row r="4748" spans="4:20" x14ac:dyDescent="0.2">
      <c r="D4748" s="6"/>
      <c r="E4748" s="6"/>
      <c r="F4748" s="6"/>
      <c r="G4748" s="19"/>
      <c r="H4748" s="19"/>
      <c r="I4748" s="19"/>
      <c r="J4748" s="19"/>
      <c r="K4748" s="6"/>
      <c r="L4748" s="6"/>
      <c r="M4748" s="6"/>
      <c r="N4748" s="6"/>
      <c r="O4748" s="6"/>
      <c r="P4748" s="6"/>
      <c r="Q4748" s="6"/>
      <c r="R4748" s="6"/>
      <c r="S4748" s="6"/>
      <c r="T4748" s="6"/>
    </row>
    <row r="4749" spans="4:20" x14ac:dyDescent="0.2">
      <c r="D4749" s="6"/>
      <c r="E4749" s="6"/>
      <c r="F4749" s="6"/>
      <c r="G4749" s="19"/>
      <c r="H4749" s="19"/>
      <c r="I4749" s="19"/>
      <c r="J4749" s="19"/>
      <c r="K4749" s="6"/>
      <c r="L4749" s="6"/>
      <c r="M4749" s="6"/>
      <c r="N4749" s="6"/>
      <c r="O4749" s="6"/>
      <c r="P4749" s="6"/>
      <c r="Q4749" s="6"/>
      <c r="R4749" s="6"/>
      <c r="S4749" s="6"/>
      <c r="T4749" s="6"/>
    </row>
    <row r="4750" spans="4:20" x14ac:dyDescent="0.2">
      <c r="D4750" s="6"/>
      <c r="E4750" s="6"/>
      <c r="F4750" s="6"/>
      <c r="G4750" s="19"/>
      <c r="H4750" s="19"/>
      <c r="I4750" s="19"/>
      <c r="J4750" s="19"/>
      <c r="K4750" s="6"/>
      <c r="L4750" s="6"/>
      <c r="M4750" s="6"/>
      <c r="N4750" s="6"/>
      <c r="O4750" s="6"/>
      <c r="P4750" s="6"/>
      <c r="Q4750" s="6"/>
      <c r="R4750" s="6"/>
      <c r="S4750" s="6"/>
      <c r="T4750" s="6"/>
    </row>
    <row r="4751" spans="4:20" x14ac:dyDescent="0.2">
      <c r="D4751" s="6"/>
      <c r="E4751" s="6"/>
      <c r="F4751" s="6"/>
      <c r="G4751" s="19"/>
      <c r="H4751" s="19"/>
      <c r="I4751" s="19"/>
      <c r="J4751" s="19"/>
      <c r="K4751" s="6"/>
      <c r="L4751" s="6"/>
      <c r="M4751" s="6"/>
      <c r="N4751" s="6"/>
      <c r="O4751" s="6"/>
      <c r="P4751" s="6"/>
      <c r="Q4751" s="6"/>
      <c r="R4751" s="6"/>
      <c r="S4751" s="6"/>
      <c r="T4751" s="6"/>
    </row>
    <row r="4752" spans="4:20" x14ac:dyDescent="0.2">
      <c r="D4752" s="6"/>
      <c r="E4752" s="6"/>
      <c r="F4752" s="6"/>
      <c r="G4752" s="19"/>
      <c r="H4752" s="19"/>
      <c r="I4752" s="19"/>
      <c r="J4752" s="19"/>
      <c r="K4752" s="6"/>
      <c r="L4752" s="6"/>
      <c r="M4752" s="6"/>
      <c r="N4752" s="6"/>
      <c r="O4752" s="6"/>
      <c r="P4752" s="6"/>
      <c r="Q4752" s="6"/>
      <c r="R4752" s="6"/>
      <c r="S4752" s="6"/>
      <c r="T4752" s="6"/>
    </row>
    <row r="4753" spans="4:20" x14ac:dyDescent="0.2">
      <c r="D4753" s="6"/>
      <c r="E4753" s="6"/>
      <c r="F4753" s="6"/>
      <c r="G4753" s="19"/>
      <c r="H4753" s="19"/>
      <c r="I4753" s="19"/>
      <c r="J4753" s="19"/>
      <c r="K4753" s="6"/>
      <c r="L4753" s="6"/>
      <c r="M4753" s="6"/>
      <c r="N4753" s="6"/>
      <c r="O4753" s="6"/>
      <c r="P4753" s="6"/>
      <c r="Q4753" s="6"/>
      <c r="R4753" s="6"/>
      <c r="S4753" s="6"/>
      <c r="T4753" s="6"/>
    </row>
    <row r="4754" spans="4:20" x14ac:dyDescent="0.2">
      <c r="D4754" s="6"/>
      <c r="E4754" s="6"/>
      <c r="F4754" s="6"/>
      <c r="G4754" s="19"/>
      <c r="H4754" s="19"/>
      <c r="I4754" s="19"/>
      <c r="J4754" s="19"/>
      <c r="K4754" s="6"/>
      <c r="L4754" s="6"/>
      <c r="M4754" s="6"/>
      <c r="N4754" s="6"/>
      <c r="O4754" s="6"/>
      <c r="P4754" s="6"/>
      <c r="Q4754" s="6"/>
      <c r="R4754" s="6"/>
      <c r="S4754" s="6"/>
      <c r="T4754" s="6"/>
    </row>
    <row r="4755" spans="4:20" x14ac:dyDescent="0.2">
      <c r="D4755" s="6"/>
      <c r="E4755" s="6"/>
      <c r="F4755" s="6"/>
      <c r="G4755" s="19"/>
      <c r="H4755" s="19"/>
      <c r="I4755" s="19"/>
      <c r="J4755" s="19"/>
      <c r="K4755" s="6"/>
      <c r="L4755" s="6"/>
      <c r="M4755" s="6"/>
      <c r="N4755" s="6"/>
      <c r="O4755" s="6"/>
      <c r="P4755" s="6"/>
      <c r="Q4755" s="6"/>
      <c r="R4755" s="6"/>
      <c r="S4755" s="6"/>
      <c r="T4755" s="6"/>
    </row>
    <row r="4756" spans="4:20" x14ac:dyDescent="0.2">
      <c r="D4756" s="6"/>
      <c r="E4756" s="6"/>
      <c r="F4756" s="6"/>
      <c r="G4756" s="19"/>
      <c r="H4756" s="19"/>
      <c r="I4756" s="19"/>
      <c r="J4756" s="19"/>
      <c r="K4756" s="6"/>
      <c r="L4756" s="6"/>
      <c r="M4756" s="6"/>
      <c r="N4756" s="6"/>
      <c r="O4756" s="6"/>
      <c r="P4756" s="6"/>
      <c r="Q4756" s="6"/>
      <c r="R4756" s="6"/>
      <c r="S4756" s="6"/>
      <c r="T4756" s="6"/>
    </row>
    <row r="4757" spans="4:20" x14ac:dyDescent="0.2">
      <c r="D4757" s="6"/>
      <c r="E4757" s="6"/>
      <c r="F4757" s="6"/>
      <c r="G4757" s="19"/>
      <c r="H4757" s="19"/>
      <c r="I4757" s="19"/>
      <c r="J4757" s="19"/>
      <c r="K4757" s="6"/>
      <c r="L4757" s="6"/>
      <c r="M4757" s="6"/>
      <c r="N4757" s="6"/>
      <c r="O4757" s="6"/>
      <c r="P4757" s="6"/>
      <c r="Q4757" s="6"/>
      <c r="R4757" s="6"/>
      <c r="S4757" s="6"/>
      <c r="T4757" s="6"/>
    </row>
    <row r="4758" spans="4:20" x14ac:dyDescent="0.2">
      <c r="D4758" s="6"/>
      <c r="E4758" s="6"/>
      <c r="F4758" s="6"/>
      <c r="G4758" s="19"/>
      <c r="H4758" s="19"/>
      <c r="I4758" s="19"/>
      <c r="J4758" s="19"/>
      <c r="K4758" s="6"/>
      <c r="L4758" s="6"/>
      <c r="M4758" s="6"/>
      <c r="N4758" s="6"/>
      <c r="O4758" s="6"/>
      <c r="P4758" s="6"/>
      <c r="Q4758" s="6"/>
      <c r="R4758" s="6"/>
      <c r="S4758" s="6"/>
      <c r="T4758" s="6"/>
    </row>
    <row r="4759" spans="4:20" x14ac:dyDescent="0.2">
      <c r="D4759" s="6"/>
      <c r="E4759" s="6"/>
      <c r="F4759" s="6"/>
      <c r="G4759" s="19"/>
      <c r="H4759" s="19"/>
      <c r="I4759" s="19"/>
      <c r="J4759" s="19"/>
      <c r="K4759" s="6"/>
      <c r="L4759" s="6"/>
      <c r="M4759" s="6"/>
      <c r="N4759" s="6"/>
      <c r="O4759" s="6"/>
      <c r="P4759" s="6"/>
      <c r="Q4759" s="6"/>
      <c r="R4759" s="6"/>
      <c r="S4759" s="6"/>
      <c r="T4759" s="6"/>
    </row>
    <row r="4760" spans="4:20" x14ac:dyDescent="0.2">
      <c r="D4760" s="6"/>
      <c r="E4760" s="6"/>
      <c r="F4760" s="6"/>
      <c r="G4760" s="19"/>
      <c r="H4760" s="19"/>
      <c r="I4760" s="19"/>
      <c r="J4760" s="19"/>
      <c r="K4760" s="6"/>
      <c r="L4760" s="6"/>
      <c r="M4760" s="6"/>
      <c r="N4760" s="6"/>
      <c r="O4760" s="6"/>
      <c r="P4760" s="6"/>
      <c r="Q4760" s="6"/>
      <c r="R4760" s="6"/>
      <c r="S4760" s="6"/>
      <c r="T4760" s="6"/>
    </row>
    <row r="4761" spans="4:20" x14ac:dyDescent="0.2">
      <c r="D4761" s="6"/>
      <c r="E4761" s="6"/>
      <c r="F4761" s="6"/>
      <c r="G4761" s="19"/>
      <c r="H4761" s="19"/>
      <c r="I4761" s="19"/>
      <c r="J4761" s="19"/>
      <c r="K4761" s="6"/>
      <c r="L4761" s="6"/>
      <c r="M4761" s="6"/>
      <c r="N4761" s="6"/>
      <c r="O4761" s="6"/>
      <c r="P4761" s="6"/>
      <c r="Q4761" s="6"/>
      <c r="R4761" s="6"/>
      <c r="S4761" s="6"/>
      <c r="T4761" s="6"/>
    </row>
    <row r="4762" spans="4:20" x14ac:dyDescent="0.2">
      <c r="D4762" s="6"/>
      <c r="E4762" s="6"/>
      <c r="F4762" s="6"/>
      <c r="G4762" s="19"/>
      <c r="H4762" s="19"/>
      <c r="I4762" s="19"/>
      <c r="J4762" s="19"/>
      <c r="K4762" s="6"/>
      <c r="L4762" s="6"/>
      <c r="M4762" s="6"/>
      <c r="N4762" s="6"/>
      <c r="O4762" s="6"/>
      <c r="P4762" s="6"/>
      <c r="Q4762" s="6"/>
      <c r="R4762" s="6"/>
      <c r="S4762" s="6"/>
      <c r="T4762" s="6"/>
    </row>
    <row r="4763" spans="4:20" x14ac:dyDescent="0.2">
      <c r="D4763" s="6"/>
      <c r="E4763" s="6"/>
      <c r="F4763" s="6"/>
      <c r="G4763" s="19"/>
      <c r="H4763" s="19"/>
      <c r="I4763" s="19"/>
      <c r="J4763" s="19"/>
      <c r="K4763" s="6"/>
      <c r="L4763" s="6"/>
      <c r="M4763" s="6"/>
      <c r="N4763" s="6"/>
      <c r="O4763" s="6"/>
      <c r="P4763" s="6"/>
      <c r="Q4763" s="6"/>
      <c r="R4763" s="6"/>
      <c r="S4763" s="6"/>
      <c r="T4763" s="6"/>
    </row>
    <row r="4764" spans="4:20" x14ac:dyDescent="0.2">
      <c r="D4764" s="6"/>
      <c r="E4764" s="6"/>
      <c r="F4764" s="6"/>
      <c r="G4764" s="19"/>
      <c r="H4764" s="19"/>
      <c r="I4764" s="19"/>
      <c r="J4764" s="19"/>
      <c r="K4764" s="6"/>
      <c r="L4764" s="6"/>
      <c r="M4764" s="6"/>
      <c r="N4764" s="6"/>
      <c r="O4764" s="6"/>
      <c r="P4764" s="6"/>
      <c r="Q4764" s="6"/>
      <c r="R4764" s="6"/>
      <c r="S4764" s="6"/>
      <c r="T4764" s="6"/>
    </row>
    <row r="4765" spans="4:20" x14ac:dyDescent="0.2">
      <c r="D4765" s="6"/>
      <c r="E4765" s="6"/>
      <c r="F4765" s="6"/>
      <c r="G4765" s="19"/>
      <c r="H4765" s="19"/>
      <c r="I4765" s="19"/>
      <c r="J4765" s="19"/>
      <c r="K4765" s="6"/>
      <c r="L4765" s="6"/>
      <c r="M4765" s="6"/>
      <c r="N4765" s="6"/>
      <c r="O4765" s="6"/>
      <c r="P4765" s="6"/>
      <c r="Q4765" s="6"/>
      <c r="R4765" s="6"/>
      <c r="S4765" s="6"/>
      <c r="T4765" s="6"/>
    </row>
    <row r="4766" spans="4:20" x14ac:dyDescent="0.2">
      <c r="D4766" s="6"/>
      <c r="E4766" s="6"/>
      <c r="F4766" s="6"/>
      <c r="G4766" s="19"/>
      <c r="H4766" s="19"/>
      <c r="I4766" s="19"/>
      <c r="J4766" s="19"/>
      <c r="K4766" s="6"/>
      <c r="L4766" s="6"/>
      <c r="M4766" s="6"/>
      <c r="N4766" s="6"/>
      <c r="O4766" s="6"/>
      <c r="P4766" s="6"/>
      <c r="Q4766" s="6"/>
      <c r="R4766" s="6"/>
      <c r="S4766" s="6"/>
      <c r="T4766" s="6"/>
    </row>
    <row r="4767" spans="4:20" x14ac:dyDescent="0.2">
      <c r="D4767" s="6"/>
      <c r="E4767" s="6"/>
      <c r="F4767" s="6"/>
      <c r="G4767" s="19"/>
      <c r="H4767" s="19"/>
      <c r="I4767" s="19"/>
      <c r="J4767" s="19"/>
      <c r="K4767" s="6"/>
      <c r="L4767" s="6"/>
      <c r="M4767" s="6"/>
      <c r="N4767" s="6"/>
      <c r="O4767" s="6"/>
      <c r="P4767" s="6"/>
      <c r="Q4767" s="6"/>
      <c r="R4767" s="6"/>
      <c r="S4767" s="6"/>
      <c r="T4767" s="6"/>
    </row>
    <row r="4768" spans="4:20" x14ac:dyDescent="0.2">
      <c r="D4768" s="6"/>
      <c r="E4768" s="6"/>
      <c r="F4768" s="6"/>
      <c r="G4768" s="19"/>
      <c r="H4768" s="19"/>
      <c r="I4768" s="19"/>
      <c r="J4768" s="19"/>
      <c r="K4768" s="6"/>
      <c r="L4768" s="6"/>
      <c r="M4768" s="6"/>
      <c r="N4768" s="6"/>
      <c r="O4768" s="6"/>
      <c r="P4768" s="6"/>
      <c r="Q4768" s="6"/>
      <c r="R4768" s="6"/>
      <c r="S4768" s="6"/>
      <c r="T4768" s="6"/>
    </row>
    <row r="4769" spans="4:20" x14ac:dyDescent="0.2">
      <c r="D4769" s="6"/>
      <c r="E4769" s="6"/>
      <c r="F4769" s="6"/>
      <c r="G4769" s="19"/>
      <c r="H4769" s="19"/>
      <c r="I4769" s="19"/>
      <c r="J4769" s="19"/>
      <c r="K4769" s="6"/>
      <c r="L4769" s="6"/>
      <c r="M4769" s="6"/>
      <c r="N4769" s="6"/>
      <c r="O4769" s="6"/>
      <c r="P4769" s="6"/>
      <c r="Q4769" s="6"/>
      <c r="R4769" s="6"/>
      <c r="S4769" s="6"/>
      <c r="T4769" s="6"/>
    </row>
    <row r="4770" spans="4:20" x14ac:dyDescent="0.2">
      <c r="D4770" s="6"/>
      <c r="E4770" s="6"/>
      <c r="F4770" s="6"/>
      <c r="G4770" s="19"/>
      <c r="H4770" s="19"/>
      <c r="I4770" s="19"/>
      <c r="J4770" s="19"/>
      <c r="K4770" s="6"/>
      <c r="L4770" s="6"/>
      <c r="M4770" s="6"/>
      <c r="N4770" s="6"/>
      <c r="O4770" s="6"/>
      <c r="P4770" s="6"/>
      <c r="Q4770" s="6"/>
      <c r="R4770" s="6"/>
      <c r="S4770" s="6"/>
      <c r="T4770" s="6"/>
    </row>
    <row r="4771" spans="4:20" x14ac:dyDescent="0.2">
      <c r="D4771" s="6"/>
      <c r="E4771" s="6"/>
      <c r="F4771" s="6"/>
      <c r="G4771" s="19"/>
      <c r="H4771" s="19"/>
      <c r="I4771" s="19"/>
      <c r="J4771" s="19"/>
      <c r="K4771" s="6"/>
      <c r="L4771" s="6"/>
      <c r="M4771" s="6"/>
      <c r="N4771" s="6"/>
      <c r="O4771" s="6"/>
      <c r="P4771" s="6"/>
      <c r="Q4771" s="6"/>
      <c r="R4771" s="6"/>
      <c r="S4771" s="6"/>
      <c r="T4771" s="6"/>
    </row>
    <row r="4772" spans="4:20" x14ac:dyDescent="0.2">
      <c r="D4772" s="6"/>
      <c r="E4772" s="6"/>
      <c r="F4772" s="6"/>
      <c r="G4772" s="19"/>
      <c r="H4772" s="19"/>
      <c r="I4772" s="19"/>
      <c r="J4772" s="19"/>
      <c r="K4772" s="6"/>
      <c r="L4772" s="6"/>
      <c r="M4772" s="6"/>
      <c r="N4772" s="6"/>
      <c r="O4772" s="6"/>
      <c r="P4772" s="6"/>
      <c r="Q4772" s="6"/>
      <c r="R4772" s="6"/>
      <c r="S4772" s="6"/>
      <c r="T4772" s="6"/>
    </row>
    <row r="4773" spans="4:20" x14ac:dyDescent="0.2">
      <c r="D4773" s="6"/>
      <c r="E4773" s="6"/>
      <c r="F4773" s="6"/>
      <c r="G4773" s="19"/>
      <c r="H4773" s="19"/>
      <c r="I4773" s="19"/>
      <c r="J4773" s="19"/>
      <c r="K4773" s="6"/>
      <c r="L4773" s="6"/>
      <c r="M4773" s="6"/>
      <c r="N4773" s="6"/>
      <c r="O4773" s="6"/>
      <c r="P4773" s="6"/>
      <c r="Q4773" s="6"/>
      <c r="R4773" s="6"/>
      <c r="S4773" s="6"/>
      <c r="T4773" s="6"/>
    </row>
    <row r="4774" spans="4:20" x14ac:dyDescent="0.2">
      <c r="D4774" s="6"/>
      <c r="E4774" s="6"/>
      <c r="F4774" s="6"/>
      <c r="G4774" s="19"/>
      <c r="H4774" s="19"/>
      <c r="I4774" s="19"/>
      <c r="J4774" s="19"/>
      <c r="K4774" s="6"/>
      <c r="L4774" s="6"/>
      <c r="M4774" s="6"/>
      <c r="N4774" s="6"/>
      <c r="O4774" s="6"/>
      <c r="P4774" s="6"/>
      <c r="Q4774" s="6"/>
      <c r="R4774" s="6"/>
      <c r="S4774" s="6"/>
      <c r="T4774" s="6"/>
    </row>
    <row r="4775" spans="4:20" x14ac:dyDescent="0.2">
      <c r="D4775" s="6"/>
      <c r="E4775" s="6"/>
      <c r="F4775" s="6"/>
      <c r="G4775" s="19"/>
      <c r="H4775" s="19"/>
      <c r="I4775" s="19"/>
      <c r="J4775" s="19"/>
      <c r="K4775" s="6"/>
      <c r="L4775" s="6"/>
      <c r="M4775" s="6"/>
      <c r="N4775" s="6"/>
      <c r="O4775" s="6"/>
      <c r="P4775" s="6"/>
      <c r="Q4775" s="6"/>
      <c r="R4775" s="6"/>
      <c r="S4775" s="6"/>
      <c r="T4775" s="6"/>
    </row>
    <row r="4776" spans="4:20" x14ac:dyDescent="0.2">
      <c r="D4776" s="6"/>
      <c r="E4776" s="6"/>
      <c r="F4776" s="6"/>
      <c r="G4776" s="19"/>
      <c r="H4776" s="19"/>
      <c r="I4776" s="19"/>
      <c r="J4776" s="19"/>
      <c r="K4776" s="6"/>
      <c r="L4776" s="6"/>
      <c r="M4776" s="6"/>
      <c r="N4776" s="6"/>
      <c r="O4776" s="6"/>
      <c r="P4776" s="6"/>
      <c r="Q4776" s="6"/>
      <c r="R4776" s="6"/>
      <c r="S4776" s="6"/>
      <c r="T4776" s="6"/>
    </row>
    <row r="4777" spans="4:20" x14ac:dyDescent="0.2">
      <c r="D4777" s="6"/>
      <c r="E4777" s="6"/>
      <c r="F4777" s="6"/>
      <c r="G4777" s="19"/>
      <c r="H4777" s="19"/>
      <c r="I4777" s="19"/>
      <c r="J4777" s="19"/>
      <c r="K4777" s="6"/>
      <c r="L4777" s="6"/>
      <c r="M4777" s="6"/>
      <c r="N4777" s="6"/>
      <c r="O4777" s="6"/>
      <c r="P4777" s="6"/>
      <c r="Q4777" s="6"/>
      <c r="R4777" s="6"/>
      <c r="S4777" s="6"/>
      <c r="T4777" s="6"/>
    </row>
    <row r="4778" spans="4:20" x14ac:dyDescent="0.2">
      <c r="D4778" s="6"/>
      <c r="E4778" s="6"/>
      <c r="F4778" s="6"/>
      <c r="G4778" s="19"/>
      <c r="H4778" s="19"/>
      <c r="I4778" s="19"/>
      <c r="J4778" s="19"/>
      <c r="K4778" s="6"/>
      <c r="L4778" s="6"/>
      <c r="M4778" s="6"/>
      <c r="N4778" s="6"/>
      <c r="O4778" s="6"/>
      <c r="P4778" s="6"/>
      <c r="Q4778" s="6"/>
      <c r="R4778" s="6"/>
      <c r="S4778" s="6"/>
      <c r="T4778" s="6"/>
    </row>
    <row r="4779" spans="4:20" x14ac:dyDescent="0.2">
      <c r="D4779" s="6"/>
      <c r="E4779" s="6"/>
      <c r="F4779" s="6"/>
      <c r="G4779" s="19"/>
      <c r="H4779" s="19"/>
      <c r="I4779" s="19"/>
      <c r="J4779" s="19"/>
      <c r="K4779" s="6"/>
      <c r="L4779" s="6"/>
      <c r="M4779" s="6"/>
      <c r="N4779" s="6"/>
      <c r="O4779" s="6"/>
      <c r="P4779" s="6"/>
      <c r="Q4779" s="6"/>
      <c r="R4779" s="6"/>
      <c r="S4779" s="6"/>
      <c r="T4779" s="6"/>
    </row>
    <row r="4780" spans="4:20" x14ac:dyDescent="0.2">
      <c r="D4780" s="6"/>
      <c r="E4780" s="6"/>
      <c r="F4780" s="6"/>
      <c r="G4780" s="19"/>
      <c r="H4780" s="19"/>
      <c r="I4780" s="19"/>
      <c r="J4780" s="19"/>
      <c r="K4780" s="6"/>
      <c r="L4780" s="6"/>
      <c r="M4780" s="6"/>
      <c r="N4780" s="6"/>
      <c r="O4780" s="6"/>
      <c r="P4780" s="6"/>
      <c r="Q4780" s="6"/>
      <c r="R4780" s="6"/>
      <c r="S4780" s="6"/>
      <c r="T4780" s="6"/>
    </row>
    <row r="4781" spans="4:20" x14ac:dyDescent="0.2">
      <c r="D4781" s="6"/>
      <c r="E4781" s="6"/>
      <c r="F4781" s="6"/>
      <c r="G4781" s="19"/>
      <c r="H4781" s="19"/>
      <c r="I4781" s="19"/>
      <c r="J4781" s="19"/>
      <c r="K4781" s="6"/>
      <c r="L4781" s="6"/>
      <c r="M4781" s="6"/>
      <c r="N4781" s="6"/>
      <c r="O4781" s="6"/>
      <c r="P4781" s="6"/>
      <c r="Q4781" s="6"/>
      <c r="R4781" s="6"/>
      <c r="S4781" s="6"/>
      <c r="T4781" s="6"/>
    </row>
    <row r="4782" spans="4:20" x14ac:dyDescent="0.2">
      <c r="D4782" s="6"/>
      <c r="E4782" s="6"/>
      <c r="F4782" s="6"/>
      <c r="G4782" s="19"/>
      <c r="H4782" s="19"/>
      <c r="I4782" s="19"/>
      <c r="J4782" s="19"/>
      <c r="K4782" s="6"/>
      <c r="L4782" s="6"/>
      <c r="M4782" s="6"/>
      <c r="N4782" s="6"/>
      <c r="O4782" s="6"/>
      <c r="P4782" s="6"/>
      <c r="Q4782" s="6"/>
      <c r="R4782" s="6"/>
      <c r="S4782" s="6"/>
      <c r="T4782" s="6"/>
    </row>
    <row r="4783" spans="4:20" x14ac:dyDescent="0.2">
      <c r="D4783" s="6"/>
      <c r="E4783" s="6"/>
      <c r="F4783" s="6"/>
      <c r="G4783" s="19"/>
      <c r="H4783" s="19"/>
      <c r="I4783" s="19"/>
      <c r="J4783" s="19"/>
      <c r="K4783" s="6"/>
      <c r="L4783" s="6"/>
      <c r="M4783" s="6"/>
      <c r="N4783" s="6"/>
      <c r="O4783" s="6"/>
      <c r="P4783" s="6"/>
      <c r="Q4783" s="6"/>
      <c r="R4783" s="6"/>
      <c r="S4783" s="6"/>
      <c r="T4783" s="6"/>
    </row>
    <row r="4784" spans="4:20" x14ac:dyDescent="0.2">
      <c r="D4784" s="6"/>
      <c r="E4784" s="6"/>
      <c r="F4784" s="6"/>
      <c r="G4784" s="19"/>
      <c r="H4784" s="19"/>
      <c r="I4784" s="19"/>
      <c r="J4784" s="19"/>
      <c r="K4784" s="6"/>
      <c r="L4784" s="6"/>
      <c r="M4784" s="6"/>
      <c r="N4784" s="6"/>
      <c r="O4784" s="6"/>
      <c r="P4784" s="6"/>
      <c r="Q4784" s="6"/>
      <c r="R4784" s="6"/>
      <c r="S4784" s="6"/>
      <c r="T4784" s="6"/>
    </row>
    <row r="4785" spans="4:20" x14ac:dyDescent="0.2">
      <c r="D4785" s="6"/>
      <c r="E4785" s="6"/>
      <c r="F4785" s="6"/>
      <c r="G4785" s="19"/>
      <c r="H4785" s="19"/>
      <c r="I4785" s="19"/>
      <c r="J4785" s="19"/>
      <c r="K4785" s="6"/>
      <c r="L4785" s="6"/>
      <c r="M4785" s="6"/>
      <c r="N4785" s="6"/>
      <c r="O4785" s="6"/>
      <c r="P4785" s="6"/>
      <c r="Q4785" s="6"/>
      <c r="R4785" s="6"/>
      <c r="S4785" s="6"/>
      <c r="T4785" s="6"/>
    </row>
    <row r="4786" spans="4:20" x14ac:dyDescent="0.2">
      <c r="D4786" s="6"/>
      <c r="E4786" s="6"/>
      <c r="F4786" s="6"/>
      <c r="G4786" s="19"/>
      <c r="H4786" s="19"/>
      <c r="I4786" s="19"/>
      <c r="J4786" s="19"/>
      <c r="K4786" s="6"/>
      <c r="L4786" s="6"/>
      <c r="M4786" s="6"/>
      <c r="N4786" s="6"/>
      <c r="O4786" s="6"/>
      <c r="P4786" s="6"/>
      <c r="Q4786" s="6"/>
      <c r="R4786" s="6"/>
      <c r="S4786" s="6"/>
      <c r="T4786" s="6"/>
    </row>
    <row r="4787" spans="4:20" x14ac:dyDescent="0.2">
      <c r="D4787" s="6"/>
      <c r="E4787" s="6"/>
      <c r="F4787" s="6"/>
      <c r="G4787" s="19"/>
      <c r="H4787" s="19"/>
      <c r="I4787" s="19"/>
      <c r="J4787" s="19"/>
      <c r="K4787" s="6"/>
      <c r="L4787" s="6"/>
      <c r="M4787" s="6"/>
      <c r="N4787" s="6"/>
      <c r="O4787" s="6"/>
      <c r="P4787" s="6"/>
      <c r="Q4787" s="6"/>
      <c r="R4787" s="6"/>
      <c r="S4787" s="6"/>
      <c r="T4787" s="6"/>
    </row>
    <row r="4788" spans="4:20" x14ac:dyDescent="0.2">
      <c r="D4788" s="6"/>
      <c r="E4788" s="6"/>
      <c r="F4788" s="6"/>
      <c r="G4788" s="19"/>
      <c r="H4788" s="19"/>
      <c r="I4788" s="19"/>
      <c r="J4788" s="19"/>
      <c r="K4788" s="6"/>
      <c r="L4788" s="6"/>
      <c r="M4788" s="6"/>
      <c r="N4788" s="6"/>
      <c r="O4788" s="6"/>
      <c r="P4788" s="6"/>
      <c r="Q4788" s="6"/>
      <c r="R4788" s="6"/>
      <c r="S4788" s="6"/>
      <c r="T4788" s="6"/>
    </row>
    <row r="4789" spans="4:20" x14ac:dyDescent="0.2">
      <c r="D4789" s="6"/>
      <c r="E4789" s="6"/>
      <c r="F4789" s="6"/>
      <c r="G4789" s="19"/>
      <c r="H4789" s="19"/>
      <c r="I4789" s="19"/>
      <c r="J4789" s="19"/>
      <c r="K4789" s="6"/>
      <c r="L4789" s="6"/>
      <c r="M4789" s="6"/>
      <c r="N4789" s="6"/>
      <c r="O4789" s="6"/>
      <c r="P4789" s="6"/>
      <c r="Q4789" s="6"/>
      <c r="R4789" s="6"/>
      <c r="S4789" s="6"/>
      <c r="T4789" s="6"/>
    </row>
    <row r="4790" spans="4:20" x14ac:dyDescent="0.2">
      <c r="D4790" s="6"/>
      <c r="E4790" s="6"/>
      <c r="F4790" s="6"/>
      <c r="G4790" s="19"/>
      <c r="H4790" s="19"/>
      <c r="I4790" s="19"/>
      <c r="J4790" s="19"/>
      <c r="K4790" s="6"/>
      <c r="L4790" s="6"/>
      <c r="M4790" s="6"/>
      <c r="N4790" s="6"/>
      <c r="O4790" s="6"/>
      <c r="P4790" s="6"/>
      <c r="Q4790" s="6"/>
      <c r="R4790" s="6"/>
      <c r="S4790" s="6"/>
      <c r="T4790" s="6"/>
    </row>
    <row r="4791" spans="4:20" x14ac:dyDescent="0.2">
      <c r="D4791" s="6"/>
      <c r="E4791" s="6"/>
      <c r="F4791" s="6"/>
      <c r="G4791" s="19"/>
      <c r="H4791" s="19"/>
      <c r="I4791" s="19"/>
      <c r="J4791" s="19"/>
      <c r="K4791" s="6"/>
      <c r="L4791" s="6"/>
      <c r="M4791" s="6"/>
      <c r="N4791" s="6"/>
      <c r="O4791" s="6"/>
      <c r="P4791" s="6"/>
      <c r="Q4791" s="6"/>
      <c r="R4791" s="6"/>
      <c r="S4791" s="6"/>
      <c r="T4791" s="6"/>
    </row>
    <row r="4792" spans="4:20" x14ac:dyDescent="0.2">
      <c r="D4792" s="6"/>
      <c r="E4792" s="6"/>
      <c r="F4792" s="6"/>
      <c r="G4792" s="19"/>
      <c r="H4792" s="19"/>
      <c r="I4792" s="19"/>
      <c r="J4792" s="19"/>
      <c r="K4792" s="6"/>
      <c r="L4792" s="6"/>
      <c r="M4792" s="6"/>
      <c r="N4792" s="6"/>
      <c r="O4792" s="6"/>
      <c r="P4792" s="6"/>
      <c r="Q4792" s="6"/>
      <c r="R4792" s="6"/>
      <c r="S4792" s="6"/>
      <c r="T4792" s="6"/>
    </row>
    <row r="4793" spans="4:20" x14ac:dyDescent="0.2">
      <c r="D4793" s="6"/>
      <c r="E4793" s="6"/>
      <c r="F4793" s="6"/>
      <c r="G4793" s="19"/>
      <c r="H4793" s="19"/>
      <c r="I4793" s="19"/>
      <c r="J4793" s="19"/>
      <c r="K4793" s="6"/>
      <c r="L4793" s="6"/>
      <c r="M4793" s="6"/>
      <c r="N4793" s="6"/>
      <c r="O4793" s="6"/>
      <c r="P4793" s="6"/>
      <c r="Q4793" s="6"/>
      <c r="R4793" s="6"/>
      <c r="S4793" s="6"/>
      <c r="T4793" s="6"/>
    </row>
    <row r="4794" spans="4:20" x14ac:dyDescent="0.2">
      <c r="D4794" s="6"/>
      <c r="E4794" s="6"/>
      <c r="F4794" s="6"/>
      <c r="G4794" s="19"/>
      <c r="H4794" s="19"/>
      <c r="I4794" s="19"/>
      <c r="J4794" s="19"/>
      <c r="K4794" s="6"/>
      <c r="L4794" s="6"/>
      <c r="M4794" s="6"/>
      <c r="N4794" s="6"/>
      <c r="O4794" s="6"/>
      <c r="P4794" s="6"/>
      <c r="Q4794" s="6"/>
      <c r="R4794" s="6"/>
      <c r="S4794" s="6"/>
      <c r="T4794" s="6"/>
    </row>
    <row r="4795" spans="4:20" x14ac:dyDescent="0.2">
      <c r="D4795" s="6"/>
      <c r="E4795" s="6"/>
      <c r="F4795" s="6"/>
      <c r="G4795" s="19"/>
      <c r="H4795" s="19"/>
      <c r="I4795" s="19"/>
      <c r="J4795" s="19"/>
      <c r="K4795" s="6"/>
      <c r="L4795" s="6"/>
      <c r="M4795" s="6"/>
      <c r="N4795" s="6"/>
      <c r="O4795" s="6"/>
      <c r="P4795" s="6"/>
      <c r="Q4795" s="6"/>
      <c r="R4795" s="6"/>
      <c r="S4795" s="6"/>
      <c r="T4795" s="6"/>
    </row>
    <row r="4796" spans="4:20" x14ac:dyDescent="0.2">
      <c r="D4796" s="6"/>
      <c r="E4796" s="6"/>
      <c r="F4796" s="6"/>
      <c r="G4796" s="19"/>
      <c r="H4796" s="19"/>
      <c r="I4796" s="19"/>
      <c r="J4796" s="19"/>
      <c r="K4796" s="6"/>
      <c r="L4796" s="6"/>
      <c r="M4796" s="6"/>
      <c r="N4796" s="6"/>
      <c r="O4796" s="6"/>
      <c r="P4796" s="6"/>
      <c r="Q4796" s="6"/>
      <c r="R4796" s="6"/>
      <c r="S4796" s="6"/>
      <c r="T4796" s="6"/>
    </row>
    <row r="4797" spans="4:20" x14ac:dyDescent="0.2">
      <c r="D4797" s="6"/>
      <c r="E4797" s="6"/>
      <c r="F4797" s="6"/>
      <c r="G4797" s="19"/>
      <c r="H4797" s="19"/>
      <c r="I4797" s="19"/>
      <c r="J4797" s="19"/>
      <c r="K4797" s="6"/>
      <c r="L4797" s="6"/>
      <c r="M4797" s="6"/>
      <c r="N4797" s="6"/>
      <c r="O4797" s="6"/>
      <c r="P4797" s="6"/>
      <c r="Q4797" s="6"/>
      <c r="R4797" s="6"/>
      <c r="S4797" s="6"/>
      <c r="T4797" s="6"/>
    </row>
    <row r="4798" spans="4:20" x14ac:dyDescent="0.2">
      <c r="D4798" s="6"/>
      <c r="E4798" s="6"/>
      <c r="F4798" s="6"/>
      <c r="G4798" s="19"/>
      <c r="H4798" s="19"/>
      <c r="I4798" s="19"/>
      <c r="J4798" s="19"/>
      <c r="K4798" s="6"/>
      <c r="L4798" s="6"/>
      <c r="M4798" s="6"/>
      <c r="N4798" s="6"/>
      <c r="O4798" s="6"/>
      <c r="P4798" s="6"/>
      <c r="Q4798" s="6"/>
      <c r="R4798" s="6"/>
      <c r="S4798" s="6"/>
      <c r="T4798" s="6"/>
    </row>
    <row r="4799" spans="4:20" x14ac:dyDescent="0.2">
      <c r="D4799" s="6"/>
      <c r="E4799" s="6"/>
      <c r="F4799" s="6"/>
      <c r="G4799" s="19"/>
      <c r="H4799" s="19"/>
      <c r="I4799" s="19"/>
      <c r="J4799" s="19"/>
      <c r="K4799" s="6"/>
      <c r="L4799" s="6"/>
      <c r="M4799" s="6"/>
      <c r="N4799" s="6"/>
      <c r="O4799" s="6"/>
      <c r="P4799" s="6"/>
      <c r="Q4799" s="6"/>
      <c r="R4799" s="6"/>
      <c r="S4799" s="6"/>
      <c r="T4799" s="6"/>
    </row>
    <row r="4800" spans="4:20" x14ac:dyDescent="0.2">
      <c r="D4800" s="6"/>
      <c r="E4800" s="6"/>
      <c r="F4800" s="6"/>
      <c r="G4800" s="19"/>
      <c r="H4800" s="19"/>
      <c r="I4800" s="19"/>
      <c r="J4800" s="19"/>
      <c r="K4800" s="6"/>
      <c r="L4800" s="6"/>
      <c r="M4800" s="6"/>
      <c r="N4800" s="6"/>
      <c r="O4800" s="6"/>
      <c r="P4800" s="6"/>
      <c r="Q4800" s="6"/>
      <c r="R4800" s="6"/>
      <c r="S4800" s="6"/>
      <c r="T4800" s="6"/>
    </row>
    <row r="4801" spans="4:20" x14ac:dyDescent="0.2">
      <c r="D4801" s="6"/>
      <c r="E4801" s="6"/>
      <c r="F4801" s="6"/>
      <c r="G4801" s="19"/>
      <c r="H4801" s="19"/>
      <c r="I4801" s="19"/>
      <c r="J4801" s="19"/>
      <c r="K4801" s="6"/>
      <c r="L4801" s="6"/>
      <c r="M4801" s="6"/>
      <c r="N4801" s="6"/>
      <c r="O4801" s="6"/>
      <c r="P4801" s="6"/>
      <c r="Q4801" s="6"/>
      <c r="R4801" s="6"/>
      <c r="S4801" s="6"/>
      <c r="T4801" s="6"/>
    </row>
    <row r="4802" spans="4:20" x14ac:dyDescent="0.2">
      <c r="D4802" s="6"/>
      <c r="E4802" s="6"/>
      <c r="F4802" s="6"/>
      <c r="G4802" s="19"/>
      <c r="H4802" s="19"/>
      <c r="I4802" s="19"/>
      <c r="J4802" s="19"/>
      <c r="K4802" s="6"/>
      <c r="L4802" s="6"/>
      <c r="M4802" s="6"/>
      <c r="N4802" s="6"/>
      <c r="O4802" s="6"/>
      <c r="P4802" s="6"/>
      <c r="Q4802" s="6"/>
      <c r="R4802" s="6"/>
      <c r="S4802" s="6"/>
      <c r="T4802" s="6"/>
    </row>
    <row r="4803" spans="4:20" x14ac:dyDescent="0.2">
      <c r="D4803" s="6"/>
      <c r="E4803" s="6"/>
      <c r="F4803" s="6"/>
      <c r="G4803" s="19"/>
      <c r="H4803" s="19"/>
      <c r="I4803" s="19"/>
      <c r="J4803" s="19"/>
      <c r="K4803" s="6"/>
      <c r="L4803" s="6"/>
      <c r="M4803" s="6"/>
      <c r="N4803" s="6"/>
      <c r="O4803" s="6"/>
      <c r="P4803" s="6"/>
      <c r="Q4803" s="6"/>
      <c r="R4803" s="6"/>
      <c r="S4803" s="6"/>
      <c r="T4803" s="6"/>
    </row>
    <row r="4804" spans="4:20" x14ac:dyDescent="0.2">
      <c r="D4804" s="6"/>
      <c r="E4804" s="6"/>
      <c r="F4804" s="6"/>
      <c r="G4804" s="19"/>
      <c r="H4804" s="19"/>
      <c r="I4804" s="19"/>
      <c r="J4804" s="19"/>
      <c r="K4804" s="6"/>
      <c r="L4804" s="6"/>
      <c r="M4804" s="6"/>
      <c r="N4804" s="6"/>
      <c r="O4804" s="6"/>
      <c r="P4804" s="6"/>
      <c r="Q4804" s="6"/>
      <c r="R4804" s="6"/>
      <c r="S4804" s="6"/>
      <c r="T4804" s="6"/>
    </row>
    <row r="4805" spans="4:20" x14ac:dyDescent="0.2">
      <c r="D4805" s="6"/>
      <c r="E4805" s="6"/>
      <c r="F4805" s="6"/>
      <c r="G4805" s="19"/>
      <c r="H4805" s="19"/>
      <c r="I4805" s="19"/>
      <c r="J4805" s="19"/>
      <c r="K4805" s="6"/>
      <c r="L4805" s="6"/>
      <c r="M4805" s="6"/>
      <c r="N4805" s="6"/>
      <c r="O4805" s="6"/>
      <c r="P4805" s="6"/>
      <c r="Q4805" s="6"/>
      <c r="R4805" s="6"/>
      <c r="S4805" s="6"/>
      <c r="T4805" s="6"/>
    </row>
    <row r="4806" spans="4:20" x14ac:dyDescent="0.2">
      <c r="D4806" s="6"/>
      <c r="E4806" s="6"/>
      <c r="F4806" s="6"/>
      <c r="G4806" s="19"/>
      <c r="H4806" s="19"/>
      <c r="I4806" s="19"/>
      <c r="J4806" s="19"/>
      <c r="K4806" s="6"/>
      <c r="L4806" s="6"/>
      <c r="M4806" s="6"/>
      <c r="N4806" s="6"/>
      <c r="O4806" s="6"/>
      <c r="P4806" s="6"/>
      <c r="Q4806" s="6"/>
      <c r="R4806" s="6"/>
      <c r="S4806" s="6"/>
      <c r="T4806" s="6"/>
    </row>
    <row r="4807" spans="4:20" x14ac:dyDescent="0.2">
      <c r="D4807" s="6"/>
      <c r="E4807" s="6"/>
      <c r="F4807" s="6"/>
      <c r="G4807" s="19"/>
      <c r="H4807" s="19"/>
      <c r="I4807" s="19"/>
      <c r="J4807" s="19"/>
      <c r="K4807" s="6"/>
      <c r="L4807" s="6"/>
      <c r="M4807" s="6"/>
      <c r="N4807" s="6"/>
      <c r="O4807" s="6"/>
      <c r="P4807" s="6"/>
      <c r="Q4807" s="6"/>
      <c r="R4807" s="6"/>
      <c r="S4807" s="6"/>
      <c r="T4807" s="6"/>
    </row>
    <row r="4808" spans="4:20" x14ac:dyDescent="0.2">
      <c r="D4808" s="6"/>
      <c r="E4808" s="6"/>
      <c r="F4808" s="6"/>
      <c r="G4808" s="19"/>
      <c r="H4808" s="19"/>
      <c r="I4808" s="19"/>
      <c r="J4808" s="19"/>
      <c r="K4808" s="6"/>
      <c r="L4808" s="6"/>
      <c r="M4808" s="6"/>
      <c r="N4808" s="6"/>
      <c r="O4808" s="6"/>
      <c r="P4808" s="6"/>
      <c r="Q4808" s="6"/>
      <c r="R4808" s="6"/>
      <c r="S4808" s="6"/>
      <c r="T4808" s="6"/>
    </row>
    <row r="4809" spans="4:20" x14ac:dyDescent="0.2">
      <c r="D4809" s="6"/>
      <c r="E4809" s="6"/>
      <c r="F4809" s="6"/>
      <c r="G4809" s="19"/>
      <c r="H4809" s="19"/>
      <c r="I4809" s="19"/>
      <c r="J4809" s="19"/>
      <c r="K4809" s="6"/>
      <c r="L4809" s="6"/>
      <c r="M4809" s="6"/>
      <c r="N4809" s="6"/>
      <c r="O4809" s="6"/>
      <c r="P4809" s="6"/>
      <c r="Q4809" s="6"/>
      <c r="R4809" s="6"/>
      <c r="S4809" s="6"/>
      <c r="T4809" s="6"/>
    </row>
    <row r="4810" spans="4:20" x14ac:dyDescent="0.2">
      <c r="D4810" s="6"/>
      <c r="E4810" s="6"/>
      <c r="F4810" s="6"/>
      <c r="G4810" s="19"/>
      <c r="H4810" s="19"/>
      <c r="I4810" s="19"/>
      <c r="J4810" s="19"/>
      <c r="K4810" s="6"/>
      <c r="L4810" s="6"/>
      <c r="M4810" s="6"/>
      <c r="N4810" s="6"/>
      <c r="O4810" s="6"/>
      <c r="P4810" s="6"/>
      <c r="Q4810" s="6"/>
      <c r="R4810" s="6"/>
      <c r="S4810" s="6"/>
      <c r="T4810" s="6"/>
    </row>
    <row r="4811" spans="4:20" x14ac:dyDescent="0.2">
      <c r="D4811" s="6"/>
      <c r="E4811" s="6"/>
      <c r="F4811" s="6"/>
      <c r="G4811" s="19"/>
      <c r="H4811" s="19"/>
      <c r="I4811" s="19"/>
      <c r="J4811" s="19"/>
      <c r="K4811" s="6"/>
      <c r="L4811" s="6"/>
      <c r="M4811" s="6"/>
      <c r="N4811" s="6"/>
      <c r="O4811" s="6"/>
      <c r="P4811" s="6"/>
      <c r="Q4811" s="6"/>
      <c r="R4811" s="6"/>
      <c r="S4811" s="6"/>
      <c r="T4811" s="6"/>
    </row>
    <row r="4812" spans="4:20" x14ac:dyDescent="0.2">
      <c r="D4812" s="6"/>
      <c r="E4812" s="6"/>
      <c r="F4812" s="6"/>
      <c r="G4812" s="19"/>
      <c r="H4812" s="19"/>
      <c r="I4812" s="19"/>
      <c r="J4812" s="19"/>
      <c r="K4812" s="6"/>
      <c r="L4812" s="6"/>
      <c r="M4812" s="6"/>
      <c r="N4812" s="6"/>
      <c r="O4812" s="6"/>
      <c r="P4812" s="6"/>
      <c r="Q4812" s="6"/>
      <c r="R4812" s="6"/>
      <c r="S4812" s="6"/>
      <c r="T4812" s="6"/>
    </row>
    <row r="4813" spans="4:20" x14ac:dyDescent="0.2">
      <c r="D4813" s="6"/>
      <c r="E4813" s="6"/>
      <c r="F4813" s="6"/>
      <c r="G4813" s="19"/>
      <c r="H4813" s="19"/>
      <c r="I4813" s="19"/>
      <c r="J4813" s="19"/>
      <c r="K4813" s="6"/>
      <c r="L4813" s="6"/>
      <c r="M4813" s="6"/>
      <c r="N4813" s="6"/>
      <c r="O4813" s="6"/>
      <c r="P4813" s="6"/>
      <c r="Q4813" s="6"/>
      <c r="R4813" s="6"/>
      <c r="S4813" s="6"/>
      <c r="T4813" s="6"/>
    </row>
    <row r="4814" spans="4:20" x14ac:dyDescent="0.2">
      <c r="D4814" s="6"/>
      <c r="E4814" s="6"/>
      <c r="F4814" s="6"/>
      <c r="G4814" s="19"/>
      <c r="H4814" s="19"/>
      <c r="I4814" s="19"/>
      <c r="J4814" s="19"/>
      <c r="K4814" s="6"/>
      <c r="L4814" s="6"/>
      <c r="M4814" s="6"/>
      <c r="N4814" s="6"/>
      <c r="O4814" s="6"/>
      <c r="P4814" s="6"/>
      <c r="Q4814" s="6"/>
      <c r="R4814" s="6"/>
      <c r="S4814" s="6"/>
      <c r="T4814" s="6"/>
    </row>
    <row r="4815" spans="4:20" x14ac:dyDescent="0.2">
      <c r="D4815" s="6"/>
      <c r="E4815" s="6"/>
      <c r="F4815" s="6"/>
      <c r="G4815" s="19"/>
      <c r="H4815" s="19"/>
      <c r="I4815" s="19"/>
      <c r="J4815" s="19"/>
      <c r="K4815" s="6"/>
      <c r="L4815" s="6"/>
      <c r="M4815" s="6"/>
      <c r="N4815" s="6"/>
      <c r="O4815" s="6"/>
      <c r="P4815" s="6"/>
      <c r="Q4815" s="6"/>
      <c r="R4815" s="6"/>
      <c r="S4815" s="6"/>
      <c r="T4815" s="6"/>
    </row>
    <row r="4816" spans="4:20" x14ac:dyDescent="0.2">
      <c r="D4816" s="6"/>
      <c r="E4816" s="6"/>
      <c r="F4816" s="6"/>
      <c r="G4816" s="19"/>
      <c r="H4816" s="19"/>
      <c r="I4816" s="19"/>
      <c r="J4816" s="19"/>
      <c r="K4816" s="6"/>
      <c r="L4816" s="6"/>
      <c r="M4816" s="6"/>
      <c r="N4816" s="6"/>
      <c r="O4816" s="6"/>
      <c r="P4816" s="6"/>
      <c r="Q4816" s="6"/>
      <c r="R4816" s="6"/>
      <c r="S4816" s="6"/>
      <c r="T4816" s="6"/>
    </row>
    <row r="4817" spans="4:20" x14ac:dyDescent="0.2">
      <c r="D4817" s="6"/>
      <c r="E4817" s="6"/>
      <c r="F4817" s="6"/>
      <c r="G4817" s="19"/>
      <c r="H4817" s="19"/>
      <c r="I4817" s="19"/>
      <c r="J4817" s="19"/>
      <c r="K4817" s="6"/>
      <c r="L4817" s="6"/>
      <c r="M4817" s="6"/>
      <c r="N4817" s="6"/>
      <c r="O4817" s="6"/>
      <c r="P4817" s="6"/>
      <c r="Q4817" s="6"/>
      <c r="R4817" s="6"/>
      <c r="S4817" s="6"/>
      <c r="T4817" s="6"/>
    </row>
    <row r="4818" spans="4:20" x14ac:dyDescent="0.2">
      <c r="D4818" s="6"/>
      <c r="E4818" s="6"/>
      <c r="F4818" s="6"/>
      <c r="G4818" s="19"/>
      <c r="H4818" s="19"/>
      <c r="I4818" s="19"/>
      <c r="J4818" s="19"/>
      <c r="K4818" s="6"/>
      <c r="L4818" s="6"/>
      <c r="M4818" s="6"/>
      <c r="N4818" s="6"/>
      <c r="O4818" s="6"/>
      <c r="P4818" s="6"/>
      <c r="Q4818" s="6"/>
      <c r="R4818" s="6"/>
      <c r="S4818" s="6"/>
      <c r="T4818" s="6"/>
    </row>
    <row r="4819" spans="4:20" x14ac:dyDescent="0.2">
      <c r="D4819" s="6"/>
      <c r="E4819" s="6"/>
      <c r="F4819" s="6"/>
      <c r="G4819" s="19"/>
      <c r="H4819" s="19"/>
      <c r="I4819" s="19"/>
      <c r="J4819" s="19"/>
      <c r="K4819" s="6"/>
      <c r="L4819" s="6"/>
      <c r="M4819" s="6"/>
      <c r="N4819" s="6"/>
      <c r="O4819" s="6"/>
      <c r="P4819" s="6"/>
      <c r="Q4819" s="6"/>
      <c r="R4819" s="6"/>
      <c r="S4819" s="6"/>
      <c r="T4819" s="6"/>
    </row>
    <row r="4820" spans="4:20" x14ac:dyDescent="0.2">
      <c r="D4820" s="6"/>
      <c r="E4820" s="6"/>
      <c r="F4820" s="6"/>
      <c r="G4820" s="19"/>
      <c r="H4820" s="19"/>
      <c r="I4820" s="19"/>
      <c r="J4820" s="19"/>
      <c r="K4820" s="6"/>
      <c r="L4820" s="6"/>
      <c r="M4820" s="6"/>
      <c r="N4820" s="6"/>
      <c r="O4820" s="6"/>
      <c r="P4820" s="6"/>
      <c r="Q4820" s="6"/>
      <c r="R4820" s="6"/>
      <c r="S4820" s="6"/>
      <c r="T4820" s="6"/>
    </row>
    <row r="4821" spans="4:20" x14ac:dyDescent="0.2">
      <c r="D4821" s="6"/>
      <c r="E4821" s="6"/>
      <c r="F4821" s="6"/>
      <c r="G4821" s="19"/>
      <c r="H4821" s="19"/>
      <c r="I4821" s="19"/>
      <c r="J4821" s="19"/>
      <c r="K4821" s="6"/>
      <c r="L4821" s="6"/>
      <c r="M4821" s="6"/>
      <c r="N4821" s="6"/>
      <c r="O4821" s="6"/>
      <c r="P4821" s="6"/>
      <c r="Q4821" s="6"/>
      <c r="R4821" s="6"/>
      <c r="S4821" s="6"/>
      <c r="T4821" s="6"/>
    </row>
    <row r="4822" spans="4:20" x14ac:dyDescent="0.2">
      <c r="D4822" s="6"/>
      <c r="E4822" s="6"/>
      <c r="F4822" s="6"/>
      <c r="G4822" s="19"/>
      <c r="H4822" s="19"/>
      <c r="I4822" s="19"/>
      <c r="J4822" s="19"/>
      <c r="K4822" s="6"/>
      <c r="L4822" s="6"/>
      <c r="M4822" s="6"/>
      <c r="N4822" s="6"/>
      <c r="O4822" s="6"/>
      <c r="P4822" s="6"/>
      <c r="Q4822" s="6"/>
      <c r="R4822" s="6"/>
      <c r="S4822" s="6"/>
      <c r="T4822" s="6"/>
    </row>
    <row r="4823" spans="4:20" x14ac:dyDescent="0.2">
      <c r="D4823" s="6"/>
      <c r="E4823" s="6"/>
      <c r="F4823" s="6"/>
      <c r="G4823" s="19"/>
      <c r="H4823" s="19"/>
      <c r="I4823" s="19"/>
      <c r="J4823" s="19"/>
      <c r="K4823" s="6"/>
      <c r="L4823" s="6"/>
      <c r="M4823" s="6"/>
      <c r="N4823" s="6"/>
      <c r="O4823" s="6"/>
      <c r="P4823" s="6"/>
      <c r="Q4823" s="6"/>
      <c r="R4823" s="6"/>
      <c r="S4823" s="6"/>
      <c r="T4823" s="6"/>
    </row>
    <row r="4824" spans="4:20" x14ac:dyDescent="0.2">
      <c r="D4824" s="6"/>
      <c r="E4824" s="6"/>
      <c r="F4824" s="6"/>
      <c r="G4824" s="19"/>
      <c r="H4824" s="19"/>
      <c r="I4824" s="19"/>
      <c r="J4824" s="19"/>
      <c r="K4824" s="6"/>
      <c r="L4824" s="6"/>
      <c r="M4824" s="6"/>
      <c r="N4824" s="6"/>
      <c r="O4824" s="6"/>
      <c r="P4824" s="6"/>
      <c r="Q4824" s="6"/>
      <c r="R4824" s="6"/>
      <c r="S4824" s="6"/>
      <c r="T4824" s="6"/>
    </row>
    <row r="4825" spans="4:20" x14ac:dyDescent="0.2">
      <c r="D4825" s="6"/>
      <c r="E4825" s="6"/>
      <c r="F4825" s="6"/>
      <c r="G4825" s="19"/>
      <c r="H4825" s="19"/>
      <c r="I4825" s="19"/>
      <c r="J4825" s="19"/>
      <c r="K4825" s="6"/>
      <c r="L4825" s="6"/>
      <c r="M4825" s="6"/>
      <c r="N4825" s="6"/>
      <c r="O4825" s="6"/>
      <c r="P4825" s="6"/>
      <c r="Q4825" s="6"/>
      <c r="R4825" s="6"/>
      <c r="S4825" s="6"/>
      <c r="T4825" s="6"/>
    </row>
    <row r="4826" spans="4:20" x14ac:dyDescent="0.2">
      <c r="D4826" s="6"/>
      <c r="E4826" s="6"/>
      <c r="F4826" s="6"/>
      <c r="G4826" s="19"/>
      <c r="H4826" s="19"/>
      <c r="I4826" s="19"/>
      <c r="J4826" s="19"/>
      <c r="K4826" s="6"/>
      <c r="L4826" s="6"/>
      <c r="M4826" s="6"/>
      <c r="N4826" s="6"/>
      <c r="O4826" s="6"/>
      <c r="P4826" s="6"/>
      <c r="Q4826" s="6"/>
      <c r="R4826" s="6"/>
      <c r="S4826" s="6"/>
      <c r="T4826" s="6"/>
    </row>
    <row r="4827" spans="4:20" x14ac:dyDescent="0.2">
      <c r="D4827" s="6"/>
      <c r="E4827" s="6"/>
      <c r="F4827" s="6"/>
      <c r="G4827" s="19"/>
      <c r="H4827" s="19"/>
      <c r="I4827" s="19"/>
      <c r="J4827" s="19"/>
      <c r="K4827" s="6"/>
      <c r="L4827" s="6"/>
      <c r="M4827" s="6"/>
      <c r="N4827" s="6"/>
      <c r="O4827" s="6"/>
      <c r="P4827" s="6"/>
      <c r="Q4827" s="6"/>
      <c r="R4827" s="6"/>
      <c r="S4827" s="6"/>
      <c r="T4827" s="6"/>
    </row>
    <row r="4828" spans="4:20" x14ac:dyDescent="0.2">
      <c r="D4828" s="6"/>
      <c r="E4828" s="6"/>
      <c r="F4828" s="6"/>
      <c r="G4828" s="19"/>
      <c r="H4828" s="19"/>
      <c r="I4828" s="19"/>
      <c r="J4828" s="19"/>
      <c r="K4828" s="6"/>
      <c r="L4828" s="6"/>
      <c r="M4828" s="6"/>
      <c r="N4828" s="6"/>
      <c r="O4828" s="6"/>
      <c r="P4828" s="6"/>
      <c r="Q4828" s="6"/>
      <c r="R4828" s="6"/>
      <c r="S4828" s="6"/>
      <c r="T4828" s="6"/>
    </row>
    <row r="4829" spans="4:20" x14ac:dyDescent="0.2">
      <c r="D4829" s="6"/>
      <c r="E4829" s="6"/>
      <c r="F4829" s="6"/>
      <c r="G4829" s="19"/>
      <c r="H4829" s="19"/>
      <c r="I4829" s="19"/>
      <c r="J4829" s="19"/>
      <c r="K4829" s="6"/>
      <c r="L4829" s="6"/>
      <c r="M4829" s="6"/>
      <c r="N4829" s="6"/>
      <c r="O4829" s="6"/>
      <c r="P4829" s="6"/>
      <c r="Q4829" s="6"/>
      <c r="R4829" s="6"/>
      <c r="S4829" s="6"/>
      <c r="T4829" s="6"/>
    </row>
    <row r="4830" spans="4:20" x14ac:dyDescent="0.2">
      <c r="D4830" s="6"/>
      <c r="E4830" s="6"/>
      <c r="F4830" s="6"/>
      <c r="G4830" s="19"/>
      <c r="H4830" s="19"/>
      <c r="I4830" s="19"/>
      <c r="J4830" s="19"/>
      <c r="K4830" s="6"/>
      <c r="L4830" s="6"/>
      <c r="M4830" s="6"/>
      <c r="N4830" s="6"/>
      <c r="O4830" s="6"/>
      <c r="P4830" s="6"/>
      <c r="Q4830" s="6"/>
      <c r="R4830" s="6"/>
      <c r="S4830" s="6"/>
      <c r="T4830" s="6"/>
    </row>
    <row r="4831" spans="4:20" x14ac:dyDescent="0.2">
      <c r="D4831" s="6"/>
      <c r="E4831" s="6"/>
      <c r="F4831" s="6"/>
      <c r="G4831" s="19"/>
      <c r="H4831" s="19"/>
      <c r="I4831" s="19"/>
      <c r="J4831" s="19"/>
      <c r="K4831" s="6"/>
      <c r="L4831" s="6"/>
      <c r="M4831" s="6"/>
      <c r="N4831" s="6"/>
      <c r="O4831" s="6"/>
      <c r="P4831" s="6"/>
      <c r="Q4831" s="6"/>
      <c r="R4831" s="6"/>
      <c r="S4831" s="6"/>
      <c r="T4831" s="6"/>
    </row>
    <row r="4832" spans="4:20" x14ac:dyDescent="0.2">
      <c r="D4832" s="6"/>
      <c r="E4832" s="6"/>
      <c r="F4832" s="6"/>
      <c r="G4832" s="19"/>
      <c r="H4832" s="19"/>
      <c r="I4832" s="19"/>
      <c r="J4832" s="19"/>
      <c r="K4832" s="6"/>
      <c r="L4832" s="6"/>
      <c r="M4832" s="6"/>
      <c r="N4832" s="6"/>
      <c r="O4832" s="6"/>
      <c r="P4832" s="6"/>
      <c r="Q4832" s="6"/>
      <c r="R4832" s="6"/>
      <c r="S4832" s="6"/>
      <c r="T4832" s="6"/>
    </row>
    <row r="4833" spans="4:20" x14ac:dyDescent="0.2">
      <c r="D4833" s="6"/>
      <c r="E4833" s="6"/>
      <c r="F4833" s="6"/>
      <c r="G4833" s="19"/>
      <c r="H4833" s="19"/>
      <c r="I4833" s="19"/>
      <c r="J4833" s="19"/>
      <c r="K4833" s="6"/>
      <c r="L4833" s="6"/>
      <c r="M4833" s="6"/>
      <c r="N4833" s="6"/>
      <c r="O4833" s="6"/>
      <c r="P4833" s="6"/>
      <c r="Q4833" s="6"/>
      <c r="R4833" s="6"/>
      <c r="S4833" s="6"/>
      <c r="T4833" s="6"/>
    </row>
    <row r="4834" spans="4:20" x14ac:dyDescent="0.2">
      <c r="D4834" s="6"/>
      <c r="E4834" s="6"/>
      <c r="F4834" s="6"/>
      <c r="G4834" s="19"/>
      <c r="H4834" s="19"/>
      <c r="I4834" s="19"/>
      <c r="J4834" s="19"/>
      <c r="K4834" s="6"/>
      <c r="L4834" s="6"/>
      <c r="M4834" s="6"/>
      <c r="N4834" s="6"/>
      <c r="O4834" s="6"/>
      <c r="P4834" s="6"/>
      <c r="Q4834" s="6"/>
      <c r="R4834" s="6"/>
      <c r="S4834" s="6"/>
      <c r="T4834" s="6"/>
    </row>
    <row r="4835" spans="4:20" x14ac:dyDescent="0.2">
      <c r="D4835" s="6"/>
      <c r="E4835" s="6"/>
      <c r="F4835" s="6"/>
      <c r="G4835" s="19"/>
      <c r="H4835" s="19"/>
      <c r="I4835" s="19"/>
      <c r="J4835" s="19"/>
      <c r="K4835" s="6"/>
      <c r="L4835" s="6"/>
      <c r="M4835" s="6"/>
      <c r="N4835" s="6"/>
      <c r="O4835" s="6"/>
      <c r="P4835" s="6"/>
      <c r="Q4835" s="6"/>
      <c r="R4835" s="6"/>
      <c r="S4835" s="6"/>
      <c r="T4835" s="6"/>
    </row>
    <row r="4836" spans="4:20" x14ac:dyDescent="0.2">
      <c r="D4836" s="6"/>
      <c r="E4836" s="6"/>
      <c r="F4836" s="6"/>
      <c r="G4836" s="19"/>
      <c r="H4836" s="19"/>
      <c r="I4836" s="19"/>
      <c r="J4836" s="19"/>
      <c r="K4836" s="6"/>
      <c r="L4836" s="6"/>
      <c r="M4836" s="6"/>
      <c r="N4836" s="6"/>
      <c r="O4836" s="6"/>
      <c r="P4836" s="6"/>
      <c r="Q4836" s="6"/>
      <c r="R4836" s="6"/>
      <c r="S4836" s="6"/>
      <c r="T4836" s="6"/>
    </row>
    <row r="4837" spans="4:20" x14ac:dyDescent="0.2">
      <c r="D4837" s="6"/>
      <c r="E4837" s="6"/>
      <c r="F4837" s="6"/>
      <c r="G4837" s="19"/>
      <c r="H4837" s="19"/>
      <c r="I4837" s="19"/>
      <c r="J4837" s="19"/>
      <c r="K4837" s="6"/>
      <c r="L4837" s="6"/>
      <c r="M4837" s="6"/>
      <c r="N4837" s="6"/>
      <c r="O4837" s="6"/>
      <c r="P4837" s="6"/>
      <c r="Q4837" s="6"/>
      <c r="R4837" s="6"/>
      <c r="S4837" s="6"/>
      <c r="T4837" s="6"/>
    </row>
    <row r="4838" spans="4:20" x14ac:dyDescent="0.2">
      <c r="D4838" s="6"/>
      <c r="E4838" s="6"/>
      <c r="F4838" s="6"/>
      <c r="G4838" s="19"/>
      <c r="H4838" s="19"/>
      <c r="I4838" s="19"/>
      <c r="J4838" s="19"/>
      <c r="K4838" s="6"/>
      <c r="L4838" s="6"/>
      <c r="M4838" s="6"/>
      <c r="N4838" s="6"/>
      <c r="O4838" s="6"/>
      <c r="P4838" s="6"/>
      <c r="Q4838" s="6"/>
      <c r="R4838" s="6"/>
      <c r="S4838" s="6"/>
      <c r="T4838" s="6"/>
    </row>
    <row r="4839" spans="4:20" x14ac:dyDescent="0.2">
      <c r="D4839" s="6"/>
      <c r="E4839" s="6"/>
      <c r="F4839" s="6"/>
      <c r="G4839" s="19"/>
      <c r="H4839" s="19"/>
      <c r="I4839" s="19"/>
      <c r="J4839" s="19"/>
      <c r="K4839" s="6"/>
      <c r="L4839" s="6"/>
      <c r="M4839" s="6"/>
      <c r="N4839" s="6"/>
      <c r="O4839" s="6"/>
      <c r="P4839" s="6"/>
      <c r="Q4839" s="6"/>
      <c r="R4839" s="6"/>
      <c r="S4839" s="6"/>
      <c r="T4839" s="6"/>
    </row>
    <row r="4840" spans="4:20" x14ac:dyDescent="0.2">
      <c r="D4840" s="6"/>
      <c r="E4840" s="6"/>
      <c r="F4840" s="6"/>
      <c r="G4840" s="19"/>
      <c r="H4840" s="19"/>
      <c r="I4840" s="19"/>
      <c r="J4840" s="19"/>
      <c r="K4840" s="6"/>
      <c r="L4840" s="6"/>
      <c r="M4840" s="6"/>
      <c r="N4840" s="6"/>
      <c r="O4840" s="6"/>
      <c r="P4840" s="6"/>
      <c r="Q4840" s="6"/>
      <c r="R4840" s="6"/>
      <c r="S4840" s="6"/>
      <c r="T4840" s="6"/>
    </row>
    <row r="4841" spans="4:20" x14ac:dyDescent="0.2">
      <c r="D4841" s="6"/>
      <c r="E4841" s="6"/>
      <c r="F4841" s="6"/>
      <c r="G4841" s="19"/>
      <c r="H4841" s="19"/>
      <c r="I4841" s="19"/>
      <c r="J4841" s="19"/>
      <c r="K4841" s="6"/>
      <c r="L4841" s="6"/>
      <c r="M4841" s="6"/>
      <c r="N4841" s="6"/>
      <c r="O4841" s="6"/>
      <c r="P4841" s="6"/>
      <c r="Q4841" s="6"/>
      <c r="R4841" s="6"/>
      <c r="S4841" s="6"/>
      <c r="T4841" s="6"/>
    </row>
    <row r="4842" spans="4:20" x14ac:dyDescent="0.2">
      <c r="D4842" s="6"/>
      <c r="E4842" s="6"/>
      <c r="F4842" s="6"/>
      <c r="G4842" s="19"/>
      <c r="H4842" s="19"/>
      <c r="I4842" s="19"/>
      <c r="J4842" s="19"/>
      <c r="K4842" s="6"/>
      <c r="L4842" s="6"/>
      <c r="M4842" s="6"/>
      <c r="N4842" s="6"/>
      <c r="O4842" s="6"/>
      <c r="P4842" s="6"/>
      <c r="Q4842" s="6"/>
      <c r="R4842" s="6"/>
      <c r="S4842" s="6"/>
      <c r="T4842" s="6"/>
    </row>
    <row r="4843" spans="4:20" x14ac:dyDescent="0.2">
      <c r="D4843" s="6"/>
      <c r="E4843" s="6"/>
      <c r="F4843" s="6"/>
      <c r="G4843" s="19"/>
      <c r="H4843" s="19"/>
      <c r="I4843" s="19"/>
      <c r="J4843" s="19"/>
      <c r="K4843" s="6"/>
      <c r="L4843" s="6"/>
      <c r="M4843" s="6"/>
      <c r="N4843" s="6"/>
      <c r="O4843" s="6"/>
      <c r="P4843" s="6"/>
      <c r="Q4843" s="6"/>
      <c r="R4843" s="6"/>
      <c r="S4843" s="6"/>
      <c r="T4843" s="6"/>
    </row>
    <row r="4844" spans="4:20" x14ac:dyDescent="0.2">
      <c r="D4844" s="6"/>
      <c r="E4844" s="6"/>
      <c r="F4844" s="6"/>
      <c r="G4844" s="19"/>
      <c r="H4844" s="19"/>
      <c r="I4844" s="19"/>
      <c r="J4844" s="19"/>
      <c r="K4844" s="6"/>
      <c r="L4844" s="6"/>
      <c r="M4844" s="6"/>
      <c r="N4844" s="6"/>
      <c r="O4844" s="6"/>
      <c r="P4844" s="6"/>
      <c r="Q4844" s="6"/>
      <c r="R4844" s="6"/>
      <c r="S4844" s="6"/>
      <c r="T4844" s="6"/>
    </row>
    <row r="4845" spans="4:20" x14ac:dyDescent="0.2">
      <c r="D4845" s="6"/>
      <c r="E4845" s="6"/>
      <c r="F4845" s="6"/>
      <c r="G4845" s="19"/>
      <c r="H4845" s="19"/>
      <c r="I4845" s="19"/>
      <c r="J4845" s="19"/>
      <c r="K4845" s="6"/>
      <c r="L4845" s="6"/>
      <c r="M4845" s="6"/>
      <c r="N4845" s="6"/>
      <c r="O4845" s="6"/>
      <c r="P4845" s="6"/>
      <c r="Q4845" s="6"/>
      <c r="R4845" s="6"/>
      <c r="S4845" s="6"/>
      <c r="T4845" s="6"/>
    </row>
    <row r="4846" spans="4:20" x14ac:dyDescent="0.2">
      <c r="D4846" s="6"/>
      <c r="E4846" s="6"/>
      <c r="F4846" s="6"/>
      <c r="G4846" s="19"/>
      <c r="H4846" s="19"/>
      <c r="I4846" s="19"/>
      <c r="J4846" s="19"/>
      <c r="K4846" s="6"/>
      <c r="L4846" s="6"/>
      <c r="M4846" s="6"/>
      <c r="N4846" s="6"/>
      <c r="O4846" s="6"/>
      <c r="P4846" s="6"/>
      <c r="Q4846" s="6"/>
      <c r="R4846" s="6"/>
      <c r="S4846" s="6"/>
      <c r="T4846" s="6"/>
    </row>
    <row r="4847" spans="4:20" x14ac:dyDescent="0.2">
      <c r="D4847" s="6"/>
      <c r="E4847" s="6"/>
      <c r="F4847" s="6"/>
      <c r="G4847" s="19"/>
      <c r="H4847" s="19"/>
      <c r="I4847" s="19"/>
      <c r="J4847" s="19"/>
      <c r="K4847" s="6"/>
      <c r="L4847" s="6"/>
      <c r="M4847" s="6"/>
      <c r="N4847" s="6"/>
      <c r="O4847" s="6"/>
      <c r="P4847" s="6"/>
      <c r="Q4847" s="6"/>
      <c r="R4847" s="6"/>
      <c r="S4847" s="6"/>
      <c r="T4847" s="6"/>
    </row>
    <row r="4848" spans="4:20" x14ac:dyDescent="0.2">
      <c r="D4848" s="6"/>
      <c r="E4848" s="6"/>
      <c r="F4848" s="6"/>
      <c r="G4848" s="19"/>
      <c r="H4848" s="19"/>
      <c r="I4848" s="19"/>
      <c r="J4848" s="19"/>
      <c r="K4848" s="6"/>
      <c r="L4848" s="6"/>
      <c r="M4848" s="6"/>
      <c r="N4848" s="6"/>
      <c r="O4848" s="6"/>
      <c r="P4848" s="6"/>
      <c r="Q4848" s="6"/>
      <c r="R4848" s="6"/>
      <c r="S4848" s="6"/>
      <c r="T4848" s="6"/>
    </row>
    <row r="4849" spans="4:20" x14ac:dyDescent="0.2">
      <c r="D4849" s="6"/>
      <c r="E4849" s="6"/>
      <c r="F4849" s="6"/>
      <c r="G4849" s="19"/>
      <c r="H4849" s="19"/>
      <c r="I4849" s="19"/>
      <c r="J4849" s="19"/>
      <c r="K4849" s="6"/>
      <c r="L4849" s="6"/>
      <c r="M4849" s="6"/>
      <c r="N4849" s="6"/>
      <c r="O4849" s="6"/>
      <c r="P4849" s="6"/>
      <c r="Q4849" s="6"/>
      <c r="R4849" s="6"/>
      <c r="S4849" s="6"/>
      <c r="T4849" s="6"/>
    </row>
    <row r="4850" spans="4:20" x14ac:dyDescent="0.2">
      <c r="D4850" s="6"/>
      <c r="E4850" s="6"/>
      <c r="F4850" s="6"/>
      <c r="G4850" s="19"/>
      <c r="H4850" s="19"/>
      <c r="I4850" s="19"/>
      <c r="J4850" s="19"/>
      <c r="K4850" s="6"/>
      <c r="L4850" s="6"/>
      <c r="M4850" s="6"/>
      <c r="N4850" s="6"/>
      <c r="O4850" s="6"/>
      <c r="P4850" s="6"/>
      <c r="Q4850" s="6"/>
      <c r="R4850" s="6"/>
      <c r="S4850" s="6"/>
      <c r="T4850" s="6"/>
    </row>
    <row r="4851" spans="4:20" x14ac:dyDescent="0.2">
      <c r="D4851" s="6"/>
      <c r="E4851" s="6"/>
      <c r="F4851" s="6"/>
      <c r="G4851" s="19"/>
      <c r="H4851" s="19"/>
      <c r="I4851" s="19"/>
      <c r="J4851" s="19"/>
      <c r="K4851" s="6"/>
      <c r="L4851" s="6"/>
      <c r="M4851" s="6"/>
      <c r="N4851" s="6"/>
      <c r="O4851" s="6"/>
      <c r="P4851" s="6"/>
      <c r="Q4851" s="6"/>
      <c r="R4851" s="6"/>
      <c r="S4851" s="6"/>
      <c r="T4851" s="6"/>
    </row>
    <row r="4852" spans="4:20" x14ac:dyDescent="0.2">
      <c r="D4852" s="6"/>
      <c r="E4852" s="6"/>
      <c r="F4852" s="6"/>
      <c r="G4852" s="19"/>
      <c r="H4852" s="19"/>
      <c r="I4852" s="19"/>
      <c r="J4852" s="19"/>
      <c r="K4852" s="6"/>
      <c r="L4852" s="6"/>
      <c r="M4852" s="6"/>
      <c r="N4852" s="6"/>
      <c r="O4852" s="6"/>
      <c r="P4852" s="6"/>
      <c r="Q4852" s="6"/>
      <c r="R4852" s="6"/>
      <c r="S4852" s="6"/>
      <c r="T4852" s="6"/>
    </row>
    <row r="4853" spans="4:20" x14ac:dyDescent="0.2">
      <c r="D4853" s="6"/>
      <c r="E4853" s="6"/>
      <c r="F4853" s="6"/>
      <c r="G4853" s="19"/>
      <c r="H4853" s="19"/>
      <c r="I4853" s="19"/>
      <c r="J4853" s="19"/>
      <c r="K4853" s="6"/>
      <c r="L4853" s="6"/>
      <c r="M4853" s="6"/>
      <c r="N4853" s="6"/>
      <c r="O4853" s="6"/>
      <c r="P4853" s="6"/>
      <c r="Q4853" s="6"/>
      <c r="R4853" s="6"/>
      <c r="S4853" s="6"/>
      <c r="T4853" s="6"/>
    </row>
    <row r="4854" spans="4:20" x14ac:dyDescent="0.2">
      <c r="D4854" s="6"/>
      <c r="E4854" s="6"/>
      <c r="F4854" s="6"/>
      <c r="G4854" s="19"/>
      <c r="H4854" s="19"/>
      <c r="I4854" s="19"/>
      <c r="J4854" s="19"/>
      <c r="K4854" s="6"/>
      <c r="L4854" s="6"/>
      <c r="M4854" s="6"/>
      <c r="N4854" s="6"/>
      <c r="O4854" s="6"/>
      <c r="P4854" s="6"/>
      <c r="Q4854" s="6"/>
      <c r="R4854" s="6"/>
      <c r="S4854" s="6"/>
      <c r="T4854" s="6"/>
    </row>
    <row r="4855" spans="4:20" x14ac:dyDescent="0.2">
      <c r="D4855" s="6"/>
      <c r="E4855" s="6"/>
      <c r="F4855" s="6"/>
      <c r="G4855" s="19"/>
      <c r="H4855" s="19"/>
      <c r="I4855" s="19"/>
      <c r="J4855" s="19"/>
      <c r="K4855" s="6"/>
      <c r="L4855" s="6"/>
      <c r="M4855" s="6"/>
      <c r="N4855" s="6"/>
      <c r="O4855" s="6"/>
      <c r="P4855" s="6"/>
      <c r="Q4855" s="6"/>
      <c r="R4855" s="6"/>
      <c r="S4855" s="6"/>
      <c r="T4855" s="6"/>
    </row>
    <row r="4856" spans="4:20" x14ac:dyDescent="0.2">
      <c r="D4856" s="6"/>
      <c r="E4856" s="6"/>
      <c r="F4856" s="6"/>
      <c r="G4856" s="19"/>
      <c r="H4856" s="19"/>
      <c r="I4856" s="19"/>
      <c r="J4856" s="19"/>
      <c r="K4856" s="6"/>
      <c r="L4856" s="6"/>
      <c r="M4856" s="6"/>
      <c r="N4856" s="6"/>
      <c r="O4856" s="6"/>
      <c r="P4856" s="6"/>
      <c r="Q4856" s="6"/>
      <c r="R4856" s="6"/>
      <c r="S4856" s="6"/>
      <c r="T4856" s="6"/>
    </row>
    <row r="4857" spans="4:20" x14ac:dyDescent="0.2">
      <c r="D4857" s="6"/>
      <c r="E4857" s="6"/>
      <c r="F4857" s="6"/>
      <c r="G4857" s="19"/>
      <c r="H4857" s="19"/>
      <c r="I4857" s="19"/>
      <c r="J4857" s="19"/>
      <c r="K4857" s="6"/>
      <c r="L4857" s="6"/>
      <c r="M4857" s="6"/>
      <c r="N4857" s="6"/>
      <c r="O4857" s="6"/>
      <c r="P4857" s="6"/>
      <c r="Q4857" s="6"/>
      <c r="R4857" s="6"/>
      <c r="S4857" s="6"/>
      <c r="T4857" s="6"/>
    </row>
    <row r="4858" spans="4:20" x14ac:dyDescent="0.2">
      <c r="D4858" s="6"/>
      <c r="E4858" s="6"/>
      <c r="F4858" s="6"/>
      <c r="G4858" s="19"/>
      <c r="H4858" s="19"/>
      <c r="I4858" s="19"/>
      <c r="J4858" s="19"/>
      <c r="K4858" s="6"/>
      <c r="L4858" s="6"/>
      <c r="M4858" s="6"/>
      <c r="N4858" s="6"/>
      <c r="O4858" s="6"/>
      <c r="P4858" s="6"/>
      <c r="Q4858" s="6"/>
      <c r="R4858" s="6"/>
      <c r="S4858" s="6"/>
      <c r="T4858" s="6"/>
    </row>
    <row r="4859" spans="4:20" x14ac:dyDescent="0.2">
      <c r="D4859" s="6"/>
      <c r="E4859" s="6"/>
      <c r="F4859" s="6"/>
      <c r="G4859" s="19"/>
      <c r="H4859" s="19"/>
      <c r="I4859" s="19"/>
      <c r="J4859" s="19"/>
      <c r="K4859" s="6"/>
      <c r="L4859" s="6"/>
      <c r="M4859" s="6"/>
      <c r="N4859" s="6"/>
      <c r="O4859" s="6"/>
      <c r="P4859" s="6"/>
      <c r="Q4859" s="6"/>
      <c r="R4859" s="6"/>
      <c r="S4859" s="6"/>
      <c r="T4859" s="6"/>
    </row>
    <row r="4860" spans="4:20" x14ac:dyDescent="0.2">
      <c r="D4860" s="6"/>
      <c r="E4860" s="6"/>
      <c r="F4860" s="6"/>
      <c r="G4860" s="19"/>
      <c r="H4860" s="19"/>
      <c r="I4860" s="19"/>
      <c r="J4860" s="19"/>
      <c r="K4860" s="6"/>
      <c r="L4860" s="6"/>
      <c r="M4860" s="6"/>
      <c r="N4860" s="6"/>
      <c r="O4860" s="6"/>
      <c r="P4860" s="6"/>
      <c r="Q4860" s="6"/>
      <c r="R4860" s="6"/>
      <c r="S4860" s="6"/>
      <c r="T4860" s="6"/>
    </row>
    <row r="4861" spans="4:20" x14ac:dyDescent="0.2">
      <c r="D4861" s="6"/>
      <c r="E4861" s="6"/>
      <c r="F4861" s="6"/>
      <c r="G4861" s="19"/>
      <c r="H4861" s="19"/>
      <c r="I4861" s="19"/>
      <c r="J4861" s="19"/>
      <c r="K4861" s="6"/>
      <c r="L4861" s="6"/>
      <c r="M4861" s="6"/>
      <c r="N4861" s="6"/>
      <c r="O4861" s="6"/>
      <c r="P4861" s="6"/>
      <c r="Q4861" s="6"/>
      <c r="R4861" s="6"/>
      <c r="S4861" s="6"/>
      <c r="T4861" s="6"/>
    </row>
    <row r="4862" spans="4:20" x14ac:dyDescent="0.2">
      <c r="D4862" s="6"/>
      <c r="E4862" s="6"/>
      <c r="F4862" s="6"/>
      <c r="G4862" s="19"/>
      <c r="H4862" s="19"/>
      <c r="I4862" s="19"/>
      <c r="J4862" s="19"/>
      <c r="K4862" s="6"/>
      <c r="L4862" s="6"/>
      <c r="M4862" s="6"/>
      <c r="N4862" s="6"/>
      <c r="O4862" s="6"/>
      <c r="P4862" s="6"/>
      <c r="Q4862" s="6"/>
      <c r="R4862" s="6"/>
      <c r="S4862" s="6"/>
      <c r="T4862" s="6"/>
    </row>
    <row r="4863" spans="4:20" x14ac:dyDescent="0.2">
      <c r="D4863" s="6"/>
      <c r="E4863" s="6"/>
      <c r="F4863" s="6"/>
      <c r="G4863" s="19"/>
      <c r="H4863" s="19"/>
      <c r="I4863" s="19"/>
      <c r="J4863" s="19"/>
      <c r="K4863" s="6"/>
      <c r="L4863" s="6"/>
      <c r="M4863" s="6"/>
      <c r="N4863" s="6"/>
      <c r="O4863" s="6"/>
      <c r="P4863" s="6"/>
      <c r="Q4863" s="6"/>
      <c r="R4863" s="6"/>
      <c r="S4863" s="6"/>
      <c r="T4863" s="6"/>
    </row>
    <row r="4864" spans="4:20" x14ac:dyDescent="0.2">
      <c r="D4864" s="6"/>
      <c r="E4864" s="6"/>
      <c r="F4864" s="6"/>
      <c r="G4864" s="19"/>
      <c r="H4864" s="19"/>
      <c r="I4864" s="19"/>
      <c r="J4864" s="19"/>
      <c r="K4864" s="6"/>
      <c r="L4864" s="6"/>
      <c r="M4864" s="6"/>
      <c r="N4864" s="6"/>
      <c r="O4864" s="6"/>
      <c r="P4864" s="6"/>
      <c r="Q4864" s="6"/>
      <c r="R4864" s="6"/>
      <c r="S4864" s="6"/>
      <c r="T4864" s="6"/>
    </row>
    <row r="4865" spans="4:20" x14ac:dyDescent="0.2">
      <c r="D4865" s="6"/>
      <c r="E4865" s="6"/>
      <c r="F4865" s="6"/>
      <c r="G4865" s="19"/>
      <c r="H4865" s="19"/>
      <c r="I4865" s="19"/>
      <c r="J4865" s="19"/>
      <c r="K4865" s="6"/>
      <c r="L4865" s="6"/>
      <c r="M4865" s="6"/>
      <c r="N4865" s="6"/>
      <c r="O4865" s="6"/>
      <c r="P4865" s="6"/>
      <c r="Q4865" s="6"/>
      <c r="R4865" s="6"/>
      <c r="S4865" s="6"/>
      <c r="T4865" s="6"/>
    </row>
    <row r="4866" spans="4:20" x14ac:dyDescent="0.2">
      <c r="D4866" s="6"/>
      <c r="E4866" s="6"/>
      <c r="F4866" s="6"/>
      <c r="G4866" s="19"/>
      <c r="H4866" s="19"/>
      <c r="I4866" s="19"/>
      <c r="J4866" s="19"/>
      <c r="K4866" s="6"/>
      <c r="L4866" s="6"/>
      <c r="M4866" s="6"/>
      <c r="N4866" s="6"/>
      <c r="O4866" s="6"/>
      <c r="P4866" s="6"/>
      <c r="Q4866" s="6"/>
      <c r="R4866" s="6"/>
      <c r="S4866" s="6"/>
      <c r="T4866" s="6"/>
    </row>
    <row r="4867" spans="4:20" x14ac:dyDescent="0.2">
      <c r="D4867" s="6"/>
      <c r="E4867" s="6"/>
      <c r="F4867" s="6"/>
      <c r="G4867" s="19"/>
      <c r="H4867" s="19"/>
      <c r="I4867" s="19"/>
      <c r="J4867" s="19"/>
      <c r="K4867" s="6"/>
      <c r="L4867" s="6"/>
      <c r="M4867" s="6"/>
      <c r="N4867" s="6"/>
      <c r="O4867" s="6"/>
      <c r="P4867" s="6"/>
      <c r="Q4867" s="6"/>
      <c r="R4867" s="6"/>
      <c r="S4867" s="6"/>
      <c r="T4867" s="6"/>
    </row>
    <row r="4868" spans="4:20" x14ac:dyDescent="0.2">
      <c r="D4868" s="6"/>
      <c r="E4868" s="6"/>
      <c r="F4868" s="6"/>
      <c r="G4868" s="19"/>
      <c r="H4868" s="19"/>
      <c r="I4868" s="19"/>
      <c r="J4868" s="19"/>
      <c r="K4868" s="6"/>
      <c r="L4868" s="6"/>
      <c r="M4868" s="6"/>
      <c r="N4868" s="6"/>
      <c r="O4868" s="6"/>
      <c r="P4868" s="6"/>
      <c r="Q4868" s="6"/>
      <c r="R4868" s="6"/>
      <c r="S4868" s="6"/>
      <c r="T4868" s="6"/>
    </row>
    <row r="4869" spans="4:20" x14ac:dyDescent="0.2">
      <c r="D4869" s="6"/>
      <c r="E4869" s="6"/>
      <c r="F4869" s="6"/>
      <c r="G4869" s="19"/>
      <c r="H4869" s="19"/>
      <c r="I4869" s="19"/>
      <c r="J4869" s="19"/>
      <c r="K4869" s="6"/>
      <c r="L4869" s="6"/>
      <c r="M4869" s="6"/>
      <c r="N4869" s="6"/>
      <c r="O4869" s="6"/>
      <c r="P4869" s="6"/>
      <c r="Q4869" s="6"/>
      <c r="R4869" s="6"/>
      <c r="S4869" s="6"/>
      <c r="T4869" s="6"/>
    </row>
    <row r="4870" spans="4:20" x14ac:dyDescent="0.2">
      <c r="D4870" s="6"/>
      <c r="E4870" s="6"/>
      <c r="F4870" s="6"/>
      <c r="G4870" s="19"/>
      <c r="H4870" s="19"/>
      <c r="I4870" s="19"/>
      <c r="J4870" s="19"/>
      <c r="K4870" s="6"/>
      <c r="L4870" s="6"/>
      <c r="M4870" s="6"/>
      <c r="N4870" s="6"/>
      <c r="O4870" s="6"/>
      <c r="P4870" s="6"/>
      <c r="Q4870" s="6"/>
      <c r="R4870" s="6"/>
      <c r="S4870" s="6"/>
      <c r="T4870" s="6"/>
    </row>
    <row r="4871" spans="4:20" x14ac:dyDescent="0.2">
      <c r="D4871" s="6"/>
      <c r="E4871" s="6"/>
      <c r="F4871" s="6"/>
      <c r="G4871" s="19"/>
      <c r="H4871" s="19"/>
      <c r="I4871" s="19"/>
      <c r="J4871" s="19"/>
      <c r="K4871" s="6"/>
      <c r="L4871" s="6"/>
      <c r="M4871" s="6"/>
      <c r="N4871" s="6"/>
      <c r="O4871" s="6"/>
      <c r="P4871" s="6"/>
      <c r="Q4871" s="6"/>
      <c r="R4871" s="6"/>
      <c r="S4871" s="6"/>
      <c r="T4871" s="6"/>
    </row>
    <row r="4872" spans="4:20" x14ac:dyDescent="0.2">
      <c r="D4872" s="6"/>
      <c r="E4872" s="6"/>
      <c r="F4872" s="6"/>
      <c r="G4872" s="19"/>
      <c r="H4872" s="19"/>
      <c r="I4872" s="19"/>
      <c r="J4872" s="19"/>
      <c r="K4872" s="6"/>
      <c r="L4872" s="6"/>
      <c r="M4872" s="6"/>
      <c r="N4872" s="6"/>
      <c r="O4872" s="6"/>
      <c r="P4872" s="6"/>
      <c r="Q4872" s="6"/>
      <c r="R4872" s="6"/>
      <c r="S4872" s="6"/>
      <c r="T4872" s="6"/>
    </row>
    <row r="4873" spans="4:20" x14ac:dyDescent="0.2">
      <c r="D4873" s="6"/>
      <c r="E4873" s="6"/>
      <c r="F4873" s="6"/>
      <c r="G4873" s="19"/>
      <c r="H4873" s="19"/>
      <c r="I4873" s="19"/>
      <c r="J4873" s="19"/>
      <c r="K4873" s="6"/>
      <c r="L4873" s="6"/>
      <c r="M4873" s="6"/>
      <c r="N4873" s="6"/>
      <c r="O4873" s="6"/>
      <c r="P4873" s="6"/>
      <c r="Q4873" s="6"/>
      <c r="R4873" s="6"/>
      <c r="S4873" s="6"/>
      <c r="T4873" s="6"/>
    </row>
    <row r="4874" spans="4:20" x14ac:dyDescent="0.2">
      <c r="D4874" s="6"/>
      <c r="E4874" s="6"/>
      <c r="F4874" s="6"/>
      <c r="G4874" s="19"/>
      <c r="H4874" s="19"/>
      <c r="I4874" s="19"/>
      <c r="J4874" s="19"/>
      <c r="K4874" s="6"/>
      <c r="L4874" s="6"/>
      <c r="M4874" s="6"/>
      <c r="N4874" s="6"/>
      <c r="O4874" s="6"/>
      <c r="P4874" s="6"/>
      <c r="Q4874" s="6"/>
      <c r="R4874" s="6"/>
      <c r="S4874" s="6"/>
      <c r="T4874" s="6"/>
    </row>
    <row r="4875" spans="4:20" x14ac:dyDescent="0.2">
      <c r="D4875" s="6"/>
      <c r="E4875" s="6"/>
      <c r="F4875" s="6"/>
      <c r="G4875" s="19"/>
      <c r="H4875" s="19"/>
      <c r="I4875" s="19"/>
      <c r="J4875" s="19"/>
      <c r="K4875" s="6"/>
      <c r="L4875" s="6"/>
      <c r="M4875" s="6"/>
      <c r="N4875" s="6"/>
      <c r="O4875" s="6"/>
      <c r="P4875" s="6"/>
      <c r="Q4875" s="6"/>
      <c r="R4875" s="6"/>
      <c r="S4875" s="6"/>
      <c r="T4875" s="6"/>
    </row>
    <row r="4876" spans="4:20" x14ac:dyDescent="0.2">
      <c r="D4876" s="6"/>
      <c r="E4876" s="6"/>
      <c r="F4876" s="6"/>
      <c r="G4876" s="19"/>
      <c r="H4876" s="19"/>
      <c r="I4876" s="19"/>
      <c r="J4876" s="19"/>
      <c r="K4876" s="6"/>
      <c r="L4876" s="6"/>
      <c r="M4876" s="6"/>
      <c r="N4876" s="6"/>
      <c r="O4876" s="6"/>
      <c r="P4876" s="6"/>
      <c r="Q4876" s="6"/>
      <c r="R4876" s="6"/>
      <c r="S4876" s="6"/>
      <c r="T4876" s="6"/>
    </row>
    <row r="4877" spans="4:20" x14ac:dyDescent="0.2">
      <c r="D4877" s="6"/>
      <c r="E4877" s="6"/>
      <c r="F4877" s="6"/>
      <c r="G4877" s="19"/>
      <c r="H4877" s="19"/>
      <c r="I4877" s="19"/>
      <c r="J4877" s="19"/>
      <c r="K4877" s="6"/>
      <c r="L4877" s="6"/>
      <c r="M4877" s="6"/>
      <c r="N4877" s="6"/>
      <c r="O4877" s="6"/>
      <c r="P4877" s="6"/>
      <c r="Q4877" s="6"/>
      <c r="R4877" s="6"/>
      <c r="S4877" s="6"/>
      <c r="T4877" s="6"/>
    </row>
    <row r="4878" spans="4:20" x14ac:dyDescent="0.2">
      <c r="D4878" s="6"/>
      <c r="E4878" s="6"/>
      <c r="F4878" s="6"/>
      <c r="G4878" s="19"/>
      <c r="H4878" s="19"/>
      <c r="I4878" s="19"/>
      <c r="J4878" s="19"/>
      <c r="K4878" s="6"/>
      <c r="L4878" s="6"/>
      <c r="M4878" s="6"/>
      <c r="N4878" s="6"/>
      <c r="O4878" s="6"/>
      <c r="P4878" s="6"/>
      <c r="Q4878" s="6"/>
      <c r="R4878" s="6"/>
      <c r="S4878" s="6"/>
      <c r="T4878" s="6"/>
    </row>
    <row r="4879" spans="4:20" x14ac:dyDescent="0.2">
      <c r="D4879" s="6"/>
      <c r="E4879" s="6"/>
      <c r="F4879" s="6"/>
      <c r="G4879" s="19"/>
      <c r="H4879" s="19"/>
      <c r="I4879" s="19"/>
      <c r="J4879" s="19"/>
      <c r="K4879" s="6"/>
      <c r="L4879" s="6"/>
      <c r="M4879" s="6"/>
      <c r="N4879" s="6"/>
      <c r="O4879" s="6"/>
      <c r="P4879" s="6"/>
      <c r="Q4879" s="6"/>
      <c r="R4879" s="6"/>
      <c r="S4879" s="6"/>
      <c r="T4879" s="6"/>
    </row>
    <row r="4880" spans="4:20" x14ac:dyDescent="0.2">
      <c r="D4880" s="6"/>
      <c r="E4880" s="6"/>
      <c r="F4880" s="6"/>
      <c r="G4880" s="19"/>
      <c r="H4880" s="19"/>
      <c r="I4880" s="19"/>
      <c r="J4880" s="19"/>
      <c r="K4880" s="6"/>
      <c r="L4880" s="6"/>
      <c r="M4880" s="6"/>
      <c r="N4880" s="6"/>
      <c r="O4880" s="6"/>
      <c r="P4880" s="6"/>
      <c r="Q4880" s="6"/>
      <c r="R4880" s="6"/>
      <c r="S4880" s="6"/>
      <c r="T4880" s="6"/>
    </row>
    <row r="4881" spans="4:20" x14ac:dyDescent="0.2">
      <c r="D4881" s="6"/>
      <c r="E4881" s="6"/>
      <c r="F4881" s="6"/>
      <c r="G4881" s="19"/>
      <c r="H4881" s="19"/>
      <c r="I4881" s="19"/>
      <c r="J4881" s="19"/>
      <c r="K4881" s="6"/>
      <c r="L4881" s="6"/>
      <c r="M4881" s="6"/>
      <c r="N4881" s="6"/>
      <c r="O4881" s="6"/>
      <c r="P4881" s="6"/>
      <c r="Q4881" s="6"/>
      <c r="R4881" s="6"/>
      <c r="S4881" s="6"/>
      <c r="T4881" s="6"/>
    </row>
    <row r="4882" spans="4:20" x14ac:dyDescent="0.2">
      <c r="D4882" s="6"/>
      <c r="E4882" s="6"/>
      <c r="F4882" s="6"/>
      <c r="G4882" s="19"/>
      <c r="H4882" s="19"/>
      <c r="I4882" s="19"/>
      <c r="J4882" s="19"/>
      <c r="K4882" s="6"/>
      <c r="L4882" s="6"/>
      <c r="M4882" s="6"/>
      <c r="N4882" s="6"/>
      <c r="O4882" s="6"/>
      <c r="P4882" s="6"/>
      <c r="Q4882" s="6"/>
      <c r="R4882" s="6"/>
      <c r="S4882" s="6"/>
      <c r="T4882" s="6"/>
    </row>
    <row r="4883" spans="4:20" x14ac:dyDescent="0.2">
      <c r="D4883" s="6"/>
      <c r="E4883" s="6"/>
      <c r="F4883" s="6"/>
      <c r="G4883" s="19"/>
      <c r="H4883" s="19"/>
      <c r="I4883" s="19"/>
      <c r="J4883" s="19"/>
      <c r="K4883" s="6"/>
      <c r="L4883" s="6"/>
      <c r="M4883" s="6"/>
      <c r="N4883" s="6"/>
      <c r="O4883" s="6"/>
      <c r="P4883" s="6"/>
      <c r="Q4883" s="6"/>
      <c r="R4883" s="6"/>
      <c r="S4883" s="6"/>
      <c r="T4883" s="6"/>
    </row>
    <row r="4884" spans="4:20" x14ac:dyDescent="0.2">
      <c r="D4884" s="6"/>
      <c r="E4884" s="6"/>
      <c r="F4884" s="6"/>
      <c r="G4884" s="19"/>
      <c r="H4884" s="19"/>
      <c r="I4884" s="19"/>
      <c r="J4884" s="19"/>
      <c r="K4884" s="6"/>
      <c r="L4884" s="6"/>
      <c r="M4884" s="6"/>
      <c r="N4884" s="6"/>
      <c r="O4884" s="6"/>
      <c r="P4884" s="6"/>
      <c r="Q4884" s="6"/>
      <c r="R4884" s="6"/>
      <c r="S4884" s="6"/>
      <c r="T4884" s="6"/>
    </row>
    <row r="4885" spans="4:20" x14ac:dyDescent="0.2">
      <c r="D4885" s="6"/>
      <c r="E4885" s="6"/>
      <c r="F4885" s="6"/>
      <c r="G4885" s="19"/>
      <c r="H4885" s="19"/>
      <c r="I4885" s="19"/>
      <c r="J4885" s="19"/>
      <c r="K4885" s="6"/>
      <c r="L4885" s="6"/>
      <c r="M4885" s="6"/>
      <c r="N4885" s="6"/>
      <c r="O4885" s="6"/>
      <c r="P4885" s="6"/>
      <c r="Q4885" s="6"/>
      <c r="R4885" s="6"/>
      <c r="S4885" s="6"/>
      <c r="T4885" s="6"/>
    </row>
    <row r="4886" spans="4:20" x14ac:dyDescent="0.2">
      <c r="D4886" s="6"/>
      <c r="E4886" s="6"/>
      <c r="F4886" s="6"/>
      <c r="G4886" s="19"/>
      <c r="H4886" s="19"/>
      <c r="I4886" s="19"/>
      <c r="J4886" s="19"/>
      <c r="K4886" s="6"/>
      <c r="L4886" s="6"/>
      <c r="M4886" s="6"/>
      <c r="N4886" s="6"/>
      <c r="O4886" s="6"/>
      <c r="P4886" s="6"/>
      <c r="Q4886" s="6"/>
      <c r="R4886" s="6"/>
      <c r="S4886" s="6"/>
      <c r="T4886" s="6"/>
    </row>
    <row r="4887" spans="4:20" x14ac:dyDescent="0.2">
      <c r="D4887" s="6"/>
      <c r="E4887" s="6"/>
      <c r="F4887" s="6"/>
      <c r="G4887" s="19"/>
      <c r="H4887" s="19"/>
      <c r="I4887" s="19"/>
      <c r="J4887" s="19"/>
      <c r="K4887" s="6"/>
      <c r="L4887" s="6"/>
      <c r="M4887" s="6"/>
      <c r="N4887" s="6"/>
      <c r="O4887" s="6"/>
      <c r="P4887" s="6"/>
      <c r="Q4887" s="6"/>
      <c r="R4887" s="6"/>
      <c r="S4887" s="6"/>
      <c r="T4887" s="6"/>
    </row>
    <row r="4888" spans="4:20" x14ac:dyDescent="0.2">
      <c r="D4888" s="6"/>
      <c r="E4888" s="6"/>
      <c r="F4888" s="6"/>
      <c r="G4888" s="19"/>
      <c r="H4888" s="19"/>
      <c r="I4888" s="19"/>
      <c r="J4888" s="19"/>
      <c r="K4888" s="6"/>
      <c r="L4888" s="6"/>
      <c r="M4888" s="6"/>
      <c r="N4888" s="6"/>
      <c r="O4888" s="6"/>
      <c r="P4888" s="6"/>
      <c r="Q4888" s="6"/>
      <c r="R4888" s="6"/>
      <c r="S4888" s="6"/>
      <c r="T4888" s="6"/>
    </row>
    <row r="4889" spans="4:20" x14ac:dyDescent="0.2">
      <c r="D4889" s="6"/>
      <c r="E4889" s="6"/>
      <c r="F4889" s="6"/>
      <c r="G4889" s="19"/>
      <c r="H4889" s="19"/>
      <c r="I4889" s="19"/>
      <c r="J4889" s="19"/>
      <c r="K4889" s="6"/>
      <c r="L4889" s="6"/>
      <c r="M4889" s="6"/>
      <c r="N4889" s="6"/>
      <c r="O4889" s="6"/>
      <c r="P4889" s="6"/>
      <c r="Q4889" s="6"/>
      <c r="R4889" s="6"/>
      <c r="S4889" s="6"/>
      <c r="T4889" s="6"/>
    </row>
    <row r="4890" spans="4:20" x14ac:dyDescent="0.2">
      <c r="D4890" s="6"/>
      <c r="E4890" s="6"/>
      <c r="F4890" s="6"/>
      <c r="G4890" s="19"/>
      <c r="H4890" s="19"/>
      <c r="I4890" s="19"/>
      <c r="J4890" s="19"/>
      <c r="K4890" s="6"/>
      <c r="L4890" s="6"/>
      <c r="M4890" s="6"/>
      <c r="N4890" s="6"/>
      <c r="O4890" s="6"/>
      <c r="P4890" s="6"/>
      <c r="Q4890" s="6"/>
      <c r="R4890" s="6"/>
      <c r="S4890" s="6"/>
      <c r="T4890" s="6"/>
    </row>
    <row r="4891" spans="4:20" x14ac:dyDescent="0.2">
      <c r="D4891" s="6"/>
      <c r="E4891" s="6"/>
      <c r="F4891" s="6"/>
      <c r="G4891" s="19"/>
      <c r="H4891" s="19"/>
      <c r="I4891" s="19"/>
      <c r="J4891" s="19"/>
      <c r="K4891" s="6"/>
      <c r="L4891" s="6"/>
      <c r="M4891" s="6"/>
      <c r="N4891" s="6"/>
      <c r="O4891" s="6"/>
      <c r="P4891" s="6"/>
      <c r="Q4891" s="6"/>
      <c r="R4891" s="6"/>
      <c r="S4891" s="6"/>
      <c r="T4891" s="6"/>
    </row>
    <row r="4892" spans="4:20" x14ac:dyDescent="0.2">
      <c r="D4892" s="6"/>
      <c r="E4892" s="6"/>
      <c r="F4892" s="6"/>
      <c r="G4892" s="19"/>
      <c r="H4892" s="19"/>
      <c r="I4892" s="19"/>
      <c r="J4892" s="19"/>
      <c r="K4892" s="6"/>
      <c r="L4892" s="6"/>
      <c r="M4892" s="6"/>
      <c r="N4892" s="6"/>
      <c r="O4892" s="6"/>
      <c r="P4892" s="6"/>
      <c r="Q4892" s="6"/>
      <c r="R4892" s="6"/>
      <c r="S4892" s="6"/>
      <c r="T4892" s="6"/>
    </row>
    <row r="4893" spans="4:20" x14ac:dyDescent="0.2">
      <c r="D4893" s="6"/>
      <c r="E4893" s="6"/>
      <c r="F4893" s="6"/>
      <c r="G4893" s="19"/>
      <c r="H4893" s="19"/>
      <c r="I4893" s="19"/>
      <c r="J4893" s="19"/>
      <c r="K4893" s="6"/>
      <c r="L4893" s="6"/>
      <c r="M4893" s="6"/>
      <c r="N4893" s="6"/>
      <c r="O4893" s="6"/>
      <c r="P4893" s="6"/>
      <c r="Q4893" s="6"/>
      <c r="R4893" s="6"/>
      <c r="S4893" s="6"/>
      <c r="T4893" s="6"/>
    </row>
    <row r="4894" spans="4:20" x14ac:dyDescent="0.2">
      <c r="D4894" s="6"/>
      <c r="E4894" s="6"/>
      <c r="F4894" s="6"/>
      <c r="G4894" s="19"/>
      <c r="H4894" s="19"/>
      <c r="I4894" s="19"/>
      <c r="J4894" s="19"/>
      <c r="K4894" s="6"/>
      <c r="L4894" s="6"/>
      <c r="M4894" s="6"/>
      <c r="N4894" s="6"/>
      <c r="O4894" s="6"/>
      <c r="P4894" s="6"/>
      <c r="Q4894" s="6"/>
      <c r="R4894" s="6"/>
      <c r="S4894" s="6"/>
      <c r="T4894" s="6"/>
    </row>
    <row r="4895" spans="4:20" x14ac:dyDescent="0.2">
      <c r="D4895" s="6"/>
      <c r="E4895" s="6"/>
      <c r="F4895" s="6"/>
      <c r="G4895" s="19"/>
      <c r="H4895" s="19"/>
      <c r="I4895" s="19"/>
      <c r="J4895" s="19"/>
      <c r="K4895" s="6"/>
      <c r="L4895" s="6"/>
      <c r="M4895" s="6"/>
      <c r="N4895" s="6"/>
      <c r="O4895" s="6"/>
      <c r="P4895" s="6"/>
      <c r="Q4895" s="6"/>
      <c r="R4895" s="6"/>
      <c r="S4895" s="6"/>
      <c r="T4895" s="6"/>
    </row>
    <row r="4896" spans="4:20" x14ac:dyDescent="0.2">
      <c r="D4896" s="6"/>
      <c r="E4896" s="6"/>
      <c r="F4896" s="6"/>
      <c r="G4896" s="19"/>
      <c r="H4896" s="19"/>
      <c r="I4896" s="19"/>
      <c r="J4896" s="19"/>
      <c r="K4896" s="6"/>
      <c r="L4896" s="6"/>
      <c r="M4896" s="6"/>
      <c r="N4896" s="6"/>
      <c r="O4896" s="6"/>
      <c r="P4896" s="6"/>
      <c r="Q4896" s="6"/>
      <c r="R4896" s="6"/>
      <c r="S4896" s="6"/>
      <c r="T4896" s="6"/>
    </row>
    <row r="4897" spans="4:20" x14ac:dyDescent="0.2">
      <c r="D4897" s="6"/>
      <c r="E4897" s="6"/>
      <c r="F4897" s="6"/>
      <c r="G4897" s="19"/>
      <c r="H4897" s="19"/>
      <c r="I4897" s="19"/>
      <c r="J4897" s="19"/>
      <c r="K4897" s="6"/>
      <c r="L4897" s="6"/>
      <c r="M4897" s="6"/>
      <c r="N4897" s="6"/>
      <c r="O4897" s="6"/>
      <c r="P4897" s="6"/>
      <c r="Q4897" s="6"/>
      <c r="R4897" s="6"/>
      <c r="S4897" s="6"/>
      <c r="T4897" s="6"/>
    </row>
    <row r="4898" spans="4:20" x14ac:dyDescent="0.2">
      <c r="D4898" s="6"/>
      <c r="E4898" s="6"/>
      <c r="F4898" s="6"/>
      <c r="G4898" s="19"/>
      <c r="H4898" s="19"/>
      <c r="I4898" s="19"/>
      <c r="J4898" s="19"/>
      <c r="K4898" s="6"/>
      <c r="L4898" s="6"/>
      <c r="M4898" s="6"/>
      <c r="N4898" s="6"/>
      <c r="O4898" s="6"/>
      <c r="P4898" s="6"/>
      <c r="Q4898" s="6"/>
      <c r="R4898" s="6"/>
      <c r="S4898" s="6"/>
      <c r="T4898" s="6"/>
    </row>
    <row r="4899" spans="4:20" x14ac:dyDescent="0.2">
      <c r="D4899" s="6"/>
      <c r="E4899" s="6"/>
      <c r="F4899" s="6"/>
      <c r="G4899" s="19"/>
      <c r="H4899" s="19"/>
      <c r="I4899" s="19"/>
      <c r="J4899" s="19"/>
      <c r="K4899" s="6"/>
      <c r="L4899" s="6"/>
      <c r="M4899" s="6"/>
      <c r="N4899" s="6"/>
      <c r="O4899" s="6"/>
      <c r="P4899" s="6"/>
      <c r="Q4899" s="6"/>
      <c r="R4899" s="6"/>
      <c r="S4899" s="6"/>
      <c r="T4899" s="6"/>
    </row>
    <row r="4900" spans="4:20" x14ac:dyDescent="0.2">
      <c r="D4900" s="6"/>
      <c r="E4900" s="6"/>
      <c r="F4900" s="6"/>
      <c r="G4900" s="19"/>
      <c r="H4900" s="19"/>
      <c r="I4900" s="19"/>
      <c r="J4900" s="19"/>
      <c r="K4900" s="6"/>
      <c r="L4900" s="6"/>
      <c r="M4900" s="6"/>
      <c r="N4900" s="6"/>
      <c r="O4900" s="6"/>
      <c r="P4900" s="6"/>
      <c r="Q4900" s="6"/>
      <c r="R4900" s="6"/>
      <c r="S4900" s="6"/>
      <c r="T4900" s="6"/>
    </row>
    <row r="4901" spans="4:20" x14ac:dyDescent="0.2">
      <c r="D4901" s="6"/>
      <c r="E4901" s="6"/>
      <c r="F4901" s="6"/>
      <c r="G4901" s="19"/>
      <c r="H4901" s="19"/>
      <c r="I4901" s="19"/>
      <c r="J4901" s="19"/>
      <c r="K4901" s="6"/>
      <c r="L4901" s="6"/>
      <c r="M4901" s="6"/>
      <c r="N4901" s="6"/>
      <c r="O4901" s="6"/>
      <c r="P4901" s="6"/>
      <c r="Q4901" s="6"/>
      <c r="R4901" s="6"/>
      <c r="S4901" s="6"/>
      <c r="T4901" s="6"/>
    </row>
    <row r="4902" spans="4:20" x14ac:dyDescent="0.2">
      <c r="D4902" s="6"/>
      <c r="E4902" s="6"/>
      <c r="F4902" s="6"/>
      <c r="G4902" s="19"/>
      <c r="H4902" s="19"/>
      <c r="I4902" s="19"/>
      <c r="J4902" s="19"/>
      <c r="K4902" s="6"/>
      <c r="L4902" s="6"/>
      <c r="M4902" s="6"/>
      <c r="N4902" s="6"/>
      <c r="O4902" s="6"/>
      <c r="P4902" s="6"/>
      <c r="Q4902" s="6"/>
      <c r="R4902" s="6"/>
      <c r="S4902" s="6"/>
      <c r="T4902" s="6"/>
    </row>
    <row r="4903" spans="4:20" x14ac:dyDescent="0.2">
      <c r="D4903" s="6"/>
      <c r="E4903" s="6"/>
      <c r="F4903" s="6"/>
      <c r="G4903" s="19"/>
      <c r="H4903" s="19"/>
      <c r="I4903" s="19"/>
      <c r="J4903" s="19"/>
      <c r="K4903" s="6"/>
      <c r="L4903" s="6"/>
      <c r="M4903" s="6"/>
      <c r="N4903" s="6"/>
      <c r="O4903" s="6"/>
      <c r="P4903" s="6"/>
      <c r="Q4903" s="6"/>
      <c r="R4903" s="6"/>
      <c r="S4903" s="6"/>
      <c r="T4903" s="6"/>
    </row>
    <row r="4904" spans="4:20" x14ac:dyDescent="0.2">
      <c r="D4904" s="6"/>
      <c r="E4904" s="6"/>
      <c r="F4904" s="6"/>
      <c r="G4904" s="19"/>
      <c r="H4904" s="19"/>
      <c r="I4904" s="19"/>
      <c r="J4904" s="19"/>
      <c r="K4904" s="6"/>
      <c r="L4904" s="6"/>
      <c r="M4904" s="6"/>
      <c r="N4904" s="6"/>
      <c r="O4904" s="6"/>
      <c r="P4904" s="6"/>
      <c r="Q4904" s="6"/>
      <c r="R4904" s="6"/>
      <c r="S4904" s="6"/>
      <c r="T4904" s="6"/>
    </row>
    <row r="4905" spans="4:20" x14ac:dyDescent="0.2">
      <c r="D4905" s="6"/>
      <c r="E4905" s="6"/>
      <c r="F4905" s="6"/>
      <c r="G4905" s="19"/>
      <c r="H4905" s="19"/>
      <c r="I4905" s="19"/>
      <c r="J4905" s="19"/>
      <c r="K4905" s="6"/>
      <c r="L4905" s="6"/>
      <c r="M4905" s="6"/>
      <c r="N4905" s="6"/>
      <c r="O4905" s="6"/>
      <c r="P4905" s="6"/>
      <c r="Q4905" s="6"/>
      <c r="R4905" s="6"/>
      <c r="S4905" s="6"/>
      <c r="T4905" s="6"/>
    </row>
    <row r="4906" spans="4:20" x14ac:dyDescent="0.2">
      <c r="D4906" s="6"/>
      <c r="E4906" s="6"/>
      <c r="F4906" s="6"/>
      <c r="G4906" s="19"/>
      <c r="H4906" s="19"/>
      <c r="I4906" s="19"/>
      <c r="J4906" s="19"/>
      <c r="K4906" s="6"/>
      <c r="L4906" s="6"/>
      <c r="M4906" s="6"/>
      <c r="N4906" s="6"/>
      <c r="O4906" s="6"/>
      <c r="P4906" s="6"/>
      <c r="Q4906" s="6"/>
      <c r="R4906" s="6"/>
      <c r="S4906" s="6"/>
      <c r="T4906" s="6"/>
    </row>
    <row r="4907" spans="4:20" x14ac:dyDescent="0.2">
      <c r="D4907" s="6"/>
      <c r="E4907" s="6"/>
      <c r="F4907" s="6"/>
      <c r="G4907" s="19"/>
      <c r="H4907" s="19"/>
      <c r="I4907" s="19"/>
      <c r="J4907" s="19"/>
      <c r="K4907" s="6"/>
      <c r="L4907" s="6"/>
      <c r="M4907" s="6"/>
      <c r="N4907" s="6"/>
      <c r="O4907" s="6"/>
      <c r="P4907" s="6"/>
      <c r="Q4907" s="6"/>
      <c r="R4907" s="6"/>
      <c r="S4907" s="6"/>
      <c r="T4907" s="6"/>
    </row>
    <row r="4908" spans="4:20" x14ac:dyDescent="0.2">
      <c r="D4908" s="6"/>
      <c r="E4908" s="6"/>
      <c r="F4908" s="6"/>
      <c r="G4908" s="19"/>
      <c r="H4908" s="19"/>
      <c r="I4908" s="19"/>
      <c r="J4908" s="19"/>
      <c r="K4908" s="6"/>
      <c r="L4908" s="6"/>
      <c r="M4908" s="6"/>
      <c r="N4908" s="6"/>
      <c r="O4908" s="6"/>
      <c r="P4908" s="6"/>
      <c r="Q4908" s="6"/>
      <c r="R4908" s="6"/>
      <c r="S4908" s="6"/>
      <c r="T4908" s="6"/>
    </row>
    <row r="4909" spans="4:20" x14ac:dyDescent="0.2">
      <c r="D4909" s="6"/>
      <c r="E4909" s="6"/>
      <c r="F4909" s="6"/>
      <c r="G4909" s="19"/>
      <c r="H4909" s="19"/>
      <c r="I4909" s="19"/>
      <c r="J4909" s="19"/>
      <c r="K4909" s="6"/>
      <c r="L4909" s="6"/>
      <c r="M4909" s="6"/>
      <c r="N4909" s="6"/>
      <c r="O4909" s="6"/>
      <c r="P4909" s="6"/>
      <c r="Q4909" s="6"/>
      <c r="R4909" s="6"/>
      <c r="S4909" s="6"/>
      <c r="T4909" s="6"/>
    </row>
    <row r="4910" spans="4:20" x14ac:dyDescent="0.2">
      <c r="D4910" s="6"/>
      <c r="E4910" s="6"/>
      <c r="F4910" s="6"/>
      <c r="G4910" s="19"/>
      <c r="H4910" s="19"/>
      <c r="I4910" s="19"/>
      <c r="J4910" s="19"/>
      <c r="K4910" s="6"/>
      <c r="L4910" s="6"/>
      <c r="M4910" s="6"/>
      <c r="N4910" s="6"/>
      <c r="O4910" s="6"/>
      <c r="P4910" s="6"/>
      <c r="Q4910" s="6"/>
      <c r="R4910" s="6"/>
      <c r="S4910" s="6"/>
      <c r="T4910" s="6"/>
    </row>
    <row r="4911" spans="4:20" x14ac:dyDescent="0.2">
      <c r="D4911" s="6"/>
      <c r="E4911" s="6"/>
      <c r="F4911" s="6"/>
      <c r="G4911" s="19"/>
      <c r="H4911" s="19"/>
      <c r="I4911" s="19"/>
      <c r="J4911" s="19"/>
      <c r="K4911" s="6"/>
      <c r="L4911" s="6"/>
      <c r="M4911" s="6"/>
      <c r="N4911" s="6"/>
      <c r="O4911" s="6"/>
      <c r="P4911" s="6"/>
      <c r="Q4911" s="6"/>
      <c r="R4911" s="6"/>
      <c r="S4911" s="6"/>
      <c r="T4911" s="6"/>
    </row>
    <row r="4912" spans="4:20" x14ac:dyDescent="0.2">
      <c r="D4912" s="6"/>
      <c r="E4912" s="6"/>
      <c r="F4912" s="6"/>
      <c r="G4912" s="19"/>
      <c r="H4912" s="19"/>
      <c r="I4912" s="19"/>
      <c r="J4912" s="19"/>
      <c r="K4912" s="6"/>
      <c r="L4912" s="6"/>
      <c r="M4912" s="6"/>
      <c r="N4912" s="6"/>
      <c r="O4912" s="6"/>
      <c r="P4912" s="6"/>
      <c r="Q4912" s="6"/>
      <c r="R4912" s="6"/>
      <c r="S4912" s="6"/>
      <c r="T4912" s="6"/>
    </row>
    <row r="4913" spans="4:20" x14ac:dyDescent="0.2">
      <c r="D4913" s="6"/>
      <c r="E4913" s="6"/>
      <c r="F4913" s="6"/>
      <c r="G4913" s="19"/>
      <c r="H4913" s="19"/>
      <c r="I4913" s="19"/>
      <c r="J4913" s="19"/>
      <c r="K4913" s="6"/>
      <c r="L4913" s="6"/>
      <c r="M4913" s="6"/>
      <c r="N4913" s="6"/>
      <c r="O4913" s="6"/>
      <c r="P4913" s="6"/>
      <c r="Q4913" s="6"/>
      <c r="R4913" s="6"/>
      <c r="S4913" s="6"/>
      <c r="T4913" s="6"/>
    </row>
    <row r="4914" spans="4:20" x14ac:dyDescent="0.2">
      <c r="D4914" s="6"/>
      <c r="E4914" s="6"/>
      <c r="F4914" s="6"/>
      <c r="G4914" s="19"/>
      <c r="H4914" s="19"/>
      <c r="I4914" s="19"/>
      <c r="J4914" s="19"/>
      <c r="K4914" s="6"/>
      <c r="L4914" s="6"/>
      <c r="M4914" s="6"/>
      <c r="N4914" s="6"/>
      <c r="O4914" s="6"/>
      <c r="P4914" s="6"/>
      <c r="Q4914" s="6"/>
      <c r="R4914" s="6"/>
      <c r="S4914" s="6"/>
      <c r="T4914" s="6"/>
    </row>
    <row r="4915" spans="4:20" x14ac:dyDescent="0.2">
      <c r="D4915" s="6"/>
      <c r="E4915" s="6"/>
      <c r="F4915" s="6"/>
      <c r="G4915" s="19"/>
      <c r="H4915" s="19"/>
      <c r="I4915" s="19"/>
      <c r="J4915" s="19"/>
      <c r="K4915" s="6"/>
      <c r="L4915" s="6"/>
      <c r="M4915" s="6"/>
      <c r="N4915" s="6"/>
      <c r="O4915" s="6"/>
      <c r="P4915" s="6"/>
      <c r="Q4915" s="6"/>
      <c r="R4915" s="6"/>
      <c r="S4915" s="6"/>
      <c r="T4915" s="6"/>
    </row>
    <row r="4916" spans="4:20" x14ac:dyDescent="0.2">
      <c r="D4916" s="6"/>
      <c r="E4916" s="6"/>
      <c r="F4916" s="6"/>
      <c r="G4916" s="19"/>
      <c r="H4916" s="19"/>
      <c r="I4916" s="19"/>
      <c r="J4916" s="19"/>
      <c r="K4916" s="6"/>
      <c r="L4916" s="6"/>
      <c r="M4916" s="6"/>
      <c r="N4916" s="6"/>
      <c r="O4916" s="6"/>
      <c r="P4916" s="6"/>
      <c r="Q4916" s="6"/>
      <c r="R4916" s="6"/>
      <c r="S4916" s="6"/>
      <c r="T4916" s="6"/>
    </row>
    <row r="4917" spans="4:20" x14ac:dyDescent="0.2">
      <c r="D4917" s="6"/>
      <c r="E4917" s="6"/>
      <c r="F4917" s="6"/>
      <c r="G4917" s="19"/>
      <c r="H4917" s="19"/>
      <c r="I4917" s="19"/>
      <c r="J4917" s="19"/>
      <c r="K4917" s="6"/>
      <c r="L4917" s="6"/>
      <c r="M4917" s="6"/>
      <c r="N4917" s="6"/>
      <c r="O4917" s="6"/>
      <c r="P4917" s="6"/>
      <c r="Q4917" s="6"/>
      <c r="R4917" s="6"/>
      <c r="S4917" s="6"/>
      <c r="T4917" s="6"/>
    </row>
    <row r="4918" spans="4:20" x14ac:dyDescent="0.2">
      <c r="D4918" s="6"/>
      <c r="E4918" s="6"/>
      <c r="F4918" s="6"/>
      <c r="G4918" s="19"/>
      <c r="H4918" s="19"/>
      <c r="I4918" s="19"/>
      <c r="J4918" s="19"/>
      <c r="K4918" s="6"/>
      <c r="L4918" s="6"/>
      <c r="M4918" s="6"/>
      <c r="N4918" s="6"/>
      <c r="O4918" s="6"/>
      <c r="P4918" s="6"/>
      <c r="Q4918" s="6"/>
      <c r="R4918" s="6"/>
      <c r="S4918" s="6"/>
      <c r="T4918" s="6"/>
    </row>
    <row r="4919" spans="4:20" x14ac:dyDescent="0.2">
      <c r="D4919" s="6"/>
      <c r="E4919" s="6"/>
      <c r="F4919" s="6"/>
      <c r="G4919" s="19"/>
      <c r="H4919" s="19"/>
      <c r="I4919" s="19"/>
      <c r="J4919" s="19"/>
      <c r="K4919" s="6"/>
      <c r="L4919" s="6"/>
      <c r="M4919" s="6"/>
      <c r="N4919" s="6"/>
      <c r="O4919" s="6"/>
      <c r="P4919" s="6"/>
      <c r="Q4919" s="6"/>
      <c r="R4919" s="6"/>
      <c r="S4919" s="6"/>
      <c r="T4919" s="6"/>
    </row>
    <row r="4920" spans="4:20" x14ac:dyDescent="0.2">
      <c r="D4920" s="6"/>
      <c r="E4920" s="6"/>
      <c r="F4920" s="6"/>
      <c r="G4920" s="19"/>
      <c r="H4920" s="19"/>
      <c r="I4920" s="19"/>
      <c r="J4920" s="19"/>
      <c r="K4920" s="6"/>
      <c r="L4920" s="6"/>
      <c r="M4920" s="6"/>
      <c r="N4920" s="6"/>
      <c r="O4920" s="6"/>
      <c r="P4920" s="6"/>
      <c r="Q4920" s="6"/>
      <c r="R4920" s="6"/>
      <c r="S4920" s="6"/>
      <c r="T4920" s="6"/>
    </row>
    <row r="4921" spans="4:20" x14ac:dyDescent="0.2">
      <c r="D4921" s="6"/>
      <c r="E4921" s="6"/>
      <c r="F4921" s="6"/>
      <c r="G4921" s="19"/>
      <c r="H4921" s="19"/>
      <c r="I4921" s="19"/>
      <c r="J4921" s="19"/>
      <c r="K4921" s="6"/>
      <c r="L4921" s="6"/>
      <c r="M4921" s="6"/>
      <c r="N4921" s="6"/>
      <c r="O4921" s="6"/>
      <c r="P4921" s="6"/>
      <c r="Q4921" s="6"/>
      <c r="R4921" s="6"/>
      <c r="S4921" s="6"/>
      <c r="T4921" s="6"/>
    </row>
    <row r="4922" spans="4:20" x14ac:dyDescent="0.2">
      <c r="D4922" s="6"/>
      <c r="E4922" s="6"/>
      <c r="F4922" s="6"/>
      <c r="G4922" s="19"/>
      <c r="H4922" s="19"/>
      <c r="I4922" s="19"/>
      <c r="J4922" s="19"/>
      <c r="K4922" s="6"/>
      <c r="L4922" s="6"/>
      <c r="M4922" s="6"/>
      <c r="N4922" s="6"/>
      <c r="O4922" s="6"/>
      <c r="P4922" s="6"/>
      <c r="Q4922" s="6"/>
      <c r="R4922" s="6"/>
      <c r="S4922" s="6"/>
      <c r="T4922" s="6"/>
    </row>
    <row r="4923" spans="4:20" x14ac:dyDescent="0.2">
      <c r="D4923" s="6"/>
      <c r="E4923" s="6"/>
      <c r="F4923" s="6"/>
      <c r="G4923" s="19"/>
      <c r="H4923" s="19"/>
      <c r="I4923" s="19"/>
      <c r="J4923" s="19"/>
      <c r="K4923" s="6"/>
      <c r="L4923" s="6"/>
      <c r="M4923" s="6"/>
      <c r="N4923" s="6"/>
      <c r="O4923" s="6"/>
      <c r="P4923" s="6"/>
      <c r="Q4923" s="6"/>
      <c r="R4923" s="6"/>
      <c r="S4923" s="6"/>
      <c r="T4923" s="6"/>
    </row>
    <row r="4924" spans="4:20" x14ac:dyDescent="0.2">
      <c r="D4924" s="6"/>
      <c r="E4924" s="6"/>
      <c r="F4924" s="6"/>
      <c r="G4924" s="19"/>
      <c r="H4924" s="19"/>
      <c r="I4924" s="19"/>
      <c r="J4924" s="19"/>
      <c r="K4924" s="6"/>
      <c r="L4924" s="6"/>
      <c r="M4924" s="6"/>
      <c r="N4924" s="6"/>
      <c r="O4924" s="6"/>
      <c r="P4924" s="6"/>
      <c r="Q4924" s="6"/>
      <c r="R4924" s="6"/>
      <c r="S4924" s="6"/>
      <c r="T4924" s="6"/>
    </row>
    <row r="4925" spans="4:20" x14ac:dyDescent="0.2">
      <c r="D4925" s="6"/>
      <c r="E4925" s="6"/>
      <c r="F4925" s="6"/>
      <c r="G4925" s="19"/>
      <c r="H4925" s="19"/>
      <c r="I4925" s="19"/>
      <c r="J4925" s="19"/>
      <c r="K4925" s="6"/>
      <c r="L4925" s="6"/>
      <c r="M4925" s="6"/>
      <c r="N4925" s="6"/>
      <c r="O4925" s="6"/>
      <c r="P4925" s="6"/>
      <c r="Q4925" s="6"/>
      <c r="R4925" s="6"/>
      <c r="S4925" s="6"/>
      <c r="T4925" s="6"/>
    </row>
    <row r="4926" spans="4:20" x14ac:dyDescent="0.2">
      <c r="D4926" s="6"/>
      <c r="E4926" s="6"/>
      <c r="F4926" s="6"/>
      <c r="G4926" s="19"/>
      <c r="H4926" s="19"/>
      <c r="I4926" s="19"/>
      <c r="J4926" s="19"/>
      <c r="K4926" s="6"/>
      <c r="L4926" s="6"/>
      <c r="M4926" s="6"/>
      <c r="N4926" s="6"/>
      <c r="O4926" s="6"/>
      <c r="P4926" s="6"/>
      <c r="Q4926" s="6"/>
      <c r="R4926" s="6"/>
      <c r="S4926" s="6"/>
      <c r="T4926" s="6"/>
    </row>
    <row r="4927" spans="4:20" x14ac:dyDescent="0.2">
      <c r="D4927" s="6"/>
      <c r="E4927" s="6"/>
      <c r="F4927" s="6"/>
      <c r="G4927" s="19"/>
      <c r="H4927" s="19"/>
      <c r="I4927" s="19"/>
      <c r="J4927" s="19"/>
      <c r="K4927" s="6"/>
      <c r="L4927" s="6"/>
      <c r="M4927" s="6"/>
      <c r="N4927" s="6"/>
      <c r="O4927" s="6"/>
      <c r="P4927" s="6"/>
      <c r="Q4927" s="6"/>
      <c r="R4927" s="6"/>
      <c r="S4927" s="6"/>
      <c r="T4927" s="6"/>
    </row>
    <row r="4928" spans="4:20" x14ac:dyDescent="0.2">
      <c r="D4928" s="6"/>
      <c r="E4928" s="6"/>
      <c r="F4928" s="6"/>
      <c r="G4928" s="19"/>
      <c r="H4928" s="19"/>
      <c r="I4928" s="19"/>
      <c r="J4928" s="19"/>
      <c r="K4928" s="6"/>
      <c r="L4928" s="6"/>
      <c r="M4928" s="6"/>
      <c r="N4928" s="6"/>
      <c r="O4928" s="6"/>
      <c r="P4928" s="6"/>
      <c r="Q4928" s="6"/>
      <c r="R4928" s="6"/>
      <c r="S4928" s="6"/>
      <c r="T4928" s="6"/>
    </row>
    <row r="4929" spans="4:20" x14ac:dyDescent="0.2">
      <c r="D4929" s="6"/>
      <c r="E4929" s="6"/>
      <c r="F4929" s="6"/>
      <c r="G4929" s="19"/>
      <c r="H4929" s="19"/>
      <c r="I4929" s="19"/>
      <c r="J4929" s="19"/>
      <c r="K4929" s="6"/>
      <c r="L4929" s="6"/>
      <c r="M4929" s="6"/>
      <c r="N4929" s="6"/>
      <c r="O4929" s="6"/>
      <c r="P4929" s="6"/>
      <c r="Q4929" s="6"/>
      <c r="R4929" s="6"/>
      <c r="S4929" s="6"/>
      <c r="T4929" s="6"/>
    </row>
    <row r="4930" spans="4:20" x14ac:dyDescent="0.2">
      <c r="D4930" s="6"/>
      <c r="E4930" s="6"/>
      <c r="F4930" s="6"/>
      <c r="G4930" s="19"/>
      <c r="H4930" s="19"/>
      <c r="I4930" s="19"/>
      <c r="J4930" s="19"/>
      <c r="K4930" s="6"/>
      <c r="L4930" s="6"/>
      <c r="M4930" s="6"/>
      <c r="N4930" s="6"/>
      <c r="O4930" s="6"/>
      <c r="P4930" s="6"/>
      <c r="Q4930" s="6"/>
      <c r="R4930" s="6"/>
      <c r="S4930" s="6"/>
      <c r="T4930" s="6"/>
    </row>
    <row r="4931" spans="4:20" x14ac:dyDescent="0.2">
      <c r="D4931" s="6"/>
      <c r="E4931" s="6"/>
      <c r="F4931" s="6"/>
      <c r="G4931" s="19"/>
      <c r="H4931" s="19"/>
      <c r="I4931" s="19"/>
      <c r="J4931" s="19"/>
      <c r="K4931" s="6"/>
      <c r="L4931" s="6"/>
      <c r="M4931" s="6"/>
      <c r="N4931" s="6"/>
      <c r="O4931" s="6"/>
      <c r="P4931" s="6"/>
      <c r="Q4931" s="6"/>
      <c r="R4931" s="6"/>
      <c r="S4931" s="6"/>
      <c r="T4931" s="6"/>
    </row>
    <row r="4932" spans="4:20" x14ac:dyDescent="0.2">
      <c r="D4932" s="6"/>
      <c r="E4932" s="6"/>
      <c r="F4932" s="6"/>
      <c r="G4932" s="19"/>
      <c r="H4932" s="19"/>
      <c r="I4932" s="19"/>
      <c r="J4932" s="19"/>
      <c r="K4932" s="6"/>
      <c r="L4932" s="6"/>
      <c r="M4932" s="6"/>
      <c r="N4932" s="6"/>
      <c r="O4932" s="6"/>
      <c r="P4932" s="6"/>
      <c r="Q4932" s="6"/>
      <c r="R4932" s="6"/>
      <c r="S4932" s="6"/>
      <c r="T4932" s="6"/>
    </row>
    <row r="4933" spans="4:20" x14ac:dyDescent="0.2">
      <c r="D4933" s="6"/>
      <c r="E4933" s="6"/>
      <c r="F4933" s="6"/>
      <c r="G4933" s="19"/>
      <c r="H4933" s="19"/>
      <c r="I4933" s="19"/>
      <c r="J4933" s="19"/>
      <c r="K4933" s="6"/>
      <c r="L4933" s="6"/>
      <c r="M4933" s="6"/>
      <c r="N4933" s="6"/>
      <c r="O4933" s="6"/>
      <c r="P4933" s="6"/>
      <c r="Q4933" s="6"/>
      <c r="R4933" s="6"/>
      <c r="S4933" s="6"/>
      <c r="T4933" s="6"/>
    </row>
    <row r="4934" spans="4:20" x14ac:dyDescent="0.2">
      <c r="D4934" s="6"/>
      <c r="E4934" s="6"/>
      <c r="F4934" s="6"/>
      <c r="G4934" s="19"/>
      <c r="H4934" s="19"/>
      <c r="I4934" s="19"/>
      <c r="J4934" s="19"/>
      <c r="K4934" s="6"/>
      <c r="L4934" s="6"/>
      <c r="M4934" s="6"/>
      <c r="N4934" s="6"/>
      <c r="O4934" s="6"/>
      <c r="P4934" s="6"/>
      <c r="Q4934" s="6"/>
      <c r="R4934" s="6"/>
      <c r="S4934" s="6"/>
      <c r="T4934" s="6"/>
    </row>
    <row r="4935" spans="4:20" x14ac:dyDescent="0.2">
      <c r="D4935" s="6"/>
      <c r="E4935" s="6"/>
      <c r="F4935" s="6"/>
      <c r="G4935" s="19"/>
      <c r="H4935" s="19"/>
      <c r="I4935" s="19"/>
      <c r="J4935" s="19"/>
      <c r="K4935" s="6"/>
      <c r="L4935" s="6"/>
      <c r="M4935" s="6"/>
      <c r="N4935" s="6"/>
      <c r="O4935" s="6"/>
      <c r="P4935" s="6"/>
      <c r="Q4935" s="6"/>
      <c r="R4935" s="6"/>
      <c r="S4935" s="6"/>
      <c r="T4935" s="6"/>
    </row>
    <row r="4936" spans="4:20" x14ac:dyDescent="0.2">
      <c r="D4936" s="6"/>
      <c r="E4936" s="6"/>
      <c r="F4936" s="6"/>
      <c r="G4936" s="19"/>
      <c r="H4936" s="19"/>
      <c r="I4936" s="19"/>
      <c r="J4936" s="19"/>
      <c r="K4936" s="6"/>
      <c r="L4936" s="6"/>
      <c r="M4936" s="6"/>
      <c r="N4936" s="6"/>
      <c r="O4936" s="6"/>
      <c r="P4936" s="6"/>
      <c r="Q4936" s="6"/>
      <c r="R4936" s="6"/>
      <c r="S4936" s="6"/>
      <c r="T4936" s="6"/>
    </row>
    <row r="4937" spans="4:20" x14ac:dyDescent="0.2">
      <c r="D4937" s="6"/>
      <c r="E4937" s="6"/>
      <c r="F4937" s="6"/>
      <c r="G4937" s="19"/>
      <c r="H4937" s="19"/>
      <c r="I4937" s="19"/>
      <c r="J4937" s="19"/>
      <c r="K4937" s="6"/>
      <c r="L4937" s="6"/>
      <c r="M4937" s="6"/>
      <c r="N4937" s="6"/>
      <c r="O4937" s="6"/>
      <c r="P4937" s="6"/>
      <c r="Q4937" s="6"/>
      <c r="R4937" s="6"/>
      <c r="S4937" s="6"/>
      <c r="T4937" s="6"/>
    </row>
    <row r="4938" spans="4:20" x14ac:dyDescent="0.2">
      <c r="D4938" s="6"/>
      <c r="E4938" s="6"/>
      <c r="F4938" s="6"/>
      <c r="G4938" s="19"/>
      <c r="H4938" s="19"/>
      <c r="I4938" s="19"/>
      <c r="J4938" s="19"/>
      <c r="K4938" s="6"/>
      <c r="L4938" s="6"/>
      <c r="M4938" s="6"/>
      <c r="N4938" s="6"/>
      <c r="O4938" s="6"/>
      <c r="P4938" s="6"/>
      <c r="Q4938" s="6"/>
      <c r="R4938" s="6"/>
      <c r="S4938" s="6"/>
      <c r="T4938" s="6"/>
    </row>
    <row r="4939" spans="4:20" x14ac:dyDescent="0.2">
      <c r="D4939" s="6"/>
      <c r="E4939" s="6"/>
      <c r="F4939" s="6"/>
      <c r="G4939" s="19"/>
      <c r="H4939" s="19"/>
      <c r="I4939" s="19"/>
      <c r="J4939" s="19"/>
      <c r="K4939" s="6"/>
      <c r="L4939" s="6"/>
      <c r="M4939" s="6"/>
      <c r="N4939" s="6"/>
      <c r="O4939" s="6"/>
      <c r="P4939" s="6"/>
      <c r="Q4939" s="6"/>
      <c r="R4939" s="6"/>
      <c r="S4939" s="6"/>
      <c r="T4939" s="6"/>
    </row>
    <row r="4940" spans="4:20" x14ac:dyDescent="0.2">
      <c r="D4940" s="6"/>
      <c r="E4940" s="6"/>
      <c r="F4940" s="6"/>
      <c r="G4940" s="19"/>
      <c r="H4940" s="19"/>
      <c r="I4940" s="19"/>
      <c r="J4940" s="19"/>
      <c r="K4940" s="6"/>
      <c r="L4940" s="6"/>
      <c r="M4940" s="6"/>
      <c r="N4940" s="6"/>
      <c r="O4940" s="6"/>
      <c r="P4940" s="6"/>
      <c r="Q4940" s="6"/>
      <c r="R4940" s="6"/>
      <c r="S4940" s="6"/>
      <c r="T4940" s="6"/>
    </row>
    <row r="4941" spans="4:20" x14ac:dyDescent="0.2">
      <c r="D4941" s="6"/>
      <c r="E4941" s="6"/>
      <c r="F4941" s="6"/>
      <c r="G4941" s="19"/>
      <c r="H4941" s="19"/>
      <c r="I4941" s="19"/>
      <c r="J4941" s="19"/>
      <c r="K4941" s="6"/>
      <c r="L4941" s="6"/>
      <c r="M4941" s="6"/>
      <c r="N4941" s="6"/>
      <c r="O4941" s="6"/>
      <c r="P4941" s="6"/>
      <c r="Q4941" s="6"/>
      <c r="R4941" s="6"/>
      <c r="S4941" s="6"/>
      <c r="T4941" s="6"/>
    </row>
    <row r="4942" spans="4:20" x14ac:dyDescent="0.2">
      <c r="D4942" s="6"/>
      <c r="E4942" s="6"/>
      <c r="F4942" s="6"/>
      <c r="G4942" s="19"/>
      <c r="H4942" s="19"/>
      <c r="I4942" s="19"/>
      <c r="J4942" s="19"/>
      <c r="K4942" s="6"/>
      <c r="L4942" s="6"/>
      <c r="M4942" s="6"/>
      <c r="N4942" s="6"/>
      <c r="O4942" s="6"/>
      <c r="P4942" s="6"/>
      <c r="Q4942" s="6"/>
      <c r="R4942" s="6"/>
      <c r="S4942" s="6"/>
      <c r="T4942" s="6"/>
    </row>
    <row r="4943" spans="4:20" x14ac:dyDescent="0.2">
      <c r="D4943" s="6"/>
      <c r="E4943" s="6"/>
      <c r="F4943" s="6"/>
      <c r="G4943" s="19"/>
      <c r="H4943" s="19"/>
      <c r="I4943" s="19"/>
      <c r="J4943" s="19"/>
      <c r="K4943" s="6"/>
      <c r="L4943" s="6"/>
      <c r="M4943" s="6"/>
      <c r="N4943" s="6"/>
      <c r="O4943" s="6"/>
      <c r="P4943" s="6"/>
      <c r="Q4943" s="6"/>
      <c r="R4943" s="6"/>
      <c r="S4943" s="6"/>
      <c r="T4943" s="6"/>
    </row>
    <row r="4944" spans="4:20" x14ac:dyDescent="0.2">
      <c r="D4944" s="6"/>
      <c r="E4944" s="6"/>
      <c r="F4944" s="6"/>
      <c r="G4944" s="19"/>
      <c r="H4944" s="19"/>
      <c r="I4944" s="19"/>
      <c r="J4944" s="19"/>
      <c r="K4944" s="6"/>
      <c r="L4944" s="6"/>
      <c r="M4944" s="6"/>
      <c r="N4944" s="6"/>
      <c r="O4944" s="6"/>
      <c r="P4944" s="6"/>
      <c r="Q4944" s="6"/>
      <c r="R4944" s="6"/>
      <c r="S4944" s="6"/>
      <c r="T4944" s="6"/>
    </row>
    <row r="4945" spans="4:20" x14ac:dyDescent="0.2">
      <c r="D4945" s="6"/>
      <c r="E4945" s="6"/>
      <c r="F4945" s="6"/>
      <c r="G4945" s="19"/>
      <c r="H4945" s="19"/>
      <c r="I4945" s="19"/>
      <c r="J4945" s="19"/>
      <c r="K4945" s="6"/>
      <c r="L4945" s="6"/>
      <c r="M4945" s="6"/>
      <c r="N4945" s="6"/>
      <c r="O4945" s="6"/>
      <c r="P4945" s="6"/>
      <c r="Q4945" s="6"/>
      <c r="R4945" s="6"/>
      <c r="S4945" s="6"/>
      <c r="T4945" s="6"/>
    </row>
    <row r="4946" spans="4:20" x14ac:dyDescent="0.2">
      <c r="D4946" s="6"/>
      <c r="E4946" s="6"/>
      <c r="F4946" s="6"/>
      <c r="G4946" s="19"/>
      <c r="H4946" s="19"/>
      <c r="I4946" s="19"/>
      <c r="J4946" s="19"/>
      <c r="K4946" s="6"/>
      <c r="L4946" s="6"/>
      <c r="M4946" s="6"/>
      <c r="N4946" s="6"/>
      <c r="O4946" s="6"/>
      <c r="P4946" s="6"/>
      <c r="Q4946" s="6"/>
      <c r="R4946" s="6"/>
      <c r="S4946" s="6"/>
      <c r="T4946" s="6"/>
    </row>
    <row r="4947" spans="4:20" x14ac:dyDescent="0.2">
      <c r="D4947" s="6"/>
      <c r="E4947" s="6"/>
      <c r="F4947" s="6"/>
      <c r="G4947" s="19"/>
      <c r="H4947" s="19"/>
      <c r="I4947" s="19"/>
      <c r="J4947" s="19"/>
      <c r="K4947" s="6"/>
      <c r="L4947" s="6"/>
      <c r="M4947" s="6"/>
      <c r="N4947" s="6"/>
      <c r="O4947" s="6"/>
      <c r="P4947" s="6"/>
      <c r="Q4947" s="6"/>
      <c r="R4947" s="6"/>
      <c r="S4947" s="6"/>
      <c r="T4947" s="6"/>
    </row>
    <row r="4948" spans="4:20" x14ac:dyDescent="0.2">
      <c r="D4948" s="6"/>
      <c r="E4948" s="6"/>
      <c r="F4948" s="6"/>
      <c r="G4948" s="19"/>
      <c r="H4948" s="19"/>
      <c r="I4948" s="19"/>
      <c r="J4948" s="19"/>
      <c r="K4948" s="6"/>
      <c r="L4948" s="6"/>
      <c r="M4948" s="6"/>
      <c r="N4948" s="6"/>
      <c r="O4948" s="6"/>
      <c r="P4948" s="6"/>
      <c r="Q4948" s="6"/>
      <c r="R4948" s="6"/>
      <c r="S4948" s="6"/>
      <c r="T4948" s="6"/>
    </row>
    <row r="4949" spans="4:20" x14ac:dyDescent="0.2">
      <c r="D4949" s="6"/>
      <c r="E4949" s="6"/>
      <c r="F4949" s="6"/>
      <c r="G4949" s="19"/>
      <c r="H4949" s="19"/>
      <c r="I4949" s="19"/>
      <c r="J4949" s="19"/>
      <c r="K4949" s="6"/>
      <c r="L4949" s="6"/>
      <c r="M4949" s="6"/>
      <c r="N4949" s="6"/>
      <c r="O4949" s="6"/>
      <c r="P4949" s="6"/>
      <c r="Q4949" s="6"/>
      <c r="R4949" s="6"/>
      <c r="S4949" s="6"/>
      <c r="T4949" s="6"/>
    </row>
    <row r="4950" spans="4:20" x14ac:dyDescent="0.2">
      <c r="D4950" s="6"/>
      <c r="E4950" s="6"/>
      <c r="F4950" s="6"/>
      <c r="G4950" s="19"/>
      <c r="H4950" s="19"/>
      <c r="I4950" s="19"/>
      <c r="J4950" s="19"/>
      <c r="K4950" s="6"/>
      <c r="L4950" s="6"/>
      <c r="M4950" s="6"/>
      <c r="N4950" s="6"/>
      <c r="O4950" s="6"/>
      <c r="P4950" s="6"/>
      <c r="Q4950" s="6"/>
      <c r="R4950" s="6"/>
      <c r="S4950" s="6"/>
      <c r="T4950" s="6"/>
    </row>
    <row r="4951" spans="4:20" x14ac:dyDescent="0.2">
      <c r="D4951" s="6"/>
      <c r="E4951" s="6"/>
      <c r="F4951" s="6"/>
      <c r="G4951" s="19"/>
      <c r="H4951" s="19"/>
      <c r="I4951" s="19"/>
      <c r="J4951" s="19"/>
      <c r="K4951" s="6"/>
      <c r="L4951" s="6"/>
      <c r="M4951" s="6"/>
      <c r="N4951" s="6"/>
      <c r="O4951" s="6"/>
      <c r="P4951" s="6"/>
      <c r="Q4951" s="6"/>
      <c r="R4951" s="6"/>
      <c r="S4951" s="6"/>
      <c r="T4951" s="6"/>
    </row>
    <row r="4952" spans="4:20" x14ac:dyDescent="0.2">
      <c r="D4952" s="6"/>
      <c r="E4952" s="6"/>
      <c r="F4952" s="6"/>
      <c r="G4952" s="19"/>
      <c r="H4952" s="19"/>
      <c r="I4952" s="19"/>
      <c r="J4952" s="19"/>
      <c r="K4952" s="6"/>
      <c r="L4952" s="6"/>
      <c r="M4952" s="6"/>
      <c r="N4952" s="6"/>
      <c r="O4952" s="6"/>
      <c r="P4952" s="6"/>
      <c r="Q4952" s="6"/>
      <c r="R4952" s="6"/>
      <c r="S4952" s="6"/>
      <c r="T4952" s="6"/>
    </row>
    <row r="4953" spans="4:20" x14ac:dyDescent="0.2">
      <c r="D4953" s="6"/>
      <c r="E4953" s="6"/>
      <c r="F4953" s="6"/>
      <c r="G4953" s="19"/>
      <c r="H4953" s="19"/>
      <c r="I4953" s="19"/>
      <c r="J4953" s="19"/>
      <c r="K4953" s="6"/>
      <c r="L4953" s="6"/>
      <c r="M4953" s="6"/>
      <c r="N4953" s="6"/>
      <c r="O4953" s="6"/>
      <c r="P4953" s="6"/>
      <c r="Q4953" s="6"/>
      <c r="R4953" s="6"/>
      <c r="S4953" s="6"/>
      <c r="T4953" s="6"/>
    </row>
    <row r="4954" spans="4:20" x14ac:dyDescent="0.2">
      <c r="D4954" s="6"/>
      <c r="E4954" s="6"/>
      <c r="F4954" s="6"/>
      <c r="G4954" s="19"/>
      <c r="H4954" s="19"/>
      <c r="I4954" s="19"/>
      <c r="J4954" s="19"/>
      <c r="K4954" s="6"/>
      <c r="L4954" s="6"/>
      <c r="M4954" s="6"/>
      <c r="N4954" s="6"/>
      <c r="O4954" s="6"/>
      <c r="P4954" s="6"/>
      <c r="Q4954" s="6"/>
      <c r="R4954" s="6"/>
      <c r="S4954" s="6"/>
      <c r="T4954" s="6"/>
    </row>
    <row r="4955" spans="4:20" x14ac:dyDescent="0.2">
      <c r="D4955" s="6"/>
      <c r="E4955" s="6"/>
      <c r="F4955" s="6"/>
      <c r="G4955" s="19"/>
      <c r="H4955" s="19"/>
      <c r="I4955" s="19"/>
      <c r="J4955" s="19"/>
      <c r="K4955" s="6"/>
      <c r="L4955" s="6"/>
      <c r="M4955" s="6"/>
      <c r="N4955" s="6"/>
      <c r="O4955" s="6"/>
      <c r="P4955" s="6"/>
      <c r="Q4955" s="6"/>
      <c r="R4955" s="6"/>
      <c r="S4955" s="6"/>
      <c r="T4955" s="6"/>
    </row>
    <row r="4956" spans="4:20" x14ac:dyDescent="0.2">
      <c r="D4956" s="6"/>
      <c r="E4956" s="6"/>
      <c r="F4956" s="6"/>
      <c r="G4956" s="19"/>
      <c r="H4956" s="19"/>
      <c r="I4956" s="19"/>
      <c r="J4956" s="19"/>
      <c r="K4956" s="6"/>
      <c r="L4956" s="6"/>
      <c r="M4956" s="6"/>
      <c r="N4956" s="6"/>
      <c r="O4956" s="6"/>
      <c r="P4956" s="6"/>
      <c r="Q4956" s="6"/>
      <c r="R4956" s="6"/>
      <c r="S4956" s="6"/>
      <c r="T4956" s="6"/>
    </row>
    <row r="4957" spans="4:20" x14ac:dyDescent="0.2">
      <c r="D4957" s="6"/>
      <c r="E4957" s="6"/>
      <c r="F4957" s="6"/>
      <c r="G4957" s="19"/>
      <c r="H4957" s="19"/>
      <c r="I4957" s="19"/>
      <c r="J4957" s="19"/>
      <c r="K4957" s="6"/>
      <c r="L4957" s="6"/>
      <c r="M4957" s="6"/>
      <c r="N4957" s="6"/>
      <c r="O4957" s="6"/>
      <c r="P4957" s="6"/>
      <c r="Q4957" s="6"/>
      <c r="R4957" s="6"/>
      <c r="S4957" s="6"/>
      <c r="T4957" s="6"/>
    </row>
    <row r="4958" spans="4:20" x14ac:dyDescent="0.2">
      <c r="D4958" s="6"/>
      <c r="E4958" s="6"/>
      <c r="F4958" s="6"/>
      <c r="G4958" s="19"/>
      <c r="H4958" s="19"/>
      <c r="I4958" s="19"/>
      <c r="J4958" s="19"/>
      <c r="K4958" s="6"/>
      <c r="L4958" s="6"/>
      <c r="M4958" s="6"/>
      <c r="N4958" s="6"/>
      <c r="O4958" s="6"/>
      <c r="P4958" s="6"/>
      <c r="Q4958" s="6"/>
      <c r="R4958" s="6"/>
      <c r="S4958" s="6"/>
      <c r="T4958" s="6"/>
    </row>
    <row r="4959" spans="4:20" x14ac:dyDescent="0.2">
      <c r="D4959" s="6"/>
      <c r="E4959" s="6"/>
      <c r="F4959" s="6"/>
      <c r="G4959" s="19"/>
      <c r="H4959" s="19"/>
      <c r="I4959" s="19"/>
      <c r="J4959" s="19"/>
      <c r="K4959" s="6"/>
      <c r="L4959" s="6"/>
      <c r="M4959" s="6"/>
      <c r="N4959" s="6"/>
      <c r="O4959" s="6"/>
      <c r="P4959" s="6"/>
      <c r="Q4959" s="6"/>
      <c r="R4959" s="6"/>
      <c r="S4959" s="6"/>
      <c r="T4959" s="6"/>
    </row>
    <row r="4960" spans="4:20" x14ac:dyDescent="0.2">
      <c r="D4960" s="6"/>
      <c r="E4960" s="6"/>
      <c r="F4960" s="6"/>
      <c r="G4960" s="19"/>
      <c r="H4960" s="19"/>
      <c r="I4960" s="19"/>
      <c r="J4960" s="19"/>
      <c r="K4960" s="6"/>
      <c r="L4960" s="6"/>
      <c r="M4960" s="6"/>
      <c r="N4960" s="6"/>
      <c r="O4960" s="6"/>
      <c r="P4960" s="6"/>
      <c r="Q4960" s="6"/>
      <c r="R4960" s="6"/>
      <c r="S4960" s="6"/>
      <c r="T4960" s="6"/>
    </row>
    <row r="4961" spans="4:20" x14ac:dyDescent="0.2">
      <c r="D4961" s="6"/>
      <c r="E4961" s="6"/>
      <c r="F4961" s="6"/>
      <c r="G4961" s="19"/>
      <c r="H4961" s="19"/>
      <c r="I4961" s="19"/>
      <c r="J4961" s="19"/>
      <c r="K4961" s="6"/>
      <c r="L4961" s="6"/>
      <c r="M4961" s="6"/>
      <c r="N4961" s="6"/>
      <c r="O4961" s="6"/>
      <c r="P4961" s="6"/>
      <c r="Q4961" s="6"/>
      <c r="R4961" s="6"/>
      <c r="S4961" s="6"/>
      <c r="T4961" s="6"/>
    </row>
    <row r="4962" spans="4:20" x14ac:dyDescent="0.2">
      <c r="D4962" s="6"/>
      <c r="E4962" s="6"/>
      <c r="F4962" s="6"/>
      <c r="G4962" s="19"/>
      <c r="H4962" s="19"/>
      <c r="I4962" s="19"/>
      <c r="J4962" s="19"/>
      <c r="K4962" s="6"/>
      <c r="L4962" s="6"/>
      <c r="M4962" s="6"/>
      <c r="N4962" s="6"/>
      <c r="O4962" s="6"/>
      <c r="P4962" s="6"/>
      <c r="Q4962" s="6"/>
      <c r="R4962" s="6"/>
      <c r="S4962" s="6"/>
      <c r="T4962" s="6"/>
    </row>
    <row r="4963" spans="4:20" x14ac:dyDescent="0.2">
      <c r="D4963" s="6"/>
      <c r="E4963" s="6"/>
      <c r="F4963" s="6"/>
      <c r="G4963" s="19"/>
      <c r="H4963" s="19"/>
      <c r="I4963" s="19"/>
      <c r="J4963" s="19"/>
      <c r="K4963" s="6"/>
      <c r="L4963" s="6"/>
      <c r="M4963" s="6"/>
      <c r="N4963" s="6"/>
      <c r="O4963" s="6"/>
      <c r="P4963" s="6"/>
      <c r="Q4963" s="6"/>
      <c r="R4963" s="6"/>
      <c r="S4963" s="6"/>
      <c r="T4963" s="6"/>
    </row>
    <row r="4964" spans="4:20" x14ac:dyDescent="0.2">
      <c r="D4964" s="6"/>
      <c r="E4964" s="6"/>
      <c r="F4964" s="6"/>
      <c r="G4964" s="19"/>
      <c r="H4964" s="19"/>
      <c r="I4964" s="19"/>
      <c r="J4964" s="19"/>
      <c r="K4964" s="6"/>
      <c r="L4964" s="6"/>
      <c r="M4964" s="6"/>
      <c r="N4964" s="6"/>
      <c r="O4964" s="6"/>
      <c r="P4964" s="6"/>
      <c r="Q4964" s="6"/>
      <c r="R4964" s="6"/>
      <c r="S4964" s="6"/>
      <c r="T4964" s="6"/>
    </row>
    <row r="4965" spans="4:20" x14ac:dyDescent="0.2">
      <c r="D4965" s="6"/>
      <c r="E4965" s="6"/>
      <c r="F4965" s="6"/>
      <c r="G4965" s="19"/>
      <c r="H4965" s="19"/>
      <c r="I4965" s="19"/>
      <c r="J4965" s="19"/>
      <c r="K4965" s="6"/>
      <c r="L4965" s="6"/>
      <c r="M4965" s="6"/>
      <c r="N4965" s="6"/>
      <c r="O4965" s="6"/>
      <c r="P4965" s="6"/>
      <c r="Q4965" s="6"/>
      <c r="R4965" s="6"/>
      <c r="S4965" s="6"/>
      <c r="T4965" s="6"/>
    </row>
    <row r="4966" spans="4:20" x14ac:dyDescent="0.2">
      <c r="D4966" s="6"/>
      <c r="E4966" s="6"/>
      <c r="F4966" s="6"/>
      <c r="G4966" s="19"/>
      <c r="H4966" s="19"/>
      <c r="I4966" s="19"/>
      <c r="J4966" s="19"/>
      <c r="K4966" s="6"/>
      <c r="L4966" s="6"/>
      <c r="M4966" s="6"/>
      <c r="N4966" s="6"/>
      <c r="O4966" s="6"/>
      <c r="P4966" s="6"/>
      <c r="Q4966" s="6"/>
      <c r="R4966" s="6"/>
      <c r="S4966" s="6"/>
      <c r="T4966" s="6"/>
    </row>
    <row r="4967" spans="4:20" x14ac:dyDescent="0.2">
      <c r="D4967" s="6"/>
      <c r="E4967" s="6"/>
      <c r="F4967" s="6"/>
      <c r="G4967" s="19"/>
      <c r="H4967" s="19"/>
      <c r="I4967" s="19"/>
      <c r="J4967" s="19"/>
      <c r="K4967" s="6"/>
      <c r="L4967" s="6"/>
      <c r="M4967" s="6"/>
      <c r="N4967" s="6"/>
      <c r="O4967" s="6"/>
      <c r="P4967" s="6"/>
      <c r="Q4967" s="6"/>
      <c r="R4967" s="6"/>
      <c r="S4967" s="6"/>
      <c r="T4967" s="6"/>
    </row>
    <row r="4968" spans="4:20" x14ac:dyDescent="0.2">
      <c r="D4968" s="6"/>
      <c r="E4968" s="6"/>
      <c r="F4968" s="6"/>
      <c r="G4968" s="19"/>
      <c r="H4968" s="19"/>
      <c r="I4968" s="19"/>
      <c r="J4968" s="19"/>
      <c r="K4968" s="6"/>
      <c r="L4968" s="6"/>
      <c r="M4968" s="6"/>
      <c r="N4968" s="6"/>
      <c r="O4968" s="6"/>
      <c r="P4968" s="6"/>
      <c r="Q4968" s="6"/>
      <c r="R4968" s="6"/>
      <c r="S4968" s="6"/>
      <c r="T4968" s="6"/>
    </row>
    <row r="4969" spans="4:20" x14ac:dyDescent="0.2">
      <c r="D4969" s="6"/>
      <c r="E4969" s="6"/>
      <c r="F4969" s="6"/>
      <c r="G4969" s="19"/>
      <c r="H4969" s="19"/>
      <c r="I4969" s="19"/>
      <c r="J4969" s="19"/>
      <c r="K4969" s="6"/>
      <c r="L4969" s="6"/>
      <c r="M4969" s="6"/>
      <c r="N4969" s="6"/>
      <c r="O4969" s="6"/>
      <c r="P4969" s="6"/>
      <c r="Q4969" s="6"/>
      <c r="R4969" s="6"/>
      <c r="S4969" s="6"/>
      <c r="T4969" s="6"/>
    </row>
    <row r="4970" spans="4:20" x14ac:dyDescent="0.2">
      <c r="D4970" s="6"/>
      <c r="E4970" s="6"/>
      <c r="F4970" s="6"/>
      <c r="G4970" s="19"/>
      <c r="H4970" s="19"/>
      <c r="I4970" s="19"/>
      <c r="J4970" s="19"/>
      <c r="K4970" s="6"/>
      <c r="L4970" s="6"/>
      <c r="M4970" s="6"/>
      <c r="N4970" s="6"/>
      <c r="O4970" s="6"/>
      <c r="P4970" s="6"/>
      <c r="Q4970" s="6"/>
      <c r="R4970" s="6"/>
      <c r="S4970" s="6"/>
      <c r="T4970" s="6"/>
    </row>
    <row r="4971" spans="4:20" x14ac:dyDescent="0.2">
      <c r="D4971" s="6"/>
      <c r="E4971" s="6"/>
      <c r="F4971" s="6"/>
      <c r="G4971" s="19"/>
      <c r="H4971" s="19"/>
      <c r="I4971" s="19"/>
      <c r="J4971" s="19"/>
      <c r="K4971" s="6"/>
      <c r="L4971" s="6"/>
      <c r="M4971" s="6"/>
      <c r="N4971" s="6"/>
      <c r="O4971" s="6"/>
      <c r="P4971" s="6"/>
      <c r="Q4971" s="6"/>
      <c r="R4971" s="6"/>
      <c r="S4971" s="6"/>
      <c r="T4971" s="6"/>
    </row>
    <row r="4972" spans="4:20" x14ac:dyDescent="0.2">
      <c r="D4972" s="6"/>
      <c r="E4972" s="6"/>
      <c r="F4972" s="6"/>
      <c r="G4972" s="19"/>
      <c r="H4972" s="19"/>
      <c r="I4972" s="19"/>
      <c r="J4972" s="19"/>
      <c r="K4972" s="6"/>
      <c r="L4972" s="6"/>
      <c r="M4972" s="6"/>
      <c r="N4972" s="6"/>
      <c r="O4972" s="6"/>
      <c r="P4972" s="6"/>
      <c r="Q4972" s="6"/>
      <c r="R4972" s="6"/>
      <c r="S4972" s="6"/>
      <c r="T4972" s="6"/>
    </row>
    <row r="4973" spans="4:20" x14ac:dyDescent="0.2">
      <c r="D4973" s="6"/>
      <c r="E4973" s="6"/>
      <c r="F4973" s="6"/>
      <c r="G4973" s="19"/>
      <c r="H4973" s="19"/>
      <c r="I4973" s="19"/>
      <c r="J4973" s="19"/>
      <c r="K4973" s="6"/>
      <c r="L4973" s="6"/>
      <c r="M4973" s="6"/>
      <c r="N4973" s="6"/>
      <c r="O4973" s="6"/>
      <c r="P4973" s="6"/>
      <c r="Q4973" s="6"/>
      <c r="R4973" s="6"/>
      <c r="S4973" s="6"/>
      <c r="T4973" s="6"/>
    </row>
    <row r="4974" spans="4:20" x14ac:dyDescent="0.2">
      <c r="D4974" s="6"/>
      <c r="E4974" s="6"/>
      <c r="F4974" s="6"/>
      <c r="G4974" s="19"/>
      <c r="H4974" s="19"/>
      <c r="I4974" s="19"/>
      <c r="J4974" s="19"/>
      <c r="K4974" s="6"/>
      <c r="L4974" s="6"/>
      <c r="M4974" s="6"/>
      <c r="N4974" s="6"/>
      <c r="O4974" s="6"/>
      <c r="P4974" s="6"/>
      <c r="Q4974" s="6"/>
      <c r="R4974" s="6"/>
      <c r="S4974" s="6"/>
      <c r="T4974" s="6"/>
    </row>
    <row r="4975" spans="4:20" x14ac:dyDescent="0.2">
      <c r="D4975" s="6"/>
      <c r="E4975" s="6"/>
      <c r="F4975" s="6"/>
      <c r="G4975" s="19"/>
      <c r="H4975" s="19"/>
      <c r="I4975" s="19"/>
      <c r="J4975" s="19"/>
      <c r="K4975" s="6"/>
      <c r="L4975" s="6"/>
      <c r="M4975" s="6"/>
      <c r="N4975" s="6"/>
      <c r="O4975" s="6"/>
      <c r="P4975" s="6"/>
      <c r="Q4975" s="6"/>
      <c r="R4975" s="6"/>
      <c r="S4975" s="6"/>
      <c r="T4975" s="6"/>
    </row>
    <row r="4976" spans="4:20" x14ac:dyDescent="0.2">
      <c r="D4976" s="6"/>
      <c r="E4976" s="6"/>
      <c r="F4976" s="6"/>
      <c r="G4976" s="19"/>
      <c r="H4976" s="19"/>
      <c r="I4976" s="19"/>
      <c r="J4976" s="19"/>
      <c r="K4976" s="6"/>
      <c r="L4976" s="6"/>
      <c r="M4976" s="6"/>
      <c r="N4976" s="6"/>
      <c r="O4976" s="6"/>
      <c r="P4976" s="6"/>
      <c r="Q4976" s="6"/>
      <c r="R4976" s="6"/>
      <c r="S4976" s="6"/>
      <c r="T4976" s="6"/>
    </row>
    <row r="4977" spans="4:20" x14ac:dyDescent="0.2">
      <c r="D4977" s="6"/>
      <c r="E4977" s="6"/>
      <c r="F4977" s="6"/>
      <c r="G4977" s="19"/>
      <c r="H4977" s="19"/>
      <c r="I4977" s="19"/>
      <c r="J4977" s="19"/>
      <c r="K4977" s="6"/>
      <c r="L4977" s="6"/>
      <c r="M4977" s="6"/>
      <c r="N4977" s="6"/>
      <c r="O4977" s="6"/>
      <c r="P4977" s="6"/>
      <c r="Q4977" s="6"/>
      <c r="R4977" s="6"/>
      <c r="S4977" s="6"/>
      <c r="T4977" s="6"/>
    </row>
    <row r="4978" spans="4:20" x14ac:dyDescent="0.2">
      <c r="D4978" s="6"/>
      <c r="E4978" s="6"/>
      <c r="F4978" s="6"/>
      <c r="G4978" s="19"/>
      <c r="H4978" s="19"/>
      <c r="I4978" s="19"/>
      <c r="J4978" s="19"/>
      <c r="K4978" s="6"/>
      <c r="L4978" s="6"/>
      <c r="M4978" s="6"/>
      <c r="N4978" s="6"/>
      <c r="O4978" s="6"/>
      <c r="P4978" s="6"/>
      <c r="Q4978" s="6"/>
      <c r="R4978" s="6"/>
      <c r="S4978" s="6"/>
      <c r="T4978" s="6"/>
    </row>
    <row r="4979" spans="4:20" x14ac:dyDescent="0.2">
      <c r="D4979" s="6"/>
      <c r="E4979" s="6"/>
      <c r="F4979" s="6"/>
      <c r="G4979" s="19"/>
      <c r="H4979" s="19"/>
      <c r="I4979" s="19"/>
      <c r="J4979" s="19"/>
      <c r="K4979" s="6"/>
      <c r="L4979" s="6"/>
      <c r="M4979" s="6"/>
      <c r="N4979" s="6"/>
      <c r="O4979" s="6"/>
      <c r="P4979" s="6"/>
      <c r="Q4979" s="6"/>
      <c r="R4979" s="6"/>
      <c r="S4979" s="6"/>
      <c r="T4979" s="6"/>
    </row>
    <row r="4980" spans="4:20" x14ac:dyDescent="0.2">
      <c r="D4980" s="6"/>
      <c r="E4980" s="6"/>
      <c r="F4980" s="6"/>
      <c r="G4980" s="19"/>
      <c r="H4980" s="19"/>
      <c r="I4980" s="19"/>
      <c r="J4980" s="19"/>
      <c r="K4980" s="6"/>
      <c r="L4980" s="6"/>
      <c r="M4980" s="6"/>
      <c r="N4980" s="6"/>
      <c r="O4980" s="6"/>
      <c r="P4980" s="6"/>
      <c r="Q4980" s="6"/>
      <c r="R4980" s="6"/>
      <c r="S4980" s="6"/>
      <c r="T4980" s="6"/>
    </row>
    <row r="4981" spans="4:20" x14ac:dyDescent="0.2">
      <c r="D4981" s="6"/>
      <c r="E4981" s="6"/>
      <c r="F4981" s="6"/>
      <c r="G4981" s="19"/>
      <c r="H4981" s="19"/>
      <c r="I4981" s="19"/>
      <c r="J4981" s="19"/>
      <c r="K4981" s="6"/>
      <c r="L4981" s="6"/>
      <c r="M4981" s="6"/>
      <c r="N4981" s="6"/>
      <c r="O4981" s="6"/>
      <c r="P4981" s="6"/>
      <c r="Q4981" s="6"/>
      <c r="R4981" s="6"/>
      <c r="S4981" s="6"/>
      <c r="T4981" s="6"/>
    </row>
    <row r="4982" spans="4:20" x14ac:dyDescent="0.2">
      <c r="D4982" s="6"/>
      <c r="E4982" s="6"/>
      <c r="F4982" s="6"/>
      <c r="G4982" s="19"/>
      <c r="H4982" s="19"/>
      <c r="I4982" s="19"/>
      <c r="J4982" s="19"/>
      <c r="K4982" s="6"/>
      <c r="L4982" s="6"/>
      <c r="M4982" s="6"/>
      <c r="N4982" s="6"/>
      <c r="O4982" s="6"/>
      <c r="P4982" s="6"/>
      <c r="Q4982" s="6"/>
      <c r="R4982" s="6"/>
      <c r="S4982" s="6"/>
      <c r="T4982" s="6"/>
    </row>
    <row r="4983" spans="4:20" x14ac:dyDescent="0.2">
      <c r="D4983" s="6"/>
      <c r="E4983" s="6"/>
      <c r="F4983" s="6"/>
      <c r="G4983" s="19"/>
      <c r="H4983" s="19"/>
      <c r="I4983" s="19"/>
      <c r="J4983" s="19"/>
      <c r="K4983" s="6"/>
      <c r="L4983" s="6"/>
      <c r="M4983" s="6"/>
      <c r="N4983" s="6"/>
      <c r="O4983" s="6"/>
      <c r="P4983" s="6"/>
      <c r="Q4983" s="6"/>
      <c r="R4983" s="6"/>
      <c r="S4983" s="6"/>
      <c r="T4983" s="6"/>
    </row>
    <row r="4984" spans="4:20" x14ac:dyDescent="0.2">
      <c r="D4984" s="6"/>
      <c r="E4984" s="6"/>
      <c r="F4984" s="6"/>
      <c r="G4984" s="19"/>
      <c r="H4984" s="19"/>
      <c r="I4984" s="19"/>
      <c r="J4984" s="19"/>
      <c r="K4984" s="6"/>
      <c r="L4984" s="6"/>
      <c r="M4984" s="6"/>
      <c r="N4984" s="6"/>
      <c r="O4984" s="6"/>
      <c r="P4984" s="6"/>
      <c r="Q4984" s="6"/>
      <c r="R4984" s="6"/>
      <c r="S4984" s="6"/>
      <c r="T4984" s="6"/>
    </row>
    <row r="4985" spans="4:20" x14ac:dyDescent="0.2">
      <c r="D4985" s="6"/>
      <c r="E4985" s="6"/>
      <c r="F4985" s="6"/>
      <c r="G4985" s="19"/>
      <c r="H4985" s="19"/>
      <c r="I4985" s="19"/>
      <c r="J4985" s="19"/>
      <c r="K4985" s="6"/>
      <c r="L4985" s="6"/>
      <c r="M4985" s="6"/>
      <c r="N4985" s="6"/>
      <c r="O4985" s="6"/>
      <c r="P4985" s="6"/>
      <c r="Q4985" s="6"/>
      <c r="R4985" s="6"/>
      <c r="S4985" s="6"/>
      <c r="T4985" s="6"/>
    </row>
    <row r="4986" spans="4:20" x14ac:dyDescent="0.2">
      <c r="D4986" s="6"/>
      <c r="E4986" s="6"/>
      <c r="F4986" s="6"/>
      <c r="G4986" s="19"/>
      <c r="H4986" s="19"/>
      <c r="I4986" s="19"/>
      <c r="J4986" s="19"/>
      <c r="K4986" s="6"/>
      <c r="L4986" s="6"/>
      <c r="M4986" s="6"/>
      <c r="N4986" s="6"/>
      <c r="O4986" s="6"/>
      <c r="P4986" s="6"/>
      <c r="Q4986" s="6"/>
      <c r="R4986" s="6"/>
      <c r="S4986" s="6"/>
      <c r="T4986" s="6"/>
    </row>
    <row r="4987" spans="4:20" x14ac:dyDescent="0.2">
      <c r="D4987" s="6"/>
      <c r="E4987" s="6"/>
      <c r="F4987" s="6"/>
      <c r="G4987" s="19"/>
      <c r="H4987" s="19"/>
      <c r="I4987" s="19"/>
      <c r="J4987" s="19"/>
      <c r="K4987" s="6"/>
      <c r="L4987" s="6"/>
      <c r="M4987" s="6"/>
      <c r="N4987" s="6"/>
      <c r="O4987" s="6"/>
      <c r="P4987" s="6"/>
      <c r="Q4987" s="6"/>
      <c r="R4987" s="6"/>
      <c r="S4987" s="6"/>
      <c r="T4987" s="6"/>
    </row>
    <row r="4988" spans="4:20" x14ac:dyDescent="0.2">
      <c r="D4988" s="6"/>
      <c r="E4988" s="6"/>
      <c r="F4988" s="6"/>
      <c r="G4988" s="19"/>
      <c r="H4988" s="19"/>
      <c r="I4988" s="19"/>
      <c r="J4988" s="19"/>
      <c r="K4988" s="6"/>
      <c r="L4988" s="6"/>
      <c r="M4988" s="6"/>
      <c r="N4988" s="6"/>
      <c r="O4988" s="6"/>
      <c r="P4988" s="6"/>
      <c r="Q4988" s="6"/>
      <c r="R4988" s="6"/>
      <c r="S4988" s="6"/>
      <c r="T4988" s="6"/>
    </row>
    <row r="4989" spans="4:20" x14ac:dyDescent="0.2">
      <c r="D4989" s="6"/>
      <c r="E4989" s="6"/>
      <c r="F4989" s="6"/>
      <c r="G4989" s="19"/>
      <c r="H4989" s="19"/>
      <c r="I4989" s="19"/>
      <c r="J4989" s="19"/>
      <c r="K4989" s="6"/>
      <c r="L4989" s="6"/>
      <c r="M4989" s="6"/>
      <c r="N4989" s="6"/>
      <c r="O4989" s="6"/>
      <c r="P4989" s="6"/>
      <c r="Q4989" s="6"/>
      <c r="R4989" s="6"/>
      <c r="S4989" s="6"/>
      <c r="T4989" s="6"/>
    </row>
    <row r="4990" spans="4:20" x14ac:dyDescent="0.2">
      <c r="D4990" s="6"/>
      <c r="E4990" s="6"/>
      <c r="F4990" s="6"/>
      <c r="G4990" s="19"/>
      <c r="H4990" s="19"/>
      <c r="I4990" s="19"/>
      <c r="J4990" s="19"/>
      <c r="K4990" s="6"/>
      <c r="L4990" s="6"/>
      <c r="M4990" s="6"/>
      <c r="N4990" s="6"/>
      <c r="O4990" s="6"/>
      <c r="P4990" s="6"/>
      <c r="Q4990" s="6"/>
      <c r="R4990" s="6"/>
      <c r="S4990" s="6"/>
      <c r="T4990" s="6"/>
    </row>
    <row r="4991" spans="4:20" x14ac:dyDescent="0.2">
      <c r="D4991" s="6"/>
      <c r="E4991" s="6"/>
      <c r="F4991" s="6"/>
      <c r="G4991" s="19"/>
      <c r="H4991" s="19"/>
      <c r="I4991" s="19"/>
      <c r="J4991" s="19"/>
      <c r="K4991" s="6"/>
      <c r="L4991" s="6"/>
      <c r="M4991" s="6"/>
      <c r="N4991" s="6"/>
      <c r="O4991" s="6"/>
      <c r="P4991" s="6"/>
      <c r="Q4991" s="6"/>
      <c r="R4991" s="6"/>
      <c r="S4991" s="6"/>
      <c r="T4991" s="6"/>
    </row>
    <row r="4992" spans="4:20" x14ac:dyDescent="0.2">
      <c r="D4992" s="6"/>
      <c r="E4992" s="6"/>
      <c r="F4992" s="6"/>
      <c r="G4992" s="19"/>
      <c r="H4992" s="19"/>
      <c r="I4992" s="19"/>
      <c r="J4992" s="19"/>
      <c r="K4992" s="6"/>
      <c r="L4992" s="6"/>
      <c r="M4992" s="6"/>
      <c r="N4992" s="6"/>
      <c r="O4992" s="6"/>
      <c r="P4992" s="6"/>
      <c r="Q4992" s="6"/>
      <c r="R4992" s="6"/>
      <c r="S4992" s="6"/>
      <c r="T4992" s="6"/>
    </row>
    <row r="4993" spans="4:20" x14ac:dyDescent="0.2">
      <c r="D4993" s="6"/>
      <c r="E4993" s="6"/>
      <c r="F4993" s="6"/>
      <c r="G4993" s="19"/>
      <c r="H4993" s="19"/>
      <c r="I4993" s="19"/>
      <c r="J4993" s="19"/>
      <c r="K4993" s="6"/>
      <c r="L4993" s="6"/>
      <c r="M4993" s="6"/>
      <c r="N4993" s="6"/>
      <c r="O4993" s="6"/>
      <c r="P4993" s="6"/>
      <c r="Q4993" s="6"/>
      <c r="R4993" s="6"/>
      <c r="S4993" s="6"/>
      <c r="T4993" s="6"/>
    </row>
    <row r="4994" spans="4:20" x14ac:dyDescent="0.2">
      <c r="D4994" s="6"/>
      <c r="E4994" s="6"/>
      <c r="F4994" s="6"/>
      <c r="G4994" s="19"/>
      <c r="H4994" s="19"/>
      <c r="I4994" s="19"/>
      <c r="J4994" s="19"/>
      <c r="K4994" s="6"/>
      <c r="L4994" s="6"/>
      <c r="M4994" s="6"/>
      <c r="N4994" s="6"/>
      <c r="O4994" s="6"/>
      <c r="P4994" s="6"/>
      <c r="Q4994" s="6"/>
      <c r="R4994" s="6"/>
      <c r="S4994" s="6"/>
      <c r="T4994" s="6"/>
    </row>
    <row r="4995" spans="4:20" x14ac:dyDescent="0.2">
      <c r="D4995" s="6"/>
      <c r="E4995" s="6"/>
      <c r="F4995" s="6"/>
      <c r="G4995" s="19"/>
      <c r="H4995" s="19"/>
      <c r="I4995" s="19"/>
      <c r="J4995" s="19"/>
      <c r="K4995" s="6"/>
      <c r="L4995" s="6"/>
      <c r="M4995" s="6"/>
      <c r="N4995" s="6"/>
      <c r="O4995" s="6"/>
      <c r="P4995" s="6"/>
      <c r="Q4995" s="6"/>
      <c r="R4995" s="6"/>
      <c r="S4995" s="6"/>
      <c r="T4995" s="6"/>
    </row>
    <row r="4996" spans="4:20" x14ac:dyDescent="0.2">
      <c r="D4996" s="6"/>
      <c r="E4996" s="6"/>
      <c r="F4996" s="6"/>
      <c r="G4996" s="19"/>
      <c r="H4996" s="19"/>
      <c r="I4996" s="19"/>
      <c r="J4996" s="19"/>
      <c r="K4996" s="6"/>
      <c r="L4996" s="6"/>
      <c r="M4996" s="6"/>
      <c r="N4996" s="6"/>
      <c r="O4996" s="6"/>
      <c r="P4996" s="6"/>
      <c r="Q4996" s="6"/>
      <c r="R4996" s="6"/>
      <c r="S4996" s="6"/>
      <c r="T4996" s="6"/>
    </row>
    <row r="4997" spans="4:20" x14ac:dyDescent="0.2">
      <c r="D4997" s="6"/>
      <c r="E4997" s="6"/>
      <c r="F4997" s="6"/>
      <c r="G4997" s="19"/>
      <c r="H4997" s="19"/>
      <c r="I4997" s="19"/>
      <c r="J4997" s="19"/>
      <c r="K4997" s="6"/>
      <c r="L4997" s="6"/>
      <c r="M4997" s="6"/>
      <c r="N4997" s="6"/>
      <c r="O4997" s="6"/>
      <c r="P4997" s="6"/>
      <c r="Q4997" s="6"/>
      <c r="R4997" s="6"/>
      <c r="S4997" s="6"/>
      <c r="T4997" s="6"/>
    </row>
    <row r="4998" spans="4:20" x14ac:dyDescent="0.2">
      <c r="D4998" s="6"/>
      <c r="E4998" s="6"/>
      <c r="F4998" s="6"/>
      <c r="G4998" s="19"/>
      <c r="H4998" s="19"/>
      <c r="I4998" s="19"/>
      <c r="J4998" s="19"/>
      <c r="K4998" s="6"/>
      <c r="L4998" s="6"/>
      <c r="M4998" s="6"/>
      <c r="N4998" s="6"/>
      <c r="O4998" s="6"/>
      <c r="P4998" s="6"/>
      <c r="Q4998" s="6"/>
      <c r="R4998" s="6"/>
      <c r="S4998" s="6"/>
      <c r="T4998" s="6"/>
    </row>
    <row r="4999" spans="4:20" x14ac:dyDescent="0.2">
      <c r="D4999" s="6"/>
      <c r="E4999" s="6"/>
      <c r="F4999" s="6"/>
      <c r="G4999" s="19"/>
      <c r="H4999" s="19"/>
      <c r="I4999" s="19"/>
      <c r="J4999" s="19"/>
      <c r="K4999" s="6"/>
      <c r="L4999" s="6"/>
      <c r="M4999" s="6"/>
      <c r="N4999" s="6"/>
      <c r="O4999" s="6"/>
      <c r="P4999" s="6"/>
      <c r="Q4999" s="6"/>
      <c r="R4999" s="6"/>
      <c r="S4999" s="6"/>
      <c r="T4999" s="6"/>
    </row>
    <row r="5000" spans="4:20" x14ac:dyDescent="0.2">
      <c r="D5000" s="6"/>
      <c r="E5000" s="6"/>
      <c r="F5000" s="6"/>
      <c r="G5000" s="19"/>
      <c r="H5000" s="19"/>
      <c r="I5000" s="19"/>
      <c r="J5000" s="19"/>
      <c r="K5000" s="6"/>
      <c r="L5000" s="6"/>
      <c r="M5000" s="6"/>
      <c r="N5000" s="6"/>
      <c r="O5000" s="6"/>
      <c r="P5000" s="6"/>
      <c r="Q5000" s="6"/>
      <c r="R5000" s="6"/>
      <c r="S5000" s="6"/>
      <c r="T5000" s="6"/>
    </row>
    <row r="5001" spans="4:20" x14ac:dyDescent="0.2">
      <c r="D5001" s="6"/>
      <c r="E5001" s="6"/>
      <c r="F5001" s="6"/>
      <c r="G5001" s="19"/>
      <c r="H5001" s="19"/>
      <c r="I5001" s="19"/>
      <c r="J5001" s="19"/>
      <c r="K5001" s="6"/>
      <c r="L5001" s="6"/>
      <c r="M5001" s="6"/>
      <c r="N5001" s="6"/>
      <c r="O5001" s="6"/>
      <c r="P5001" s="6"/>
      <c r="Q5001" s="6"/>
      <c r="R5001" s="6"/>
      <c r="S5001" s="6"/>
      <c r="T5001" s="6"/>
    </row>
    <row r="5002" spans="4:20" x14ac:dyDescent="0.2">
      <c r="D5002" s="6"/>
      <c r="E5002" s="6"/>
      <c r="F5002" s="6"/>
      <c r="G5002" s="19"/>
      <c r="H5002" s="19"/>
      <c r="I5002" s="19"/>
      <c r="J5002" s="19"/>
      <c r="K5002" s="6"/>
      <c r="L5002" s="6"/>
      <c r="M5002" s="6"/>
      <c r="N5002" s="6"/>
      <c r="O5002" s="6"/>
      <c r="P5002" s="6"/>
      <c r="Q5002" s="6"/>
      <c r="R5002" s="6"/>
      <c r="S5002" s="6"/>
      <c r="T5002" s="6"/>
    </row>
    <row r="5003" spans="4:20" x14ac:dyDescent="0.2">
      <c r="D5003" s="6"/>
      <c r="E5003" s="6"/>
      <c r="F5003" s="6"/>
      <c r="G5003" s="19"/>
      <c r="H5003" s="19"/>
      <c r="I5003" s="19"/>
      <c r="J5003" s="19"/>
      <c r="K5003" s="6"/>
      <c r="L5003" s="6"/>
      <c r="M5003" s="6"/>
      <c r="N5003" s="6"/>
      <c r="O5003" s="6"/>
      <c r="P5003" s="6"/>
      <c r="Q5003" s="6"/>
      <c r="R5003" s="6"/>
      <c r="S5003" s="6"/>
      <c r="T5003" s="6"/>
    </row>
    <row r="5004" spans="4:20" x14ac:dyDescent="0.2">
      <c r="D5004" s="6"/>
      <c r="E5004" s="6"/>
      <c r="F5004" s="6"/>
      <c r="G5004" s="19"/>
      <c r="H5004" s="19"/>
      <c r="I5004" s="19"/>
      <c r="J5004" s="19"/>
      <c r="K5004" s="6"/>
      <c r="L5004" s="6"/>
      <c r="M5004" s="6"/>
      <c r="N5004" s="6"/>
      <c r="O5004" s="6"/>
      <c r="P5004" s="6"/>
      <c r="Q5004" s="6"/>
      <c r="R5004" s="6"/>
      <c r="S5004" s="6"/>
      <c r="T5004" s="6"/>
    </row>
    <row r="5005" spans="4:20" x14ac:dyDescent="0.2">
      <c r="D5005" s="6"/>
      <c r="E5005" s="6"/>
      <c r="F5005" s="6"/>
      <c r="G5005" s="19"/>
      <c r="H5005" s="19"/>
      <c r="I5005" s="19"/>
      <c r="J5005" s="19"/>
      <c r="K5005" s="6"/>
      <c r="L5005" s="6"/>
      <c r="M5005" s="6"/>
      <c r="N5005" s="6"/>
      <c r="O5005" s="6"/>
      <c r="P5005" s="6"/>
      <c r="Q5005" s="6"/>
      <c r="R5005" s="6"/>
      <c r="S5005" s="6"/>
      <c r="T5005" s="6"/>
    </row>
  </sheetData>
  <mergeCells count="2">
    <mergeCell ref="A1:T1"/>
    <mergeCell ref="A2:T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F0"/>
  </sheetPr>
  <dimension ref="A1:O10"/>
  <sheetViews>
    <sheetView workbookViewId="0">
      <selection sqref="A1:O1"/>
    </sheetView>
  </sheetViews>
  <sheetFormatPr defaultRowHeight="15" x14ac:dyDescent="0.2"/>
  <cols>
    <col min="1" max="2" width="34.03125" customWidth="1"/>
    <col min="3" max="14" width="20.04296875" customWidth="1"/>
    <col min="15" max="15" width="39.01171875" customWidth="1"/>
  </cols>
  <sheetData>
    <row r="1" spans="1:15" ht="33.950000000000003" customHeight="1" x14ac:dyDescent="0.3">
      <c r="A1" s="101" t="s">
        <v>1073</v>
      </c>
      <c r="B1" s="80"/>
      <c r="C1" s="80"/>
      <c r="D1" s="80"/>
      <c r="E1" s="80"/>
      <c r="F1" s="80"/>
      <c r="G1" s="80"/>
      <c r="H1" s="80"/>
      <c r="I1" s="80"/>
      <c r="J1" s="80"/>
      <c r="K1" s="80"/>
      <c r="L1" s="80"/>
      <c r="M1" s="80"/>
      <c r="N1" s="80"/>
      <c r="O1" s="80"/>
    </row>
    <row r="2" spans="1:15" ht="23.1" customHeight="1" x14ac:dyDescent="0.2">
      <c r="A2" s="102" t="s">
        <v>1074</v>
      </c>
      <c r="B2" s="80"/>
      <c r="C2" s="80"/>
      <c r="D2" s="80"/>
      <c r="E2" s="80"/>
      <c r="F2" s="80"/>
      <c r="G2" s="80"/>
      <c r="H2" s="80"/>
      <c r="I2" s="80"/>
      <c r="J2" s="80"/>
      <c r="K2" s="80"/>
      <c r="L2" s="80"/>
      <c r="M2" s="80"/>
      <c r="N2" s="80"/>
      <c r="O2" s="80"/>
    </row>
    <row r="3" spans="1:15" ht="23.1" customHeight="1" x14ac:dyDescent="0.2">
      <c r="A3" s="80"/>
      <c r="B3" s="80"/>
      <c r="C3" s="80"/>
      <c r="D3" s="80"/>
      <c r="E3" s="80"/>
      <c r="F3" s="80"/>
      <c r="G3" s="80"/>
      <c r="H3" s="80"/>
      <c r="I3" s="80"/>
      <c r="J3" s="80"/>
      <c r="K3" s="80"/>
      <c r="L3" s="80"/>
      <c r="M3" s="80"/>
      <c r="N3" s="80"/>
      <c r="O3" s="80"/>
    </row>
    <row r="4" spans="1:15" x14ac:dyDescent="0.2">
      <c r="A4" s="1"/>
      <c r="B4" s="1"/>
      <c r="C4" s="1"/>
      <c r="D4" s="1"/>
      <c r="E4" s="1"/>
      <c r="F4" s="1"/>
      <c r="G4" s="1"/>
      <c r="H4" s="1"/>
      <c r="I4" s="1"/>
      <c r="J4" s="1"/>
      <c r="K4" s="1"/>
      <c r="L4" s="1"/>
      <c r="M4" s="1"/>
      <c r="N4" s="1"/>
      <c r="O4" s="1"/>
    </row>
    <row r="5" spans="1:15" ht="42" customHeight="1" x14ac:dyDescent="0.2">
      <c r="A5" s="5" t="s">
        <v>122</v>
      </c>
      <c r="B5" s="5" t="s">
        <v>126</v>
      </c>
      <c r="C5" s="5" t="s">
        <v>1075</v>
      </c>
      <c r="D5" s="5" t="s">
        <v>1076</v>
      </c>
      <c r="E5" s="5" t="s">
        <v>1077</v>
      </c>
      <c r="F5" s="5" t="s">
        <v>1078</v>
      </c>
      <c r="G5" s="5" t="s">
        <v>1079</v>
      </c>
      <c r="H5" s="5" t="s">
        <v>1080</v>
      </c>
      <c r="I5" s="5" t="s">
        <v>1081</v>
      </c>
      <c r="J5" s="5" t="s">
        <v>1082</v>
      </c>
      <c r="K5" s="5" t="s">
        <v>1083</v>
      </c>
      <c r="L5" s="5" t="s">
        <v>1084</v>
      </c>
      <c r="M5" s="5" t="s">
        <v>1085</v>
      </c>
      <c r="N5" s="5" t="s">
        <v>1086</v>
      </c>
      <c r="O5" s="5" t="s">
        <v>440</v>
      </c>
    </row>
    <row r="6" spans="1:15" ht="21.95" customHeight="1" x14ac:dyDescent="0.2">
      <c r="A6" s="7" t="s">
        <v>127</v>
      </c>
      <c r="B6" s="7" t="s">
        <v>1087</v>
      </c>
      <c r="C6" s="11">
        <v>300</v>
      </c>
      <c r="D6" s="11">
        <v>4</v>
      </c>
      <c r="E6" s="11">
        <v>12</v>
      </c>
      <c r="F6" s="11">
        <v>0.25</v>
      </c>
      <c r="G6" s="11">
        <f>AVERAGE(Scenario_Snapshots!E6:E15)</f>
        <v>1067.8566572620803</v>
      </c>
      <c r="H6" s="11">
        <f>AVERAGE(Scenario_Snapshots!F6:F15)</f>
        <v>280.18075382694911</v>
      </c>
      <c r="I6" s="11">
        <f>G6-H6</f>
        <v>787.6759034351312</v>
      </c>
      <c r="J6" s="20">
        <f>AVERAGE(Scenario_Snapshots!G6:G15)</f>
        <v>0.10700000000000001</v>
      </c>
      <c r="K6" s="20">
        <f>AVERAGE(Scenario_Snapshots!H6:H15)</f>
        <v>0.29000000000000004</v>
      </c>
      <c r="L6" s="20">
        <f>1-AVERAGE(Scenario_Snapshots!I6:I15)</f>
        <v>0.54100000000000004</v>
      </c>
      <c r="M6" s="20">
        <f>1-AVERAGE(Scenario_Snapshots!J6:J15)</f>
        <v>0</v>
      </c>
      <c r="N6" s="21">
        <v>4.5474735088646412E-13</v>
      </c>
      <c r="O6" s="7" t="str">
        <f>IF(ABS(I6)&lt;0.000001,"TIE (verification)",IF(I6&gt;0,"EDGE LOWER (assumed case)","GROUND LOWER (assumed case)"))</f>
        <v>EDGE LOWER (assumed case)</v>
      </c>
    </row>
    <row r="7" spans="1:15" ht="21.95" customHeight="1" x14ac:dyDescent="0.2">
      <c r="A7" s="7" t="s">
        <v>129</v>
      </c>
      <c r="B7" s="7" t="s">
        <v>1088</v>
      </c>
      <c r="C7" s="11">
        <v>1</v>
      </c>
      <c r="D7" s="11">
        <v>4</v>
      </c>
      <c r="E7" s="11">
        <v>12</v>
      </c>
      <c r="F7" s="11">
        <v>0.25</v>
      </c>
      <c r="G7" s="11">
        <f>AVERAGE(Scenario_Snapshots!E16:E25)</f>
        <v>16.175253873657272</v>
      </c>
      <c r="H7" s="11">
        <f>AVERAGE(Scenario_Snapshots!F16:F25)</f>
        <v>262.43537715223857</v>
      </c>
      <c r="I7" s="11">
        <f>G7-H7</f>
        <v>-246.26012327858129</v>
      </c>
      <c r="J7" s="20">
        <f>AVERAGE(Scenario_Snapshots!G16:G25)</f>
        <v>0.98199999999999998</v>
      </c>
      <c r="K7" s="20">
        <f>AVERAGE(Scenario_Snapshots!H16:H25)</f>
        <v>0.30199999999999994</v>
      </c>
      <c r="L7" s="20">
        <f>1-AVERAGE(Scenario_Snapshots!I16:I25)</f>
        <v>0</v>
      </c>
      <c r="M7" s="20">
        <f>1-AVERAGE(Scenario_Snapshots!J16:J25)</f>
        <v>0</v>
      </c>
      <c r="N7" s="21">
        <v>2.2737367544323211E-13</v>
      </c>
      <c r="O7" s="7" t="str">
        <f>IF(ABS(I7)&lt;0.000001,"TIE (verification)",IF(I7&gt;0,"EDGE LOWER (assumed case)","GROUND LOWER (assumed case)"))</f>
        <v>GROUND LOWER (assumed case)</v>
      </c>
    </row>
    <row r="8" spans="1:15" ht="21.95" customHeight="1" x14ac:dyDescent="0.2">
      <c r="A8" s="7" t="s">
        <v>131</v>
      </c>
      <c r="B8" s="7" t="s">
        <v>1089</v>
      </c>
      <c r="C8" s="11">
        <v>300</v>
      </c>
      <c r="D8" s="11">
        <v>4</v>
      </c>
      <c r="E8" s="11">
        <v>12</v>
      </c>
      <c r="F8" s="11">
        <v>1</v>
      </c>
      <c r="G8" s="11">
        <f>AVERAGE(Scenario_Snapshots!E26:E35)</f>
        <v>1067.8566572620803</v>
      </c>
      <c r="H8" s="11">
        <f>AVERAGE(Scenario_Snapshots!F26:F35)</f>
        <v>1072.3113551443928</v>
      </c>
      <c r="I8" s="11">
        <f>G8-H8</f>
        <v>-4.4546978823125301</v>
      </c>
      <c r="J8" s="20">
        <f>AVERAGE(Scenario_Snapshots!G26:G35)</f>
        <v>0.10700000000000001</v>
      </c>
      <c r="K8" s="20">
        <f>AVERAGE(Scenario_Snapshots!H26:H35)</f>
        <v>9.3999999999999986E-2</v>
      </c>
      <c r="L8" s="20">
        <f>1-AVERAGE(Scenario_Snapshots!I26:I35)</f>
        <v>0.54100000000000004</v>
      </c>
      <c r="M8" s="20">
        <f>1-AVERAGE(Scenario_Snapshots!J26:J35)</f>
        <v>0.54199999999999993</v>
      </c>
      <c r="N8" s="21">
        <v>9.0949470177292824E-13</v>
      </c>
      <c r="O8" s="7" t="str">
        <f>IF(ABS(I8)&lt;0.000001,"TIE (verification)",IF(I8&gt;0,"EDGE LOWER (assumed case)","GROUND LOWER (assumed case)"))</f>
        <v>GROUND LOWER (assumed case)</v>
      </c>
    </row>
    <row r="9" spans="1:15" ht="21.95" customHeight="1" x14ac:dyDescent="0.2">
      <c r="A9" s="7" t="s">
        <v>133</v>
      </c>
      <c r="B9" s="7" t="s">
        <v>1090</v>
      </c>
      <c r="C9" s="11">
        <v>300</v>
      </c>
      <c r="D9" s="11">
        <v>4</v>
      </c>
      <c r="E9" s="11">
        <v>60</v>
      </c>
      <c r="F9" s="11">
        <v>0.25</v>
      </c>
      <c r="G9" s="11">
        <f>AVERAGE(Scenario_Snapshots!E36:E45)</f>
        <v>1067.8566572620803</v>
      </c>
      <c r="H9" s="11">
        <f>AVERAGE(Scenario_Snapshots!F36:F45)</f>
        <v>2396.3430472716195</v>
      </c>
      <c r="I9" s="11">
        <f>G9-H9</f>
        <v>-1328.4863900095393</v>
      </c>
      <c r="J9" s="20">
        <f>AVERAGE(Scenario_Snapshots!G36:G45)</f>
        <v>0.10700000000000001</v>
      </c>
      <c r="K9" s="20">
        <f>AVERAGE(Scenario_Snapshots!H36:H45)</f>
        <v>2.5000000000000001E-2</v>
      </c>
      <c r="L9" s="20">
        <f>1-AVERAGE(Scenario_Snapshots!I36:I45)</f>
        <v>0.54100000000000004</v>
      </c>
      <c r="M9" s="20">
        <f>1-AVERAGE(Scenario_Snapshots!J36:J45)</f>
        <v>0.77600000000000002</v>
      </c>
      <c r="N9" s="21">
        <v>1.8189894035458561E-12</v>
      </c>
      <c r="O9" s="7" t="str">
        <f>IF(ABS(I9)&lt;0.000001,"TIE (verification)",IF(I9&gt;0,"EDGE LOWER (assumed case)","GROUND LOWER (assumed case)"))</f>
        <v>GROUND LOWER (assumed case)</v>
      </c>
    </row>
    <row r="10" spans="1:15" ht="21.95" customHeight="1" x14ac:dyDescent="0.2">
      <c r="A10" s="7" t="s">
        <v>135</v>
      </c>
      <c r="B10" s="7" t="s">
        <v>1091</v>
      </c>
      <c r="C10" s="11">
        <v>300</v>
      </c>
      <c r="D10" s="11">
        <v>0</v>
      </c>
      <c r="E10" s="11">
        <v>0</v>
      </c>
      <c r="F10" s="11">
        <v>1</v>
      </c>
      <c r="G10" s="11">
        <f>AVERAGE(Scenario_Snapshots!E46:E55)</f>
        <v>1064.1319999999998</v>
      </c>
      <c r="H10" s="11">
        <f>AVERAGE(Scenario_Snapshots!F46:F55)</f>
        <v>1064.1319999999998</v>
      </c>
      <c r="I10" s="11">
        <f>G10-H10</f>
        <v>0</v>
      </c>
      <c r="J10" s="20">
        <f>AVERAGE(Scenario_Snapshots!G46:G55)</f>
        <v>0.11000000000000001</v>
      </c>
      <c r="K10" s="20">
        <f>AVERAGE(Scenario_Snapshots!H46:H55)</f>
        <v>0.11000000000000001</v>
      </c>
      <c r="L10" s="20">
        <f>1-AVERAGE(Scenario_Snapshots!I46:I55)</f>
        <v>0.53999999999999992</v>
      </c>
      <c r="M10" s="20">
        <f>1-AVERAGE(Scenario_Snapshots!J46:J55)</f>
        <v>0.53999999999999992</v>
      </c>
      <c r="N10" s="21">
        <v>4.5474735088646412E-13</v>
      </c>
      <c r="O10" s="7" t="str">
        <f>IF(ABS(I10)&lt;0.000001,"TIE (verification)",IF(I10&gt;0,"EDGE LOWER (assumed case)","GROUND LOWER (assumed case)"))</f>
        <v>TIE (verification)</v>
      </c>
    </row>
  </sheetData>
  <mergeCells count="2">
    <mergeCell ref="A1:O1"/>
    <mergeCell ref="A2:O3"/>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30A0"/>
  </sheetPr>
  <dimension ref="A1:G21"/>
  <sheetViews>
    <sheetView workbookViewId="0">
      <selection sqref="A1:G1"/>
    </sheetView>
  </sheetViews>
  <sheetFormatPr defaultRowHeight="15" x14ac:dyDescent="0.2"/>
  <cols>
    <col min="1" max="1" width="29.99609375" customWidth="1"/>
    <col min="2" max="7" width="52.05859375" customWidth="1"/>
  </cols>
  <sheetData>
    <row r="1" spans="1:7" ht="33.950000000000003" customHeight="1" x14ac:dyDescent="0.3">
      <c r="A1" s="101" t="s">
        <v>1092</v>
      </c>
      <c r="B1" s="80"/>
      <c r="C1" s="80"/>
      <c r="D1" s="80"/>
      <c r="E1" s="80"/>
      <c r="F1" s="80"/>
      <c r="G1" s="80"/>
    </row>
    <row r="2" spans="1:7" ht="23.1" customHeight="1" x14ac:dyDescent="0.2">
      <c r="A2" s="102" t="s">
        <v>1093</v>
      </c>
      <c r="B2" s="80"/>
      <c r="C2" s="80"/>
      <c r="D2" s="80"/>
      <c r="E2" s="80"/>
      <c r="F2" s="80"/>
      <c r="G2" s="80"/>
    </row>
    <row r="3" spans="1:7" ht="23.1" customHeight="1" x14ac:dyDescent="0.2">
      <c r="A3" s="80"/>
      <c r="B3" s="80"/>
      <c r="C3" s="80"/>
      <c r="D3" s="80"/>
      <c r="E3" s="80"/>
      <c r="F3" s="80"/>
      <c r="G3" s="80"/>
    </row>
    <row r="4" spans="1:7" x14ac:dyDescent="0.2">
      <c r="A4" s="1"/>
      <c r="B4" s="1"/>
      <c r="C4" s="1"/>
      <c r="D4" s="1"/>
      <c r="E4" s="1"/>
      <c r="F4" s="1"/>
      <c r="G4" s="1"/>
    </row>
    <row r="5" spans="1:7" ht="42" customHeight="1" x14ac:dyDescent="0.2">
      <c r="A5" s="5" t="s">
        <v>1094</v>
      </c>
      <c r="B5" s="5" t="s">
        <v>1095</v>
      </c>
      <c r="C5" s="5" t="s">
        <v>1096</v>
      </c>
      <c r="D5" s="5" t="s">
        <v>1097</v>
      </c>
      <c r="E5" s="5" t="s">
        <v>1098</v>
      </c>
      <c r="F5" s="5" t="s">
        <v>1099</v>
      </c>
      <c r="G5" s="5" t="s">
        <v>1100</v>
      </c>
    </row>
    <row r="6" spans="1:7" ht="75.95" customHeight="1" x14ac:dyDescent="0.2">
      <c r="A6" s="8" t="s">
        <v>888</v>
      </c>
      <c r="B6" s="8" t="s">
        <v>1101</v>
      </c>
      <c r="C6" s="8" t="s">
        <v>1102</v>
      </c>
      <c r="D6" s="8" t="s">
        <v>1103</v>
      </c>
      <c r="E6" s="8" t="s">
        <v>1104</v>
      </c>
      <c r="F6" s="8" t="s">
        <v>1105</v>
      </c>
      <c r="G6" s="8" t="s">
        <v>1106</v>
      </c>
    </row>
    <row r="7" spans="1:7" ht="75.95" customHeight="1" x14ac:dyDescent="0.2">
      <c r="A7" s="8" t="s">
        <v>888</v>
      </c>
      <c r="B7" s="8" t="s">
        <v>1107</v>
      </c>
      <c r="C7" s="8" t="s">
        <v>1108</v>
      </c>
      <c r="D7" s="8" t="s">
        <v>1109</v>
      </c>
      <c r="E7" s="8" t="s">
        <v>1104</v>
      </c>
      <c r="F7" s="8" t="s">
        <v>1110</v>
      </c>
      <c r="G7" s="8" t="s">
        <v>1106</v>
      </c>
    </row>
    <row r="8" spans="1:7" ht="75.95" customHeight="1" x14ac:dyDescent="0.2">
      <c r="A8" s="8" t="s">
        <v>13</v>
      </c>
      <c r="B8" s="8" t="s">
        <v>1111</v>
      </c>
      <c r="C8" s="8" t="s">
        <v>1112</v>
      </c>
      <c r="D8" s="8" t="s">
        <v>1113</v>
      </c>
      <c r="E8" s="8" t="s">
        <v>1114</v>
      </c>
      <c r="F8" s="8" t="s">
        <v>1115</v>
      </c>
      <c r="G8" s="8" t="s">
        <v>1106</v>
      </c>
    </row>
    <row r="9" spans="1:7" ht="75.95" customHeight="1" x14ac:dyDescent="0.2">
      <c r="A9" s="8" t="s">
        <v>17</v>
      </c>
      <c r="B9" s="8" t="s">
        <v>1116</v>
      </c>
      <c r="C9" s="8" t="s">
        <v>1117</v>
      </c>
      <c r="D9" s="8" t="s">
        <v>1118</v>
      </c>
      <c r="E9" s="8" t="s">
        <v>1119</v>
      </c>
      <c r="F9" s="8" t="s">
        <v>1120</v>
      </c>
      <c r="G9" s="8" t="s">
        <v>1106</v>
      </c>
    </row>
    <row r="10" spans="1:7" ht="75.95" customHeight="1" x14ac:dyDescent="0.2">
      <c r="A10" s="8" t="s">
        <v>1121</v>
      </c>
      <c r="B10" s="8" t="s">
        <v>1122</v>
      </c>
      <c r="C10" s="8" t="s">
        <v>1123</v>
      </c>
      <c r="D10" s="8" t="s">
        <v>1124</v>
      </c>
      <c r="E10" s="8" t="s">
        <v>1125</v>
      </c>
      <c r="F10" s="8" t="s">
        <v>1126</v>
      </c>
      <c r="G10" s="8" t="s">
        <v>1106</v>
      </c>
    </row>
    <row r="11" spans="1:7" ht="75.95" customHeight="1" x14ac:dyDescent="0.2">
      <c r="A11" s="8" t="s">
        <v>1127</v>
      </c>
      <c r="B11" s="8" t="s">
        <v>1128</v>
      </c>
      <c r="C11" s="8" t="s">
        <v>1129</v>
      </c>
      <c r="D11" s="8" t="s">
        <v>1130</v>
      </c>
      <c r="E11" s="8"/>
      <c r="F11" s="8" t="s">
        <v>1131</v>
      </c>
      <c r="G11" s="8" t="s">
        <v>1106</v>
      </c>
    </row>
    <row r="12" spans="1:7" ht="75.95" customHeight="1" x14ac:dyDescent="0.2">
      <c r="A12" s="8" t="s">
        <v>1132</v>
      </c>
      <c r="B12" s="8" t="s">
        <v>1133</v>
      </c>
      <c r="C12" s="8" t="s">
        <v>1134</v>
      </c>
      <c r="D12" s="8" t="s">
        <v>1130</v>
      </c>
      <c r="E12" s="8"/>
      <c r="F12" s="8" t="s">
        <v>1135</v>
      </c>
      <c r="G12" s="8" t="s">
        <v>1106</v>
      </c>
    </row>
    <row r="13" spans="1:7" ht="75.95" customHeight="1" x14ac:dyDescent="0.2">
      <c r="A13" s="8" t="s">
        <v>1136</v>
      </c>
      <c r="B13" s="8" t="s">
        <v>1137</v>
      </c>
      <c r="C13" s="8" t="s">
        <v>1138</v>
      </c>
      <c r="D13" s="8" t="s">
        <v>1130</v>
      </c>
      <c r="E13" s="8"/>
      <c r="F13" s="8" t="s">
        <v>1139</v>
      </c>
      <c r="G13" s="8" t="s">
        <v>1106</v>
      </c>
    </row>
    <row r="14" spans="1:7" ht="75.95" customHeight="1" x14ac:dyDescent="0.2">
      <c r="A14" s="8" t="s">
        <v>1140</v>
      </c>
      <c r="B14" s="8" t="s">
        <v>1141</v>
      </c>
      <c r="C14" s="8" t="s">
        <v>1142</v>
      </c>
      <c r="D14" s="8"/>
      <c r="E14" s="8" t="s">
        <v>1125</v>
      </c>
      <c r="F14" s="8" t="s">
        <v>1143</v>
      </c>
      <c r="G14" s="8" t="s">
        <v>1144</v>
      </c>
    </row>
    <row r="15" spans="1:7" ht="75.95" customHeight="1" x14ac:dyDescent="0.2">
      <c r="A15" s="8" t="s">
        <v>1140</v>
      </c>
      <c r="B15" s="8" t="s">
        <v>1145</v>
      </c>
      <c r="C15" s="8" t="s">
        <v>1142</v>
      </c>
      <c r="D15" s="8"/>
      <c r="E15" s="8" t="s">
        <v>1146</v>
      </c>
      <c r="F15" s="8" t="s">
        <v>1147</v>
      </c>
      <c r="G15" s="8" t="s">
        <v>1148</v>
      </c>
    </row>
    <row r="16" spans="1:7" ht="75.95" customHeight="1" x14ac:dyDescent="0.2">
      <c r="A16" s="8" t="s">
        <v>1149</v>
      </c>
      <c r="B16" s="8" t="s">
        <v>1150</v>
      </c>
      <c r="C16" s="8" t="s">
        <v>1151</v>
      </c>
      <c r="D16" s="8" t="s">
        <v>1152</v>
      </c>
      <c r="E16" s="8" t="s">
        <v>1153</v>
      </c>
      <c r="F16" s="8" t="s">
        <v>1154</v>
      </c>
      <c r="G16" s="8" t="s">
        <v>1155</v>
      </c>
    </row>
    <row r="17" spans="1:7" ht="75.95" customHeight="1" x14ac:dyDescent="0.2">
      <c r="A17" s="8" t="s">
        <v>1140</v>
      </c>
      <c r="B17" s="8" t="s">
        <v>1156</v>
      </c>
      <c r="C17" s="8" t="s">
        <v>1157</v>
      </c>
      <c r="D17" s="8"/>
      <c r="E17" s="8" t="s">
        <v>1158</v>
      </c>
      <c r="F17" s="8" t="s">
        <v>1159</v>
      </c>
      <c r="G17" s="8" t="s">
        <v>1160</v>
      </c>
    </row>
    <row r="18" spans="1:7" ht="81.95" customHeight="1" x14ac:dyDescent="0.2">
      <c r="A18" s="9" t="s">
        <v>1161</v>
      </c>
      <c r="B18" s="9" t="s">
        <v>1162</v>
      </c>
      <c r="C18" s="9" t="s">
        <v>1163</v>
      </c>
      <c r="D18" s="9" t="s">
        <v>1164</v>
      </c>
      <c r="E18" s="9" t="s">
        <v>1153</v>
      </c>
      <c r="F18" s="9" t="s">
        <v>1165</v>
      </c>
      <c r="G18" s="9" t="s">
        <v>1166</v>
      </c>
    </row>
    <row r="19" spans="1:7" ht="81.95" customHeight="1" x14ac:dyDescent="0.2">
      <c r="A19" s="9" t="s">
        <v>1167</v>
      </c>
      <c r="B19" s="9" t="s">
        <v>1168</v>
      </c>
      <c r="C19" s="9" t="s">
        <v>1169</v>
      </c>
      <c r="D19" s="9" t="s">
        <v>1170</v>
      </c>
      <c r="E19" s="9"/>
      <c r="F19" s="9" t="s">
        <v>1171</v>
      </c>
      <c r="G19" s="9" t="s">
        <v>1172</v>
      </c>
    </row>
    <row r="20" spans="1:7" ht="81.95" customHeight="1" x14ac:dyDescent="0.2">
      <c r="A20" s="9" t="s">
        <v>1173</v>
      </c>
      <c r="B20" s="9" t="s">
        <v>1174</v>
      </c>
      <c r="C20" s="9" t="s">
        <v>1175</v>
      </c>
      <c r="D20" s="9" t="s">
        <v>1176</v>
      </c>
      <c r="E20" s="9"/>
      <c r="F20" s="9" t="s">
        <v>1177</v>
      </c>
      <c r="G20" s="9" t="s">
        <v>1178</v>
      </c>
    </row>
    <row r="21" spans="1:7" ht="81.95" customHeight="1" x14ac:dyDescent="0.2">
      <c r="A21" s="9" t="s">
        <v>1179</v>
      </c>
      <c r="B21" s="9" t="s">
        <v>1180</v>
      </c>
      <c r="C21" s="9" t="s">
        <v>1181</v>
      </c>
      <c r="D21" s="9" t="s">
        <v>1182</v>
      </c>
      <c r="E21" s="9"/>
      <c r="F21" s="9" t="s">
        <v>1183</v>
      </c>
      <c r="G21" s="9" t="s">
        <v>1184</v>
      </c>
    </row>
  </sheetData>
  <mergeCells count="2">
    <mergeCell ref="A1:G1"/>
    <mergeCell ref="A2:G3"/>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0000"/>
  </sheetPr>
  <dimension ref="A1:D25"/>
  <sheetViews>
    <sheetView topLeftCell="A11" workbookViewId="0">
      <selection activeCell="D18" sqref="D18"/>
    </sheetView>
  </sheetViews>
  <sheetFormatPr defaultRowHeight="15" x14ac:dyDescent="0.2"/>
  <cols>
    <col min="1" max="1" width="25.01953125" customWidth="1"/>
    <col min="2" max="2" width="34.97265625" customWidth="1"/>
    <col min="3" max="4" width="94.97265625" customWidth="1"/>
  </cols>
  <sheetData>
    <row r="1" spans="1:4" ht="33.950000000000003" customHeight="1" x14ac:dyDescent="0.3">
      <c r="A1" s="101" t="s">
        <v>1185</v>
      </c>
      <c r="B1" s="80"/>
      <c r="C1" s="80"/>
      <c r="D1" s="80"/>
    </row>
    <row r="2" spans="1:4" ht="23.1" customHeight="1" x14ac:dyDescent="0.2">
      <c r="A2" s="102" t="s">
        <v>1186</v>
      </c>
      <c r="B2" s="80"/>
      <c r="C2" s="80"/>
      <c r="D2" s="80"/>
    </row>
    <row r="3" spans="1:4" ht="23.1" customHeight="1" x14ac:dyDescent="0.2">
      <c r="A3" s="80"/>
      <c r="B3" s="80"/>
      <c r="C3" s="80"/>
      <c r="D3" s="80"/>
    </row>
    <row r="4" spans="1:4" x14ac:dyDescent="0.2">
      <c r="A4" s="1"/>
      <c r="B4" s="1"/>
      <c r="C4" s="1"/>
      <c r="D4" s="1"/>
    </row>
    <row r="5" spans="1:4" ht="42" customHeight="1" x14ac:dyDescent="0.2">
      <c r="A5" s="5" t="s">
        <v>1187</v>
      </c>
      <c r="B5" s="5" t="s">
        <v>1188</v>
      </c>
      <c r="C5" s="5" t="s">
        <v>1189</v>
      </c>
      <c r="D5" s="5" t="s">
        <v>1190</v>
      </c>
    </row>
    <row r="6" spans="1:4" ht="72" customHeight="1" x14ac:dyDescent="0.2">
      <c r="A6" s="8" t="s">
        <v>1191</v>
      </c>
      <c r="B6" s="8" t="s">
        <v>1192</v>
      </c>
      <c r="C6" s="8" t="s">
        <v>1193</v>
      </c>
      <c r="D6" s="8" t="s">
        <v>1194</v>
      </c>
    </row>
    <row r="7" spans="1:4" ht="72" customHeight="1" x14ac:dyDescent="0.2">
      <c r="A7" s="8" t="s">
        <v>1195</v>
      </c>
      <c r="B7" s="8" t="s">
        <v>1196</v>
      </c>
      <c r="C7" s="8" t="s">
        <v>1197</v>
      </c>
      <c r="D7" s="8" t="s">
        <v>1198</v>
      </c>
    </row>
    <row r="8" spans="1:4" ht="72" customHeight="1" x14ac:dyDescent="0.2">
      <c r="A8" s="8" t="s">
        <v>1199</v>
      </c>
      <c r="B8" s="8" t="s">
        <v>1200</v>
      </c>
      <c r="C8" s="8" t="s">
        <v>1201</v>
      </c>
      <c r="D8" s="8" t="s">
        <v>1202</v>
      </c>
    </row>
    <row r="9" spans="1:4" ht="72" customHeight="1" x14ac:dyDescent="0.2">
      <c r="A9" s="8" t="s">
        <v>1203</v>
      </c>
      <c r="B9" s="8" t="s">
        <v>1204</v>
      </c>
      <c r="C9" s="8" t="s">
        <v>1205</v>
      </c>
      <c r="D9" s="8" t="s">
        <v>1206</v>
      </c>
    </row>
    <row r="10" spans="1:4" ht="72" customHeight="1" x14ac:dyDescent="0.2">
      <c r="A10" s="8" t="s">
        <v>1207</v>
      </c>
      <c r="B10" s="8" t="s">
        <v>1208</v>
      </c>
      <c r="C10" s="8" t="s">
        <v>1209</v>
      </c>
      <c r="D10" s="8" t="s">
        <v>1210</v>
      </c>
    </row>
    <row r="11" spans="1:4" ht="72" customHeight="1" x14ac:dyDescent="0.2">
      <c r="A11" s="8" t="s">
        <v>1211</v>
      </c>
      <c r="B11" s="8" t="s">
        <v>1212</v>
      </c>
      <c r="C11" s="8" t="s">
        <v>1213</v>
      </c>
      <c r="D11" s="8" t="s">
        <v>1214</v>
      </c>
    </row>
    <row r="12" spans="1:4" ht="72" customHeight="1" x14ac:dyDescent="0.2">
      <c r="A12" s="8" t="s">
        <v>1215</v>
      </c>
      <c r="B12" s="8" t="s">
        <v>1216</v>
      </c>
      <c r="C12" s="8" t="s">
        <v>1217</v>
      </c>
      <c r="D12" s="8" t="s">
        <v>1218</v>
      </c>
    </row>
    <row r="13" spans="1:4" ht="72" customHeight="1" x14ac:dyDescent="0.2">
      <c r="A13" s="8" t="s">
        <v>1219</v>
      </c>
      <c r="B13" s="8" t="s">
        <v>1220</v>
      </c>
      <c r="C13" s="8" t="s">
        <v>1221</v>
      </c>
      <c r="D13" s="8" t="s">
        <v>1222</v>
      </c>
    </row>
    <row r="14" spans="1:4" ht="72" customHeight="1" x14ac:dyDescent="0.2">
      <c r="A14" s="8" t="s">
        <v>1223</v>
      </c>
      <c r="B14" s="8" t="s">
        <v>1224</v>
      </c>
      <c r="C14" s="8" t="s">
        <v>1225</v>
      </c>
      <c r="D14" s="8" t="s">
        <v>1226</v>
      </c>
    </row>
    <row r="15" spans="1:4" ht="72" customHeight="1" x14ac:dyDescent="0.2">
      <c r="A15" s="8" t="s">
        <v>1227</v>
      </c>
      <c r="B15" s="8" t="s">
        <v>1228</v>
      </c>
      <c r="C15" s="8" t="s">
        <v>1229</v>
      </c>
      <c r="D15" s="8" t="s">
        <v>1230</v>
      </c>
    </row>
    <row r="16" spans="1:4" ht="72" customHeight="1" x14ac:dyDescent="0.2">
      <c r="A16" s="8" t="s">
        <v>1231</v>
      </c>
      <c r="B16" s="8" t="s">
        <v>1232</v>
      </c>
      <c r="C16" s="8" t="s">
        <v>1233</v>
      </c>
      <c r="D16" s="8" t="s">
        <v>1234</v>
      </c>
    </row>
    <row r="17" spans="1:4" ht="72" customHeight="1" x14ac:dyDescent="0.2">
      <c r="A17" s="8" t="s">
        <v>1235</v>
      </c>
      <c r="B17" s="8" t="s">
        <v>1236</v>
      </c>
      <c r="C17" s="8" t="s">
        <v>1237</v>
      </c>
      <c r="D17" s="8" t="s">
        <v>1238</v>
      </c>
    </row>
    <row r="18" spans="1:4" ht="72" customHeight="1" x14ac:dyDescent="0.2">
      <c r="A18" s="8" t="s">
        <v>1239</v>
      </c>
      <c r="B18" s="8" t="s">
        <v>1240</v>
      </c>
      <c r="C18" s="8" t="s">
        <v>1241</v>
      </c>
      <c r="D18" s="8" t="s">
        <v>1242</v>
      </c>
    </row>
    <row r="19" spans="1:4" ht="72" customHeight="1" x14ac:dyDescent="0.2">
      <c r="A19" s="8" t="s">
        <v>1243</v>
      </c>
      <c r="B19" s="8" t="s">
        <v>1244</v>
      </c>
      <c r="C19" s="8" t="s">
        <v>1245</v>
      </c>
      <c r="D19" s="8" t="s">
        <v>1246</v>
      </c>
    </row>
    <row r="20" spans="1:4" ht="72" customHeight="1" x14ac:dyDescent="0.2">
      <c r="A20" s="8" t="s">
        <v>1247</v>
      </c>
      <c r="B20" s="8" t="s">
        <v>1248</v>
      </c>
      <c r="C20" s="8" t="s">
        <v>1249</v>
      </c>
      <c r="D20" s="8" t="s">
        <v>1250</v>
      </c>
    </row>
    <row r="21" spans="1:4" ht="72" customHeight="1" x14ac:dyDescent="0.2">
      <c r="A21" s="8" t="s">
        <v>1251</v>
      </c>
      <c r="B21" s="8" t="s">
        <v>1252</v>
      </c>
      <c r="C21" s="8" t="s">
        <v>1253</v>
      </c>
      <c r="D21" s="8" t="s">
        <v>1254</v>
      </c>
    </row>
    <row r="22" spans="1:4" ht="72" customHeight="1" x14ac:dyDescent="0.2">
      <c r="A22" s="8" t="s">
        <v>1255</v>
      </c>
      <c r="B22" s="8" t="s">
        <v>1256</v>
      </c>
      <c r="C22" s="8" t="s">
        <v>1257</v>
      </c>
      <c r="D22" s="8" t="s">
        <v>1258</v>
      </c>
    </row>
    <row r="23" spans="1:4" ht="86.1" customHeight="1" x14ac:dyDescent="0.2">
      <c r="A23" s="9" t="s">
        <v>1259</v>
      </c>
      <c r="B23" s="9" t="s">
        <v>1260</v>
      </c>
      <c r="C23" s="9" t="s">
        <v>1261</v>
      </c>
      <c r="D23" s="9" t="s">
        <v>1262</v>
      </c>
    </row>
    <row r="24" spans="1:4" ht="86.1" customHeight="1" x14ac:dyDescent="0.2">
      <c r="A24" s="9" t="s">
        <v>1263</v>
      </c>
      <c r="B24" s="9" t="s">
        <v>1264</v>
      </c>
      <c r="C24" s="9" t="s">
        <v>1265</v>
      </c>
      <c r="D24" s="9" t="s">
        <v>1266</v>
      </c>
    </row>
    <row r="25" spans="1:4" ht="86.1" customHeight="1" x14ac:dyDescent="0.2">
      <c r="A25" s="9" t="s">
        <v>1267</v>
      </c>
      <c r="B25" s="9" t="s">
        <v>1268</v>
      </c>
      <c r="C25" s="9" t="s">
        <v>1269</v>
      </c>
      <c r="D25" s="9" t="s">
        <v>1270</v>
      </c>
    </row>
  </sheetData>
  <mergeCells count="2">
    <mergeCell ref="A1:D1"/>
    <mergeCell ref="A2:D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50"/>
  </sheetPr>
  <dimension ref="A1:D25"/>
  <sheetViews>
    <sheetView topLeftCell="A17" workbookViewId="0">
      <selection activeCell="A24" sqref="A24"/>
    </sheetView>
  </sheetViews>
  <sheetFormatPr defaultRowHeight="15" x14ac:dyDescent="0.2"/>
  <cols>
    <col min="1" max="1" width="25.01953125" customWidth="1"/>
    <col min="2" max="2" width="30.9375" customWidth="1"/>
    <col min="3" max="4" width="97.93359375" customWidth="1"/>
  </cols>
  <sheetData>
    <row r="1" spans="1:4" ht="33.950000000000003" customHeight="1" x14ac:dyDescent="0.3">
      <c r="A1" s="101" t="s">
        <v>1271</v>
      </c>
      <c r="B1" s="80"/>
      <c r="C1" s="80"/>
      <c r="D1" s="80"/>
    </row>
    <row r="2" spans="1:4" ht="23.1" customHeight="1" x14ac:dyDescent="0.2">
      <c r="A2" s="102" t="s">
        <v>1272</v>
      </c>
      <c r="B2" s="80"/>
      <c r="C2" s="80"/>
      <c r="D2" s="80"/>
    </row>
    <row r="3" spans="1:4" ht="23.1" customHeight="1" x14ac:dyDescent="0.2">
      <c r="A3" s="80"/>
      <c r="B3" s="80"/>
      <c r="C3" s="80"/>
      <c r="D3" s="80"/>
    </row>
    <row r="4" spans="1:4" x14ac:dyDescent="0.2">
      <c r="A4" s="1"/>
      <c r="B4" s="1"/>
      <c r="C4" s="1"/>
      <c r="D4" s="1"/>
    </row>
    <row r="5" spans="1:4" ht="42" customHeight="1" x14ac:dyDescent="0.2">
      <c r="A5" s="5" t="s">
        <v>1273</v>
      </c>
      <c r="B5" s="5" t="s">
        <v>1274</v>
      </c>
      <c r="C5" s="5" t="s">
        <v>1275</v>
      </c>
      <c r="D5" s="5" t="s">
        <v>1276</v>
      </c>
    </row>
    <row r="6" spans="1:4" ht="63.95" customHeight="1" x14ac:dyDescent="0.2">
      <c r="A6" s="8" t="s">
        <v>1277</v>
      </c>
      <c r="B6" s="8" t="s">
        <v>1278</v>
      </c>
      <c r="C6" s="8" t="s">
        <v>1279</v>
      </c>
      <c r="D6" s="8" t="s">
        <v>1280</v>
      </c>
    </row>
    <row r="7" spans="1:4" ht="63.95" customHeight="1" x14ac:dyDescent="0.2">
      <c r="A7" s="8" t="s">
        <v>1281</v>
      </c>
      <c r="B7" s="8" t="s">
        <v>1282</v>
      </c>
      <c r="C7" s="8" t="s">
        <v>1283</v>
      </c>
      <c r="D7" s="8" t="s">
        <v>1284</v>
      </c>
    </row>
    <row r="8" spans="1:4" ht="63.95" customHeight="1" x14ac:dyDescent="0.2">
      <c r="A8" s="8" t="s">
        <v>1285</v>
      </c>
      <c r="B8" s="8" t="s">
        <v>1286</v>
      </c>
      <c r="C8" s="8" t="s">
        <v>1287</v>
      </c>
      <c r="D8" s="8" t="s">
        <v>1288</v>
      </c>
    </row>
    <row r="9" spans="1:4" ht="63.95" customHeight="1" x14ac:dyDescent="0.2">
      <c r="A9" s="8" t="s">
        <v>1289</v>
      </c>
      <c r="B9" s="8" t="s">
        <v>1290</v>
      </c>
      <c r="C9" s="8" t="s">
        <v>1291</v>
      </c>
      <c r="D9" s="8" t="s">
        <v>1292</v>
      </c>
    </row>
    <row r="10" spans="1:4" ht="63.95" customHeight="1" x14ac:dyDescent="0.2">
      <c r="A10" s="8" t="s">
        <v>1293</v>
      </c>
      <c r="B10" s="8" t="s">
        <v>1294</v>
      </c>
      <c r="C10" s="8" t="s">
        <v>1295</v>
      </c>
      <c r="D10" s="8" t="s">
        <v>1296</v>
      </c>
    </row>
    <row r="11" spans="1:4" ht="63.95" customHeight="1" x14ac:dyDescent="0.2">
      <c r="A11" s="8" t="s">
        <v>1297</v>
      </c>
      <c r="B11" s="8" t="s">
        <v>1298</v>
      </c>
      <c r="C11" s="8" t="s">
        <v>1299</v>
      </c>
      <c r="D11" s="8" t="s">
        <v>1300</v>
      </c>
    </row>
    <row r="12" spans="1:4" ht="63.95" customHeight="1" x14ac:dyDescent="0.2">
      <c r="A12" s="8" t="s">
        <v>1301</v>
      </c>
      <c r="B12" s="8" t="s">
        <v>1302</v>
      </c>
      <c r="C12" s="8" t="s">
        <v>1303</v>
      </c>
      <c r="D12" s="8" t="s">
        <v>1304</v>
      </c>
    </row>
    <row r="13" spans="1:4" ht="63.95" customHeight="1" x14ac:dyDescent="0.2">
      <c r="A13" s="8" t="s">
        <v>1305</v>
      </c>
      <c r="B13" s="8" t="s">
        <v>1306</v>
      </c>
      <c r="C13" s="8" t="s">
        <v>1307</v>
      </c>
      <c r="D13" s="8" t="s">
        <v>1308</v>
      </c>
    </row>
    <row r="14" spans="1:4" ht="63.95" customHeight="1" x14ac:dyDescent="0.2">
      <c r="A14" s="8" t="s">
        <v>1309</v>
      </c>
      <c r="B14" s="8" t="s">
        <v>1310</v>
      </c>
      <c r="C14" s="8" t="s">
        <v>1311</v>
      </c>
      <c r="D14" s="8" t="s">
        <v>1312</v>
      </c>
    </row>
    <row r="15" spans="1:4" ht="68.099999999999994" customHeight="1" x14ac:dyDescent="0.2">
      <c r="A15" s="9" t="s">
        <v>1227</v>
      </c>
      <c r="B15" s="9" t="s">
        <v>1313</v>
      </c>
      <c r="C15" s="9" t="s">
        <v>1314</v>
      </c>
      <c r="D15" s="9" t="s">
        <v>1315</v>
      </c>
    </row>
    <row r="16" spans="1:4" ht="81.95" customHeight="1" x14ac:dyDescent="0.2">
      <c r="A16" s="9" t="s">
        <v>1316</v>
      </c>
      <c r="B16" s="9" t="s">
        <v>1317</v>
      </c>
      <c r="C16" s="9" t="s">
        <v>1318</v>
      </c>
      <c r="D16" s="9" t="s">
        <v>1319</v>
      </c>
    </row>
    <row r="17" spans="1:4" ht="81.95" customHeight="1" x14ac:dyDescent="0.2">
      <c r="A17" s="9" t="s">
        <v>1320</v>
      </c>
      <c r="B17" s="9" t="s">
        <v>1321</v>
      </c>
      <c r="C17" s="9" t="s">
        <v>1322</v>
      </c>
      <c r="D17" s="9" t="s">
        <v>1323</v>
      </c>
    </row>
    <row r="18" spans="1:4" ht="81.95" customHeight="1" x14ac:dyDescent="0.2">
      <c r="A18" s="9" t="s">
        <v>1324</v>
      </c>
      <c r="B18" s="9" t="s">
        <v>1325</v>
      </c>
      <c r="C18" s="9" t="s">
        <v>1326</v>
      </c>
      <c r="D18" s="9" t="s">
        <v>1327</v>
      </c>
    </row>
    <row r="19" spans="1:4" ht="81.95" customHeight="1" x14ac:dyDescent="0.2">
      <c r="A19" s="9" t="s">
        <v>1328</v>
      </c>
      <c r="B19" s="9" t="s">
        <v>1329</v>
      </c>
      <c r="C19" s="9" t="s">
        <v>1330</v>
      </c>
      <c r="D19" s="9" t="s">
        <v>1331</v>
      </c>
    </row>
    <row r="20" spans="1:4" ht="81.95" customHeight="1" x14ac:dyDescent="0.2">
      <c r="A20" s="9" t="s">
        <v>1332</v>
      </c>
      <c r="B20" s="9" t="s">
        <v>1333</v>
      </c>
      <c r="C20" s="9" t="s">
        <v>1334</v>
      </c>
      <c r="D20" s="9" t="s">
        <v>1335</v>
      </c>
    </row>
    <row r="21" spans="1:4" ht="24.75" x14ac:dyDescent="0.2">
      <c r="A21" s="59" t="s">
        <v>1243</v>
      </c>
      <c r="B21" s="59" t="s">
        <v>1336</v>
      </c>
      <c r="C21" s="59" t="s">
        <v>1337</v>
      </c>
      <c r="D21" s="59" t="s">
        <v>1338</v>
      </c>
    </row>
    <row r="22" spans="1:4" x14ac:dyDescent="0.2">
      <c r="A22" s="59" t="s">
        <v>1247</v>
      </c>
      <c r="B22" s="59" t="s">
        <v>1339</v>
      </c>
      <c r="C22" s="59" t="s">
        <v>1340</v>
      </c>
      <c r="D22" s="59" t="s">
        <v>1341</v>
      </c>
    </row>
    <row r="23" spans="1:4" ht="24.75" x14ac:dyDescent="0.2">
      <c r="A23" s="59" t="s">
        <v>1251</v>
      </c>
      <c r="B23" s="59" t="s">
        <v>1342</v>
      </c>
      <c r="C23" s="59" t="s">
        <v>1343</v>
      </c>
      <c r="D23" s="59" t="s">
        <v>1344</v>
      </c>
    </row>
    <row r="24" spans="1:4" ht="24.75" x14ac:dyDescent="0.2">
      <c r="A24" s="59" t="s">
        <v>1259</v>
      </c>
      <c r="B24" s="59" t="s">
        <v>1345</v>
      </c>
      <c r="C24" s="59" t="s">
        <v>1346</v>
      </c>
      <c r="D24" s="59" t="s">
        <v>1347</v>
      </c>
    </row>
    <row r="25" spans="1:4" ht="24.75" x14ac:dyDescent="0.2">
      <c r="A25" s="59" t="s">
        <v>1255</v>
      </c>
      <c r="B25" s="59" t="s">
        <v>1348</v>
      </c>
      <c r="C25" s="59" t="s">
        <v>1349</v>
      </c>
      <c r="D25" s="59" t="s">
        <v>1350</v>
      </c>
    </row>
  </sheetData>
  <mergeCells count="2">
    <mergeCell ref="A1:D1"/>
    <mergeCell ref="A2:D3"/>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A1:AG105"/>
  <sheetViews>
    <sheetView workbookViewId="0">
      <selection sqref="A1:AG2"/>
    </sheetView>
  </sheetViews>
  <sheetFormatPr defaultRowHeight="15" x14ac:dyDescent="0.2"/>
  <cols>
    <col min="1" max="2" width="20.984375" customWidth="1"/>
    <col min="3" max="3" width="32.95703125" customWidth="1"/>
    <col min="4" max="10" width="20.984375" customWidth="1"/>
    <col min="11" max="13" width="29.99609375" customWidth="1"/>
    <col min="14" max="33" width="20.984375" customWidth="1"/>
  </cols>
  <sheetData>
    <row r="1" spans="1:33" ht="24" customHeight="1" x14ac:dyDescent="0.2">
      <c r="A1" s="104" t="s">
        <v>1351</v>
      </c>
      <c r="B1" s="80"/>
      <c r="C1" s="80"/>
      <c r="D1" s="80"/>
      <c r="E1" s="80"/>
      <c r="F1" s="80"/>
      <c r="G1" s="80"/>
      <c r="H1" s="80"/>
      <c r="I1" s="80"/>
      <c r="J1" s="80"/>
      <c r="K1" s="80"/>
      <c r="L1" s="80"/>
      <c r="M1" s="80"/>
      <c r="N1" s="80"/>
      <c r="O1" s="80"/>
      <c r="P1" s="80"/>
      <c r="Q1" s="80"/>
      <c r="R1" s="80"/>
      <c r="S1" s="80"/>
      <c r="T1" s="80"/>
      <c r="U1" s="80"/>
      <c r="V1" s="80"/>
      <c r="W1" s="80"/>
      <c r="X1" s="80"/>
      <c r="Y1" s="80"/>
      <c r="Z1" s="80"/>
      <c r="AA1" s="80"/>
      <c r="AB1" s="80"/>
      <c r="AC1" s="80"/>
      <c r="AD1" s="80"/>
      <c r="AE1" s="80"/>
      <c r="AF1" s="80"/>
      <c r="AG1" s="80"/>
    </row>
    <row r="2" spans="1:33" ht="24" customHeight="1" x14ac:dyDescent="0.2">
      <c r="A2" s="80"/>
      <c r="B2" s="80"/>
      <c r="C2" s="80"/>
      <c r="D2" s="80"/>
      <c r="E2" s="80"/>
      <c r="F2" s="80"/>
      <c r="G2" s="80"/>
      <c r="H2" s="80"/>
      <c r="I2" s="80"/>
      <c r="J2" s="80"/>
      <c r="K2" s="80"/>
      <c r="L2" s="80"/>
      <c r="M2" s="80"/>
      <c r="N2" s="80"/>
      <c r="O2" s="80"/>
      <c r="P2" s="80"/>
      <c r="Q2" s="80"/>
      <c r="R2" s="80"/>
      <c r="S2" s="80"/>
      <c r="T2" s="80"/>
      <c r="U2" s="80"/>
      <c r="V2" s="80"/>
      <c r="W2" s="80"/>
      <c r="X2" s="80"/>
      <c r="Y2" s="80"/>
      <c r="Z2" s="80"/>
      <c r="AA2" s="80"/>
      <c r="AB2" s="80"/>
      <c r="AC2" s="80"/>
      <c r="AD2" s="80"/>
      <c r="AE2" s="80"/>
      <c r="AF2" s="80"/>
      <c r="AG2" s="80"/>
    </row>
    <row r="3" spans="1:33" ht="24.95" customHeight="1" x14ac:dyDescent="0.2">
      <c r="A3" s="103" t="s">
        <v>1352</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row>
    <row r="4" spans="1:33" ht="24.95" customHeight="1" x14ac:dyDescent="0.2">
      <c r="A4" s="80"/>
      <c r="B4" s="80"/>
      <c r="C4" s="80"/>
      <c r="D4" s="80"/>
      <c r="E4" s="80"/>
      <c r="F4" s="80"/>
      <c r="G4" s="80"/>
      <c r="H4" s="80"/>
      <c r="I4" s="80"/>
      <c r="J4" s="80"/>
      <c r="K4" s="80"/>
      <c r="L4" s="80"/>
      <c r="M4" s="80"/>
      <c r="N4" s="80"/>
      <c r="O4" s="80"/>
      <c r="P4" s="80"/>
      <c r="Q4" s="80"/>
      <c r="R4" s="80"/>
      <c r="S4" s="80"/>
      <c r="T4" s="80"/>
      <c r="U4" s="80"/>
      <c r="V4" s="80"/>
      <c r="W4" s="80"/>
      <c r="X4" s="80"/>
      <c r="Y4" s="80"/>
      <c r="Z4" s="80"/>
      <c r="AA4" s="80"/>
      <c r="AB4" s="80"/>
      <c r="AC4" s="80"/>
      <c r="AD4" s="80"/>
      <c r="AE4" s="80"/>
      <c r="AF4" s="80"/>
      <c r="AG4" s="80"/>
    </row>
    <row r="5" spans="1:33" ht="57.95" customHeight="1" x14ac:dyDescent="0.2">
      <c r="A5" s="28" t="s">
        <v>49</v>
      </c>
      <c r="B5" s="28" t="s">
        <v>554</v>
      </c>
      <c r="C5" s="28" t="s">
        <v>556</v>
      </c>
      <c r="D5" s="28" t="s">
        <v>557</v>
      </c>
      <c r="E5" s="28" t="s">
        <v>558</v>
      </c>
      <c r="F5" s="28" t="s">
        <v>1353</v>
      </c>
      <c r="G5" s="28" t="s">
        <v>1354</v>
      </c>
      <c r="H5" s="28" t="s">
        <v>1355</v>
      </c>
      <c r="I5" s="28" t="s">
        <v>806</v>
      </c>
      <c r="J5" s="28" t="s">
        <v>568</v>
      </c>
      <c r="K5" s="28" t="s">
        <v>1356</v>
      </c>
      <c r="L5" s="28" t="s">
        <v>1357</v>
      </c>
      <c r="M5" s="28" t="s">
        <v>1358</v>
      </c>
      <c r="N5" s="28" t="s">
        <v>830</v>
      </c>
      <c r="O5" s="28" t="s">
        <v>831</v>
      </c>
      <c r="P5" s="28" t="s">
        <v>832</v>
      </c>
      <c r="Q5" s="28" t="s">
        <v>833</v>
      </c>
      <c r="R5" s="28" t="s">
        <v>834</v>
      </c>
      <c r="S5" s="28" t="s">
        <v>835</v>
      </c>
      <c r="T5" s="28" t="s">
        <v>836</v>
      </c>
      <c r="U5" s="28" t="s">
        <v>837</v>
      </c>
      <c r="V5" s="28" t="s">
        <v>838</v>
      </c>
      <c r="W5" s="28" t="s">
        <v>839</v>
      </c>
      <c r="X5" s="28" t="s">
        <v>840</v>
      </c>
      <c r="Y5" s="28" t="s">
        <v>841</v>
      </c>
      <c r="Z5" s="28" t="s">
        <v>842</v>
      </c>
      <c r="AA5" s="28" t="s">
        <v>843</v>
      </c>
      <c r="AB5" s="28" t="s">
        <v>844</v>
      </c>
      <c r="AC5" s="28" t="s">
        <v>845</v>
      </c>
      <c r="AD5" s="28" t="s">
        <v>846</v>
      </c>
      <c r="AE5" s="28" t="s">
        <v>847</v>
      </c>
      <c r="AF5" s="28" t="s">
        <v>1359</v>
      </c>
      <c r="AG5" s="28" t="s">
        <v>1360</v>
      </c>
    </row>
    <row r="6" spans="1:33" ht="24" customHeight="1" x14ac:dyDescent="0.2">
      <c r="A6" s="27">
        <v>203</v>
      </c>
      <c r="B6" s="29">
        <v>44589.738067129627</v>
      </c>
      <c r="C6" s="27" t="s">
        <v>569</v>
      </c>
      <c r="D6" s="27"/>
      <c r="E6" s="27"/>
      <c r="F6" s="27">
        <v>110</v>
      </c>
      <c r="G6" s="27" t="s">
        <v>1361</v>
      </c>
      <c r="H6" s="27" t="s">
        <v>576</v>
      </c>
      <c r="I6" s="27">
        <v>1</v>
      </c>
      <c r="J6" s="27" t="s">
        <v>577</v>
      </c>
      <c r="K6" s="27" t="s">
        <v>572</v>
      </c>
      <c r="L6" s="27" t="s">
        <v>1362</v>
      </c>
      <c r="M6" s="27" t="s">
        <v>573</v>
      </c>
      <c r="N6" s="27">
        <v>388</v>
      </c>
      <c r="O6" s="27">
        <v>388</v>
      </c>
      <c r="P6" s="27">
        <v>-83</v>
      </c>
      <c r="Q6" s="27">
        <v>257</v>
      </c>
      <c r="R6" s="27">
        <v>33421</v>
      </c>
      <c r="S6" s="27">
        <v>11</v>
      </c>
      <c r="T6" s="27">
        <v>4386219</v>
      </c>
      <c r="U6" s="27">
        <v>110</v>
      </c>
      <c r="V6" s="27">
        <v>2</v>
      </c>
      <c r="W6" s="27">
        <v>1126</v>
      </c>
      <c r="X6" s="27">
        <v>256</v>
      </c>
      <c r="Y6" s="27">
        <v>1035520017</v>
      </c>
      <c r="Z6" s="27">
        <v>-110</v>
      </c>
      <c r="AA6" s="27">
        <v>1</v>
      </c>
      <c r="AB6" s="27">
        <v>17475737</v>
      </c>
      <c r="AC6" s="27">
        <v>22035</v>
      </c>
      <c r="AD6" s="27">
        <v>3048166464</v>
      </c>
      <c r="AE6" s="27">
        <v>1105712</v>
      </c>
      <c r="AF6" s="27" t="s">
        <v>1363</v>
      </c>
      <c r="AG6" s="27" t="s">
        <v>1363</v>
      </c>
    </row>
    <row r="7" spans="1:33" ht="24" customHeight="1" x14ac:dyDescent="0.2">
      <c r="A7" s="27">
        <v>202</v>
      </c>
      <c r="B7" s="29">
        <v>44589.73841435185</v>
      </c>
      <c r="C7" s="27" t="s">
        <v>569</v>
      </c>
      <c r="D7" s="27"/>
      <c r="E7" s="27"/>
      <c r="F7" s="27">
        <v>110</v>
      </c>
      <c r="G7" s="27" t="s">
        <v>1361</v>
      </c>
      <c r="H7" s="27" t="s">
        <v>576</v>
      </c>
      <c r="I7" s="27">
        <v>2</v>
      </c>
      <c r="J7" s="27" t="s">
        <v>577</v>
      </c>
      <c r="K7" s="27" t="s">
        <v>578</v>
      </c>
      <c r="L7" s="27" t="s">
        <v>1364</v>
      </c>
      <c r="M7" s="27" t="s">
        <v>579</v>
      </c>
      <c r="N7" s="27">
        <v>386</v>
      </c>
      <c r="O7" s="27">
        <v>386</v>
      </c>
      <c r="P7" s="27">
        <v>-83</v>
      </c>
      <c r="Q7" s="27">
        <v>257</v>
      </c>
      <c r="R7" s="27">
        <v>33424</v>
      </c>
      <c r="S7" s="27">
        <v>11</v>
      </c>
      <c r="T7" s="27">
        <v>4386501</v>
      </c>
      <c r="U7" s="27">
        <v>110</v>
      </c>
      <c r="V7" s="27">
        <v>2</v>
      </c>
      <c r="W7" s="27">
        <v>1126</v>
      </c>
      <c r="X7" s="27">
        <v>256</v>
      </c>
      <c r="Y7" s="27">
        <v>1035520017</v>
      </c>
      <c r="Z7" s="27">
        <v>-115</v>
      </c>
      <c r="AA7" s="27">
        <v>1</v>
      </c>
      <c r="AB7" s="27">
        <v>17475740</v>
      </c>
      <c r="AC7" s="27">
        <v>22035</v>
      </c>
      <c r="AD7" s="27">
        <v>3048166746</v>
      </c>
      <c r="AE7" s="27">
        <v>1105712</v>
      </c>
      <c r="AF7" s="27" t="s">
        <v>1365</v>
      </c>
      <c r="AG7" s="27" t="s">
        <v>1365</v>
      </c>
    </row>
    <row r="8" spans="1:33" ht="24" customHeight="1" x14ac:dyDescent="0.2">
      <c r="A8" s="27">
        <v>201</v>
      </c>
      <c r="B8" s="29">
        <v>44589.738541666673</v>
      </c>
      <c r="C8" s="27" t="s">
        <v>569</v>
      </c>
      <c r="D8" s="27"/>
      <c r="E8" s="27"/>
      <c r="F8" s="27">
        <v>110</v>
      </c>
      <c r="G8" s="27" t="s">
        <v>1361</v>
      </c>
      <c r="H8" s="27" t="s">
        <v>576</v>
      </c>
      <c r="I8" s="27">
        <v>3</v>
      </c>
      <c r="J8" s="27" t="s">
        <v>577</v>
      </c>
      <c r="K8" s="27" t="s">
        <v>580</v>
      </c>
      <c r="L8" s="27" t="s">
        <v>1366</v>
      </c>
      <c r="M8" s="27" t="s">
        <v>581</v>
      </c>
      <c r="N8" s="27">
        <v>385</v>
      </c>
      <c r="O8" s="27">
        <v>385</v>
      </c>
      <c r="P8" s="27">
        <v>-83</v>
      </c>
      <c r="Q8" s="27">
        <v>257</v>
      </c>
      <c r="R8" s="27">
        <v>33425</v>
      </c>
      <c r="S8" s="27">
        <v>11</v>
      </c>
      <c r="T8" s="27">
        <v>4386595</v>
      </c>
      <c r="U8" s="27">
        <v>110</v>
      </c>
      <c r="V8" s="27">
        <v>2</v>
      </c>
      <c r="W8" s="27">
        <v>1126</v>
      </c>
      <c r="X8" s="27">
        <v>256</v>
      </c>
      <c r="Y8" s="27">
        <v>1035520017</v>
      </c>
      <c r="Z8" s="27">
        <v>-115</v>
      </c>
      <c r="AA8" s="27">
        <v>1</v>
      </c>
      <c r="AB8" s="27">
        <v>17475741</v>
      </c>
      <c r="AC8" s="27">
        <v>22035</v>
      </c>
      <c r="AD8" s="27">
        <v>3048166840</v>
      </c>
      <c r="AE8" s="27">
        <v>1105712</v>
      </c>
      <c r="AF8" s="27" t="s">
        <v>1367</v>
      </c>
      <c r="AG8" s="27" t="s">
        <v>1367</v>
      </c>
    </row>
    <row r="9" spans="1:33" ht="24" customHeight="1" x14ac:dyDescent="0.2">
      <c r="A9" s="27">
        <v>200</v>
      </c>
      <c r="B9" s="29">
        <v>44589.738645833328</v>
      </c>
      <c r="C9" s="27" t="s">
        <v>569</v>
      </c>
      <c r="D9" s="27"/>
      <c r="E9" s="27"/>
      <c r="F9" s="27">
        <v>110</v>
      </c>
      <c r="G9" s="27" t="s">
        <v>1361</v>
      </c>
      <c r="H9" s="27" t="s">
        <v>576</v>
      </c>
      <c r="I9" s="27">
        <v>4</v>
      </c>
      <c r="J9" s="27" t="s">
        <v>577</v>
      </c>
      <c r="K9" s="27" t="s">
        <v>582</v>
      </c>
      <c r="L9" s="27" t="s">
        <v>1368</v>
      </c>
      <c r="M9" s="27" t="s">
        <v>583</v>
      </c>
      <c r="N9" s="27">
        <v>385</v>
      </c>
      <c r="O9" s="27">
        <v>387</v>
      </c>
      <c r="P9" s="27">
        <v>-83</v>
      </c>
      <c r="Q9" s="27">
        <v>257</v>
      </c>
      <c r="R9" s="27">
        <v>33426</v>
      </c>
      <c r="S9" s="27">
        <v>11</v>
      </c>
      <c r="T9" s="27">
        <v>4386689</v>
      </c>
      <c r="U9" s="27">
        <v>110</v>
      </c>
      <c r="V9" s="27">
        <v>2</v>
      </c>
      <c r="W9" s="27">
        <v>1126</v>
      </c>
      <c r="X9" s="27">
        <v>256</v>
      </c>
      <c r="Y9" s="27">
        <v>1035520017</v>
      </c>
      <c r="Z9" s="27">
        <v>-100</v>
      </c>
      <c r="AA9" s="27">
        <v>1</v>
      </c>
      <c r="AB9" s="27">
        <v>17475742</v>
      </c>
      <c r="AC9" s="27">
        <v>22035</v>
      </c>
      <c r="AD9" s="27">
        <v>3048166934</v>
      </c>
      <c r="AE9" s="27">
        <v>1105712</v>
      </c>
      <c r="AF9" s="27" t="s">
        <v>1369</v>
      </c>
      <c r="AG9" s="27" t="s">
        <v>1369</v>
      </c>
    </row>
    <row r="10" spans="1:33" ht="24" customHeight="1" x14ac:dyDescent="0.2">
      <c r="A10" s="27">
        <v>199</v>
      </c>
      <c r="B10" s="29">
        <v>44589.739108796297</v>
      </c>
      <c r="C10" s="27" t="s">
        <v>584</v>
      </c>
      <c r="D10" s="27">
        <v>839</v>
      </c>
      <c r="E10" s="27">
        <v>5375671</v>
      </c>
      <c r="F10" s="27">
        <v>74</v>
      </c>
      <c r="G10" s="27" t="s">
        <v>1370</v>
      </c>
      <c r="H10" s="27" t="s">
        <v>589</v>
      </c>
      <c r="I10" s="27">
        <v>5</v>
      </c>
      <c r="J10" s="27" t="s">
        <v>590</v>
      </c>
      <c r="K10" s="27" t="s">
        <v>586</v>
      </c>
      <c r="L10" s="27" t="s">
        <v>1371</v>
      </c>
      <c r="M10" s="27" t="s">
        <v>587</v>
      </c>
      <c r="N10" s="27">
        <v>382</v>
      </c>
      <c r="O10" s="27">
        <v>382</v>
      </c>
      <c r="P10" s="27">
        <v>-83</v>
      </c>
      <c r="Q10" s="27">
        <v>257</v>
      </c>
      <c r="R10" s="27">
        <v>33430</v>
      </c>
      <c r="S10" s="27">
        <v>11</v>
      </c>
      <c r="T10" s="27">
        <v>4387065</v>
      </c>
      <c r="U10" s="27">
        <v>110</v>
      </c>
      <c r="V10" s="27">
        <v>2</v>
      </c>
      <c r="W10" s="27">
        <v>1126</v>
      </c>
      <c r="X10" s="27">
        <v>256</v>
      </c>
      <c r="Y10" s="27">
        <v>1035520017</v>
      </c>
      <c r="Z10" s="27">
        <v>-114</v>
      </c>
      <c r="AA10" s="27">
        <v>1</v>
      </c>
      <c r="AB10" s="27">
        <v>17475746</v>
      </c>
      <c r="AC10" s="27">
        <v>22035</v>
      </c>
      <c r="AD10" s="27">
        <v>3048167310</v>
      </c>
      <c r="AE10" s="27">
        <v>1105712</v>
      </c>
      <c r="AF10" s="27"/>
      <c r="AG10" s="27"/>
    </row>
    <row r="11" spans="1:33" ht="24" customHeight="1" x14ac:dyDescent="0.2">
      <c r="A11" s="27">
        <v>197</v>
      </c>
      <c r="B11" s="29">
        <v>44589.739224537043</v>
      </c>
      <c r="C11" s="27" t="s">
        <v>584</v>
      </c>
      <c r="D11" s="27">
        <v>839</v>
      </c>
      <c r="E11" s="27">
        <v>5375671</v>
      </c>
      <c r="F11" s="27">
        <v>74</v>
      </c>
      <c r="G11" s="27" t="s">
        <v>1370</v>
      </c>
      <c r="H11" s="27" t="s">
        <v>589</v>
      </c>
      <c r="I11" s="27">
        <v>6</v>
      </c>
      <c r="J11" s="27" t="s">
        <v>577</v>
      </c>
      <c r="K11" s="27" t="s">
        <v>591</v>
      </c>
      <c r="L11" s="27" t="s">
        <v>1372</v>
      </c>
      <c r="M11" s="27" t="s">
        <v>592</v>
      </c>
      <c r="N11" s="27">
        <v>381</v>
      </c>
      <c r="O11" s="27">
        <v>381</v>
      </c>
      <c r="P11" s="27">
        <v>-83</v>
      </c>
      <c r="Q11" s="27">
        <v>257</v>
      </c>
      <c r="R11" s="27">
        <v>33431</v>
      </c>
      <c r="S11" s="27">
        <v>11</v>
      </c>
      <c r="T11" s="27">
        <v>4387159</v>
      </c>
      <c r="U11" s="27">
        <v>110</v>
      </c>
      <c r="V11" s="27">
        <v>2</v>
      </c>
      <c r="W11" s="27">
        <v>1126</v>
      </c>
      <c r="X11" s="27">
        <v>256</v>
      </c>
      <c r="Y11" s="27">
        <v>1035520017</v>
      </c>
      <c r="Z11" s="27">
        <v>-111</v>
      </c>
      <c r="AA11" s="27">
        <v>1</v>
      </c>
      <c r="AB11" s="27">
        <v>17475747</v>
      </c>
      <c r="AC11" s="27">
        <v>22035</v>
      </c>
      <c r="AD11" s="27">
        <v>3048167404</v>
      </c>
      <c r="AE11" s="27">
        <v>1105712</v>
      </c>
      <c r="AF11" s="27"/>
      <c r="AG11" s="27"/>
    </row>
    <row r="12" spans="1:33" ht="24" customHeight="1" x14ac:dyDescent="0.2">
      <c r="A12" s="27">
        <v>198</v>
      </c>
      <c r="B12" s="29">
        <v>44589.739224537043</v>
      </c>
      <c r="C12" s="27" t="s">
        <v>569</v>
      </c>
      <c r="D12" s="27"/>
      <c r="E12" s="27"/>
      <c r="F12" s="27">
        <v>110</v>
      </c>
      <c r="G12" s="27" t="s">
        <v>1361</v>
      </c>
      <c r="H12" s="27" t="s">
        <v>576</v>
      </c>
      <c r="I12" s="27">
        <v>6</v>
      </c>
      <c r="J12" s="27" t="s">
        <v>577</v>
      </c>
      <c r="K12" s="27" t="s">
        <v>594</v>
      </c>
      <c r="L12" s="27" t="s">
        <v>1372</v>
      </c>
      <c r="M12" s="27" t="s">
        <v>595</v>
      </c>
      <c r="N12" s="27">
        <v>381</v>
      </c>
      <c r="O12" s="27">
        <v>381</v>
      </c>
      <c r="P12" s="27">
        <v>-83</v>
      </c>
      <c r="Q12" s="27">
        <v>257</v>
      </c>
      <c r="R12" s="27">
        <v>33431</v>
      </c>
      <c r="S12" s="27">
        <v>11</v>
      </c>
      <c r="T12" s="27">
        <v>4387159</v>
      </c>
      <c r="U12" s="27">
        <v>110</v>
      </c>
      <c r="V12" s="27">
        <v>2</v>
      </c>
      <c r="W12" s="27">
        <v>1126</v>
      </c>
      <c r="X12" s="27">
        <v>256</v>
      </c>
      <c r="Y12" s="27">
        <v>1035520017</v>
      </c>
      <c r="Z12" s="27">
        <v>-111</v>
      </c>
      <c r="AA12" s="27">
        <v>1</v>
      </c>
      <c r="AB12" s="27">
        <v>17475747</v>
      </c>
      <c r="AC12" s="27">
        <v>22035</v>
      </c>
      <c r="AD12" s="27">
        <v>3048167404</v>
      </c>
      <c r="AE12" s="27">
        <v>1105712</v>
      </c>
      <c r="AF12" s="27" t="s">
        <v>1373</v>
      </c>
      <c r="AG12" s="27" t="s">
        <v>1373</v>
      </c>
    </row>
    <row r="13" spans="1:33" ht="24" customHeight="1" x14ac:dyDescent="0.2">
      <c r="A13" s="27">
        <v>196</v>
      </c>
      <c r="B13" s="29">
        <v>44589.739340277767</v>
      </c>
      <c r="C13" s="27" t="s">
        <v>584</v>
      </c>
      <c r="D13" s="27">
        <v>839</v>
      </c>
      <c r="E13" s="27">
        <v>5375671</v>
      </c>
      <c r="F13" s="27">
        <v>74</v>
      </c>
      <c r="G13" s="27" t="s">
        <v>1370</v>
      </c>
      <c r="H13" s="27" t="s">
        <v>589</v>
      </c>
      <c r="I13" s="27">
        <v>7</v>
      </c>
      <c r="J13" s="27" t="s">
        <v>590</v>
      </c>
      <c r="K13" s="27" t="s">
        <v>596</v>
      </c>
      <c r="L13" s="27" t="s">
        <v>1374</v>
      </c>
      <c r="M13" s="27" t="s">
        <v>597</v>
      </c>
      <c r="N13" s="27">
        <v>381</v>
      </c>
      <c r="O13" s="27">
        <v>381</v>
      </c>
      <c r="P13" s="27">
        <v>-83</v>
      </c>
      <c r="Q13" s="27">
        <v>257</v>
      </c>
      <c r="R13" s="27">
        <v>33432</v>
      </c>
      <c r="S13" s="27">
        <v>11</v>
      </c>
      <c r="T13" s="27">
        <v>4387253</v>
      </c>
      <c r="U13" s="27">
        <v>110</v>
      </c>
      <c r="V13" s="27">
        <v>2</v>
      </c>
      <c r="W13" s="27">
        <v>1126</v>
      </c>
      <c r="X13" s="27">
        <v>256</v>
      </c>
      <c r="Y13" s="27">
        <v>1035520017</v>
      </c>
      <c r="Z13" s="27">
        <v>-113</v>
      </c>
      <c r="AA13" s="27">
        <v>1</v>
      </c>
      <c r="AB13" s="27">
        <v>17475748</v>
      </c>
      <c r="AC13" s="27">
        <v>22035</v>
      </c>
      <c r="AD13" s="27">
        <v>3048167498</v>
      </c>
      <c r="AE13" s="27">
        <v>1105712</v>
      </c>
      <c r="AF13" s="27"/>
      <c r="AG13" s="27"/>
    </row>
    <row r="14" spans="1:33" ht="24" customHeight="1" x14ac:dyDescent="0.2">
      <c r="A14" s="27">
        <v>195</v>
      </c>
      <c r="B14" s="29">
        <v>44589.73945601852</v>
      </c>
      <c r="C14" s="27" t="s">
        <v>569</v>
      </c>
      <c r="D14" s="27"/>
      <c r="E14" s="27"/>
      <c r="F14" s="27">
        <v>110</v>
      </c>
      <c r="G14" s="27" t="s">
        <v>1361</v>
      </c>
      <c r="H14" s="27" t="s">
        <v>576</v>
      </c>
      <c r="I14" s="27">
        <v>8</v>
      </c>
      <c r="J14" s="27" t="s">
        <v>577</v>
      </c>
      <c r="K14" s="27" t="s">
        <v>598</v>
      </c>
      <c r="L14" s="27" t="s">
        <v>1375</v>
      </c>
      <c r="M14" s="27" t="s">
        <v>599</v>
      </c>
      <c r="N14" s="27">
        <v>380</v>
      </c>
      <c r="O14" s="27">
        <v>380</v>
      </c>
      <c r="P14" s="27">
        <v>-83</v>
      </c>
      <c r="Q14" s="27">
        <v>257</v>
      </c>
      <c r="R14" s="27">
        <v>33433</v>
      </c>
      <c r="S14" s="27">
        <v>11</v>
      </c>
      <c r="T14" s="27">
        <v>4387347</v>
      </c>
      <c r="U14" s="27">
        <v>110</v>
      </c>
      <c r="V14" s="27">
        <v>2</v>
      </c>
      <c r="W14" s="27">
        <v>1126</v>
      </c>
      <c r="X14" s="27">
        <v>256</v>
      </c>
      <c r="Y14" s="27">
        <v>1035520017</v>
      </c>
      <c r="Z14" s="27">
        <v>-111</v>
      </c>
      <c r="AA14" s="27">
        <v>1</v>
      </c>
      <c r="AB14" s="27">
        <v>17475749</v>
      </c>
      <c r="AC14" s="27">
        <v>22035</v>
      </c>
      <c r="AD14" s="27">
        <v>3048167592</v>
      </c>
      <c r="AE14" s="27">
        <v>1105712</v>
      </c>
      <c r="AF14" s="27" t="s">
        <v>1376</v>
      </c>
      <c r="AG14" s="27" t="s">
        <v>1376</v>
      </c>
    </row>
    <row r="15" spans="1:33" ht="24" customHeight="1" x14ac:dyDescent="0.2">
      <c r="A15" s="27">
        <v>193</v>
      </c>
      <c r="B15" s="29">
        <v>44589.739571759259</v>
      </c>
      <c r="C15" s="27" t="s">
        <v>584</v>
      </c>
      <c r="D15" s="27">
        <v>839</v>
      </c>
      <c r="E15" s="27">
        <v>5375671</v>
      </c>
      <c r="F15" s="27">
        <v>74</v>
      </c>
      <c r="G15" s="27" t="s">
        <v>1370</v>
      </c>
      <c r="H15" s="27" t="s">
        <v>589</v>
      </c>
      <c r="I15" s="27">
        <v>9</v>
      </c>
      <c r="J15" s="27" t="s">
        <v>577</v>
      </c>
      <c r="K15" s="27" t="s">
        <v>600</v>
      </c>
      <c r="L15" s="27" t="s">
        <v>1377</v>
      </c>
      <c r="M15" s="27" t="s">
        <v>601</v>
      </c>
      <c r="N15" s="27">
        <v>379</v>
      </c>
      <c r="O15" s="27">
        <v>379</v>
      </c>
      <c r="P15" s="27">
        <v>-83</v>
      </c>
      <c r="Q15" s="27">
        <v>257</v>
      </c>
      <c r="R15" s="27">
        <v>33434</v>
      </c>
      <c r="S15" s="27">
        <v>11</v>
      </c>
      <c r="T15" s="27">
        <v>4387441</v>
      </c>
      <c r="U15" s="27">
        <v>110</v>
      </c>
      <c r="V15" s="27">
        <v>2</v>
      </c>
      <c r="W15" s="27">
        <v>1126</v>
      </c>
      <c r="X15" s="27">
        <v>256</v>
      </c>
      <c r="Y15" s="27">
        <v>1035520017</v>
      </c>
      <c r="Z15" s="27">
        <v>-111</v>
      </c>
      <c r="AA15" s="27">
        <v>1</v>
      </c>
      <c r="AB15" s="27">
        <v>17475750</v>
      </c>
      <c r="AC15" s="27">
        <v>22035</v>
      </c>
      <c r="AD15" s="27">
        <v>3048167686</v>
      </c>
      <c r="AE15" s="27">
        <v>1105712</v>
      </c>
      <c r="AF15" s="27"/>
      <c r="AG15" s="27"/>
    </row>
    <row r="16" spans="1:33" ht="24" customHeight="1" x14ac:dyDescent="0.2">
      <c r="A16" s="27">
        <v>194</v>
      </c>
      <c r="B16" s="29">
        <v>44589.739571759259</v>
      </c>
      <c r="C16" s="27" t="s">
        <v>569</v>
      </c>
      <c r="D16" s="27"/>
      <c r="E16" s="27"/>
      <c r="F16" s="27">
        <v>110</v>
      </c>
      <c r="G16" s="27" t="s">
        <v>1361</v>
      </c>
      <c r="H16" s="27" t="s">
        <v>576</v>
      </c>
      <c r="I16" s="27">
        <v>9</v>
      </c>
      <c r="J16" s="27" t="s">
        <v>577</v>
      </c>
      <c r="K16" s="27" t="s">
        <v>602</v>
      </c>
      <c r="L16" s="27" t="s">
        <v>1377</v>
      </c>
      <c r="M16" s="27" t="s">
        <v>603</v>
      </c>
      <c r="N16" s="27">
        <v>379</v>
      </c>
      <c r="O16" s="27">
        <v>379</v>
      </c>
      <c r="P16" s="27">
        <v>-83</v>
      </c>
      <c r="Q16" s="27">
        <v>257</v>
      </c>
      <c r="R16" s="27">
        <v>33434</v>
      </c>
      <c r="S16" s="27">
        <v>11</v>
      </c>
      <c r="T16" s="27">
        <v>4387441</v>
      </c>
      <c r="U16" s="27">
        <v>110</v>
      </c>
      <c r="V16" s="27">
        <v>2</v>
      </c>
      <c r="W16" s="27">
        <v>1126</v>
      </c>
      <c r="X16" s="27">
        <v>256</v>
      </c>
      <c r="Y16" s="27">
        <v>1035520017</v>
      </c>
      <c r="Z16" s="27">
        <v>-111</v>
      </c>
      <c r="AA16" s="27">
        <v>1</v>
      </c>
      <c r="AB16" s="27">
        <v>17475750</v>
      </c>
      <c r="AC16" s="27">
        <v>22035</v>
      </c>
      <c r="AD16" s="27">
        <v>3048167686</v>
      </c>
      <c r="AE16" s="27">
        <v>1105712</v>
      </c>
      <c r="AF16" s="27" t="s">
        <v>1378</v>
      </c>
      <c r="AG16" s="27" t="s">
        <v>1378</v>
      </c>
    </row>
    <row r="17" spans="1:33" ht="24" customHeight="1" x14ac:dyDescent="0.2">
      <c r="A17" s="27">
        <v>191</v>
      </c>
      <c r="B17" s="29">
        <v>44589.739687499998</v>
      </c>
      <c r="C17" s="27" t="s">
        <v>584</v>
      </c>
      <c r="D17" s="27">
        <v>839</v>
      </c>
      <c r="E17" s="27">
        <v>5375671</v>
      </c>
      <c r="F17" s="27">
        <v>74</v>
      </c>
      <c r="G17" s="27" t="s">
        <v>1370</v>
      </c>
      <c r="H17" s="27" t="s">
        <v>589</v>
      </c>
      <c r="I17" s="27">
        <v>10</v>
      </c>
      <c r="J17" s="27" t="s">
        <v>577</v>
      </c>
      <c r="K17" s="27" t="s">
        <v>604</v>
      </c>
      <c r="L17" s="27" t="s">
        <v>1379</v>
      </c>
      <c r="M17" s="27" t="s">
        <v>605</v>
      </c>
      <c r="N17" s="27">
        <v>379</v>
      </c>
      <c r="O17" s="27">
        <v>379</v>
      </c>
      <c r="P17" s="27">
        <v>-83</v>
      </c>
      <c r="Q17" s="27">
        <v>257</v>
      </c>
      <c r="R17" s="27">
        <v>33435</v>
      </c>
      <c r="S17" s="27">
        <v>11</v>
      </c>
      <c r="T17" s="27">
        <v>4387535</v>
      </c>
      <c r="U17" s="27">
        <v>110</v>
      </c>
      <c r="V17" s="27">
        <v>2</v>
      </c>
      <c r="W17" s="27">
        <v>1126</v>
      </c>
      <c r="X17" s="27">
        <v>256</v>
      </c>
      <c r="Y17" s="27">
        <v>1035520017</v>
      </c>
      <c r="Z17" s="27">
        <v>-111</v>
      </c>
      <c r="AA17" s="27">
        <v>1</v>
      </c>
      <c r="AB17" s="27">
        <v>17475751</v>
      </c>
      <c r="AC17" s="27">
        <v>22035</v>
      </c>
      <c r="AD17" s="27">
        <v>3048167780</v>
      </c>
      <c r="AE17" s="27">
        <v>1105712</v>
      </c>
      <c r="AF17" s="27"/>
      <c r="AG17" s="27"/>
    </row>
    <row r="18" spans="1:33" ht="24" customHeight="1" x14ac:dyDescent="0.2">
      <c r="A18" s="27">
        <v>192</v>
      </c>
      <c r="B18" s="29">
        <v>44589.739687499998</v>
      </c>
      <c r="C18" s="27" t="s">
        <v>569</v>
      </c>
      <c r="D18" s="27"/>
      <c r="E18" s="27"/>
      <c r="F18" s="27">
        <v>110</v>
      </c>
      <c r="G18" s="27" t="s">
        <v>1361</v>
      </c>
      <c r="H18" s="27" t="s">
        <v>576</v>
      </c>
      <c r="I18" s="27">
        <v>10</v>
      </c>
      <c r="J18" s="27" t="s">
        <v>577</v>
      </c>
      <c r="K18" s="27" t="s">
        <v>606</v>
      </c>
      <c r="L18" s="27" t="s">
        <v>1379</v>
      </c>
      <c r="M18" s="27" t="s">
        <v>607</v>
      </c>
      <c r="N18" s="27">
        <v>379</v>
      </c>
      <c r="O18" s="27">
        <v>379</v>
      </c>
      <c r="P18" s="27">
        <v>-83</v>
      </c>
      <c r="Q18" s="27">
        <v>257</v>
      </c>
      <c r="R18" s="27">
        <v>33435</v>
      </c>
      <c r="S18" s="27">
        <v>11</v>
      </c>
      <c r="T18" s="27">
        <v>4387535</v>
      </c>
      <c r="U18" s="27">
        <v>110</v>
      </c>
      <c r="V18" s="27">
        <v>2</v>
      </c>
      <c r="W18" s="27">
        <v>1126</v>
      </c>
      <c r="X18" s="27">
        <v>256</v>
      </c>
      <c r="Y18" s="27">
        <v>1035520017</v>
      </c>
      <c r="Z18" s="27">
        <v>-111</v>
      </c>
      <c r="AA18" s="27">
        <v>1</v>
      </c>
      <c r="AB18" s="27">
        <v>17475751</v>
      </c>
      <c r="AC18" s="27">
        <v>22035</v>
      </c>
      <c r="AD18" s="27">
        <v>3048167780</v>
      </c>
      <c r="AE18" s="27">
        <v>1105712</v>
      </c>
      <c r="AF18" s="27" t="s">
        <v>1380</v>
      </c>
      <c r="AG18" s="27" t="s">
        <v>1380</v>
      </c>
    </row>
    <row r="19" spans="1:33" ht="24" customHeight="1" x14ac:dyDescent="0.2">
      <c r="A19" s="27">
        <v>189</v>
      </c>
      <c r="B19" s="29">
        <v>44589.739803240736</v>
      </c>
      <c r="C19" s="27" t="s">
        <v>584</v>
      </c>
      <c r="D19" s="27">
        <v>839</v>
      </c>
      <c r="E19" s="27">
        <v>5375671</v>
      </c>
      <c r="F19" s="27">
        <v>74</v>
      </c>
      <c r="G19" s="27" t="s">
        <v>1370</v>
      </c>
      <c r="H19" s="27" t="s">
        <v>589</v>
      </c>
      <c r="I19" s="27">
        <v>11</v>
      </c>
      <c r="J19" s="27" t="s">
        <v>577</v>
      </c>
      <c r="K19" s="27" t="s">
        <v>608</v>
      </c>
      <c r="L19" s="27" t="s">
        <v>1381</v>
      </c>
      <c r="M19" s="27" t="s">
        <v>609</v>
      </c>
      <c r="N19" s="27">
        <v>378</v>
      </c>
      <c r="O19" s="27">
        <v>378</v>
      </c>
      <c r="P19" s="27">
        <v>-83</v>
      </c>
      <c r="Q19" s="27">
        <v>257</v>
      </c>
      <c r="R19" s="27">
        <v>33436</v>
      </c>
      <c r="S19" s="27">
        <v>11</v>
      </c>
      <c r="T19" s="27">
        <v>4387629</v>
      </c>
      <c r="U19" s="27">
        <v>110</v>
      </c>
      <c r="V19" s="27">
        <v>2</v>
      </c>
      <c r="W19" s="27">
        <v>1126</v>
      </c>
      <c r="X19" s="27">
        <v>256</v>
      </c>
      <c r="Y19" s="27">
        <v>1035520017</v>
      </c>
      <c r="Z19" s="27">
        <v>-116</v>
      </c>
      <c r="AA19" s="27">
        <v>1</v>
      </c>
      <c r="AB19" s="27">
        <v>17475752</v>
      </c>
      <c r="AC19" s="27">
        <v>22035</v>
      </c>
      <c r="AD19" s="27">
        <v>3048167874</v>
      </c>
      <c r="AE19" s="27">
        <v>1105712</v>
      </c>
      <c r="AF19" s="27"/>
      <c r="AG19" s="27"/>
    </row>
    <row r="20" spans="1:33" ht="24" customHeight="1" x14ac:dyDescent="0.2">
      <c r="A20" s="27">
        <v>190</v>
      </c>
      <c r="B20" s="29">
        <v>44589.739803240736</v>
      </c>
      <c r="C20" s="27" t="s">
        <v>569</v>
      </c>
      <c r="D20" s="27"/>
      <c r="E20" s="27"/>
      <c r="F20" s="27">
        <v>110</v>
      </c>
      <c r="G20" s="27" t="s">
        <v>1361</v>
      </c>
      <c r="H20" s="27" t="s">
        <v>576</v>
      </c>
      <c r="I20" s="27">
        <v>11</v>
      </c>
      <c r="J20" s="27" t="s">
        <v>577</v>
      </c>
      <c r="K20" s="27" t="s">
        <v>610</v>
      </c>
      <c r="L20" s="27" t="s">
        <v>1381</v>
      </c>
      <c r="M20" s="27" t="s">
        <v>611</v>
      </c>
      <c r="N20" s="27">
        <v>378</v>
      </c>
      <c r="O20" s="27">
        <v>378</v>
      </c>
      <c r="P20" s="27">
        <v>-83</v>
      </c>
      <c r="Q20" s="27">
        <v>257</v>
      </c>
      <c r="R20" s="27">
        <v>33436</v>
      </c>
      <c r="S20" s="27">
        <v>11</v>
      </c>
      <c r="T20" s="27">
        <v>4387629</v>
      </c>
      <c r="U20" s="27">
        <v>110</v>
      </c>
      <c r="V20" s="27">
        <v>2</v>
      </c>
      <c r="W20" s="27">
        <v>1126</v>
      </c>
      <c r="X20" s="27">
        <v>256</v>
      </c>
      <c r="Y20" s="27">
        <v>1035520017</v>
      </c>
      <c r="Z20" s="27">
        <v>-116</v>
      </c>
      <c r="AA20" s="27">
        <v>1</v>
      </c>
      <c r="AB20" s="27">
        <v>17475752</v>
      </c>
      <c r="AC20" s="27">
        <v>22035</v>
      </c>
      <c r="AD20" s="27">
        <v>3048167874</v>
      </c>
      <c r="AE20" s="27">
        <v>1105712</v>
      </c>
      <c r="AF20" s="27" t="s">
        <v>1382</v>
      </c>
      <c r="AG20" s="27" t="s">
        <v>1382</v>
      </c>
    </row>
    <row r="21" spans="1:33" ht="24" customHeight="1" x14ac:dyDescent="0.2">
      <c r="A21" s="27">
        <v>187</v>
      </c>
      <c r="B21" s="29">
        <v>44589.739918981482</v>
      </c>
      <c r="C21" s="27" t="s">
        <v>584</v>
      </c>
      <c r="D21" s="27">
        <v>839</v>
      </c>
      <c r="E21" s="27">
        <v>5375671</v>
      </c>
      <c r="F21" s="27">
        <v>74</v>
      </c>
      <c r="G21" s="27" t="s">
        <v>1370</v>
      </c>
      <c r="H21" s="27" t="s">
        <v>589</v>
      </c>
      <c r="I21" s="27">
        <v>12</v>
      </c>
      <c r="J21" s="27" t="s">
        <v>577</v>
      </c>
      <c r="K21" s="27" t="s">
        <v>612</v>
      </c>
      <c r="L21" s="27" t="s">
        <v>1383</v>
      </c>
      <c r="M21" s="27" t="s">
        <v>613</v>
      </c>
      <c r="N21" s="27">
        <v>378</v>
      </c>
      <c r="O21" s="27">
        <v>378</v>
      </c>
      <c r="P21" s="27">
        <v>-83</v>
      </c>
      <c r="Q21" s="27">
        <v>257</v>
      </c>
      <c r="R21" s="27">
        <v>33437</v>
      </c>
      <c r="S21" s="27">
        <v>11</v>
      </c>
      <c r="T21" s="27">
        <v>4387723</v>
      </c>
      <c r="U21" s="27">
        <v>110</v>
      </c>
      <c r="V21" s="27">
        <v>2</v>
      </c>
      <c r="W21" s="27">
        <v>1126</v>
      </c>
      <c r="X21" s="27">
        <v>256</v>
      </c>
      <c r="Y21" s="27">
        <v>1035520017</v>
      </c>
      <c r="Z21" s="27">
        <v>-111</v>
      </c>
      <c r="AA21" s="27">
        <v>1</v>
      </c>
      <c r="AB21" s="27">
        <v>17475753</v>
      </c>
      <c r="AC21" s="27">
        <v>22035</v>
      </c>
      <c r="AD21" s="27">
        <v>3048167968</v>
      </c>
      <c r="AE21" s="27">
        <v>1105712</v>
      </c>
      <c r="AF21" s="27"/>
      <c r="AG21" s="27"/>
    </row>
    <row r="22" spans="1:33" ht="24" customHeight="1" x14ac:dyDescent="0.2">
      <c r="A22" s="27">
        <v>188</v>
      </c>
      <c r="B22" s="29">
        <v>44589.739918981482</v>
      </c>
      <c r="C22" s="27" t="s">
        <v>569</v>
      </c>
      <c r="D22" s="27"/>
      <c r="E22" s="27"/>
      <c r="F22" s="27">
        <v>110</v>
      </c>
      <c r="G22" s="27" t="s">
        <v>1361</v>
      </c>
      <c r="H22" s="27" t="s">
        <v>576</v>
      </c>
      <c r="I22" s="27">
        <v>12</v>
      </c>
      <c r="J22" s="27" t="s">
        <v>577</v>
      </c>
      <c r="K22" s="27" t="s">
        <v>614</v>
      </c>
      <c r="L22" s="27" t="s">
        <v>1383</v>
      </c>
      <c r="M22" s="27" t="s">
        <v>615</v>
      </c>
      <c r="N22" s="27">
        <v>378</v>
      </c>
      <c r="O22" s="27">
        <v>378</v>
      </c>
      <c r="P22" s="27">
        <v>-83</v>
      </c>
      <c r="Q22" s="27">
        <v>257</v>
      </c>
      <c r="R22" s="27">
        <v>33437</v>
      </c>
      <c r="S22" s="27">
        <v>11</v>
      </c>
      <c r="T22" s="27">
        <v>4387723</v>
      </c>
      <c r="U22" s="27">
        <v>110</v>
      </c>
      <c r="V22" s="27">
        <v>2</v>
      </c>
      <c r="W22" s="27">
        <v>1126</v>
      </c>
      <c r="X22" s="27">
        <v>256</v>
      </c>
      <c r="Y22" s="27">
        <v>1035520017</v>
      </c>
      <c r="Z22" s="27">
        <v>-111</v>
      </c>
      <c r="AA22" s="27">
        <v>1</v>
      </c>
      <c r="AB22" s="27">
        <v>17475753</v>
      </c>
      <c r="AC22" s="27">
        <v>22035</v>
      </c>
      <c r="AD22" s="27">
        <v>3048167968</v>
      </c>
      <c r="AE22" s="27">
        <v>1105712</v>
      </c>
      <c r="AF22" s="27" t="s">
        <v>1384</v>
      </c>
      <c r="AG22" s="27" t="s">
        <v>1384</v>
      </c>
    </row>
    <row r="23" spans="1:33" ht="24" customHeight="1" x14ac:dyDescent="0.2">
      <c r="A23" s="27">
        <v>186</v>
      </c>
      <c r="B23" s="29">
        <v>44589.740034722221</v>
      </c>
      <c r="C23" s="27" t="s">
        <v>584</v>
      </c>
      <c r="D23" s="27">
        <v>839</v>
      </c>
      <c r="E23" s="27">
        <v>5375671</v>
      </c>
      <c r="F23" s="27">
        <v>74</v>
      </c>
      <c r="G23" s="27" t="s">
        <v>1370</v>
      </c>
      <c r="H23" s="27" t="s">
        <v>589</v>
      </c>
      <c r="I23" s="27">
        <v>13</v>
      </c>
      <c r="J23" s="27" t="s">
        <v>590</v>
      </c>
      <c r="K23" s="27" t="s">
        <v>616</v>
      </c>
      <c r="L23" s="27" t="s">
        <v>1385</v>
      </c>
      <c r="M23" s="27" t="s">
        <v>617</v>
      </c>
      <c r="N23" s="27">
        <v>377</v>
      </c>
      <c r="O23" s="27">
        <v>377</v>
      </c>
      <c r="P23" s="27">
        <v>-83</v>
      </c>
      <c r="Q23" s="27">
        <v>257</v>
      </c>
      <c r="R23" s="27">
        <v>33438</v>
      </c>
      <c r="S23" s="27">
        <v>11</v>
      </c>
      <c r="T23" s="27">
        <v>4387817</v>
      </c>
      <c r="U23" s="27">
        <v>110</v>
      </c>
      <c r="V23" s="27">
        <v>2</v>
      </c>
      <c r="W23" s="27">
        <v>1126</v>
      </c>
      <c r="X23" s="27">
        <v>256</v>
      </c>
      <c r="Y23" s="27">
        <v>1035520017</v>
      </c>
      <c r="Z23" s="27">
        <v>-111</v>
      </c>
      <c r="AA23" s="27">
        <v>1</v>
      </c>
      <c r="AB23" s="27">
        <v>17475754</v>
      </c>
      <c r="AC23" s="27">
        <v>22035</v>
      </c>
      <c r="AD23" s="27">
        <v>3048168062</v>
      </c>
      <c r="AE23" s="27">
        <v>1105712</v>
      </c>
      <c r="AF23" s="27"/>
      <c r="AG23" s="27"/>
    </row>
    <row r="24" spans="1:33" ht="24" customHeight="1" x14ac:dyDescent="0.2">
      <c r="A24" s="27">
        <v>184</v>
      </c>
      <c r="B24" s="29">
        <v>44589.74015046296</v>
      </c>
      <c r="C24" s="27" t="s">
        <v>584</v>
      </c>
      <c r="D24" s="27">
        <v>839</v>
      </c>
      <c r="E24" s="27">
        <v>5375671</v>
      </c>
      <c r="F24" s="27">
        <v>74</v>
      </c>
      <c r="G24" s="27" t="s">
        <v>1370</v>
      </c>
      <c r="H24" s="27" t="s">
        <v>589</v>
      </c>
      <c r="I24" s="27">
        <v>14</v>
      </c>
      <c r="J24" s="27" t="s">
        <v>577</v>
      </c>
      <c r="K24" s="27" t="s">
        <v>618</v>
      </c>
      <c r="L24" s="27" t="s">
        <v>1386</v>
      </c>
      <c r="M24" s="27" t="s">
        <v>619</v>
      </c>
      <c r="N24" s="27">
        <v>377</v>
      </c>
      <c r="O24" s="27">
        <v>377</v>
      </c>
      <c r="P24" s="27">
        <v>-83</v>
      </c>
      <c r="Q24" s="27">
        <v>257</v>
      </c>
      <c r="R24" s="27">
        <v>33439</v>
      </c>
      <c r="S24" s="27">
        <v>11</v>
      </c>
      <c r="T24" s="27">
        <v>4387911</v>
      </c>
      <c r="U24" s="27">
        <v>110</v>
      </c>
      <c r="V24" s="27">
        <v>2</v>
      </c>
      <c r="W24" s="27">
        <v>1126</v>
      </c>
      <c r="X24" s="27">
        <v>256</v>
      </c>
      <c r="Y24" s="27">
        <v>1035520017</v>
      </c>
      <c r="Z24" s="27">
        <v>-113</v>
      </c>
      <c r="AA24" s="27">
        <v>1</v>
      </c>
      <c r="AB24" s="27">
        <v>17475755</v>
      </c>
      <c r="AC24" s="27">
        <v>22035</v>
      </c>
      <c r="AD24" s="27">
        <v>3048168156</v>
      </c>
      <c r="AE24" s="27">
        <v>1105712</v>
      </c>
      <c r="AF24" s="27"/>
      <c r="AG24" s="27"/>
    </row>
    <row r="25" spans="1:33" ht="24" customHeight="1" x14ac:dyDescent="0.2">
      <c r="A25" s="27">
        <v>185</v>
      </c>
      <c r="B25" s="29">
        <v>44589.74015046296</v>
      </c>
      <c r="C25" s="27" t="s">
        <v>569</v>
      </c>
      <c r="D25" s="27"/>
      <c r="E25" s="27"/>
      <c r="F25" s="27">
        <v>110</v>
      </c>
      <c r="G25" s="27" t="s">
        <v>1361</v>
      </c>
      <c r="H25" s="27" t="s">
        <v>576</v>
      </c>
      <c r="I25" s="27">
        <v>14</v>
      </c>
      <c r="J25" s="27" t="s">
        <v>577</v>
      </c>
      <c r="K25" s="27" t="s">
        <v>620</v>
      </c>
      <c r="L25" s="27" t="s">
        <v>1386</v>
      </c>
      <c r="M25" s="27" t="s">
        <v>621</v>
      </c>
      <c r="N25" s="27">
        <v>377</v>
      </c>
      <c r="O25" s="27">
        <v>377</v>
      </c>
      <c r="P25" s="27">
        <v>-83</v>
      </c>
      <c r="Q25" s="27">
        <v>257</v>
      </c>
      <c r="R25" s="27">
        <v>33439</v>
      </c>
      <c r="S25" s="27">
        <v>11</v>
      </c>
      <c r="T25" s="27">
        <v>4387911</v>
      </c>
      <c r="U25" s="27">
        <v>110</v>
      </c>
      <c r="V25" s="27">
        <v>2</v>
      </c>
      <c r="W25" s="27">
        <v>1126</v>
      </c>
      <c r="X25" s="27">
        <v>256</v>
      </c>
      <c r="Y25" s="27">
        <v>1035520017</v>
      </c>
      <c r="Z25" s="27">
        <v>-113</v>
      </c>
      <c r="AA25" s="27">
        <v>1</v>
      </c>
      <c r="AB25" s="27">
        <v>17475755</v>
      </c>
      <c r="AC25" s="27">
        <v>22035</v>
      </c>
      <c r="AD25" s="27">
        <v>3048168156</v>
      </c>
      <c r="AE25" s="27">
        <v>1105712</v>
      </c>
      <c r="AF25" s="27" t="s">
        <v>1387</v>
      </c>
      <c r="AG25" s="27" t="s">
        <v>1387</v>
      </c>
    </row>
    <row r="26" spans="1:33" ht="24" customHeight="1" x14ac:dyDescent="0.2">
      <c r="A26" s="27">
        <v>180</v>
      </c>
      <c r="B26" s="29">
        <v>44589.740266203713</v>
      </c>
      <c r="C26" s="27" t="s">
        <v>584</v>
      </c>
      <c r="D26" s="27">
        <v>839</v>
      </c>
      <c r="E26" s="27">
        <v>5375671</v>
      </c>
      <c r="F26" s="27">
        <v>74</v>
      </c>
      <c r="G26" s="27" t="s">
        <v>1370</v>
      </c>
      <c r="H26" s="27" t="s">
        <v>589</v>
      </c>
      <c r="I26" s="27">
        <v>15</v>
      </c>
      <c r="J26" s="27" t="s">
        <v>577</v>
      </c>
      <c r="K26" s="27" t="s">
        <v>623</v>
      </c>
      <c r="L26" s="27" t="s">
        <v>1388</v>
      </c>
      <c r="M26" s="27" t="s">
        <v>624</v>
      </c>
      <c r="N26" s="27">
        <v>376</v>
      </c>
      <c r="O26" s="27">
        <v>376</v>
      </c>
      <c r="P26" s="27">
        <v>-83</v>
      </c>
      <c r="Q26" s="27">
        <v>257</v>
      </c>
      <c r="R26" s="27">
        <v>33440</v>
      </c>
      <c r="S26" s="27">
        <v>11</v>
      </c>
      <c r="T26" s="27">
        <v>4388005</v>
      </c>
      <c r="U26" s="27">
        <v>110</v>
      </c>
      <c r="V26" s="27">
        <v>2</v>
      </c>
      <c r="W26" s="27">
        <v>1126</v>
      </c>
      <c r="X26" s="27">
        <v>256</v>
      </c>
      <c r="Y26" s="27">
        <v>1035520017</v>
      </c>
      <c r="Z26" s="27">
        <v>-111</v>
      </c>
      <c r="AA26" s="27">
        <v>1</v>
      </c>
      <c r="AB26" s="27">
        <v>17475756</v>
      </c>
      <c r="AC26" s="27">
        <v>22035</v>
      </c>
      <c r="AD26" s="27">
        <v>3048168250</v>
      </c>
      <c r="AE26" s="27">
        <v>1105712</v>
      </c>
      <c r="AF26" s="27"/>
      <c r="AG26" s="27"/>
    </row>
    <row r="27" spans="1:33" ht="24" customHeight="1" x14ac:dyDescent="0.2">
      <c r="A27" s="27">
        <v>181</v>
      </c>
      <c r="B27" s="29">
        <v>44589.740266203713</v>
      </c>
      <c r="C27" s="27" t="s">
        <v>622</v>
      </c>
      <c r="D27" s="27">
        <v>2504</v>
      </c>
      <c r="E27" s="27">
        <v>5369438</v>
      </c>
      <c r="F27" s="27">
        <v>74</v>
      </c>
      <c r="G27" s="27" t="s">
        <v>1370</v>
      </c>
      <c r="H27" s="27" t="s">
        <v>589</v>
      </c>
      <c r="I27" s="27">
        <v>15</v>
      </c>
      <c r="J27" s="27" t="s">
        <v>577</v>
      </c>
      <c r="K27" s="27" t="s">
        <v>623</v>
      </c>
      <c r="L27" s="27" t="s">
        <v>1388</v>
      </c>
      <c r="M27" s="27" t="s">
        <v>624</v>
      </c>
      <c r="N27" s="27">
        <v>376</v>
      </c>
      <c r="O27" s="27">
        <v>376</v>
      </c>
      <c r="P27" s="27">
        <v>-83</v>
      </c>
      <c r="Q27" s="27">
        <v>257</v>
      </c>
      <c r="R27" s="27">
        <v>33440</v>
      </c>
      <c r="S27" s="27">
        <v>11</v>
      </c>
      <c r="T27" s="27">
        <v>4388005</v>
      </c>
      <c r="U27" s="27">
        <v>110</v>
      </c>
      <c r="V27" s="27">
        <v>2</v>
      </c>
      <c r="W27" s="27">
        <v>1126</v>
      </c>
      <c r="X27" s="27">
        <v>256</v>
      </c>
      <c r="Y27" s="27">
        <v>1035520017</v>
      </c>
      <c r="Z27" s="27">
        <v>-111</v>
      </c>
      <c r="AA27" s="27">
        <v>1</v>
      </c>
      <c r="AB27" s="27">
        <v>17475756</v>
      </c>
      <c r="AC27" s="27">
        <v>22035</v>
      </c>
      <c r="AD27" s="27">
        <v>3048168250</v>
      </c>
      <c r="AE27" s="27">
        <v>1105712</v>
      </c>
      <c r="AF27" s="27"/>
      <c r="AG27" s="27"/>
    </row>
    <row r="28" spans="1:33" ht="24" customHeight="1" x14ac:dyDescent="0.2">
      <c r="A28" s="27">
        <v>182</v>
      </c>
      <c r="B28" s="29">
        <v>44589.740266203713</v>
      </c>
      <c r="C28" s="27" t="s">
        <v>569</v>
      </c>
      <c r="D28" s="27"/>
      <c r="E28" s="27"/>
      <c r="F28" s="27">
        <v>110</v>
      </c>
      <c r="G28" s="27" t="s">
        <v>1361</v>
      </c>
      <c r="H28" s="27" t="s">
        <v>576</v>
      </c>
      <c r="I28" s="27">
        <v>15</v>
      </c>
      <c r="J28" s="27" t="s">
        <v>577</v>
      </c>
      <c r="K28" s="27" t="s">
        <v>625</v>
      </c>
      <c r="L28" s="27" t="s">
        <v>1388</v>
      </c>
      <c r="M28" s="27" t="s">
        <v>626</v>
      </c>
      <c r="N28" s="27">
        <v>376</v>
      </c>
      <c r="O28" s="27">
        <v>376</v>
      </c>
      <c r="P28" s="27">
        <v>-83</v>
      </c>
      <c r="Q28" s="27">
        <v>257</v>
      </c>
      <c r="R28" s="27">
        <v>33440</v>
      </c>
      <c r="S28" s="27">
        <v>11</v>
      </c>
      <c r="T28" s="27">
        <v>4388005</v>
      </c>
      <c r="U28" s="27">
        <v>110</v>
      </c>
      <c r="V28" s="27">
        <v>2</v>
      </c>
      <c r="W28" s="27">
        <v>1126</v>
      </c>
      <c r="X28" s="27">
        <v>256</v>
      </c>
      <c r="Y28" s="27">
        <v>1035520017</v>
      </c>
      <c r="Z28" s="27">
        <v>-111</v>
      </c>
      <c r="AA28" s="27">
        <v>1</v>
      </c>
      <c r="AB28" s="27">
        <v>17475756</v>
      </c>
      <c r="AC28" s="27">
        <v>22035</v>
      </c>
      <c r="AD28" s="27">
        <v>3048168250</v>
      </c>
      <c r="AE28" s="27">
        <v>1105712</v>
      </c>
      <c r="AF28" s="27" t="s">
        <v>1389</v>
      </c>
      <c r="AG28" s="27" t="s">
        <v>1389</v>
      </c>
    </row>
    <row r="29" spans="1:33" ht="24" customHeight="1" x14ac:dyDescent="0.2">
      <c r="A29" s="27">
        <v>183</v>
      </c>
      <c r="B29" s="29">
        <v>44589.740266203713</v>
      </c>
      <c r="C29" s="27" t="s">
        <v>627</v>
      </c>
      <c r="D29" s="27"/>
      <c r="E29" s="27"/>
      <c r="F29" s="27">
        <v>110</v>
      </c>
      <c r="G29" s="27" t="s">
        <v>1361</v>
      </c>
      <c r="H29" s="27" t="s">
        <v>576</v>
      </c>
      <c r="I29" s="27">
        <v>15</v>
      </c>
      <c r="J29" s="27" t="s">
        <v>577</v>
      </c>
      <c r="K29" s="27" t="s">
        <v>625</v>
      </c>
      <c r="L29" s="27" t="s">
        <v>1388</v>
      </c>
      <c r="M29" s="27" t="s">
        <v>626</v>
      </c>
      <c r="N29" s="27">
        <v>376</v>
      </c>
      <c r="O29" s="27">
        <v>376</v>
      </c>
      <c r="P29" s="27">
        <v>-83</v>
      </c>
      <c r="Q29" s="27">
        <v>257</v>
      </c>
      <c r="R29" s="27">
        <v>33440</v>
      </c>
      <c r="S29" s="27">
        <v>11</v>
      </c>
      <c r="T29" s="27">
        <v>4388005</v>
      </c>
      <c r="U29" s="27">
        <v>110</v>
      </c>
      <c r="V29" s="27">
        <v>2</v>
      </c>
      <c r="W29" s="27">
        <v>1126</v>
      </c>
      <c r="X29" s="27">
        <v>256</v>
      </c>
      <c r="Y29" s="27">
        <v>1035520017</v>
      </c>
      <c r="Z29" s="27">
        <v>-111</v>
      </c>
      <c r="AA29" s="27">
        <v>1</v>
      </c>
      <c r="AB29" s="27">
        <v>17475756</v>
      </c>
      <c r="AC29" s="27">
        <v>22035</v>
      </c>
      <c r="AD29" s="27">
        <v>3048168250</v>
      </c>
      <c r="AE29" s="27">
        <v>1105712</v>
      </c>
      <c r="AF29" s="27" t="s">
        <v>1389</v>
      </c>
      <c r="AG29" s="27" t="s">
        <v>1389</v>
      </c>
    </row>
    <row r="30" spans="1:33" ht="24" customHeight="1" x14ac:dyDescent="0.2">
      <c r="A30" s="27">
        <v>177</v>
      </c>
      <c r="B30" s="29">
        <v>44589.740381944437</v>
      </c>
      <c r="C30" s="27" t="s">
        <v>584</v>
      </c>
      <c r="D30" s="27">
        <v>839</v>
      </c>
      <c r="E30" s="27">
        <v>5375671</v>
      </c>
      <c r="F30" s="27">
        <v>74</v>
      </c>
      <c r="G30" s="27" t="s">
        <v>1370</v>
      </c>
      <c r="H30" s="27" t="s">
        <v>589</v>
      </c>
      <c r="I30" s="27">
        <v>16</v>
      </c>
      <c r="J30" s="27" t="s">
        <v>577</v>
      </c>
      <c r="K30" s="27" t="s">
        <v>628</v>
      </c>
      <c r="L30" s="27" t="s">
        <v>1390</v>
      </c>
      <c r="M30" s="27" t="s">
        <v>629</v>
      </c>
      <c r="N30" s="27">
        <v>376</v>
      </c>
      <c r="O30" s="27">
        <v>376</v>
      </c>
      <c r="P30" s="27">
        <v>-83</v>
      </c>
      <c r="Q30" s="27">
        <v>257</v>
      </c>
      <c r="R30" s="27">
        <v>33441</v>
      </c>
      <c r="S30" s="27">
        <v>11</v>
      </c>
      <c r="T30" s="27">
        <v>4388099</v>
      </c>
      <c r="U30" s="27">
        <v>110</v>
      </c>
      <c r="V30" s="27">
        <v>2</v>
      </c>
      <c r="W30" s="27">
        <v>1126</v>
      </c>
      <c r="X30" s="27">
        <v>256</v>
      </c>
      <c r="Y30" s="27">
        <v>1035520017</v>
      </c>
      <c r="Z30" s="27">
        <v>-108</v>
      </c>
      <c r="AA30" s="27">
        <v>1</v>
      </c>
      <c r="AB30" s="27">
        <v>17475757</v>
      </c>
      <c r="AC30" s="27">
        <v>22035</v>
      </c>
      <c r="AD30" s="27">
        <v>3048168344</v>
      </c>
      <c r="AE30" s="27">
        <v>1105712</v>
      </c>
      <c r="AF30" s="27"/>
      <c r="AG30" s="27"/>
    </row>
    <row r="31" spans="1:33" ht="24" customHeight="1" x14ac:dyDescent="0.2">
      <c r="A31" s="27">
        <v>178</v>
      </c>
      <c r="B31" s="29">
        <v>44589.740381944437</v>
      </c>
      <c r="C31" s="27" t="s">
        <v>569</v>
      </c>
      <c r="D31" s="27"/>
      <c r="E31" s="27"/>
      <c r="F31" s="27">
        <v>110</v>
      </c>
      <c r="G31" s="27" t="s">
        <v>1361</v>
      </c>
      <c r="H31" s="27" t="s">
        <v>576</v>
      </c>
      <c r="I31" s="27">
        <v>16</v>
      </c>
      <c r="J31" s="27" t="s">
        <v>577</v>
      </c>
      <c r="K31" s="27" t="s">
        <v>630</v>
      </c>
      <c r="L31" s="27" t="s">
        <v>1390</v>
      </c>
      <c r="M31" s="27" t="s">
        <v>631</v>
      </c>
      <c r="N31" s="27">
        <v>376</v>
      </c>
      <c r="O31" s="27">
        <v>376</v>
      </c>
      <c r="P31" s="27">
        <v>-83</v>
      </c>
      <c r="Q31" s="27">
        <v>257</v>
      </c>
      <c r="R31" s="27">
        <v>33441</v>
      </c>
      <c r="S31" s="27">
        <v>11</v>
      </c>
      <c r="T31" s="27">
        <v>4388099</v>
      </c>
      <c r="U31" s="27">
        <v>110</v>
      </c>
      <c r="V31" s="27">
        <v>2</v>
      </c>
      <c r="W31" s="27">
        <v>1126</v>
      </c>
      <c r="X31" s="27">
        <v>256</v>
      </c>
      <c r="Y31" s="27">
        <v>1035520017</v>
      </c>
      <c r="Z31" s="27">
        <v>-108</v>
      </c>
      <c r="AA31" s="27">
        <v>1</v>
      </c>
      <c r="AB31" s="27">
        <v>17475757</v>
      </c>
      <c r="AC31" s="27">
        <v>22035</v>
      </c>
      <c r="AD31" s="27">
        <v>3048168344</v>
      </c>
      <c r="AE31" s="27">
        <v>1105712</v>
      </c>
      <c r="AF31" s="27" t="s">
        <v>1391</v>
      </c>
      <c r="AG31" s="27" t="s">
        <v>1391</v>
      </c>
    </row>
    <row r="32" spans="1:33" ht="24" customHeight="1" x14ac:dyDescent="0.2">
      <c r="A32" s="27">
        <v>179</v>
      </c>
      <c r="B32" s="29">
        <v>44589.740381944437</v>
      </c>
      <c r="C32" s="27" t="s">
        <v>627</v>
      </c>
      <c r="D32" s="27"/>
      <c r="E32" s="27"/>
      <c r="F32" s="27">
        <v>110</v>
      </c>
      <c r="G32" s="27" t="s">
        <v>1361</v>
      </c>
      <c r="H32" s="27" t="s">
        <v>576</v>
      </c>
      <c r="I32" s="27">
        <v>16</v>
      </c>
      <c r="J32" s="27" t="s">
        <v>577</v>
      </c>
      <c r="K32" s="27" t="s">
        <v>630</v>
      </c>
      <c r="L32" s="27" t="s">
        <v>1390</v>
      </c>
      <c r="M32" s="27" t="s">
        <v>631</v>
      </c>
      <c r="N32" s="27">
        <v>376</v>
      </c>
      <c r="O32" s="27">
        <v>376</v>
      </c>
      <c r="P32" s="27">
        <v>-83</v>
      </c>
      <c r="Q32" s="27">
        <v>257</v>
      </c>
      <c r="R32" s="27">
        <v>33441</v>
      </c>
      <c r="S32" s="27">
        <v>11</v>
      </c>
      <c r="T32" s="27">
        <v>4388099</v>
      </c>
      <c r="U32" s="27">
        <v>110</v>
      </c>
      <c r="V32" s="27">
        <v>2</v>
      </c>
      <c r="W32" s="27">
        <v>1126</v>
      </c>
      <c r="X32" s="27">
        <v>256</v>
      </c>
      <c r="Y32" s="27">
        <v>1035520017</v>
      </c>
      <c r="Z32" s="27">
        <v>-108</v>
      </c>
      <c r="AA32" s="27">
        <v>1</v>
      </c>
      <c r="AB32" s="27">
        <v>17475757</v>
      </c>
      <c r="AC32" s="27">
        <v>22035</v>
      </c>
      <c r="AD32" s="27">
        <v>3048168344</v>
      </c>
      <c r="AE32" s="27">
        <v>1105712</v>
      </c>
      <c r="AF32" s="27" t="s">
        <v>1391</v>
      </c>
      <c r="AG32" s="27" t="s">
        <v>1391</v>
      </c>
    </row>
    <row r="33" spans="1:33" ht="24" customHeight="1" x14ac:dyDescent="0.2">
      <c r="A33" s="27">
        <v>174</v>
      </c>
      <c r="B33" s="29">
        <v>44589.740497685183</v>
      </c>
      <c r="C33" s="27" t="s">
        <v>584</v>
      </c>
      <c r="D33" s="27">
        <v>839</v>
      </c>
      <c r="E33" s="27">
        <v>5375671</v>
      </c>
      <c r="F33" s="27">
        <v>74</v>
      </c>
      <c r="G33" s="27" t="s">
        <v>1370</v>
      </c>
      <c r="H33" s="27" t="s">
        <v>589</v>
      </c>
      <c r="I33" s="27">
        <v>17</v>
      </c>
      <c r="J33" s="27" t="s">
        <v>577</v>
      </c>
      <c r="K33" s="27" t="s">
        <v>632</v>
      </c>
      <c r="L33" s="27" t="s">
        <v>1392</v>
      </c>
      <c r="M33" s="27" t="s">
        <v>633</v>
      </c>
      <c r="N33" s="27">
        <v>375</v>
      </c>
      <c r="O33" s="27">
        <v>375</v>
      </c>
      <c r="P33" s="27">
        <v>-83</v>
      </c>
      <c r="Q33" s="27">
        <v>257</v>
      </c>
      <c r="R33" s="27">
        <v>33442</v>
      </c>
      <c r="S33" s="27">
        <v>11</v>
      </c>
      <c r="T33" s="27">
        <v>4388193</v>
      </c>
      <c r="U33" s="27">
        <v>110</v>
      </c>
      <c r="V33" s="27">
        <v>2</v>
      </c>
      <c r="W33" s="27">
        <v>1126</v>
      </c>
      <c r="X33" s="27">
        <v>256</v>
      </c>
      <c r="Y33" s="27">
        <v>1035520017</v>
      </c>
      <c r="Z33" s="27">
        <v>-107</v>
      </c>
      <c r="AA33" s="27">
        <v>1</v>
      </c>
      <c r="AB33" s="27">
        <v>17475758</v>
      </c>
      <c r="AC33" s="27">
        <v>22035</v>
      </c>
      <c r="AD33" s="27">
        <v>3048168438</v>
      </c>
      <c r="AE33" s="27">
        <v>1105712</v>
      </c>
      <c r="AF33" s="27"/>
      <c r="AG33" s="27"/>
    </row>
    <row r="34" spans="1:33" ht="24" customHeight="1" x14ac:dyDescent="0.2">
      <c r="A34" s="27">
        <v>175</v>
      </c>
      <c r="B34" s="29">
        <v>44589.740497685183</v>
      </c>
      <c r="C34" s="27" t="s">
        <v>569</v>
      </c>
      <c r="D34" s="27"/>
      <c r="E34" s="27"/>
      <c r="F34" s="27">
        <v>110</v>
      </c>
      <c r="G34" s="27" t="s">
        <v>1361</v>
      </c>
      <c r="H34" s="27" t="s">
        <v>576</v>
      </c>
      <c r="I34" s="27">
        <v>17</v>
      </c>
      <c r="J34" s="27" t="s">
        <v>577</v>
      </c>
      <c r="K34" s="27" t="s">
        <v>634</v>
      </c>
      <c r="L34" s="27" t="s">
        <v>1392</v>
      </c>
      <c r="M34" s="27" t="s">
        <v>635</v>
      </c>
      <c r="N34" s="27">
        <v>375</v>
      </c>
      <c r="O34" s="27">
        <v>375</v>
      </c>
      <c r="P34" s="27">
        <v>-83</v>
      </c>
      <c r="Q34" s="27">
        <v>257</v>
      </c>
      <c r="R34" s="27">
        <v>33442</v>
      </c>
      <c r="S34" s="27">
        <v>11</v>
      </c>
      <c r="T34" s="27">
        <v>4388193</v>
      </c>
      <c r="U34" s="27">
        <v>110</v>
      </c>
      <c r="V34" s="27">
        <v>2</v>
      </c>
      <c r="W34" s="27">
        <v>1126</v>
      </c>
      <c r="X34" s="27">
        <v>256</v>
      </c>
      <c r="Y34" s="27">
        <v>1035520017</v>
      </c>
      <c r="Z34" s="27">
        <v>-107</v>
      </c>
      <c r="AA34" s="27">
        <v>1</v>
      </c>
      <c r="AB34" s="27">
        <v>17475758</v>
      </c>
      <c r="AC34" s="27">
        <v>22035</v>
      </c>
      <c r="AD34" s="27">
        <v>3048168438</v>
      </c>
      <c r="AE34" s="27">
        <v>1105712</v>
      </c>
      <c r="AF34" s="27" t="s">
        <v>1393</v>
      </c>
      <c r="AG34" s="27" t="s">
        <v>1393</v>
      </c>
    </row>
    <row r="35" spans="1:33" ht="24" customHeight="1" x14ac:dyDescent="0.2">
      <c r="A35" s="27">
        <v>176</v>
      </c>
      <c r="B35" s="29">
        <v>44589.740497685183</v>
      </c>
      <c r="C35" s="27" t="s">
        <v>627</v>
      </c>
      <c r="D35" s="27"/>
      <c r="E35" s="27"/>
      <c r="F35" s="27">
        <v>110</v>
      </c>
      <c r="G35" s="27" t="s">
        <v>1361</v>
      </c>
      <c r="H35" s="27" t="s">
        <v>576</v>
      </c>
      <c r="I35" s="27">
        <v>17</v>
      </c>
      <c r="J35" s="27" t="s">
        <v>577</v>
      </c>
      <c r="K35" s="27" t="s">
        <v>634</v>
      </c>
      <c r="L35" s="27" t="s">
        <v>1392</v>
      </c>
      <c r="M35" s="27" t="s">
        <v>635</v>
      </c>
      <c r="N35" s="27">
        <v>375</v>
      </c>
      <c r="O35" s="27">
        <v>375</v>
      </c>
      <c r="P35" s="27">
        <v>-83</v>
      </c>
      <c r="Q35" s="27">
        <v>257</v>
      </c>
      <c r="R35" s="27">
        <v>33442</v>
      </c>
      <c r="S35" s="27">
        <v>11</v>
      </c>
      <c r="T35" s="27">
        <v>4388193</v>
      </c>
      <c r="U35" s="27">
        <v>110</v>
      </c>
      <c r="V35" s="27">
        <v>2</v>
      </c>
      <c r="W35" s="27">
        <v>1126</v>
      </c>
      <c r="X35" s="27">
        <v>256</v>
      </c>
      <c r="Y35" s="27">
        <v>1035520017</v>
      </c>
      <c r="Z35" s="27">
        <v>-107</v>
      </c>
      <c r="AA35" s="27">
        <v>1</v>
      </c>
      <c r="AB35" s="27">
        <v>17475758</v>
      </c>
      <c r="AC35" s="27">
        <v>22035</v>
      </c>
      <c r="AD35" s="27">
        <v>3048168438</v>
      </c>
      <c r="AE35" s="27">
        <v>1105712</v>
      </c>
      <c r="AF35" s="27" t="s">
        <v>1393</v>
      </c>
      <c r="AG35" s="27" t="s">
        <v>1393</v>
      </c>
    </row>
    <row r="36" spans="1:33" ht="24" customHeight="1" x14ac:dyDescent="0.2">
      <c r="A36" s="27">
        <v>172</v>
      </c>
      <c r="B36" s="29">
        <v>44589.740613425929</v>
      </c>
      <c r="C36" s="27" t="s">
        <v>584</v>
      </c>
      <c r="D36" s="27">
        <v>839</v>
      </c>
      <c r="E36" s="27">
        <v>5375671</v>
      </c>
      <c r="F36" s="27">
        <v>74</v>
      </c>
      <c r="G36" s="27" t="s">
        <v>1370</v>
      </c>
      <c r="H36" s="27" t="s">
        <v>589</v>
      </c>
      <c r="I36" s="27">
        <v>18</v>
      </c>
      <c r="J36" s="27" t="s">
        <v>577</v>
      </c>
      <c r="K36" s="27" t="s">
        <v>636</v>
      </c>
      <c r="L36" s="27" t="s">
        <v>1394</v>
      </c>
      <c r="M36" s="27" t="s">
        <v>637</v>
      </c>
      <c r="N36" s="27">
        <v>375</v>
      </c>
      <c r="O36" s="27">
        <v>375</v>
      </c>
      <c r="P36" s="27">
        <v>-83</v>
      </c>
      <c r="Q36" s="27">
        <v>257</v>
      </c>
      <c r="R36" s="27">
        <v>33443</v>
      </c>
      <c r="S36" s="27">
        <v>11</v>
      </c>
      <c r="T36" s="27">
        <v>4388287</v>
      </c>
      <c r="U36" s="27">
        <v>110</v>
      </c>
      <c r="V36" s="27">
        <v>2</v>
      </c>
      <c r="W36" s="27">
        <v>1126</v>
      </c>
      <c r="X36" s="27">
        <v>256</v>
      </c>
      <c r="Y36" s="27">
        <v>1035520017</v>
      </c>
      <c r="Z36" s="27">
        <v>-117</v>
      </c>
      <c r="AA36" s="27">
        <v>1</v>
      </c>
      <c r="AB36" s="27">
        <v>17475759</v>
      </c>
      <c r="AC36" s="27">
        <v>22035</v>
      </c>
      <c r="AD36" s="27">
        <v>3048168532</v>
      </c>
      <c r="AE36" s="27">
        <v>1105712</v>
      </c>
      <c r="AF36" s="27"/>
      <c r="AG36" s="27"/>
    </row>
    <row r="37" spans="1:33" ht="24" customHeight="1" x14ac:dyDescent="0.2">
      <c r="A37" s="27">
        <v>173</v>
      </c>
      <c r="B37" s="29">
        <v>44589.740613425929</v>
      </c>
      <c r="C37" s="27" t="s">
        <v>569</v>
      </c>
      <c r="D37" s="27"/>
      <c r="E37" s="27"/>
      <c r="F37" s="27">
        <v>110</v>
      </c>
      <c r="G37" s="27" t="s">
        <v>1361</v>
      </c>
      <c r="H37" s="27" t="s">
        <v>576</v>
      </c>
      <c r="I37" s="27">
        <v>18</v>
      </c>
      <c r="J37" s="27" t="s">
        <v>577</v>
      </c>
      <c r="K37" s="27" t="s">
        <v>638</v>
      </c>
      <c r="L37" s="27" t="s">
        <v>1394</v>
      </c>
      <c r="M37" s="27" t="s">
        <v>639</v>
      </c>
      <c r="N37" s="27">
        <v>375</v>
      </c>
      <c r="O37" s="27">
        <v>375</v>
      </c>
      <c r="P37" s="27">
        <v>-83</v>
      </c>
      <c r="Q37" s="27">
        <v>257</v>
      </c>
      <c r="R37" s="27">
        <v>33443</v>
      </c>
      <c r="S37" s="27">
        <v>11</v>
      </c>
      <c r="T37" s="27">
        <v>4388287</v>
      </c>
      <c r="U37" s="27">
        <v>110</v>
      </c>
      <c r="V37" s="27">
        <v>2</v>
      </c>
      <c r="W37" s="27">
        <v>1126</v>
      </c>
      <c r="X37" s="27">
        <v>256</v>
      </c>
      <c r="Y37" s="27">
        <v>1035520017</v>
      </c>
      <c r="Z37" s="27">
        <v>-117</v>
      </c>
      <c r="AA37" s="27">
        <v>1</v>
      </c>
      <c r="AB37" s="27">
        <v>17475759</v>
      </c>
      <c r="AC37" s="27">
        <v>22035</v>
      </c>
      <c r="AD37" s="27">
        <v>3048168532</v>
      </c>
      <c r="AE37" s="27">
        <v>1105712</v>
      </c>
      <c r="AF37" s="27" t="s">
        <v>1395</v>
      </c>
      <c r="AG37" s="27" t="s">
        <v>1395</v>
      </c>
    </row>
    <row r="38" spans="1:33" ht="24" customHeight="1" x14ac:dyDescent="0.2">
      <c r="A38" s="27">
        <v>171</v>
      </c>
      <c r="B38" s="29">
        <v>44589.740729166668</v>
      </c>
      <c r="C38" s="27" t="s">
        <v>584</v>
      </c>
      <c r="D38" s="27">
        <v>839</v>
      </c>
      <c r="E38" s="27">
        <v>5375671</v>
      </c>
      <c r="F38" s="27">
        <v>74</v>
      </c>
      <c r="G38" s="27" t="s">
        <v>1370</v>
      </c>
      <c r="H38" s="27" t="s">
        <v>589</v>
      </c>
      <c r="I38" s="27">
        <v>19</v>
      </c>
      <c r="J38" s="27" t="s">
        <v>590</v>
      </c>
      <c r="K38" s="27" t="s">
        <v>640</v>
      </c>
      <c r="L38" s="27" t="s">
        <v>1396</v>
      </c>
      <c r="M38" s="27" t="s">
        <v>641</v>
      </c>
      <c r="N38" s="27">
        <v>374</v>
      </c>
      <c r="O38" s="27">
        <v>374</v>
      </c>
      <c r="P38" s="27">
        <v>-83</v>
      </c>
      <c r="Q38" s="27">
        <v>257</v>
      </c>
      <c r="R38" s="27">
        <v>33444</v>
      </c>
      <c r="S38" s="27">
        <v>11</v>
      </c>
      <c r="T38" s="27">
        <v>4388381</v>
      </c>
      <c r="U38" s="27">
        <v>110</v>
      </c>
      <c r="V38" s="27">
        <v>2</v>
      </c>
      <c r="W38" s="27">
        <v>1126</v>
      </c>
      <c r="X38" s="27">
        <v>256</v>
      </c>
      <c r="Y38" s="27">
        <v>1035520017</v>
      </c>
      <c r="Z38" s="27">
        <v>-104</v>
      </c>
      <c r="AA38" s="27">
        <v>1</v>
      </c>
      <c r="AB38" s="27">
        <v>17475760</v>
      </c>
      <c r="AC38" s="27">
        <v>22035</v>
      </c>
      <c r="AD38" s="27">
        <v>3048168626</v>
      </c>
      <c r="AE38" s="27">
        <v>1105712</v>
      </c>
      <c r="AF38" s="27"/>
      <c r="AG38" s="27"/>
    </row>
    <row r="39" spans="1:33" ht="24" customHeight="1" x14ac:dyDescent="0.2">
      <c r="A39" s="27">
        <v>169</v>
      </c>
      <c r="B39" s="29">
        <v>44589.740844907406</v>
      </c>
      <c r="C39" s="27" t="s">
        <v>584</v>
      </c>
      <c r="D39" s="27">
        <v>839</v>
      </c>
      <c r="E39" s="27">
        <v>5375671</v>
      </c>
      <c r="F39" s="27">
        <v>74</v>
      </c>
      <c r="G39" s="27" t="s">
        <v>1370</v>
      </c>
      <c r="H39" s="27" t="s">
        <v>589</v>
      </c>
      <c r="I39" s="27">
        <v>20</v>
      </c>
      <c r="J39" s="27" t="s">
        <v>577</v>
      </c>
      <c r="K39" s="27" t="s">
        <v>642</v>
      </c>
      <c r="L39" s="27" t="s">
        <v>1397</v>
      </c>
      <c r="M39" s="27" t="s">
        <v>643</v>
      </c>
      <c r="N39" s="27">
        <v>374</v>
      </c>
      <c r="O39" s="27">
        <v>374</v>
      </c>
      <c r="P39" s="27">
        <v>-83</v>
      </c>
      <c r="Q39" s="27">
        <v>257</v>
      </c>
      <c r="R39" s="27">
        <v>33445</v>
      </c>
      <c r="S39" s="27">
        <v>11</v>
      </c>
      <c r="T39" s="27">
        <v>4388475</v>
      </c>
      <c r="U39" s="27">
        <v>110</v>
      </c>
      <c r="V39" s="27">
        <v>2</v>
      </c>
      <c r="W39" s="27">
        <v>1126</v>
      </c>
      <c r="X39" s="27">
        <v>256</v>
      </c>
      <c r="Y39" s="27">
        <v>1035520017</v>
      </c>
      <c r="Z39" s="27">
        <v>-107</v>
      </c>
      <c r="AA39" s="27">
        <v>1</v>
      </c>
      <c r="AB39" s="27">
        <v>17475761</v>
      </c>
      <c r="AC39" s="27">
        <v>22035</v>
      </c>
      <c r="AD39" s="27">
        <v>3048168720</v>
      </c>
      <c r="AE39" s="27">
        <v>1105712</v>
      </c>
      <c r="AF39" s="27"/>
      <c r="AG39" s="27"/>
    </row>
    <row r="40" spans="1:33" ht="24" customHeight="1" x14ac:dyDescent="0.2">
      <c r="A40" s="27">
        <v>170</v>
      </c>
      <c r="B40" s="29">
        <v>44589.740844907406</v>
      </c>
      <c r="C40" s="27" t="s">
        <v>627</v>
      </c>
      <c r="D40" s="27"/>
      <c r="E40" s="27"/>
      <c r="F40" s="27">
        <v>110</v>
      </c>
      <c r="G40" s="27" t="s">
        <v>1361</v>
      </c>
      <c r="H40" s="27" t="s">
        <v>576</v>
      </c>
      <c r="I40" s="27">
        <v>20</v>
      </c>
      <c r="J40" s="27" t="s">
        <v>577</v>
      </c>
      <c r="K40" s="27" t="s">
        <v>644</v>
      </c>
      <c r="L40" s="27" t="s">
        <v>1397</v>
      </c>
      <c r="M40" s="27" t="s">
        <v>645</v>
      </c>
      <c r="N40" s="27">
        <v>374</v>
      </c>
      <c r="O40" s="27">
        <v>374</v>
      </c>
      <c r="P40" s="27">
        <v>-83</v>
      </c>
      <c r="Q40" s="27">
        <v>257</v>
      </c>
      <c r="R40" s="27">
        <v>33445</v>
      </c>
      <c r="S40" s="27">
        <v>11</v>
      </c>
      <c r="T40" s="27">
        <v>4388475</v>
      </c>
      <c r="U40" s="27">
        <v>110</v>
      </c>
      <c r="V40" s="27">
        <v>2</v>
      </c>
      <c r="W40" s="27">
        <v>1126</v>
      </c>
      <c r="X40" s="27">
        <v>256</v>
      </c>
      <c r="Y40" s="27">
        <v>1035520017</v>
      </c>
      <c r="Z40" s="27">
        <v>-107</v>
      </c>
      <c r="AA40" s="27">
        <v>1</v>
      </c>
      <c r="AB40" s="27">
        <v>17475761</v>
      </c>
      <c r="AC40" s="27">
        <v>22035</v>
      </c>
      <c r="AD40" s="27">
        <v>3048168720</v>
      </c>
      <c r="AE40" s="27">
        <v>1105712</v>
      </c>
      <c r="AF40" s="27" t="s">
        <v>1398</v>
      </c>
      <c r="AG40" s="27" t="s">
        <v>1398</v>
      </c>
    </row>
    <row r="41" spans="1:33" ht="24" customHeight="1" x14ac:dyDescent="0.2">
      <c r="A41" s="27">
        <v>166</v>
      </c>
      <c r="B41" s="29">
        <v>44589.740960648152</v>
      </c>
      <c r="C41" s="27" t="s">
        <v>622</v>
      </c>
      <c r="D41" s="27">
        <v>2504</v>
      </c>
      <c r="E41" s="27">
        <v>5369438</v>
      </c>
      <c r="F41" s="27">
        <v>74</v>
      </c>
      <c r="G41" s="27" t="s">
        <v>1370</v>
      </c>
      <c r="H41" s="27" t="s">
        <v>589</v>
      </c>
      <c r="I41" s="27">
        <v>21</v>
      </c>
      <c r="J41" s="27" t="s">
        <v>577</v>
      </c>
      <c r="K41" s="27" t="s">
        <v>646</v>
      </c>
      <c r="L41" s="27" t="s">
        <v>1399</v>
      </c>
      <c r="M41" s="27" t="s">
        <v>647</v>
      </c>
      <c r="N41" s="27">
        <v>373</v>
      </c>
      <c r="O41" s="27">
        <v>373</v>
      </c>
      <c r="P41" s="27">
        <v>-83</v>
      </c>
      <c r="Q41" s="27">
        <v>257</v>
      </c>
      <c r="R41" s="27">
        <v>33446</v>
      </c>
      <c r="S41" s="27">
        <v>11</v>
      </c>
      <c r="T41" s="27">
        <v>4388569</v>
      </c>
      <c r="U41" s="27">
        <v>110</v>
      </c>
      <c r="V41" s="27">
        <v>2</v>
      </c>
      <c r="W41" s="27">
        <v>1126</v>
      </c>
      <c r="X41" s="27">
        <v>256</v>
      </c>
      <c r="Y41" s="27">
        <v>1035520017</v>
      </c>
      <c r="Z41" s="27">
        <v>-104</v>
      </c>
      <c r="AA41" s="27">
        <v>1</v>
      </c>
      <c r="AB41" s="27">
        <v>17475762</v>
      </c>
      <c r="AC41" s="27">
        <v>22035</v>
      </c>
      <c r="AD41" s="27">
        <v>3048168814</v>
      </c>
      <c r="AE41" s="27">
        <v>1105712</v>
      </c>
      <c r="AF41" s="27"/>
      <c r="AG41" s="27"/>
    </row>
    <row r="42" spans="1:33" ht="24" customHeight="1" x14ac:dyDescent="0.2">
      <c r="A42" s="27">
        <v>167</v>
      </c>
      <c r="B42" s="29">
        <v>44589.740960648152</v>
      </c>
      <c r="C42" s="27" t="s">
        <v>569</v>
      </c>
      <c r="D42" s="27"/>
      <c r="E42" s="27"/>
      <c r="F42" s="27">
        <v>110</v>
      </c>
      <c r="G42" s="27" t="s">
        <v>1361</v>
      </c>
      <c r="H42" s="27" t="s">
        <v>576</v>
      </c>
      <c r="I42" s="27">
        <v>21</v>
      </c>
      <c r="J42" s="27" t="s">
        <v>577</v>
      </c>
      <c r="K42" s="27" t="s">
        <v>648</v>
      </c>
      <c r="L42" s="27" t="s">
        <v>1399</v>
      </c>
      <c r="M42" s="27" t="s">
        <v>649</v>
      </c>
      <c r="N42" s="27">
        <v>373</v>
      </c>
      <c r="O42" s="27">
        <v>373</v>
      </c>
      <c r="P42" s="27">
        <v>-83</v>
      </c>
      <c r="Q42" s="27">
        <v>257</v>
      </c>
      <c r="R42" s="27">
        <v>33446</v>
      </c>
      <c r="S42" s="27">
        <v>11</v>
      </c>
      <c r="T42" s="27">
        <v>4388569</v>
      </c>
      <c r="U42" s="27">
        <v>110</v>
      </c>
      <c r="V42" s="27">
        <v>2</v>
      </c>
      <c r="W42" s="27">
        <v>1126</v>
      </c>
      <c r="X42" s="27">
        <v>256</v>
      </c>
      <c r="Y42" s="27">
        <v>1035520017</v>
      </c>
      <c r="Z42" s="27">
        <v>-104</v>
      </c>
      <c r="AA42" s="27">
        <v>1</v>
      </c>
      <c r="AB42" s="27">
        <v>17475762</v>
      </c>
      <c r="AC42" s="27">
        <v>22035</v>
      </c>
      <c r="AD42" s="27">
        <v>3048168814</v>
      </c>
      <c r="AE42" s="27">
        <v>1105712</v>
      </c>
      <c r="AF42" s="27" t="s">
        <v>1400</v>
      </c>
      <c r="AG42" s="27" t="s">
        <v>1400</v>
      </c>
    </row>
    <row r="43" spans="1:33" ht="24" customHeight="1" x14ac:dyDescent="0.2">
      <c r="A43" s="27">
        <v>168</v>
      </c>
      <c r="B43" s="29">
        <v>44589.740960648152</v>
      </c>
      <c r="C43" s="27" t="s">
        <v>627</v>
      </c>
      <c r="D43" s="27"/>
      <c r="E43" s="27"/>
      <c r="F43" s="27">
        <v>110</v>
      </c>
      <c r="G43" s="27" t="s">
        <v>1361</v>
      </c>
      <c r="H43" s="27" t="s">
        <v>576</v>
      </c>
      <c r="I43" s="27">
        <v>21</v>
      </c>
      <c r="J43" s="27" t="s">
        <v>577</v>
      </c>
      <c r="K43" s="27" t="s">
        <v>648</v>
      </c>
      <c r="L43" s="27" t="s">
        <v>1399</v>
      </c>
      <c r="M43" s="27" t="s">
        <v>649</v>
      </c>
      <c r="N43" s="27">
        <v>373</v>
      </c>
      <c r="O43" s="27">
        <v>373</v>
      </c>
      <c r="P43" s="27">
        <v>-83</v>
      </c>
      <c r="Q43" s="27">
        <v>257</v>
      </c>
      <c r="R43" s="27">
        <v>33446</v>
      </c>
      <c r="S43" s="27">
        <v>11</v>
      </c>
      <c r="T43" s="27">
        <v>4388569</v>
      </c>
      <c r="U43" s="27">
        <v>110</v>
      </c>
      <c r="V43" s="27">
        <v>2</v>
      </c>
      <c r="W43" s="27">
        <v>1126</v>
      </c>
      <c r="X43" s="27">
        <v>256</v>
      </c>
      <c r="Y43" s="27">
        <v>1035520017</v>
      </c>
      <c r="Z43" s="27">
        <v>-104</v>
      </c>
      <c r="AA43" s="27">
        <v>1</v>
      </c>
      <c r="AB43" s="27">
        <v>17475762</v>
      </c>
      <c r="AC43" s="27">
        <v>22035</v>
      </c>
      <c r="AD43" s="27">
        <v>3048168814</v>
      </c>
      <c r="AE43" s="27">
        <v>1105712</v>
      </c>
      <c r="AF43" s="27" t="s">
        <v>1400</v>
      </c>
      <c r="AG43" s="27" t="s">
        <v>1400</v>
      </c>
    </row>
    <row r="44" spans="1:33" ht="24" customHeight="1" x14ac:dyDescent="0.2">
      <c r="A44" s="27">
        <v>163</v>
      </c>
      <c r="B44" s="29">
        <v>44589.741076388891</v>
      </c>
      <c r="C44" s="27" t="s">
        <v>622</v>
      </c>
      <c r="D44" s="27">
        <v>2504</v>
      </c>
      <c r="E44" s="27">
        <v>5369438</v>
      </c>
      <c r="F44" s="27">
        <v>74</v>
      </c>
      <c r="G44" s="27" t="s">
        <v>1370</v>
      </c>
      <c r="H44" s="27" t="s">
        <v>589</v>
      </c>
      <c r="I44" s="27">
        <v>22</v>
      </c>
      <c r="J44" s="27" t="s">
        <v>577</v>
      </c>
      <c r="K44" s="27" t="s">
        <v>650</v>
      </c>
      <c r="L44" s="27" t="s">
        <v>1401</v>
      </c>
      <c r="M44" s="27" t="s">
        <v>651</v>
      </c>
      <c r="N44" s="27">
        <v>373</v>
      </c>
      <c r="O44" s="27">
        <v>373</v>
      </c>
      <c r="P44" s="27">
        <v>-83</v>
      </c>
      <c r="Q44" s="27">
        <v>257</v>
      </c>
      <c r="R44" s="27">
        <v>33447</v>
      </c>
      <c r="S44" s="27">
        <v>11</v>
      </c>
      <c r="T44" s="27">
        <v>4388663</v>
      </c>
      <c r="U44" s="27">
        <v>110</v>
      </c>
      <c r="V44" s="27">
        <v>2</v>
      </c>
      <c r="W44" s="27">
        <v>1126</v>
      </c>
      <c r="X44" s="27">
        <v>256</v>
      </c>
      <c r="Y44" s="27">
        <v>1035520017</v>
      </c>
      <c r="Z44" s="27">
        <v>-99</v>
      </c>
      <c r="AA44" s="27">
        <v>1</v>
      </c>
      <c r="AB44" s="27">
        <v>17475763</v>
      </c>
      <c r="AC44" s="27">
        <v>22035</v>
      </c>
      <c r="AD44" s="27">
        <v>3048168908</v>
      </c>
      <c r="AE44" s="27">
        <v>1105712</v>
      </c>
      <c r="AF44" s="27"/>
      <c r="AG44" s="27"/>
    </row>
    <row r="45" spans="1:33" ht="24" customHeight="1" x14ac:dyDescent="0.2">
      <c r="A45" s="27">
        <v>164</v>
      </c>
      <c r="B45" s="29">
        <v>44589.741076388891</v>
      </c>
      <c r="C45" s="27" t="s">
        <v>569</v>
      </c>
      <c r="D45" s="27"/>
      <c r="E45" s="27"/>
      <c r="F45" s="27">
        <v>110</v>
      </c>
      <c r="G45" s="27" t="s">
        <v>1361</v>
      </c>
      <c r="H45" s="27" t="s">
        <v>576</v>
      </c>
      <c r="I45" s="27">
        <v>22</v>
      </c>
      <c r="J45" s="27" t="s">
        <v>577</v>
      </c>
      <c r="K45" s="27" t="s">
        <v>652</v>
      </c>
      <c r="L45" s="27" t="s">
        <v>1401</v>
      </c>
      <c r="M45" s="27" t="s">
        <v>653</v>
      </c>
      <c r="N45" s="27">
        <v>373</v>
      </c>
      <c r="O45" s="27">
        <v>373</v>
      </c>
      <c r="P45" s="27">
        <v>-83</v>
      </c>
      <c r="Q45" s="27">
        <v>257</v>
      </c>
      <c r="R45" s="27">
        <v>33447</v>
      </c>
      <c r="S45" s="27">
        <v>11</v>
      </c>
      <c r="T45" s="27">
        <v>4388663</v>
      </c>
      <c r="U45" s="27">
        <v>110</v>
      </c>
      <c r="V45" s="27">
        <v>2</v>
      </c>
      <c r="W45" s="27">
        <v>1126</v>
      </c>
      <c r="X45" s="27">
        <v>256</v>
      </c>
      <c r="Y45" s="27">
        <v>1035520017</v>
      </c>
      <c r="Z45" s="27">
        <v>-99</v>
      </c>
      <c r="AA45" s="27">
        <v>1</v>
      </c>
      <c r="AB45" s="27">
        <v>17475763</v>
      </c>
      <c r="AC45" s="27">
        <v>22035</v>
      </c>
      <c r="AD45" s="27">
        <v>3048168908</v>
      </c>
      <c r="AE45" s="27">
        <v>1105712</v>
      </c>
      <c r="AF45" s="27" t="s">
        <v>1402</v>
      </c>
      <c r="AG45" s="27" t="s">
        <v>1402</v>
      </c>
    </row>
    <row r="46" spans="1:33" ht="24" customHeight="1" x14ac:dyDescent="0.2">
      <c r="A46" s="27">
        <v>165</v>
      </c>
      <c r="B46" s="29">
        <v>44589.741076388891</v>
      </c>
      <c r="C46" s="27" t="s">
        <v>627</v>
      </c>
      <c r="D46" s="27"/>
      <c r="E46" s="27"/>
      <c r="F46" s="27">
        <v>110</v>
      </c>
      <c r="G46" s="27" t="s">
        <v>1361</v>
      </c>
      <c r="H46" s="27" t="s">
        <v>576</v>
      </c>
      <c r="I46" s="27">
        <v>22</v>
      </c>
      <c r="J46" s="27" t="s">
        <v>577</v>
      </c>
      <c r="K46" s="27" t="s">
        <v>652</v>
      </c>
      <c r="L46" s="27" t="s">
        <v>1401</v>
      </c>
      <c r="M46" s="27" t="s">
        <v>653</v>
      </c>
      <c r="N46" s="27">
        <v>373</v>
      </c>
      <c r="O46" s="27">
        <v>373</v>
      </c>
      <c r="P46" s="27">
        <v>-83</v>
      </c>
      <c r="Q46" s="27">
        <v>257</v>
      </c>
      <c r="R46" s="27">
        <v>33447</v>
      </c>
      <c r="S46" s="27">
        <v>11</v>
      </c>
      <c r="T46" s="27">
        <v>4388663</v>
      </c>
      <c r="U46" s="27">
        <v>110</v>
      </c>
      <c r="V46" s="27">
        <v>2</v>
      </c>
      <c r="W46" s="27">
        <v>1126</v>
      </c>
      <c r="X46" s="27">
        <v>256</v>
      </c>
      <c r="Y46" s="27">
        <v>1035520017</v>
      </c>
      <c r="Z46" s="27">
        <v>-99</v>
      </c>
      <c r="AA46" s="27">
        <v>1</v>
      </c>
      <c r="AB46" s="27">
        <v>17475763</v>
      </c>
      <c r="AC46" s="27">
        <v>22035</v>
      </c>
      <c r="AD46" s="27">
        <v>3048168908</v>
      </c>
      <c r="AE46" s="27">
        <v>1105712</v>
      </c>
      <c r="AF46" s="27" t="s">
        <v>1402</v>
      </c>
      <c r="AG46" s="27" t="s">
        <v>1402</v>
      </c>
    </row>
    <row r="47" spans="1:33" ht="24" customHeight="1" x14ac:dyDescent="0.2">
      <c r="A47" s="27">
        <v>161</v>
      </c>
      <c r="B47" s="29">
        <v>44589.74119212963</v>
      </c>
      <c r="C47" s="27" t="s">
        <v>622</v>
      </c>
      <c r="D47" s="27">
        <v>2504</v>
      </c>
      <c r="E47" s="27">
        <v>5369438</v>
      </c>
      <c r="F47" s="27">
        <v>74</v>
      </c>
      <c r="G47" s="27" t="s">
        <v>1370</v>
      </c>
      <c r="H47" s="27" t="s">
        <v>589</v>
      </c>
      <c r="I47" s="27">
        <v>23</v>
      </c>
      <c r="J47" s="27" t="s">
        <v>577</v>
      </c>
      <c r="K47" s="27" t="s">
        <v>654</v>
      </c>
      <c r="L47" s="27" t="s">
        <v>1403</v>
      </c>
      <c r="M47" s="27" t="s">
        <v>655</v>
      </c>
      <c r="N47" s="27">
        <v>373</v>
      </c>
      <c r="O47" s="27">
        <v>373</v>
      </c>
      <c r="P47" s="27">
        <v>-83</v>
      </c>
      <c r="Q47" s="27">
        <v>257</v>
      </c>
      <c r="R47" s="27">
        <v>33448</v>
      </c>
      <c r="S47" s="27">
        <v>11</v>
      </c>
      <c r="T47" s="27">
        <v>4388757</v>
      </c>
      <c r="U47" s="27">
        <v>110</v>
      </c>
      <c r="V47" s="27">
        <v>2</v>
      </c>
      <c r="W47" s="27">
        <v>1126</v>
      </c>
      <c r="X47" s="27">
        <v>256</v>
      </c>
      <c r="Y47" s="27">
        <v>1035520017</v>
      </c>
      <c r="Z47" s="27">
        <v>-96</v>
      </c>
      <c r="AA47" s="27">
        <v>1</v>
      </c>
      <c r="AB47" s="27">
        <v>17475764</v>
      </c>
      <c r="AC47" s="27">
        <v>22035</v>
      </c>
      <c r="AD47" s="27">
        <v>3048169002</v>
      </c>
      <c r="AE47" s="27">
        <v>1105712</v>
      </c>
      <c r="AF47" s="27"/>
      <c r="AG47" s="27"/>
    </row>
    <row r="48" spans="1:33" ht="24" customHeight="1" x14ac:dyDescent="0.2">
      <c r="A48" s="27">
        <v>162</v>
      </c>
      <c r="B48" s="29">
        <v>44589.74119212963</v>
      </c>
      <c r="C48" s="27" t="s">
        <v>569</v>
      </c>
      <c r="D48" s="27"/>
      <c r="E48" s="27"/>
      <c r="F48" s="27">
        <v>110</v>
      </c>
      <c r="G48" s="27" t="s">
        <v>1361</v>
      </c>
      <c r="H48" s="27" t="s">
        <v>576</v>
      </c>
      <c r="I48" s="27">
        <v>23</v>
      </c>
      <c r="J48" s="27" t="s">
        <v>577</v>
      </c>
      <c r="K48" s="27" t="s">
        <v>656</v>
      </c>
      <c r="L48" s="27" t="s">
        <v>1403</v>
      </c>
      <c r="M48" s="27" t="s">
        <v>657</v>
      </c>
      <c r="N48" s="27">
        <v>373</v>
      </c>
      <c r="O48" s="27">
        <v>373</v>
      </c>
      <c r="P48" s="27">
        <v>-83</v>
      </c>
      <c r="Q48" s="27">
        <v>257</v>
      </c>
      <c r="R48" s="27">
        <v>33448</v>
      </c>
      <c r="S48" s="27">
        <v>11</v>
      </c>
      <c r="T48" s="27">
        <v>4388757</v>
      </c>
      <c r="U48" s="27">
        <v>110</v>
      </c>
      <c r="V48" s="27">
        <v>2</v>
      </c>
      <c r="W48" s="27">
        <v>1126</v>
      </c>
      <c r="X48" s="27">
        <v>256</v>
      </c>
      <c r="Y48" s="27">
        <v>1035520017</v>
      </c>
      <c r="Z48" s="27">
        <v>-96</v>
      </c>
      <c r="AA48" s="27">
        <v>1</v>
      </c>
      <c r="AB48" s="27">
        <v>17475764</v>
      </c>
      <c r="AC48" s="27">
        <v>22035</v>
      </c>
      <c r="AD48" s="27">
        <v>3048169002</v>
      </c>
      <c r="AE48" s="27">
        <v>1105712</v>
      </c>
      <c r="AF48" s="27" t="s">
        <v>1404</v>
      </c>
      <c r="AG48" s="27" t="s">
        <v>1404</v>
      </c>
    </row>
    <row r="49" spans="1:33" ht="24" customHeight="1" x14ac:dyDescent="0.2">
      <c r="A49" s="27">
        <v>159</v>
      </c>
      <c r="B49" s="29">
        <v>44589.741307870368</v>
      </c>
      <c r="C49" s="27" t="s">
        <v>622</v>
      </c>
      <c r="D49" s="27">
        <v>2504</v>
      </c>
      <c r="E49" s="27">
        <v>5369438</v>
      </c>
      <c r="F49" s="27">
        <v>74</v>
      </c>
      <c r="G49" s="27" t="s">
        <v>1370</v>
      </c>
      <c r="H49" s="27" t="s">
        <v>589</v>
      </c>
      <c r="I49" s="27">
        <v>24</v>
      </c>
      <c r="J49" s="27" t="s">
        <v>590</v>
      </c>
      <c r="K49" s="27" t="s">
        <v>658</v>
      </c>
      <c r="L49" s="27" t="s">
        <v>1405</v>
      </c>
      <c r="M49" s="27" t="s">
        <v>659</v>
      </c>
      <c r="N49" s="27">
        <v>372</v>
      </c>
      <c r="O49" s="27">
        <v>372</v>
      </c>
      <c r="P49" s="27">
        <v>-83</v>
      </c>
      <c r="Q49" s="27">
        <v>257</v>
      </c>
      <c r="R49" s="27">
        <v>33449</v>
      </c>
      <c r="S49" s="27">
        <v>11</v>
      </c>
      <c r="T49" s="27">
        <v>4388851</v>
      </c>
      <c r="U49" s="27">
        <v>110</v>
      </c>
      <c r="V49" s="27">
        <v>2</v>
      </c>
      <c r="W49" s="27">
        <v>1126</v>
      </c>
      <c r="X49" s="27">
        <v>256</v>
      </c>
      <c r="Y49" s="27">
        <v>1035520017</v>
      </c>
      <c r="Z49" s="27">
        <v>-105</v>
      </c>
      <c r="AA49" s="27">
        <v>1</v>
      </c>
      <c r="AB49" s="27">
        <v>17475765</v>
      </c>
      <c r="AC49" s="27">
        <v>22035</v>
      </c>
      <c r="AD49" s="27">
        <v>3048169096</v>
      </c>
      <c r="AE49" s="27">
        <v>1105712</v>
      </c>
      <c r="AF49" s="27"/>
      <c r="AG49" s="27"/>
    </row>
    <row r="50" spans="1:33" ht="24" customHeight="1" x14ac:dyDescent="0.2">
      <c r="A50" s="27">
        <v>155</v>
      </c>
      <c r="B50" s="29">
        <v>44589.741423611107</v>
      </c>
      <c r="C50" s="27" t="s">
        <v>622</v>
      </c>
      <c r="D50" s="27">
        <v>2504</v>
      </c>
      <c r="E50" s="27">
        <v>5369438</v>
      </c>
      <c r="F50" s="27">
        <v>74</v>
      </c>
      <c r="G50" s="27" t="s">
        <v>1370</v>
      </c>
      <c r="H50" s="27" t="s">
        <v>589</v>
      </c>
      <c r="I50" s="27">
        <v>25</v>
      </c>
      <c r="J50" s="27" t="s">
        <v>577</v>
      </c>
      <c r="K50" s="27" t="s">
        <v>665</v>
      </c>
      <c r="L50" s="27" t="s">
        <v>1406</v>
      </c>
      <c r="M50" s="27" t="s">
        <v>666</v>
      </c>
      <c r="N50" s="27">
        <v>372</v>
      </c>
      <c r="O50" s="27">
        <v>372</v>
      </c>
      <c r="P50" s="27">
        <v>-83</v>
      </c>
      <c r="Q50" s="27">
        <v>257</v>
      </c>
      <c r="R50" s="27">
        <v>33450</v>
      </c>
      <c r="S50" s="27">
        <v>11</v>
      </c>
      <c r="T50" s="27">
        <v>4388945</v>
      </c>
      <c r="U50" s="27">
        <v>110</v>
      </c>
      <c r="V50" s="27">
        <v>2</v>
      </c>
      <c r="W50" s="27">
        <v>1126</v>
      </c>
      <c r="X50" s="27">
        <v>256</v>
      </c>
      <c r="Y50" s="27">
        <v>1035520017</v>
      </c>
      <c r="Z50" s="27">
        <v>-99</v>
      </c>
      <c r="AA50" s="27">
        <v>1</v>
      </c>
      <c r="AB50" s="27">
        <v>17475766</v>
      </c>
      <c r="AC50" s="27">
        <v>22035</v>
      </c>
      <c r="AD50" s="27">
        <v>3048169190</v>
      </c>
      <c r="AE50" s="27">
        <v>1105712</v>
      </c>
      <c r="AF50" s="27"/>
      <c r="AG50" s="27"/>
    </row>
    <row r="51" spans="1:33" ht="24" customHeight="1" x14ac:dyDescent="0.2">
      <c r="A51" s="27">
        <v>156</v>
      </c>
      <c r="B51" s="29">
        <v>44589.741423611107</v>
      </c>
      <c r="C51" s="27" t="s">
        <v>584</v>
      </c>
      <c r="D51" s="27">
        <v>839</v>
      </c>
      <c r="E51" s="27">
        <v>5375671</v>
      </c>
      <c r="F51" s="27">
        <v>74</v>
      </c>
      <c r="G51" s="27" t="s">
        <v>1370</v>
      </c>
      <c r="H51" s="27" t="s">
        <v>589</v>
      </c>
      <c r="I51" s="27">
        <v>25</v>
      </c>
      <c r="J51" s="27" t="s">
        <v>577</v>
      </c>
      <c r="K51" s="27" t="s">
        <v>665</v>
      </c>
      <c r="L51" s="27" t="s">
        <v>1406</v>
      </c>
      <c r="M51" s="27" t="s">
        <v>666</v>
      </c>
      <c r="N51" s="27">
        <v>372</v>
      </c>
      <c r="O51" s="27">
        <v>372</v>
      </c>
      <c r="P51" s="27">
        <v>-83</v>
      </c>
      <c r="Q51" s="27">
        <v>257</v>
      </c>
      <c r="R51" s="27">
        <v>33450</v>
      </c>
      <c r="S51" s="27">
        <v>11</v>
      </c>
      <c r="T51" s="27">
        <v>4388945</v>
      </c>
      <c r="U51" s="27">
        <v>110</v>
      </c>
      <c r="V51" s="27">
        <v>2</v>
      </c>
      <c r="W51" s="27">
        <v>1126</v>
      </c>
      <c r="X51" s="27">
        <v>256</v>
      </c>
      <c r="Y51" s="27">
        <v>1035520017</v>
      </c>
      <c r="Z51" s="27">
        <v>-99</v>
      </c>
      <c r="AA51" s="27">
        <v>1</v>
      </c>
      <c r="AB51" s="27">
        <v>17475766</v>
      </c>
      <c r="AC51" s="27">
        <v>22035</v>
      </c>
      <c r="AD51" s="27">
        <v>3048169190</v>
      </c>
      <c r="AE51" s="27">
        <v>1105712</v>
      </c>
      <c r="AF51" s="27"/>
      <c r="AG51" s="27"/>
    </row>
    <row r="52" spans="1:33" ht="24" customHeight="1" x14ac:dyDescent="0.2">
      <c r="A52" s="27">
        <v>157</v>
      </c>
      <c r="B52" s="29">
        <v>44589.741423611107</v>
      </c>
      <c r="C52" s="27" t="s">
        <v>569</v>
      </c>
      <c r="D52" s="27"/>
      <c r="E52" s="27"/>
      <c r="F52" s="27">
        <v>110</v>
      </c>
      <c r="G52" s="27" t="s">
        <v>1361</v>
      </c>
      <c r="H52" s="27" t="s">
        <v>576</v>
      </c>
      <c r="I52" s="27">
        <v>25</v>
      </c>
      <c r="J52" s="27" t="s">
        <v>577</v>
      </c>
      <c r="K52" s="27" t="s">
        <v>667</v>
      </c>
      <c r="L52" s="27" t="s">
        <v>1406</v>
      </c>
      <c r="M52" s="27" t="s">
        <v>668</v>
      </c>
      <c r="N52" s="27">
        <v>372</v>
      </c>
      <c r="O52" s="27">
        <v>372</v>
      </c>
      <c r="P52" s="27">
        <v>-83</v>
      </c>
      <c r="Q52" s="27">
        <v>257</v>
      </c>
      <c r="R52" s="27">
        <v>33450</v>
      </c>
      <c r="S52" s="27">
        <v>11</v>
      </c>
      <c r="T52" s="27">
        <v>4388945</v>
      </c>
      <c r="U52" s="27">
        <v>110</v>
      </c>
      <c r="V52" s="27">
        <v>2</v>
      </c>
      <c r="W52" s="27">
        <v>1126</v>
      </c>
      <c r="X52" s="27">
        <v>256</v>
      </c>
      <c r="Y52" s="27">
        <v>1035520017</v>
      </c>
      <c r="Z52" s="27">
        <v>-99</v>
      </c>
      <c r="AA52" s="27">
        <v>1</v>
      </c>
      <c r="AB52" s="27">
        <v>17475766</v>
      </c>
      <c r="AC52" s="27">
        <v>22035</v>
      </c>
      <c r="AD52" s="27">
        <v>3048169190</v>
      </c>
      <c r="AE52" s="27">
        <v>1105712</v>
      </c>
      <c r="AF52" s="27" t="s">
        <v>1407</v>
      </c>
      <c r="AG52" s="27" t="s">
        <v>1407</v>
      </c>
    </row>
    <row r="53" spans="1:33" ht="24" customHeight="1" x14ac:dyDescent="0.2">
      <c r="A53" s="27">
        <v>158</v>
      </c>
      <c r="B53" s="29">
        <v>44589.741423611107</v>
      </c>
      <c r="C53" s="27" t="s">
        <v>627</v>
      </c>
      <c r="D53" s="27"/>
      <c r="E53" s="27"/>
      <c r="F53" s="27">
        <v>110</v>
      </c>
      <c r="G53" s="27" t="s">
        <v>1361</v>
      </c>
      <c r="H53" s="27" t="s">
        <v>576</v>
      </c>
      <c r="I53" s="27">
        <v>25</v>
      </c>
      <c r="J53" s="27" t="s">
        <v>577</v>
      </c>
      <c r="K53" s="27" t="s">
        <v>667</v>
      </c>
      <c r="L53" s="27" t="s">
        <v>1406</v>
      </c>
      <c r="M53" s="27" t="s">
        <v>668</v>
      </c>
      <c r="N53" s="27">
        <v>372</v>
      </c>
      <c r="O53" s="27">
        <v>372</v>
      </c>
      <c r="P53" s="27">
        <v>-83</v>
      </c>
      <c r="Q53" s="27">
        <v>257</v>
      </c>
      <c r="R53" s="27">
        <v>33450</v>
      </c>
      <c r="S53" s="27">
        <v>11</v>
      </c>
      <c r="T53" s="27">
        <v>4388945</v>
      </c>
      <c r="U53" s="27">
        <v>110</v>
      </c>
      <c r="V53" s="27">
        <v>2</v>
      </c>
      <c r="W53" s="27">
        <v>1126</v>
      </c>
      <c r="X53" s="27">
        <v>256</v>
      </c>
      <c r="Y53" s="27">
        <v>1035520017</v>
      </c>
      <c r="Z53" s="27">
        <v>-99</v>
      </c>
      <c r="AA53" s="27">
        <v>1</v>
      </c>
      <c r="AB53" s="27">
        <v>17475766</v>
      </c>
      <c r="AC53" s="27">
        <v>22035</v>
      </c>
      <c r="AD53" s="27">
        <v>3048169190</v>
      </c>
      <c r="AE53" s="27">
        <v>1105712</v>
      </c>
      <c r="AF53" s="27" t="s">
        <v>1407</v>
      </c>
      <c r="AG53" s="27" t="s">
        <v>1407</v>
      </c>
    </row>
    <row r="54" spans="1:33" ht="24" customHeight="1" x14ac:dyDescent="0.2">
      <c r="A54" s="27">
        <v>152</v>
      </c>
      <c r="B54" s="29">
        <v>44589.741539351853</v>
      </c>
      <c r="C54" s="27" t="s">
        <v>622</v>
      </c>
      <c r="D54" s="27">
        <v>2504</v>
      </c>
      <c r="E54" s="27">
        <v>5369438</v>
      </c>
      <c r="F54" s="27">
        <v>74</v>
      </c>
      <c r="G54" s="27" t="s">
        <v>1370</v>
      </c>
      <c r="H54" s="27" t="s">
        <v>589</v>
      </c>
      <c r="I54" s="27">
        <v>26</v>
      </c>
      <c r="J54" s="27" t="s">
        <v>577</v>
      </c>
      <c r="K54" s="27" t="s">
        <v>669</v>
      </c>
      <c r="L54" s="27" t="s">
        <v>1408</v>
      </c>
      <c r="M54" s="27" t="s">
        <v>670</v>
      </c>
      <c r="N54" s="27">
        <v>372</v>
      </c>
      <c r="O54" s="27">
        <v>372</v>
      </c>
      <c r="P54" s="27">
        <v>-83</v>
      </c>
      <c r="Q54" s="27">
        <v>257</v>
      </c>
      <c r="R54" s="27">
        <v>33451</v>
      </c>
      <c r="S54" s="27">
        <v>11</v>
      </c>
      <c r="T54" s="27">
        <v>4389039</v>
      </c>
      <c r="U54" s="27">
        <v>110</v>
      </c>
      <c r="V54" s="27">
        <v>2</v>
      </c>
      <c r="W54" s="27">
        <v>1126</v>
      </c>
      <c r="X54" s="27">
        <v>256</v>
      </c>
      <c r="Y54" s="27">
        <v>1035520017</v>
      </c>
      <c r="Z54" s="27">
        <v>-95</v>
      </c>
      <c r="AA54" s="27">
        <v>1</v>
      </c>
      <c r="AB54" s="27">
        <v>17475767</v>
      </c>
      <c r="AC54" s="27">
        <v>22035</v>
      </c>
      <c r="AD54" s="27">
        <v>3048169284</v>
      </c>
      <c r="AE54" s="27">
        <v>1105712</v>
      </c>
      <c r="AF54" s="27"/>
      <c r="AG54" s="27"/>
    </row>
    <row r="55" spans="1:33" ht="24" customHeight="1" x14ac:dyDescent="0.2">
      <c r="A55" s="27">
        <v>153</v>
      </c>
      <c r="B55" s="29">
        <v>44589.741539351853</v>
      </c>
      <c r="C55" s="27" t="s">
        <v>584</v>
      </c>
      <c r="D55" s="27">
        <v>839</v>
      </c>
      <c r="E55" s="27">
        <v>5375671</v>
      </c>
      <c r="F55" s="27">
        <v>74</v>
      </c>
      <c r="G55" s="27" t="s">
        <v>1370</v>
      </c>
      <c r="H55" s="27" t="s">
        <v>589</v>
      </c>
      <c r="I55" s="27">
        <v>26</v>
      </c>
      <c r="J55" s="27" t="s">
        <v>577</v>
      </c>
      <c r="K55" s="27" t="s">
        <v>669</v>
      </c>
      <c r="L55" s="27" t="s">
        <v>1408</v>
      </c>
      <c r="M55" s="27" t="s">
        <v>670</v>
      </c>
      <c r="N55" s="27">
        <v>372</v>
      </c>
      <c r="O55" s="27">
        <v>372</v>
      </c>
      <c r="P55" s="27">
        <v>-83</v>
      </c>
      <c r="Q55" s="27">
        <v>257</v>
      </c>
      <c r="R55" s="27">
        <v>33451</v>
      </c>
      <c r="S55" s="27">
        <v>11</v>
      </c>
      <c r="T55" s="27">
        <v>4389039</v>
      </c>
      <c r="U55" s="27">
        <v>110</v>
      </c>
      <c r="V55" s="27">
        <v>2</v>
      </c>
      <c r="W55" s="27">
        <v>1126</v>
      </c>
      <c r="X55" s="27">
        <v>256</v>
      </c>
      <c r="Y55" s="27">
        <v>1035520017</v>
      </c>
      <c r="Z55" s="27">
        <v>-95</v>
      </c>
      <c r="AA55" s="27">
        <v>1</v>
      </c>
      <c r="AB55" s="27">
        <v>17475767</v>
      </c>
      <c r="AC55" s="27">
        <v>22035</v>
      </c>
      <c r="AD55" s="27">
        <v>3048169284</v>
      </c>
      <c r="AE55" s="27">
        <v>1105712</v>
      </c>
      <c r="AF55" s="27"/>
      <c r="AG55" s="27"/>
    </row>
    <row r="56" spans="1:33" ht="24" customHeight="1" x14ac:dyDescent="0.2">
      <c r="A56" s="27">
        <v>154</v>
      </c>
      <c r="B56" s="29">
        <v>44589.741539351853</v>
      </c>
      <c r="C56" s="27" t="s">
        <v>627</v>
      </c>
      <c r="D56" s="27"/>
      <c r="E56" s="27"/>
      <c r="F56" s="27">
        <v>110</v>
      </c>
      <c r="G56" s="27" t="s">
        <v>1361</v>
      </c>
      <c r="H56" s="27" t="s">
        <v>576</v>
      </c>
      <c r="I56" s="27">
        <v>26</v>
      </c>
      <c r="J56" s="27" t="s">
        <v>577</v>
      </c>
      <c r="K56" s="27" t="s">
        <v>671</v>
      </c>
      <c r="L56" s="27" t="s">
        <v>1408</v>
      </c>
      <c r="M56" s="27" t="s">
        <v>672</v>
      </c>
      <c r="N56" s="27">
        <v>372</v>
      </c>
      <c r="O56" s="27">
        <v>372</v>
      </c>
      <c r="P56" s="27">
        <v>-83</v>
      </c>
      <c r="Q56" s="27">
        <v>257</v>
      </c>
      <c r="R56" s="27">
        <v>33451</v>
      </c>
      <c r="S56" s="27">
        <v>11</v>
      </c>
      <c r="T56" s="27">
        <v>4389039</v>
      </c>
      <c r="U56" s="27">
        <v>110</v>
      </c>
      <c r="V56" s="27">
        <v>2</v>
      </c>
      <c r="W56" s="27">
        <v>1126</v>
      </c>
      <c r="X56" s="27">
        <v>256</v>
      </c>
      <c r="Y56" s="27">
        <v>1035520017</v>
      </c>
      <c r="Z56" s="27">
        <v>-95</v>
      </c>
      <c r="AA56" s="27">
        <v>1</v>
      </c>
      <c r="AB56" s="27">
        <v>17475767</v>
      </c>
      <c r="AC56" s="27">
        <v>22035</v>
      </c>
      <c r="AD56" s="27">
        <v>3048169284</v>
      </c>
      <c r="AE56" s="27">
        <v>1105712</v>
      </c>
      <c r="AF56" s="27" t="s">
        <v>1409</v>
      </c>
      <c r="AG56" s="27" t="s">
        <v>1409</v>
      </c>
    </row>
    <row r="57" spans="1:33" ht="24" customHeight="1" x14ac:dyDescent="0.2">
      <c r="A57" s="27">
        <v>149</v>
      </c>
      <c r="B57" s="29">
        <v>44589.741655092592</v>
      </c>
      <c r="C57" s="27" t="s">
        <v>622</v>
      </c>
      <c r="D57" s="27">
        <v>2504</v>
      </c>
      <c r="E57" s="27">
        <v>5369438</v>
      </c>
      <c r="F57" s="27">
        <v>74</v>
      </c>
      <c r="G57" s="27" t="s">
        <v>1370</v>
      </c>
      <c r="H57" s="27" t="s">
        <v>589</v>
      </c>
      <c r="I57" s="27">
        <v>27</v>
      </c>
      <c r="J57" s="27" t="s">
        <v>577</v>
      </c>
      <c r="K57" s="27" t="s">
        <v>673</v>
      </c>
      <c r="L57" s="27" t="s">
        <v>1410</v>
      </c>
      <c r="M57" s="27" t="s">
        <v>674</v>
      </c>
      <c r="N57" s="27">
        <v>371</v>
      </c>
      <c r="O57" s="27">
        <v>371</v>
      </c>
      <c r="P57" s="27">
        <v>-83</v>
      </c>
      <c r="Q57" s="27">
        <v>257</v>
      </c>
      <c r="R57" s="27">
        <v>33452</v>
      </c>
      <c r="S57" s="27">
        <v>11</v>
      </c>
      <c r="T57" s="27">
        <v>4389133</v>
      </c>
      <c r="U57" s="27">
        <v>110</v>
      </c>
      <c r="V57" s="27">
        <v>2</v>
      </c>
      <c r="W57" s="27">
        <v>1126</v>
      </c>
      <c r="X57" s="27">
        <v>256</v>
      </c>
      <c r="Y57" s="27">
        <v>1035520017</v>
      </c>
      <c r="Z57" s="27">
        <v>-113</v>
      </c>
      <c r="AA57" s="27">
        <v>1</v>
      </c>
      <c r="AB57" s="27">
        <v>17475768</v>
      </c>
      <c r="AC57" s="27">
        <v>22035</v>
      </c>
      <c r="AD57" s="27">
        <v>3048169378</v>
      </c>
      <c r="AE57" s="27">
        <v>1105712</v>
      </c>
      <c r="AF57" s="27"/>
      <c r="AG57" s="27"/>
    </row>
    <row r="58" spans="1:33" ht="24" customHeight="1" x14ac:dyDescent="0.2">
      <c r="A58" s="27">
        <v>150</v>
      </c>
      <c r="B58" s="29">
        <v>44589.741655092592</v>
      </c>
      <c r="C58" s="27" t="s">
        <v>569</v>
      </c>
      <c r="D58" s="27"/>
      <c r="E58" s="27"/>
      <c r="F58" s="27">
        <v>110</v>
      </c>
      <c r="G58" s="27" t="s">
        <v>1361</v>
      </c>
      <c r="H58" s="27" t="s">
        <v>576</v>
      </c>
      <c r="I58" s="27">
        <v>27</v>
      </c>
      <c r="J58" s="27" t="s">
        <v>577</v>
      </c>
      <c r="K58" s="27" t="s">
        <v>675</v>
      </c>
      <c r="L58" s="27" t="s">
        <v>1410</v>
      </c>
      <c r="M58" s="27" t="s">
        <v>676</v>
      </c>
      <c r="N58" s="27">
        <v>371</v>
      </c>
      <c r="O58" s="27">
        <v>371</v>
      </c>
      <c r="P58" s="27">
        <v>-83</v>
      </c>
      <c r="Q58" s="27">
        <v>257</v>
      </c>
      <c r="R58" s="27">
        <v>33452</v>
      </c>
      <c r="S58" s="27">
        <v>11</v>
      </c>
      <c r="T58" s="27">
        <v>4389133</v>
      </c>
      <c r="U58" s="27">
        <v>110</v>
      </c>
      <c r="V58" s="27">
        <v>2</v>
      </c>
      <c r="W58" s="27">
        <v>1126</v>
      </c>
      <c r="X58" s="27">
        <v>256</v>
      </c>
      <c r="Y58" s="27">
        <v>1035520017</v>
      </c>
      <c r="Z58" s="27">
        <v>-113</v>
      </c>
      <c r="AA58" s="27">
        <v>1</v>
      </c>
      <c r="AB58" s="27">
        <v>17475768</v>
      </c>
      <c r="AC58" s="27">
        <v>22035</v>
      </c>
      <c r="AD58" s="27">
        <v>3048169378</v>
      </c>
      <c r="AE58" s="27">
        <v>1105712</v>
      </c>
      <c r="AF58" s="27" t="s">
        <v>1411</v>
      </c>
      <c r="AG58" s="27" t="s">
        <v>1411</v>
      </c>
    </row>
    <row r="59" spans="1:33" ht="24" customHeight="1" x14ac:dyDescent="0.2">
      <c r="A59" s="27">
        <v>151</v>
      </c>
      <c r="B59" s="29">
        <v>44589.741655092592</v>
      </c>
      <c r="C59" s="27" t="s">
        <v>627</v>
      </c>
      <c r="D59" s="27"/>
      <c r="E59" s="27"/>
      <c r="F59" s="27">
        <v>110</v>
      </c>
      <c r="G59" s="27" t="s">
        <v>1361</v>
      </c>
      <c r="H59" s="27" t="s">
        <v>576</v>
      </c>
      <c r="I59" s="27">
        <v>27</v>
      </c>
      <c r="J59" s="27" t="s">
        <v>577</v>
      </c>
      <c r="K59" s="27" t="s">
        <v>675</v>
      </c>
      <c r="L59" s="27" t="s">
        <v>1410</v>
      </c>
      <c r="M59" s="27" t="s">
        <v>676</v>
      </c>
      <c r="N59" s="27">
        <v>371</v>
      </c>
      <c r="O59" s="27">
        <v>371</v>
      </c>
      <c r="P59" s="27">
        <v>-83</v>
      </c>
      <c r="Q59" s="27">
        <v>257</v>
      </c>
      <c r="R59" s="27">
        <v>33452</v>
      </c>
      <c r="S59" s="27">
        <v>11</v>
      </c>
      <c r="T59" s="27">
        <v>4389133</v>
      </c>
      <c r="U59" s="27">
        <v>110</v>
      </c>
      <c r="V59" s="27">
        <v>2</v>
      </c>
      <c r="W59" s="27">
        <v>1126</v>
      </c>
      <c r="X59" s="27">
        <v>256</v>
      </c>
      <c r="Y59" s="27">
        <v>1035520017</v>
      </c>
      <c r="Z59" s="27">
        <v>-113</v>
      </c>
      <c r="AA59" s="27">
        <v>1</v>
      </c>
      <c r="AB59" s="27">
        <v>17475768</v>
      </c>
      <c r="AC59" s="27">
        <v>22035</v>
      </c>
      <c r="AD59" s="27">
        <v>3048169378</v>
      </c>
      <c r="AE59" s="27">
        <v>1105712</v>
      </c>
      <c r="AF59" s="27" t="s">
        <v>1411</v>
      </c>
      <c r="AG59" s="27" t="s">
        <v>1411</v>
      </c>
    </row>
    <row r="60" spans="1:33" ht="24" customHeight="1" x14ac:dyDescent="0.2">
      <c r="A60" s="27">
        <v>147</v>
      </c>
      <c r="B60" s="29">
        <v>44589.741770833331</v>
      </c>
      <c r="C60" s="27" t="s">
        <v>622</v>
      </c>
      <c r="D60" s="27">
        <v>2504</v>
      </c>
      <c r="E60" s="27">
        <v>5369438</v>
      </c>
      <c r="F60" s="27">
        <v>74</v>
      </c>
      <c r="G60" s="27" t="s">
        <v>1370</v>
      </c>
      <c r="H60" s="27" t="s">
        <v>589</v>
      </c>
      <c r="I60" s="27">
        <v>28</v>
      </c>
      <c r="J60" s="27" t="s">
        <v>577</v>
      </c>
      <c r="K60" s="27" t="s">
        <v>677</v>
      </c>
      <c r="L60" s="27" t="s">
        <v>1412</v>
      </c>
      <c r="M60" s="27" t="s">
        <v>678</v>
      </c>
      <c r="N60" s="27">
        <v>371</v>
      </c>
      <c r="O60" s="27">
        <v>371</v>
      </c>
      <c r="P60" s="27">
        <v>-83</v>
      </c>
      <c r="Q60" s="27">
        <v>257</v>
      </c>
      <c r="R60" s="27">
        <v>33453</v>
      </c>
      <c r="S60" s="27">
        <v>11</v>
      </c>
      <c r="T60" s="27">
        <v>4389227</v>
      </c>
      <c r="U60" s="27">
        <v>110</v>
      </c>
      <c r="V60" s="27">
        <v>2</v>
      </c>
      <c r="W60" s="27">
        <v>1126</v>
      </c>
      <c r="X60" s="27">
        <v>256</v>
      </c>
      <c r="Y60" s="27">
        <v>1035520017</v>
      </c>
      <c r="Z60" s="27">
        <v>-112</v>
      </c>
      <c r="AA60" s="27">
        <v>1</v>
      </c>
      <c r="AB60" s="27">
        <v>17475769</v>
      </c>
      <c r="AC60" s="27">
        <v>22035</v>
      </c>
      <c r="AD60" s="27">
        <v>3048169472</v>
      </c>
      <c r="AE60" s="27">
        <v>1105712</v>
      </c>
      <c r="AF60" s="27"/>
      <c r="AG60" s="27"/>
    </row>
    <row r="61" spans="1:33" ht="24" customHeight="1" x14ac:dyDescent="0.2">
      <c r="A61" s="27">
        <v>148</v>
      </c>
      <c r="B61" s="29">
        <v>44589.741770833331</v>
      </c>
      <c r="C61" s="27" t="s">
        <v>569</v>
      </c>
      <c r="D61" s="27"/>
      <c r="E61" s="27"/>
      <c r="F61" s="27">
        <v>110</v>
      </c>
      <c r="G61" s="27" t="s">
        <v>1361</v>
      </c>
      <c r="H61" s="27" t="s">
        <v>576</v>
      </c>
      <c r="I61" s="27">
        <v>28</v>
      </c>
      <c r="J61" s="27" t="s">
        <v>577</v>
      </c>
      <c r="K61" s="27" t="s">
        <v>679</v>
      </c>
      <c r="L61" s="27" t="s">
        <v>1412</v>
      </c>
      <c r="M61" s="27" t="s">
        <v>680</v>
      </c>
      <c r="N61" s="27">
        <v>371</v>
      </c>
      <c r="O61" s="27">
        <v>371</v>
      </c>
      <c r="P61" s="27">
        <v>-83</v>
      </c>
      <c r="Q61" s="27">
        <v>257</v>
      </c>
      <c r="R61" s="27">
        <v>33453</v>
      </c>
      <c r="S61" s="27">
        <v>11</v>
      </c>
      <c r="T61" s="27">
        <v>4389227</v>
      </c>
      <c r="U61" s="27">
        <v>110</v>
      </c>
      <c r="V61" s="27">
        <v>2</v>
      </c>
      <c r="W61" s="27">
        <v>1126</v>
      </c>
      <c r="X61" s="27">
        <v>256</v>
      </c>
      <c r="Y61" s="27">
        <v>1035520017</v>
      </c>
      <c r="Z61" s="27">
        <v>-112</v>
      </c>
      <c r="AA61" s="27">
        <v>1</v>
      </c>
      <c r="AB61" s="27">
        <v>17475769</v>
      </c>
      <c r="AC61" s="27">
        <v>22035</v>
      </c>
      <c r="AD61" s="27">
        <v>3048169472</v>
      </c>
      <c r="AE61" s="27">
        <v>1105712</v>
      </c>
      <c r="AF61" s="27" t="s">
        <v>1413</v>
      </c>
      <c r="AG61" s="27" t="s">
        <v>1413</v>
      </c>
    </row>
    <row r="62" spans="1:33" ht="24" customHeight="1" x14ac:dyDescent="0.2">
      <c r="A62" s="27">
        <v>146</v>
      </c>
      <c r="B62" s="29">
        <v>44589.741886574076</v>
      </c>
      <c r="C62" s="27" t="s">
        <v>622</v>
      </c>
      <c r="D62" s="27">
        <v>2504</v>
      </c>
      <c r="E62" s="27">
        <v>5369438</v>
      </c>
      <c r="F62" s="27">
        <v>74</v>
      </c>
      <c r="G62" s="27" t="s">
        <v>1370</v>
      </c>
      <c r="H62" s="27" t="s">
        <v>589</v>
      </c>
      <c r="I62" s="27">
        <v>29</v>
      </c>
      <c r="J62" s="27" t="s">
        <v>590</v>
      </c>
      <c r="K62" s="27" t="s">
        <v>681</v>
      </c>
      <c r="L62" s="27" t="s">
        <v>1414</v>
      </c>
      <c r="M62" s="27" t="s">
        <v>682</v>
      </c>
      <c r="N62" s="27">
        <v>370</v>
      </c>
      <c r="O62" s="27">
        <v>371</v>
      </c>
      <c r="P62" s="27">
        <v>-83</v>
      </c>
      <c r="Q62" s="27">
        <v>257</v>
      </c>
      <c r="R62" s="27">
        <v>33454</v>
      </c>
      <c r="S62" s="27">
        <v>11</v>
      </c>
      <c r="T62" s="27">
        <v>4389321</v>
      </c>
      <c r="U62" s="27">
        <v>110</v>
      </c>
      <c r="V62" s="27">
        <v>2</v>
      </c>
      <c r="W62" s="27">
        <v>1126</v>
      </c>
      <c r="X62" s="27">
        <v>256</v>
      </c>
      <c r="Y62" s="27">
        <v>1035520017</v>
      </c>
      <c r="Z62" s="27">
        <v>-113</v>
      </c>
      <c r="AA62" s="27">
        <v>1</v>
      </c>
      <c r="AB62" s="27">
        <v>17475770</v>
      </c>
      <c r="AC62" s="27">
        <v>22035</v>
      </c>
      <c r="AD62" s="27">
        <v>3048169566</v>
      </c>
      <c r="AE62" s="27">
        <v>1105712</v>
      </c>
      <c r="AF62" s="27"/>
      <c r="AG62" s="27"/>
    </row>
    <row r="63" spans="1:33" ht="24" customHeight="1" x14ac:dyDescent="0.2">
      <c r="A63" s="27">
        <v>143</v>
      </c>
      <c r="B63" s="29">
        <v>44589.742002314822</v>
      </c>
      <c r="C63" s="27" t="s">
        <v>622</v>
      </c>
      <c r="D63" s="27">
        <v>2504</v>
      </c>
      <c r="E63" s="27">
        <v>5369438</v>
      </c>
      <c r="F63" s="27">
        <v>74</v>
      </c>
      <c r="G63" s="27" t="s">
        <v>1370</v>
      </c>
      <c r="H63" s="27" t="s">
        <v>589</v>
      </c>
      <c r="I63" s="27">
        <v>30</v>
      </c>
      <c r="J63" s="27" t="s">
        <v>577</v>
      </c>
      <c r="K63" s="27" t="s">
        <v>683</v>
      </c>
      <c r="L63" s="27" t="s">
        <v>1415</v>
      </c>
      <c r="M63" s="27" t="s">
        <v>684</v>
      </c>
      <c r="N63" s="27">
        <v>370</v>
      </c>
      <c r="O63" s="27">
        <v>371</v>
      </c>
      <c r="P63" s="27">
        <v>-83</v>
      </c>
      <c r="Q63" s="27">
        <v>257</v>
      </c>
      <c r="R63" s="27">
        <v>33455</v>
      </c>
      <c r="S63" s="27">
        <v>11</v>
      </c>
      <c r="T63" s="27">
        <v>4389415</v>
      </c>
      <c r="U63" s="27">
        <v>110</v>
      </c>
      <c r="V63" s="27">
        <v>2</v>
      </c>
      <c r="W63" s="27">
        <v>1126</v>
      </c>
      <c r="X63" s="27">
        <v>256</v>
      </c>
      <c r="Y63" s="27">
        <v>1035520017</v>
      </c>
      <c r="Z63" s="27">
        <v>-108</v>
      </c>
      <c r="AA63" s="27">
        <v>1</v>
      </c>
      <c r="AB63" s="27">
        <v>17475771</v>
      </c>
      <c r="AC63" s="27">
        <v>22035</v>
      </c>
      <c r="AD63" s="27">
        <v>3048169660</v>
      </c>
      <c r="AE63" s="27">
        <v>1105712</v>
      </c>
      <c r="AF63" s="27"/>
      <c r="AG63" s="27"/>
    </row>
    <row r="64" spans="1:33" ht="24" customHeight="1" x14ac:dyDescent="0.2">
      <c r="A64" s="27">
        <v>144</v>
      </c>
      <c r="B64" s="29">
        <v>44589.742002314822</v>
      </c>
      <c r="C64" s="27" t="s">
        <v>569</v>
      </c>
      <c r="D64" s="27"/>
      <c r="E64" s="27"/>
      <c r="F64" s="27">
        <v>110</v>
      </c>
      <c r="G64" s="27" t="s">
        <v>1361</v>
      </c>
      <c r="H64" s="27" t="s">
        <v>576</v>
      </c>
      <c r="I64" s="27">
        <v>30</v>
      </c>
      <c r="J64" s="27" t="s">
        <v>577</v>
      </c>
      <c r="K64" s="27" t="s">
        <v>685</v>
      </c>
      <c r="L64" s="27" t="s">
        <v>1415</v>
      </c>
      <c r="M64" s="27" t="s">
        <v>686</v>
      </c>
      <c r="N64" s="27">
        <v>370</v>
      </c>
      <c r="O64" s="27">
        <v>371</v>
      </c>
      <c r="P64" s="27">
        <v>-83</v>
      </c>
      <c r="Q64" s="27">
        <v>257</v>
      </c>
      <c r="R64" s="27">
        <v>33455</v>
      </c>
      <c r="S64" s="27">
        <v>11</v>
      </c>
      <c r="T64" s="27">
        <v>4389415</v>
      </c>
      <c r="U64" s="27">
        <v>110</v>
      </c>
      <c r="V64" s="27">
        <v>2</v>
      </c>
      <c r="W64" s="27">
        <v>1126</v>
      </c>
      <c r="X64" s="27">
        <v>256</v>
      </c>
      <c r="Y64" s="27">
        <v>1035520017</v>
      </c>
      <c r="Z64" s="27">
        <v>-108</v>
      </c>
      <c r="AA64" s="27">
        <v>1</v>
      </c>
      <c r="AB64" s="27">
        <v>17475771</v>
      </c>
      <c r="AC64" s="27">
        <v>22035</v>
      </c>
      <c r="AD64" s="27">
        <v>3048169660</v>
      </c>
      <c r="AE64" s="27">
        <v>1105712</v>
      </c>
      <c r="AF64" s="27" t="s">
        <v>1416</v>
      </c>
      <c r="AG64" s="27" t="s">
        <v>1416</v>
      </c>
    </row>
    <row r="65" spans="1:33" ht="24" customHeight="1" x14ac:dyDescent="0.2">
      <c r="A65" s="27">
        <v>145</v>
      </c>
      <c r="B65" s="29">
        <v>44589.742002314822</v>
      </c>
      <c r="C65" s="27" t="s">
        <v>627</v>
      </c>
      <c r="D65" s="27"/>
      <c r="E65" s="27"/>
      <c r="F65" s="27">
        <v>110</v>
      </c>
      <c r="G65" s="27" t="s">
        <v>1361</v>
      </c>
      <c r="H65" s="27" t="s">
        <v>576</v>
      </c>
      <c r="I65" s="27">
        <v>30</v>
      </c>
      <c r="J65" s="27" t="s">
        <v>577</v>
      </c>
      <c r="K65" s="27" t="s">
        <v>685</v>
      </c>
      <c r="L65" s="27" t="s">
        <v>1415</v>
      </c>
      <c r="M65" s="27" t="s">
        <v>686</v>
      </c>
      <c r="N65" s="27">
        <v>370</v>
      </c>
      <c r="O65" s="27">
        <v>371</v>
      </c>
      <c r="P65" s="27">
        <v>-83</v>
      </c>
      <c r="Q65" s="27">
        <v>257</v>
      </c>
      <c r="R65" s="27">
        <v>33455</v>
      </c>
      <c r="S65" s="27">
        <v>11</v>
      </c>
      <c r="T65" s="27">
        <v>4389415</v>
      </c>
      <c r="U65" s="27">
        <v>110</v>
      </c>
      <c r="V65" s="27">
        <v>2</v>
      </c>
      <c r="W65" s="27">
        <v>1126</v>
      </c>
      <c r="X65" s="27">
        <v>256</v>
      </c>
      <c r="Y65" s="27">
        <v>1035520017</v>
      </c>
      <c r="Z65" s="27">
        <v>-108</v>
      </c>
      <c r="AA65" s="27">
        <v>1</v>
      </c>
      <c r="AB65" s="27">
        <v>17475771</v>
      </c>
      <c r="AC65" s="27">
        <v>22035</v>
      </c>
      <c r="AD65" s="27">
        <v>3048169660</v>
      </c>
      <c r="AE65" s="27">
        <v>1105712</v>
      </c>
      <c r="AF65" s="27" t="s">
        <v>1416</v>
      </c>
      <c r="AG65" s="27" t="s">
        <v>1416</v>
      </c>
    </row>
    <row r="66" spans="1:33" ht="24" customHeight="1" x14ac:dyDescent="0.2">
      <c r="A66" s="27">
        <v>141</v>
      </c>
      <c r="B66" s="29">
        <v>44589.742118055547</v>
      </c>
      <c r="C66" s="27" t="s">
        <v>622</v>
      </c>
      <c r="D66" s="27">
        <v>2504</v>
      </c>
      <c r="E66" s="27">
        <v>5369438</v>
      </c>
      <c r="F66" s="27">
        <v>74</v>
      </c>
      <c r="G66" s="27" t="s">
        <v>1370</v>
      </c>
      <c r="H66" s="27" t="s">
        <v>589</v>
      </c>
      <c r="I66" s="27">
        <v>31</v>
      </c>
      <c r="J66" s="27" t="s">
        <v>577</v>
      </c>
      <c r="K66" s="27" t="s">
        <v>687</v>
      </c>
      <c r="L66" s="27" t="s">
        <v>1417</v>
      </c>
      <c r="M66" s="27" t="s">
        <v>688</v>
      </c>
      <c r="N66" s="27">
        <v>370</v>
      </c>
      <c r="O66" s="27">
        <v>370</v>
      </c>
      <c r="P66" s="27">
        <v>-83</v>
      </c>
      <c r="Q66" s="27">
        <v>257</v>
      </c>
      <c r="R66" s="27">
        <v>33456</v>
      </c>
      <c r="S66" s="27">
        <v>11</v>
      </c>
      <c r="T66" s="27">
        <v>4389509</v>
      </c>
      <c r="U66" s="27">
        <v>110</v>
      </c>
      <c r="V66" s="27">
        <v>2</v>
      </c>
      <c r="W66" s="27">
        <v>1126</v>
      </c>
      <c r="X66" s="27">
        <v>256</v>
      </c>
      <c r="Y66" s="27">
        <v>1035520017</v>
      </c>
      <c r="Z66" s="27">
        <v>-93</v>
      </c>
      <c r="AA66" s="27">
        <v>1</v>
      </c>
      <c r="AB66" s="27">
        <v>17475772</v>
      </c>
      <c r="AC66" s="27">
        <v>22035</v>
      </c>
      <c r="AD66" s="27">
        <v>3048169754</v>
      </c>
      <c r="AE66" s="27">
        <v>1105712</v>
      </c>
      <c r="AF66" s="27"/>
      <c r="AG66" s="27"/>
    </row>
    <row r="67" spans="1:33" ht="24" customHeight="1" x14ac:dyDescent="0.2">
      <c r="A67" s="27">
        <v>142</v>
      </c>
      <c r="B67" s="29">
        <v>44589.742118055547</v>
      </c>
      <c r="C67" s="27" t="s">
        <v>627</v>
      </c>
      <c r="D67" s="27"/>
      <c r="E67" s="27"/>
      <c r="F67" s="27">
        <v>110</v>
      </c>
      <c r="G67" s="27" t="s">
        <v>1361</v>
      </c>
      <c r="H67" s="27" t="s">
        <v>576</v>
      </c>
      <c r="I67" s="27">
        <v>31</v>
      </c>
      <c r="J67" s="27" t="s">
        <v>577</v>
      </c>
      <c r="K67" s="27" t="s">
        <v>689</v>
      </c>
      <c r="L67" s="27" t="s">
        <v>1417</v>
      </c>
      <c r="M67" s="27" t="s">
        <v>690</v>
      </c>
      <c r="N67" s="27">
        <v>370</v>
      </c>
      <c r="O67" s="27">
        <v>370</v>
      </c>
      <c r="P67" s="27">
        <v>-83</v>
      </c>
      <c r="Q67" s="27">
        <v>257</v>
      </c>
      <c r="R67" s="27">
        <v>33456</v>
      </c>
      <c r="S67" s="27">
        <v>11</v>
      </c>
      <c r="T67" s="27">
        <v>4389509</v>
      </c>
      <c r="U67" s="27">
        <v>110</v>
      </c>
      <c r="V67" s="27">
        <v>2</v>
      </c>
      <c r="W67" s="27">
        <v>1126</v>
      </c>
      <c r="X67" s="27">
        <v>256</v>
      </c>
      <c r="Y67" s="27">
        <v>1035520017</v>
      </c>
      <c r="Z67" s="27">
        <v>-93</v>
      </c>
      <c r="AA67" s="27">
        <v>1</v>
      </c>
      <c r="AB67" s="27">
        <v>17475772</v>
      </c>
      <c r="AC67" s="27">
        <v>22035</v>
      </c>
      <c r="AD67" s="27">
        <v>3048169754</v>
      </c>
      <c r="AE67" s="27">
        <v>1105712</v>
      </c>
      <c r="AF67" s="27" t="s">
        <v>1418</v>
      </c>
      <c r="AG67" s="27" t="s">
        <v>1418</v>
      </c>
    </row>
    <row r="68" spans="1:33" ht="24" customHeight="1" x14ac:dyDescent="0.2">
      <c r="A68" s="27">
        <v>138</v>
      </c>
      <c r="B68" s="29">
        <v>44589.7422337963</v>
      </c>
      <c r="C68" s="27" t="s">
        <v>622</v>
      </c>
      <c r="D68" s="27">
        <v>2504</v>
      </c>
      <c r="E68" s="27">
        <v>5369438</v>
      </c>
      <c r="F68" s="27">
        <v>74</v>
      </c>
      <c r="G68" s="27" t="s">
        <v>1370</v>
      </c>
      <c r="H68" s="27" t="s">
        <v>589</v>
      </c>
      <c r="I68" s="27">
        <v>32</v>
      </c>
      <c r="J68" s="27" t="s">
        <v>577</v>
      </c>
      <c r="K68" s="27" t="s">
        <v>691</v>
      </c>
      <c r="L68" s="27" t="s">
        <v>1419</v>
      </c>
      <c r="M68" s="27" t="s">
        <v>692</v>
      </c>
      <c r="N68" s="27">
        <v>369</v>
      </c>
      <c r="O68" s="27">
        <v>370</v>
      </c>
      <c r="P68" s="27">
        <v>-83</v>
      </c>
      <c r="Q68" s="27">
        <v>257</v>
      </c>
      <c r="R68" s="27">
        <v>33457</v>
      </c>
      <c r="S68" s="27">
        <v>11</v>
      </c>
      <c r="T68" s="27">
        <v>4389603</v>
      </c>
      <c r="U68" s="27">
        <v>110</v>
      </c>
      <c r="V68" s="27">
        <v>2</v>
      </c>
      <c r="W68" s="27">
        <v>1126</v>
      </c>
      <c r="X68" s="27">
        <v>256</v>
      </c>
      <c r="Y68" s="27">
        <v>1035520017</v>
      </c>
      <c r="Z68" s="27">
        <v>-109</v>
      </c>
      <c r="AA68" s="27">
        <v>1</v>
      </c>
      <c r="AB68" s="27">
        <v>17475773</v>
      </c>
      <c r="AC68" s="27">
        <v>22035</v>
      </c>
      <c r="AD68" s="27">
        <v>3048169848</v>
      </c>
      <c r="AE68" s="27">
        <v>1105712</v>
      </c>
      <c r="AF68" s="27"/>
      <c r="AG68" s="27"/>
    </row>
    <row r="69" spans="1:33" ht="24" customHeight="1" x14ac:dyDescent="0.2">
      <c r="A69" s="27">
        <v>139</v>
      </c>
      <c r="B69" s="29">
        <v>44589.7422337963</v>
      </c>
      <c r="C69" s="27" t="s">
        <v>569</v>
      </c>
      <c r="D69" s="27"/>
      <c r="E69" s="27"/>
      <c r="F69" s="27">
        <v>110</v>
      </c>
      <c r="G69" s="27" t="s">
        <v>1361</v>
      </c>
      <c r="H69" s="27" t="s">
        <v>576</v>
      </c>
      <c r="I69" s="27">
        <v>32</v>
      </c>
      <c r="J69" s="27" t="s">
        <v>577</v>
      </c>
      <c r="K69" s="27" t="s">
        <v>693</v>
      </c>
      <c r="L69" s="27" t="s">
        <v>1419</v>
      </c>
      <c r="M69" s="27" t="s">
        <v>694</v>
      </c>
      <c r="N69" s="27">
        <v>369</v>
      </c>
      <c r="O69" s="27">
        <v>370</v>
      </c>
      <c r="P69" s="27">
        <v>-83</v>
      </c>
      <c r="Q69" s="27">
        <v>257</v>
      </c>
      <c r="R69" s="27">
        <v>33457</v>
      </c>
      <c r="S69" s="27">
        <v>11</v>
      </c>
      <c r="T69" s="27">
        <v>4389603</v>
      </c>
      <c r="U69" s="27">
        <v>110</v>
      </c>
      <c r="V69" s="27">
        <v>2</v>
      </c>
      <c r="W69" s="27">
        <v>1126</v>
      </c>
      <c r="X69" s="27">
        <v>256</v>
      </c>
      <c r="Y69" s="27">
        <v>1035520017</v>
      </c>
      <c r="Z69" s="27">
        <v>-109</v>
      </c>
      <c r="AA69" s="27">
        <v>1</v>
      </c>
      <c r="AB69" s="27">
        <v>17475773</v>
      </c>
      <c r="AC69" s="27">
        <v>22035</v>
      </c>
      <c r="AD69" s="27">
        <v>3048169848</v>
      </c>
      <c r="AE69" s="27">
        <v>1105712</v>
      </c>
      <c r="AF69" s="27" t="s">
        <v>1420</v>
      </c>
      <c r="AG69" s="27" t="s">
        <v>1420</v>
      </c>
    </row>
    <row r="70" spans="1:33" ht="24" customHeight="1" x14ac:dyDescent="0.2">
      <c r="A70" s="27">
        <v>140</v>
      </c>
      <c r="B70" s="29">
        <v>44589.7422337963</v>
      </c>
      <c r="C70" s="27" t="s">
        <v>627</v>
      </c>
      <c r="D70" s="27"/>
      <c r="E70" s="27"/>
      <c r="F70" s="27">
        <v>110</v>
      </c>
      <c r="G70" s="27" t="s">
        <v>1361</v>
      </c>
      <c r="H70" s="27" t="s">
        <v>576</v>
      </c>
      <c r="I70" s="27">
        <v>32</v>
      </c>
      <c r="J70" s="27" t="s">
        <v>577</v>
      </c>
      <c r="K70" s="27" t="s">
        <v>693</v>
      </c>
      <c r="L70" s="27" t="s">
        <v>1419</v>
      </c>
      <c r="M70" s="27" t="s">
        <v>694</v>
      </c>
      <c r="N70" s="27">
        <v>369</v>
      </c>
      <c r="O70" s="27">
        <v>370</v>
      </c>
      <c r="P70" s="27">
        <v>-83</v>
      </c>
      <c r="Q70" s="27">
        <v>257</v>
      </c>
      <c r="R70" s="27">
        <v>33457</v>
      </c>
      <c r="S70" s="27">
        <v>11</v>
      </c>
      <c r="T70" s="27">
        <v>4389603</v>
      </c>
      <c r="U70" s="27">
        <v>110</v>
      </c>
      <c r="V70" s="27">
        <v>2</v>
      </c>
      <c r="W70" s="27">
        <v>1126</v>
      </c>
      <c r="X70" s="27">
        <v>256</v>
      </c>
      <c r="Y70" s="27">
        <v>1035520017</v>
      </c>
      <c r="Z70" s="27">
        <v>-109</v>
      </c>
      <c r="AA70" s="27">
        <v>1</v>
      </c>
      <c r="AB70" s="27">
        <v>17475773</v>
      </c>
      <c r="AC70" s="27">
        <v>22035</v>
      </c>
      <c r="AD70" s="27">
        <v>3048169848</v>
      </c>
      <c r="AE70" s="27">
        <v>1105712</v>
      </c>
      <c r="AF70" s="27" t="s">
        <v>1420</v>
      </c>
      <c r="AG70" s="27" t="s">
        <v>1420</v>
      </c>
    </row>
    <row r="71" spans="1:33" ht="24" customHeight="1" x14ac:dyDescent="0.2">
      <c r="A71" s="27">
        <v>136</v>
      </c>
      <c r="B71" s="29">
        <v>44589.742349537039</v>
      </c>
      <c r="C71" s="27" t="s">
        <v>622</v>
      </c>
      <c r="D71" s="27">
        <v>2504</v>
      </c>
      <c r="E71" s="27">
        <v>5369438</v>
      </c>
      <c r="F71" s="27">
        <v>74</v>
      </c>
      <c r="G71" s="27" t="s">
        <v>1370</v>
      </c>
      <c r="H71" s="27" t="s">
        <v>589</v>
      </c>
      <c r="I71" s="27">
        <v>33</v>
      </c>
      <c r="J71" s="27" t="s">
        <v>577</v>
      </c>
      <c r="K71" s="27" t="s">
        <v>695</v>
      </c>
      <c r="L71" s="27" t="s">
        <v>1421</v>
      </c>
      <c r="M71" s="27" t="s">
        <v>696</v>
      </c>
      <c r="N71" s="27">
        <v>369</v>
      </c>
      <c r="O71" s="27">
        <v>370</v>
      </c>
      <c r="P71" s="27">
        <v>-83</v>
      </c>
      <c r="Q71" s="27">
        <v>257</v>
      </c>
      <c r="R71" s="27">
        <v>33458</v>
      </c>
      <c r="S71" s="27">
        <v>11</v>
      </c>
      <c r="T71" s="27">
        <v>4389697</v>
      </c>
      <c r="U71" s="27">
        <v>110</v>
      </c>
      <c r="V71" s="27">
        <v>2</v>
      </c>
      <c r="W71" s="27">
        <v>1126</v>
      </c>
      <c r="X71" s="27">
        <v>256</v>
      </c>
      <c r="Y71" s="27">
        <v>1035520017</v>
      </c>
      <c r="Z71" s="27">
        <v>-99</v>
      </c>
      <c r="AA71" s="27">
        <v>1</v>
      </c>
      <c r="AB71" s="27">
        <v>17475774</v>
      </c>
      <c r="AC71" s="27">
        <v>22035</v>
      </c>
      <c r="AD71" s="27">
        <v>3048169942</v>
      </c>
      <c r="AE71" s="27">
        <v>1105712</v>
      </c>
      <c r="AF71" s="27"/>
      <c r="AG71" s="27"/>
    </row>
    <row r="72" spans="1:33" ht="24" customHeight="1" x14ac:dyDescent="0.2">
      <c r="A72" s="27">
        <v>137</v>
      </c>
      <c r="B72" s="29">
        <v>44589.742349537039</v>
      </c>
      <c r="C72" s="27" t="s">
        <v>569</v>
      </c>
      <c r="D72" s="27"/>
      <c r="E72" s="27"/>
      <c r="F72" s="27">
        <v>110</v>
      </c>
      <c r="G72" s="27" t="s">
        <v>1361</v>
      </c>
      <c r="H72" s="27" t="s">
        <v>576</v>
      </c>
      <c r="I72" s="27">
        <v>33</v>
      </c>
      <c r="J72" s="27" t="s">
        <v>577</v>
      </c>
      <c r="K72" s="27" t="s">
        <v>697</v>
      </c>
      <c r="L72" s="27" t="s">
        <v>1421</v>
      </c>
      <c r="M72" s="27" t="s">
        <v>698</v>
      </c>
      <c r="N72" s="27">
        <v>369</v>
      </c>
      <c r="O72" s="27">
        <v>370</v>
      </c>
      <c r="P72" s="27">
        <v>-83</v>
      </c>
      <c r="Q72" s="27">
        <v>257</v>
      </c>
      <c r="R72" s="27">
        <v>33458</v>
      </c>
      <c r="S72" s="27">
        <v>11</v>
      </c>
      <c r="T72" s="27">
        <v>4389697</v>
      </c>
      <c r="U72" s="27">
        <v>110</v>
      </c>
      <c r="V72" s="27">
        <v>2</v>
      </c>
      <c r="W72" s="27">
        <v>1126</v>
      </c>
      <c r="X72" s="27">
        <v>256</v>
      </c>
      <c r="Y72" s="27">
        <v>1035520017</v>
      </c>
      <c r="Z72" s="27">
        <v>-99</v>
      </c>
      <c r="AA72" s="27">
        <v>1</v>
      </c>
      <c r="AB72" s="27">
        <v>17475774</v>
      </c>
      <c r="AC72" s="27">
        <v>22035</v>
      </c>
      <c r="AD72" s="27">
        <v>3048169942</v>
      </c>
      <c r="AE72" s="27">
        <v>1105712</v>
      </c>
      <c r="AF72" s="27" t="s">
        <v>1422</v>
      </c>
      <c r="AG72" s="27" t="s">
        <v>1422</v>
      </c>
    </row>
    <row r="73" spans="1:33" ht="24" customHeight="1" x14ac:dyDescent="0.2">
      <c r="A73" s="27">
        <v>135</v>
      </c>
      <c r="B73" s="29">
        <v>44589.742465277777</v>
      </c>
      <c r="C73" s="27" t="s">
        <v>569</v>
      </c>
      <c r="D73" s="27"/>
      <c r="E73" s="27"/>
      <c r="F73" s="27">
        <v>110</v>
      </c>
      <c r="G73" s="27" t="s">
        <v>1361</v>
      </c>
      <c r="H73" s="27" t="s">
        <v>576</v>
      </c>
      <c r="I73" s="27">
        <v>34</v>
      </c>
      <c r="J73" s="27" t="s">
        <v>577</v>
      </c>
      <c r="K73" s="27" t="s">
        <v>699</v>
      </c>
      <c r="L73" s="27" t="s">
        <v>1423</v>
      </c>
      <c r="M73" s="27" t="s">
        <v>700</v>
      </c>
      <c r="N73" s="27">
        <v>369</v>
      </c>
      <c r="O73" s="27">
        <v>369</v>
      </c>
      <c r="P73" s="27">
        <v>-83</v>
      </c>
      <c r="Q73" s="27">
        <v>257</v>
      </c>
      <c r="R73" s="27">
        <v>33459</v>
      </c>
      <c r="S73" s="27">
        <v>11</v>
      </c>
      <c r="T73" s="27">
        <v>4389791</v>
      </c>
      <c r="U73" s="27">
        <v>110</v>
      </c>
      <c r="V73" s="27">
        <v>2</v>
      </c>
      <c r="W73" s="27">
        <v>1126</v>
      </c>
      <c r="X73" s="27">
        <v>256</v>
      </c>
      <c r="Y73" s="27">
        <v>1035520017</v>
      </c>
      <c r="Z73" s="27">
        <v>-98</v>
      </c>
      <c r="AA73" s="27">
        <v>1</v>
      </c>
      <c r="AB73" s="27">
        <v>17475775</v>
      </c>
      <c r="AC73" s="27">
        <v>22035</v>
      </c>
      <c r="AD73" s="27">
        <v>3048170036</v>
      </c>
      <c r="AE73" s="27">
        <v>1105712</v>
      </c>
      <c r="AF73" s="27" t="s">
        <v>1424</v>
      </c>
      <c r="AG73" s="27" t="s">
        <v>1424</v>
      </c>
    </row>
    <row r="74" spans="1:33" ht="24" customHeight="1" x14ac:dyDescent="0.2">
      <c r="A74" s="27">
        <v>134</v>
      </c>
      <c r="B74" s="29">
        <v>44589.742581018523</v>
      </c>
      <c r="C74" s="27" t="s">
        <v>569</v>
      </c>
      <c r="D74" s="27"/>
      <c r="E74" s="27"/>
      <c r="F74" s="27">
        <v>110</v>
      </c>
      <c r="G74" s="27" t="s">
        <v>1361</v>
      </c>
      <c r="H74" s="27" t="s">
        <v>576</v>
      </c>
      <c r="I74" s="27">
        <v>35</v>
      </c>
      <c r="J74" s="27" t="s">
        <v>577</v>
      </c>
      <c r="K74" s="27" t="s">
        <v>701</v>
      </c>
      <c r="L74" s="27" t="s">
        <v>1425</v>
      </c>
      <c r="M74" s="27" t="s">
        <v>702</v>
      </c>
      <c r="N74" s="27">
        <v>369</v>
      </c>
      <c r="O74" s="27">
        <v>369</v>
      </c>
      <c r="P74" s="27">
        <v>-83</v>
      </c>
      <c r="Q74" s="27">
        <v>257</v>
      </c>
      <c r="R74" s="27">
        <v>33460</v>
      </c>
      <c r="S74" s="27">
        <v>11</v>
      </c>
      <c r="T74" s="27">
        <v>4389885</v>
      </c>
      <c r="U74" s="27">
        <v>110</v>
      </c>
      <c r="V74" s="27">
        <v>2</v>
      </c>
      <c r="W74" s="27">
        <v>1126</v>
      </c>
      <c r="X74" s="27">
        <v>256</v>
      </c>
      <c r="Y74" s="27">
        <v>1035520017</v>
      </c>
      <c r="Z74" s="27">
        <v>-99</v>
      </c>
      <c r="AA74" s="27">
        <v>1</v>
      </c>
      <c r="AB74" s="27">
        <v>17475776</v>
      </c>
      <c r="AC74" s="27">
        <v>22035</v>
      </c>
      <c r="AD74" s="27">
        <v>3048170130</v>
      </c>
      <c r="AE74" s="27">
        <v>1105712</v>
      </c>
      <c r="AF74" s="27" t="s">
        <v>1426</v>
      </c>
      <c r="AG74" s="27" t="s">
        <v>1426</v>
      </c>
    </row>
    <row r="75" spans="1:33" ht="24" customHeight="1" x14ac:dyDescent="0.2">
      <c r="A75" s="27">
        <v>131</v>
      </c>
      <c r="B75" s="29">
        <v>44589.742696759262</v>
      </c>
      <c r="C75" s="27" t="s">
        <v>622</v>
      </c>
      <c r="D75" s="27">
        <v>2504</v>
      </c>
      <c r="E75" s="27">
        <v>5369438</v>
      </c>
      <c r="F75" s="27">
        <v>74</v>
      </c>
      <c r="G75" s="27" t="s">
        <v>1370</v>
      </c>
      <c r="H75" s="27" t="s">
        <v>589</v>
      </c>
      <c r="I75" s="27">
        <v>36</v>
      </c>
      <c r="J75" s="27" t="s">
        <v>577</v>
      </c>
      <c r="K75" s="27" t="s">
        <v>703</v>
      </c>
      <c r="L75" s="27" t="s">
        <v>1427</v>
      </c>
      <c r="M75" s="27" t="s">
        <v>704</v>
      </c>
      <c r="N75" s="27">
        <v>369</v>
      </c>
      <c r="O75" s="27">
        <v>369</v>
      </c>
      <c r="P75" s="27">
        <v>-83</v>
      </c>
      <c r="Q75" s="27">
        <v>257</v>
      </c>
      <c r="R75" s="27">
        <v>33461</v>
      </c>
      <c r="S75" s="27">
        <v>11</v>
      </c>
      <c r="T75" s="27">
        <v>4389979</v>
      </c>
      <c r="U75" s="27">
        <v>110</v>
      </c>
      <c r="V75" s="27">
        <v>2</v>
      </c>
      <c r="W75" s="27">
        <v>1126</v>
      </c>
      <c r="X75" s="27">
        <v>256</v>
      </c>
      <c r="Y75" s="27">
        <v>1035520017</v>
      </c>
      <c r="Z75" s="27">
        <v>-103</v>
      </c>
      <c r="AA75" s="27">
        <v>1</v>
      </c>
      <c r="AB75" s="27">
        <v>17475777</v>
      </c>
      <c r="AC75" s="27">
        <v>22035</v>
      </c>
      <c r="AD75" s="27">
        <v>3048170224</v>
      </c>
      <c r="AE75" s="27">
        <v>1105712</v>
      </c>
      <c r="AF75" s="27"/>
      <c r="AG75" s="27"/>
    </row>
    <row r="76" spans="1:33" ht="24" customHeight="1" x14ac:dyDescent="0.2">
      <c r="A76" s="27">
        <v>132</v>
      </c>
      <c r="B76" s="29">
        <v>44589.742696759262</v>
      </c>
      <c r="C76" s="27" t="s">
        <v>569</v>
      </c>
      <c r="D76" s="27"/>
      <c r="E76" s="27"/>
      <c r="F76" s="27">
        <v>110</v>
      </c>
      <c r="G76" s="27" t="s">
        <v>1361</v>
      </c>
      <c r="H76" s="27" t="s">
        <v>576</v>
      </c>
      <c r="I76" s="27">
        <v>36</v>
      </c>
      <c r="J76" s="27" t="s">
        <v>577</v>
      </c>
      <c r="K76" s="27" t="s">
        <v>705</v>
      </c>
      <c r="L76" s="27" t="s">
        <v>1427</v>
      </c>
      <c r="M76" s="27" t="s">
        <v>706</v>
      </c>
      <c r="N76" s="27">
        <v>369</v>
      </c>
      <c r="O76" s="27">
        <v>369</v>
      </c>
      <c r="P76" s="27">
        <v>-83</v>
      </c>
      <c r="Q76" s="27">
        <v>257</v>
      </c>
      <c r="R76" s="27">
        <v>33461</v>
      </c>
      <c r="S76" s="27">
        <v>11</v>
      </c>
      <c r="T76" s="27">
        <v>4389979</v>
      </c>
      <c r="U76" s="27">
        <v>110</v>
      </c>
      <c r="V76" s="27">
        <v>2</v>
      </c>
      <c r="W76" s="27">
        <v>1126</v>
      </c>
      <c r="X76" s="27">
        <v>256</v>
      </c>
      <c r="Y76" s="27">
        <v>1035520017</v>
      </c>
      <c r="Z76" s="27">
        <v>-103</v>
      </c>
      <c r="AA76" s="27">
        <v>1</v>
      </c>
      <c r="AB76" s="27">
        <v>17475777</v>
      </c>
      <c r="AC76" s="27">
        <v>22035</v>
      </c>
      <c r="AD76" s="27">
        <v>3048170224</v>
      </c>
      <c r="AE76" s="27">
        <v>1105712</v>
      </c>
      <c r="AF76" s="27" t="s">
        <v>1428</v>
      </c>
      <c r="AG76" s="27" t="s">
        <v>1428</v>
      </c>
    </row>
    <row r="77" spans="1:33" ht="24" customHeight="1" x14ac:dyDescent="0.2">
      <c r="A77" s="27">
        <v>133</v>
      </c>
      <c r="B77" s="29">
        <v>44589.742696759262</v>
      </c>
      <c r="C77" s="27" t="s">
        <v>627</v>
      </c>
      <c r="D77" s="27"/>
      <c r="E77" s="27"/>
      <c r="F77" s="27">
        <v>110</v>
      </c>
      <c r="G77" s="27" t="s">
        <v>1361</v>
      </c>
      <c r="H77" s="27" t="s">
        <v>576</v>
      </c>
      <c r="I77" s="27">
        <v>36</v>
      </c>
      <c r="J77" s="27" t="s">
        <v>577</v>
      </c>
      <c r="K77" s="27" t="s">
        <v>705</v>
      </c>
      <c r="L77" s="27" t="s">
        <v>1427</v>
      </c>
      <c r="M77" s="27" t="s">
        <v>706</v>
      </c>
      <c r="N77" s="27">
        <v>369</v>
      </c>
      <c r="O77" s="27">
        <v>369</v>
      </c>
      <c r="P77" s="27">
        <v>-83</v>
      </c>
      <c r="Q77" s="27">
        <v>257</v>
      </c>
      <c r="R77" s="27">
        <v>33461</v>
      </c>
      <c r="S77" s="27">
        <v>11</v>
      </c>
      <c r="T77" s="27">
        <v>4389979</v>
      </c>
      <c r="U77" s="27">
        <v>110</v>
      </c>
      <c r="V77" s="27">
        <v>2</v>
      </c>
      <c r="W77" s="27">
        <v>1126</v>
      </c>
      <c r="X77" s="27">
        <v>256</v>
      </c>
      <c r="Y77" s="27">
        <v>1035520017</v>
      </c>
      <c r="Z77" s="27">
        <v>-103</v>
      </c>
      <c r="AA77" s="27">
        <v>1</v>
      </c>
      <c r="AB77" s="27">
        <v>17475777</v>
      </c>
      <c r="AC77" s="27">
        <v>22035</v>
      </c>
      <c r="AD77" s="27">
        <v>3048170224</v>
      </c>
      <c r="AE77" s="27">
        <v>1105712</v>
      </c>
      <c r="AF77" s="27" t="s">
        <v>1428</v>
      </c>
      <c r="AG77" s="27" t="s">
        <v>1428</v>
      </c>
    </row>
    <row r="78" spans="1:33" ht="24" customHeight="1" x14ac:dyDescent="0.2">
      <c r="A78" s="27">
        <v>128</v>
      </c>
      <c r="B78" s="29">
        <v>44589.742812500001</v>
      </c>
      <c r="C78" s="27" t="s">
        <v>622</v>
      </c>
      <c r="D78" s="27">
        <v>2504</v>
      </c>
      <c r="E78" s="27">
        <v>5369438</v>
      </c>
      <c r="F78" s="27">
        <v>74</v>
      </c>
      <c r="G78" s="27" t="s">
        <v>1370</v>
      </c>
      <c r="H78" s="27" t="s">
        <v>589</v>
      </c>
      <c r="I78" s="27">
        <v>37</v>
      </c>
      <c r="J78" s="27" t="s">
        <v>577</v>
      </c>
      <c r="K78" s="27" t="s">
        <v>707</v>
      </c>
      <c r="L78" s="27" t="s">
        <v>1429</v>
      </c>
      <c r="M78" s="27" t="s">
        <v>708</v>
      </c>
      <c r="N78" s="27">
        <v>368</v>
      </c>
      <c r="O78" s="27">
        <v>369</v>
      </c>
      <c r="P78" s="27">
        <v>-83</v>
      </c>
      <c r="Q78" s="27">
        <v>257</v>
      </c>
      <c r="R78" s="27">
        <v>33462</v>
      </c>
      <c r="S78" s="27">
        <v>11</v>
      </c>
      <c r="T78" s="27">
        <v>4390073</v>
      </c>
      <c r="U78" s="27">
        <v>110</v>
      </c>
      <c r="V78" s="27">
        <v>2</v>
      </c>
      <c r="W78" s="27">
        <v>1126</v>
      </c>
      <c r="X78" s="27">
        <v>256</v>
      </c>
      <c r="Y78" s="27">
        <v>1035520017</v>
      </c>
      <c r="Z78" s="27">
        <v>-103</v>
      </c>
      <c r="AA78" s="27">
        <v>1</v>
      </c>
      <c r="AB78" s="27">
        <v>17475778</v>
      </c>
      <c r="AC78" s="27">
        <v>22035</v>
      </c>
      <c r="AD78" s="27">
        <v>3048170318</v>
      </c>
      <c r="AE78" s="27">
        <v>1105712</v>
      </c>
      <c r="AF78" s="27"/>
      <c r="AG78" s="27"/>
    </row>
    <row r="79" spans="1:33" ht="24" customHeight="1" x14ac:dyDescent="0.2">
      <c r="A79" s="27">
        <v>129</v>
      </c>
      <c r="B79" s="29">
        <v>44589.742812500001</v>
      </c>
      <c r="C79" s="27" t="s">
        <v>569</v>
      </c>
      <c r="D79" s="27"/>
      <c r="E79" s="27"/>
      <c r="F79" s="27">
        <v>110</v>
      </c>
      <c r="G79" s="27" t="s">
        <v>1361</v>
      </c>
      <c r="H79" s="27" t="s">
        <v>576</v>
      </c>
      <c r="I79" s="27">
        <v>37</v>
      </c>
      <c r="J79" s="27" t="s">
        <v>577</v>
      </c>
      <c r="K79" s="27" t="s">
        <v>709</v>
      </c>
      <c r="L79" s="27" t="s">
        <v>1429</v>
      </c>
      <c r="M79" s="27" t="s">
        <v>710</v>
      </c>
      <c r="N79" s="27">
        <v>368</v>
      </c>
      <c r="O79" s="27">
        <v>369</v>
      </c>
      <c r="P79" s="27">
        <v>-83</v>
      </c>
      <c r="Q79" s="27">
        <v>257</v>
      </c>
      <c r="R79" s="27">
        <v>33462</v>
      </c>
      <c r="S79" s="27">
        <v>11</v>
      </c>
      <c r="T79" s="27">
        <v>4390073</v>
      </c>
      <c r="U79" s="27">
        <v>110</v>
      </c>
      <c r="V79" s="27">
        <v>2</v>
      </c>
      <c r="W79" s="27">
        <v>1126</v>
      </c>
      <c r="X79" s="27">
        <v>256</v>
      </c>
      <c r="Y79" s="27">
        <v>1035520017</v>
      </c>
      <c r="Z79" s="27">
        <v>-103</v>
      </c>
      <c r="AA79" s="27">
        <v>1</v>
      </c>
      <c r="AB79" s="27">
        <v>17475778</v>
      </c>
      <c r="AC79" s="27">
        <v>22035</v>
      </c>
      <c r="AD79" s="27">
        <v>3048170318</v>
      </c>
      <c r="AE79" s="27">
        <v>1105712</v>
      </c>
      <c r="AF79" s="27" t="s">
        <v>1430</v>
      </c>
      <c r="AG79" s="27" t="s">
        <v>1430</v>
      </c>
    </row>
    <row r="80" spans="1:33" ht="24" customHeight="1" x14ac:dyDescent="0.2">
      <c r="A80" s="27">
        <v>130</v>
      </c>
      <c r="B80" s="29">
        <v>44589.742812500001</v>
      </c>
      <c r="C80" s="27" t="s">
        <v>627</v>
      </c>
      <c r="D80" s="27"/>
      <c r="E80" s="27"/>
      <c r="F80" s="27">
        <v>110</v>
      </c>
      <c r="G80" s="27" t="s">
        <v>1361</v>
      </c>
      <c r="H80" s="27" t="s">
        <v>576</v>
      </c>
      <c r="I80" s="27">
        <v>37</v>
      </c>
      <c r="J80" s="27" t="s">
        <v>577</v>
      </c>
      <c r="K80" s="27" t="s">
        <v>709</v>
      </c>
      <c r="L80" s="27" t="s">
        <v>1429</v>
      </c>
      <c r="M80" s="27" t="s">
        <v>710</v>
      </c>
      <c r="N80" s="27">
        <v>368</v>
      </c>
      <c r="O80" s="27">
        <v>369</v>
      </c>
      <c r="P80" s="27">
        <v>-83</v>
      </c>
      <c r="Q80" s="27">
        <v>257</v>
      </c>
      <c r="R80" s="27">
        <v>33462</v>
      </c>
      <c r="S80" s="27">
        <v>11</v>
      </c>
      <c r="T80" s="27">
        <v>4390073</v>
      </c>
      <c r="U80" s="27">
        <v>110</v>
      </c>
      <c r="V80" s="27">
        <v>2</v>
      </c>
      <c r="W80" s="27">
        <v>1126</v>
      </c>
      <c r="X80" s="27">
        <v>256</v>
      </c>
      <c r="Y80" s="27">
        <v>1035520017</v>
      </c>
      <c r="Z80" s="27">
        <v>-103</v>
      </c>
      <c r="AA80" s="27">
        <v>1</v>
      </c>
      <c r="AB80" s="27">
        <v>17475778</v>
      </c>
      <c r="AC80" s="27">
        <v>22035</v>
      </c>
      <c r="AD80" s="27">
        <v>3048170318</v>
      </c>
      <c r="AE80" s="27">
        <v>1105712</v>
      </c>
      <c r="AF80" s="27" t="s">
        <v>1430</v>
      </c>
      <c r="AG80" s="27" t="s">
        <v>1430</v>
      </c>
    </row>
    <row r="81" spans="1:33" ht="24" customHeight="1" x14ac:dyDescent="0.2">
      <c r="A81" s="27">
        <v>126</v>
      </c>
      <c r="B81" s="29">
        <v>44589.742928240739</v>
      </c>
      <c r="C81" s="27" t="s">
        <v>622</v>
      </c>
      <c r="D81" s="27">
        <v>2504</v>
      </c>
      <c r="E81" s="27">
        <v>5369438</v>
      </c>
      <c r="F81" s="27">
        <v>74</v>
      </c>
      <c r="G81" s="27" t="s">
        <v>1370</v>
      </c>
      <c r="H81" s="27" t="s">
        <v>589</v>
      </c>
      <c r="I81" s="27">
        <v>38</v>
      </c>
      <c r="J81" s="27" t="s">
        <v>577</v>
      </c>
      <c r="K81" s="27" t="s">
        <v>711</v>
      </c>
      <c r="L81" s="27" t="s">
        <v>1431</v>
      </c>
      <c r="M81" s="27" t="s">
        <v>712</v>
      </c>
      <c r="N81" s="27">
        <v>368</v>
      </c>
      <c r="O81" s="27">
        <v>369</v>
      </c>
      <c r="P81" s="27">
        <v>-83</v>
      </c>
      <c r="Q81" s="27">
        <v>257</v>
      </c>
      <c r="R81" s="27">
        <v>33463</v>
      </c>
      <c r="S81" s="27">
        <v>11</v>
      </c>
      <c r="T81" s="27">
        <v>4390167</v>
      </c>
      <c r="U81" s="27">
        <v>110</v>
      </c>
      <c r="V81" s="27">
        <v>2</v>
      </c>
      <c r="W81" s="27">
        <v>1126</v>
      </c>
      <c r="X81" s="27">
        <v>256</v>
      </c>
      <c r="Y81" s="27">
        <v>1035520017</v>
      </c>
      <c r="Z81" s="27">
        <v>-108</v>
      </c>
      <c r="AA81" s="27">
        <v>1</v>
      </c>
      <c r="AB81" s="27">
        <v>17475779</v>
      </c>
      <c r="AC81" s="27">
        <v>22035</v>
      </c>
      <c r="AD81" s="27">
        <v>3048170412</v>
      </c>
      <c r="AE81" s="27">
        <v>1105712</v>
      </c>
      <c r="AF81" s="27"/>
      <c r="AG81" s="27"/>
    </row>
    <row r="82" spans="1:33" ht="24" customHeight="1" x14ac:dyDescent="0.2">
      <c r="A82" s="27">
        <v>127</v>
      </c>
      <c r="B82" s="29">
        <v>44589.742928240739</v>
      </c>
      <c r="C82" s="27" t="s">
        <v>627</v>
      </c>
      <c r="D82" s="27"/>
      <c r="E82" s="27"/>
      <c r="F82" s="27">
        <v>110</v>
      </c>
      <c r="G82" s="27" t="s">
        <v>1361</v>
      </c>
      <c r="H82" s="27" t="s">
        <v>576</v>
      </c>
      <c r="I82" s="27">
        <v>38</v>
      </c>
      <c r="J82" s="27" t="s">
        <v>577</v>
      </c>
      <c r="K82" s="27" t="s">
        <v>713</v>
      </c>
      <c r="L82" s="27" t="s">
        <v>1431</v>
      </c>
      <c r="M82" s="27" t="s">
        <v>714</v>
      </c>
      <c r="N82" s="27">
        <v>368</v>
      </c>
      <c r="O82" s="27">
        <v>369</v>
      </c>
      <c r="P82" s="27">
        <v>-83</v>
      </c>
      <c r="Q82" s="27">
        <v>257</v>
      </c>
      <c r="R82" s="27">
        <v>33463</v>
      </c>
      <c r="S82" s="27">
        <v>11</v>
      </c>
      <c r="T82" s="27">
        <v>4390167</v>
      </c>
      <c r="U82" s="27">
        <v>110</v>
      </c>
      <c r="V82" s="27">
        <v>2</v>
      </c>
      <c r="W82" s="27">
        <v>1126</v>
      </c>
      <c r="X82" s="27">
        <v>256</v>
      </c>
      <c r="Y82" s="27">
        <v>1035520017</v>
      </c>
      <c r="Z82" s="27">
        <v>-108</v>
      </c>
      <c r="AA82" s="27">
        <v>1</v>
      </c>
      <c r="AB82" s="27">
        <v>17475779</v>
      </c>
      <c r="AC82" s="27">
        <v>22035</v>
      </c>
      <c r="AD82" s="27">
        <v>3048170412</v>
      </c>
      <c r="AE82" s="27">
        <v>1105712</v>
      </c>
      <c r="AF82" s="27" t="s">
        <v>1432</v>
      </c>
      <c r="AG82" s="27" t="s">
        <v>1432</v>
      </c>
    </row>
    <row r="83" spans="1:33" ht="24" customHeight="1" x14ac:dyDescent="0.2">
      <c r="A83" s="27">
        <v>125</v>
      </c>
      <c r="B83" s="29">
        <v>44589.743043981478</v>
      </c>
      <c r="C83" s="27" t="s">
        <v>622</v>
      </c>
      <c r="D83" s="27">
        <v>2504</v>
      </c>
      <c r="E83" s="27">
        <v>5369438</v>
      </c>
      <c r="F83" s="27">
        <v>74</v>
      </c>
      <c r="G83" s="27" t="s">
        <v>1370</v>
      </c>
      <c r="H83" s="27" t="s">
        <v>589</v>
      </c>
      <c r="I83" s="27">
        <v>39</v>
      </c>
      <c r="J83" s="27" t="s">
        <v>590</v>
      </c>
      <c r="K83" s="27" t="s">
        <v>715</v>
      </c>
      <c r="L83" s="27" t="s">
        <v>1433</v>
      </c>
      <c r="M83" s="27" t="s">
        <v>716</v>
      </c>
      <c r="N83" s="27">
        <v>368</v>
      </c>
      <c r="O83" s="27">
        <v>369</v>
      </c>
      <c r="P83" s="27">
        <v>-83</v>
      </c>
      <c r="Q83" s="27">
        <v>257</v>
      </c>
      <c r="R83" s="27">
        <v>33464</v>
      </c>
      <c r="S83" s="27">
        <v>11</v>
      </c>
      <c r="T83" s="27">
        <v>4390261</v>
      </c>
      <c r="U83" s="27">
        <v>110</v>
      </c>
      <c r="V83" s="27">
        <v>2</v>
      </c>
      <c r="W83" s="27">
        <v>1126</v>
      </c>
      <c r="X83" s="27">
        <v>256</v>
      </c>
      <c r="Y83" s="27">
        <v>1035520017</v>
      </c>
      <c r="Z83" s="27">
        <v>-96</v>
      </c>
      <c r="AA83" s="27">
        <v>1</v>
      </c>
      <c r="AB83" s="27">
        <v>17475780</v>
      </c>
      <c r="AC83" s="27">
        <v>22035</v>
      </c>
      <c r="AD83" s="27">
        <v>3048170506</v>
      </c>
      <c r="AE83" s="27">
        <v>1105712</v>
      </c>
      <c r="AF83" s="27"/>
      <c r="AG83" s="27"/>
    </row>
    <row r="84" spans="1:33" ht="24" customHeight="1" x14ac:dyDescent="0.2">
      <c r="A84" s="27">
        <v>124</v>
      </c>
      <c r="B84" s="29">
        <v>44589.743159722217</v>
      </c>
      <c r="C84" s="27" t="s">
        <v>627</v>
      </c>
      <c r="D84" s="27"/>
      <c r="E84" s="27"/>
      <c r="F84" s="27">
        <v>110</v>
      </c>
      <c r="G84" s="27" t="s">
        <v>1361</v>
      </c>
      <c r="H84" s="27" t="s">
        <v>576</v>
      </c>
      <c r="I84" s="27">
        <v>40</v>
      </c>
      <c r="J84" s="27" t="s">
        <v>577</v>
      </c>
      <c r="K84" s="27" t="s">
        <v>717</v>
      </c>
      <c r="L84" s="27" t="s">
        <v>1434</v>
      </c>
      <c r="M84" s="27" t="s">
        <v>718</v>
      </c>
      <c r="N84" s="27">
        <v>368</v>
      </c>
      <c r="O84" s="27">
        <v>369</v>
      </c>
      <c r="P84" s="27">
        <v>-83</v>
      </c>
      <c r="Q84" s="27">
        <v>257</v>
      </c>
      <c r="R84" s="27">
        <v>33465</v>
      </c>
      <c r="S84" s="27">
        <v>11</v>
      </c>
      <c r="T84" s="27">
        <v>4390355</v>
      </c>
      <c r="U84" s="27">
        <v>110</v>
      </c>
      <c r="V84" s="27">
        <v>2</v>
      </c>
      <c r="W84" s="27">
        <v>1126</v>
      </c>
      <c r="X84" s="27">
        <v>256</v>
      </c>
      <c r="Y84" s="27">
        <v>1035520017</v>
      </c>
      <c r="Z84" s="27">
        <v>-100</v>
      </c>
      <c r="AA84" s="27">
        <v>1</v>
      </c>
      <c r="AB84" s="27">
        <v>17475781</v>
      </c>
      <c r="AC84" s="27">
        <v>22035</v>
      </c>
      <c r="AD84" s="27">
        <v>3048170600</v>
      </c>
      <c r="AE84" s="27">
        <v>1105712</v>
      </c>
      <c r="AF84" s="27" t="s">
        <v>1435</v>
      </c>
      <c r="AG84" s="27" t="s">
        <v>1435</v>
      </c>
    </row>
    <row r="85" spans="1:33" ht="24" customHeight="1" x14ac:dyDescent="0.2">
      <c r="A85" s="27">
        <v>123</v>
      </c>
      <c r="B85" s="29">
        <v>44589.743275462963</v>
      </c>
      <c r="C85" s="27" t="s">
        <v>627</v>
      </c>
      <c r="D85" s="27"/>
      <c r="E85" s="27"/>
      <c r="F85" s="27">
        <v>110</v>
      </c>
      <c r="G85" s="27" t="s">
        <v>1361</v>
      </c>
      <c r="H85" s="27" t="s">
        <v>576</v>
      </c>
      <c r="I85" s="27">
        <v>41</v>
      </c>
      <c r="J85" s="27" t="s">
        <v>577</v>
      </c>
      <c r="K85" s="27" t="s">
        <v>719</v>
      </c>
      <c r="L85" s="27" t="s">
        <v>1436</v>
      </c>
      <c r="M85" s="27" t="s">
        <v>720</v>
      </c>
      <c r="N85" s="27">
        <v>368</v>
      </c>
      <c r="O85" s="27">
        <v>368</v>
      </c>
      <c r="P85" s="27">
        <v>-83</v>
      </c>
      <c r="Q85" s="27">
        <v>257</v>
      </c>
      <c r="R85" s="27">
        <v>33466</v>
      </c>
      <c r="S85" s="27">
        <v>11</v>
      </c>
      <c r="T85" s="27">
        <v>4390449</v>
      </c>
      <c r="U85" s="27">
        <v>110</v>
      </c>
      <c r="V85" s="27">
        <v>2</v>
      </c>
      <c r="W85" s="27">
        <v>1126</v>
      </c>
      <c r="X85" s="27">
        <v>256</v>
      </c>
      <c r="Y85" s="27">
        <v>1035520017</v>
      </c>
      <c r="Z85" s="27">
        <v>-101</v>
      </c>
      <c r="AA85" s="27">
        <v>1</v>
      </c>
      <c r="AB85" s="27">
        <v>17475782</v>
      </c>
      <c r="AC85" s="27">
        <v>22035</v>
      </c>
      <c r="AD85" s="27">
        <v>3048170694</v>
      </c>
      <c r="AE85" s="27">
        <v>1105712</v>
      </c>
      <c r="AF85" s="27" t="s">
        <v>1437</v>
      </c>
      <c r="AG85" s="27" t="s">
        <v>1437</v>
      </c>
    </row>
    <row r="86" spans="1:33" ht="24" customHeight="1" x14ac:dyDescent="0.2">
      <c r="A86" s="27">
        <v>122</v>
      </c>
      <c r="B86" s="29">
        <v>44589.743506944447</v>
      </c>
      <c r="C86" s="27" t="s">
        <v>627</v>
      </c>
      <c r="D86" s="27"/>
      <c r="E86" s="27"/>
      <c r="F86" s="27">
        <v>110</v>
      </c>
      <c r="G86" s="27" t="s">
        <v>1361</v>
      </c>
      <c r="H86" s="27" t="s">
        <v>576</v>
      </c>
      <c r="I86" s="27">
        <v>42</v>
      </c>
      <c r="J86" s="27" t="s">
        <v>577</v>
      </c>
      <c r="K86" s="27" t="s">
        <v>721</v>
      </c>
      <c r="L86" s="27" t="s">
        <v>1438</v>
      </c>
      <c r="M86" s="27" t="s">
        <v>722</v>
      </c>
      <c r="N86" s="27">
        <v>368</v>
      </c>
      <c r="O86" s="27">
        <v>368</v>
      </c>
      <c r="P86" s="27">
        <v>-83</v>
      </c>
      <c r="Q86" s="27">
        <v>257</v>
      </c>
      <c r="R86" s="27">
        <v>33468</v>
      </c>
      <c r="S86" s="27">
        <v>11</v>
      </c>
      <c r="T86" s="27">
        <v>4390637</v>
      </c>
      <c r="U86" s="27">
        <v>110</v>
      </c>
      <c r="V86" s="27">
        <v>2</v>
      </c>
      <c r="W86" s="27">
        <v>1126</v>
      </c>
      <c r="X86" s="27">
        <v>256</v>
      </c>
      <c r="Y86" s="27">
        <v>1035520017</v>
      </c>
      <c r="Z86" s="27">
        <v>-109</v>
      </c>
      <c r="AA86" s="27">
        <v>1</v>
      </c>
      <c r="AB86" s="27">
        <v>17475784</v>
      </c>
      <c r="AC86" s="27">
        <v>22035</v>
      </c>
      <c r="AD86" s="27">
        <v>3048170882</v>
      </c>
      <c r="AE86" s="27">
        <v>1105712</v>
      </c>
      <c r="AF86" s="27" t="s">
        <v>1439</v>
      </c>
      <c r="AG86" s="27" t="s">
        <v>1439</v>
      </c>
    </row>
    <row r="87" spans="1:33" ht="24" customHeight="1" x14ac:dyDescent="0.2">
      <c r="A87" s="27">
        <v>121</v>
      </c>
      <c r="B87" s="29">
        <v>44589.743738425917</v>
      </c>
      <c r="C87" s="27" t="s">
        <v>627</v>
      </c>
      <c r="D87" s="27"/>
      <c r="E87" s="27"/>
      <c r="F87" s="27">
        <v>110</v>
      </c>
      <c r="G87" s="27" t="s">
        <v>1361</v>
      </c>
      <c r="H87" s="27" t="s">
        <v>576</v>
      </c>
      <c r="I87" s="27">
        <v>43</v>
      </c>
      <c r="J87" s="27" t="s">
        <v>577</v>
      </c>
      <c r="K87" s="27" t="s">
        <v>723</v>
      </c>
      <c r="L87" s="27" t="s">
        <v>1440</v>
      </c>
      <c r="M87" s="27" t="s">
        <v>724</v>
      </c>
      <c r="N87" s="27">
        <v>368</v>
      </c>
      <c r="O87" s="27">
        <v>368</v>
      </c>
      <c r="P87" s="27">
        <v>-83</v>
      </c>
      <c r="Q87" s="27">
        <v>257</v>
      </c>
      <c r="R87" s="27">
        <v>33470</v>
      </c>
      <c r="S87" s="27">
        <v>11</v>
      </c>
      <c r="T87" s="27">
        <v>4390825</v>
      </c>
      <c r="U87" s="27">
        <v>110</v>
      </c>
      <c r="V87" s="27">
        <v>2</v>
      </c>
      <c r="W87" s="27">
        <v>1126</v>
      </c>
      <c r="X87" s="27">
        <v>256</v>
      </c>
      <c r="Y87" s="27">
        <v>1035520017</v>
      </c>
      <c r="Z87" s="27">
        <v>-111</v>
      </c>
      <c r="AA87" s="27">
        <v>1</v>
      </c>
      <c r="AB87" s="27">
        <v>17475786</v>
      </c>
      <c r="AC87" s="27">
        <v>22035</v>
      </c>
      <c r="AD87" s="27">
        <v>3048171070</v>
      </c>
      <c r="AE87" s="27">
        <v>1105712</v>
      </c>
      <c r="AF87" s="27" t="s">
        <v>1441</v>
      </c>
      <c r="AG87" s="27" t="s">
        <v>1441</v>
      </c>
    </row>
    <row r="88" spans="1:33" ht="24" customHeight="1" x14ac:dyDescent="0.2">
      <c r="A88" s="27">
        <v>120</v>
      </c>
      <c r="B88" s="29">
        <v>44589.743854166663</v>
      </c>
      <c r="C88" s="27" t="s">
        <v>627</v>
      </c>
      <c r="D88" s="27"/>
      <c r="E88" s="27"/>
      <c r="F88" s="27">
        <v>110</v>
      </c>
      <c r="G88" s="27" t="s">
        <v>1361</v>
      </c>
      <c r="H88" s="27" t="s">
        <v>576</v>
      </c>
      <c r="I88" s="27">
        <v>44</v>
      </c>
      <c r="J88" s="27" t="s">
        <v>577</v>
      </c>
      <c r="K88" s="27" t="s">
        <v>725</v>
      </c>
      <c r="L88" s="27" t="s">
        <v>1442</v>
      </c>
      <c r="M88" s="27" t="s">
        <v>726</v>
      </c>
      <c r="N88" s="27">
        <v>367</v>
      </c>
      <c r="O88" s="27">
        <v>368</v>
      </c>
      <c r="P88" s="27">
        <v>-83</v>
      </c>
      <c r="Q88" s="27">
        <v>257</v>
      </c>
      <c r="R88" s="27">
        <v>33471</v>
      </c>
      <c r="S88" s="27">
        <v>11</v>
      </c>
      <c r="T88" s="27">
        <v>4390919</v>
      </c>
      <c r="U88" s="27">
        <v>110</v>
      </c>
      <c r="V88" s="27">
        <v>2</v>
      </c>
      <c r="W88" s="27">
        <v>1126</v>
      </c>
      <c r="X88" s="27">
        <v>256</v>
      </c>
      <c r="Y88" s="27">
        <v>1035520017</v>
      </c>
      <c r="Z88" s="27">
        <v>-105</v>
      </c>
      <c r="AA88" s="27">
        <v>1</v>
      </c>
      <c r="AB88" s="27">
        <v>17475787</v>
      </c>
      <c r="AC88" s="27">
        <v>22035</v>
      </c>
      <c r="AD88" s="27">
        <v>3048171164</v>
      </c>
      <c r="AE88" s="27">
        <v>1105712</v>
      </c>
      <c r="AF88" s="27" t="s">
        <v>1443</v>
      </c>
      <c r="AG88" s="27" t="s">
        <v>1443</v>
      </c>
    </row>
    <row r="89" spans="1:33" ht="24" customHeight="1" x14ac:dyDescent="0.2">
      <c r="A89" s="27">
        <v>119</v>
      </c>
      <c r="B89" s="29">
        <v>44589.743969907409</v>
      </c>
      <c r="C89" s="27" t="s">
        <v>627</v>
      </c>
      <c r="D89" s="27"/>
      <c r="E89" s="27"/>
      <c r="F89" s="27">
        <v>110</v>
      </c>
      <c r="G89" s="27" t="s">
        <v>1361</v>
      </c>
      <c r="H89" s="27" t="s">
        <v>576</v>
      </c>
      <c r="I89" s="27">
        <v>45</v>
      </c>
      <c r="J89" s="27" t="s">
        <v>577</v>
      </c>
      <c r="K89" s="27" t="s">
        <v>727</v>
      </c>
      <c r="L89" s="27" t="s">
        <v>1444</v>
      </c>
      <c r="M89" s="27" t="s">
        <v>728</v>
      </c>
      <c r="N89" s="27">
        <v>367</v>
      </c>
      <c r="O89" s="27">
        <v>368</v>
      </c>
      <c r="P89" s="27">
        <v>-83</v>
      </c>
      <c r="Q89" s="27">
        <v>257</v>
      </c>
      <c r="R89" s="27">
        <v>33472</v>
      </c>
      <c r="S89" s="27">
        <v>11</v>
      </c>
      <c r="T89" s="27">
        <v>4391013</v>
      </c>
      <c r="U89" s="27">
        <v>110</v>
      </c>
      <c r="V89" s="27">
        <v>2</v>
      </c>
      <c r="W89" s="27">
        <v>1126</v>
      </c>
      <c r="X89" s="27">
        <v>256</v>
      </c>
      <c r="Y89" s="27">
        <v>1035520017</v>
      </c>
      <c r="Z89" s="27">
        <v>-89</v>
      </c>
      <c r="AA89" s="27">
        <v>1</v>
      </c>
      <c r="AB89" s="27">
        <v>17475788</v>
      </c>
      <c r="AC89" s="27">
        <v>22035</v>
      </c>
      <c r="AD89" s="27">
        <v>3048171258</v>
      </c>
      <c r="AE89" s="27">
        <v>1105712</v>
      </c>
      <c r="AF89" s="27" t="s">
        <v>1445</v>
      </c>
      <c r="AG89" s="27" t="s">
        <v>1445</v>
      </c>
    </row>
    <row r="90" spans="1:33" ht="24" customHeight="1" x14ac:dyDescent="0.2">
      <c r="A90" s="27">
        <v>118</v>
      </c>
      <c r="B90" s="29">
        <v>44589.744085648148</v>
      </c>
      <c r="C90" s="27" t="s">
        <v>627</v>
      </c>
      <c r="D90" s="27"/>
      <c r="E90" s="27"/>
      <c r="F90" s="27">
        <v>110</v>
      </c>
      <c r="G90" s="27" t="s">
        <v>1361</v>
      </c>
      <c r="H90" s="27" t="s">
        <v>576</v>
      </c>
      <c r="I90" s="27">
        <v>46</v>
      </c>
      <c r="J90" s="27" t="s">
        <v>577</v>
      </c>
      <c r="K90" s="27" t="s">
        <v>729</v>
      </c>
      <c r="L90" s="27" t="s">
        <v>1446</v>
      </c>
      <c r="M90" s="27" t="s">
        <v>730</v>
      </c>
      <c r="N90" s="27">
        <v>367</v>
      </c>
      <c r="O90" s="27">
        <v>368</v>
      </c>
      <c r="P90" s="27">
        <v>-83</v>
      </c>
      <c r="Q90" s="27">
        <v>257</v>
      </c>
      <c r="R90" s="27">
        <v>33473</v>
      </c>
      <c r="S90" s="27">
        <v>11</v>
      </c>
      <c r="T90" s="27">
        <v>4391107</v>
      </c>
      <c r="U90" s="27">
        <v>110</v>
      </c>
      <c r="V90" s="27">
        <v>2</v>
      </c>
      <c r="W90" s="27">
        <v>1126</v>
      </c>
      <c r="X90" s="27">
        <v>256</v>
      </c>
      <c r="Y90" s="27">
        <v>1035520017</v>
      </c>
      <c r="Z90" s="27">
        <v>-109</v>
      </c>
      <c r="AA90" s="27">
        <v>1</v>
      </c>
      <c r="AB90" s="27">
        <v>17475789</v>
      </c>
      <c r="AC90" s="27">
        <v>22035</v>
      </c>
      <c r="AD90" s="27">
        <v>3048171352</v>
      </c>
      <c r="AE90" s="27">
        <v>1105712</v>
      </c>
      <c r="AF90" s="27" t="s">
        <v>1447</v>
      </c>
      <c r="AG90" s="27" t="s">
        <v>1447</v>
      </c>
    </row>
    <row r="91" spans="1:33" ht="24" customHeight="1" x14ac:dyDescent="0.2">
      <c r="A91" s="27">
        <v>117</v>
      </c>
      <c r="B91" s="29">
        <v>44589.744201388887</v>
      </c>
      <c r="C91" s="27" t="s">
        <v>627</v>
      </c>
      <c r="D91" s="27"/>
      <c r="E91" s="27"/>
      <c r="F91" s="27">
        <v>110</v>
      </c>
      <c r="G91" s="27" t="s">
        <v>1361</v>
      </c>
      <c r="H91" s="27" t="s">
        <v>576</v>
      </c>
      <c r="I91" s="27">
        <v>47</v>
      </c>
      <c r="J91" s="27" t="s">
        <v>577</v>
      </c>
      <c r="K91" s="27" t="s">
        <v>731</v>
      </c>
      <c r="L91" s="27" t="s">
        <v>1448</v>
      </c>
      <c r="M91" s="27" t="s">
        <v>732</v>
      </c>
      <c r="N91" s="27">
        <v>367</v>
      </c>
      <c r="O91" s="27">
        <v>368</v>
      </c>
      <c r="P91" s="27">
        <v>-83</v>
      </c>
      <c r="Q91" s="27">
        <v>257</v>
      </c>
      <c r="R91" s="27">
        <v>33474</v>
      </c>
      <c r="S91" s="27">
        <v>11</v>
      </c>
      <c r="T91" s="27">
        <v>4391201</v>
      </c>
      <c r="U91" s="27">
        <v>110</v>
      </c>
      <c r="V91" s="27">
        <v>2</v>
      </c>
      <c r="W91" s="27">
        <v>1126</v>
      </c>
      <c r="X91" s="27">
        <v>256</v>
      </c>
      <c r="Y91" s="27">
        <v>1035520017</v>
      </c>
      <c r="Z91" s="27">
        <v>-91</v>
      </c>
      <c r="AA91" s="27">
        <v>1</v>
      </c>
      <c r="AB91" s="27">
        <v>17475790</v>
      </c>
      <c r="AC91" s="27">
        <v>22035</v>
      </c>
      <c r="AD91" s="27">
        <v>3048171446</v>
      </c>
      <c r="AE91" s="27">
        <v>1105712</v>
      </c>
      <c r="AF91" s="27" t="s">
        <v>1449</v>
      </c>
      <c r="AG91" s="27" t="s">
        <v>1449</v>
      </c>
    </row>
    <row r="92" spans="1:33" ht="24" customHeight="1" x14ac:dyDescent="0.2">
      <c r="A92" s="27">
        <v>116</v>
      </c>
      <c r="B92" s="29">
        <v>44589.744317129633</v>
      </c>
      <c r="C92" s="27" t="s">
        <v>627</v>
      </c>
      <c r="D92" s="27"/>
      <c r="E92" s="27"/>
      <c r="F92" s="27">
        <v>110</v>
      </c>
      <c r="G92" s="27" t="s">
        <v>1361</v>
      </c>
      <c r="H92" s="27" t="s">
        <v>576</v>
      </c>
      <c r="I92" s="27">
        <v>48</v>
      </c>
      <c r="J92" s="27" t="s">
        <v>577</v>
      </c>
      <c r="K92" s="27" t="s">
        <v>733</v>
      </c>
      <c r="L92" s="27" t="s">
        <v>1450</v>
      </c>
      <c r="M92" s="27" t="s">
        <v>734</v>
      </c>
      <c r="N92" s="27">
        <v>367</v>
      </c>
      <c r="O92" s="27">
        <v>368</v>
      </c>
      <c r="P92" s="27">
        <v>-83</v>
      </c>
      <c r="Q92" s="27">
        <v>257</v>
      </c>
      <c r="R92" s="27">
        <v>33475</v>
      </c>
      <c r="S92" s="27">
        <v>11</v>
      </c>
      <c r="T92" s="27">
        <v>4391295</v>
      </c>
      <c r="U92" s="27">
        <v>110</v>
      </c>
      <c r="V92" s="27">
        <v>2</v>
      </c>
      <c r="W92" s="27">
        <v>1126</v>
      </c>
      <c r="X92" s="27">
        <v>256</v>
      </c>
      <c r="Y92" s="27">
        <v>1035520017</v>
      </c>
      <c r="Z92" s="27">
        <v>-109</v>
      </c>
      <c r="AA92" s="27">
        <v>1</v>
      </c>
      <c r="AB92" s="27">
        <v>17475791</v>
      </c>
      <c r="AC92" s="27">
        <v>22035</v>
      </c>
      <c r="AD92" s="27">
        <v>3048171540</v>
      </c>
      <c r="AE92" s="27">
        <v>1105712</v>
      </c>
      <c r="AF92" s="27" t="s">
        <v>1451</v>
      </c>
      <c r="AG92" s="27" t="s">
        <v>1451</v>
      </c>
    </row>
    <row r="93" spans="1:33" ht="24" customHeight="1" x14ac:dyDescent="0.2">
      <c r="A93" s="27">
        <v>115</v>
      </c>
      <c r="B93" s="29">
        <v>44589.744432870371</v>
      </c>
      <c r="C93" s="27" t="s">
        <v>627</v>
      </c>
      <c r="D93" s="27"/>
      <c r="E93" s="27"/>
      <c r="F93" s="27">
        <v>110</v>
      </c>
      <c r="G93" s="27" t="s">
        <v>1361</v>
      </c>
      <c r="H93" s="27" t="s">
        <v>576</v>
      </c>
      <c r="I93" s="27">
        <v>49</v>
      </c>
      <c r="J93" s="27" t="s">
        <v>577</v>
      </c>
      <c r="K93" s="27" t="s">
        <v>735</v>
      </c>
      <c r="L93" s="27" t="s">
        <v>1452</v>
      </c>
      <c r="M93" s="27" t="s">
        <v>736</v>
      </c>
      <c r="N93" s="27">
        <v>367</v>
      </c>
      <c r="O93" s="27">
        <v>368</v>
      </c>
      <c r="P93" s="27">
        <v>-83</v>
      </c>
      <c r="Q93" s="27">
        <v>257</v>
      </c>
      <c r="R93" s="27">
        <v>33476</v>
      </c>
      <c r="S93" s="27">
        <v>11</v>
      </c>
      <c r="T93" s="27">
        <v>4391389</v>
      </c>
      <c r="U93" s="27">
        <v>110</v>
      </c>
      <c r="V93" s="27">
        <v>2</v>
      </c>
      <c r="W93" s="27">
        <v>1126</v>
      </c>
      <c r="X93" s="27">
        <v>256</v>
      </c>
      <c r="Y93" s="27">
        <v>1035520017</v>
      </c>
      <c r="Z93" s="27">
        <v>-111</v>
      </c>
      <c r="AA93" s="27">
        <v>1</v>
      </c>
      <c r="AB93" s="27">
        <v>17475792</v>
      </c>
      <c r="AC93" s="27">
        <v>22035</v>
      </c>
      <c r="AD93" s="27">
        <v>3048171634</v>
      </c>
      <c r="AE93" s="27">
        <v>1105712</v>
      </c>
      <c r="AF93" s="27" t="s">
        <v>1453</v>
      </c>
      <c r="AG93" s="27" t="s">
        <v>1453</v>
      </c>
    </row>
    <row r="94" spans="1:33" ht="24" customHeight="1" x14ac:dyDescent="0.2">
      <c r="A94" s="27">
        <v>114</v>
      </c>
      <c r="B94" s="29">
        <v>44589.74454861111</v>
      </c>
      <c r="C94" s="27" t="s">
        <v>627</v>
      </c>
      <c r="D94" s="27"/>
      <c r="E94" s="27"/>
      <c r="F94" s="27">
        <v>110</v>
      </c>
      <c r="G94" s="27" t="s">
        <v>1361</v>
      </c>
      <c r="H94" s="27" t="s">
        <v>576</v>
      </c>
      <c r="I94" s="27">
        <v>50</v>
      </c>
      <c r="J94" s="27" t="s">
        <v>577</v>
      </c>
      <c r="K94" s="27" t="s">
        <v>737</v>
      </c>
      <c r="L94" s="27" t="s">
        <v>1454</v>
      </c>
      <c r="M94" s="27" t="s">
        <v>738</v>
      </c>
      <c r="N94" s="27">
        <v>367</v>
      </c>
      <c r="O94" s="27">
        <v>368</v>
      </c>
      <c r="P94" s="27">
        <v>-83</v>
      </c>
      <c r="Q94" s="27">
        <v>257</v>
      </c>
      <c r="R94" s="27">
        <v>33477</v>
      </c>
      <c r="S94" s="27">
        <v>11</v>
      </c>
      <c r="T94" s="27">
        <v>4391483</v>
      </c>
      <c r="U94" s="27">
        <v>110</v>
      </c>
      <c r="V94" s="27">
        <v>2</v>
      </c>
      <c r="W94" s="27">
        <v>1126</v>
      </c>
      <c r="X94" s="27">
        <v>256</v>
      </c>
      <c r="Y94" s="27">
        <v>1035520017</v>
      </c>
      <c r="Z94" s="27">
        <v>-111</v>
      </c>
      <c r="AA94" s="27">
        <v>1</v>
      </c>
      <c r="AB94" s="27">
        <v>17475793</v>
      </c>
      <c r="AC94" s="27">
        <v>22035</v>
      </c>
      <c r="AD94" s="27">
        <v>3048171728</v>
      </c>
      <c r="AE94" s="27">
        <v>1105712</v>
      </c>
      <c r="AF94" s="27" t="s">
        <v>1455</v>
      </c>
      <c r="AG94" s="27" t="s">
        <v>1455</v>
      </c>
    </row>
    <row r="95" spans="1:33" ht="24" customHeight="1" x14ac:dyDescent="0.2">
      <c r="A95" s="27">
        <v>113</v>
      </c>
      <c r="B95" s="29">
        <v>44589.744664351849</v>
      </c>
      <c r="C95" s="27" t="s">
        <v>627</v>
      </c>
      <c r="D95" s="27"/>
      <c r="E95" s="27"/>
      <c r="F95" s="27">
        <v>110</v>
      </c>
      <c r="G95" s="27" t="s">
        <v>1361</v>
      </c>
      <c r="H95" s="27" t="s">
        <v>576</v>
      </c>
      <c r="I95" s="27">
        <v>51</v>
      </c>
      <c r="J95" s="27" t="s">
        <v>577</v>
      </c>
      <c r="K95" s="27" t="s">
        <v>739</v>
      </c>
      <c r="L95" s="27" t="s">
        <v>1456</v>
      </c>
      <c r="M95" s="27" t="s">
        <v>740</v>
      </c>
      <c r="N95" s="27">
        <v>367</v>
      </c>
      <c r="O95" s="27">
        <v>368</v>
      </c>
      <c r="P95" s="27">
        <v>-83</v>
      </c>
      <c r="Q95" s="27">
        <v>257</v>
      </c>
      <c r="R95" s="27">
        <v>33478</v>
      </c>
      <c r="S95" s="27">
        <v>11</v>
      </c>
      <c r="T95" s="27">
        <v>4391577</v>
      </c>
      <c r="U95" s="27">
        <v>110</v>
      </c>
      <c r="V95" s="27">
        <v>2</v>
      </c>
      <c r="W95" s="27">
        <v>1126</v>
      </c>
      <c r="X95" s="27">
        <v>256</v>
      </c>
      <c r="Y95" s="27">
        <v>1035520017</v>
      </c>
      <c r="Z95" s="27">
        <v>-102</v>
      </c>
      <c r="AA95" s="27">
        <v>1</v>
      </c>
      <c r="AB95" s="27">
        <v>17475794</v>
      </c>
      <c r="AC95" s="27">
        <v>22035</v>
      </c>
      <c r="AD95" s="27">
        <v>3048171822</v>
      </c>
      <c r="AE95" s="27">
        <v>1105712</v>
      </c>
      <c r="AF95" s="27" t="s">
        <v>1457</v>
      </c>
      <c r="AG95" s="27" t="s">
        <v>1457</v>
      </c>
    </row>
    <row r="96" spans="1:33" ht="24" customHeight="1" x14ac:dyDescent="0.2">
      <c r="A96" s="27">
        <v>112</v>
      </c>
      <c r="B96" s="29">
        <v>44589.744780092587</v>
      </c>
      <c r="C96" s="27" t="s">
        <v>627</v>
      </c>
      <c r="D96" s="27"/>
      <c r="E96" s="27"/>
      <c r="F96" s="27">
        <v>110</v>
      </c>
      <c r="G96" s="27" t="s">
        <v>1361</v>
      </c>
      <c r="H96" s="27" t="s">
        <v>576</v>
      </c>
      <c r="I96" s="27">
        <v>52</v>
      </c>
      <c r="J96" s="27" t="s">
        <v>577</v>
      </c>
      <c r="K96" s="27" t="s">
        <v>741</v>
      </c>
      <c r="L96" s="27" t="s">
        <v>1458</v>
      </c>
      <c r="M96" s="27" t="s">
        <v>742</v>
      </c>
      <c r="N96" s="27">
        <v>367</v>
      </c>
      <c r="O96" s="27">
        <v>368</v>
      </c>
      <c r="P96" s="27">
        <v>-83</v>
      </c>
      <c r="Q96" s="27">
        <v>257</v>
      </c>
      <c r="R96" s="27">
        <v>33479</v>
      </c>
      <c r="S96" s="27">
        <v>11</v>
      </c>
      <c r="T96" s="27">
        <v>4391671</v>
      </c>
      <c r="U96" s="27">
        <v>110</v>
      </c>
      <c r="V96" s="27">
        <v>2</v>
      </c>
      <c r="W96" s="27">
        <v>1126</v>
      </c>
      <c r="X96" s="27">
        <v>256</v>
      </c>
      <c r="Y96" s="27">
        <v>1035520017</v>
      </c>
      <c r="Z96" s="27">
        <v>-112</v>
      </c>
      <c r="AA96" s="27">
        <v>1</v>
      </c>
      <c r="AB96" s="27">
        <v>17475795</v>
      </c>
      <c r="AC96" s="27">
        <v>22035</v>
      </c>
      <c r="AD96" s="27">
        <v>3048171916</v>
      </c>
      <c r="AE96" s="27">
        <v>1105712</v>
      </c>
      <c r="AF96" s="27" t="s">
        <v>1459</v>
      </c>
      <c r="AG96" s="27" t="s">
        <v>1459</v>
      </c>
    </row>
    <row r="97" spans="1:33" ht="24" customHeight="1" x14ac:dyDescent="0.2">
      <c r="A97" s="27">
        <v>111</v>
      </c>
      <c r="B97" s="29">
        <v>44589.744895833333</v>
      </c>
      <c r="C97" s="27" t="s">
        <v>627</v>
      </c>
      <c r="D97" s="27"/>
      <c r="E97" s="27"/>
      <c r="F97" s="27">
        <v>110</v>
      </c>
      <c r="G97" s="27" t="s">
        <v>1361</v>
      </c>
      <c r="H97" s="27" t="s">
        <v>576</v>
      </c>
      <c r="I97" s="27">
        <v>53</v>
      </c>
      <c r="J97" s="27" t="s">
        <v>577</v>
      </c>
      <c r="K97" s="27" t="s">
        <v>743</v>
      </c>
      <c r="L97" s="27" t="s">
        <v>1460</v>
      </c>
      <c r="M97" s="27" t="s">
        <v>744</v>
      </c>
      <c r="N97" s="27">
        <v>367</v>
      </c>
      <c r="O97" s="27">
        <v>368</v>
      </c>
      <c r="P97" s="27">
        <v>-83</v>
      </c>
      <c r="Q97" s="27">
        <v>257</v>
      </c>
      <c r="R97" s="27">
        <v>33480</v>
      </c>
      <c r="S97" s="27">
        <v>11</v>
      </c>
      <c r="T97" s="27">
        <v>4391765</v>
      </c>
      <c r="U97" s="27">
        <v>110</v>
      </c>
      <c r="V97" s="27">
        <v>2</v>
      </c>
      <c r="W97" s="27">
        <v>1126</v>
      </c>
      <c r="X97" s="27">
        <v>256</v>
      </c>
      <c r="Y97" s="27">
        <v>1035520017</v>
      </c>
      <c r="Z97" s="27">
        <v>-111</v>
      </c>
      <c r="AA97" s="27">
        <v>1</v>
      </c>
      <c r="AB97" s="27">
        <v>17475796</v>
      </c>
      <c r="AC97" s="27">
        <v>22035</v>
      </c>
      <c r="AD97" s="27">
        <v>3048172010</v>
      </c>
      <c r="AE97" s="27">
        <v>1105712</v>
      </c>
      <c r="AF97" s="27" t="s">
        <v>1461</v>
      </c>
      <c r="AG97" s="27" t="s">
        <v>1461</v>
      </c>
    </row>
    <row r="98" spans="1:33" ht="24" customHeight="1" x14ac:dyDescent="0.2">
      <c r="A98" s="27">
        <v>110</v>
      </c>
      <c r="B98" s="29">
        <v>44589.745011574072</v>
      </c>
      <c r="C98" s="27" t="s">
        <v>627</v>
      </c>
      <c r="D98" s="27"/>
      <c r="E98" s="27"/>
      <c r="F98" s="27">
        <v>110</v>
      </c>
      <c r="G98" s="27" t="s">
        <v>1361</v>
      </c>
      <c r="H98" s="27" t="s">
        <v>576</v>
      </c>
      <c r="I98" s="27">
        <v>54</v>
      </c>
      <c r="J98" s="27" t="s">
        <v>577</v>
      </c>
      <c r="K98" s="27" t="s">
        <v>745</v>
      </c>
      <c r="L98" s="27" t="s">
        <v>1462</v>
      </c>
      <c r="M98" s="27" t="s">
        <v>746</v>
      </c>
      <c r="N98" s="27">
        <v>366</v>
      </c>
      <c r="O98" s="27">
        <v>368</v>
      </c>
      <c r="P98" s="27">
        <v>-83</v>
      </c>
      <c r="Q98" s="27">
        <v>257</v>
      </c>
      <c r="R98" s="27">
        <v>33481</v>
      </c>
      <c r="S98" s="27">
        <v>11</v>
      </c>
      <c r="T98" s="27">
        <v>4391859</v>
      </c>
      <c r="U98" s="27">
        <v>110</v>
      </c>
      <c r="V98" s="27">
        <v>2</v>
      </c>
      <c r="W98" s="27">
        <v>1126</v>
      </c>
      <c r="X98" s="27">
        <v>256</v>
      </c>
      <c r="Y98" s="27">
        <v>1035520017</v>
      </c>
      <c r="Z98" s="27">
        <v>-111</v>
      </c>
      <c r="AA98" s="27">
        <v>1</v>
      </c>
      <c r="AB98" s="27">
        <v>17475797</v>
      </c>
      <c r="AC98" s="27">
        <v>22035</v>
      </c>
      <c r="AD98" s="27">
        <v>3048172104</v>
      </c>
      <c r="AE98" s="27">
        <v>1105712</v>
      </c>
      <c r="AF98" s="27" t="s">
        <v>1463</v>
      </c>
      <c r="AG98" s="27" t="s">
        <v>1463</v>
      </c>
    </row>
    <row r="99" spans="1:33" ht="24" customHeight="1" x14ac:dyDescent="0.2">
      <c r="A99" s="27">
        <v>109</v>
      </c>
      <c r="B99" s="29">
        <v>44589.745127314818</v>
      </c>
      <c r="C99" s="27" t="s">
        <v>627</v>
      </c>
      <c r="D99" s="27"/>
      <c r="E99" s="27"/>
      <c r="F99" s="27">
        <v>110</v>
      </c>
      <c r="G99" s="27" t="s">
        <v>1361</v>
      </c>
      <c r="H99" s="27" t="s">
        <v>576</v>
      </c>
      <c r="I99" s="27">
        <v>55</v>
      </c>
      <c r="J99" s="27" t="s">
        <v>577</v>
      </c>
      <c r="K99" s="27" t="s">
        <v>747</v>
      </c>
      <c r="L99" s="27" t="s">
        <v>1464</v>
      </c>
      <c r="M99" s="27" t="s">
        <v>748</v>
      </c>
      <c r="N99" s="27">
        <v>366</v>
      </c>
      <c r="O99" s="27">
        <v>368</v>
      </c>
      <c r="P99" s="27">
        <v>-83</v>
      </c>
      <c r="Q99" s="27">
        <v>257</v>
      </c>
      <c r="R99" s="27">
        <v>33482</v>
      </c>
      <c r="S99" s="27">
        <v>11</v>
      </c>
      <c r="T99" s="27">
        <v>4391953</v>
      </c>
      <c r="U99" s="27">
        <v>110</v>
      </c>
      <c r="V99" s="27">
        <v>2</v>
      </c>
      <c r="W99" s="27">
        <v>1126</v>
      </c>
      <c r="X99" s="27">
        <v>256</v>
      </c>
      <c r="Y99" s="27">
        <v>1035520017</v>
      </c>
      <c r="Z99" s="27">
        <v>-112</v>
      </c>
      <c r="AA99" s="27">
        <v>1</v>
      </c>
      <c r="AB99" s="27">
        <v>17475798</v>
      </c>
      <c r="AC99" s="27">
        <v>22035</v>
      </c>
      <c r="AD99" s="27">
        <v>3048172198</v>
      </c>
      <c r="AE99" s="27">
        <v>1105712</v>
      </c>
      <c r="AF99" s="27" t="s">
        <v>1465</v>
      </c>
      <c r="AG99" s="27" t="s">
        <v>1465</v>
      </c>
    </row>
    <row r="100" spans="1:33" ht="24" customHeight="1" x14ac:dyDescent="0.2">
      <c r="A100" s="27">
        <v>108</v>
      </c>
      <c r="B100" s="29">
        <v>44589.745254629634</v>
      </c>
      <c r="C100" s="27" t="s">
        <v>627</v>
      </c>
      <c r="D100" s="27"/>
      <c r="E100" s="27"/>
      <c r="F100" s="27">
        <v>110</v>
      </c>
      <c r="G100" s="27" t="s">
        <v>1361</v>
      </c>
      <c r="H100" s="27" t="s">
        <v>576</v>
      </c>
      <c r="I100" s="27">
        <v>56</v>
      </c>
      <c r="J100" s="27" t="s">
        <v>577</v>
      </c>
      <c r="K100" s="27" t="s">
        <v>749</v>
      </c>
      <c r="L100" s="27" t="s">
        <v>1466</v>
      </c>
      <c r="M100" s="27" t="s">
        <v>750</v>
      </c>
      <c r="N100" s="27">
        <v>366</v>
      </c>
      <c r="O100" s="27">
        <v>368</v>
      </c>
      <c r="P100" s="27">
        <v>-83</v>
      </c>
      <c r="Q100" s="27">
        <v>257</v>
      </c>
      <c r="R100" s="27">
        <v>33483</v>
      </c>
      <c r="S100" s="27">
        <v>11</v>
      </c>
      <c r="T100" s="27">
        <v>4392047</v>
      </c>
      <c r="U100" s="27">
        <v>110</v>
      </c>
      <c r="V100" s="27">
        <v>2</v>
      </c>
      <c r="W100" s="27">
        <v>1126</v>
      </c>
      <c r="X100" s="27">
        <v>256</v>
      </c>
      <c r="Y100" s="27">
        <v>1035520017</v>
      </c>
      <c r="Z100" s="27">
        <v>-114</v>
      </c>
      <c r="AA100" s="27">
        <v>1</v>
      </c>
      <c r="AB100" s="27">
        <v>17475799</v>
      </c>
      <c r="AC100" s="27">
        <v>22035</v>
      </c>
      <c r="AD100" s="27">
        <v>3048172292</v>
      </c>
      <c r="AE100" s="27">
        <v>1105712</v>
      </c>
      <c r="AF100" s="27" t="s">
        <v>1467</v>
      </c>
      <c r="AG100" s="27" t="s">
        <v>1467</v>
      </c>
    </row>
    <row r="101" spans="1:33" ht="24" customHeight="1" x14ac:dyDescent="0.2">
      <c r="A101" s="27">
        <v>107</v>
      </c>
      <c r="B101" s="29">
        <v>44589.745358796303</v>
      </c>
      <c r="C101" s="27" t="s">
        <v>627</v>
      </c>
      <c r="D101" s="27"/>
      <c r="E101" s="27"/>
      <c r="F101" s="27">
        <v>110</v>
      </c>
      <c r="G101" s="27" t="s">
        <v>1361</v>
      </c>
      <c r="H101" s="27" t="s">
        <v>576</v>
      </c>
      <c r="I101" s="27">
        <v>57</v>
      </c>
      <c r="J101" s="27" t="s">
        <v>577</v>
      </c>
      <c r="K101" s="27" t="s">
        <v>751</v>
      </c>
      <c r="L101" s="27" t="s">
        <v>1468</v>
      </c>
      <c r="M101" s="27" t="s">
        <v>752</v>
      </c>
      <c r="N101" s="27">
        <v>367</v>
      </c>
      <c r="O101" s="27">
        <v>370</v>
      </c>
      <c r="P101" s="27">
        <v>-83</v>
      </c>
      <c r="Q101" s="27">
        <v>257</v>
      </c>
      <c r="R101" s="27">
        <v>33484</v>
      </c>
      <c r="S101" s="27">
        <v>11</v>
      </c>
      <c r="T101" s="27">
        <v>4392141</v>
      </c>
      <c r="U101" s="27">
        <v>110</v>
      </c>
      <c r="V101" s="27">
        <v>2</v>
      </c>
      <c r="W101" s="27">
        <v>1126</v>
      </c>
      <c r="X101" s="27">
        <v>256</v>
      </c>
      <c r="Y101" s="27">
        <v>1035520017</v>
      </c>
      <c r="Z101" s="27">
        <v>-113</v>
      </c>
      <c r="AA101" s="27">
        <v>1</v>
      </c>
      <c r="AB101" s="27">
        <v>17475800</v>
      </c>
      <c r="AC101" s="27">
        <v>22035</v>
      </c>
      <c r="AD101" s="27">
        <v>3048172386</v>
      </c>
      <c r="AE101" s="27">
        <v>1105712</v>
      </c>
      <c r="AF101" s="27" t="s">
        <v>1469</v>
      </c>
      <c r="AG101" s="27" t="s">
        <v>1469</v>
      </c>
    </row>
    <row r="102" spans="1:33" ht="24" customHeight="1" x14ac:dyDescent="0.2">
      <c r="A102" s="27">
        <v>106</v>
      </c>
      <c r="B102" s="29">
        <v>44589.745474537027</v>
      </c>
      <c r="C102" s="27" t="s">
        <v>627</v>
      </c>
      <c r="D102" s="27"/>
      <c r="E102" s="27"/>
      <c r="F102" s="27">
        <v>110</v>
      </c>
      <c r="G102" s="27" t="s">
        <v>1361</v>
      </c>
      <c r="H102" s="27" t="s">
        <v>576</v>
      </c>
      <c r="I102" s="27">
        <v>58</v>
      </c>
      <c r="J102" s="27" t="s">
        <v>577</v>
      </c>
      <c r="K102" s="27" t="s">
        <v>753</v>
      </c>
      <c r="L102" s="27" t="s">
        <v>1470</v>
      </c>
      <c r="M102" s="27" t="s">
        <v>754</v>
      </c>
      <c r="N102" s="27">
        <v>367</v>
      </c>
      <c r="O102" s="27">
        <v>368</v>
      </c>
      <c r="P102" s="27">
        <v>-83</v>
      </c>
      <c r="Q102" s="27">
        <v>257</v>
      </c>
      <c r="R102" s="27">
        <v>33485</v>
      </c>
      <c r="S102" s="27">
        <v>11</v>
      </c>
      <c r="T102" s="27">
        <v>4392235</v>
      </c>
      <c r="U102" s="27">
        <v>110</v>
      </c>
      <c r="V102" s="27">
        <v>2</v>
      </c>
      <c r="W102" s="27">
        <v>1126</v>
      </c>
      <c r="X102" s="27">
        <v>256</v>
      </c>
      <c r="Y102" s="27">
        <v>1035520017</v>
      </c>
      <c r="Z102" s="27">
        <v>-115</v>
      </c>
      <c r="AA102" s="27">
        <v>1</v>
      </c>
      <c r="AB102" s="27">
        <v>17475801</v>
      </c>
      <c r="AC102" s="27">
        <v>22035</v>
      </c>
      <c r="AD102" s="27">
        <v>3048172480</v>
      </c>
      <c r="AE102" s="27">
        <v>1105712</v>
      </c>
      <c r="AF102" s="27" t="s">
        <v>1471</v>
      </c>
      <c r="AG102" s="27" t="s">
        <v>1471</v>
      </c>
    </row>
    <row r="103" spans="1:33" ht="24" customHeight="1" x14ac:dyDescent="0.2">
      <c r="A103" s="27">
        <v>105</v>
      </c>
      <c r="B103" s="29">
        <v>44589.745821759258</v>
      </c>
      <c r="C103" s="27" t="s">
        <v>627</v>
      </c>
      <c r="D103" s="27"/>
      <c r="E103" s="27"/>
      <c r="F103" s="27">
        <v>110</v>
      </c>
      <c r="G103" s="27" t="s">
        <v>1361</v>
      </c>
      <c r="H103" s="27" t="s">
        <v>576</v>
      </c>
      <c r="I103" s="27">
        <v>59</v>
      </c>
      <c r="J103" s="27" t="s">
        <v>577</v>
      </c>
      <c r="K103" s="27" t="s">
        <v>755</v>
      </c>
      <c r="L103" s="27" t="s">
        <v>1472</v>
      </c>
      <c r="M103" s="27" t="s">
        <v>756</v>
      </c>
      <c r="N103" s="27">
        <v>367</v>
      </c>
      <c r="O103" s="27">
        <v>370</v>
      </c>
      <c r="P103" s="27">
        <v>-83</v>
      </c>
      <c r="Q103" s="27">
        <v>257</v>
      </c>
      <c r="R103" s="27">
        <v>33488</v>
      </c>
      <c r="S103" s="27">
        <v>11</v>
      </c>
      <c r="T103" s="27">
        <v>4392517</v>
      </c>
      <c r="U103" s="27">
        <v>110</v>
      </c>
      <c r="V103" s="27">
        <v>2</v>
      </c>
      <c r="W103" s="27">
        <v>1126</v>
      </c>
      <c r="X103" s="27">
        <v>256</v>
      </c>
      <c r="Y103" s="27">
        <v>1035520017</v>
      </c>
      <c r="Z103" s="27">
        <v>-102</v>
      </c>
      <c r="AA103" s="27">
        <v>1</v>
      </c>
      <c r="AB103" s="27">
        <v>17475804</v>
      </c>
      <c r="AC103" s="27">
        <v>22035</v>
      </c>
      <c r="AD103" s="27">
        <v>3048172762</v>
      </c>
      <c r="AE103" s="27">
        <v>1105712</v>
      </c>
      <c r="AF103" s="27" t="s">
        <v>1473</v>
      </c>
      <c r="AG103" s="27" t="s">
        <v>1473</v>
      </c>
    </row>
    <row r="104" spans="1:33" ht="24" customHeight="1" x14ac:dyDescent="0.2">
      <c r="A104" s="27">
        <v>104</v>
      </c>
      <c r="B104" s="29">
        <v>44589.745937500003</v>
      </c>
      <c r="C104" s="27" t="s">
        <v>627</v>
      </c>
      <c r="D104" s="27"/>
      <c r="E104" s="27"/>
      <c r="F104" s="27">
        <v>110</v>
      </c>
      <c r="G104" s="27" t="s">
        <v>1361</v>
      </c>
      <c r="H104" s="27" t="s">
        <v>576</v>
      </c>
      <c r="I104" s="27">
        <v>60</v>
      </c>
      <c r="J104" s="27" t="s">
        <v>577</v>
      </c>
      <c r="K104" s="27" t="s">
        <v>757</v>
      </c>
      <c r="L104" s="27" t="s">
        <v>1474</v>
      </c>
      <c r="M104" s="27" t="s">
        <v>758</v>
      </c>
      <c r="N104" s="27">
        <v>367</v>
      </c>
      <c r="O104" s="27">
        <v>369</v>
      </c>
      <c r="P104" s="27">
        <v>-83</v>
      </c>
      <c r="Q104" s="27">
        <v>257</v>
      </c>
      <c r="R104" s="27">
        <v>33489</v>
      </c>
      <c r="S104" s="27">
        <v>11</v>
      </c>
      <c r="T104" s="27">
        <v>4392611</v>
      </c>
      <c r="U104" s="27">
        <v>110</v>
      </c>
      <c r="V104" s="27">
        <v>2</v>
      </c>
      <c r="W104" s="27">
        <v>1126</v>
      </c>
      <c r="X104" s="27">
        <v>256</v>
      </c>
      <c r="Y104" s="27">
        <v>1035520017</v>
      </c>
      <c r="Z104" s="27">
        <v>-107</v>
      </c>
      <c r="AA104" s="27">
        <v>1</v>
      </c>
      <c r="AB104" s="27">
        <v>17475805</v>
      </c>
      <c r="AC104" s="27">
        <v>22035</v>
      </c>
      <c r="AD104" s="27">
        <v>3048172856</v>
      </c>
      <c r="AE104" s="27">
        <v>1105712</v>
      </c>
      <c r="AF104" s="27" t="s">
        <v>1475</v>
      </c>
      <c r="AG104" s="27" t="s">
        <v>1475</v>
      </c>
    </row>
    <row r="105" spans="1:33" ht="24" customHeight="1" x14ac:dyDescent="0.2">
      <c r="A105" s="27">
        <v>103</v>
      </c>
      <c r="B105" s="29">
        <v>44589.746053240742</v>
      </c>
      <c r="C105" s="27" t="s">
        <v>627</v>
      </c>
      <c r="D105" s="27"/>
      <c r="E105" s="27"/>
      <c r="F105" s="27">
        <v>110</v>
      </c>
      <c r="G105" s="27" t="s">
        <v>1361</v>
      </c>
      <c r="H105" s="27" t="s">
        <v>576</v>
      </c>
      <c r="I105" s="27">
        <v>61</v>
      </c>
      <c r="J105" s="27" t="s">
        <v>577</v>
      </c>
      <c r="K105" s="27" t="s">
        <v>759</v>
      </c>
      <c r="L105" s="27" t="s">
        <v>1476</v>
      </c>
      <c r="M105" s="27" t="s">
        <v>760</v>
      </c>
      <c r="N105" s="27">
        <v>367</v>
      </c>
      <c r="O105" s="27">
        <v>369</v>
      </c>
      <c r="P105" s="27">
        <v>-83</v>
      </c>
      <c r="Q105" s="27">
        <v>257</v>
      </c>
      <c r="R105" s="27">
        <v>33490</v>
      </c>
      <c r="S105" s="27">
        <v>11</v>
      </c>
      <c r="T105" s="27">
        <v>4392705</v>
      </c>
      <c r="U105" s="27">
        <v>110</v>
      </c>
      <c r="V105" s="27">
        <v>2</v>
      </c>
      <c r="W105" s="27">
        <v>1126</v>
      </c>
      <c r="X105" s="27">
        <v>256</v>
      </c>
      <c r="Y105" s="27">
        <v>1035520017</v>
      </c>
      <c r="Z105" s="27">
        <v>-114</v>
      </c>
      <c r="AA105" s="27">
        <v>1</v>
      </c>
      <c r="AB105" s="27">
        <v>17475806</v>
      </c>
      <c r="AC105" s="27">
        <v>22035</v>
      </c>
      <c r="AD105" s="27">
        <v>3048172950</v>
      </c>
      <c r="AE105" s="27">
        <v>1105712</v>
      </c>
      <c r="AF105" s="27" t="s">
        <v>1477</v>
      </c>
      <c r="AG105" s="27" t="s">
        <v>1477</v>
      </c>
    </row>
  </sheetData>
  <mergeCells count="2">
    <mergeCell ref="A3:AG4"/>
    <mergeCell ref="A1:AG2"/>
  </mergeCell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8" tint="-0.499984740745262"/>
  </sheetPr>
  <dimension ref="A1:AB66"/>
  <sheetViews>
    <sheetView workbookViewId="0">
      <selection sqref="A1:AB2"/>
    </sheetView>
  </sheetViews>
  <sheetFormatPr defaultRowHeight="15" x14ac:dyDescent="0.2"/>
  <cols>
    <col min="1" max="4" width="20.984375" customWidth="1"/>
    <col min="5" max="5" width="27.98046875" customWidth="1"/>
    <col min="6" max="8" width="20.984375" customWidth="1"/>
    <col min="9" max="10" width="39.953125" customWidth="1"/>
    <col min="11" max="28" width="20.984375" customWidth="1"/>
  </cols>
  <sheetData>
    <row r="1" spans="1:28" ht="24" customHeight="1" x14ac:dyDescent="0.2">
      <c r="A1" s="104" t="s">
        <v>1478</v>
      </c>
      <c r="B1" s="80"/>
      <c r="C1" s="80"/>
      <c r="D1" s="80"/>
      <c r="E1" s="80"/>
      <c r="F1" s="80"/>
      <c r="G1" s="80"/>
      <c r="H1" s="80"/>
      <c r="I1" s="80"/>
      <c r="J1" s="80"/>
      <c r="K1" s="80"/>
      <c r="L1" s="80"/>
      <c r="M1" s="80"/>
      <c r="N1" s="80"/>
      <c r="O1" s="80"/>
      <c r="P1" s="80"/>
      <c r="Q1" s="80"/>
      <c r="R1" s="80"/>
      <c r="S1" s="80"/>
      <c r="T1" s="80"/>
      <c r="U1" s="80"/>
      <c r="V1" s="80"/>
      <c r="W1" s="80"/>
      <c r="X1" s="80"/>
      <c r="Y1" s="80"/>
      <c r="Z1" s="80"/>
      <c r="AA1" s="80"/>
      <c r="AB1" s="80"/>
    </row>
    <row r="2" spans="1:28" ht="24" customHeight="1" x14ac:dyDescent="0.2">
      <c r="A2" s="80"/>
      <c r="B2" s="80"/>
      <c r="C2" s="80"/>
      <c r="D2" s="80"/>
      <c r="E2" s="80"/>
      <c r="F2" s="80"/>
      <c r="G2" s="80"/>
      <c r="H2" s="80"/>
      <c r="I2" s="80"/>
      <c r="J2" s="80"/>
      <c r="K2" s="80"/>
      <c r="L2" s="80"/>
      <c r="M2" s="80"/>
      <c r="N2" s="80"/>
      <c r="O2" s="80"/>
      <c r="P2" s="80"/>
      <c r="Q2" s="80"/>
      <c r="R2" s="80"/>
      <c r="S2" s="80"/>
      <c r="T2" s="80"/>
      <c r="U2" s="80"/>
      <c r="V2" s="80"/>
      <c r="W2" s="80"/>
      <c r="X2" s="80"/>
      <c r="Y2" s="80"/>
      <c r="Z2" s="80"/>
      <c r="AA2" s="80"/>
      <c r="AB2" s="80"/>
    </row>
    <row r="3" spans="1:28" ht="24.95" customHeight="1" x14ac:dyDescent="0.2">
      <c r="A3" s="103" t="s">
        <v>1479</v>
      </c>
      <c r="B3" s="80"/>
      <c r="C3" s="80"/>
      <c r="D3" s="80"/>
      <c r="E3" s="80"/>
      <c r="F3" s="80"/>
      <c r="G3" s="80"/>
      <c r="H3" s="80"/>
      <c r="I3" s="80"/>
      <c r="J3" s="80"/>
      <c r="K3" s="80"/>
      <c r="L3" s="80"/>
      <c r="M3" s="80"/>
      <c r="N3" s="80"/>
      <c r="O3" s="80"/>
      <c r="P3" s="80"/>
      <c r="Q3" s="80"/>
      <c r="R3" s="80"/>
      <c r="S3" s="80"/>
      <c r="T3" s="80"/>
      <c r="U3" s="80"/>
      <c r="V3" s="80"/>
      <c r="W3" s="80"/>
      <c r="X3" s="80"/>
      <c r="Y3" s="80"/>
      <c r="Z3" s="80"/>
      <c r="AA3" s="80"/>
      <c r="AB3" s="80"/>
    </row>
    <row r="4" spans="1:28" ht="24.95" customHeight="1" x14ac:dyDescent="0.2">
      <c r="A4" s="80"/>
      <c r="B4" s="80"/>
      <c r="C4" s="80"/>
      <c r="D4" s="80"/>
      <c r="E4" s="80"/>
      <c r="F4" s="80"/>
      <c r="G4" s="80"/>
      <c r="H4" s="80"/>
      <c r="I4" s="80"/>
      <c r="J4" s="80"/>
      <c r="K4" s="80"/>
      <c r="L4" s="80"/>
      <c r="M4" s="80"/>
      <c r="N4" s="80"/>
      <c r="O4" s="80"/>
      <c r="P4" s="80"/>
      <c r="Q4" s="80"/>
      <c r="R4" s="80"/>
      <c r="S4" s="80"/>
      <c r="T4" s="80"/>
      <c r="U4" s="80"/>
      <c r="V4" s="80"/>
      <c r="W4" s="80"/>
      <c r="X4" s="80"/>
      <c r="Y4" s="80"/>
      <c r="Z4" s="80"/>
      <c r="AA4" s="80"/>
      <c r="AB4" s="80"/>
    </row>
    <row r="5" spans="1:28" ht="57.95" customHeight="1" x14ac:dyDescent="0.2">
      <c r="A5" s="28" t="s">
        <v>806</v>
      </c>
      <c r="B5" s="28" t="s">
        <v>554</v>
      </c>
      <c r="C5" s="28" t="s">
        <v>1480</v>
      </c>
      <c r="D5" s="28" t="s">
        <v>1481</v>
      </c>
      <c r="E5" s="28" t="s">
        <v>1482</v>
      </c>
      <c r="F5" s="28" t="s">
        <v>1483</v>
      </c>
      <c r="G5" s="28" t="s">
        <v>1484</v>
      </c>
      <c r="H5" s="28" t="s">
        <v>1485</v>
      </c>
      <c r="I5" s="28" t="s">
        <v>1486</v>
      </c>
      <c r="J5" s="28" t="s">
        <v>1487</v>
      </c>
      <c r="K5" s="28" t="s">
        <v>830</v>
      </c>
      <c r="L5" s="28" t="s">
        <v>831</v>
      </c>
      <c r="M5" s="28" t="s">
        <v>832</v>
      </c>
      <c r="N5" s="28" t="s">
        <v>833</v>
      </c>
      <c r="O5" s="28" t="s">
        <v>834</v>
      </c>
      <c r="P5" s="28" t="s">
        <v>835</v>
      </c>
      <c r="Q5" s="28" t="s">
        <v>836</v>
      </c>
      <c r="R5" s="28" t="s">
        <v>837</v>
      </c>
      <c r="S5" s="28" t="s">
        <v>838</v>
      </c>
      <c r="T5" s="28" t="s">
        <v>839</v>
      </c>
      <c r="U5" s="28" t="s">
        <v>840</v>
      </c>
      <c r="V5" s="28" t="s">
        <v>841</v>
      </c>
      <c r="W5" s="28" t="s">
        <v>842</v>
      </c>
      <c r="X5" s="28" t="s">
        <v>843</v>
      </c>
      <c r="Y5" s="28" t="s">
        <v>844</v>
      </c>
      <c r="Z5" s="28" t="s">
        <v>845</v>
      </c>
      <c r="AA5" s="28" t="s">
        <v>846</v>
      </c>
      <c r="AB5" s="28" t="s">
        <v>847</v>
      </c>
    </row>
    <row r="6" spans="1:28" ht="24" customHeight="1" x14ac:dyDescent="0.2">
      <c r="A6" s="27">
        <v>1</v>
      </c>
      <c r="B6" s="29">
        <v>44589.738067129627</v>
      </c>
      <c r="C6" s="27">
        <f t="shared" ref="C6:C37" si="0">ROUND((B6-$B$6)*86400,0)</f>
        <v>0</v>
      </c>
      <c r="D6" s="27">
        <v>203</v>
      </c>
      <c r="E6" s="27" t="s">
        <v>577</v>
      </c>
      <c r="F6" s="27">
        <v>1</v>
      </c>
      <c r="G6" s="27">
        <v>1</v>
      </c>
      <c r="H6" s="27">
        <v>0</v>
      </c>
      <c r="I6" s="27" t="s">
        <v>1362</v>
      </c>
      <c r="J6" s="27" t="s">
        <v>569</v>
      </c>
      <c r="K6" s="27">
        <v>388</v>
      </c>
      <c r="L6" s="27">
        <v>388</v>
      </c>
      <c r="M6" s="27">
        <v>-83</v>
      </c>
      <c r="N6" s="27">
        <v>257</v>
      </c>
      <c r="O6" s="27">
        <v>33421</v>
      </c>
      <c r="P6" s="27">
        <v>11</v>
      </c>
      <c r="Q6" s="27">
        <v>4386219</v>
      </c>
      <c r="R6" s="27">
        <v>110</v>
      </c>
      <c r="S6" s="27">
        <v>2</v>
      </c>
      <c r="T6" s="27">
        <v>1126</v>
      </c>
      <c r="U6" s="27">
        <v>256</v>
      </c>
      <c r="V6" s="27">
        <v>1035520017</v>
      </c>
      <c r="W6" s="27">
        <v>-110</v>
      </c>
      <c r="X6" s="27">
        <v>1</v>
      </c>
      <c r="Y6" s="27">
        <v>17475737</v>
      </c>
      <c r="Z6" s="27">
        <v>22035</v>
      </c>
      <c r="AA6" s="27">
        <v>3048166464</v>
      </c>
      <c r="AB6" s="27">
        <v>1105712</v>
      </c>
    </row>
    <row r="7" spans="1:28" ht="24" customHeight="1" x14ac:dyDescent="0.2">
      <c r="A7" s="27">
        <v>2</v>
      </c>
      <c r="B7" s="29">
        <v>44589.73841435185</v>
      </c>
      <c r="C7" s="27">
        <f t="shared" si="0"/>
        <v>30</v>
      </c>
      <c r="D7" s="27">
        <v>202</v>
      </c>
      <c r="E7" s="27" t="s">
        <v>577</v>
      </c>
      <c r="F7" s="27">
        <v>1</v>
      </c>
      <c r="G7" s="27">
        <v>1</v>
      </c>
      <c r="H7" s="27">
        <v>0</v>
      </c>
      <c r="I7" s="27" t="s">
        <v>1364</v>
      </c>
      <c r="J7" s="27" t="s">
        <v>569</v>
      </c>
      <c r="K7" s="27">
        <v>386</v>
      </c>
      <c r="L7" s="27">
        <v>386</v>
      </c>
      <c r="M7" s="27">
        <v>-83</v>
      </c>
      <c r="N7" s="27">
        <v>257</v>
      </c>
      <c r="O7" s="27">
        <v>33424</v>
      </c>
      <c r="P7" s="27">
        <v>11</v>
      </c>
      <c r="Q7" s="27">
        <v>4386501</v>
      </c>
      <c r="R7" s="27">
        <v>110</v>
      </c>
      <c r="S7" s="27">
        <v>2</v>
      </c>
      <c r="T7" s="27">
        <v>1126</v>
      </c>
      <c r="U7" s="27">
        <v>256</v>
      </c>
      <c r="V7" s="27">
        <v>1035520017</v>
      </c>
      <c r="W7" s="27">
        <v>-115</v>
      </c>
      <c r="X7" s="27">
        <v>1</v>
      </c>
      <c r="Y7" s="27">
        <v>17475740</v>
      </c>
      <c r="Z7" s="27">
        <v>22035</v>
      </c>
      <c r="AA7" s="27">
        <v>3048166746</v>
      </c>
      <c r="AB7" s="27">
        <v>1105712</v>
      </c>
    </row>
    <row r="8" spans="1:28" ht="24" customHeight="1" x14ac:dyDescent="0.2">
      <c r="A8" s="27">
        <v>3</v>
      </c>
      <c r="B8" s="29">
        <v>44589.738541666673</v>
      </c>
      <c r="C8" s="27">
        <f t="shared" si="0"/>
        <v>41</v>
      </c>
      <c r="D8" s="27">
        <v>201</v>
      </c>
      <c r="E8" s="27" t="s">
        <v>577</v>
      </c>
      <c r="F8" s="27">
        <v>1</v>
      </c>
      <c r="G8" s="27">
        <v>1</v>
      </c>
      <c r="H8" s="27">
        <v>0</v>
      </c>
      <c r="I8" s="27" t="s">
        <v>1366</v>
      </c>
      <c r="J8" s="27" t="s">
        <v>569</v>
      </c>
      <c r="K8" s="27">
        <v>385</v>
      </c>
      <c r="L8" s="27">
        <v>385</v>
      </c>
      <c r="M8" s="27">
        <v>-83</v>
      </c>
      <c r="N8" s="27">
        <v>257</v>
      </c>
      <c r="O8" s="27">
        <v>33425</v>
      </c>
      <c r="P8" s="27">
        <v>11</v>
      </c>
      <c r="Q8" s="27">
        <v>4386595</v>
      </c>
      <c r="R8" s="27">
        <v>110</v>
      </c>
      <c r="S8" s="27">
        <v>2</v>
      </c>
      <c r="T8" s="27">
        <v>1126</v>
      </c>
      <c r="U8" s="27">
        <v>256</v>
      </c>
      <c r="V8" s="27">
        <v>1035520017</v>
      </c>
      <c r="W8" s="27">
        <v>-115</v>
      </c>
      <c r="X8" s="27">
        <v>1</v>
      </c>
      <c r="Y8" s="27">
        <v>17475741</v>
      </c>
      <c r="Z8" s="27">
        <v>22035</v>
      </c>
      <c r="AA8" s="27">
        <v>3048166840</v>
      </c>
      <c r="AB8" s="27">
        <v>1105712</v>
      </c>
    </row>
    <row r="9" spans="1:28" ht="24" customHeight="1" x14ac:dyDescent="0.2">
      <c r="A9" s="27">
        <v>4</v>
      </c>
      <c r="B9" s="29">
        <v>44589.738645833328</v>
      </c>
      <c r="C9" s="27">
        <f t="shared" si="0"/>
        <v>50</v>
      </c>
      <c r="D9" s="27">
        <v>200</v>
      </c>
      <c r="E9" s="27" t="s">
        <v>577</v>
      </c>
      <c r="F9" s="27">
        <v>1</v>
      </c>
      <c r="G9" s="27">
        <v>1</v>
      </c>
      <c r="H9" s="27">
        <v>0</v>
      </c>
      <c r="I9" s="27" t="s">
        <v>1368</v>
      </c>
      <c r="J9" s="27" t="s">
        <v>569</v>
      </c>
      <c r="K9" s="27">
        <v>385</v>
      </c>
      <c r="L9" s="27">
        <v>387</v>
      </c>
      <c r="M9" s="27">
        <v>-83</v>
      </c>
      <c r="N9" s="27">
        <v>257</v>
      </c>
      <c r="O9" s="27">
        <v>33426</v>
      </c>
      <c r="P9" s="27">
        <v>11</v>
      </c>
      <c r="Q9" s="27">
        <v>4386689</v>
      </c>
      <c r="R9" s="27">
        <v>110</v>
      </c>
      <c r="S9" s="27">
        <v>2</v>
      </c>
      <c r="T9" s="27">
        <v>1126</v>
      </c>
      <c r="U9" s="27">
        <v>256</v>
      </c>
      <c r="V9" s="27">
        <v>1035520017</v>
      </c>
      <c r="W9" s="27">
        <v>-100</v>
      </c>
      <c r="X9" s="27">
        <v>1</v>
      </c>
      <c r="Y9" s="27">
        <v>17475742</v>
      </c>
      <c r="Z9" s="27">
        <v>22035</v>
      </c>
      <c r="AA9" s="27">
        <v>3048166934</v>
      </c>
      <c r="AB9" s="27">
        <v>1105712</v>
      </c>
    </row>
    <row r="10" spans="1:28" ht="24" customHeight="1" x14ac:dyDescent="0.2">
      <c r="A10" s="27">
        <v>5</v>
      </c>
      <c r="B10" s="29">
        <v>44589.739108796297</v>
      </c>
      <c r="C10" s="27">
        <f t="shared" si="0"/>
        <v>90</v>
      </c>
      <c r="D10" s="27">
        <v>199</v>
      </c>
      <c r="E10" s="27" t="s">
        <v>590</v>
      </c>
      <c r="F10" s="27">
        <v>1</v>
      </c>
      <c r="G10" s="27">
        <v>0</v>
      </c>
      <c r="H10" s="27">
        <v>1</v>
      </c>
      <c r="I10" s="27" t="s">
        <v>1371</v>
      </c>
      <c r="J10" s="27" t="s">
        <v>584</v>
      </c>
      <c r="K10" s="27">
        <v>382</v>
      </c>
      <c r="L10" s="27">
        <v>382</v>
      </c>
      <c r="M10" s="27">
        <v>-83</v>
      </c>
      <c r="N10" s="27">
        <v>257</v>
      </c>
      <c r="O10" s="27">
        <v>33430</v>
      </c>
      <c r="P10" s="27">
        <v>11</v>
      </c>
      <c r="Q10" s="27">
        <v>4387065</v>
      </c>
      <c r="R10" s="27">
        <v>110</v>
      </c>
      <c r="S10" s="27">
        <v>2</v>
      </c>
      <c r="T10" s="27">
        <v>1126</v>
      </c>
      <c r="U10" s="27">
        <v>256</v>
      </c>
      <c r="V10" s="27">
        <v>1035520017</v>
      </c>
      <c r="W10" s="27">
        <v>-114</v>
      </c>
      <c r="X10" s="27">
        <v>1</v>
      </c>
      <c r="Y10" s="27">
        <v>17475746</v>
      </c>
      <c r="Z10" s="27">
        <v>22035</v>
      </c>
      <c r="AA10" s="27">
        <v>3048167310</v>
      </c>
      <c r="AB10" s="27">
        <v>1105712</v>
      </c>
    </row>
    <row r="11" spans="1:28" ht="24" customHeight="1" x14ac:dyDescent="0.2">
      <c r="A11" s="27">
        <v>6</v>
      </c>
      <c r="B11" s="29">
        <v>44589.739224537043</v>
      </c>
      <c r="C11" s="27">
        <f t="shared" si="0"/>
        <v>100</v>
      </c>
      <c r="D11" s="27">
        <v>198</v>
      </c>
      <c r="E11" s="27" t="s">
        <v>577</v>
      </c>
      <c r="F11" s="27">
        <v>2</v>
      </c>
      <c r="G11" s="27">
        <v>1</v>
      </c>
      <c r="H11" s="27">
        <v>1</v>
      </c>
      <c r="I11" s="27" t="s">
        <v>1372</v>
      </c>
      <c r="J11" s="27" t="s">
        <v>1488</v>
      </c>
      <c r="K11" s="27">
        <v>381</v>
      </c>
      <c r="L11" s="27">
        <v>381</v>
      </c>
      <c r="M11" s="27">
        <v>-83</v>
      </c>
      <c r="N11" s="27">
        <v>257</v>
      </c>
      <c r="O11" s="27">
        <v>33431</v>
      </c>
      <c r="P11" s="27">
        <v>11</v>
      </c>
      <c r="Q11" s="27">
        <v>4387159</v>
      </c>
      <c r="R11" s="27">
        <v>110</v>
      </c>
      <c r="S11" s="27">
        <v>2</v>
      </c>
      <c r="T11" s="27">
        <v>1126</v>
      </c>
      <c r="U11" s="27">
        <v>256</v>
      </c>
      <c r="V11" s="27">
        <v>1035520017</v>
      </c>
      <c r="W11" s="27">
        <v>-111</v>
      </c>
      <c r="X11" s="27">
        <v>1</v>
      </c>
      <c r="Y11" s="27">
        <v>17475747</v>
      </c>
      <c r="Z11" s="27">
        <v>22035</v>
      </c>
      <c r="AA11" s="27">
        <v>3048167404</v>
      </c>
      <c r="AB11" s="27">
        <v>1105712</v>
      </c>
    </row>
    <row r="12" spans="1:28" ht="24" customHeight="1" x14ac:dyDescent="0.2">
      <c r="A12" s="27">
        <v>7</v>
      </c>
      <c r="B12" s="29">
        <v>44589.739340277767</v>
      </c>
      <c r="C12" s="27">
        <f t="shared" si="0"/>
        <v>110</v>
      </c>
      <c r="D12" s="27">
        <v>196</v>
      </c>
      <c r="E12" s="27" t="s">
        <v>590</v>
      </c>
      <c r="F12" s="27">
        <v>1</v>
      </c>
      <c r="G12" s="27">
        <v>0</v>
      </c>
      <c r="H12" s="27">
        <v>1</v>
      </c>
      <c r="I12" s="27" t="s">
        <v>1374</v>
      </c>
      <c r="J12" s="27" t="s">
        <v>584</v>
      </c>
      <c r="K12" s="27">
        <v>381</v>
      </c>
      <c r="L12" s="27">
        <v>381</v>
      </c>
      <c r="M12" s="27">
        <v>-83</v>
      </c>
      <c r="N12" s="27">
        <v>257</v>
      </c>
      <c r="O12" s="27">
        <v>33432</v>
      </c>
      <c r="P12" s="27">
        <v>11</v>
      </c>
      <c r="Q12" s="27">
        <v>4387253</v>
      </c>
      <c r="R12" s="27">
        <v>110</v>
      </c>
      <c r="S12" s="27">
        <v>2</v>
      </c>
      <c r="T12" s="27">
        <v>1126</v>
      </c>
      <c r="U12" s="27">
        <v>256</v>
      </c>
      <c r="V12" s="27">
        <v>1035520017</v>
      </c>
      <c r="W12" s="27">
        <v>-113</v>
      </c>
      <c r="X12" s="27">
        <v>1</v>
      </c>
      <c r="Y12" s="27">
        <v>17475748</v>
      </c>
      <c r="Z12" s="27">
        <v>22035</v>
      </c>
      <c r="AA12" s="27">
        <v>3048167498</v>
      </c>
      <c r="AB12" s="27">
        <v>1105712</v>
      </c>
    </row>
    <row r="13" spans="1:28" ht="24" customHeight="1" x14ac:dyDescent="0.2">
      <c r="A13" s="27">
        <v>8</v>
      </c>
      <c r="B13" s="29">
        <v>44589.73945601852</v>
      </c>
      <c r="C13" s="27">
        <f t="shared" si="0"/>
        <v>120</v>
      </c>
      <c r="D13" s="27">
        <v>195</v>
      </c>
      <c r="E13" s="27" t="s">
        <v>577</v>
      </c>
      <c r="F13" s="27">
        <v>1</v>
      </c>
      <c r="G13" s="27">
        <v>1</v>
      </c>
      <c r="H13" s="27">
        <v>0</v>
      </c>
      <c r="I13" s="27" t="s">
        <v>1375</v>
      </c>
      <c r="J13" s="27" t="s">
        <v>569</v>
      </c>
      <c r="K13" s="27">
        <v>380</v>
      </c>
      <c r="L13" s="27">
        <v>380</v>
      </c>
      <c r="M13" s="27">
        <v>-83</v>
      </c>
      <c r="N13" s="27">
        <v>257</v>
      </c>
      <c r="O13" s="27">
        <v>33433</v>
      </c>
      <c r="P13" s="27">
        <v>11</v>
      </c>
      <c r="Q13" s="27">
        <v>4387347</v>
      </c>
      <c r="R13" s="27">
        <v>110</v>
      </c>
      <c r="S13" s="27">
        <v>2</v>
      </c>
      <c r="T13" s="27">
        <v>1126</v>
      </c>
      <c r="U13" s="27">
        <v>256</v>
      </c>
      <c r="V13" s="27">
        <v>1035520017</v>
      </c>
      <c r="W13" s="27">
        <v>-111</v>
      </c>
      <c r="X13" s="27">
        <v>1</v>
      </c>
      <c r="Y13" s="27">
        <v>17475749</v>
      </c>
      <c r="Z13" s="27">
        <v>22035</v>
      </c>
      <c r="AA13" s="27">
        <v>3048167592</v>
      </c>
      <c r="AB13" s="27">
        <v>1105712</v>
      </c>
    </row>
    <row r="14" spans="1:28" ht="24" customHeight="1" x14ac:dyDescent="0.2">
      <c r="A14" s="27">
        <v>9</v>
      </c>
      <c r="B14" s="29">
        <v>44589.739571759259</v>
      </c>
      <c r="C14" s="27">
        <f t="shared" si="0"/>
        <v>130</v>
      </c>
      <c r="D14" s="27">
        <v>194</v>
      </c>
      <c r="E14" s="27" t="s">
        <v>577</v>
      </c>
      <c r="F14" s="27">
        <v>2</v>
      </c>
      <c r="G14" s="27">
        <v>1</v>
      </c>
      <c r="H14" s="27">
        <v>1</v>
      </c>
      <c r="I14" s="27" t="s">
        <v>1377</v>
      </c>
      <c r="J14" s="27" t="s">
        <v>1488</v>
      </c>
      <c r="K14" s="27">
        <v>379</v>
      </c>
      <c r="L14" s="27">
        <v>379</v>
      </c>
      <c r="M14" s="27">
        <v>-83</v>
      </c>
      <c r="N14" s="27">
        <v>257</v>
      </c>
      <c r="O14" s="27">
        <v>33434</v>
      </c>
      <c r="P14" s="27">
        <v>11</v>
      </c>
      <c r="Q14" s="27">
        <v>4387441</v>
      </c>
      <c r="R14" s="27">
        <v>110</v>
      </c>
      <c r="S14" s="27">
        <v>2</v>
      </c>
      <c r="T14" s="27">
        <v>1126</v>
      </c>
      <c r="U14" s="27">
        <v>256</v>
      </c>
      <c r="V14" s="27">
        <v>1035520017</v>
      </c>
      <c r="W14" s="27">
        <v>-111</v>
      </c>
      <c r="X14" s="27">
        <v>1</v>
      </c>
      <c r="Y14" s="27">
        <v>17475750</v>
      </c>
      <c r="Z14" s="27">
        <v>22035</v>
      </c>
      <c r="AA14" s="27">
        <v>3048167686</v>
      </c>
      <c r="AB14" s="27">
        <v>1105712</v>
      </c>
    </row>
    <row r="15" spans="1:28" ht="24" customHeight="1" x14ac:dyDescent="0.2">
      <c r="A15" s="27">
        <v>10</v>
      </c>
      <c r="B15" s="29">
        <v>44589.739687499998</v>
      </c>
      <c r="C15" s="27">
        <f t="shared" si="0"/>
        <v>140</v>
      </c>
      <c r="D15" s="27">
        <v>192</v>
      </c>
      <c r="E15" s="27" t="s">
        <v>577</v>
      </c>
      <c r="F15" s="27">
        <v>2</v>
      </c>
      <c r="G15" s="27">
        <v>1</v>
      </c>
      <c r="H15" s="27">
        <v>1</v>
      </c>
      <c r="I15" s="27" t="s">
        <v>1379</v>
      </c>
      <c r="J15" s="27" t="s">
        <v>1488</v>
      </c>
      <c r="K15" s="27">
        <v>379</v>
      </c>
      <c r="L15" s="27">
        <v>379</v>
      </c>
      <c r="M15" s="27">
        <v>-83</v>
      </c>
      <c r="N15" s="27">
        <v>257</v>
      </c>
      <c r="O15" s="27">
        <v>33435</v>
      </c>
      <c r="P15" s="27">
        <v>11</v>
      </c>
      <c r="Q15" s="27">
        <v>4387535</v>
      </c>
      <c r="R15" s="27">
        <v>110</v>
      </c>
      <c r="S15" s="27">
        <v>2</v>
      </c>
      <c r="T15" s="27">
        <v>1126</v>
      </c>
      <c r="U15" s="27">
        <v>256</v>
      </c>
      <c r="V15" s="27">
        <v>1035520017</v>
      </c>
      <c r="W15" s="27">
        <v>-111</v>
      </c>
      <c r="X15" s="27">
        <v>1</v>
      </c>
      <c r="Y15" s="27">
        <v>17475751</v>
      </c>
      <c r="Z15" s="27">
        <v>22035</v>
      </c>
      <c r="AA15" s="27">
        <v>3048167780</v>
      </c>
      <c r="AB15" s="27">
        <v>1105712</v>
      </c>
    </row>
    <row r="16" spans="1:28" ht="24" customHeight="1" x14ac:dyDescent="0.2">
      <c r="A16" s="27">
        <v>11</v>
      </c>
      <c r="B16" s="29">
        <v>44589.739803240736</v>
      </c>
      <c r="C16" s="27">
        <f t="shared" si="0"/>
        <v>150</v>
      </c>
      <c r="D16" s="27">
        <v>190</v>
      </c>
      <c r="E16" s="27" t="s">
        <v>577</v>
      </c>
      <c r="F16" s="27">
        <v>2</v>
      </c>
      <c r="G16" s="27">
        <v>1</v>
      </c>
      <c r="H16" s="27">
        <v>1</v>
      </c>
      <c r="I16" s="27" t="s">
        <v>1381</v>
      </c>
      <c r="J16" s="27" t="s">
        <v>1488</v>
      </c>
      <c r="K16" s="27">
        <v>378</v>
      </c>
      <c r="L16" s="27">
        <v>378</v>
      </c>
      <c r="M16" s="27">
        <v>-83</v>
      </c>
      <c r="N16" s="27">
        <v>257</v>
      </c>
      <c r="O16" s="27">
        <v>33436</v>
      </c>
      <c r="P16" s="27">
        <v>11</v>
      </c>
      <c r="Q16" s="27">
        <v>4387629</v>
      </c>
      <c r="R16" s="27">
        <v>110</v>
      </c>
      <c r="S16" s="27">
        <v>2</v>
      </c>
      <c r="T16" s="27">
        <v>1126</v>
      </c>
      <c r="U16" s="27">
        <v>256</v>
      </c>
      <c r="V16" s="27">
        <v>1035520017</v>
      </c>
      <c r="W16" s="27">
        <v>-116</v>
      </c>
      <c r="X16" s="27">
        <v>1</v>
      </c>
      <c r="Y16" s="27">
        <v>17475752</v>
      </c>
      <c r="Z16" s="27">
        <v>22035</v>
      </c>
      <c r="AA16" s="27">
        <v>3048167874</v>
      </c>
      <c r="AB16" s="27">
        <v>1105712</v>
      </c>
    </row>
    <row r="17" spans="1:28" ht="24" customHeight="1" x14ac:dyDescent="0.2">
      <c r="A17" s="27">
        <v>12</v>
      </c>
      <c r="B17" s="29">
        <v>44589.739918981482</v>
      </c>
      <c r="C17" s="27">
        <f t="shared" si="0"/>
        <v>160</v>
      </c>
      <c r="D17" s="27">
        <v>188</v>
      </c>
      <c r="E17" s="27" t="s">
        <v>577</v>
      </c>
      <c r="F17" s="27">
        <v>2</v>
      </c>
      <c r="G17" s="27">
        <v>1</v>
      </c>
      <c r="H17" s="27">
        <v>1</v>
      </c>
      <c r="I17" s="27" t="s">
        <v>1383</v>
      </c>
      <c r="J17" s="27" t="s">
        <v>1488</v>
      </c>
      <c r="K17" s="27">
        <v>378</v>
      </c>
      <c r="L17" s="27">
        <v>378</v>
      </c>
      <c r="M17" s="27">
        <v>-83</v>
      </c>
      <c r="N17" s="27">
        <v>257</v>
      </c>
      <c r="O17" s="27">
        <v>33437</v>
      </c>
      <c r="P17" s="27">
        <v>11</v>
      </c>
      <c r="Q17" s="27">
        <v>4387723</v>
      </c>
      <c r="R17" s="27">
        <v>110</v>
      </c>
      <c r="S17" s="27">
        <v>2</v>
      </c>
      <c r="T17" s="27">
        <v>1126</v>
      </c>
      <c r="U17" s="27">
        <v>256</v>
      </c>
      <c r="V17" s="27">
        <v>1035520017</v>
      </c>
      <c r="W17" s="27">
        <v>-111</v>
      </c>
      <c r="X17" s="27">
        <v>1</v>
      </c>
      <c r="Y17" s="27">
        <v>17475753</v>
      </c>
      <c r="Z17" s="27">
        <v>22035</v>
      </c>
      <c r="AA17" s="27">
        <v>3048167968</v>
      </c>
      <c r="AB17" s="27">
        <v>1105712</v>
      </c>
    </row>
    <row r="18" spans="1:28" ht="24" customHeight="1" x14ac:dyDescent="0.2">
      <c r="A18" s="27">
        <v>13</v>
      </c>
      <c r="B18" s="29">
        <v>44589.740034722221</v>
      </c>
      <c r="C18" s="27">
        <f t="shared" si="0"/>
        <v>170</v>
      </c>
      <c r="D18" s="27">
        <v>186</v>
      </c>
      <c r="E18" s="27" t="s">
        <v>590</v>
      </c>
      <c r="F18" s="27">
        <v>1</v>
      </c>
      <c r="G18" s="27">
        <v>0</v>
      </c>
      <c r="H18" s="27">
        <v>1</v>
      </c>
      <c r="I18" s="27" t="s">
        <v>1385</v>
      </c>
      <c r="J18" s="27" t="s">
        <v>584</v>
      </c>
      <c r="K18" s="27">
        <v>377</v>
      </c>
      <c r="L18" s="27">
        <v>377</v>
      </c>
      <c r="M18" s="27">
        <v>-83</v>
      </c>
      <c r="N18" s="27">
        <v>257</v>
      </c>
      <c r="O18" s="27">
        <v>33438</v>
      </c>
      <c r="P18" s="27">
        <v>11</v>
      </c>
      <c r="Q18" s="27">
        <v>4387817</v>
      </c>
      <c r="R18" s="27">
        <v>110</v>
      </c>
      <c r="S18" s="27">
        <v>2</v>
      </c>
      <c r="T18" s="27">
        <v>1126</v>
      </c>
      <c r="U18" s="27">
        <v>256</v>
      </c>
      <c r="V18" s="27">
        <v>1035520017</v>
      </c>
      <c r="W18" s="27">
        <v>-111</v>
      </c>
      <c r="X18" s="27">
        <v>1</v>
      </c>
      <c r="Y18" s="27">
        <v>17475754</v>
      </c>
      <c r="Z18" s="27">
        <v>22035</v>
      </c>
      <c r="AA18" s="27">
        <v>3048168062</v>
      </c>
      <c r="AB18" s="27">
        <v>1105712</v>
      </c>
    </row>
    <row r="19" spans="1:28" ht="24" customHeight="1" x14ac:dyDescent="0.2">
      <c r="A19" s="27">
        <v>14</v>
      </c>
      <c r="B19" s="29">
        <v>44589.74015046296</v>
      </c>
      <c r="C19" s="27">
        <f t="shared" si="0"/>
        <v>180</v>
      </c>
      <c r="D19" s="27">
        <v>185</v>
      </c>
      <c r="E19" s="27" t="s">
        <v>577</v>
      </c>
      <c r="F19" s="27">
        <v>2</v>
      </c>
      <c r="G19" s="27">
        <v>1</v>
      </c>
      <c r="H19" s="27">
        <v>1</v>
      </c>
      <c r="I19" s="27" t="s">
        <v>1386</v>
      </c>
      <c r="J19" s="27" t="s">
        <v>1488</v>
      </c>
      <c r="K19" s="27">
        <v>377</v>
      </c>
      <c r="L19" s="27">
        <v>377</v>
      </c>
      <c r="M19" s="27">
        <v>-83</v>
      </c>
      <c r="N19" s="27">
        <v>257</v>
      </c>
      <c r="O19" s="27">
        <v>33439</v>
      </c>
      <c r="P19" s="27">
        <v>11</v>
      </c>
      <c r="Q19" s="27">
        <v>4387911</v>
      </c>
      <c r="R19" s="27">
        <v>110</v>
      </c>
      <c r="S19" s="27">
        <v>2</v>
      </c>
      <c r="T19" s="27">
        <v>1126</v>
      </c>
      <c r="U19" s="27">
        <v>256</v>
      </c>
      <c r="V19" s="27">
        <v>1035520017</v>
      </c>
      <c r="W19" s="27">
        <v>-113</v>
      </c>
      <c r="X19" s="27">
        <v>1</v>
      </c>
      <c r="Y19" s="27">
        <v>17475755</v>
      </c>
      <c r="Z19" s="27">
        <v>22035</v>
      </c>
      <c r="AA19" s="27">
        <v>3048168156</v>
      </c>
      <c r="AB19" s="27">
        <v>1105712</v>
      </c>
    </row>
    <row r="20" spans="1:28" ht="24" customHeight="1" x14ac:dyDescent="0.2">
      <c r="A20" s="27">
        <v>15</v>
      </c>
      <c r="B20" s="29">
        <v>44589.740266203713</v>
      </c>
      <c r="C20" s="27">
        <f t="shared" si="0"/>
        <v>190</v>
      </c>
      <c r="D20" s="27">
        <v>182</v>
      </c>
      <c r="E20" s="27" t="s">
        <v>577</v>
      </c>
      <c r="F20" s="27">
        <v>4</v>
      </c>
      <c r="G20" s="27">
        <v>2</v>
      </c>
      <c r="H20" s="27">
        <v>2</v>
      </c>
      <c r="I20" s="27" t="s">
        <v>1388</v>
      </c>
      <c r="J20" s="27" t="s">
        <v>1489</v>
      </c>
      <c r="K20" s="27">
        <v>376</v>
      </c>
      <c r="L20" s="27">
        <v>376</v>
      </c>
      <c r="M20" s="27">
        <v>-83</v>
      </c>
      <c r="N20" s="27">
        <v>257</v>
      </c>
      <c r="O20" s="27">
        <v>33440</v>
      </c>
      <c r="P20" s="27">
        <v>11</v>
      </c>
      <c r="Q20" s="27">
        <v>4388005</v>
      </c>
      <c r="R20" s="27">
        <v>110</v>
      </c>
      <c r="S20" s="27">
        <v>2</v>
      </c>
      <c r="T20" s="27">
        <v>1126</v>
      </c>
      <c r="U20" s="27">
        <v>256</v>
      </c>
      <c r="V20" s="27">
        <v>1035520017</v>
      </c>
      <c r="W20" s="27">
        <v>-111</v>
      </c>
      <c r="X20" s="27">
        <v>1</v>
      </c>
      <c r="Y20" s="27">
        <v>17475756</v>
      </c>
      <c r="Z20" s="27">
        <v>22035</v>
      </c>
      <c r="AA20" s="27">
        <v>3048168250</v>
      </c>
      <c r="AB20" s="27">
        <v>1105712</v>
      </c>
    </row>
    <row r="21" spans="1:28" ht="24" customHeight="1" x14ac:dyDescent="0.2">
      <c r="A21" s="27">
        <v>16</v>
      </c>
      <c r="B21" s="29">
        <v>44589.740381944437</v>
      </c>
      <c r="C21" s="27">
        <f t="shared" si="0"/>
        <v>200</v>
      </c>
      <c r="D21" s="27">
        <v>178</v>
      </c>
      <c r="E21" s="27" t="s">
        <v>577</v>
      </c>
      <c r="F21" s="27">
        <v>3</v>
      </c>
      <c r="G21" s="27">
        <v>2</v>
      </c>
      <c r="H21" s="27">
        <v>1</v>
      </c>
      <c r="I21" s="27" t="s">
        <v>1390</v>
      </c>
      <c r="J21" s="27" t="s">
        <v>1490</v>
      </c>
      <c r="K21" s="27">
        <v>376</v>
      </c>
      <c r="L21" s="27">
        <v>376</v>
      </c>
      <c r="M21" s="27">
        <v>-83</v>
      </c>
      <c r="N21" s="27">
        <v>257</v>
      </c>
      <c r="O21" s="27">
        <v>33441</v>
      </c>
      <c r="P21" s="27">
        <v>11</v>
      </c>
      <c r="Q21" s="27">
        <v>4388099</v>
      </c>
      <c r="R21" s="27">
        <v>110</v>
      </c>
      <c r="S21" s="27">
        <v>2</v>
      </c>
      <c r="T21" s="27">
        <v>1126</v>
      </c>
      <c r="U21" s="27">
        <v>256</v>
      </c>
      <c r="V21" s="27">
        <v>1035520017</v>
      </c>
      <c r="W21" s="27">
        <v>-108</v>
      </c>
      <c r="X21" s="27">
        <v>1</v>
      </c>
      <c r="Y21" s="27">
        <v>17475757</v>
      </c>
      <c r="Z21" s="27">
        <v>22035</v>
      </c>
      <c r="AA21" s="27">
        <v>3048168344</v>
      </c>
      <c r="AB21" s="27">
        <v>1105712</v>
      </c>
    </row>
    <row r="22" spans="1:28" ht="24" customHeight="1" x14ac:dyDescent="0.2">
      <c r="A22" s="27">
        <v>17</v>
      </c>
      <c r="B22" s="29">
        <v>44589.740497685183</v>
      </c>
      <c r="C22" s="27">
        <f t="shared" si="0"/>
        <v>210</v>
      </c>
      <c r="D22" s="27">
        <v>175</v>
      </c>
      <c r="E22" s="27" t="s">
        <v>577</v>
      </c>
      <c r="F22" s="27">
        <v>3</v>
      </c>
      <c r="G22" s="27">
        <v>2</v>
      </c>
      <c r="H22" s="27">
        <v>1</v>
      </c>
      <c r="I22" s="27" t="s">
        <v>1392</v>
      </c>
      <c r="J22" s="27" t="s">
        <v>1490</v>
      </c>
      <c r="K22" s="27">
        <v>375</v>
      </c>
      <c r="L22" s="27">
        <v>375</v>
      </c>
      <c r="M22" s="27">
        <v>-83</v>
      </c>
      <c r="N22" s="27">
        <v>257</v>
      </c>
      <c r="O22" s="27">
        <v>33442</v>
      </c>
      <c r="P22" s="27">
        <v>11</v>
      </c>
      <c r="Q22" s="27">
        <v>4388193</v>
      </c>
      <c r="R22" s="27">
        <v>110</v>
      </c>
      <c r="S22" s="27">
        <v>2</v>
      </c>
      <c r="T22" s="27">
        <v>1126</v>
      </c>
      <c r="U22" s="27">
        <v>256</v>
      </c>
      <c r="V22" s="27">
        <v>1035520017</v>
      </c>
      <c r="W22" s="27">
        <v>-107</v>
      </c>
      <c r="X22" s="27">
        <v>1</v>
      </c>
      <c r="Y22" s="27">
        <v>17475758</v>
      </c>
      <c r="Z22" s="27">
        <v>22035</v>
      </c>
      <c r="AA22" s="27">
        <v>3048168438</v>
      </c>
      <c r="AB22" s="27">
        <v>1105712</v>
      </c>
    </row>
    <row r="23" spans="1:28" ht="24" customHeight="1" x14ac:dyDescent="0.2">
      <c r="A23" s="27">
        <v>18</v>
      </c>
      <c r="B23" s="29">
        <v>44589.740613425929</v>
      </c>
      <c r="C23" s="27">
        <f t="shared" si="0"/>
        <v>220</v>
      </c>
      <c r="D23" s="27">
        <v>173</v>
      </c>
      <c r="E23" s="27" t="s">
        <v>577</v>
      </c>
      <c r="F23" s="27">
        <v>2</v>
      </c>
      <c r="G23" s="27">
        <v>1</v>
      </c>
      <c r="H23" s="27">
        <v>1</v>
      </c>
      <c r="I23" s="27" t="s">
        <v>1394</v>
      </c>
      <c r="J23" s="27" t="s">
        <v>1488</v>
      </c>
      <c r="K23" s="27">
        <v>375</v>
      </c>
      <c r="L23" s="27">
        <v>375</v>
      </c>
      <c r="M23" s="27">
        <v>-83</v>
      </c>
      <c r="N23" s="27">
        <v>257</v>
      </c>
      <c r="O23" s="27">
        <v>33443</v>
      </c>
      <c r="P23" s="27">
        <v>11</v>
      </c>
      <c r="Q23" s="27">
        <v>4388287</v>
      </c>
      <c r="R23" s="27">
        <v>110</v>
      </c>
      <c r="S23" s="27">
        <v>2</v>
      </c>
      <c r="T23" s="27">
        <v>1126</v>
      </c>
      <c r="U23" s="27">
        <v>256</v>
      </c>
      <c r="V23" s="27">
        <v>1035520017</v>
      </c>
      <c r="W23" s="27">
        <v>-117</v>
      </c>
      <c r="X23" s="27">
        <v>1</v>
      </c>
      <c r="Y23" s="27">
        <v>17475759</v>
      </c>
      <c r="Z23" s="27">
        <v>22035</v>
      </c>
      <c r="AA23" s="27">
        <v>3048168532</v>
      </c>
      <c r="AB23" s="27">
        <v>1105712</v>
      </c>
    </row>
    <row r="24" spans="1:28" ht="24" customHeight="1" x14ac:dyDescent="0.2">
      <c r="A24" s="27">
        <v>19</v>
      </c>
      <c r="B24" s="29">
        <v>44589.740729166668</v>
      </c>
      <c r="C24" s="27">
        <f t="shared" si="0"/>
        <v>230</v>
      </c>
      <c r="D24" s="27">
        <v>171</v>
      </c>
      <c r="E24" s="27" t="s">
        <v>590</v>
      </c>
      <c r="F24" s="27">
        <v>1</v>
      </c>
      <c r="G24" s="27">
        <v>0</v>
      </c>
      <c r="H24" s="27">
        <v>1</v>
      </c>
      <c r="I24" s="27" t="s">
        <v>1396</v>
      </c>
      <c r="J24" s="27" t="s">
        <v>584</v>
      </c>
      <c r="K24" s="27">
        <v>374</v>
      </c>
      <c r="L24" s="27">
        <v>374</v>
      </c>
      <c r="M24" s="27">
        <v>-83</v>
      </c>
      <c r="N24" s="27">
        <v>257</v>
      </c>
      <c r="O24" s="27">
        <v>33444</v>
      </c>
      <c r="P24" s="27">
        <v>11</v>
      </c>
      <c r="Q24" s="27">
        <v>4388381</v>
      </c>
      <c r="R24" s="27">
        <v>110</v>
      </c>
      <c r="S24" s="27">
        <v>2</v>
      </c>
      <c r="T24" s="27">
        <v>1126</v>
      </c>
      <c r="U24" s="27">
        <v>256</v>
      </c>
      <c r="V24" s="27">
        <v>1035520017</v>
      </c>
      <c r="W24" s="27">
        <v>-104</v>
      </c>
      <c r="X24" s="27">
        <v>1</v>
      </c>
      <c r="Y24" s="27">
        <v>17475760</v>
      </c>
      <c r="Z24" s="27">
        <v>22035</v>
      </c>
      <c r="AA24" s="27">
        <v>3048168626</v>
      </c>
      <c r="AB24" s="27">
        <v>1105712</v>
      </c>
    </row>
    <row r="25" spans="1:28" ht="24" customHeight="1" x14ac:dyDescent="0.2">
      <c r="A25" s="27">
        <v>20</v>
      </c>
      <c r="B25" s="29">
        <v>44589.740844907406</v>
      </c>
      <c r="C25" s="27">
        <f t="shared" si="0"/>
        <v>240</v>
      </c>
      <c r="D25" s="27">
        <v>170</v>
      </c>
      <c r="E25" s="27" t="s">
        <v>577</v>
      </c>
      <c r="F25" s="27">
        <v>2</v>
      </c>
      <c r="G25" s="27">
        <v>1</v>
      </c>
      <c r="H25" s="27">
        <v>1</v>
      </c>
      <c r="I25" s="27" t="s">
        <v>1397</v>
      </c>
      <c r="J25" s="27" t="s">
        <v>1491</v>
      </c>
      <c r="K25" s="27">
        <v>374</v>
      </c>
      <c r="L25" s="27">
        <v>374</v>
      </c>
      <c r="M25" s="27">
        <v>-83</v>
      </c>
      <c r="N25" s="27">
        <v>257</v>
      </c>
      <c r="O25" s="27">
        <v>33445</v>
      </c>
      <c r="P25" s="27">
        <v>11</v>
      </c>
      <c r="Q25" s="27">
        <v>4388475</v>
      </c>
      <c r="R25" s="27">
        <v>110</v>
      </c>
      <c r="S25" s="27">
        <v>2</v>
      </c>
      <c r="T25" s="27">
        <v>1126</v>
      </c>
      <c r="U25" s="27">
        <v>256</v>
      </c>
      <c r="V25" s="27">
        <v>1035520017</v>
      </c>
      <c r="W25" s="27">
        <v>-107</v>
      </c>
      <c r="X25" s="27">
        <v>1</v>
      </c>
      <c r="Y25" s="27">
        <v>17475761</v>
      </c>
      <c r="Z25" s="27">
        <v>22035</v>
      </c>
      <c r="AA25" s="27">
        <v>3048168720</v>
      </c>
      <c r="AB25" s="27">
        <v>1105712</v>
      </c>
    </row>
    <row r="26" spans="1:28" ht="24" customHeight="1" x14ac:dyDescent="0.2">
      <c r="A26" s="27">
        <v>21</v>
      </c>
      <c r="B26" s="29">
        <v>44589.740960648152</v>
      </c>
      <c r="C26" s="27">
        <f t="shared" si="0"/>
        <v>250</v>
      </c>
      <c r="D26" s="27">
        <v>167</v>
      </c>
      <c r="E26" s="27" t="s">
        <v>577</v>
      </c>
      <c r="F26" s="27">
        <v>3</v>
      </c>
      <c r="G26" s="27">
        <v>2</v>
      </c>
      <c r="H26" s="27">
        <v>1</v>
      </c>
      <c r="I26" s="27" t="s">
        <v>1399</v>
      </c>
      <c r="J26" s="27" t="s">
        <v>1492</v>
      </c>
      <c r="K26" s="27">
        <v>373</v>
      </c>
      <c r="L26" s="27">
        <v>373</v>
      </c>
      <c r="M26" s="27">
        <v>-83</v>
      </c>
      <c r="N26" s="27">
        <v>257</v>
      </c>
      <c r="O26" s="27">
        <v>33446</v>
      </c>
      <c r="P26" s="27">
        <v>11</v>
      </c>
      <c r="Q26" s="27">
        <v>4388569</v>
      </c>
      <c r="R26" s="27">
        <v>110</v>
      </c>
      <c r="S26" s="27">
        <v>2</v>
      </c>
      <c r="T26" s="27">
        <v>1126</v>
      </c>
      <c r="U26" s="27">
        <v>256</v>
      </c>
      <c r="V26" s="27">
        <v>1035520017</v>
      </c>
      <c r="W26" s="27">
        <v>-104</v>
      </c>
      <c r="X26" s="27">
        <v>1</v>
      </c>
      <c r="Y26" s="27">
        <v>17475762</v>
      </c>
      <c r="Z26" s="27">
        <v>22035</v>
      </c>
      <c r="AA26" s="27">
        <v>3048168814</v>
      </c>
      <c r="AB26" s="27">
        <v>1105712</v>
      </c>
    </row>
    <row r="27" spans="1:28" ht="24" customHeight="1" x14ac:dyDescent="0.2">
      <c r="A27" s="27">
        <v>22</v>
      </c>
      <c r="B27" s="29">
        <v>44589.741076388891</v>
      </c>
      <c r="C27" s="27">
        <f t="shared" si="0"/>
        <v>260</v>
      </c>
      <c r="D27" s="27">
        <v>164</v>
      </c>
      <c r="E27" s="27" t="s">
        <v>577</v>
      </c>
      <c r="F27" s="27">
        <v>3</v>
      </c>
      <c r="G27" s="27">
        <v>2</v>
      </c>
      <c r="H27" s="27">
        <v>1</v>
      </c>
      <c r="I27" s="27" t="s">
        <v>1401</v>
      </c>
      <c r="J27" s="27" t="s">
        <v>1492</v>
      </c>
      <c r="K27" s="27">
        <v>373</v>
      </c>
      <c r="L27" s="27">
        <v>373</v>
      </c>
      <c r="M27" s="27">
        <v>-83</v>
      </c>
      <c r="N27" s="27">
        <v>257</v>
      </c>
      <c r="O27" s="27">
        <v>33447</v>
      </c>
      <c r="P27" s="27">
        <v>11</v>
      </c>
      <c r="Q27" s="27">
        <v>4388663</v>
      </c>
      <c r="R27" s="27">
        <v>110</v>
      </c>
      <c r="S27" s="27">
        <v>2</v>
      </c>
      <c r="T27" s="27">
        <v>1126</v>
      </c>
      <c r="U27" s="27">
        <v>256</v>
      </c>
      <c r="V27" s="27">
        <v>1035520017</v>
      </c>
      <c r="W27" s="27">
        <v>-99</v>
      </c>
      <c r="X27" s="27">
        <v>1</v>
      </c>
      <c r="Y27" s="27">
        <v>17475763</v>
      </c>
      <c r="Z27" s="27">
        <v>22035</v>
      </c>
      <c r="AA27" s="27">
        <v>3048168908</v>
      </c>
      <c r="AB27" s="27">
        <v>1105712</v>
      </c>
    </row>
    <row r="28" spans="1:28" ht="24" customHeight="1" x14ac:dyDescent="0.2">
      <c r="A28" s="27">
        <v>23</v>
      </c>
      <c r="B28" s="29">
        <v>44589.74119212963</v>
      </c>
      <c r="C28" s="27">
        <f t="shared" si="0"/>
        <v>270</v>
      </c>
      <c r="D28" s="27">
        <v>162</v>
      </c>
      <c r="E28" s="27" t="s">
        <v>577</v>
      </c>
      <c r="F28" s="27">
        <v>2</v>
      </c>
      <c r="G28" s="27">
        <v>1</v>
      </c>
      <c r="H28" s="27">
        <v>1</v>
      </c>
      <c r="I28" s="27" t="s">
        <v>1403</v>
      </c>
      <c r="J28" s="27" t="s">
        <v>1493</v>
      </c>
      <c r="K28" s="27">
        <v>373</v>
      </c>
      <c r="L28" s="27">
        <v>373</v>
      </c>
      <c r="M28" s="27">
        <v>-83</v>
      </c>
      <c r="N28" s="27">
        <v>257</v>
      </c>
      <c r="O28" s="27">
        <v>33448</v>
      </c>
      <c r="P28" s="27">
        <v>11</v>
      </c>
      <c r="Q28" s="27">
        <v>4388757</v>
      </c>
      <c r="R28" s="27">
        <v>110</v>
      </c>
      <c r="S28" s="27">
        <v>2</v>
      </c>
      <c r="T28" s="27">
        <v>1126</v>
      </c>
      <c r="U28" s="27">
        <v>256</v>
      </c>
      <c r="V28" s="27">
        <v>1035520017</v>
      </c>
      <c r="W28" s="27">
        <v>-96</v>
      </c>
      <c r="X28" s="27">
        <v>1</v>
      </c>
      <c r="Y28" s="27">
        <v>17475764</v>
      </c>
      <c r="Z28" s="27">
        <v>22035</v>
      </c>
      <c r="AA28" s="27">
        <v>3048169002</v>
      </c>
      <c r="AB28" s="27">
        <v>1105712</v>
      </c>
    </row>
    <row r="29" spans="1:28" ht="24" customHeight="1" x14ac:dyDescent="0.2">
      <c r="A29" s="27">
        <v>24</v>
      </c>
      <c r="B29" s="29">
        <v>44589.741307870368</v>
      </c>
      <c r="C29" s="27">
        <f t="shared" si="0"/>
        <v>280</v>
      </c>
      <c r="D29" s="27">
        <v>159</v>
      </c>
      <c r="E29" s="27" t="s">
        <v>590</v>
      </c>
      <c r="F29" s="27">
        <v>1</v>
      </c>
      <c r="G29" s="27">
        <v>0</v>
      </c>
      <c r="H29" s="27">
        <v>1</v>
      </c>
      <c r="I29" s="27" t="s">
        <v>1405</v>
      </c>
      <c r="J29" s="27" t="s">
        <v>622</v>
      </c>
      <c r="K29" s="27">
        <v>372</v>
      </c>
      <c r="L29" s="27">
        <v>372</v>
      </c>
      <c r="M29" s="27">
        <v>-83</v>
      </c>
      <c r="N29" s="27">
        <v>257</v>
      </c>
      <c r="O29" s="27">
        <v>33449</v>
      </c>
      <c r="P29" s="27">
        <v>11</v>
      </c>
      <c r="Q29" s="27">
        <v>4388851</v>
      </c>
      <c r="R29" s="27">
        <v>110</v>
      </c>
      <c r="S29" s="27">
        <v>2</v>
      </c>
      <c r="T29" s="27">
        <v>1126</v>
      </c>
      <c r="U29" s="27">
        <v>256</v>
      </c>
      <c r="V29" s="27">
        <v>1035520017</v>
      </c>
      <c r="W29" s="27">
        <v>-105</v>
      </c>
      <c r="X29" s="27">
        <v>1</v>
      </c>
      <c r="Y29" s="27">
        <v>17475765</v>
      </c>
      <c r="Z29" s="27">
        <v>22035</v>
      </c>
      <c r="AA29" s="27">
        <v>3048169096</v>
      </c>
      <c r="AB29" s="27">
        <v>1105712</v>
      </c>
    </row>
    <row r="30" spans="1:28" ht="24" customHeight="1" x14ac:dyDescent="0.2">
      <c r="A30" s="27">
        <v>25</v>
      </c>
      <c r="B30" s="29">
        <v>44589.741423611107</v>
      </c>
      <c r="C30" s="27">
        <f t="shared" si="0"/>
        <v>290</v>
      </c>
      <c r="D30" s="27">
        <v>157</v>
      </c>
      <c r="E30" s="27" t="s">
        <v>577</v>
      </c>
      <c r="F30" s="27">
        <v>4</v>
      </c>
      <c r="G30" s="27">
        <v>2</v>
      </c>
      <c r="H30" s="27">
        <v>2</v>
      </c>
      <c r="I30" s="27" t="s">
        <v>1406</v>
      </c>
      <c r="J30" s="27" t="s">
        <v>1489</v>
      </c>
      <c r="K30" s="27">
        <v>372</v>
      </c>
      <c r="L30" s="27">
        <v>372</v>
      </c>
      <c r="M30" s="27">
        <v>-83</v>
      </c>
      <c r="N30" s="27">
        <v>257</v>
      </c>
      <c r="O30" s="27">
        <v>33450</v>
      </c>
      <c r="P30" s="27">
        <v>11</v>
      </c>
      <c r="Q30" s="27">
        <v>4388945</v>
      </c>
      <c r="R30" s="27">
        <v>110</v>
      </c>
      <c r="S30" s="27">
        <v>2</v>
      </c>
      <c r="T30" s="27">
        <v>1126</v>
      </c>
      <c r="U30" s="27">
        <v>256</v>
      </c>
      <c r="V30" s="27">
        <v>1035520017</v>
      </c>
      <c r="W30" s="27">
        <v>-99</v>
      </c>
      <c r="X30" s="27">
        <v>1</v>
      </c>
      <c r="Y30" s="27">
        <v>17475766</v>
      </c>
      <c r="Z30" s="27">
        <v>22035</v>
      </c>
      <c r="AA30" s="27">
        <v>3048169190</v>
      </c>
      <c r="AB30" s="27">
        <v>1105712</v>
      </c>
    </row>
    <row r="31" spans="1:28" ht="24" customHeight="1" x14ac:dyDescent="0.2">
      <c r="A31" s="27">
        <v>26</v>
      </c>
      <c r="B31" s="29">
        <v>44589.741539351853</v>
      </c>
      <c r="C31" s="27">
        <f t="shared" si="0"/>
        <v>300</v>
      </c>
      <c r="D31" s="27">
        <v>154</v>
      </c>
      <c r="E31" s="27" t="s">
        <v>577</v>
      </c>
      <c r="F31" s="27">
        <v>3</v>
      </c>
      <c r="G31" s="27">
        <v>1</v>
      </c>
      <c r="H31" s="27">
        <v>2</v>
      </c>
      <c r="I31" s="27" t="s">
        <v>1408</v>
      </c>
      <c r="J31" s="27" t="s">
        <v>1494</v>
      </c>
      <c r="K31" s="27">
        <v>372</v>
      </c>
      <c r="L31" s="27">
        <v>372</v>
      </c>
      <c r="M31" s="27">
        <v>-83</v>
      </c>
      <c r="N31" s="27">
        <v>257</v>
      </c>
      <c r="O31" s="27">
        <v>33451</v>
      </c>
      <c r="P31" s="27">
        <v>11</v>
      </c>
      <c r="Q31" s="27">
        <v>4389039</v>
      </c>
      <c r="R31" s="27">
        <v>110</v>
      </c>
      <c r="S31" s="27">
        <v>2</v>
      </c>
      <c r="T31" s="27">
        <v>1126</v>
      </c>
      <c r="U31" s="27">
        <v>256</v>
      </c>
      <c r="V31" s="27">
        <v>1035520017</v>
      </c>
      <c r="W31" s="27">
        <v>-95</v>
      </c>
      <c r="X31" s="27">
        <v>1</v>
      </c>
      <c r="Y31" s="27">
        <v>17475767</v>
      </c>
      <c r="Z31" s="27">
        <v>22035</v>
      </c>
      <c r="AA31" s="27">
        <v>3048169284</v>
      </c>
      <c r="AB31" s="27">
        <v>1105712</v>
      </c>
    </row>
    <row r="32" spans="1:28" ht="24" customHeight="1" x14ac:dyDescent="0.2">
      <c r="A32" s="27">
        <v>27</v>
      </c>
      <c r="B32" s="29">
        <v>44589.741655092592</v>
      </c>
      <c r="C32" s="27">
        <f t="shared" si="0"/>
        <v>310</v>
      </c>
      <c r="D32" s="27">
        <v>150</v>
      </c>
      <c r="E32" s="27" t="s">
        <v>577</v>
      </c>
      <c r="F32" s="27">
        <v>3</v>
      </c>
      <c r="G32" s="27">
        <v>2</v>
      </c>
      <c r="H32" s="27">
        <v>1</v>
      </c>
      <c r="I32" s="27" t="s">
        <v>1410</v>
      </c>
      <c r="J32" s="27" t="s">
        <v>1492</v>
      </c>
      <c r="K32" s="27">
        <v>371</v>
      </c>
      <c r="L32" s="27">
        <v>371</v>
      </c>
      <c r="M32" s="27">
        <v>-83</v>
      </c>
      <c r="N32" s="27">
        <v>257</v>
      </c>
      <c r="O32" s="27">
        <v>33452</v>
      </c>
      <c r="P32" s="27">
        <v>11</v>
      </c>
      <c r="Q32" s="27">
        <v>4389133</v>
      </c>
      <c r="R32" s="27">
        <v>110</v>
      </c>
      <c r="S32" s="27">
        <v>2</v>
      </c>
      <c r="T32" s="27">
        <v>1126</v>
      </c>
      <c r="U32" s="27">
        <v>256</v>
      </c>
      <c r="V32" s="27">
        <v>1035520017</v>
      </c>
      <c r="W32" s="27">
        <v>-113</v>
      </c>
      <c r="X32" s="27">
        <v>1</v>
      </c>
      <c r="Y32" s="27">
        <v>17475768</v>
      </c>
      <c r="Z32" s="27">
        <v>22035</v>
      </c>
      <c r="AA32" s="27">
        <v>3048169378</v>
      </c>
      <c r="AB32" s="27">
        <v>1105712</v>
      </c>
    </row>
    <row r="33" spans="1:28" ht="24" customHeight="1" x14ac:dyDescent="0.2">
      <c r="A33" s="27">
        <v>28</v>
      </c>
      <c r="B33" s="29">
        <v>44589.741770833331</v>
      </c>
      <c r="C33" s="27">
        <f t="shared" si="0"/>
        <v>320</v>
      </c>
      <c r="D33" s="27">
        <v>148</v>
      </c>
      <c r="E33" s="27" t="s">
        <v>577</v>
      </c>
      <c r="F33" s="27">
        <v>2</v>
      </c>
      <c r="G33" s="27">
        <v>1</v>
      </c>
      <c r="H33" s="27">
        <v>1</v>
      </c>
      <c r="I33" s="27" t="s">
        <v>1412</v>
      </c>
      <c r="J33" s="27" t="s">
        <v>1493</v>
      </c>
      <c r="K33" s="27">
        <v>371</v>
      </c>
      <c r="L33" s="27">
        <v>371</v>
      </c>
      <c r="M33" s="27">
        <v>-83</v>
      </c>
      <c r="N33" s="27">
        <v>257</v>
      </c>
      <c r="O33" s="27">
        <v>33453</v>
      </c>
      <c r="P33" s="27">
        <v>11</v>
      </c>
      <c r="Q33" s="27">
        <v>4389227</v>
      </c>
      <c r="R33" s="27">
        <v>110</v>
      </c>
      <c r="S33" s="27">
        <v>2</v>
      </c>
      <c r="T33" s="27">
        <v>1126</v>
      </c>
      <c r="U33" s="27">
        <v>256</v>
      </c>
      <c r="V33" s="27">
        <v>1035520017</v>
      </c>
      <c r="W33" s="27">
        <v>-112</v>
      </c>
      <c r="X33" s="27">
        <v>1</v>
      </c>
      <c r="Y33" s="27">
        <v>17475769</v>
      </c>
      <c r="Z33" s="27">
        <v>22035</v>
      </c>
      <c r="AA33" s="27">
        <v>3048169472</v>
      </c>
      <c r="AB33" s="27">
        <v>1105712</v>
      </c>
    </row>
    <row r="34" spans="1:28" ht="24" customHeight="1" x14ac:dyDescent="0.2">
      <c r="A34" s="27">
        <v>29</v>
      </c>
      <c r="B34" s="29">
        <v>44589.741886574076</v>
      </c>
      <c r="C34" s="27">
        <f t="shared" si="0"/>
        <v>330</v>
      </c>
      <c r="D34" s="27">
        <v>146</v>
      </c>
      <c r="E34" s="27" t="s">
        <v>590</v>
      </c>
      <c r="F34" s="27">
        <v>1</v>
      </c>
      <c r="G34" s="27">
        <v>0</v>
      </c>
      <c r="H34" s="27">
        <v>1</v>
      </c>
      <c r="I34" s="27" t="s">
        <v>1414</v>
      </c>
      <c r="J34" s="27" t="s">
        <v>622</v>
      </c>
      <c r="K34" s="27">
        <v>370</v>
      </c>
      <c r="L34" s="27">
        <v>371</v>
      </c>
      <c r="M34" s="27">
        <v>-83</v>
      </c>
      <c r="N34" s="27">
        <v>257</v>
      </c>
      <c r="O34" s="27">
        <v>33454</v>
      </c>
      <c r="P34" s="27">
        <v>11</v>
      </c>
      <c r="Q34" s="27">
        <v>4389321</v>
      </c>
      <c r="R34" s="27">
        <v>110</v>
      </c>
      <c r="S34" s="27">
        <v>2</v>
      </c>
      <c r="T34" s="27">
        <v>1126</v>
      </c>
      <c r="U34" s="27">
        <v>256</v>
      </c>
      <c r="V34" s="27">
        <v>1035520017</v>
      </c>
      <c r="W34" s="27">
        <v>-113</v>
      </c>
      <c r="X34" s="27">
        <v>1</v>
      </c>
      <c r="Y34" s="27">
        <v>17475770</v>
      </c>
      <c r="Z34" s="27">
        <v>22035</v>
      </c>
      <c r="AA34" s="27">
        <v>3048169566</v>
      </c>
      <c r="AB34" s="27">
        <v>1105712</v>
      </c>
    </row>
    <row r="35" spans="1:28" ht="24" customHeight="1" x14ac:dyDescent="0.2">
      <c r="A35" s="27">
        <v>30</v>
      </c>
      <c r="B35" s="29">
        <v>44589.742002314822</v>
      </c>
      <c r="C35" s="27">
        <f t="shared" si="0"/>
        <v>340</v>
      </c>
      <c r="D35" s="27">
        <v>144</v>
      </c>
      <c r="E35" s="27" t="s">
        <v>577</v>
      </c>
      <c r="F35" s="27">
        <v>3</v>
      </c>
      <c r="G35" s="27">
        <v>2</v>
      </c>
      <c r="H35" s="27">
        <v>1</v>
      </c>
      <c r="I35" s="27" t="s">
        <v>1415</v>
      </c>
      <c r="J35" s="27" t="s">
        <v>1492</v>
      </c>
      <c r="K35" s="27">
        <v>370</v>
      </c>
      <c r="L35" s="27">
        <v>371</v>
      </c>
      <c r="M35" s="27">
        <v>-83</v>
      </c>
      <c r="N35" s="27">
        <v>257</v>
      </c>
      <c r="O35" s="27">
        <v>33455</v>
      </c>
      <c r="P35" s="27">
        <v>11</v>
      </c>
      <c r="Q35" s="27">
        <v>4389415</v>
      </c>
      <c r="R35" s="27">
        <v>110</v>
      </c>
      <c r="S35" s="27">
        <v>2</v>
      </c>
      <c r="T35" s="27">
        <v>1126</v>
      </c>
      <c r="U35" s="27">
        <v>256</v>
      </c>
      <c r="V35" s="27">
        <v>1035520017</v>
      </c>
      <c r="W35" s="27">
        <v>-108</v>
      </c>
      <c r="X35" s="27">
        <v>1</v>
      </c>
      <c r="Y35" s="27">
        <v>17475771</v>
      </c>
      <c r="Z35" s="27">
        <v>22035</v>
      </c>
      <c r="AA35" s="27">
        <v>3048169660</v>
      </c>
      <c r="AB35" s="27">
        <v>1105712</v>
      </c>
    </row>
    <row r="36" spans="1:28" ht="24" customHeight="1" x14ac:dyDescent="0.2">
      <c r="A36" s="27">
        <v>31</v>
      </c>
      <c r="B36" s="29">
        <v>44589.742118055547</v>
      </c>
      <c r="C36" s="27">
        <f t="shared" si="0"/>
        <v>350</v>
      </c>
      <c r="D36" s="27">
        <v>142</v>
      </c>
      <c r="E36" s="27" t="s">
        <v>577</v>
      </c>
      <c r="F36" s="27">
        <v>2</v>
      </c>
      <c r="G36" s="27">
        <v>1</v>
      </c>
      <c r="H36" s="27">
        <v>1</v>
      </c>
      <c r="I36" s="27" t="s">
        <v>1417</v>
      </c>
      <c r="J36" s="27" t="s">
        <v>1495</v>
      </c>
      <c r="K36" s="27">
        <v>370</v>
      </c>
      <c r="L36" s="27">
        <v>370</v>
      </c>
      <c r="M36" s="27">
        <v>-83</v>
      </c>
      <c r="N36" s="27">
        <v>257</v>
      </c>
      <c r="O36" s="27">
        <v>33456</v>
      </c>
      <c r="P36" s="27">
        <v>11</v>
      </c>
      <c r="Q36" s="27">
        <v>4389509</v>
      </c>
      <c r="R36" s="27">
        <v>110</v>
      </c>
      <c r="S36" s="27">
        <v>2</v>
      </c>
      <c r="T36" s="27">
        <v>1126</v>
      </c>
      <c r="U36" s="27">
        <v>256</v>
      </c>
      <c r="V36" s="27">
        <v>1035520017</v>
      </c>
      <c r="W36" s="27">
        <v>-93</v>
      </c>
      <c r="X36" s="27">
        <v>1</v>
      </c>
      <c r="Y36" s="27">
        <v>17475772</v>
      </c>
      <c r="Z36" s="27">
        <v>22035</v>
      </c>
      <c r="AA36" s="27">
        <v>3048169754</v>
      </c>
      <c r="AB36" s="27">
        <v>1105712</v>
      </c>
    </row>
    <row r="37" spans="1:28" ht="24" customHeight="1" x14ac:dyDescent="0.2">
      <c r="A37" s="27">
        <v>32</v>
      </c>
      <c r="B37" s="29">
        <v>44589.7422337963</v>
      </c>
      <c r="C37" s="27">
        <f t="shared" si="0"/>
        <v>360</v>
      </c>
      <c r="D37" s="27">
        <v>139</v>
      </c>
      <c r="E37" s="27" t="s">
        <v>577</v>
      </c>
      <c r="F37" s="27">
        <v>3</v>
      </c>
      <c r="G37" s="27">
        <v>2</v>
      </c>
      <c r="H37" s="27">
        <v>1</v>
      </c>
      <c r="I37" s="27" t="s">
        <v>1419</v>
      </c>
      <c r="J37" s="27" t="s">
        <v>1492</v>
      </c>
      <c r="K37" s="27">
        <v>369</v>
      </c>
      <c r="L37" s="27">
        <v>370</v>
      </c>
      <c r="M37" s="27">
        <v>-83</v>
      </c>
      <c r="N37" s="27">
        <v>257</v>
      </c>
      <c r="O37" s="27">
        <v>33457</v>
      </c>
      <c r="P37" s="27">
        <v>11</v>
      </c>
      <c r="Q37" s="27">
        <v>4389603</v>
      </c>
      <c r="R37" s="27">
        <v>110</v>
      </c>
      <c r="S37" s="27">
        <v>2</v>
      </c>
      <c r="T37" s="27">
        <v>1126</v>
      </c>
      <c r="U37" s="27">
        <v>256</v>
      </c>
      <c r="V37" s="27">
        <v>1035520017</v>
      </c>
      <c r="W37" s="27">
        <v>-109</v>
      </c>
      <c r="X37" s="27">
        <v>1</v>
      </c>
      <c r="Y37" s="27">
        <v>17475773</v>
      </c>
      <c r="Z37" s="27">
        <v>22035</v>
      </c>
      <c r="AA37" s="27">
        <v>3048169848</v>
      </c>
      <c r="AB37" s="27">
        <v>1105712</v>
      </c>
    </row>
    <row r="38" spans="1:28" ht="24" customHeight="1" x14ac:dyDescent="0.2">
      <c r="A38" s="27">
        <v>33</v>
      </c>
      <c r="B38" s="29">
        <v>44589.742349537039</v>
      </c>
      <c r="C38" s="27">
        <f t="shared" ref="C38:C66" si="1">ROUND((B38-$B$6)*86400,0)</f>
        <v>370</v>
      </c>
      <c r="D38" s="27">
        <v>137</v>
      </c>
      <c r="E38" s="27" t="s">
        <v>577</v>
      </c>
      <c r="F38" s="27">
        <v>2</v>
      </c>
      <c r="G38" s="27">
        <v>1</v>
      </c>
      <c r="H38" s="27">
        <v>1</v>
      </c>
      <c r="I38" s="27" t="s">
        <v>1421</v>
      </c>
      <c r="J38" s="27" t="s">
        <v>1493</v>
      </c>
      <c r="K38" s="27">
        <v>369</v>
      </c>
      <c r="L38" s="27">
        <v>370</v>
      </c>
      <c r="M38" s="27">
        <v>-83</v>
      </c>
      <c r="N38" s="27">
        <v>257</v>
      </c>
      <c r="O38" s="27">
        <v>33458</v>
      </c>
      <c r="P38" s="27">
        <v>11</v>
      </c>
      <c r="Q38" s="27">
        <v>4389697</v>
      </c>
      <c r="R38" s="27">
        <v>110</v>
      </c>
      <c r="S38" s="27">
        <v>2</v>
      </c>
      <c r="T38" s="27">
        <v>1126</v>
      </c>
      <c r="U38" s="27">
        <v>256</v>
      </c>
      <c r="V38" s="27">
        <v>1035520017</v>
      </c>
      <c r="W38" s="27">
        <v>-99</v>
      </c>
      <c r="X38" s="27">
        <v>1</v>
      </c>
      <c r="Y38" s="27">
        <v>17475774</v>
      </c>
      <c r="Z38" s="27">
        <v>22035</v>
      </c>
      <c r="AA38" s="27">
        <v>3048169942</v>
      </c>
      <c r="AB38" s="27">
        <v>1105712</v>
      </c>
    </row>
    <row r="39" spans="1:28" ht="24" customHeight="1" x14ac:dyDescent="0.2">
      <c r="A39" s="27">
        <v>34</v>
      </c>
      <c r="B39" s="29">
        <v>44589.742465277777</v>
      </c>
      <c r="C39" s="27">
        <f t="shared" si="1"/>
        <v>380</v>
      </c>
      <c r="D39" s="27">
        <v>135</v>
      </c>
      <c r="E39" s="27" t="s">
        <v>577</v>
      </c>
      <c r="F39" s="27">
        <v>1</v>
      </c>
      <c r="G39" s="27">
        <v>1</v>
      </c>
      <c r="H39" s="27">
        <v>0</v>
      </c>
      <c r="I39" s="27" t="s">
        <v>1423</v>
      </c>
      <c r="J39" s="27" t="s">
        <v>569</v>
      </c>
      <c r="K39" s="27">
        <v>369</v>
      </c>
      <c r="L39" s="27">
        <v>369</v>
      </c>
      <c r="M39" s="27">
        <v>-83</v>
      </c>
      <c r="N39" s="27">
        <v>257</v>
      </c>
      <c r="O39" s="27">
        <v>33459</v>
      </c>
      <c r="P39" s="27">
        <v>11</v>
      </c>
      <c r="Q39" s="27">
        <v>4389791</v>
      </c>
      <c r="R39" s="27">
        <v>110</v>
      </c>
      <c r="S39" s="27">
        <v>2</v>
      </c>
      <c r="T39" s="27">
        <v>1126</v>
      </c>
      <c r="U39" s="27">
        <v>256</v>
      </c>
      <c r="V39" s="27">
        <v>1035520017</v>
      </c>
      <c r="W39" s="27">
        <v>-98</v>
      </c>
      <c r="X39" s="27">
        <v>1</v>
      </c>
      <c r="Y39" s="27">
        <v>17475775</v>
      </c>
      <c r="Z39" s="27">
        <v>22035</v>
      </c>
      <c r="AA39" s="27">
        <v>3048170036</v>
      </c>
      <c r="AB39" s="27">
        <v>1105712</v>
      </c>
    </row>
    <row r="40" spans="1:28" ht="24" customHeight="1" x14ac:dyDescent="0.2">
      <c r="A40" s="27">
        <v>35</v>
      </c>
      <c r="B40" s="29">
        <v>44589.742581018523</v>
      </c>
      <c r="C40" s="27">
        <f t="shared" si="1"/>
        <v>390</v>
      </c>
      <c r="D40" s="27">
        <v>134</v>
      </c>
      <c r="E40" s="27" t="s">
        <v>577</v>
      </c>
      <c r="F40" s="27">
        <v>1</v>
      </c>
      <c r="G40" s="27">
        <v>1</v>
      </c>
      <c r="H40" s="27">
        <v>0</v>
      </c>
      <c r="I40" s="27" t="s">
        <v>1425</v>
      </c>
      <c r="J40" s="27" t="s">
        <v>569</v>
      </c>
      <c r="K40" s="27">
        <v>369</v>
      </c>
      <c r="L40" s="27">
        <v>369</v>
      </c>
      <c r="M40" s="27">
        <v>-83</v>
      </c>
      <c r="N40" s="27">
        <v>257</v>
      </c>
      <c r="O40" s="27">
        <v>33460</v>
      </c>
      <c r="P40" s="27">
        <v>11</v>
      </c>
      <c r="Q40" s="27">
        <v>4389885</v>
      </c>
      <c r="R40" s="27">
        <v>110</v>
      </c>
      <c r="S40" s="27">
        <v>2</v>
      </c>
      <c r="T40" s="27">
        <v>1126</v>
      </c>
      <c r="U40" s="27">
        <v>256</v>
      </c>
      <c r="V40" s="27">
        <v>1035520017</v>
      </c>
      <c r="W40" s="27">
        <v>-99</v>
      </c>
      <c r="X40" s="27">
        <v>1</v>
      </c>
      <c r="Y40" s="27">
        <v>17475776</v>
      </c>
      <c r="Z40" s="27">
        <v>22035</v>
      </c>
      <c r="AA40" s="27">
        <v>3048170130</v>
      </c>
      <c r="AB40" s="27">
        <v>1105712</v>
      </c>
    </row>
    <row r="41" spans="1:28" ht="24" customHeight="1" x14ac:dyDescent="0.2">
      <c r="A41" s="27">
        <v>36</v>
      </c>
      <c r="B41" s="29">
        <v>44589.742696759262</v>
      </c>
      <c r="C41" s="27">
        <f t="shared" si="1"/>
        <v>400</v>
      </c>
      <c r="D41" s="27">
        <v>132</v>
      </c>
      <c r="E41" s="27" t="s">
        <v>577</v>
      </c>
      <c r="F41" s="27">
        <v>3</v>
      </c>
      <c r="G41" s="27">
        <v>2</v>
      </c>
      <c r="H41" s="27">
        <v>1</v>
      </c>
      <c r="I41" s="27" t="s">
        <v>1427</v>
      </c>
      <c r="J41" s="27" t="s">
        <v>1492</v>
      </c>
      <c r="K41" s="27">
        <v>369</v>
      </c>
      <c r="L41" s="27">
        <v>369</v>
      </c>
      <c r="M41" s="27">
        <v>-83</v>
      </c>
      <c r="N41" s="27">
        <v>257</v>
      </c>
      <c r="O41" s="27">
        <v>33461</v>
      </c>
      <c r="P41" s="27">
        <v>11</v>
      </c>
      <c r="Q41" s="27">
        <v>4389979</v>
      </c>
      <c r="R41" s="27">
        <v>110</v>
      </c>
      <c r="S41" s="27">
        <v>2</v>
      </c>
      <c r="T41" s="27">
        <v>1126</v>
      </c>
      <c r="U41" s="27">
        <v>256</v>
      </c>
      <c r="V41" s="27">
        <v>1035520017</v>
      </c>
      <c r="W41" s="27">
        <v>-103</v>
      </c>
      <c r="X41" s="27">
        <v>1</v>
      </c>
      <c r="Y41" s="27">
        <v>17475777</v>
      </c>
      <c r="Z41" s="27">
        <v>22035</v>
      </c>
      <c r="AA41" s="27">
        <v>3048170224</v>
      </c>
      <c r="AB41" s="27">
        <v>1105712</v>
      </c>
    </row>
    <row r="42" spans="1:28" ht="24" customHeight="1" x14ac:dyDescent="0.2">
      <c r="A42" s="27">
        <v>37</v>
      </c>
      <c r="B42" s="29">
        <v>44589.742812500001</v>
      </c>
      <c r="C42" s="27">
        <f t="shared" si="1"/>
        <v>410</v>
      </c>
      <c r="D42" s="27">
        <v>129</v>
      </c>
      <c r="E42" s="27" t="s">
        <v>577</v>
      </c>
      <c r="F42" s="27">
        <v>3</v>
      </c>
      <c r="G42" s="27">
        <v>2</v>
      </c>
      <c r="H42" s="27">
        <v>1</v>
      </c>
      <c r="I42" s="27" t="s">
        <v>1429</v>
      </c>
      <c r="J42" s="27" t="s">
        <v>1492</v>
      </c>
      <c r="K42" s="27">
        <v>368</v>
      </c>
      <c r="L42" s="27">
        <v>369</v>
      </c>
      <c r="M42" s="27">
        <v>-83</v>
      </c>
      <c r="N42" s="27">
        <v>257</v>
      </c>
      <c r="O42" s="27">
        <v>33462</v>
      </c>
      <c r="P42" s="27">
        <v>11</v>
      </c>
      <c r="Q42" s="27">
        <v>4390073</v>
      </c>
      <c r="R42" s="27">
        <v>110</v>
      </c>
      <c r="S42" s="27">
        <v>2</v>
      </c>
      <c r="T42" s="27">
        <v>1126</v>
      </c>
      <c r="U42" s="27">
        <v>256</v>
      </c>
      <c r="V42" s="27">
        <v>1035520017</v>
      </c>
      <c r="W42" s="27">
        <v>-103</v>
      </c>
      <c r="X42" s="27">
        <v>1</v>
      </c>
      <c r="Y42" s="27">
        <v>17475778</v>
      </c>
      <c r="Z42" s="27">
        <v>22035</v>
      </c>
      <c r="AA42" s="27">
        <v>3048170318</v>
      </c>
      <c r="AB42" s="27">
        <v>1105712</v>
      </c>
    </row>
    <row r="43" spans="1:28" ht="24" customHeight="1" x14ac:dyDescent="0.2">
      <c r="A43" s="27">
        <v>38</v>
      </c>
      <c r="B43" s="29">
        <v>44589.742928240739</v>
      </c>
      <c r="C43" s="27">
        <f t="shared" si="1"/>
        <v>420</v>
      </c>
      <c r="D43" s="27">
        <v>127</v>
      </c>
      <c r="E43" s="27" t="s">
        <v>577</v>
      </c>
      <c r="F43" s="27">
        <v>2</v>
      </c>
      <c r="G43" s="27">
        <v>1</v>
      </c>
      <c r="H43" s="27">
        <v>1</v>
      </c>
      <c r="I43" s="27" t="s">
        <v>1431</v>
      </c>
      <c r="J43" s="27" t="s">
        <v>1495</v>
      </c>
      <c r="K43" s="27">
        <v>368</v>
      </c>
      <c r="L43" s="27">
        <v>369</v>
      </c>
      <c r="M43" s="27">
        <v>-83</v>
      </c>
      <c r="N43" s="27">
        <v>257</v>
      </c>
      <c r="O43" s="27">
        <v>33463</v>
      </c>
      <c r="P43" s="27">
        <v>11</v>
      </c>
      <c r="Q43" s="27">
        <v>4390167</v>
      </c>
      <c r="R43" s="27">
        <v>110</v>
      </c>
      <c r="S43" s="27">
        <v>2</v>
      </c>
      <c r="T43" s="27">
        <v>1126</v>
      </c>
      <c r="U43" s="27">
        <v>256</v>
      </c>
      <c r="V43" s="27">
        <v>1035520017</v>
      </c>
      <c r="W43" s="27">
        <v>-108</v>
      </c>
      <c r="X43" s="27">
        <v>1</v>
      </c>
      <c r="Y43" s="27">
        <v>17475779</v>
      </c>
      <c r="Z43" s="27">
        <v>22035</v>
      </c>
      <c r="AA43" s="27">
        <v>3048170412</v>
      </c>
      <c r="AB43" s="27">
        <v>1105712</v>
      </c>
    </row>
    <row r="44" spans="1:28" ht="24" customHeight="1" x14ac:dyDescent="0.2">
      <c r="A44" s="27">
        <v>39</v>
      </c>
      <c r="B44" s="29">
        <v>44589.743043981478</v>
      </c>
      <c r="C44" s="27">
        <f t="shared" si="1"/>
        <v>430</v>
      </c>
      <c r="D44" s="27">
        <v>125</v>
      </c>
      <c r="E44" s="27" t="s">
        <v>590</v>
      </c>
      <c r="F44" s="27">
        <v>1</v>
      </c>
      <c r="G44" s="27">
        <v>0</v>
      </c>
      <c r="H44" s="27">
        <v>1</v>
      </c>
      <c r="I44" s="27" t="s">
        <v>1433</v>
      </c>
      <c r="J44" s="27" t="s">
        <v>622</v>
      </c>
      <c r="K44" s="27">
        <v>368</v>
      </c>
      <c r="L44" s="27">
        <v>369</v>
      </c>
      <c r="M44" s="27">
        <v>-83</v>
      </c>
      <c r="N44" s="27">
        <v>257</v>
      </c>
      <c r="O44" s="27">
        <v>33464</v>
      </c>
      <c r="P44" s="27">
        <v>11</v>
      </c>
      <c r="Q44" s="27">
        <v>4390261</v>
      </c>
      <c r="R44" s="27">
        <v>110</v>
      </c>
      <c r="S44" s="27">
        <v>2</v>
      </c>
      <c r="T44" s="27">
        <v>1126</v>
      </c>
      <c r="U44" s="27">
        <v>256</v>
      </c>
      <c r="V44" s="27">
        <v>1035520017</v>
      </c>
      <c r="W44" s="27">
        <v>-96</v>
      </c>
      <c r="X44" s="27">
        <v>1</v>
      </c>
      <c r="Y44" s="27">
        <v>17475780</v>
      </c>
      <c r="Z44" s="27">
        <v>22035</v>
      </c>
      <c r="AA44" s="27">
        <v>3048170506</v>
      </c>
      <c r="AB44" s="27">
        <v>1105712</v>
      </c>
    </row>
    <row r="45" spans="1:28" ht="24" customHeight="1" x14ac:dyDescent="0.2">
      <c r="A45" s="27">
        <v>40</v>
      </c>
      <c r="B45" s="29">
        <v>44589.743159722217</v>
      </c>
      <c r="C45" s="27">
        <f t="shared" si="1"/>
        <v>440</v>
      </c>
      <c r="D45" s="27">
        <v>124</v>
      </c>
      <c r="E45" s="27" t="s">
        <v>577</v>
      </c>
      <c r="F45" s="27">
        <v>1</v>
      </c>
      <c r="G45" s="27">
        <v>1</v>
      </c>
      <c r="H45" s="27">
        <v>0</v>
      </c>
      <c r="I45" s="27" t="s">
        <v>1434</v>
      </c>
      <c r="J45" s="27" t="s">
        <v>627</v>
      </c>
      <c r="K45" s="27">
        <v>368</v>
      </c>
      <c r="L45" s="27">
        <v>369</v>
      </c>
      <c r="M45" s="27">
        <v>-83</v>
      </c>
      <c r="N45" s="27">
        <v>257</v>
      </c>
      <c r="O45" s="27">
        <v>33465</v>
      </c>
      <c r="P45" s="27">
        <v>11</v>
      </c>
      <c r="Q45" s="27">
        <v>4390355</v>
      </c>
      <c r="R45" s="27">
        <v>110</v>
      </c>
      <c r="S45" s="27">
        <v>2</v>
      </c>
      <c r="T45" s="27">
        <v>1126</v>
      </c>
      <c r="U45" s="27">
        <v>256</v>
      </c>
      <c r="V45" s="27">
        <v>1035520017</v>
      </c>
      <c r="W45" s="27">
        <v>-100</v>
      </c>
      <c r="X45" s="27">
        <v>1</v>
      </c>
      <c r="Y45" s="27">
        <v>17475781</v>
      </c>
      <c r="Z45" s="27">
        <v>22035</v>
      </c>
      <c r="AA45" s="27">
        <v>3048170600</v>
      </c>
      <c r="AB45" s="27">
        <v>1105712</v>
      </c>
    </row>
    <row r="46" spans="1:28" ht="24" customHeight="1" x14ac:dyDescent="0.2">
      <c r="A46" s="27">
        <v>41</v>
      </c>
      <c r="B46" s="29">
        <v>44589.743275462963</v>
      </c>
      <c r="C46" s="27">
        <f t="shared" si="1"/>
        <v>450</v>
      </c>
      <c r="D46" s="27">
        <v>123</v>
      </c>
      <c r="E46" s="27" t="s">
        <v>577</v>
      </c>
      <c r="F46" s="27">
        <v>1</v>
      </c>
      <c r="G46" s="27">
        <v>1</v>
      </c>
      <c r="H46" s="27">
        <v>0</v>
      </c>
      <c r="I46" s="27" t="s">
        <v>1436</v>
      </c>
      <c r="J46" s="27" t="s">
        <v>627</v>
      </c>
      <c r="K46" s="27">
        <v>368</v>
      </c>
      <c r="L46" s="27">
        <v>368</v>
      </c>
      <c r="M46" s="27">
        <v>-83</v>
      </c>
      <c r="N46" s="27">
        <v>257</v>
      </c>
      <c r="O46" s="27">
        <v>33466</v>
      </c>
      <c r="P46" s="27">
        <v>11</v>
      </c>
      <c r="Q46" s="27">
        <v>4390449</v>
      </c>
      <c r="R46" s="27">
        <v>110</v>
      </c>
      <c r="S46" s="27">
        <v>2</v>
      </c>
      <c r="T46" s="27">
        <v>1126</v>
      </c>
      <c r="U46" s="27">
        <v>256</v>
      </c>
      <c r="V46" s="27">
        <v>1035520017</v>
      </c>
      <c r="W46" s="27">
        <v>-101</v>
      </c>
      <c r="X46" s="27">
        <v>1</v>
      </c>
      <c r="Y46" s="27">
        <v>17475782</v>
      </c>
      <c r="Z46" s="27">
        <v>22035</v>
      </c>
      <c r="AA46" s="27">
        <v>3048170694</v>
      </c>
      <c r="AB46" s="27">
        <v>1105712</v>
      </c>
    </row>
    <row r="47" spans="1:28" ht="24" customHeight="1" x14ac:dyDescent="0.2">
      <c r="A47" s="27">
        <v>42</v>
      </c>
      <c r="B47" s="29">
        <v>44589.743506944447</v>
      </c>
      <c r="C47" s="27">
        <f t="shared" si="1"/>
        <v>470</v>
      </c>
      <c r="D47" s="27">
        <v>122</v>
      </c>
      <c r="E47" s="27" t="s">
        <v>577</v>
      </c>
      <c r="F47" s="27">
        <v>1</v>
      </c>
      <c r="G47" s="27">
        <v>1</v>
      </c>
      <c r="H47" s="27">
        <v>0</v>
      </c>
      <c r="I47" s="27" t="s">
        <v>1438</v>
      </c>
      <c r="J47" s="27" t="s">
        <v>627</v>
      </c>
      <c r="K47" s="27">
        <v>368</v>
      </c>
      <c r="L47" s="27">
        <v>368</v>
      </c>
      <c r="M47" s="27">
        <v>-83</v>
      </c>
      <c r="N47" s="27">
        <v>257</v>
      </c>
      <c r="O47" s="27">
        <v>33468</v>
      </c>
      <c r="P47" s="27">
        <v>11</v>
      </c>
      <c r="Q47" s="27">
        <v>4390637</v>
      </c>
      <c r="R47" s="27">
        <v>110</v>
      </c>
      <c r="S47" s="27">
        <v>2</v>
      </c>
      <c r="T47" s="27">
        <v>1126</v>
      </c>
      <c r="U47" s="27">
        <v>256</v>
      </c>
      <c r="V47" s="27">
        <v>1035520017</v>
      </c>
      <c r="W47" s="27">
        <v>-109</v>
      </c>
      <c r="X47" s="27">
        <v>1</v>
      </c>
      <c r="Y47" s="27">
        <v>17475784</v>
      </c>
      <c r="Z47" s="27">
        <v>22035</v>
      </c>
      <c r="AA47" s="27">
        <v>3048170882</v>
      </c>
      <c r="AB47" s="27">
        <v>1105712</v>
      </c>
    </row>
    <row r="48" spans="1:28" ht="24" customHeight="1" x14ac:dyDescent="0.2">
      <c r="A48" s="27">
        <v>43</v>
      </c>
      <c r="B48" s="29">
        <v>44589.743738425917</v>
      </c>
      <c r="C48" s="27">
        <f t="shared" si="1"/>
        <v>490</v>
      </c>
      <c r="D48" s="27">
        <v>121</v>
      </c>
      <c r="E48" s="27" t="s">
        <v>577</v>
      </c>
      <c r="F48" s="27">
        <v>1</v>
      </c>
      <c r="G48" s="27">
        <v>1</v>
      </c>
      <c r="H48" s="27">
        <v>0</v>
      </c>
      <c r="I48" s="27" t="s">
        <v>1440</v>
      </c>
      <c r="J48" s="27" t="s">
        <v>627</v>
      </c>
      <c r="K48" s="27">
        <v>368</v>
      </c>
      <c r="L48" s="27">
        <v>368</v>
      </c>
      <c r="M48" s="27">
        <v>-83</v>
      </c>
      <c r="N48" s="27">
        <v>257</v>
      </c>
      <c r="O48" s="27">
        <v>33470</v>
      </c>
      <c r="P48" s="27">
        <v>11</v>
      </c>
      <c r="Q48" s="27">
        <v>4390825</v>
      </c>
      <c r="R48" s="27">
        <v>110</v>
      </c>
      <c r="S48" s="27">
        <v>2</v>
      </c>
      <c r="T48" s="27">
        <v>1126</v>
      </c>
      <c r="U48" s="27">
        <v>256</v>
      </c>
      <c r="V48" s="27">
        <v>1035520017</v>
      </c>
      <c r="W48" s="27">
        <v>-111</v>
      </c>
      <c r="X48" s="27">
        <v>1</v>
      </c>
      <c r="Y48" s="27">
        <v>17475786</v>
      </c>
      <c r="Z48" s="27">
        <v>22035</v>
      </c>
      <c r="AA48" s="27">
        <v>3048171070</v>
      </c>
      <c r="AB48" s="27">
        <v>1105712</v>
      </c>
    </row>
    <row r="49" spans="1:28" ht="24" customHeight="1" x14ac:dyDescent="0.2">
      <c r="A49" s="27">
        <v>44</v>
      </c>
      <c r="B49" s="29">
        <v>44589.743854166663</v>
      </c>
      <c r="C49" s="27">
        <f t="shared" si="1"/>
        <v>500</v>
      </c>
      <c r="D49" s="27">
        <v>120</v>
      </c>
      <c r="E49" s="27" t="s">
        <v>577</v>
      </c>
      <c r="F49" s="27">
        <v>1</v>
      </c>
      <c r="G49" s="27">
        <v>1</v>
      </c>
      <c r="H49" s="27">
        <v>0</v>
      </c>
      <c r="I49" s="27" t="s">
        <v>1442</v>
      </c>
      <c r="J49" s="27" t="s">
        <v>627</v>
      </c>
      <c r="K49" s="27">
        <v>367</v>
      </c>
      <c r="L49" s="27">
        <v>368</v>
      </c>
      <c r="M49" s="27">
        <v>-83</v>
      </c>
      <c r="N49" s="27">
        <v>257</v>
      </c>
      <c r="O49" s="27">
        <v>33471</v>
      </c>
      <c r="P49" s="27">
        <v>11</v>
      </c>
      <c r="Q49" s="27">
        <v>4390919</v>
      </c>
      <c r="R49" s="27">
        <v>110</v>
      </c>
      <c r="S49" s="27">
        <v>2</v>
      </c>
      <c r="T49" s="27">
        <v>1126</v>
      </c>
      <c r="U49" s="27">
        <v>256</v>
      </c>
      <c r="V49" s="27">
        <v>1035520017</v>
      </c>
      <c r="W49" s="27">
        <v>-105</v>
      </c>
      <c r="X49" s="27">
        <v>1</v>
      </c>
      <c r="Y49" s="27">
        <v>17475787</v>
      </c>
      <c r="Z49" s="27">
        <v>22035</v>
      </c>
      <c r="AA49" s="27">
        <v>3048171164</v>
      </c>
      <c r="AB49" s="27">
        <v>1105712</v>
      </c>
    </row>
    <row r="50" spans="1:28" ht="24" customHeight="1" x14ac:dyDescent="0.2">
      <c r="A50" s="27">
        <v>45</v>
      </c>
      <c r="B50" s="29">
        <v>44589.743969907409</v>
      </c>
      <c r="C50" s="27">
        <f t="shared" si="1"/>
        <v>510</v>
      </c>
      <c r="D50" s="27">
        <v>119</v>
      </c>
      <c r="E50" s="27" t="s">
        <v>577</v>
      </c>
      <c r="F50" s="27">
        <v>1</v>
      </c>
      <c r="G50" s="27">
        <v>1</v>
      </c>
      <c r="H50" s="27">
        <v>0</v>
      </c>
      <c r="I50" s="27" t="s">
        <v>1444</v>
      </c>
      <c r="J50" s="27" t="s">
        <v>627</v>
      </c>
      <c r="K50" s="27">
        <v>367</v>
      </c>
      <c r="L50" s="27">
        <v>368</v>
      </c>
      <c r="M50" s="27">
        <v>-83</v>
      </c>
      <c r="N50" s="27">
        <v>257</v>
      </c>
      <c r="O50" s="27">
        <v>33472</v>
      </c>
      <c r="P50" s="27">
        <v>11</v>
      </c>
      <c r="Q50" s="27">
        <v>4391013</v>
      </c>
      <c r="R50" s="27">
        <v>110</v>
      </c>
      <c r="S50" s="27">
        <v>2</v>
      </c>
      <c r="T50" s="27">
        <v>1126</v>
      </c>
      <c r="U50" s="27">
        <v>256</v>
      </c>
      <c r="V50" s="27">
        <v>1035520017</v>
      </c>
      <c r="W50" s="27">
        <v>-89</v>
      </c>
      <c r="X50" s="27">
        <v>1</v>
      </c>
      <c r="Y50" s="27">
        <v>17475788</v>
      </c>
      <c r="Z50" s="27">
        <v>22035</v>
      </c>
      <c r="AA50" s="27">
        <v>3048171258</v>
      </c>
      <c r="AB50" s="27">
        <v>1105712</v>
      </c>
    </row>
    <row r="51" spans="1:28" ht="24" customHeight="1" x14ac:dyDescent="0.2">
      <c r="A51" s="27">
        <v>46</v>
      </c>
      <c r="B51" s="29">
        <v>44589.744085648148</v>
      </c>
      <c r="C51" s="27">
        <f t="shared" si="1"/>
        <v>520</v>
      </c>
      <c r="D51" s="27">
        <v>118</v>
      </c>
      <c r="E51" s="27" t="s">
        <v>577</v>
      </c>
      <c r="F51" s="27">
        <v>1</v>
      </c>
      <c r="G51" s="27">
        <v>1</v>
      </c>
      <c r="H51" s="27">
        <v>0</v>
      </c>
      <c r="I51" s="27" t="s">
        <v>1446</v>
      </c>
      <c r="J51" s="27" t="s">
        <v>627</v>
      </c>
      <c r="K51" s="27">
        <v>367</v>
      </c>
      <c r="L51" s="27">
        <v>368</v>
      </c>
      <c r="M51" s="27">
        <v>-83</v>
      </c>
      <c r="N51" s="27">
        <v>257</v>
      </c>
      <c r="O51" s="27">
        <v>33473</v>
      </c>
      <c r="P51" s="27">
        <v>11</v>
      </c>
      <c r="Q51" s="27">
        <v>4391107</v>
      </c>
      <c r="R51" s="27">
        <v>110</v>
      </c>
      <c r="S51" s="27">
        <v>2</v>
      </c>
      <c r="T51" s="27">
        <v>1126</v>
      </c>
      <c r="U51" s="27">
        <v>256</v>
      </c>
      <c r="V51" s="27">
        <v>1035520017</v>
      </c>
      <c r="W51" s="27">
        <v>-109</v>
      </c>
      <c r="X51" s="27">
        <v>1</v>
      </c>
      <c r="Y51" s="27">
        <v>17475789</v>
      </c>
      <c r="Z51" s="27">
        <v>22035</v>
      </c>
      <c r="AA51" s="27">
        <v>3048171352</v>
      </c>
      <c r="AB51" s="27">
        <v>1105712</v>
      </c>
    </row>
    <row r="52" spans="1:28" ht="24" customHeight="1" x14ac:dyDescent="0.2">
      <c r="A52" s="27">
        <v>47</v>
      </c>
      <c r="B52" s="29">
        <v>44589.744201388887</v>
      </c>
      <c r="C52" s="27">
        <f t="shared" si="1"/>
        <v>530</v>
      </c>
      <c r="D52" s="27">
        <v>117</v>
      </c>
      <c r="E52" s="27" t="s">
        <v>577</v>
      </c>
      <c r="F52" s="27">
        <v>1</v>
      </c>
      <c r="G52" s="27">
        <v>1</v>
      </c>
      <c r="H52" s="27">
        <v>0</v>
      </c>
      <c r="I52" s="27" t="s">
        <v>1448</v>
      </c>
      <c r="J52" s="27" t="s">
        <v>627</v>
      </c>
      <c r="K52" s="27">
        <v>367</v>
      </c>
      <c r="L52" s="27">
        <v>368</v>
      </c>
      <c r="M52" s="27">
        <v>-83</v>
      </c>
      <c r="N52" s="27">
        <v>257</v>
      </c>
      <c r="O52" s="27">
        <v>33474</v>
      </c>
      <c r="P52" s="27">
        <v>11</v>
      </c>
      <c r="Q52" s="27">
        <v>4391201</v>
      </c>
      <c r="R52" s="27">
        <v>110</v>
      </c>
      <c r="S52" s="27">
        <v>2</v>
      </c>
      <c r="T52" s="27">
        <v>1126</v>
      </c>
      <c r="U52" s="27">
        <v>256</v>
      </c>
      <c r="V52" s="27">
        <v>1035520017</v>
      </c>
      <c r="W52" s="27">
        <v>-91</v>
      </c>
      <c r="X52" s="27">
        <v>1</v>
      </c>
      <c r="Y52" s="27">
        <v>17475790</v>
      </c>
      <c r="Z52" s="27">
        <v>22035</v>
      </c>
      <c r="AA52" s="27">
        <v>3048171446</v>
      </c>
      <c r="AB52" s="27">
        <v>1105712</v>
      </c>
    </row>
    <row r="53" spans="1:28" ht="24" customHeight="1" x14ac:dyDescent="0.2">
      <c r="A53" s="27">
        <v>48</v>
      </c>
      <c r="B53" s="29">
        <v>44589.744317129633</v>
      </c>
      <c r="C53" s="27">
        <f t="shared" si="1"/>
        <v>540</v>
      </c>
      <c r="D53" s="27">
        <v>116</v>
      </c>
      <c r="E53" s="27" t="s">
        <v>577</v>
      </c>
      <c r="F53" s="27">
        <v>1</v>
      </c>
      <c r="G53" s="27">
        <v>1</v>
      </c>
      <c r="H53" s="27">
        <v>0</v>
      </c>
      <c r="I53" s="27" t="s">
        <v>1450</v>
      </c>
      <c r="J53" s="27" t="s">
        <v>627</v>
      </c>
      <c r="K53" s="27">
        <v>367</v>
      </c>
      <c r="L53" s="27">
        <v>368</v>
      </c>
      <c r="M53" s="27">
        <v>-83</v>
      </c>
      <c r="N53" s="27">
        <v>257</v>
      </c>
      <c r="O53" s="27">
        <v>33475</v>
      </c>
      <c r="P53" s="27">
        <v>11</v>
      </c>
      <c r="Q53" s="27">
        <v>4391295</v>
      </c>
      <c r="R53" s="27">
        <v>110</v>
      </c>
      <c r="S53" s="27">
        <v>2</v>
      </c>
      <c r="T53" s="27">
        <v>1126</v>
      </c>
      <c r="U53" s="27">
        <v>256</v>
      </c>
      <c r="V53" s="27">
        <v>1035520017</v>
      </c>
      <c r="W53" s="27">
        <v>-109</v>
      </c>
      <c r="X53" s="27">
        <v>1</v>
      </c>
      <c r="Y53" s="27">
        <v>17475791</v>
      </c>
      <c r="Z53" s="27">
        <v>22035</v>
      </c>
      <c r="AA53" s="27">
        <v>3048171540</v>
      </c>
      <c r="AB53" s="27">
        <v>1105712</v>
      </c>
    </row>
    <row r="54" spans="1:28" ht="24" customHeight="1" x14ac:dyDescent="0.2">
      <c r="A54" s="27">
        <v>49</v>
      </c>
      <c r="B54" s="29">
        <v>44589.744432870371</v>
      </c>
      <c r="C54" s="27">
        <f t="shared" si="1"/>
        <v>550</v>
      </c>
      <c r="D54" s="27">
        <v>115</v>
      </c>
      <c r="E54" s="27" t="s">
        <v>577</v>
      </c>
      <c r="F54" s="27">
        <v>1</v>
      </c>
      <c r="G54" s="27">
        <v>1</v>
      </c>
      <c r="H54" s="27">
        <v>0</v>
      </c>
      <c r="I54" s="27" t="s">
        <v>1452</v>
      </c>
      <c r="J54" s="27" t="s">
        <v>627</v>
      </c>
      <c r="K54" s="27">
        <v>367</v>
      </c>
      <c r="L54" s="27">
        <v>368</v>
      </c>
      <c r="M54" s="27">
        <v>-83</v>
      </c>
      <c r="N54" s="27">
        <v>257</v>
      </c>
      <c r="O54" s="27">
        <v>33476</v>
      </c>
      <c r="P54" s="27">
        <v>11</v>
      </c>
      <c r="Q54" s="27">
        <v>4391389</v>
      </c>
      <c r="R54" s="27">
        <v>110</v>
      </c>
      <c r="S54" s="27">
        <v>2</v>
      </c>
      <c r="T54" s="27">
        <v>1126</v>
      </c>
      <c r="U54" s="27">
        <v>256</v>
      </c>
      <c r="V54" s="27">
        <v>1035520017</v>
      </c>
      <c r="W54" s="27">
        <v>-111</v>
      </c>
      <c r="X54" s="27">
        <v>1</v>
      </c>
      <c r="Y54" s="27">
        <v>17475792</v>
      </c>
      <c r="Z54" s="27">
        <v>22035</v>
      </c>
      <c r="AA54" s="27">
        <v>3048171634</v>
      </c>
      <c r="AB54" s="27">
        <v>1105712</v>
      </c>
    </row>
    <row r="55" spans="1:28" ht="24" customHeight="1" x14ac:dyDescent="0.2">
      <c r="A55" s="27">
        <v>50</v>
      </c>
      <c r="B55" s="29">
        <v>44589.74454861111</v>
      </c>
      <c r="C55" s="27">
        <f t="shared" si="1"/>
        <v>560</v>
      </c>
      <c r="D55" s="27">
        <v>114</v>
      </c>
      <c r="E55" s="27" t="s">
        <v>577</v>
      </c>
      <c r="F55" s="27">
        <v>1</v>
      </c>
      <c r="G55" s="27">
        <v>1</v>
      </c>
      <c r="H55" s="27">
        <v>0</v>
      </c>
      <c r="I55" s="27" t="s">
        <v>1454</v>
      </c>
      <c r="J55" s="27" t="s">
        <v>627</v>
      </c>
      <c r="K55" s="27">
        <v>367</v>
      </c>
      <c r="L55" s="27">
        <v>368</v>
      </c>
      <c r="M55" s="27">
        <v>-83</v>
      </c>
      <c r="N55" s="27">
        <v>257</v>
      </c>
      <c r="O55" s="27">
        <v>33477</v>
      </c>
      <c r="P55" s="27">
        <v>11</v>
      </c>
      <c r="Q55" s="27">
        <v>4391483</v>
      </c>
      <c r="R55" s="27">
        <v>110</v>
      </c>
      <c r="S55" s="27">
        <v>2</v>
      </c>
      <c r="T55" s="27">
        <v>1126</v>
      </c>
      <c r="U55" s="27">
        <v>256</v>
      </c>
      <c r="V55" s="27">
        <v>1035520017</v>
      </c>
      <c r="W55" s="27">
        <v>-111</v>
      </c>
      <c r="X55" s="27">
        <v>1</v>
      </c>
      <c r="Y55" s="27">
        <v>17475793</v>
      </c>
      <c r="Z55" s="27">
        <v>22035</v>
      </c>
      <c r="AA55" s="27">
        <v>3048171728</v>
      </c>
      <c r="AB55" s="27">
        <v>1105712</v>
      </c>
    </row>
    <row r="56" spans="1:28" ht="24" customHeight="1" x14ac:dyDescent="0.2">
      <c r="A56" s="27">
        <v>51</v>
      </c>
      <c r="B56" s="29">
        <v>44589.744664351849</v>
      </c>
      <c r="C56" s="27">
        <f t="shared" si="1"/>
        <v>570</v>
      </c>
      <c r="D56" s="27">
        <v>113</v>
      </c>
      <c r="E56" s="27" t="s">
        <v>577</v>
      </c>
      <c r="F56" s="27">
        <v>1</v>
      </c>
      <c r="G56" s="27">
        <v>1</v>
      </c>
      <c r="H56" s="27">
        <v>0</v>
      </c>
      <c r="I56" s="27" t="s">
        <v>1456</v>
      </c>
      <c r="J56" s="27" t="s">
        <v>627</v>
      </c>
      <c r="K56" s="27">
        <v>367</v>
      </c>
      <c r="L56" s="27">
        <v>368</v>
      </c>
      <c r="M56" s="27">
        <v>-83</v>
      </c>
      <c r="N56" s="27">
        <v>257</v>
      </c>
      <c r="O56" s="27">
        <v>33478</v>
      </c>
      <c r="P56" s="27">
        <v>11</v>
      </c>
      <c r="Q56" s="27">
        <v>4391577</v>
      </c>
      <c r="R56" s="27">
        <v>110</v>
      </c>
      <c r="S56" s="27">
        <v>2</v>
      </c>
      <c r="T56" s="27">
        <v>1126</v>
      </c>
      <c r="U56" s="27">
        <v>256</v>
      </c>
      <c r="V56" s="27">
        <v>1035520017</v>
      </c>
      <c r="W56" s="27">
        <v>-102</v>
      </c>
      <c r="X56" s="27">
        <v>1</v>
      </c>
      <c r="Y56" s="27">
        <v>17475794</v>
      </c>
      <c r="Z56" s="27">
        <v>22035</v>
      </c>
      <c r="AA56" s="27">
        <v>3048171822</v>
      </c>
      <c r="AB56" s="27">
        <v>1105712</v>
      </c>
    </row>
    <row r="57" spans="1:28" ht="24" customHeight="1" x14ac:dyDescent="0.2">
      <c r="A57" s="27">
        <v>52</v>
      </c>
      <c r="B57" s="29">
        <v>44589.744780092587</v>
      </c>
      <c r="C57" s="27">
        <f t="shared" si="1"/>
        <v>580</v>
      </c>
      <c r="D57" s="27">
        <v>112</v>
      </c>
      <c r="E57" s="27" t="s">
        <v>577</v>
      </c>
      <c r="F57" s="27">
        <v>1</v>
      </c>
      <c r="G57" s="27">
        <v>1</v>
      </c>
      <c r="H57" s="27">
        <v>0</v>
      </c>
      <c r="I57" s="27" t="s">
        <v>1458</v>
      </c>
      <c r="J57" s="27" t="s">
        <v>627</v>
      </c>
      <c r="K57" s="27">
        <v>367</v>
      </c>
      <c r="L57" s="27">
        <v>368</v>
      </c>
      <c r="M57" s="27">
        <v>-83</v>
      </c>
      <c r="N57" s="27">
        <v>257</v>
      </c>
      <c r="O57" s="27">
        <v>33479</v>
      </c>
      <c r="P57" s="27">
        <v>11</v>
      </c>
      <c r="Q57" s="27">
        <v>4391671</v>
      </c>
      <c r="R57" s="27">
        <v>110</v>
      </c>
      <c r="S57" s="27">
        <v>2</v>
      </c>
      <c r="T57" s="27">
        <v>1126</v>
      </c>
      <c r="U57" s="27">
        <v>256</v>
      </c>
      <c r="V57" s="27">
        <v>1035520017</v>
      </c>
      <c r="W57" s="27">
        <v>-112</v>
      </c>
      <c r="X57" s="27">
        <v>1</v>
      </c>
      <c r="Y57" s="27">
        <v>17475795</v>
      </c>
      <c r="Z57" s="27">
        <v>22035</v>
      </c>
      <c r="AA57" s="27">
        <v>3048171916</v>
      </c>
      <c r="AB57" s="27">
        <v>1105712</v>
      </c>
    </row>
    <row r="58" spans="1:28" ht="24" customHeight="1" x14ac:dyDescent="0.2">
      <c r="A58" s="27">
        <v>53</v>
      </c>
      <c r="B58" s="29">
        <v>44589.744895833333</v>
      </c>
      <c r="C58" s="27">
        <f t="shared" si="1"/>
        <v>590</v>
      </c>
      <c r="D58" s="27">
        <v>111</v>
      </c>
      <c r="E58" s="27" t="s">
        <v>577</v>
      </c>
      <c r="F58" s="27">
        <v>1</v>
      </c>
      <c r="G58" s="27">
        <v>1</v>
      </c>
      <c r="H58" s="27">
        <v>0</v>
      </c>
      <c r="I58" s="27" t="s">
        <v>1460</v>
      </c>
      <c r="J58" s="27" t="s">
        <v>627</v>
      </c>
      <c r="K58" s="27">
        <v>367</v>
      </c>
      <c r="L58" s="27">
        <v>368</v>
      </c>
      <c r="M58" s="27">
        <v>-83</v>
      </c>
      <c r="N58" s="27">
        <v>257</v>
      </c>
      <c r="O58" s="27">
        <v>33480</v>
      </c>
      <c r="P58" s="27">
        <v>11</v>
      </c>
      <c r="Q58" s="27">
        <v>4391765</v>
      </c>
      <c r="R58" s="27">
        <v>110</v>
      </c>
      <c r="S58" s="27">
        <v>2</v>
      </c>
      <c r="T58" s="27">
        <v>1126</v>
      </c>
      <c r="U58" s="27">
        <v>256</v>
      </c>
      <c r="V58" s="27">
        <v>1035520017</v>
      </c>
      <c r="W58" s="27">
        <v>-111</v>
      </c>
      <c r="X58" s="27">
        <v>1</v>
      </c>
      <c r="Y58" s="27">
        <v>17475796</v>
      </c>
      <c r="Z58" s="27">
        <v>22035</v>
      </c>
      <c r="AA58" s="27">
        <v>3048172010</v>
      </c>
      <c r="AB58" s="27">
        <v>1105712</v>
      </c>
    </row>
    <row r="59" spans="1:28" ht="24" customHeight="1" x14ac:dyDescent="0.2">
      <c r="A59" s="27">
        <v>54</v>
      </c>
      <c r="B59" s="29">
        <v>44589.745011574072</v>
      </c>
      <c r="C59" s="27">
        <f t="shared" si="1"/>
        <v>600</v>
      </c>
      <c r="D59" s="27">
        <v>110</v>
      </c>
      <c r="E59" s="27" t="s">
        <v>577</v>
      </c>
      <c r="F59" s="27">
        <v>1</v>
      </c>
      <c r="G59" s="27">
        <v>1</v>
      </c>
      <c r="H59" s="27">
        <v>0</v>
      </c>
      <c r="I59" s="27" t="s">
        <v>1462</v>
      </c>
      <c r="J59" s="27" t="s">
        <v>627</v>
      </c>
      <c r="K59" s="27">
        <v>366</v>
      </c>
      <c r="L59" s="27">
        <v>368</v>
      </c>
      <c r="M59" s="27">
        <v>-83</v>
      </c>
      <c r="N59" s="27">
        <v>257</v>
      </c>
      <c r="O59" s="27">
        <v>33481</v>
      </c>
      <c r="P59" s="27">
        <v>11</v>
      </c>
      <c r="Q59" s="27">
        <v>4391859</v>
      </c>
      <c r="R59" s="27">
        <v>110</v>
      </c>
      <c r="S59" s="27">
        <v>2</v>
      </c>
      <c r="T59" s="27">
        <v>1126</v>
      </c>
      <c r="U59" s="27">
        <v>256</v>
      </c>
      <c r="V59" s="27">
        <v>1035520017</v>
      </c>
      <c r="W59" s="27">
        <v>-111</v>
      </c>
      <c r="X59" s="27">
        <v>1</v>
      </c>
      <c r="Y59" s="27">
        <v>17475797</v>
      </c>
      <c r="Z59" s="27">
        <v>22035</v>
      </c>
      <c r="AA59" s="27">
        <v>3048172104</v>
      </c>
      <c r="AB59" s="27">
        <v>1105712</v>
      </c>
    </row>
    <row r="60" spans="1:28" ht="24" customHeight="1" x14ac:dyDescent="0.2">
      <c r="A60" s="27">
        <v>55</v>
      </c>
      <c r="B60" s="29">
        <v>44589.745127314818</v>
      </c>
      <c r="C60" s="27">
        <f t="shared" si="1"/>
        <v>610</v>
      </c>
      <c r="D60" s="27">
        <v>109</v>
      </c>
      <c r="E60" s="27" t="s">
        <v>577</v>
      </c>
      <c r="F60" s="27">
        <v>1</v>
      </c>
      <c r="G60" s="27">
        <v>1</v>
      </c>
      <c r="H60" s="27">
        <v>0</v>
      </c>
      <c r="I60" s="27" t="s">
        <v>1464</v>
      </c>
      <c r="J60" s="27" t="s">
        <v>627</v>
      </c>
      <c r="K60" s="27">
        <v>366</v>
      </c>
      <c r="L60" s="27">
        <v>368</v>
      </c>
      <c r="M60" s="27">
        <v>-83</v>
      </c>
      <c r="N60" s="27">
        <v>257</v>
      </c>
      <c r="O60" s="27">
        <v>33482</v>
      </c>
      <c r="P60" s="27">
        <v>11</v>
      </c>
      <c r="Q60" s="27">
        <v>4391953</v>
      </c>
      <c r="R60" s="27">
        <v>110</v>
      </c>
      <c r="S60" s="27">
        <v>2</v>
      </c>
      <c r="T60" s="27">
        <v>1126</v>
      </c>
      <c r="U60" s="27">
        <v>256</v>
      </c>
      <c r="V60" s="27">
        <v>1035520017</v>
      </c>
      <c r="W60" s="27">
        <v>-112</v>
      </c>
      <c r="X60" s="27">
        <v>1</v>
      </c>
      <c r="Y60" s="27">
        <v>17475798</v>
      </c>
      <c r="Z60" s="27">
        <v>22035</v>
      </c>
      <c r="AA60" s="27">
        <v>3048172198</v>
      </c>
      <c r="AB60" s="27">
        <v>1105712</v>
      </c>
    </row>
    <row r="61" spans="1:28" ht="24" customHeight="1" x14ac:dyDescent="0.2">
      <c r="A61" s="27">
        <v>56</v>
      </c>
      <c r="B61" s="29">
        <v>44589.745254629634</v>
      </c>
      <c r="C61" s="27">
        <f t="shared" si="1"/>
        <v>621</v>
      </c>
      <c r="D61" s="27">
        <v>108</v>
      </c>
      <c r="E61" s="27" t="s">
        <v>577</v>
      </c>
      <c r="F61" s="27">
        <v>1</v>
      </c>
      <c r="G61" s="27">
        <v>1</v>
      </c>
      <c r="H61" s="27">
        <v>0</v>
      </c>
      <c r="I61" s="27" t="s">
        <v>1466</v>
      </c>
      <c r="J61" s="27" t="s">
        <v>627</v>
      </c>
      <c r="K61" s="27">
        <v>366</v>
      </c>
      <c r="L61" s="27">
        <v>368</v>
      </c>
      <c r="M61" s="27">
        <v>-83</v>
      </c>
      <c r="N61" s="27">
        <v>257</v>
      </c>
      <c r="O61" s="27">
        <v>33483</v>
      </c>
      <c r="P61" s="27">
        <v>11</v>
      </c>
      <c r="Q61" s="27">
        <v>4392047</v>
      </c>
      <c r="R61" s="27">
        <v>110</v>
      </c>
      <c r="S61" s="27">
        <v>2</v>
      </c>
      <c r="T61" s="27">
        <v>1126</v>
      </c>
      <c r="U61" s="27">
        <v>256</v>
      </c>
      <c r="V61" s="27">
        <v>1035520017</v>
      </c>
      <c r="W61" s="27">
        <v>-114</v>
      </c>
      <c r="X61" s="27">
        <v>1</v>
      </c>
      <c r="Y61" s="27">
        <v>17475799</v>
      </c>
      <c r="Z61" s="27">
        <v>22035</v>
      </c>
      <c r="AA61" s="27">
        <v>3048172292</v>
      </c>
      <c r="AB61" s="27">
        <v>1105712</v>
      </c>
    </row>
    <row r="62" spans="1:28" ht="24" customHeight="1" x14ac:dyDescent="0.2">
      <c r="A62" s="27">
        <v>57</v>
      </c>
      <c r="B62" s="29">
        <v>44589.745358796303</v>
      </c>
      <c r="C62" s="27">
        <f t="shared" si="1"/>
        <v>630</v>
      </c>
      <c r="D62" s="27">
        <v>107</v>
      </c>
      <c r="E62" s="27" t="s">
        <v>577</v>
      </c>
      <c r="F62" s="27">
        <v>1</v>
      </c>
      <c r="G62" s="27">
        <v>1</v>
      </c>
      <c r="H62" s="27">
        <v>0</v>
      </c>
      <c r="I62" s="27" t="s">
        <v>1468</v>
      </c>
      <c r="J62" s="27" t="s">
        <v>627</v>
      </c>
      <c r="K62" s="27">
        <v>367</v>
      </c>
      <c r="L62" s="27">
        <v>370</v>
      </c>
      <c r="M62" s="27">
        <v>-83</v>
      </c>
      <c r="N62" s="27">
        <v>257</v>
      </c>
      <c r="O62" s="27">
        <v>33484</v>
      </c>
      <c r="P62" s="27">
        <v>11</v>
      </c>
      <c r="Q62" s="27">
        <v>4392141</v>
      </c>
      <c r="R62" s="27">
        <v>110</v>
      </c>
      <c r="S62" s="27">
        <v>2</v>
      </c>
      <c r="T62" s="27">
        <v>1126</v>
      </c>
      <c r="U62" s="27">
        <v>256</v>
      </c>
      <c r="V62" s="27">
        <v>1035520017</v>
      </c>
      <c r="W62" s="27">
        <v>-113</v>
      </c>
      <c r="X62" s="27">
        <v>1</v>
      </c>
      <c r="Y62" s="27">
        <v>17475800</v>
      </c>
      <c r="Z62" s="27">
        <v>22035</v>
      </c>
      <c r="AA62" s="27">
        <v>3048172386</v>
      </c>
      <c r="AB62" s="27">
        <v>1105712</v>
      </c>
    </row>
    <row r="63" spans="1:28" ht="24" customHeight="1" x14ac:dyDescent="0.2">
      <c r="A63" s="27">
        <v>58</v>
      </c>
      <c r="B63" s="29">
        <v>44589.745474537027</v>
      </c>
      <c r="C63" s="27">
        <f t="shared" si="1"/>
        <v>640</v>
      </c>
      <c r="D63" s="27">
        <v>106</v>
      </c>
      <c r="E63" s="27" t="s">
        <v>577</v>
      </c>
      <c r="F63" s="27">
        <v>1</v>
      </c>
      <c r="G63" s="27">
        <v>1</v>
      </c>
      <c r="H63" s="27">
        <v>0</v>
      </c>
      <c r="I63" s="27" t="s">
        <v>1470</v>
      </c>
      <c r="J63" s="27" t="s">
        <v>627</v>
      </c>
      <c r="K63" s="27">
        <v>367</v>
      </c>
      <c r="L63" s="27">
        <v>368</v>
      </c>
      <c r="M63" s="27">
        <v>-83</v>
      </c>
      <c r="N63" s="27">
        <v>257</v>
      </c>
      <c r="O63" s="27">
        <v>33485</v>
      </c>
      <c r="P63" s="27">
        <v>11</v>
      </c>
      <c r="Q63" s="27">
        <v>4392235</v>
      </c>
      <c r="R63" s="27">
        <v>110</v>
      </c>
      <c r="S63" s="27">
        <v>2</v>
      </c>
      <c r="T63" s="27">
        <v>1126</v>
      </c>
      <c r="U63" s="27">
        <v>256</v>
      </c>
      <c r="V63" s="27">
        <v>1035520017</v>
      </c>
      <c r="W63" s="27">
        <v>-115</v>
      </c>
      <c r="X63" s="27">
        <v>1</v>
      </c>
      <c r="Y63" s="27">
        <v>17475801</v>
      </c>
      <c r="Z63" s="27">
        <v>22035</v>
      </c>
      <c r="AA63" s="27">
        <v>3048172480</v>
      </c>
      <c r="AB63" s="27">
        <v>1105712</v>
      </c>
    </row>
    <row r="64" spans="1:28" ht="24" customHeight="1" x14ac:dyDescent="0.2">
      <c r="A64" s="27">
        <v>59</v>
      </c>
      <c r="B64" s="29">
        <v>44589.745821759258</v>
      </c>
      <c r="C64" s="27">
        <f t="shared" si="1"/>
        <v>670</v>
      </c>
      <c r="D64" s="27">
        <v>105</v>
      </c>
      <c r="E64" s="27" t="s">
        <v>577</v>
      </c>
      <c r="F64" s="27">
        <v>1</v>
      </c>
      <c r="G64" s="27">
        <v>1</v>
      </c>
      <c r="H64" s="27">
        <v>0</v>
      </c>
      <c r="I64" s="27" t="s">
        <v>1472</v>
      </c>
      <c r="J64" s="27" t="s">
        <v>627</v>
      </c>
      <c r="K64" s="27">
        <v>367</v>
      </c>
      <c r="L64" s="27">
        <v>370</v>
      </c>
      <c r="M64" s="27">
        <v>-83</v>
      </c>
      <c r="N64" s="27">
        <v>257</v>
      </c>
      <c r="O64" s="27">
        <v>33488</v>
      </c>
      <c r="P64" s="27">
        <v>11</v>
      </c>
      <c r="Q64" s="27">
        <v>4392517</v>
      </c>
      <c r="R64" s="27">
        <v>110</v>
      </c>
      <c r="S64" s="27">
        <v>2</v>
      </c>
      <c r="T64" s="27">
        <v>1126</v>
      </c>
      <c r="U64" s="27">
        <v>256</v>
      </c>
      <c r="V64" s="27">
        <v>1035520017</v>
      </c>
      <c r="W64" s="27">
        <v>-102</v>
      </c>
      <c r="X64" s="27">
        <v>1</v>
      </c>
      <c r="Y64" s="27">
        <v>17475804</v>
      </c>
      <c r="Z64" s="27">
        <v>22035</v>
      </c>
      <c r="AA64" s="27">
        <v>3048172762</v>
      </c>
      <c r="AB64" s="27">
        <v>1105712</v>
      </c>
    </row>
    <row r="65" spans="1:28" ht="24" customHeight="1" x14ac:dyDescent="0.2">
      <c r="A65" s="27">
        <v>60</v>
      </c>
      <c r="B65" s="29">
        <v>44589.745937500003</v>
      </c>
      <c r="C65" s="27">
        <f t="shared" si="1"/>
        <v>680</v>
      </c>
      <c r="D65" s="27">
        <v>104</v>
      </c>
      <c r="E65" s="27" t="s">
        <v>577</v>
      </c>
      <c r="F65" s="27">
        <v>1</v>
      </c>
      <c r="G65" s="27">
        <v>1</v>
      </c>
      <c r="H65" s="27">
        <v>0</v>
      </c>
      <c r="I65" s="27" t="s">
        <v>1474</v>
      </c>
      <c r="J65" s="27" t="s">
        <v>627</v>
      </c>
      <c r="K65" s="27">
        <v>367</v>
      </c>
      <c r="L65" s="27">
        <v>369</v>
      </c>
      <c r="M65" s="27">
        <v>-83</v>
      </c>
      <c r="N65" s="27">
        <v>257</v>
      </c>
      <c r="O65" s="27">
        <v>33489</v>
      </c>
      <c r="P65" s="27">
        <v>11</v>
      </c>
      <c r="Q65" s="27">
        <v>4392611</v>
      </c>
      <c r="R65" s="27">
        <v>110</v>
      </c>
      <c r="S65" s="27">
        <v>2</v>
      </c>
      <c r="T65" s="27">
        <v>1126</v>
      </c>
      <c r="U65" s="27">
        <v>256</v>
      </c>
      <c r="V65" s="27">
        <v>1035520017</v>
      </c>
      <c r="W65" s="27">
        <v>-107</v>
      </c>
      <c r="X65" s="27">
        <v>1</v>
      </c>
      <c r="Y65" s="27">
        <v>17475805</v>
      </c>
      <c r="Z65" s="27">
        <v>22035</v>
      </c>
      <c r="AA65" s="27">
        <v>3048172856</v>
      </c>
      <c r="AB65" s="27">
        <v>1105712</v>
      </c>
    </row>
    <row r="66" spans="1:28" ht="24" customHeight="1" x14ac:dyDescent="0.2">
      <c r="A66" s="27">
        <v>61</v>
      </c>
      <c r="B66" s="29">
        <v>44589.746053240742</v>
      </c>
      <c r="C66" s="27">
        <f t="shared" si="1"/>
        <v>690</v>
      </c>
      <c r="D66" s="27">
        <v>103</v>
      </c>
      <c r="E66" s="27" t="s">
        <v>577</v>
      </c>
      <c r="F66" s="27">
        <v>1</v>
      </c>
      <c r="G66" s="27">
        <v>1</v>
      </c>
      <c r="H66" s="27">
        <v>0</v>
      </c>
      <c r="I66" s="27" t="s">
        <v>1476</v>
      </c>
      <c r="J66" s="27" t="s">
        <v>627</v>
      </c>
      <c r="K66" s="27">
        <v>367</v>
      </c>
      <c r="L66" s="27">
        <v>369</v>
      </c>
      <c r="M66" s="27">
        <v>-83</v>
      </c>
      <c r="N66" s="27">
        <v>257</v>
      </c>
      <c r="O66" s="27">
        <v>33490</v>
      </c>
      <c r="P66" s="27">
        <v>11</v>
      </c>
      <c r="Q66" s="27">
        <v>4392705</v>
      </c>
      <c r="R66" s="27">
        <v>110</v>
      </c>
      <c r="S66" s="27">
        <v>2</v>
      </c>
      <c r="T66" s="27">
        <v>1126</v>
      </c>
      <c r="U66" s="27">
        <v>256</v>
      </c>
      <c r="V66" s="27">
        <v>1035520017</v>
      </c>
      <c r="W66" s="27">
        <v>-114</v>
      </c>
      <c r="X66" s="27">
        <v>1</v>
      </c>
      <c r="Y66" s="27">
        <v>17475806</v>
      </c>
      <c r="Z66" s="27">
        <v>22035</v>
      </c>
      <c r="AA66" s="27">
        <v>3048172950</v>
      </c>
      <c r="AB66" s="27">
        <v>1105712</v>
      </c>
    </row>
  </sheetData>
  <mergeCells count="2">
    <mergeCell ref="A3:AB4"/>
    <mergeCell ref="A1:AB2"/>
  </mergeCells>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2" tint="-0.749992370372631"/>
  </sheetPr>
  <dimension ref="A1:R65"/>
  <sheetViews>
    <sheetView workbookViewId="0">
      <selection sqref="A1:R2"/>
    </sheetView>
  </sheetViews>
  <sheetFormatPr defaultRowHeight="15" x14ac:dyDescent="0.2"/>
  <cols>
    <col min="1" max="18" width="20.984375" customWidth="1"/>
  </cols>
  <sheetData>
    <row r="1" spans="1:18" ht="24" customHeight="1" x14ac:dyDescent="0.2">
      <c r="A1" s="104" t="s">
        <v>1496</v>
      </c>
      <c r="B1" s="80"/>
      <c r="C1" s="80"/>
      <c r="D1" s="80"/>
      <c r="E1" s="80"/>
      <c r="F1" s="80"/>
      <c r="G1" s="80"/>
      <c r="H1" s="80"/>
      <c r="I1" s="80"/>
      <c r="J1" s="80"/>
      <c r="K1" s="80"/>
      <c r="L1" s="80"/>
      <c r="M1" s="80"/>
      <c r="N1" s="80"/>
      <c r="O1" s="80"/>
      <c r="P1" s="80"/>
      <c r="Q1" s="80"/>
      <c r="R1" s="80"/>
    </row>
    <row r="2" spans="1:18" ht="24" customHeight="1" x14ac:dyDescent="0.2">
      <c r="A2" s="80"/>
      <c r="B2" s="80"/>
      <c r="C2" s="80"/>
      <c r="D2" s="80"/>
      <c r="E2" s="80"/>
      <c r="F2" s="80"/>
      <c r="G2" s="80"/>
      <c r="H2" s="80"/>
      <c r="I2" s="80"/>
      <c r="J2" s="80"/>
      <c r="K2" s="80"/>
      <c r="L2" s="80"/>
      <c r="M2" s="80"/>
      <c r="N2" s="80"/>
      <c r="O2" s="80"/>
      <c r="P2" s="80"/>
      <c r="Q2" s="80"/>
      <c r="R2" s="80"/>
    </row>
    <row r="3" spans="1:18" ht="24.95" customHeight="1" x14ac:dyDescent="0.2">
      <c r="A3" s="103" t="s">
        <v>1497</v>
      </c>
      <c r="B3" s="80"/>
      <c r="C3" s="80"/>
      <c r="D3" s="80"/>
      <c r="E3" s="80"/>
      <c r="F3" s="80"/>
      <c r="G3" s="80"/>
      <c r="H3" s="80"/>
      <c r="I3" s="80"/>
      <c r="J3" s="80"/>
      <c r="K3" s="80"/>
      <c r="L3" s="80"/>
      <c r="M3" s="80"/>
      <c r="N3" s="80"/>
      <c r="O3" s="80"/>
      <c r="P3" s="80"/>
      <c r="Q3" s="80"/>
      <c r="R3" s="80"/>
    </row>
    <row r="4" spans="1:18" ht="24.95" customHeight="1" x14ac:dyDescent="0.2">
      <c r="A4" s="80"/>
      <c r="B4" s="80"/>
      <c r="C4" s="80"/>
      <c r="D4" s="80"/>
      <c r="E4" s="80"/>
      <c r="F4" s="80"/>
      <c r="G4" s="80"/>
      <c r="H4" s="80"/>
      <c r="I4" s="80"/>
      <c r="J4" s="80"/>
      <c r="K4" s="80"/>
      <c r="L4" s="80"/>
      <c r="M4" s="80"/>
      <c r="N4" s="80"/>
      <c r="O4" s="80"/>
      <c r="P4" s="80"/>
      <c r="Q4" s="80"/>
      <c r="R4" s="80"/>
    </row>
    <row r="5" spans="1:18" ht="57.95" customHeight="1" x14ac:dyDescent="0.2">
      <c r="A5" s="28" t="s">
        <v>1498</v>
      </c>
      <c r="B5" s="28" t="s">
        <v>530</v>
      </c>
      <c r="C5" s="28" t="s">
        <v>531</v>
      </c>
      <c r="D5" s="28" t="s">
        <v>1499</v>
      </c>
      <c r="E5" s="28" t="s">
        <v>1500</v>
      </c>
      <c r="F5" s="28" t="s">
        <v>1501</v>
      </c>
      <c r="G5" s="28" t="s">
        <v>1502</v>
      </c>
      <c r="H5" s="28" t="s">
        <v>1503</v>
      </c>
      <c r="I5" s="28" t="s">
        <v>1504</v>
      </c>
      <c r="J5" s="28" t="s">
        <v>1505</v>
      </c>
      <c r="K5" s="28" t="s">
        <v>1506</v>
      </c>
      <c r="L5" s="28" t="s">
        <v>1507</v>
      </c>
      <c r="M5" s="28" t="s">
        <v>1508</v>
      </c>
      <c r="N5" s="28" t="s">
        <v>1509</v>
      </c>
      <c r="O5" s="28" t="s">
        <v>1510</v>
      </c>
      <c r="P5" s="28" t="s">
        <v>1511</v>
      </c>
      <c r="Q5" s="28" t="s">
        <v>1512</v>
      </c>
      <c r="R5" s="28" t="s">
        <v>1513</v>
      </c>
    </row>
    <row r="6" spans="1:18" ht="24" customHeight="1" x14ac:dyDescent="0.2">
      <c r="A6" s="27">
        <v>2</v>
      </c>
      <c r="B6" s="29">
        <v>44589.738067129627</v>
      </c>
      <c r="C6" s="29">
        <v>44589.73841435185</v>
      </c>
      <c r="D6" s="27">
        <f t="shared" ref="D6:D37" si="0">ROUND((C6-B6)*86400,0)</f>
        <v>30</v>
      </c>
      <c r="E6" s="27">
        <f>COMM_Beacons!O7-COMM_Beacons!O6</f>
        <v>3</v>
      </c>
      <c r="F6" s="27">
        <f>COMM_Beacons!Q7-COMM_Beacons!Q6</f>
        <v>282</v>
      </c>
      <c r="G6" s="27">
        <f>COMM_Beacons!P7-COMM_Beacons!P6</f>
        <v>0</v>
      </c>
      <c r="H6" s="27">
        <f>COMM_Beacons!R7-COMM_Beacons!R6</f>
        <v>0</v>
      </c>
      <c r="I6" s="30">
        <f t="shared" ref="I6:I37" si="1">IF(R6,E6/D6,"")</f>
        <v>0.1</v>
      </c>
      <c r="J6" s="30">
        <f t="shared" ref="J6:J37" si="2">IF(R6,F6/D6,"")</f>
        <v>9.4</v>
      </c>
      <c r="K6" s="30">
        <f t="shared" ref="K6:K37" si="3">IF(R6,8*F6/D6,"")</f>
        <v>75.2</v>
      </c>
      <c r="L6" s="30">
        <f t="shared" ref="L6:L37" si="4">IF(AND(R6,E6&gt;0),F6/E6,"")</f>
        <v>94</v>
      </c>
      <c r="M6" s="27">
        <f>1</f>
        <v>1</v>
      </c>
      <c r="N6" s="27">
        <f t="shared" ref="N6:N37" si="5">IF(R6,E6-M6,"")</f>
        <v>2</v>
      </c>
      <c r="O6" s="27" t="b">
        <f>COMM_Beacons!T7&lt;&gt;COMM_Beacons!T6</f>
        <v>0</v>
      </c>
      <c r="P6" s="27" t="b">
        <f t="shared" ref="P6:P37" si="6">MIN(E6:H6)&lt;0</f>
        <v>0</v>
      </c>
      <c r="Q6" s="27" t="b">
        <f>AND(E6=COMM_Beacons!Y7-COMM_Beacons!Y6,F6=COMM_Beacons!AA7-COMM_Beacons!AA6)</f>
        <v>1</v>
      </c>
      <c r="R6" s="27" t="b">
        <f t="shared" ref="R6:R37" si="7">AND(D6&gt;0,NOT(O6),NOT(P6),Q6)</f>
        <v>1</v>
      </c>
    </row>
    <row r="7" spans="1:18" ht="24" customHeight="1" x14ac:dyDescent="0.2">
      <c r="A7" s="27">
        <v>3</v>
      </c>
      <c r="B7" s="29">
        <v>44589.73841435185</v>
      </c>
      <c r="C7" s="29">
        <v>44589.738541666673</v>
      </c>
      <c r="D7" s="27">
        <f t="shared" si="0"/>
        <v>11</v>
      </c>
      <c r="E7" s="27">
        <f>COMM_Beacons!O8-COMM_Beacons!O7</f>
        <v>1</v>
      </c>
      <c r="F7" s="27">
        <f>COMM_Beacons!Q8-COMM_Beacons!Q7</f>
        <v>94</v>
      </c>
      <c r="G7" s="27">
        <f>COMM_Beacons!P8-COMM_Beacons!P7</f>
        <v>0</v>
      </c>
      <c r="H7" s="27">
        <f>COMM_Beacons!R8-COMM_Beacons!R7</f>
        <v>0</v>
      </c>
      <c r="I7" s="30">
        <f t="shared" si="1"/>
        <v>9.0909090909090912E-2</v>
      </c>
      <c r="J7" s="30">
        <f t="shared" si="2"/>
        <v>8.545454545454545</v>
      </c>
      <c r="K7" s="30">
        <f t="shared" si="3"/>
        <v>68.36363636363636</v>
      </c>
      <c r="L7" s="30">
        <f t="shared" si="4"/>
        <v>94</v>
      </c>
      <c r="M7" s="27">
        <f>1</f>
        <v>1</v>
      </c>
      <c r="N7" s="27">
        <f t="shared" si="5"/>
        <v>0</v>
      </c>
      <c r="O7" s="27" t="b">
        <f>COMM_Beacons!T8&lt;&gt;COMM_Beacons!T7</f>
        <v>0</v>
      </c>
      <c r="P7" s="27" t="b">
        <f t="shared" si="6"/>
        <v>0</v>
      </c>
      <c r="Q7" s="27" t="b">
        <f>AND(E7=COMM_Beacons!Y8-COMM_Beacons!Y7,F7=COMM_Beacons!AA8-COMM_Beacons!AA7)</f>
        <v>1</v>
      </c>
      <c r="R7" s="27" t="b">
        <f t="shared" si="7"/>
        <v>1</v>
      </c>
    </row>
    <row r="8" spans="1:18" ht="24" customHeight="1" x14ac:dyDescent="0.2">
      <c r="A8" s="27">
        <v>4</v>
      </c>
      <c r="B8" s="29">
        <v>44589.738541666673</v>
      </c>
      <c r="C8" s="29">
        <v>44589.738645833328</v>
      </c>
      <c r="D8" s="27">
        <f t="shared" si="0"/>
        <v>9</v>
      </c>
      <c r="E8" s="27">
        <f>COMM_Beacons!O9-COMM_Beacons!O8</f>
        <v>1</v>
      </c>
      <c r="F8" s="27">
        <f>COMM_Beacons!Q9-COMM_Beacons!Q8</f>
        <v>94</v>
      </c>
      <c r="G8" s="27">
        <f>COMM_Beacons!P9-COMM_Beacons!P8</f>
        <v>0</v>
      </c>
      <c r="H8" s="27">
        <f>COMM_Beacons!R9-COMM_Beacons!R8</f>
        <v>0</v>
      </c>
      <c r="I8" s="30">
        <f t="shared" si="1"/>
        <v>0.1111111111111111</v>
      </c>
      <c r="J8" s="30">
        <f t="shared" si="2"/>
        <v>10.444444444444445</v>
      </c>
      <c r="K8" s="30">
        <f t="shared" si="3"/>
        <v>83.555555555555557</v>
      </c>
      <c r="L8" s="30">
        <f t="shared" si="4"/>
        <v>94</v>
      </c>
      <c r="M8" s="27">
        <f>1</f>
        <v>1</v>
      </c>
      <c r="N8" s="27">
        <f t="shared" si="5"/>
        <v>0</v>
      </c>
      <c r="O8" s="27" t="b">
        <f>COMM_Beacons!T9&lt;&gt;COMM_Beacons!T8</f>
        <v>0</v>
      </c>
      <c r="P8" s="27" t="b">
        <f t="shared" si="6"/>
        <v>0</v>
      </c>
      <c r="Q8" s="27" t="b">
        <f>AND(E8=COMM_Beacons!Y9-COMM_Beacons!Y8,F8=COMM_Beacons!AA9-COMM_Beacons!AA8)</f>
        <v>1</v>
      </c>
      <c r="R8" s="27" t="b">
        <f t="shared" si="7"/>
        <v>1</v>
      </c>
    </row>
    <row r="9" spans="1:18" ht="24" customHeight="1" x14ac:dyDescent="0.2">
      <c r="A9" s="27">
        <v>5</v>
      </c>
      <c r="B9" s="29">
        <v>44589.738645833328</v>
      </c>
      <c r="C9" s="29">
        <v>44589.739108796297</v>
      </c>
      <c r="D9" s="27">
        <f t="shared" si="0"/>
        <v>40</v>
      </c>
      <c r="E9" s="27">
        <f>COMM_Beacons!O10-COMM_Beacons!O9</f>
        <v>4</v>
      </c>
      <c r="F9" s="27">
        <f>COMM_Beacons!Q10-COMM_Beacons!Q9</f>
        <v>376</v>
      </c>
      <c r="G9" s="27">
        <f>COMM_Beacons!P10-COMM_Beacons!P9</f>
        <v>0</v>
      </c>
      <c r="H9" s="27">
        <f>COMM_Beacons!R10-COMM_Beacons!R9</f>
        <v>0</v>
      </c>
      <c r="I9" s="30">
        <f t="shared" si="1"/>
        <v>0.1</v>
      </c>
      <c r="J9" s="30">
        <f t="shared" si="2"/>
        <v>9.4</v>
      </c>
      <c r="K9" s="30">
        <f t="shared" si="3"/>
        <v>75.2</v>
      </c>
      <c r="L9" s="30">
        <f t="shared" si="4"/>
        <v>94</v>
      </c>
      <c r="M9" s="27">
        <f>1</f>
        <v>1</v>
      </c>
      <c r="N9" s="27">
        <f t="shared" si="5"/>
        <v>3</v>
      </c>
      <c r="O9" s="27" t="b">
        <f>COMM_Beacons!T10&lt;&gt;COMM_Beacons!T9</f>
        <v>0</v>
      </c>
      <c r="P9" s="27" t="b">
        <f t="shared" si="6"/>
        <v>0</v>
      </c>
      <c r="Q9" s="27" t="b">
        <f>AND(E9=COMM_Beacons!Y10-COMM_Beacons!Y9,F9=COMM_Beacons!AA10-COMM_Beacons!AA9)</f>
        <v>1</v>
      </c>
      <c r="R9" s="27" t="b">
        <f t="shared" si="7"/>
        <v>1</v>
      </c>
    </row>
    <row r="10" spans="1:18" ht="24" customHeight="1" x14ac:dyDescent="0.2">
      <c r="A10" s="27">
        <v>6</v>
      </c>
      <c r="B10" s="29">
        <v>44589.739108796297</v>
      </c>
      <c r="C10" s="29">
        <v>44589.739224537043</v>
      </c>
      <c r="D10" s="27">
        <f t="shared" si="0"/>
        <v>10</v>
      </c>
      <c r="E10" s="27">
        <f>COMM_Beacons!O11-COMM_Beacons!O10</f>
        <v>1</v>
      </c>
      <c r="F10" s="27">
        <f>COMM_Beacons!Q11-COMM_Beacons!Q10</f>
        <v>94</v>
      </c>
      <c r="G10" s="27">
        <f>COMM_Beacons!P11-COMM_Beacons!P10</f>
        <v>0</v>
      </c>
      <c r="H10" s="27">
        <f>COMM_Beacons!R11-COMM_Beacons!R10</f>
        <v>0</v>
      </c>
      <c r="I10" s="30">
        <f t="shared" si="1"/>
        <v>0.1</v>
      </c>
      <c r="J10" s="30">
        <f t="shared" si="2"/>
        <v>9.4</v>
      </c>
      <c r="K10" s="30">
        <f t="shared" si="3"/>
        <v>75.2</v>
      </c>
      <c r="L10" s="30">
        <f t="shared" si="4"/>
        <v>94</v>
      </c>
      <c r="M10" s="27">
        <f>1</f>
        <v>1</v>
      </c>
      <c r="N10" s="27">
        <f t="shared" si="5"/>
        <v>0</v>
      </c>
      <c r="O10" s="27" t="b">
        <f>COMM_Beacons!T11&lt;&gt;COMM_Beacons!T10</f>
        <v>0</v>
      </c>
      <c r="P10" s="27" t="b">
        <f t="shared" si="6"/>
        <v>0</v>
      </c>
      <c r="Q10" s="27" t="b">
        <f>AND(E10=COMM_Beacons!Y11-COMM_Beacons!Y10,F10=COMM_Beacons!AA11-COMM_Beacons!AA10)</f>
        <v>1</v>
      </c>
      <c r="R10" s="27" t="b">
        <f t="shared" si="7"/>
        <v>1</v>
      </c>
    </row>
    <row r="11" spans="1:18" ht="24" customHeight="1" x14ac:dyDescent="0.2">
      <c r="A11" s="27">
        <v>7</v>
      </c>
      <c r="B11" s="29">
        <v>44589.739224537043</v>
      </c>
      <c r="C11" s="29">
        <v>44589.739340277767</v>
      </c>
      <c r="D11" s="27">
        <f t="shared" si="0"/>
        <v>10</v>
      </c>
      <c r="E11" s="27">
        <f>COMM_Beacons!O12-COMM_Beacons!O11</f>
        <v>1</v>
      </c>
      <c r="F11" s="27">
        <f>COMM_Beacons!Q12-COMM_Beacons!Q11</f>
        <v>94</v>
      </c>
      <c r="G11" s="27">
        <f>COMM_Beacons!P12-COMM_Beacons!P11</f>
        <v>0</v>
      </c>
      <c r="H11" s="27">
        <f>COMM_Beacons!R12-COMM_Beacons!R11</f>
        <v>0</v>
      </c>
      <c r="I11" s="30">
        <f t="shared" si="1"/>
        <v>0.1</v>
      </c>
      <c r="J11" s="30">
        <f t="shared" si="2"/>
        <v>9.4</v>
      </c>
      <c r="K11" s="30">
        <f t="shared" si="3"/>
        <v>75.2</v>
      </c>
      <c r="L11" s="30">
        <f t="shared" si="4"/>
        <v>94</v>
      </c>
      <c r="M11" s="27">
        <f>1</f>
        <v>1</v>
      </c>
      <c r="N11" s="27">
        <f t="shared" si="5"/>
        <v>0</v>
      </c>
      <c r="O11" s="27" t="b">
        <f>COMM_Beacons!T12&lt;&gt;COMM_Beacons!T11</f>
        <v>0</v>
      </c>
      <c r="P11" s="27" t="b">
        <f t="shared" si="6"/>
        <v>0</v>
      </c>
      <c r="Q11" s="27" t="b">
        <f>AND(E11=COMM_Beacons!Y12-COMM_Beacons!Y11,F11=COMM_Beacons!AA12-COMM_Beacons!AA11)</f>
        <v>1</v>
      </c>
      <c r="R11" s="27" t="b">
        <f t="shared" si="7"/>
        <v>1</v>
      </c>
    </row>
    <row r="12" spans="1:18" ht="24" customHeight="1" x14ac:dyDescent="0.2">
      <c r="A12" s="27">
        <v>8</v>
      </c>
      <c r="B12" s="29">
        <v>44589.739340277767</v>
      </c>
      <c r="C12" s="29">
        <v>44589.73945601852</v>
      </c>
      <c r="D12" s="27">
        <f t="shared" si="0"/>
        <v>10</v>
      </c>
      <c r="E12" s="27">
        <f>COMM_Beacons!O13-COMM_Beacons!O12</f>
        <v>1</v>
      </c>
      <c r="F12" s="27">
        <f>COMM_Beacons!Q13-COMM_Beacons!Q12</f>
        <v>94</v>
      </c>
      <c r="G12" s="27">
        <f>COMM_Beacons!P13-COMM_Beacons!P12</f>
        <v>0</v>
      </c>
      <c r="H12" s="27">
        <f>COMM_Beacons!R13-COMM_Beacons!R12</f>
        <v>0</v>
      </c>
      <c r="I12" s="30">
        <f t="shared" si="1"/>
        <v>0.1</v>
      </c>
      <c r="J12" s="30">
        <f t="shared" si="2"/>
        <v>9.4</v>
      </c>
      <c r="K12" s="30">
        <f t="shared" si="3"/>
        <v>75.2</v>
      </c>
      <c r="L12" s="30">
        <f t="shared" si="4"/>
        <v>94</v>
      </c>
      <c r="M12" s="27">
        <f>1</f>
        <v>1</v>
      </c>
      <c r="N12" s="27">
        <f t="shared" si="5"/>
        <v>0</v>
      </c>
      <c r="O12" s="27" t="b">
        <f>COMM_Beacons!T13&lt;&gt;COMM_Beacons!T12</f>
        <v>0</v>
      </c>
      <c r="P12" s="27" t="b">
        <f t="shared" si="6"/>
        <v>0</v>
      </c>
      <c r="Q12" s="27" t="b">
        <f>AND(E12=COMM_Beacons!Y13-COMM_Beacons!Y12,F12=COMM_Beacons!AA13-COMM_Beacons!AA12)</f>
        <v>1</v>
      </c>
      <c r="R12" s="27" t="b">
        <f t="shared" si="7"/>
        <v>1</v>
      </c>
    </row>
    <row r="13" spans="1:18" ht="24" customHeight="1" x14ac:dyDescent="0.2">
      <c r="A13" s="27">
        <v>9</v>
      </c>
      <c r="B13" s="29">
        <v>44589.73945601852</v>
      </c>
      <c r="C13" s="29">
        <v>44589.739571759259</v>
      </c>
      <c r="D13" s="27">
        <f t="shared" si="0"/>
        <v>10</v>
      </c>
      <c r="E13" s="27">
        <f>COMM_Beacons!O14-COMM_Beacons!O13</f>
        <v>1</v>
      </c>
      <c r="F13" s="27">
        <f>COMM_Beacons!Q14-COMM_Beacons!Q13</f>
        <v>94</v>
      </c>
      <c r="G13" s="27">
        <f>COMM_Beacons!P14-COMM_Beacons!P13</f>
        <v>0</v>
      </c>
      <c r="H13" s="27">
        <f>COMM_Beacons!R14-COMM_Beacons!R13</f>
        <v>0</v>
      </c>
      <c r="I13" s="30">
        <f t="shared" si="1"/>
        <v>0.1</v>
      </c>
      <c r="J13" s="30">
        <f t="shared" si="2"/>
        <v>9.4</v>
      </c>
      <c r="K13" s="30">
        <f t="shared" si="3"/>
        <v>75.2</v>
      </c>
      <c r="L13" s="30">
        <f t="shared" si="4"/>
        <v>94</v>
      </c>
      <c r="M13" s="27">
        <f>1</f>
        <v>1</v>
      </c>
      <c r="N13" s="27">
        <f t="shared" si="5"/>
        <v>0</v>
      </c>
      <c r="O13" s="27" t="b">
        <f>COMM_Beacons!T14&lt;&gt;COMM_Beacons!T13</f>
        <v>0</v>
      </c>
      <c r="P13" s="27" t="b">
        <f t="shared" si="6"/>
        <v>0</v>
      </c>
      <c r="Q13" s="27" t="b">
        <f>AND(E13=COMM_Beacons!Y14-COMM_Beacons!Y13,F13=COMM_Beacons!AA14-COMM_Beacons!AA13)</f>
        <v>1</v>
      </c>
      <c r="R13" s="27" t="b">
        <f t="shared" si="7"/>
        <v>1</v>
      </c>
    </row>
    <row r="14" spans="1:18" ht="24" customHeight="1" x14ac:dyDescent="0.2">
      <c r="A14" s="27">
        <v>10</v>
      </c>
      <c r="B14" s="29">
        <v>44589.739571759259</v>
      </c>
      <c r="C14" s="29">
        <v>44589.739687499998</v>
      </c>
      <c r="D14" s="27">
        <f t="shared" si="0"/>
        <v>10</v>
      </c>
      <c r="E14" s="27">
        <f>COMM_Beacons!O15-COMM_Beacons!O14</f>
        <v>1</v>
      </c>
      <c r="F14" s="27">
        <f>COMM_Beacons!Q15-COMM_Beacons!Q14</f>
        <v>94</v>
      </c>
      <c r="G14" s="27">
        <f>COMM_Beacons!P15-COMM_Beacons!P14</f>
        <v>0</v>
      </c>
      <c r="H14" s="27">
        <f>COMM_Beacons!R15-COMM_Beacons!R14</f>
        <v>0</v>
      </c>
      <c r="I14" s="30">
        <f t="shared" si="1"/>
        <v>0.1</v>
      </c>
      <c r="J14" s="30">
        <f t="shared" si="2"/>
        <v>9.4</v>
      </c>
      <c r="K14" s="30">
        <f t="shared" si="3"/>
        <v>75.2</v>
      </c>
      <c r="L14" s="30">
        <f t="shared" si="4"/>
        <v>94</v>
      </c>
      <c r="M14" s="27">
        <f>1</f>
        <v>1</v>
      </c>
      <c r="N14" s="27">
        <f t="shared" si="5"/>
        <v>0</v>
      </c>
      <c r="O14" s="27" t="b">
        <f>COMM_Beacons!T15&lt;&gt;COMM_Beacons!T14</f>
        <v>0</v>
      </c>
      <c r="P14" s="27" t="b">
        <f t="shared" si="6"/>
        <v>0</v>
      </c>
      <c r="Q14" s="27" t="b">
        <f>AND(E14=COMM_Beacons!Y15-COMM_Beacons!Y14,F14=COMM_Beacons!AA15-COMM_Beacons!AA14)</f>
        <v>1</v>
      </c>
      <c r="R14" s="27" t="b">
        <f t="shared" si="7"/>
        <v>1</v>
      </c>
    </row>
    <row r="15" spans="1:18" ht="24" customHeight="1" x14ac:dyDescent="0.2">
      <c r="A15" s="27">
        <v>11</v>
      </c>
      <c r="B15" s="29">
        <v>44589.739687499998</v>
      </c>
      <c r="C15" s="29">
        <v>44589.739803240736</v>
      </c>
      <c r="D15" s="27">
        <f t="shared" si="0"/>
        <v>10</v>
      </c>
      <c r="E15" s="27">
        <f>COMM_Beacons!O16-COMM_Beacons!O15</f>
        <v>1</v>
      </c>
      <c r="F15" s="27">
        <f>COMM_Beacons!Q16-COMM_Beacons!Q15</f>
        <v>94</v>
      </c>
      <c r="G15" s="27">
        <f>COMM_Beacons!P16-COMM_Beacons!P15</f>
        <v>0</v>
      </c>
      <c r="H15" s="27">
        <f>COMM_Beacons!R16-COMM_Beacons!R15</f>
        <v>0</v>
      </c>
      <c r="I15" s="30">
        <f t="shared" si="1"/>
        <v>0.1</v>
      </c>
      <c r="J15" s="30">
        <f t="shared" si="2"/>
        <v>9.4</v>
      </c>
      <c r="K15" s="30">
        <f t="shared" si="3"/>
        <v>75.2</v>
      </c>
      <c r="L15" s="30">
        <f t="shared" si="4"/>
        <v>94</v>
      </c>
      <c r="M15" s="27">
        <f>1</f>
        <v>1</v>
      </c>
      <c r="N15" s="27">
        <f t="shared" si="5"/>
        <v>0</v>
      </c>
      <c r="O15" s="27" t="b">
        <f>COMM_Beacons!T16&lt;&gt;COMM_Beacons!T15</f>
        <v>0</v>
      </c>
      <c r="P15" s="27" t="b">
        <f t="shared" si="6"/>
        <v>0</v>
      </c>
      <c r="Q15" s="27" t="b">
        <f>AND(E15=COMM_Beacons!Y16-COMM_Beacons!Y15,F15=COMM_Beacons!AA16-COMM_Beacons!AA15)</f>
        <v>1</v>
      </c>
      <c r="R15" s="27" t="b">
        <f t="shared" si="7"/>
        <v>1</v>
      </c>
    </row>
    <row r="16" spans="1:18" ht="24" customHeight="1" x14ac:dyDescent="0.2">
      <c r="A16" s="27">
        <v>12</v>
      </c>
      <c r="B16" s="29">
        <v>44589.739803240736</v>
      </c>
      <c r="C16" s="29">
        <v>44589.739918981482</v>
      </c>
      <c r="D16" s="27">
        <f t="shared" si="0"/>
        <v>10</v>
      </c>
      <c r="E16" s="27">
        <f>COMM_Beacons!O17-COMM_Beacons!O16</f>
        <v>1</v>
      </c>
      <c r="F16" s="27">
        <f>COMM_Beacons!Q17-COMM_Beacons!Q16</f>
        <v>94</v>
      </c>
      <c r="G16" s="27">
        <f>COMM_Beacons!P17-COMM_Beacons!P16</f>
        <v>0</v>
      </c>
      <c r="H16" s="27">
        <f>COMM_Beacons!R17-COMM_Beacons!R16</f>
        <v>0</v>
      </c>
      <c r="I16" s="30">
        <f t="shared" si="1"/>
        <v>0.1</v>
      </c>
      <c r="J16" s="30">
        <f t="shared" si="2"/>
        <v>9.4</v>
      </c>
      <c r="K16" s="30">
        <f t="shared" si="3"/>
        <v>75.2</v>
      </c>
      <c r="L16" s="30">
        <f t="shared" si="4"/>
        <v>94</v>
      </c>
      <c r="M16" s="27">
        <f>1</f>
        <v>1</v>
      </c>
      <c r="N16" s="27">
        <f t="shared" si="5"/>
        <v>0</v>
      </c>
      <c r="O16" s="27" t="b">
        <f>COMM_Beacons!T17&lt;&gt;COMM_Beacons!T16</f>
        <v>0</v>
      </c>
      <c r="P16" s="27" t="b">
        <f t="shared" si="6"/>
        <v>0</v>
      </c>
      <c r="Q16" s="27" t="b">
        <f>AND(E16=COMM_Beacons!Y17-COMM_Beacons!Y16,F16=COMM_Beacons!AA17-COMM_Beacons!AA16)</f>
        <v>1</v>
      </c>
      <c r="R16" s="27" t="b">
        <f t="shared" si="7"/>
        <v>1</v>
      </c>
    </row>
    <row r="17" spans="1:18" ht="24" customHeight="1" x14ac:dyDescent="0.2">
      <c r="A17" s="27">
        <v>13</v>
      </c>
      <c r="B17" s="29">
        <v>44589.739918981482</v>
      </c>
      <c r="C17" s="29">
        <v>44589.740034722221</v>
      </c>
      <c r="D17" s="27">
        <f t="shared" si="0"/>
        <v>10</v>
      </c>
      <c r="E17" s="27">
        <f>COMM_Beacons!O18-COMM_Beacons!O17</f>
        <v>1</v>
      </c>
      <c r="F17" s="27">
        <f>COMM_Beacons!Q18-COMM_Beacons!Q17</f>
        <v>94</v>
      </c>
      <c r="G17" s="27">
        <f>COMM_Beacons!P18-COMM_Beacons!P17</f>
        <v>0</v>
      </c>
      <c r="H17" s="27">
        <f>COMM_Beacons!R18-COMM_Beacons!R17</f>
        <v>0</v>
      </c>
      <c r="I17" s="30">
        <f t="shared" si="1"/>
        <v>0.1</v>
      </c>
      <c r="J17" s="30">
        <f t="shared" si="2"/>
        <v>9.4</v>
      </c>
      <c r="K17" s="30">
        <f t="shared" si="3"/>
        <v>75.2</v>
      </c>
      <c r="L17" s="30">
        <f t="shared" si="4"/>
        <v>94</v>
      </c>
      <c r="M17" s="27">
        <f>1</f>
        <v>1</v>
      </c>
      <c r="N17" s="27">
        <f t="shared" si="5"/>
        <v>0</v>
      </c>
      <c r="O17" s="27" t="b">
        <f>COMM_Beacons!T18&lt;&gt;COMM_Beacons!T17</f>
        <v>0</v>
      </c>
      <c r="P17" s="27" t="b">
        <f t="shared" si="6"/>
        <v>0</v>
      </c>
      <c r="Q17" s="27" t="b">
        <f>AND(E17=COMM_Beacons!Y18-COMM_Beacons!Y17,F17=COMM_Beacons!AA18-COMM_Beacons!AA17)</f>
        <v>1</v>
      </c>
      <c r="R17" s="27" t="b">
        <f t="shared" si="7"/>
        <v>1</v>
      </c>
    </row>
    <row r="18" spans="1:18" ht="24" customHeight="1" x14ac:dyDescent="0.2">
      <c r="A18" s="27">
        <v>14</v>
      </c>
      <c r="B18" s="29">
        <v>44589.740034722221</v>
      </c>
      <c r="C18" s="29">
        <v>44589.74015046296</v>
      </c>
      <c r="D18" s="27">
        <f t="shared" si="0"/>
        <v>10</v>
      </c>
      <c r="E18" s="27">
        <f>COMM_Beacons!O19-COMM_Beacons!O18</f>
        <v>1</v>
      </c>
      <c r="F18" s="27">
        <f>COMM_Beacons!Q19-COMM_Beacons!Q18</f>
        <v>94</v>
      </c>
      <c r="G18" s="27">
        <f>COMM_Beacons!P19-COMM_Beacons!P18</f>
        <v>0</v>
      </c>
      <c r="H18" s="27">
        <f>COMM_Beacons!R19-COMM_Beacons!R18</f>
        <v>0</v>
      </c>
      <c r="I18" s="30">
        <f t="shared" si="1"/>
        <v>0.1</v>
      </c>
      <c r="J18" s="30">
        <f t="shared" si="2"/>
        <v>9.4</v>
      </c>
      <c r="K18" s="30">
        <f t="shared" si="3"/>
        <v>75.2</v>
      </c>
      <c r="L18" s="30">
        <f t="shared" si="4"/>
        <v>94</v>
      </c>
      <c r="M18" s="27">
        <f>1</f>
        <v>1</v>
      </c>
      <c r="N18" s="27">
        <f t="shared" si="5"/>
        <v>0</v>
      </c>
      <c r="O18" s="27" t="b">
        <f>COMM_Beacons!T19&lt;&gt;COMM_Beacons!T18</f>
        <v>0</v>
      </c>
      <c r="P18" s="27" t="b">
        <f t="shared" si="6"/>
        <v>0</v>
      </c>
      <c r="Q18" s="27" t="b">
        <f>AND(E18=COMM_Beacons!Y19-COMM_Beacons!Y18,F18=COMM_Beacons!AA19-COMM_Beacons!AA18)</f>
        <v>1</v>
      </c>
      <c r="R18" s="27" t="b">
        <f t="shared" si="7"/>
        <v>1</v>
      </c>
    </row>
    <row r="19" spans="1:18" ht="24" customHeight="1" x14ac:dyDescent="0.2">
      <c r="A19" s="27">
        <v>15</v>
      </c>
      <c r="B19" s="29">
        <v>44589.74015046296</v>
      </c>
      <c r="C19" s="29">
        <v>44589.740266203713</v>
      </c>
      <c r="D19" s="27">
        <f t="shared" si="0"/>
        <v>10</v>
      </c>
      <c r="E19" s="27">
        <f>COMM_Beacons!O20-COMM_Beacons!O19</f>
        <v>1</v>
      </c>
      <c r="F19" s="27">
        <f>COMM_Beacons!Q20-COMM_Beacons!Q19</f>
        <v>94</v>
      </c>
      <c r="G19" s="27">
        <f>COMM_Beacons!P20-COMM_Beacons!P19</f>
        <v>0</v>
      </c>
      <c r="H19" s="27">
        <f>COMM_Beacons!R20-COMM_Beacons!R19</f>
        <v>0</v>
      </c>
      <c r="I19" s="30">
        <f t="shared" si="1"/>
        <v>0.1</v>
      </c>
      <c r="J19" s="30">
        <f t="shared" si="2"/>
        <v>9.4</v>
      </c>
      <c r="K19" s="30">
        <f t="shared" si="3"/>
        <v>75.2</v>
      </c>
      <c r="L19" s="30">
        <f t="shared" si="4"/>
        <v>94</v>
      </c>
      <c r="M19" s="27">
        <f>1</f>
        <v>1</v>
      </c>
      <c r="N19" s="27">
        <f t="shared" si="5"/>
        <v>0</v>
      </c>
      <c r="O19" s="27" t="b">
        <f>COMM_Beacons!T20&lt;&gt;COMM_Beacons!T19</f>
        <v>0</v>
      </c>
      <c r="P19" s="27" t="b">
        <f t="shared" si="6"/>
        <v>0</v>
      </c>
      <c r="Q19" s="27" t="b">
        <f>AND(E19=COMM_Beacons!Y20-COMM_Beacons!Y19,F19=COMM_Beacons!AA20-COMM_Beacons!AA19)</f>
        <v>1</v>
      </c>
      <c r="R19" s="27" t="b">
        <f t="shared" si="7"/>
        <v>1</v>
      </c>
    </row>
    <row r="20" spans="1:18" ht="24" customHeight="1" x14ac:dyDescent="0.2">
      <c r="A20" s="27">
        <v>16</v>
      </c>
      <c r="B20" s="29">
        <v>44589.740266203713</v>
      </c>
      <c r="C20" s="29">
        <v>44589.740381944437</v>
      </c>
      <c r="D20" s="27">
        <f t="shared" si="0"/>
        <v>10</v>
      </c>
      <c r="E20" s="27">
        <f>COMM_Beacons!O21-COMM_Beacons!O20</f>
        <v>1</v>
      </c>
      <c r="F20" s="27">
        <f>COMM_Beacons!Q21-COMM_Beacons!Q20</f>
        <v>94</v>
      </c>
      <c r="G20" s="27">
        <f>COMM_Beacons!P21-COMM_Beacons!P20</f>
        <v>0</v>
      </c>
      <c r="H20" s="27">
        <f>COMM_Beacons!R21-COMM_Beacons!R20</f>
        <v>0</v>
      </c>
      <c r="I20" s="30">
        <f t="shared" si="1"/>
        <v>0.1</v>
      </c>
      <c r="J20" s="30">
        <f t="shared" si="2"/>
        <v>9.4</v>
      </c>
      <c r="K20" s="30">
        <f t="shared" si="3"/>
        <v>75.2</v>
      </c>
      <c r="L20" s="30">
        <f t="shared" si="4"/>
        <v>94</v>
      </c>
      <c r="M20" s="27">
        <f>1</f>
        <v>1</v>
      </c>
      <c r="N20" s="27">
        <f t="shared" si="5"/>
        <v>0</v>
      </c>
      <c r="O20" s="27" t="b">
        <f>COMM_Beacons!T21&lt;&gt;COMM_Beacons!T20</f>
        <v>0</v>
      </c>
      <c r="P20" s="27" t="b">
        <f t="shared" si="6"/>
        <v>0</v>
      </c>
      <c r="Q20" s="27" t="b">
        <f>AND(E20=COMM_Beacons!Y21-COMM_Beacons!Y20,F20=COMM_Beacons!AA21-COMM_Beacons!AA20)</f>
        <v>1</v>
      </c>
      <c r="R20" s="27" t="b">
        <f t="shared" si="7"/>
        <v>1</v>
      </c>
    </row>
    <row r="21" spans="1:18" ht="24" customHeight="1" x14ac:dyDescent="0.2">
      <c r="A21" s="27">
        <v>17</v>
      </c>
      <c r="B21" s="29">
        <v>44589.740381944437</v>
      </c>
      <c r="C21" s="29">
        <v>44589.740497685183</v>
      </c>
      <c r="D21" s="27">
        <f t="shared" si="0"/>
        <v>10</v>
      </c>
      <c r="E21" s="27">
        <f>COMM_Beacons!O22-COMM_Beacons!O21</f>
        <v>1</v>
      </c>
      <c r="F21" s="27">
        <f>COMM_Beacons!Q22-COMM_Beacons!Q21</f>
        <v>94</v>
      </c>
      <c r="G21" s="27">
        <f>COMM_Beacons!P22-COMM_Beacons!P21</f>
        <v>0</v>
      </c>
      <c r="H21" s="27">
        <f>COMM_Beacons!R22-COMM_Beacons!R21</f>
        <v>0</v>
      </c>
      <c r="I21" s="30">
        <f t="shared" si="1"/>
        <v>0.1</v>
      </c>
      <c r="J21" s="30">
        <f t="shared" si="2"/>
        <v>9.4</v>
      </c>
      <c r="K21" s="30">
        <f t="shared" si="3"/>
        <v>75.2</v>
      </c>
      <c r="L21" s="30">
        <f t="shared" si="4"/>
        <v>94</v>
      </c>
      <c r="M21" s="27">
        <f>1</f>
        <v>1</v>
      </c>
      <c r="N21" s="27">
        <f t="shared" si="5"/>
        <v>0</v>
      </c>
      <c r="O21" s="27" t="b">
        <f>COMM_Beacons!T22&lt;&gt;COMM_Beacons!T21</f>
        <v>0</v>
      </c>
      <c r="P21" s="27" t="b">
        <f t="shared" si="6"/>
        <v>0</v>
      </c>
      <c r="Q21" s="27" t="b">
        <f>AND(E21=COMM_Beacons!Y22-COMM_Beacons!Y21,F21=COMM_Beacons!AA22-COMM_Beacons!AA21)</f>
        <v>1</v>
      </c>
      <c r="R21" s="27" t="b">
        <f t="shared" si="7"/>
        <v>1</v>
      </c>
    </row>
    <row r="22" spans="1:18" ht="24" customHeight="1" x14ac:dyDescent="0.2">
      <c r="A22" s="27">
        <v>18</v>
      </c>
      <c r="B22" s="29">
        <v>44589.740497685183</v>
      </c>
      <c r="C22" s="29">
        <v>44589.740613425929</v>
      </c>
      <c r="D22" s="27">
        <f t="shared" si="0"/>
        <v>10</v>
      </c>
      <c r="E22" s="27">
        <f>COMM_Beacons!O23-COMM_Beacons!O22</f>
        <v>1</v>
      </c>
      <c r="F22" s="27">
        <f>COMM_Beacons!Q23-COMM_Beacons!Q22</f>
        <v>94</v>
      </c>
      <c r="G22" s="27">
        <f>COMM_Beacons!P23-COMM_Beacons!P22</f>
        <v>0</v>
      </c>
      <c r="H22" s="27">
        <f>COMM_Beacons!R23-COMM_Beacons!R22</f>
        <v>0</v>
      </c>
      <c r="I22" s="30">
        <f t="shared" si="1"/>
        <v>0.1</v>
      </c>
      <c r="J22" s="30">
        <f t="shared" si="2"/>
        <v>9.4</v>
      </c>
      <c r="K22" s="30">
        <f t="shared" si="3"/>
        <v>75.2</v>
      </c>
      <c r="L22" s="30">
        <f t="shared" si="4"/>
        <v>94</v>
      </c>
      <c r="M22" s="27">
        <f>1</f>
        <v>1</v>
      </c>
      <c r="N22" s="27">
        <f t="shared" si="5"/>
        <v>0</v>
      </c>
      <c r="O22" s="27" t="b">
        <f>COMM_Beacons!T23&lt;&gt;COMM_Beacons!T22</f>
        <v>0</v>
      </c>
      <c r="P22" s="27" t="b">
        <f t="shared" si="6"/>
        <v>0</v>
      </c>
      <c r="Q22" s="27" t="b">
        <f>AND(E22=COMM_Beacons!Y23-COMM_Beacons!Y22,F22=COMM_Beacons!AA23-COMM_Beacons!AA22)</f>
        <v>1</v>
      </c>
      <c r="R22" s="27" t="b">
        <f t="shared" si="7"/>
        <v>1</v>
      </c>
    </row>
    <row r="23" spans="1:18" ht="24" customHeight="1" x14ac:dyDescent="0.2">
      <c r="A23" s="27">
        <v>19</v>
      </c>
      <c r="B23" s="29">
        <v>44589.740613425929</v>
      </c>
      <c r="C23" s="29">
        <v>44589.740729166668</v>
      </c>
      <c r="D23" s="27">
        <f t="shared" si="0"/>
        <v>10</v>
      </c>
      <c r="E23" s="27">
        <f>COMM_Beacons!O24-COMM_Beacons!O23</f>
        <v>1</v>
      </c>
      <c r="F23" s="27">
        <f>COMM_Beacons!Q24-COMM_Beacons!Q23</f>
        <v>94</v>
      </c>
      <c r="G23" s="27">
        <f>COMM_Beacons!P24-COMM_Beacons!P23</f>
        <v>0</v>
      </c>
      <c r="H23" s="27">
        <f>COMM_Beacons!R24-COMM_Beacons!R23</f>
        <v>0</v>
      </c>
      <c r="I23" s="30">
        <f t="shared" si="1"/>
        <v>0.1</v>
      </c>
      <c r="J23" s="30">
        <f t="shared" si="2"/>
        <v>9.4</v>
      </c>
      <c r="K23" s="30">
        <f t="shared" si="3"/>
        <v>75.2</v>
      </c>
      <c r="L23" s="30">
        <f t="shared" si="4"/>
        <v>94</v>
      </c>
      <c r="M23" s="27">
        <f>1</f>
        <v>1</v>
      </c>
      <c r="N23" s="27">
        <f t="shared" si="5"/>
        <v>0</v>
      </c>
      <c r="O23" s="27" t="b">
        <f>COMM_Beacons!T24&lt;&gt;COMM_Beacons!T23</f>
        <v>0</v>
      </c>
      <c r="P23" s="27" t="b">
        <f t="shared" si="6"/>
        <v>0</v>
      </c>
      <c r="Q23" s="27" t="b">
        <f>AND(E23=COMM_Beacons!Y24-COMM_Beacons!Y23,F23=COMM_Beacons!AA24-COMM_Beacons!AA23)</f>
        <v>1</v>
      </c>
      <c r="R23" s="27" t="b">
        <f t="shared" si="7"/>
        <v>1</v>
      </c>
    </row>
    <row r="24" spans="1:18" ht="24" customHeight="1" x14ac:dyDescent="0.2">
      <c r="A24" s="27">
        <v>20</v>
      </c>
      <c r="B24" s="29">
        <v>44589.740729166668</v>
      </c>
      <c r="C24" s="29">
        <v>44589.740844907406</v>
      </c>
      <c r="D24" s="27">
        <f t="shared" si="0"/>
        <v>10</v>
      </c>
      <c r="E24" s="27">
        <f>COMM_Beacons!O25-COMM_Beacons!O24</f>
        <v>1</v>
      </c>
      <c r="F24" s="27">
        <f>COMM_Beacons!Q25-COMM_Beacons!Q24</f>
        <v>94</v>
      </c>
      <c r="G24" s="27">
        <f>COMM_Beacons!P25-COMM_Beacons!P24</f>
        <v>0</v>
      </c>
      <c r="H24" s="27">
        <f>COMM_Beacons!R25-COMM_Beacons!R24</f>
        <v>0</v>
      </c>
      <c r="I24" s="30">
        <f t="shared" si="1"/>
        <v>0.1</v>
      </c>
      <c r="J24" s="30">
        <f t="shared" si="2"/>
        <v>9.4</v>
      </c>
      <c r="K24" s="30">
        <f t="shared" si="3"/>
        <v>75.2</v>
      </c>
      <c r="L24" s="30">
        <f t="shared" si="4"/>
        <v>94</v>
      </c>
      <c r="M24" s="27">
        <f>1</f>
        <v>1</v>
      </c>
      <c r="N24" s="27">
        <f t="shared" si="5"/>
        <v>0</v>
      </c>
      <c r="O24" s="27" t="b">
        <f>COMM_Beacons!T25&lt;&gt;COMM_Beacons!T24</f>
        <v>0</v>
      </c>
      <c r="P24" s="27" t="b">
        <f t="shared" si="6"/>
        <v>0</v>
      </c>
      <c r="Q24" s="27" t="b">
        <f>AND(E24=COMM_Beacons!Y25-COMM_Beacons!Y24,F24=COMM_Beacons!AA25-COMM_Beacons!AA24)</f>
        <v>1</v>
      </c>
      <c r="R24" s="27" t="b">
        <f t="shared" si="7"/>
        <v>1</v>
      </c>
    </row>
    <row r="25" spans="1:18" ht="24" customHeight="1" x14ac:dyDescent="0.2">
      <c r="A25" s="27">
        <v>21</v>
      </c>
      <c r="B25" s="29">
        <v>44589.740844907406</v>
      </c>
      <c r="C25" s="29">
        <v>44589.740960648152</v>
      </c>
      <c r="D25" s="27">
        <f t="shared" si="0"/>
        <v>10</v>
      </c>
      <c r="E25" s="27">
        <f>COMM_Beacons!O26-COMM_Beacons!O25</f>
        <v>1</v>
      </c>
      <c r="F25" s="27">
        <f>COMM_Beacons!Q26-COMM_Beacons!Q25</f>
        <v>94</v>
      </c>
      <c r="G25" s="27">
        <f>COMM_Beacons!P26-COMM_Beacons!P25</f>
        <v>0</v>
      </c>
      <c r="H25" s="27">
        <f>COMM_Beacons!R26-COMM_Beacons!R25</f>
        <v>0</v>
      </c>
      <c r="I25" s="30">
        <f t="shared" si="1"/>
        <v>0.1</v>
      </c>
      <c r="J25" s="30">
        <f t="shared" si="2"/>
        <v>9.4</v>
      </c>
      <c r="K25" s="30">
        <f t="shared" si="3"/>
        <v>75.2</v>
      </c>
      <c r="L25" s="30">
        <f t="shared" si="4"/>
        <v>94</v>
      </c>
      <c r="M25" s="27">
        <f>1</f>
        <v>1</v>
      </c>
      <c r="N25" s="27">
        <f t="shared" si="5"/>
        <v>0</v>
      </c>
      <c r="O25" s="27" t="b">
        <f>COMM_Beacons!T26&lt;&gt;COMM_Beacons!T25</f>
        <v>0</v>
      </c>
      <c r="P25" s="27" t="b">
        <f t="shared" si="6"/>
        <v>0</v>
      </c>
      <c r="Q25" s="27" t="b">
        <f>AND(E25=COMM_Beacons!Y26-COMM_Beacons!Y25,F25=COMM_Beacons!AA26-COMM_Beacons!AA25)</f>
        <v>1</v>
      </c>
      <c r="R25" s="27" t="b">
        <f t="shared" si="7"/>
        <v>1</v>
      </c>
    </row>
    <row r="26" spans="1:18" ht="24" customHeight="1" x14ac:dyDescent="0.2">
      <c r="A26" s="27">
        <v>22</v>
      </c>
      <c r="B26" s="29">
        <v>44589.740960648152</v>
      </c>
      <c r="C26" s="29">
        <v>44589.741076388891</v>
      </c>
      <c r="D26" s="27">
        <f t="shared" si="0"/>
        <v>10</v>
      </c>
      <c r="E26" s="27">
        <f>COMM_Beacons!O27-COMM_Beacons!O26</f>
        <v>1</v>
      </c>
      <c r="F26" s="27">
        <f>COMM_Beacons!Q27-COMM_Beacons!Q26</f>
        <v>94</v>
      </c>
      <c r="G26" s="27">
        <f>COMM_Beacons!P27-COMM_Beacons!P26</f>
        <v>0</v>
      </c>
      <c r="H26" s="27">
        <f>COMM_Beacons!R27-COMM_Beacons!R26</f>
        <v>0</v>
      </c>
      <c r="I26" s="30">
        <f t="shared" si="1"/>
        <v>0.1</v>
      </c>
      <c r="J26" s="30">
        <f t="shared" si="2"/>
        <v>9.4</v>
      </c>
      <c r="K26" s="30">
        <f t="shared" si="3"/>
        <v>75.2</v>
      </c>
      <c r="L26" s="30">
        <f t="shared" si="4"/>
        <v>94</v>
      </c>
      <c r="M26" s="27">
        <f>1</f>
        <v>1</v>
      </c>
      <c r="N26" s="27">
        <f t="shared" si="5"/>
        <v>0</v>
      </c>
      <c r="O26" s="27" t="b">
        <f>COMM_Beacons!T27&lt;&gt;COMM_Beacons!T26</f>
        <v>0</v>
      </c>
      <c r="P26" s="27" t="b">
        <f t="shared" si="6"/>
        <v>0</v>
      </c>
      <c r="Q26" s="27" t="b">
        <f>AND(E26=COMM_Beacons!Y27-COMM_Beacons!Y26,F26=COMM_Beacons!AA27-COMM_Beacons!AA26)</f>
        <v>1</v>
      </c>
      <c r="R26" s="27" t="b">
        <f t="shared" si="7"/>
        <v>1</v>
      </c>
    </row>
    <row r="27" spans="1:18" ht="24" customHeight="1" x14ac:dyDescent="0.2">
      <c r="A27" s="27">
        <v>23</v>
      </c>
      <c r="B27" s="29">
        <v>44589.741076388891</v>
      </c>
      <c r="C27" s="29">
        <v>44589.74119212963</v>
      </c>
      <c r="D27" s="27">
        <f t="shared" si="0"/>
        <v>10</v>
      </c>
      <c r="E27" s="27">
        <f>COMM_Beacons!O28-COMM_Beacons!O27</f>
        <v>1</v>
      </c>
      <c r="F27" s="27">
        <f>COMM_Beacons!Q28-COMM_Beacons!Q27</f>
        <v>94</v>
      </c>
      <c r="G27" s="27">
        <f>COMM_Beacons!P28-COMM_Beacons!P27</f>
        <v>0</v>
      </c>
      <c r="H27" s="27">
        <f>COMM_Beacons!R28-COMM_Beacons!R27</f>
        <v>0</v>
      </c>
      <c r="I27" s="30">
        <f t="shared" si="1"/>
        <v>0.1</v>
      </c>
      <c r="J27" s="30">
        <f t="shared" si="2"/>
        <v>9.4</v>
      </c>
      <c r="K27" s="30">
        <f t="shared" si="3"/>
        <v>75.2</v>
      </c>
      <c r="L27" s="30">
        <f t="shared" si="4"/>
        <v>94</v>
      </c>
      <c r="M27" s="27">
        <f>1</f>
        <v>1</v>
      </c>
      <c r="N27" s="27">
        <f t="shared" si="5"/>
        <v>0</v>
      </c>
      <c r="O27" s="27" t="b">
        <f>COMM_Beacons!T28&lt;&gt;COMM_Beacons!T27</f>
        <v>0</v>
      </c>
      <c r="P27" s="27" t="b">
        <f t="shared" si="6"/>
        <v>0</v>
      </c>
      <c r="Q27" s="27" t="b">
        <f>AND(E27=COMM_Beacons!Y28-COMM_Beacons!Y27,F27=COMM_Beacons!AA28-COMM_Beacons!AA27)</f>
        <v>1</v>
      </c>
      <c r="R27" s="27" t="b">
        <f t="shared" si="7"/>
        <v>1</v>
      </c>
    </row>
    <row r="28" spans="1:18" ht="24" customHeight="1" x14ac:dyDescent="0.2">
      <c r="A28" s="27">
        <v>24</v>
      </c>
      <c r="B28" s="29">
        <v>44589.74119212963</v>
      </c>
      <c r="C28" s="29">
        <v>44589.741307870368</v>
      </c>
      <c r="D28" s="27">
        <f t="shared" si="0"/>
        <v>10</v>
      </c>
      <c r="E28" s="27">
        <f>COMM_Beacons!O29-COMM_Beacons!O28</f>
        <v>1</v>
      </c>
      <c r="F28" s="27">
        <f>COMM_Beacons!Q29-COMM_Beacons!Q28</f>
        <v>94</v>
      </c>
      <c r="G28" s="27">
        <f>COMM_Beacons!P29-COMM_Beacons!P28</f>
        <v>0</v>
      </c>
      <c r="H28" s="27">
        <f>COMM_Beacons!R29-COMM_Beacons!R28</f>
        <v>0</v>
      </c>
      <c r="I28" s="30">
        <f t="shared" si="1"/>
        <v>0.1</v>
      </c>
      <c r="J28" s="30">
        <f t="shared" si="2"/>
        <v>9.4</v>
      </c>
      <c r="K28" s="30">
        <f t="shared" si="3"/>
        <v>75.2</v>
      </c>
      <c r="L28" s="30">
        <f t="shared" si="4"/>
        <v>94</v>
      </c>
      <c r="M28" s="27">
        <f>1</f>
        <v>1</v>
      </c>
      <c r="N28" s="27">
        <f t="shared" si="5"/>
        <v>0</v>
      </c>
      <c r="O28" s="27" t="b">
        <f>COMM_Beacons!T29&lt;&gt;COMM_Beacons!T28</f>
        <v>0</v>
      </c>
      <c r="P28" s="27" t="b">
        <f t="shared" si="6"/>
        <v>0</v>
      </c>
      <c r="Q28" s="27" t="b">
        <f>AND(E28=COMM_Beacons!Y29-COMM_Beacons!Y28,F28=COMM_Beacons!AA29-COMM_Beacons!AA28)</f>
        <v>1</v>
      </c>
      <c r="R28" s="27" t="b">
        <f t="shared" si="7"/>
        <v>1</v>
      </c>
    </row>
    <row r="29" spans="1:18" ht="24" customHeight="1" x14ac:dyDescent="0.2">
      <c r="A29" s="27">
        <v>25</v>
      </c>
      <c r="B29" s="29">
        <v>44589.741307870368</v>
      </c>
      <c r="C29" s="29">
        <v>44589.741423611107</v>
      </c>
      <c r="D29" s="27">
        <f t="shared" si="0"/>
        <v>10</v>
      </c>
      <c r="E29" s="27">
        <f>COMM_Beacons!O30-COMM_Beacons!O29</f>
        <v>1</v>
      </c>
      <c r="F29" s="27">
        <f>COMM_Beacons!Q30-COMM_Beacons!Q29</f>
        <v>94</v>
      </c>
      <c r="G29" s="27">
        <f>COMM_Beacons!P30-COMM_Beacons!P29</f>
        <v>0</v>
      </c>
      <c r="H29" s="27">
        <f>COMM_Beacons!R30-COMM_Beacons!R29</f>
        <v>0</v>
      </c>
      <c r="I29" s="30">
        <f t="shared" si="1"/>
        <v>0.1</v>
      </c>
      <c r="J29" s="30">
        <f t="shared" si="2"/>
        <v>9.4</v>
      </c>
      <c r="K29" s="30">
        <f t="shared" si="3"/>
        <v>75.2</v>
      </c>
      <c r="L29" s="30">
        <f t="shared" si="4"/>
        <v>94</v>
      </c>
      <c r="M29" s="27">
        <f>1</f>
        <v>1</v>
      </c>
      <c r="N29" s="27">
        <f t="shared" si="5"/>
        <v>0</v>
      </c>
      <c r="O29" s="27" t="b">
        <f>COMM_Beacons!T30&lt;&gt;COMM_Beacons!T29</f>
        <v>0</v>
      </c>
      <c r="P29" s="27" t="b">
        <f t="shared" si="6"/>
        <v>0</v>
      </c>
      <c r="Q29" s="27" t="b">
        <f>AND(E29=COMM_Beacons!Y30-COMM_Beacons!Y29,F29=COMM_Beacons!AA30-COMM_Beacons!AA29)</f>
        <v>1</v>
      </c>
      <c r="R29" s="27" t="b">
        <f t="shared" si="7"/>
        <v>1</v>
      </c>
    </row>
    <row r="30" spans="1:18" ht="24" customHeight="1" x14ac:dyDescent="0.2">
      <c r="A30" s="27">
        <v>26</v>
      </c>
      <c r="B30" s="29">
        <v>44589.741423611107</v>
      </c>
      <c r="C30" s="29">
        <v>44589.741539351853</v>
      </c>
      <c r="D30" s="27">
        <f t="shared" si="0"/>
        <v>10</v>
      </c>
      <c r="E30" s="27">
        <f>COMM_Beacons!O31-COMM_Beacons!O30</f>
        <v>1</v>
      </c>
      <c r="F30" s="27">
        <f>COMM_Beacons!Q31-COMM_Beacons!Q30</f>
        <v>94</v>
      </c>
      <c r="G30" s="27">
        <f>COMM_Beacons!P31-COMM_Beacons!P30</f>
        <v>0</v>
      </c>
      <c r="H30" s="27">
        <f>COMM_Beacons!R31-COMM_Beacons!R30</f>
        <v>0</v>
      </c>
      <c r="I30" s="30">
        <f t="shared" si="1"/>
        <v>0.1</v>
      </c>
      <c r="J30" s="30">
        <f t="shared" si="2"/>
        <v>9.4</v>
      </c>
      <c r="K30" s="30">
        <f t="shared" si="3"/>
        <v>75.2</v>
      </c>
      <c r="L30" s="30">
        <f t="shared" si="4"/>
        <v>94</v>
      </c>
      <c r="M30" s="27">
        <f>1</f>
        <v>1</v>
      </c>
      <c r="N30" s="27">
        <f t="shared" si="5"/>
        <v>0</v>
      </c>
      <c r="O30" s="27" t="b">
        <f>COMM_Beacons!T31&lt;&gt;COMM_Beacons!T30</f>
        <v>0</v>
      </c>
      <c r="P30" s="27" t="b">
        <f t="shared" si="6"/>
        <v>0</v>
      </c>
      <c r="Q30" s="27" t="b">
        <f>AND(E30=COMM_Beacons!Y31-COMM_Beacons!Y30,F30=COMM_Beacons!AA31-COMM_Beacons!AA30)</f>
        <v>1</v>
      </c>
      <c r="R30" s="27" t="b">
        <f t="shared" si="7"/>
        <v>1</v>
      </c>
    </row>
    <row r="31" spans="1:18" ht="24" customHeight="1" x14ac:dyDescent="0.2">
      <c r="A31" s="27">
        <v>27</v>
      </c>
      <c r="B31" s="29">
        <v>44589.741539351853</v>
      </c>
      <c r="C31" s="29">
        <v>44589.741655092592</v>
      </c>
      <c r="D31" s="27">
        <f t="shared" si="0"/>
        <v>10</v>
      </c>
      <c r="E31" s="27">
        <f>COMM_Beacons!O32-COMM_Beacons!O31</f>
        <v>1</v>
      </c>
      <c r="F31" s="27">
        <f>COMM_Beacons!Q32-COMM_Beacons!Q31</f>
        <v>94</v>
      </c>
      <c r="G31" s="27">
        <f>COMM_Beacons!P32-COMM_Beacons!P31</f>
        <v>0</v>
      </c>
      <c r="H31" s="27">
        <f>COMM_Beacons!R32-COMM_Beacons!R31</f>
        <v>0</v>
      </c>
      <c r="I31" s="30">
        <f t="shared" si="1"/>
        <v>0.1</v>
      </c>
      <c r="J31" s="30">
        <f t="shared" si="2"/>
        <v>9.4</v>
      </c>
      <c r="K31" s="30">
        <f t="shared" si="3"/>
        <v>75.2</v>
      </c>
      <c r="L31" s="30">
        <f t="shared" si="4"/>
        <v>94</v>
      </c>
      <c r="M31" s="27">
        <f>1</f>
        <v>1</v>
      </c>
      <c r="N31" s="27">
        <f t="shared" si="5"/>
        <v>0</v>
      </c>
      <c r="O31" s="27" t="b">
        <f>COMM_Beacons!T32&lt;&gt;COMM_Beacons!T31</f>
        <v>0</v>
      </c>
      <c r="P31" s="27" t="b">
        <f t="shared" si="6"/>
        <v>0</v>
      </c>
      <c r="Q31" s="27" t="b">
        <f>AND(E31=COMM_Beacons!Y32-COMM_Beacons!Y31,F31=COMM_Beacons!AA32-COMM_Beacons!AA31)</f>
        <v>1</v>
      </c>
      <c r="R31" s="27" t="b">
        <f t="shared" si="7"/>
        <v>1</v>
      </c>
    </row>
    <row r="32" spans="1:18" ht="24" customHeight="1" x14ac:dyDescent="0.2">
      <c r="A32" s="27">
        <v>28</v>
      </c>
      <c r="B32" s="29">
        <v>44589.741655092592</v>
      </c>
      <c r="C32" s="29">
        <v>44589.741770833331</v>
      </c>
      <c r="D32" s="27">
        <f t="shared" si="0"/>
        <v>10</v>
      </c>
      <c r="E32" s="27">
        <f>COMM_Beacons!O33-COMM_Beacons!O32</f>
        <v>1</v>
      </c>
      <c r="F32" s="27">
        <f>COMM_Beacons!Q33-COMM_Beacons!Q32</f>
        <v>94</v>
      </c>
      <c r="G32" s="27">
        <f>COMM_Beacons!P33-COMM_Beacons!P32</f>
        <v>0</v>
      </c>
      <c r="H32" s="27">
        <f>COMM_Beacons!R33-COMM_Beacons!R32</f>
        <v>0</v>
      </c>
      <c r="I32" s="30">
        <f t="shared" si="1"/>
        <v>0.1</v>
      </c>
      <c r="J32" s="30">
        <f t="shared" si="2"/>
        <v>9.4</v>
      </c>
      <c r="K32" s="30">
        <f t="shared" si="3"/>
        <v>75.2</v>
      </c>
      <c r="L32" s="30">
        <f t="shared" si="4"/>
        <v>94</v>
      </c>
      <c r="M32" s="27">
        <f>1</f>
        <v>1</v>
      </c>
      <c r="N32" s="27">
        <f t="shared" si="5"/>
        <v>0</v>
      </c>
      <c r="O32" s="27" t="b">
        <f>COMM_Beacons!T33&lt;&gt;COMM_Beacons!T32</f>
        <v>0</v>
      </c>
      <c r="P32" s="27" t="b">
        <f t="shared" si="6"/>
        <v>0</v>
      </c>
      <c r="Q32" s="27" t="b">
        <f>AND(E32=COMM_Beacons!Y33-COMM_Beacons!Y32,F32=COMM_Beacons!AA33-COMM_Beacons!AA32)</f>
        <v>1</v>
      </c>
      <c r="R32" s="27" t="b">
        <f t="shared" si="7"/>
        <v>1</v>
      </c>
    </row>
    <row r="33" spans="1:18" ht="24" customHeight="1" x14ac:dyDescent="0.2">
      <c r="A33" s="27">
        <v>29</v>
      </c>
      <c r="B33" s="29">
        <v>44589.741770833331</v>
      </c>
      <c r="C33" s="29">
        <v>44589.741886574076</v>
      </c>
      <c r="D33" s="27">
        <f t="shared" si="0"/>
        <v>10</v>
      </c>
      <c r="E33" s="27">
        <f>COMM_Beacons!O34-COMM_Beacons!O33</f>
        <v>1</v>
      </c>
      <c r="F33" s="27">
        <f>COMM_Beacons!Q34-COMM_Beacons!Q33</f>
        <v>94</v>
      </c>
      <c r="G33" s="27">
        <f>COMM_Beacons!P34-COMM_Beacons!P33</f>
        <v>0</v>
      </c>
      <c r="H33" s="27">
        <f>COMM_Beacons!R34-COMM_Beacons!R33</f>
        <v>0</v>
      </c>
      <c r="I33" s="30">
        <f t="shared" si="1"/>
        <v>0.1</v>
      </c>
      <c r="J33" s="30">
        <f t="shared" si="2"/>
        <v>9.4</v>
      </c>
      <c r="K33" s="30">
        <f t="shared" si="3"/>
        <v>75.2</v>
      </c>
      <c r="L33" s="30">
        <f t="shared" si="4"/>
        <v>94</v>
      </c>
      <c r="M33" s="27">
        <f>1</f>
        <v>1</v>
      </c>
      <c r="N33" s="27">
        <f t="shared" si="5"/>
        <v>0</v>
      </c>
      <c r="O33" s="27" t="b">
        <f>COMM_Beacons!T34&lt;&gt;COMM_Beacons!T33</f>
        <v>0</v>
      </c>
      <c r="P33" s="27" t="b">
        <f t="shared" si="6"/>
        <v>0</v>
      </c>
      <c r="Q33" s="27" t="b">
        <f>AND(E33=COMM_Beacons!Y34-COMM_Beacons!Y33,F33=COMM_Beacons!AA34-COMM_Beacons!AA33)</f>
        <v>1</v>
      </c>
      <c r="R33" s="27" t="b">
        <f t="shared" si="7"/>
        <v>1</v>
      </c>
    </row>
    <row r="34" spans="1:18" ht="24" customHeight="1" x14ac:dyDescent="0.2">
      <c r="A34" s="27">
        <v>30</v>
      </c>
      <c r="B34" s="29">
        <v>44589.741886574076</v>
      </c>
      <c r="C34" s="29">
        <v>44589.742002314822</v>
      </c>
      <c r="D34" s="27">
        <f t="shared" si="0"/>
        <v>10</v>
      </c>
      <c r="E34" s="27">
        <f>COMM_Beacons!O35-COMM_Beacons!O34</f>
        <v>1</v>
      </c>
      <c r="F34" s="27">
        <f>COMM_Beacons!Q35-COMM_Beacons!Q34</f>
        <v>94</v>
      </c>
      <c r="G34" s="27">
        <f>COMM_Beacons!P35-COMM_Beacons!P34</f>
        <v>0</v>
      </c>
      <c r="H34" s="27">
        <f>COMM_Beacons!R35-COMM_Beacons!R34</f>
        <v>0</v>
      </c>
      <c r="I34" s="30">
        <f t="shared" si="1"/>
        <v>0.1</v>
      </c>
      <c r="J34" s="30">
        <f t="shared" si="2"/>
        <v>9.4</v>
      </c>
      <c r="K34" s="30">
        <f t="shared" si="3"/>
        <v>75.2</v>
      </c>
      <c r="L34" s="30">
        <f t="shared" si="4"/>
        <v>94</v>
      </c>
      <c r="M34" s="27">
        <f>1</f>
        <v>1</v>
      </c>
      <c r="N34" s="27">
        <f t="shared" si="5"/>
        <v>0</v>
      </c>
      <c r="O34" s="27" t="b">
        <f>COMM_Beacons!T35&lt;&gt;COMM_Beacons!T34</f>
        <v>0</v>
      </c>
      <c r="P34" s="27" t="b">
        <f t="shared" si="6"/>
        <v>0</v>
      </c>
      <c r="Q34" s="27" t="b">
        <f>AND(E34=COMM_Beacons!Y35-COMM_Beacons!Y34,F34=COMM_Beacons!AA35-COMM_Beacons!AA34)</f>
        <v>1</v>
      </c>
      <c r="R34" s="27" t="b">
        <f t="shared" si="7"/>
        <v>1</v>
      </c>
    </row>
    <row r="35" spans="1:18" ht="24" customHeight="1" x14ac:dyDescent="0.2">
      <c r="A35" s="27">
        <v>31</v>
      </c>
      <c r="B35" s="29">
        <v>44589.742002314822</v>
      </c>
      <c r="C35" s="29">
        <v>44589.742118055547</v>
      </c>
      <c r="D35" s="27">
        <f t="shared" si="0"/>
        <v>10</v>
      </c>
      <c r="E35" s="27">
        <f>COMM_Beacons!O36-COMM_Beacons!O35</f>
        <v>1</v>
      </c>
      <c r="F35" s="27">
        <f>COMM_Beacons!Q36-COMM_Beacons!Q35</f>
        <v>94</v>
      </c>
      <c r="G35" s="27">
        <f>COMM_Beacons!P36-COMM_Beacons!P35</f>
        <v>0</v>
      </c>
      <c r="H35" s="27">
        <f>COMM_Beacons!R36-COMM_Beacons!R35</f>
        <v>0</v>
      </c>
      <c r="I35" s="30">
        <f t="shared" si="1"/>
        <v>0.1</v>
      </c>
      <c r="J35" s="30">
        <f t="shared" si="2"/>
        <v>9.4</v>
      </c>
      <c r="K35" s="30">
        <f t="shared" si="3"/>
        <v>75.2</v>
      </c>
      <c r="L35" s="30">
        <f t="shared" si="4"/>
        <v>94</v>
      </c>
      <c r="M35" s="27">
        <f>1</f>
        <v>1</v>
      </c>
      <c r="N35" s="27">
        <f t="shared" si="5"/>
        <v>0</v>
      </c>
      <c r="O35" s="27" t="b">
        <f>COMM_Beacons!T36&lt;&gt;COMM_Beacons!T35</f>
        <v>0</v>
      </c>
      <c r="P35" s="27" t="b">
        <f t="shared" si="6"/>
        <v>0</v>
      </c>
      <c r="Q35" s="27" t="b">
        <f>AND(E35=COMM_Beacons!Y36-COMM_Beacons!Y35,F35=COMM_Beacons!AA36-COMM_Beacons!AA35)</f>
        <v>1</v>
      </c>
      <c r="R35" s="27" t="b">
        <f t="shared" si="7"/>
        <v>1</v>
      </c>
    </row>
    <row r="36" spans="1:18" ht="24" customHeight="1" x14ac:dyDescent="0.2">
      <c r="A36" s="27">
        <v>32</v>
      </c>
      <c r="B36" s="29">
        <v>44589.742118055547</v>
      </c>
      <c r="C36" s="29">
        <v>44589.7422337963</v>
      </c>
      <c r="D36" s="27">
        <f t="shared" si="0"/>
        <v>10</v>
      </c>
      <c r="E36" s="27">
        <f>COMM_Beacons!O37-COMM_Beacons!O36</f>
        <v>1</v>
      </c>
      <c r="F36" s="27">
        <f>COMM_Beacons!Q37-COMM_Beacons!Q36</f>
        <v>94</v>
      </c>
      <c r="G36" s="27">
        <f>COMM_Beacons!P37-COMM_Beacons!P36</f>
        <v>0</v>
      </c>
      <c r="H36" s="27">
        <f>COMM_Beacons!R37-COMM_Beacons!R36</f>
        <v>0</v>
      </c>
      <c r="I36" s="30">
        <f t="shared" si="1"/>
        <v>0.1</v>
      </c>
      <c r="J36" s="30">
        <f t="shared" si="2"/>
        <v>9.4</v>
      </c>
      <c r="K36" s="30">
        <f t="shared" si="3"/>
        <v>75.2</v>
      </c>
      <c r="L36" s="30">
        <f t="shared" si="4"/>
        <v>94</v>
      </c>
      <c r="M36" s="27">
        <f>1</f>
        <v>1</v>
      </c>
      <c r="N36" s="27">
        <f t="shared" si="5"/>
        <v>0</v>
      </c>
      <c r="O36" s="27" t="b">
        <f>COMM_Beacons!T37&lt;&gt;COMM_Beacons!T36</f>
        <v>0</v>
      </c>
      <c r="P36" s="27" t="b">
        <f t="shared" si="6"/>
        <v>0</v>
      </c>
      <c r="Q36" s="27" t="b">
        <f>AND(E36=COMM_Beacons!Y37-COMM_Beacons!Y36,F36=COMM_Beacons!AA37-COMM_Beacons!AA36)</f>
        <v>1</v>
      </c>
      <c r="R36" s="27" t="b">
        <f t="shared" si="7"/>
        <v>1</v>
      </c>
    </row>
    <row r="37" spans="1:18" ht="24" customHeight="1" x14ac:dyDescent="0.2">
      <c r="A37" s="27">
        <v>33</v>
      </c>
      <c r="B37" s="29">
        <v>44589.7422337963</v>
      </c>
      <c r="C37" s="29">
        <v>44589.742349537039</v>
      </c>
      <c r="D37" s="27">
        <f t="shared" si="0"/>
        <v>10</v>
      </c>
      <c r="E37" s="27">
        <f>COMM_Beacons!O38-COMM_Beacons!O37</f>
        <v>1</v>
      </c>
      <c r="F37" s="27">
        <f>COMM_Beacons!Q38-COMM_Beacons!Q37</f>
        <v>94</v>
      </c>
      <c r="G37" s="27">
        <f>COMM_Beacons!P38-COMM_Beacons!P37</f>
        <v>0</v>
      </c>
      <c r="H37" s="27">
        <f>COMM_Beacons!R38-COMM_Beacons!R37</f>
        <v>0</v>
      </c>
      <c r="I37" s="30">
        <f t="shared" si="1"/>
        <v>0.1</v>
      </c>
      <c r="J37" s="30">
        <f t="shared" si="2"/>
        <v>9.4</v>
      </c>
      <c r="K37" s="30">
        <f t="shared" si="3"/>
        <v>75.2</v>
      </c>
      <c r="L37" s="30">
        <f t="shared" si="4"/>
        <v>94</v>
      </c>
      <c r="M37" s="27">
        <f>1</f>
        <v>1</v>
      </c>
      <c r="N37" s="27">
        <f t="shared" si="5"/>
        <v>0</v>
      </c>
      <c r="O37" s="27" t="b">
        <f>COMM_Beacons!T38&lt;&gt;COMM_Beacons!T37</f>
        <v>0</v>
      </c>
      <c r="P37" s="27" t="b">
        <f t="shared" si="6"/>
        <v>0</v>
      </c>
      <c r="Q37" s="27" t="b">
        <f>AND(E37=COMM_Beacons!Y38-COMM_Beacons!Y37,F37=COMM_Beacons!AA38-COMM_Beacons!AA37)</f>
        <v>1</v>
      </c>
      <c r="R37" s="27" t="b">
        <f t="shared" si="7"/>
        <v>1</v>
      </c>
    </row>
    <row r="38" spans="1:18" ht="24" customHeight="1" x14ac:dyDescent="0.2">
      <c r="A38" s="27">
        <v>34</v>
      </c>
      <c r="B38" s="29">
        <v>44589.742349537039</v>
      </c>
      <c r="C38" s="29">
        <v>44589.742465277777</v>
      </c>
      <c r="D38" s="27">
        <f t="shared" ref="D38:D65" si="8">ROUND((C38-B38)*86400,0)</f>
        <v>10</v>
      </c>
      <c r="E38" s="27">
        <f>COMM_Beacons!O39-COMM_Beacons!O38</f>
        <v>1</v>
      </c>
      <c r="F38" s="27">
        <f>COMM_Beacons!Q39-COMM_Beacons!Q38</f>
        <v>94</v>
      </c>
      <c r="G38" s="27">
        <f>COMM_Beacons!P39-COMM_Beacons!P38</f>
        <v>0</v>
      </c>
      <c r="H38" s="27">
        <f>COMM_Beacons!R39-COMM_Beacons!R38</f>
        <v>0</v>
      </c>
      <c r="I38" s="30">
        <f t="shared" ref="I38:I65" si="9">IF(R38,E38/D38,"")</f>
        <v>0.1</v>
      </c>
      <c r="J38" s="30">
        <f t="shared" ref="J38:J65" si="10">IF(R38,F38/D38,"")</f>
        <v>9.4</v>
      </c>
      <c r="K38" s="30">
        <f t="shared" ref="K38:K65" si="11">IF(R38,8*F38/D38,"")</f>
        <v>75.2</v>
      </c>
      <c r="L38" s="30">
        <f t="shared" ref="L38:L65" si="12">IF(AND(R38,E38&gt;0),F38/E38,"")</f>
        <v>94</v>
      </c>
      <c r="M38" s="27">
        <f>1</f>
        <v>1</v>
      </c>
      <c r="N38" s="27">
        <f t="shared" ref="N38:N65" si="13">IF(R38,E38-M38,"")</f>
        <v>0</v>
      </c>
      <c r="O38" s="27" t="b">
        <f>COMM_Beacons!T39&lt;&gt;COMM_Beacons!T38</f>
        <v>0</v>
      </c>
      <c r="P38" s="27" t="b">
        <f t="shared" ref="P38:P65" si="14">MIN(E38:H38)&lt;0</f>
        <v>0</v>
      </c>
      <c r="Q38" s="27" t="b">
        <f>AND(E38=COMM_Beacons!Y39-COMM_Beacons!Y38,F38=COMM_Beacons!AA39-COMM_Beacons!AA38)</f>
        <v>1</v>
      </c>
      <c r="R38" s="27" t="b">
        <f t="shared" ref="R38:R65" si="15">AND(D38&gt;0,NOT(O38),NOT(P38),Q38)</f>
        <v>1</v>
      </c>
    </row>
    <row r="39" spans="1:18" ht="24" customHeight="1" x14ac:dyDescent="0.2">
      <c r="A39" s="27">
        <v>35</v>
      </c>
      <c r="B39" s="29">
        <v>44589.742465277777</v>
      </c>
      <c r="C39" s="29">
        <v>44589.742581018523</v>
      </c>
      <c r="D39" s="27">
        <f t="shared" si="8"/>
        <v>10</v>
      </c>
      <c r="E39" s="27">
        <f>COMM_Beacons!O40-COMM_Beacons!O39</f>
        <v>1</v>
      </c>
      <c r="F39" s="27">
        <f>COMM_Beacons!Q40-COMM_Beacons!Q39</f>
        <v>94</v>
      </c>
      <c r="G39" s="27">
        <f>COMM_Beacons!P40-COMM_Beacons!P39</f>
        <v>0</v>
      </c>
      <c r="H39" s="27">
        <f>COMM_Beacons!R40-COMM_Beacons!R39</f>
        <v>0</v>
      </c>
      <c r="I39" s="30">
        <f t="shared" si="9"/>
        <v>0.1</v>
      </c>
      <c r="J39" s="30">
        <f t="shared" si="10"/>
        <v>9.4</v>
      </c>
      <c r="K39" s="30">
        <f t="shared" si="11"/>
        <v>75.2</v>
      </c>
      <c r="L39" s="30">
        <f t="shared" si="12"/>
        <v>94</v>
      </c>
      <c r="M39" s="27">
        <f>1</f>
        <v>1</v>
      </c>
      <c r="N39" s="27">
        <f t="shared" si="13"/>
        <v>0</v>
      </c>
      <c r="O39" s="27" t="b">
        <f>COMM_Beacons!T40&lt;&gt;COMM_Beacons!T39</f>
        <v>0</v>
      </c>
      <c r="P39" s="27" t="b">
        <f t="shared" si="14"/>
        <v>0</v>
      </c>
      <c r="Q39" s="27" t="b">
        <f>AND(E39=COMM_Beacons!Y40-COMM_Beacons!Y39,F39=COMM_Beacons!AA40-COMM_Beacons!AA39)</f>
        <v>1</v>
      </c>
      <c r="R39" s="27" t="b">
        <f t="shared" si="15"/>
        <v>1</v>
      </c>
    </row>
    <row r="40" spans="1:18" ht="24" customHeight="1" x14ac:dyDescent="0.2">
      <c r="A40" s="27">
        <v>36</v>
      </c>
      <c r="B40" s="29">
        <v>44589.742581018523</v>
      </c>
      <c r="C40" s="29">
        <v>44589.742696759262</v>
      </c>
      <c r="D40" s="27">
        <f t="shared" si="8"/>
        <v>10</v>
      </c>
      <c r="E40" s="27">
        <f>COMM_Beacons!O41-COMM_Beacons!O40</f>
        <v>1</v>
      </c>
      <c r="F40" s="27">
        <f>COMM_Beacons!Q41-COMM_Beacons!Q40</f>
        <v>94</v>
      </c>
      <c r="G40" s="27">
        <f>COMM_Beacons!P41-COMM_Beacons!P40</f>
        <v>0</v>
      </c>
      <c r="H40" s="27">
        <f>COMM_Beacons!R41-COMM_Beacons!R40</f>
        <v>0</v>
      </c>
      <c r="I40" s="30">
        <f t="shared" si="9"/>
        <v>0.1</v>
      </c>
      <c r="J40" s="30">
        <f t="shared" si="10"/>
        <v>9.4</v>
      </c>
      <c r="K40" s="30">
        <f t="shared" si="11"/>
        <v>75.2</v>
      </c>
      <c r="L40" s="30">
        <f t="shared" si="12"/>
        <v>94</v>
      </c>
      <c r="M40" s="27">
        <f>1</f>
        <v>1</v>
      </c>
      <c r="N40" s="27">
        <f t="shared" si="13"/>
        <v>0</v>
      </c>
      <c r="O40" s="27" t="b">
        <f>COMM_Beacons!T41&lt;&gt;COMM_Beacons!T40</f>
        <v>0</v>
      </c>
      <c r="P40" s="27" t="b">
        <f t="shared" si="14"/>
        <v>0</v>
      </c>
      <c r="Q40" s="27" t="b">
        <f>AND(E40=COMM_Beacons!Y41-COMM_Beacons!Y40,F40=COMM_Beacons!AA41-COMM_Beacons!AA40)</f>
        <v>1</v>
      </c>
      <c r="R40" s="27" t="b">
        <f t="shared" si="15"/>
        <v>1</v>
      </c>
    </row>
    <row r="41" spans="1:18" ht="24" customHeight="1" x14ac:dyDescent="0.2">
      <c r="A41" s="27">
        <v>37</v>
      </c>
      <c r="B41" s="29">
        <v>44589.742696759262</v>
      </c>
      <c r="C41" s="29">
        <v>44589.742812500001</v>
      </c>
      <c r="D41" s="27">
        <f t="shared" si="8"/>
        <v>10</v>
      </c>
      <c r="E41" s="27">
        <f>COMM_Beacons!O42-COMM_Beacons!O41</f>
        <v>1</v>
      </c>
      <c r="F41" s="27">
        <f>COMM_Beacons!Q42-COMM_Beacons!Q41</f>
        <v>94</v>
      </c>
      <c r="G41" s="27">
        <f>COMM_Beacons!P42-COMM_Beacons!P41</f>
        <v>0</v>
      </c>
      <c r="H41" s="27">
        <f>COMM_Beacons!R42-COMM_Beacons!R41</f>
        <v>0</v>
      </c>
      <c r="I41" s="30">
        <f t="shared" si="9"/>
        <v>0.1</v>
      </c>
      <c r="J41" s="30">
        <f t="shared" si="10"/>
        <v>9.4</v>
      </c>
      <c r="K41" s="30">
        <f t="shared" si="11"/>
        <v>75.2</v>
      </c>
      <c r="L41" s="30">
        <f t="shared" si="12"/>
        <v>94</v>
      </c>
      <c r="M41" s="27">
        <f>1</f>
        <v>1</v>
      </c>
      <c r="N41" s="27">
        <f t="shared" si="13"/>
        <v>0</v>
      </c>
      <c r="O41" s="27" t="b">
        <f>COMM_Beacons!T42&lt;&gt;COMM_Beacons!T41</f>
        <v>0</v>
      </c>
      <c r="P41" s="27" t="b">
        <f t="shared" si="14"/>
        <v>0</v>
      </c>
      <c r="Q41" s="27" t="b">
        <f>AND(E41=COMM_Beacons!Y42-COMM_Beacons!Y41,F41=COMM_Beacons!AA42-COMM_Beacons!AA41)</f>
        <v>1</v>
      </c>
      <c r="R41" s="27" t="b">
        <f t="shared" si="15"/>
        <v>1</v>
      </c>
    </row>
    <row r="42" spans="1:18" ht="24" customHeight="1" x14ac:dyDescent="0.2">
      <c r="A42" s="27">
        <v>38</v>
      </c>
      <c r="B42" s="29">
        <v>44589.742812500001</v>
      </c>
      <c r="C42" s="29">
        <v>44589.742928240739</v>
      </c>
      <c r="D42" s="27">
        <f t="shared" si="8"/>
        <v>10</v>
      </c>
      <c r="E42" s="27">
        <f>COMM_Beacons!O43-COMM_Beacons!O42</f>
        <v>1</v>
      </c>
      <c r="F42" s="27">
        <f>COMM_Beacons!Q43-COMM_Beacons!Q42</f>
        <v>94</v>
      </c>
      <c r="G42" s="27">
        <f>COMM_Beacons!P43-COMM_Beacons!P42</f>
        <v>0</v>
      </c>
      <c r="H42" s="27">
        <f>COMM_Beacons!R43-COMM_Beacons!R42</f>
        <v>0</v>
      </c>
      <c r="I42" s="30">
        <f t="shared" si="9"/>
        <v>0.1</v>
      </c>
      <c r="J42" s="30">
        <f t="shared" si="10"/>
        <v>9.4</v>
      </c>
      <c r="K42" s="30">
        <f t="shared" si="11"/>
        <v>75.2</v>
      </c>
      <c r="L42" s="30">
        <f t="shared" si="12"/>
        <v>94</v>
      </c>
      <c r="M42" s="27">
        <f>1</f>
        <v>1</v>
      </c>
      <c r="N42" s="27">
        <f t="shared" si="13"/>
        <v>0</v>
      </c>
      <c r="O42" s="27" t="b">
        <f>COMM_Beacons!T43&lt;&gt;COMM_Beacons!T42</f>
        <v>0</v>
      </c>
      <c r="P42" s="27" t="b">
        <f t="shared" si="14"/>
        <v>0</v>
      </c>
      <c r="Q42" s="27" t="b">
        <f>AND(E42=COMM_Beacons!Y43-COMM_Beacons!Y42,F42=COMM_Beacons!AA43-COMM_Beacons!AA42)</f>
        <v>1</v>
      </c>
      <c r="R42" s="27" t="b">
        <f t="shared" si="15"/>
        <v>1</v>
      </c>
    </row>
    <row r="43" spans="1:18" ht="24" customHeight="1" x14ac:dyDescent="0.2">
      <c r="A43" s="27">
        <v>39</v>
      </c>
      <c r="B43" s="29">
        <v>44589.742928240739</v>
      </c>
      <c r="C43" s="29">
        <v>44589.743043981478</v>
      </c>
      <c r="D43" s="27">
        <f t="shared" si="8"/>
        <v>10</v>
      </c>
      <c r="E43" s="27">
        <f>COMM_Beacons!O44-COMM_Beacons!O43</f>
        <v>1</v>
      </c>
      <c r="F43" s="27">
        <f>COMM_Beacons!Q44-COMM_Beacons!Q43</f>
        <v>94</v>
      </c>
      <c r="G43" s="27">
        <f>COMM_Beacons!P44-COMM_Beacons!P43</f>
        <v>0</v>
      </c>
      <c r="H43" s="27">
        <f>COMM_Beacons!R44-COMM_Beacons!R43</f>
        <v>0</v>
      </c>
      <c r="I43" s="30">
        <f t="shared" si="9"/>
        <v>0.1</v>
      </c>
      <c r="J43" s="30">
        <f t="shared" si="10"/>
        <v>9.4</v>
      </c>
      <c r="K43" s="30">
        <f t="shared" si="11"/>
        <v>75.2</v>
      </c>
      <c r="L43" s="30">
        <f t="shared" si="12"/>
        <v>94</v>
      </c>
      <c r="M43" s="27">
        <f>1</f>
        <v>1</v>
      </c>
      <c r="N43" s="27">
        <f t="shared" si="13"/>
        <v>0</v>
      </c>
      <c r="O43" s="27" t="b">
        <f>COMM_Beacons!T44&lt;&gt;COMM_Beacons!T43</f>
        <v>0</v>
      </c>
      <c r="P43" s="27" t="b">
        <f t="shared" si="14"/>
        <v>0</v>
      </c>
      <c r="Q43" s="27" t="b">
        <f>AND(E43=COMM_Beacons!Y44-COMM_Beacons!Y43,F43=COMM_Beacons!AA44-COMM_Beacons!AA43)</f>
        <v>1</v>
      </c>
      <c r="R43" s="27" t="b">
        <f t="shared" si="15"/>
        <v>1</v>
      </c>
    </row>
    <row r="44" spans="1:18" ht="24" customHeight="1" x14ac:dyDescent="0.2">
      <c r="A44" s="27">
        <v>40</v>
      </c>
      <c r="B44" s="29">
        <v>44589.743043981478</v>
      </c>
      <c r="C44" s="29">
        <v>44589.743159722217</v>
      </c>
      <c r="D44" s="27">
        <f t="shared" si="8"/>
        <v>10</v>
      </c>
      <c r="E44" s="27">
        <f>COMM_Beacons!O45-COMM_Beacons!O44</f>
        <v>1</v>
      </c>
      <c r="F44" s="27">
        <f>COMM_Beacons!Q45-COMM_Beacons!Q44</f>
        <v>94</v>
      </c>
      <c r="G44" s="27">
        <f>COMM_Beacons!P45-COMM_Beacons!P44</f>
        <v>0</v>
      </c>
      <c r="H44" s="27">
        <f>COMM_Beacons!R45-COMM_Beacons!R44</f>
        <v>0</v>
      </c>
      <c r="I44" s="30">
        <f t="shared" si="9"/>
        <v>0.1</v>
      </c>
      <c r="J44" s="30">
        <f t="shared" si="10"/>
        <v>9.4</v>
      </c>
      <c r="K44" s="30">
        <f t="shared" si="11"/>
        <v>75.2</v>
      </c>
      <c r="L44" s="30">
        <f t="shared" si="12"/>
        <v>94</v>
      </c>
      <c r="M44" s="27">
        <f>1</f>
        <v>1</v>
      </c>
      <c r="N44" s="27">
        <f t="shared" si="13"/>
        <v>0</v>
      </c>
      <c r="O44" s="27" t="b">
        <f>COMM_Beacons!T45&lt;&gt;COMM_Beacons!T44</f>
        <v>0</v>
      </c>
      <c r="P44" s="27" t="b">
        <f t="shared" si="14"/>
        <v>0</v>
      </c>
      <c r="Q44" s="27" t="b">
        <f>AND(E44=COMM_Beacons!Y45-COMM_Beacons!Y44,F44=COMM_Beacons!AA45-COMM_Beacons!AA44)</f>
        <v>1</v>
      </c>
      <c r="R44" s="27" t="b">
        <f t="shared" si="15"/>
        <v>1</v>
      </c>
    </row>
    <row r="45" spans="1:18" ht="24" customHeight="1" x14ac:dyDescent="0.2">
      <c r="A45" s="27">
        <v>41</v>
      </c>
      <c r="B45" s="29">
        <v>44589.743159722217</v>
      </c>
      <c r="C45" s="29">
        <v>44589.743275462963</v>
      </c>
      <c r="D45" s="27">
        <f t="shared" si="8"/>
        <v>10</v>
      </c>
      <c r="E45" s="27">
        <f>COMM_Beacons!O46-COMM_Beacons!O45</f>
        <v>1</v>
      </c>
      <c r="F45" s="27">
        <f>COMM_Beacons!Q46-COMM_Beacons!Q45</f>
        <v>94</v>
      </c>
      <c r="G45" s="27">
        <f>COMM_Beacons!P46-COMM_Beacons!P45</f>
        <v>0</v>
      </c>
      <c r="H45" s="27">
        <f>COMM_Beacons!R46-COMM_Beacons!R45</f>
        <v>0</v>
      </c>
      <c r="I45" s="30">
        <f t="shared" si="9"/>
        <v>0.1</v>
      </c>
      <c r="J45" s="30">
        <f t="shared" si="10"/>
        <v>9.4</v>
      </c>
      <c r="K45" s="30">
        <f t="shared" si="11"/>
        <v>75.2</v>
      </c>
      <c r="L45" s="30">
        <f t="shared" si="12"/>
        <v>94</v>
      </c>
      <c r="M45" s="27">
        <f>1</f>
        <v>1</v>
      </c>
      <c r="N45" s="27">
        <f t="shared" si="13"/>
        <v>0</v>
      </c>
      <c r="O45" s="27" t="b">
        <f>COMM_Beacons!T46&lt;&gt;COMM_Beacons!T45</f>
        <v>0</v>
      </c>
      <c r="P45" s="27" t="b">
        <f t="shared" si="14"/>
        <v>0</v>
      </c>
      <c r="Q45" s="27" t="b">
        <f>AND(E45=COMM_Beacons!Y46-COMM_Beacons!Y45,F45=COMM_Beacons!AA46-COMM_Beacons!AA45)</f>
        <v>1</v>
      </c>
      <c r="R45" s="27" t="b">
        <f t="shared" si="15"/>
        <v>1</v>
      </c>
    </row>
    <row r="46" spans="1:18" ht="24" customHeight="1" x14ac:dyDescent="0.2">
      <c r="A46" s="27">
        <v>42</v>
      </c>
      <c r="B46" s="29">
        <v>44589.743275462963</v>
      </c>
      <c r="C46" s="29">
        <v>44589.743506944447</v>
      </c>
      <c r="D46" s="27">
        <f t="shared" si="8"/>
        <v>20</v>
      </c>
      <c r="E46" s="27">
        <f>COMM_Beacons!O47-COMM_Beacons!O46</f>
        <v>2</v>
      </c>
      <c r="F46" s="27">
        <f>COMM_Beacons!Q47-COMM_Beacons!Q46</f>
        <v>188</v>
      </c>
      <c r="G46" s="27">
        <f>COMM_Beacons!P47-COMM_Beacons!P46</f>
        <v>0</v>
      </c>
      <c r="H46" s="27">
        <f>COMM_Beacons!R47-COMM_Beacons!R46</f>
        <v>0</v>
      </c>
      <c r="I46" s="30">
        <f t="shared" si="9"/>
        <v>0.1</v>
      </c>
      <c r="J46" s="30">
        <f t="shared" si="10"/>
        <v>9.4</v>
      </c>
      <c r="K46" s="30">
        <f t="shared" si="11"/>
        <v>75.2</v>
      </c>
      <c r="L46" s="30">
        <f t="shared" si="12"/>
        <v>94</v>
      </c>
      <c r="M46" s="27">
        <f>1</f>
        <v>1</v>
      </c>
      <c r="N46" s="27">
        <f t="shared" si="13"/>
        <v>1</v>
      </c>
      <c r="O46" s="27" t="b">
        <f>COMM_Beacons!T47&lt;&gt;COMM_Beacons!T46</f>
        <v>0</v>
      </c>
      <c r="P46" s="27" t="b">
        <f t="shared" si="14"/>
        <v>0</v>
      </c>
      <c r="Q46" s="27" t="b">
        <f>AND(E46=COMM_Beacons!Y47-COMM_Beacons!Y46,F46=COMM_Beacons!AA47-COMM_Beacons!AA46)</f>
        <v>1</v>
      </c>
      <c r="R46" s="27" t="b">
        <f t="shared" si="15"/>
        <v>1</v>
      </c>
    </row>
    <row r="47" spans="1:18" ht="24" customHeight="1" x14ac:dyDescent="0.2">
      <c r="A47" s="27">
        <v>43</v>
      </c>
      <c r="B47" s="29">
        <v>44589.743506944447</v>
      </c>
      <c r="C47" s="29">
        <v>44589.743738425917</v>
      </c>
      <c r="D47" s="27">
        <f t="shared" si="8"/>
        <v>20</v>
      </c>
      <c r="E47" s="27">
        <f>COMM_Beacons!O48-COMM_Beacons!O47</f>
        <v>2</v>
      </c>
      <c r="F47" s="27">
        <f>COMM_Beacons!Q48-COMM_Beacons!Q47</f>
        <v>188</v>
      </c>
      <c r="G47" s="27">
        <f>COMM_Beacons!P48-COMM_Beacons!P47</f>
        <v>0</v>
      </c>
      <c r="H47" s="27">
        <f>COMM_Beacons!R48-COMM_Beacons!R47</f>
        <v>0</v>
      </c>
      <c r="I47" s="30">
        <f t="shared" si="9"/>
        <v>0.1</v>
      </c>
      <c r="J47" s="30">
        <f t="shared" si="10"/>
        <v>9.4</v>
      </c>
      <c r="K47" s="30">
        <f t="shared" si="11"/>
        <v>75.2</v>
      </c>
      <c r="L47" s="30">
        <f t="shared" si="12"/>
        <v>94</v>
      </c>
      <c r="M47" s="27">
        <f>1</f>
        <v>1</v>
      </c>
      <c r="N47" s="27">
        <f t="shared" si="13"/>
        <v>1</v>
      </c>
      <c r="O47" s="27" t="b">
        <f>COMM_Beacons!T48&lt;&gt;COMM_Beacons!T47</f>
        <v>0</v>
      </c>
      <c r="P47" s="27" t="b">
        <f t="shared" si="14"/>
        <v>0</v>
      </c>
      <c r="Q47" s="27" t="b">
        <f>AND(E47=COMM_Beacons!Y48-COMM_Beacons!Y47,F47=COMM_Beacons!AA48-COMM_Beacons!AA47)</f>
        <v>1</v>
      </c>
      <c r="R47" s="27" t="b">
        <f t="shared" si="15"/>
        <v>1</v>
      </c>
    </row>
    <row r="48" spans="1:18" ht="24" customHeight="1" x14ac:dyDescent="0.2">
      <c r="A48" s="27">
        <v>44</v>
      </c>
      <c r="B48" s="29">
        <v>44589.743738425917</v>
      </c>
      <c r="C48" s="29">
        <v>44589.743854166663</v>
      </c>
      <c r="D48" s="27">
        <f t="shared" si="8"/>
        <v>10</v>
      </c>
      <c r="E48" s="27">
        <f>COMM_Beacons!O49-COMM_Beacons!O48</f>
        <v>1</v>
      </c>
      <c r="F48" s="27">
        <f>COMM_Beacons!Q49-COMM_Beacons!Q48</f>
        <v>94</v>
      </c>
      <c r="G48" s="27">
        <f>COMM_Beacons!P49-COMM_Beacons!P48</f>
        <v>0</v>
      </c>
      <c r="H48" s="27">
        <f>COMM_Beacons!R49-COMM_Beacons!R48</f>
        <v>0</v>
      </c>
      <c r="I48" s="30">
        <f t="shared" si="9"/>
        <v>0.1</v>
      </c>
      <c r="J48" s="30">
        <f t="shared" si="10"/>
        <v>9.4</v>
      </c>
      <c r="K48" s="30">
        <f t="shared" si="11"/>
        <v>75.2</v>
      </c>
      <c r="L48" s="30">
        <f t="shared" si="12"/>
        <v>94</v>
      </c>
      <c r="M48" s="27">
        <f>1</f>
        <v>1</v>
      </c>
      <c r="N48" s="27">
        <f t="shared" si="13"/>
        <v>0</v>
      </c>
      <c r="O48" s="27" t="b">
        <f>COMM_Beacons!T49&lt;&gt;COMM_Beacons!T48</f>
        <v>0</v>
      </c>
      <c r="P48" s="27" t="b">
        <f t="shared" si="14"/>
        <v>0</v>
      </c>
      <c r="Q48" s="27" t="b">
        <f>AND(E48=COMM_Beacons!Y49-COMM_Beacons!Y48,F48=COMM_Beacons!AA49-COMM_Beacons!AA48)</f>
        <v>1</v>
      </c>
      <c r="R48" s="27" t="b">
        <f t="shared" si="15"/>
        <v>1</v>
      </c>
    </row>
    <row r="49" spans="1:18" ht="24" customHeight="1" x14ac:dyDescent="0.2">
      <c r="A49" s="27">
        <v>45</v>
      </c>
      <c r="B49" s="29">
        <v>44589.743854166663</v>
      </c>
      <c r="C49" s="29">
        <v>44589.743969907409</v>
      </c>
      <c r="D49" s="27">
        <f t="shared" si="8"/>
        <v>10</v>
      </c>
      <c r="E49" s="27">
        <f>COMM_Beacons!O50-COMM_Beacons!O49</f>
        <v>1</v>
      </c>
      <c r="F49" s="27">
        <f>COMM_Beacons!Q50-COMM_Beacons!Q49</f>
        <v>94</v>
      </c>
      <c r="G49" s="27">
        <f>COMM_Beacons!P50-COMM_Beacons!P49</f>
        <v>0</v>
      </c>
      <c r="H49" s="27">
        <f>COMM_Beacons!R50-COMM_Beacons!R49</f>
        <v>0</v>
      </c>
      <c r="I49" s="30">
        <f t="shared" si="9"/>
        <v>0.1</v>
      </c>
      <c r="J49" s="30">
        <f t="shared" si="10"/>
        <v>9.4</v>
      </c>
      <c r="K49" s="30">
        <f t="shared" si="11"/>
        <v>75.2</v>
      </c>
      <c r="L49" s="30">
        <f t="shared" si="12"/>
        <v>94</v>
      </c>
      <c r="M49" s="27">
        <f>1</f>
        <v>1</v>
      </c>
      <c r="N49" s="27">
        <f t="shared" si="13"/>
        <v>0</v>
      </c>
      <c r="O49" s="27" t="b">
        <f>COMM_Beacons!T50&lt;&gt;COMM_Beacons!T49</f>
        <v>0</v>
      </c>
      <c r="P49" s="27" t="b">
        <f t="shared" si="14"/>
        <v>0</v>
      </c>
      <c r="Q49" s="27" t="b">
        <f>AND(E49=COMM_Beacons!Y50-COMM_Beacons!Y49,F49=COMM_Beacons!AA50-COMM_Beacons!AA49)</f>
        <v>1</v>
      </c>
      <c r="R49" s="27" t="b">
        <f t="shared" si="15"/>
        <v>1</v>
      </c>
    </row>
    <row r="50" spans="1:18" ht="24" customHeight="1" x14ac:dyDescent="0.2">
      <c r="A50" s="27">
        <v>46</v>
      </c>
      <c r="B50" s="29">
        <v>44589.743969907409</v>
      </c>
      <c r="C50" s="29">
        <v>44589.744085648148</v>
      </c>
      <c r="D50" s="27">
        <f t="shared" si="8"/>
        <v>10</v>
      </c>
      <c r="E50" s="27">
        <f>COMM_Beacons!O51-COMM_Beacons!O50</f>
        <v>1</v>
      </c>
      <c r="F50" s="27">
        <f>COMM_Beacons!Q51-COMM_Beacons!Q50</f>
        <v>94</v>
      </c>
      <c r="G50" s="27">
        <f>COMM_Beacons!P51-COMM_Beacons!P50</f>
        <v>0</v>
      </c>
      <c r="H50" s="27">
        <f>COMM_Beacons!R51-COMM_Beacons!R50</f>
        <v>0</v>
      </c>
      <c r="I50" s="30">
        <f t="shared" si="9"/>
        <v>0.1</v>
      </c>
      <c r="J50" s="30">
        <f t="shared" si="10"/>
        <v>9.4</v>
      </c>
      <c r="K50" s="30">
        <f t="shared" si="11"/>
        <v>75.2</v>
      </c>
      <c r="L50" s="30">
        <f t="shared" si="12"/>
        <v>94</v>
      </c>
      <c r="M50" s="27">
        <f>1</f>
        <v>1</v>
      </c>
      <c r="N50" s="27">
        <f t="shared" si="13"/>
        <v>0</v>
      </c>
      <c r="O50" s="27" t="b">
        <f>COMM_Beacons!T51&lt;&gt;COMM_Beacons!T50</f>
        <v>0</v>
      </c>
      <c r="P50" s="27" t="b">
        <f t="shared" si="14"/>
        <v>0</v>
      </c>
      <c r="Q50" s="27" t="b">
        <f>AND(E50=COMM_Beacons!Y51-COMM_Beacons!Y50,F50=COMM_Beacons!AA51-COMM_Beacons!AA50)</f>
        <v>1</v>
      </c>
      <c r="R50" s="27" t="b">
        <f t="shared" si="15"/>
        <v>1</v>
      </c>
    </row>
    <row r="51" spans="1:18" ht="24" customHeight="1" x14ac:dyDescent="0.2">
      <c r="A51" s="27">
        <v>47</v>
      </c>
      <c r="B51" s="29">
        <v>44589.744085648148</v>
      </c>
      <c r="C51" s="29">
        <v>44589.744201388887</v>
      </c>
      <c r="D51" s="27">
        <f t="shared" si="8"/>
        <v>10</v>
      </c>
      <c r="E51" s="27">
        <f>COMM_Beacons!O52-COMM_Beacons!O51</f>
        <v>1</v>
      </c>
      <c r="F51" s="27">
        <f>COMM_Beacons!Q52-COMM_Beacons!Q51</f>
        <v>94</v>
      </c>
      <c r="G51" s="27">
        <f>COMM_Beacons!P52-COMM_Beacons!P51</f>
        <v>0</v>
      </c>
      <c r="H51" s="27">
        <f>COMM_Beacons!R52-COMM_Beacons!R51</f>
        <v>0</v>
      </c>
      <c r="I51" s="30">
        <f t="shared" si="9"/>
        <v>0.1</v>
      </c>
      <c r="J51" s="30">
        <f t="shared" si="10"/>
        <v>9.4</v>
      </c>
      <c r="K51" s="30">
        <f t="shared" si="11"/>
        <v>75.2</v>
      </c>
      <c r="L51" s="30">
        <f t="shared" si="12"/>
        <v>94</v>
      </c>
      <c r="M51" s="27">
        <f>1</f>
        <v>1</v>
      </c>
      <c r="N51" s="27">
        <f t="shared" si="13"/>
        <v>0</v>
      </c>
      <c r="O51" s="27" t="b">
        <f>COMM_Beacons!T52&lt;&gt;COMM_Beacons!T51</f>
        <v>0</v>
      </c>
      <c r="P51" s="27" t="b">
        <f t="shared" si="14"/>
        <v>0</v>
      </c>
      <c r="Q51" s="27" t="b">
        <f>AND(E51=COMM_Beacons!Y52-COMM_Beacons!Y51,F51=COMM_Beacons!AA52-COMM_Beacons!AA51)</f>
        <v>1</v>
      </c>
      <c r="R51" s="27" t="b">
        <f t="shared" si="15"/>
        <v>1</v>
      </c>
    </row>
    <row r="52" spans="1:18" ht="24" customHeight="1" x14ac:dyDescent="0.2">
      <c r="A52" s="27">
        <v>48</v>
      </c>
      <c r="B52" s="29">
        <v>44589.744201388887</v>
      </c>
      <c r="C52" s="29">
        <v>44589.744317129633</v>
      </c>
      <c r="D52" s="27">
        <f t="shared" si="8"/>
        <v>10</v>
      </c>
      <c r="E52" s="27">
        <f>COMM_Beacons!O53-COMM_Beacons!O52</f>
        <v>1</v>
      </c>
      <c r="F52" s="27">
        <f>COMM_Beacons!Q53-COMM_Beacons!Q52</f>
        <v>94</v>
      </c>
      <c r="G52" s="27">
        <f>COMM_Beacons!P53-COMM_Beacons!P52</f>
        <v>0</v>
      </c>
      <c r="H52" s="27">
        <f>COMM_Beacons!R53-COMM_Beacons!R52</f>
        <v>0</v>
      </c>
      <c r="I52" s="30">
        <f t="shared" si="9"/>
        <v>0.1</v>
      </c>
      <c r="J52" s="30">
        <f t="shared" si="10"/>
        <v>9.4</v>
      </c>
      <c r="K52" s="30">
        <f t="shared" si="11"/>
        <v>75.2</v>
      </c>
      <c r="L52" s="30">
        <f t="shared" si="12"/>
        <v>94</v>
      </c>
      <c r="M52" s="27">
        <f>1</f>
        <v>1</v>
      </c>
      <c r="N52" s="27">
        <f t="shared" si="13"/>
        <v>0</v>
      </c>
      <c r="O52" s="27" t="b">
        <f>COMM_Beacons!T53&lt;&gt;COMM_Beacons!T52</f>
        <v>0</v>
      </c>
      <c r="P52" s="27" t="b">
        <f t="shared" si="14"/>
        <v>0</v>
      </c>
      <c r="Q52" s="27" t="b">
        <f>AND(E52=COMM_Beacons!Y53-COMM_Beacons!Y52,F52=COMM_Beacons!AA53-COMM_Beacons!AA52)</f>
        <v>1</v>
      </c>
      <c r="R52" s="27" t="b">
        <f t="shared" si="15"/>
        <v>1</v>
      </c>
    </row>
    <row r="53" spans="1:18" ht="24" customHeight="1" x14ac:dyDescent="0.2">
      <c r="A53" s="27">
        <v>49</v>
      </c>
      <c r="B53" s="29">
        <v>44589.744317129633</v>
      </c>
      <c r="C53" s="29">
        <v>44589.744432870371</v>
      </c>
      <c r="D53" s="27">
        <f t="shared" si="8"/>
        <v>10</v>
      </c>
      <c r="E53" s="27">
        <f>COMM_Beacons!O54-COMM_Beacons!O53</f>
        <v>1</v>
      </c>
      <c r="F53" s="27">
        <f>COMM_Beacons!Q54-COMM_Beacons!Q53</f>
        <v>94</v>
      </c>
      <c r="G53" s="27">
        <f>COMM_Beacons!P54-COMM_Beacons!P53</f>
        <v>0</v>
      </c>
      <c r="H53" s="27">
        <f>COMM_Beacons!R54-COMM_Beacons!R53</f>
        <v>0</v>
      </c>
      <c r="I53" s="30">
        <f t="shared" si="9"/>
        <v>0.1</v>
      </c>
      <c r="J53" s="30">
        <f t="shared" si="10"/>
        <v>9.4</v>
      </c>
      <c r="K53" s="30">
        <f t="shared" si="11"/>
        <v>75.2</v>
      </c>
      <c r="L53" s="30">
        <f t="shared" si="12"/>
        <v>94</v>
      </c>
      <c r="M53" s="27">
        <f>1</f>
        <v>1</v>
      </c>
      <c r="N53" s="27">
        <f t="shared" si="13"/>
        <v>0</v>
      </c>
      <c r="O53" s="27" t="b">
        <f>COMM_Beacons!T54&lt;&gt;COMM_Beacons!T53</f>
        <v>0</v>
      </c>
      <c r="P53" s="27" t="b">
        <f t="shared" si="14"/>
        <v>0</v>
      </c>
      <c r="Q53" s="27" t="b">
        <f>AND(E53=COMM_Beacons!Y54-COMM_Beacons!Y53,F53=COMM_Beacons!AA54-COMM_Beacons!AA53)</f>
        <v>1</v>
      </c>
      <c r="R53" s="27" t="b">
        <f t="shared" si="15"/>
        <v>1</v>
      </c>
    </row>
    <row r="54" spans="1:18" ht="24" customHeight="1" x14ac:dyDescent="0.2">
      <c r="A54" s="27">
        <v>50</v>
      </c>
      <c r="B54" s="29">
        <v>44589.744432870371</v>
      </c>
      <c r="C54" s="29">
        <v>44589.74454861111</v>
      </c>
      <c r="D54" s="27">
        <f t="shared" si="8"/>
        <v>10</v>
      </c>
      <c r="E54" s="27">
        <f>COMM_Beacons!O55-COMM_Beacons!O54</f>
        <v>1</v>
      </c>
      <c r="F54" s="27">
        <f>COMM_Beacons!Q55-COMM_Beacons!Q54</f>
        <v>94</v>
      </c>
      <c r="G54" s="27">
        <f>COMM_Beacons!P55-COMM_Beacons!P54</f>
        <v>0</v>
      </c>
      <c r="H54" s="27">
        <f>COMM_Beacons!R55-COMM_Beacons!R54</f>
        <v>0</v>
      </c>
      <c r="I54" s="30">
        <f t="shared" si="9"/>
        <v>0.1</v>
      </c>
      <c r="J54" s="30">
        <f t="shared" si="10"/>
        <v>9.4</v>
      </c>
      <c r="K54" s="30">
        <f t="shared" si="11"/>
        <v>75.2</v>
      </c>
      <c r="L54" s="30">
        <f t="shared" si="12"/>
        <v>94</v>
      </c>
      <c r="M54" s="27">
        <f>1</f>
        <v>1</v>
      </c>
      <c r="N54" s="27">
        <f t="shared" si="13"/>
        <v>0</v>
      </c>
      <c r="O54" s="27" t="b">
        <f>COMM_Beacons!T55&lt;&gt;COMM_Beacons!T54</f>
        <v>0</v>
      </c>
      <c r="P54" s="27" t="b">
        <f t="shared" si="14"/>
        <v>0</v>
      </c>
      <c r="Q54" s="27" t="b">
        <f>AND(E54=COMM_Beacons!Y55-COMM_Beacons!Y54,F54=COMM_Beacons!AA55-COMM_Beacons!AA54)</f>
        <v>1</v>
      </c>
      <c r="R54" s="27" t="b">
        <f t="shared" si="15"/>
        <v>1</v>
      </c>
    </row>
    <row r="55" spans="1:18" ht="24" customHeight="1" x14ac:dyDescent="0.2">
      <c r="A55" s="27">
        <v>51</v>
      </c>
      <c r="B55" s="29">
        <v>44589.74454861111</v>
      </c>
      <c r="C55" s="29">
        <v>44589.744664351849</v>
      </c>
      <c r="D55" s="27">
        <f t="shared" si="8"/>
        <v>10</v>
      </c>
      <c r="E55" s="27">
        <f>COMM_Beacons!O56-COMM_Beacons!O55</f>
        <v>1</v>
      </c>
      <c r="F55" s="27">
        <f>COMM_Beacons!Q56-COMM_Beacons!Q55</f>
        <v>94</v>
      </c>
      <c r="G55" s="27">
        <f>COMM_Beacons!P56-COMM_Beacons!P55</f>
        <v>0</v>
      </c>
      <c r="H55" s="27">
        <f>COMM_Beacons!R56-COMM_Beacons!R55</f>
        <v>0</v>
      </c>
      <c r="I55" s="30">
        <f t="shared" si="9"/>
        <v>0.1</v>
      </c>
      <c r="J55" s="30">
        <f t="shared" si="10"/>
        <v>9.4</v>
      </c>
      <c r="K55" s="30">
        <f t="shared" si="11"/>
        <v>75.2</v>
      </c>
      <c r="L55" s="30">
        <f t="shared" si="12"/>
        <v>94</v>
      </c>
      <c r="M55" s="27">
        <f>1</f>
        <v>1</v>
      </c>
      <c r="N55" s="27">
        <f t="shared" si="13"/>
        <v>0</v>
      </c>
      <c r="O55" s="27" t="b">
        <f>COMM_Beacons!T56&lt;&gt;COMM_Beacons!T55</f>
        <v>0</v>
      </c>
      <c r="P55" s="27" t="b">
        <f t="shared" si="14"/>
        <v>0</v>
      </c>
      <c r="Q55" s="27" t="b">
        <f>AND(E55=COMM_Beacons!Y56-COMM_Beacons!Y55,F55=COMM_Beacons!AA56-COMM_Beacons!AA55)</f>
        <v>1</v>
      </c>
      <c r="R55" s="27" t="b">
        <f t="shared" si="15"/>
        <v>1</v>
      </c>
    </row>
    <row r="56" spans="1:18" ht="24" customHeight="1" x14ac:dyDescent="0.2">
      <c r="A56" s="27">
        <v>52</v>
      </c>
      <c r="B56" s="29">
        <v>44589.744664351849</v>
      </c>
      <c r="C56" s="29">
        <v>44589.744780092587</v>
      </c>
      <c r="D56" s="27">
        <f t="shared" si="8"/>
        <v>10</v>
      </c>
      <c r="E56" s="27">
        <f>COMM_Beacons!O57-COMM_Beacons!O56</f>
        <v>1</v>
      </c>
      <c r="F56" s="27">
        <f>COMM_Beacons!Q57-COMM_Beacons!Q56</f>
        <v>94</v>
      </c>
      <c r="G56" s="27">
        <f>COMM_Beacons!P57-COMM_Beacons!P56</f>
        <v>0</v>
      </c>
      <c r="H56" s="27">
        <f>COMM_Beacons!R57-COMM_Beacons!R56</f>
        <v>0</v>
      </c>
      <c r="I56" s="30">
        <f t="shared" si="9"/>
        <v>0.1</v>
      </c>
      <c r="J56" s="30">
        <f t="shared" si="10"/>
        <v>9.4</v>
      </c>
      <c r="K56" s="30">
        <f t="shared" si="11"/>
        <v>75.2</v>
      </c>
      <c r="L56" s="30">
        <f t="shared" si="12"/>
        <v>94</v>
      </c>
      <c r="M56" s="27">
        <f>1</f>
        <v>1</v>
      </c>
      <c r="N56" s="27">
        <f t="shared" si="13"/>
        <v>0</v>
      </c>
      <c r="O56" s="27" t="b">
        <f>COMM_Beacons!T57&lt;&gt;COMM_Beacons!T56</f>
        <v>0</v>
      </c>
      <c r="P56" s="27" t="b">
        <f t="shared" si="14"/>
        <v>0</v>
      </c>
      <c r="Q56" s="27" t="b">
        <f>AND(E56=COMM_Beacons!Y57-COMM_Beacons!Y56,F56=COMM_Beacons!AA57-COMM_Beacons!AA56)</f>
        <v>1</v>
      </c>
      <c r="R56" s="27" t="b">
        <f t="shared" si="15"/>
        <v>1</v>
      </c>
    </row>
    <row r="57" spans="1:18" ht="24" customHeight="1" x14ac:dyDescent="0.2">
      <c r="A57" s="27">
        <v>53</v>
      </c>
      <c r="B57" s="29">
        <v>44589.744780092587</v>
      </c>
      <c r="C57" s="29">
        <v>44589.744895833333</v>
      </c>
      <c r="D57" s="27">
        <f t="shared" si="8"/>
        <v>10</v>
      </c>
      <c r="E57" s="27">
        <f>COMM_Beacons!O58-COMM_Beacons!O57</f>
        <v>1</v>
      </c>
      <c r="F57" s="27">
        <f>COMM_Beacons!Q58-COMM_Beacons!Q57</f>
        <v>94</v>
      </c>
      <c r="G57" s="27">
        <f>COMM_Beacons!P58-COMM_Beacons!P57</f>
        <v>0</v>
      </c>
      <c r="H57" s="27">
        <f>COMM_Beacons!R58-COMM_Beacons!R57</f>
        <v>0</v>
      </c>
      <c r="I57" s="30">
        <f t="shared" si="9"/>
        <v>0.1</v>
      </c>
      <c r="J57" s="30">
        <f t="shared" si="10"/>
        <v>9.4</v>
      </c>
      <c r="K57" s="30">
        <f t="shared" si="11"/>
        <v>75.2</v>
      </c>
      <c r="L57" s="30">
        <f t="shared" si="12"/>
        <v>94</v>
      </c>
      <c r="M57" s="27">
        <f>1</f>
        <v>1</v>
      </c>
      <c r="N57" s="27">
        <f t="shared" si="13"/>
        <v>0</v>
      </c>
      <c r="O57" s="27" t="b">
        <f>COMM_Beacons!T58&lt;&gt;COMM_Beacons!T57</f>
        <v>0</v>
      </c>
      <c r="P57" s="27" t="b">
        <f t="shared" si="14"/>
        <v>0</v>
      </c>
      <c r="Q57" s="27" t="b">
        <f>AND(E57=COMM_Beacons!Y58-COMM_Beacons!Y57,F57=COMM_Beacons!AA58-COMM_Beacons!AA57)</f>
        <v>1</v>
      </c>
      <c r="R57" s="27" t="b">
        <f t="shared" si="15"/>
        <v>1</v>
      </c>
    </row>
    <row r="58" spans="1:18" ht="24" customHeight="1" x14ac:dyDescent="0.2">
      <c r="A58" s="27">
        <v>54</v>
      </c>
      <c r="B58" s="29">
        <v>44589.744895833333</v>
      </c>
      <c r="C58" s="29">
        <v>44589.745011574072</v>
      </c>
      <c r="D58" s="27">
        <f t="shared" si="8"/>
        <v>10</v>
      </c>
      <c r="E58" s="27">
        <f>COMM_Beacons!O59-COMM_Beacons!O58</f>
        <v>1</v>
      </c>
      <c r="F58" s="27">
        <f>COMM_Beacons!Q59-COMM_Beacons!Q58</f>
        <v>94</v>
      </c>
      <c r="G58" s="27">
        <f>COMM_Beacons!P59-COMM_Beacons!P58</f>
        <v>0</v>
      </c>
      <c r="H58" s="27">
        <f>COMM_Beacons!R59-COMM_Beacons!R58</f>
        <v>0</v>
      </c>
      <c r="I58" s="30">
        <f t="shared" si="9"/>
        <v>0.1</v>
      </c>
      <c r="J58" s="30">
        <f t="shared" si="10"/>
        <v>9.4</v>
      </c>
      <c r="K58" s="30">
        <f t="shared" si="11"/>
        <v>75.2</v>
      </c>
      <c r="L58" s="30">
        <f t="shared" si="12"/>
        <v>94</v>
      </c>
      <c r="M58" s="27">
        <f>1</f>
        <v>1</v>
      </c>
      <c r="N58" s="27">
        <f t="shared" si="13"/>
        <v>0</v>
      </c>
      <c r="O58" s="27" t="b">
        <f>COMM_Beacons!T59&lt;&gt;COMM_Beacons!T58</f>
        <v>0</v>
      </c>
      <c r="P58" s="27" t="b">
        <f t="shared" si="14"/>
        <v>0</v>
      </c>
      <c r="Q58" s="27" t="b">
        <f>AND(E58=COMM_Beacons!Y59-COMM_Beacons!Y58,F58=COMM_Beacons!AA59-COMM_Beacons!AA58)</f>
        <v>1</v>
      </c>
      <c r="R58" s="27" t="b">
        <f t="shared" si="15"/>
        <v>1</v>
      </c>
    </row>
    <row r="59" spans="1:18" ht="24" customHeight="1" x14ac:dyDescent="0.2">
      <c r="A59" s="27">
        <v>55</v>
      </c>
      <c r="B59" s="29">
        <v>44589.745011574072</v>
      </c>
      <c r="C59" s="29">
        <v>44589.745127314818</v>
      </c>
      <c r="D59" s="27">
        <f t="shared" si="8"/>
        <v>10</v>
      </c>
      <c r="E59" s="27">
        <f>COMM_Beacons!O60-COMM_Beacons!O59</f>
        <v>1</v>
      </c>
      <c r="F59" s="27">
        <f>COMM_Beacons!Q60-COMM_Beacons!Q59</f>
        <v>94</v>
      </c>
      <c r="G59" s="27">
        <f>COMM_Beacons!P60-COMM_Beacons!P59</f>
        <v>0</v>
      </c>
      <c r="H59" s="27">
        <f>COMM_Beacons!R60-COMM_Beacons!R59</f>
        <v>0</v>
      </c>
      <c r="I59" s="30">
        <f t="shared" si="9"/>
        <v>0.1</v>
      </c>
      <c r="J59" s="30">
        <f t="shared" si="10"/>
        <v>9.4</v>
      </c>
      <c r="K59" s="30">
        <f t="shared" si="11"/>
        <v>75.2</v>
      </c>
      <c r="L59" s="30">
        <f t="shared" si="12"/>
        <v>94</v>
      </c>
      <c r="M59" s="27">
        <f>1</f>
        <v>1</v>
      </c>
      <c r="N59" s="27">
        <f t="shared" si="13"/>
        <v>0</v>
      </c>
      <c r="O59" s="27" t="b">
        <f>COMM_Beacons!T60&lt;&gt;COMM_Beacons!T59</f>
        <v>0</v>
      </c>
      <c r="P59" s="27" t="b">
        <f t="shared" si="14"/>
        <v>0</v>
      </c>
      <c r="Q59" s="27" t="b">
        <f>AND(E59=COMM_Beacons!Y60-COMM_Beacons!Y59,F59=COMM_Beacons!AA60-COMM_Beacons!AA59)</f>
        <v>1</v>
      </c>
      <c r="R59" s="27" t="b">
        <f t="shared" si="15"/>
        <v>1</v>
      </c>
    </row>
    <row r="60" spans="1:18" ht="24" customHeight="1" x14ac:dyDescent="0.2">
      <c r="A60" s="27">
        <v>56</v>
      </c>
      <c r="B60" s="29">
        <v>44589.745127314818</v>
      </c>
      <c r="C60" s="29">
        <v>44589.745254629634</v>
      </c>
      <c r="D60" s="27">
        <f t="shared" si="8"/>
        <v>11</v>
      </c>
      <c r="E60" s="27">
        <f>COMM_Beacons!O61-COMM_Beacons!O60</f>
        <v>1</v>
      </c>
      <c r="F60" s="27">
        <f>COMM_Beacons!Q61-COMM_Beacons!Q60</f>
        <v>94</v>
      </c>
      <c r="G60" s="27">
        <f>COMM_Beacons!P61-COMM_Beacons!P60</f>
        <v>0</v>
      </c>
      <c r="H60" s="27">
        <f>COMM_Beacons!R61-COMM_Beacons!R60</f>
        <v>0</v>
      </c>
      <c r="I60" s="30">
        <f t="shared" si="9"/>
        <v>9.0909090909090912E-2</v>
      </c>
      <c r="J60" s="30">
        <f t="shared" si="10"/>
        <v>8.545454545454545</v>
      </c>
      <c r="K60" s="30">
        <f t="shared" si="11"/>
        <v>68.36363636363636</v>
      </c>
      <c r="L60" s="30">
        <f t="shared" si="12"/>
        <v>94</v>
      </c>
      <c r="M60" s="27">
        <f>1</f>
        <v>1</v>
      </c>
      <c r="N60" s="27">
        <f t="shared" si="13"/>
        <v>0</v>
      </c>
      <c r="O60" s="27" t="b">
        <f>COMM_Beacons!T61&lt;&gt;COMM_Beacons!T60</f>
        <v>0</v>
      </c>
      <c r="P60" s="27" t="b">
        <f t="shared" si="14"/>
        <v>0</v>
      </c>
      <c r="Q60" s="27" t="b">
        <f>AND(E60=COMM_Beacons!Y61-COMM_Beacons!Y60,F60=COMM_Beacons!AA61-COMM_Beacons!AA60)</f>
        <v>1</v>
      </c>
      <c r="R60" s="27" t="b">
        <f t="shared" si="15"/>
        <v>1</v>
      </c>
    </row>
    <row r="61" spans="1:18" ht="24" customHeight="1" x14ac:dyDescent="0.2">
      <c r="A61" s="27">
        <v>57</v>
      </c>
      <c r="B61" s="29">
        <v>44589.745254629634</v>
      </c>
      <c r="C61" s="29">
        <v>44589.745358796303</v>
      </c>
      <c r="D61" s="27">
        <f t="shared" si="8"/>
        <v>9</v>
      </c>
      <c r="E61" s="27">
        <f>COMM_Beacons!O62-COMM_Beacons!O61</f>
        <v>1</v>
      </c>
      <c r="F61" s="27">
        <f>COMM_Beacons!Q62-COMM_Beacons!Q61</f>
        <v>94</v>
      </c>
      <c r="G61" s="27">
        <f>COMM_Beacons!P62-COMM_Beacons!P61</f>
        <v>0</v>
      </c>
      <c r="H61" s="27">
        <f>COMM_Beacons!R62-COMM_Beacons!R61</f>
        <v>0</v>
      </c>
      <c r="I61" s="30">
        <f t="shared" si="9"/>
        <v>0.1111111111111111</v>
      </c>
      <c r="J61" s="30">
        <f t="shared" si="10"/>
        <v>10.444444444444445</v>
      </c>
      <c r="K61" s="30">
        <f t="shared" si="11"/>
        <v>83.555555555555557</v>
      </c>
      <c r="L61" s="30">
        <f t="shared" si="12"/>
        <v>94</v>
      </c>
      <c r="M61" s="27">
        <f>1</f>
        <v>1</v>
      </c>
      <c r="N61" s="27">
        <f t="shared" si="13"/>
        <v>0</v>
      </c>
      <c r="O61" s="27" t="b">
        <f>COMM_Beacons!T62&lt;&gt;COMM_Beacons!T61</f>
        <v>0</v>
      </c>
      <c r="P61" s="27" t="b">
        <f t="shared" si="14"/>
        <v>0</v>
      </c>
      <c r="Q61" s="27" t="b">
        <f>AND(E61=COMM_Beacons!Y62-COMM_Beacons!Y61,F61=COMM_Beacons!AA62-COMM_Beacons!AA61)</f>
        <v>1</v>
      </c>
      <c r="R61" s="27" t="b">
        <f t="shared" si="15"/>
        <v>1</v>
      </c>
    </row>
    <row r="62" spans="1:18" ht="24" customHeight="1" x14ac:dyDescent="0.2">
      <c r="A62" s="27">
        <v>58</v>
      </c>
      <c r="B62" s="29">
        <v>44589.745358796303</v>
      </c>
      <c r="C62" s="29">
        <v>44589.745474537027</v>
      </c>
      <c r="D62" s="27">
        <f t="shared" si="8"/>
        <v>10</v>
      </c>
      <c r="E62" s="27">
        <f>COMM_Beacons!O63-COMM_Beacons!O62</f>
        <v>1</v>
      </c>
      <c r="F62" s="27">
        <f>COMM_Beacons!Q63-COMM_Beacons!Q62</f>
        <v>94</v>
      </c>
      <c r="G62" s="27">
        <f>COMM_Beacons!P63-COMM_Beacons!P62</f>
        <v>0</v>
      </c>
      <c r="H62" s="27">
        <f>COMM_Beacons!R63-COMM_Beacons!R62</f>
        <v>0</v>
      </c>
      <c r="I62" s="30">
        <f t="shared" si="9"/>
        <v>0.1</v>
      </c>
      <c r="J62" s="30">
        <f t="shared" si="10"/>
        <v>9.4</v>
      </c>
      <c r="K62" s="30">
        <f t="shared" si="11"/>
        <v>75.2</v>
      </c>
      <c r="L62" s="30">
        <f t="shared" si="12"/>
        <v>94</v>
      </c>
      <c r="M62" s="27">
        <f>1</f>
        <v>1</v>
      </c>
      <c r="N62" s="27">
        <f t="shared" si="13"/>
        <v>0</v>
      </c>
      <c r="O62" s="27" t="b">
        <f>COMM_Beacons!T63&lt;&gt;COMM_Beacons!T62</f>
        <v>0</v>
      </c>
      <c r="P62" s="27" t="b">
        <f t="shared" si="14"/>
        <v>0</v>
      </c>
      <c r="Q62" s="27" t="b">
        <f>AND(E62=COMM_Beacons!Y63-COMM_Beacons!Y62,F62=COMM_Beacons!AA63-COMM_Beacons!AA62)</f>
        <v>1</v>
      </c>
      <c r="R62" s="27" t="b">
        <f t="shared" si="15"/>
        <v>1</v>
      </c>
    </row>
    <row r="63" spans="1:18" ht="24" customHeight="1" x14ac:dyDescent="0.2">
      <c r="A63" s="27">
        <v>59</v>
      </c>
      <c r="B63" s="29">
        <v>44589.745474537027</v>
      </c>
      <c r="C63" s="29">
        <v>44589.745821759258</v>
      </c>
      <c r="D63" s="27">
        <f t="shared" si="8"/>
        <v>30</v>
      </c>
      <c r="E63" s="27">
        <f>COMM_Beacons!O64-COMM_Beacons!O63</f>
        <v>3</v>
      </c>
      <c r="F63" s="27">
        <f>COMM_Beacons!Q64-COMM_Beacons!Q63</f>
        <v>282</v>
      </c>
      <c r="G63" s="27">
        <f>COMM_Beacons!P64-COMM_Beacons!P63</f>
        <v>0</v>
      </c>
      <c r="H63" s="27">
        <f>COMM_Beacons!R64-COMM_Beacons!R63</f>
        <v>0</v>
      </c>
      <c r="I63" s="30">
        <f t="shared" si="9"/>
        <v>0.1</v>
      </c>
      <c r="J63" s="30">
        <f t="shared" si="10"/>
        <v>9.4</v>
      </c>
      <c r="K63" s="30">
        <f t="shared" si="11"/>
        <v>75.2</v>
      </c>
      <c r="L63" s="30">
        <f t="shared" si="12"/>
        <v>94</v>
      </c>
      <c r="M63" s="27">
        <f>1</f>
        <v>1</v>
      </c>
      <c r="N63" s="27">
        <f t="shared" si="13"/>
        <v>2</v>
      </c>
      <c r="O63" s="27" t="b">
        <f>COMM_Beacons!T64&lt;&gt;COMM_Beacons!T63</f>
        <v>0</v>
      </c>
      <c r="P63" s="27" t="b">
        <f t="shared" si="14"/>
        <v>0</v>
      </c>
      <c r="Q63" s="27" t="b">
        <f>AND(E63=COMM_Beacons!Y64-COMM_Beacons!Y63,F63=COMM_Beacons!AA64-COMM_Beacons!AA63)</f>
        <v>1</v>
      </c>
      <c r="R63" s="27" t="b">
        <f t="shared" si="15"/>
        <v>1</v>
      </c>
    </row>
    <row r="64" spans="1:18" ht="24" customHeight="1" x14ac:dyDescent="0.2">
      <c r="A64" s="27">
        <v>60</v>
      </c>
      <c r="B64" s="29">
        <v>44589.745821759258</v>
      </c>
      <c r="C64" s="29">
        <v>44589.745937500003</v>
      </c>
      <c r="D64" s="27">
        <f t="shared" si="8"/>
        <v>10</v>
      </c>
      <c r="E64" s="27">
        <f>COMM_Beacons!O65-COMM_Beacons!O64</f>
        <v>1</v>
      </c>
      <c r="F64" s="27">
        <f>COMM_Beacons!Q65-COMM_Beacons!Q64</f>
        <v>94</v>
      </c>
      <c r="G64" s="27">
        <f>COMM_Beacons!P65-COMM_Beacons!P64</f>
        <v>0</v>
      </c>
      <c r="H64" s="27">
        <f>COMM_Beacons!R65-COMM_Beacons!R64</f>
        <v>0</v>
      </c>
      <c r="I64" s="30">
        <f t="shared" si="9"/>
        <v>0.1</v>
      </c>
      <c r="J64" s="30">
        <f t="shared" si="10"/>
        <v>9.4</v>
      </c>
      <c r="K64" s="30">
        <f t="shared" si="11"/>
        <v>75.2</v>
      </c>
      <c r="L64" s="30">
        <f t="shared" si="12"/>
        <v>94</v>
      </c>
      <c r="M64" s="27">
        <f>1</f>
        <v>1</v>
      </c>
      <c r="N64" s="27">
        <f t="shared" si="13"/>
        <v>0</v>
      </c>
      <c r="O64" s="27" t="b">
        <f>COMM_Beacons!T65&lt;&gt;COMM_Beacons!T64</f>
        <v>0</v>
      </c>
      <c r="P64" s="27" t="b">
        <f t="shared" si="14"/>
        <v>0</v>
      </c>
      <c r="Q64" s="27" t="b">
        <f>AND(E64=COMM_Beacons!Y65-COMM_Beacons!Y64,F64=COMM_Beacons!AA65-COMM_Beacons!AA64)</f>
        <v>1</v>
      </c>
      <c r="R64" s="27" t="b">
        <f t="shared" si="15"/>
        <v>1</v>
      </c>
    </row>
    <row r="65" spans="1:18" ht="24" customHeight="1" x14ac:dyDescent="0.2">
      <c r="A65" s="27">
        <v>61</v>
      </c>
      <c r="B65" s="29">
        <v>44589.745937500003</v>
      </c>
      <c r="C65" s="29">
        <v>44589.746053240742</v>
      </c>
      <c r="D65" s="27">
        <f t="shared" si="8"/>
        <v>10</v>
      </c>
      <c r="E65" s="27">
        <f>COMM_Beacons!O66-COMM_Beacons!O65</f>
        <v>1</v>
      </c>
      <c r="F65" s="27">
        <f>COMM_Beacons!Q66-COMM_Beacons!Q65</f>
        <v>94</v>
      </c>
      <c r="G65" s="27">
        <f>COMM_Beacons!P66-COMM_Beacons!P65</f>
        <v>0</v>
      </c>
      <c r="H65" s="27">
        <f>COMM_Beacons!R66-COMM_Beacons!R65</f>
        <v>0</v>
      </c>
      <c r="I65" s="30">
        <f t="shared" si="9"/>
        <v>0.1</v>
      </c>
      <c r="J65" s="30">
        <f t="shared" si="10"/>
        <v>9.4</v>
      </c>
      <c r="K65" s="30">
        <f t="shared" si="11"/>
        <v>75.2</v>
      </c>
      <c r="L65" s="30">
        <f t="shared" si="12"/>
        <v>94</v>
      </c>
      <c r="M65" s="27">
        <f>1</f>
        <v>1</v>
      </c>
      <c r="N65" s="27">
        <f t="shared" si="13"/>
        <v>0</v>
      </c>
      <c r="O65" s="27" t="b">
        <f>COMM_Beacons!T66&lt;&gt;COMM_Beacons!T65</f>
        <v>0</v>
      </c>
      <c r="P65" s="27" t="b">
        <f t="shared" si="14"/>
        <v>0</v>
      </c>
      <c r="Q65" s="27" t="b">
        <f>AND(E65=COMM_Beacons!Y66-COMM_Beacons!Y65,F65=COMM_Beacons!AA66-COMM_Beacons!AA65)</f>
        <v>1</v>
      </c>
      <c r="R65" s="27" t="b">
        <f t="shared" si="15"/>
        <v>1</v>
      </c>
    </row>
  </sheetData>
  <mergeCells count="2">
    <mergeCell ref="A3:R4"/>
    <mergeCell ref="A1:R2"/>
  </mergeCells>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9" tint="-0.249977111117893"/>
  </sheetPr>
  <dimension ref="A1:I6"/>
  <sheetViews>
    <sheetView workbookViewId="0">
      <selection activeCell="E6" sqref="E6"/>
    </sheetView>
  </sheetViews>
  <sheetFormatPr defaultRowHeight="15" x14ac:dyDescent="0.2"/>
  <cols>
    <col min="1" max="2" width="20.984375" customWidth="1"/>
    <col min="3" max="6" width="37.93359375" customWidth="1"/>
    <col min="7" max="9" width="20.984375" customWidth="1"/>
  </cols>
  <sheetData>
    <row r="1" spans="1:9" ht="24" customHeight="1" x14ac:dyDescent="0.2">
      <c r="A1" s="104" t="s">
        <v>1514</v>
      </c>
      <c r="B1" s="80"/>
      <c r="C1" s="80"/>
      <c r="D1" s="80"/>
      <c r="E1" s="80"/>
      <c r="F1" s="80"/>
      <c r="G1" s="80"/>
      <c r="H1" s="80"/>
      <c r="I1" s="80"/>
    </row>
    <row r="2" spans="1:9" ht="24" customHeight="1" x14ac:dyDescent="0.2">
      <c r="A2" s="80"/>
      <c r="B2" s="80"/>
      <c r="C2" s="80"/>
      <c r="D2" s="80"/>
      <c r="E2" s="80"/>
      <c r="F2" s="80"/>
      <c r="G2" s="80"/>
      <c r="H2" s="80"/>
      <c r="I2" s="80"/>
    </row>
    <row r="3" spans="1:9" ht="24.95" customHeight="1" x14ac:dyDescent="0.2">
      <c r="A3" s="103" t="s">
        <v>1515</v>
      </c>
      <c r="B3" s="80"/>
      <c r="C3" s="80"/>
      <c r="D3" s="80"/>
      <c r="E3" s="80"/>
      <c r="F3" s="80"/>
      <c r="G3" s="80"/>
      <c r="H3" s="80"/>
      <c r="I3" s="80"/>
    </row>
    <row r="4" spans="1:9" ht="24.95" customHeight="1" x14ac:dyDescent="0.2">
      <c r="A4" s="80"/>
      <c r="B4" s="80"/>
      <c r="C4" s="80"/>
      <c r="D4" s="80"/>
      <c r="E4" s="80"/>
      <c r="F4" s="80"/>
      <c r="G4" s="80"/>
      <c r="H4" s="80"/>
      <c r="I4" s="80"/>
    </row>
    <row r="5" spans="1:9" ht="57.95" customHeight="1" x14ac:dyDescent="0.2">
      <c r="A5" s="28" t="s">
        <v>49</v>
      </c>
      <c r="B5" s="28" t="s">
        <v>35</v>
      </c>
      <c r="C5" s="28" t="s">
        <v>556</v>
      </c>
      <c r="D5" s="28" t="s">
        <v>1516</v>
      </c>
      <c r="E5" s="28" t="s">
        <v>1517</v>
      </c>
      <c r="F5" s="28" t="s">
        <v>1358</v>
      </c>
      <c r="G5" s="28" t="s">
        <v>1518</v>
      </c>
      <c r="H5" s="28" t="s">
        <v>1519</v>
      </c>
      <c r="I5" s="28" t="s">
        <v>1520</v>
      </c>
    </row>
    <row r="6" spans="1:9" ht="96" customHeight="1" x14ac:dyDescent="0.2">
      <c r="A6" s="31">
        <v>160</v>
      </c>
      <c r="B6" s="32">
        <v>44589.741307870368</v>
      </c>
      <c r="C6" s="31" t="s">
        <v>584</v>
      </c>
      <c r="D6" s="31" t="s">
        <v>1521</v>
      </c>
      <c r="E6" s="31" t="s">
        <v>1522</v>
      </c>
      <c r="F6" s="31" t="s">
        <v>661</v>
      </c>
      <c r="G6" s="31" t="b">
        <v>1</v>
      </c>
      <c r="H6" s="31">
        <v>24</v>
      </c>
      <c r="I6" s="31" t="b">
        <v>0</v>
      </c>
    </row>
  </sheetData>
  <mergeCells count="2">
    <mergeCell ref="A3:I4"/>
    <mergeCell ref="A1:I2"/>
  </mergeCells>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sheetPr>
  <dimension ref="A1:H28"/>
  <sheetViews>
    <sheetView workbookViewId="0">
      <selection activeCell="A5" sqref="A5"/>
    </sheetView>
  </sheetViews>
  <sheetFormatPr defaultRowHeight="15" x14ac:dyDescent="0.2"/>
  <cols>
    <col min="1" max="2" width="34.03125" customWidth="1"/>
    <col min="3" max="4" width="20.984375" customWidth="1"/>
    <col min="5" max="8" width="39.953125" customWidth="1"/>
  </cols>
  <sheetData>
    <row r="1" spans="1:8" ht="24" customHeight="1" x14ac:dyDescent="0.2">
      <c r="A1" s="104" t="s">
        <v>1523</v>
      </c>
      <c r="B1" s="80"/>
      <c r="C1" s="80"/>
      <c r="D1" s="80"/>
      <c r="E1" s="80"/>
      <c r="F1" s="80"/>
      <c r="G1" s="80"/>
      <c r="H1" s="80"/>
    </row>
    <row r="2" spans="1:8" ht="24" customHeight="1" x14ac:dyDescent="0.2">
      <c r="A2" s="80"/>
      <c r="B2" s="80"/>
      <c r="C2" s="80"/>
      <c r="D2" s="80"/>
      <c r="E2" s="80"/>
      <c r="F2" s="80"/>
      <c r="G2" s="80"/>
      <c r="H2" s="80"/>
    </row>
    <row r="3" spans="1:8" ht="24.95" customHeight="1" x14ac:dyDescent="0.2">
      <c r="A3" s="103" t="s">
        <v>1524</v>
      </c>
      <c r="B3" s="80"/>
      <c r="C3" s="80"/>
      <c r="D3" s="80"/>
      <c r="E3" s="80"/>
      <c r="F3" s="80"/>
      <c r="G3" s="80"/>
      <c r="H3" s="80"/>
    </row>
    <row r="4" spans="1:8" ht="24.95" customHeight="1" x14ac:dyDescent="0.2">
      <c r="A4" s="80"/>
      <c r="B4" s="80"/>
      <c r="C4" s="80"/>
      <c r="D4" s="80"/>
      <c r="E4" s="80"/>
      <c r="F4" s="80"/>
      <c r="G4" s="80"/>
      <c r="H4" s="80"/>
    </row>
    <row r="5" spans="1:8" ht="57.95" customHeight="1" x14ac:dyDescent="0.2">
      <c r="A5" s="28" t="s">
        <v>1525</v>
      </c>
      <c r="B5" s="28" t="s">
        <v>1526</v>
      </c>
      <c r="C5" s="28" t="s">
        <v>1527</v>
      </c>
      <c r="D5" s="28" t="s">
        <v>1528</v>
      </c>
      <c r="E5" s="28" t="s">
        <v>1529</v>
      </c>
      <c r="F5" s="28" t="s">
        <v>1530</v>
      </c>
      <c r="G5" s="28" t="s">
        <v>1531</v>
      </c>
      <c r="H5" s="28" t="s">
        <v>1532</v>
      </c>
    </row>
    <row r="6" spans="1:8" ht="78" customHeight="1" x14ac:dyDescent="0.2">
      <c r="A6" s="31" t="s">
        <v>830</v>
      </c>
      <c r="B6" s="31" t="s">
        <v>1533</v>
      </c>
      <c r="C6" s="31">
        <f>MIN(COMM_Beacons!K$6:K$66)</f>
        <v>366</v>
      </c>
      <c r="D6" s="31">
        <f>MAX(COMM_Beacons!K$6:K$66)</f>
        <v>388</v>
      </c>
      <c r="E6" s="31" t="s">
        <v>1011</v>
      </c>
      <c r="F6" s="31" t="s">
        <v>1534</v>
      </c>
      <c r="G6" s="31" t="s">
        <v>1535</v>
      </c>
      <c r="H6" s="31" t="s">
        <v>1153</v>
      </c>
    </row>
    <row r="7" spans="1:8" ht="78" customHeight="1" x14ac:dyDescent="0.2">
      <c r="A7" s="31" t="s">
        <v>831</v>
      </c>
      <c r="B7" s="31" t="s">
        <v>1533</v>
      </c>
      <c r="C7" s="31">
        <f>MIN(COMM_Beacons!L$6:L$66)</f>
        <v>368</v>
      </c>
      <c r="D7" s="31">
        <f>MAX(COMM_Beacons!L$6:L$66)</f>
        <v>388</v>
      </c>
      <c r="E7" s="31" t="s">
        <v>1011</v>
      </c>
      <c r="F7" s="31" t="s">
        <v>1534</v>
      </c>
      <c r="G7" s="31" t="s">
        <v>1535</v>
      </c>
      <c r="H7" s="31" t="s">
        <v>1153</v>
      </c>
    </row>
    <row r="8" spans="1:8" ht="78" customHeight="1" x14ac:dyDescent="0.2">
      <c r="A8" s="31" t="s">
        <v>832</v>
      </c>
      <c r="B8" s="31" t="s">
        <v>1536</v>
      </c>
      <c r="C8" s="31">
        <f>MIN(COMM_Beacons!M$6:M$66)</f>
        <v>-83</v>
      </c>
      <c r="D8" s="31">
        <f>MAX(COMM_Beacons!M$6:M$66)</f>
        <v>-83</v>
      </c>
      <c r="E8" s="31" t="s">
        <v>1011</v>
      </c>
      <c r="F8" s="31" t="s">
        <v>1537</v>
      </c>
      <c r="G8" s="31" t="s">
        <v>1538</v>
      </c>
      <c r="H8" s="31" t="s">
        <v>1146</v>
      </c>
    </row>
    <row r="9" spans="1:8" ht="78" customHeight="1" x14ac:dyDescent="0.2">
      <c r="A9" s="31" t="s">
        <v>833</v>
      </c>
      <c r="B9" s="31" t="s">
        <v>1533</v>
      </c>
      <c r="C9" s="31">
        <f>MIN(COMM_Beacons!N$6:N$66)</f>
        <v>257</v>
      </c>
      <c r="D9" s="31">
        <f>MAX(COMM_Beacons!N$6:N$66)</f>
        <v>257</v>
      </c>
      <c r="E9" s="31" t="s">
        <v>1011</v>
      </c>
      <c r="F9" s="31" t="s">
        <v>1539</v>
      </c>
      <c r="G9" s="31" t="s">
        <v>1540</v>
      </c>
      <c r="H9" s="31" t="s">
        <v>1153</v>
      </c>
    </row>
    <row r="10" spans="1:8" ht="78" customHeight="1" x14ac:dyDescent="0.2">
      <c r="A10" s="31" t="s">
        <v>834</v>
      </c>
      <c r="B10" s="31" t="s">
        <v>1541</v>
      </c>
      <c r="C10" s="31">
        <f>MIN(COMM_Beacons!O$6:O$66)</f>
        <v>33421</v>
      </c>
      <c r="D10" s="31">
        <f>MAX(COMM_Beacons!O$6:O$66)</f>
        <v>33490</v>
      </c>
      <c r="E10" s="31" t="s">
        <v>1542</v>
      </c>
      <c r="F10" s="31" t="s">
        <v>1543</v>
      </c>
      <c r="G10" s="31" t="s">
        <v>1544</v>
      </c>
      <c r="H10" s="31" t="s">
        <v>1153</v>
      </c>
    </row>
    <row r="11" spans="1:8" ht="78" customHeight="1" x14ac:dyDescent="0.2">
      <c r="A11" s="31" t="s">
        <v>835</v>
      </c>
      <c r="B11" s="31" t="s">
        <v>1541</v>
      </c>
      <c r="C11" s="31">
        <f>MIN(COMM_Beacons!P$6:P$66)</f>
        <v>11</v>
      </c>
      <c r="D11" s="31">
        <f>MAX(COMM_Beacons!P$6:P$66)</f>
        <v>11</v>
      </c>
      <c r="E11" s="31" t="s">
        <v>1011</v>
      </c>
      <c r="F11" s="31" t="s">
        <v>1545</v>
      </c>
      <c r="G11" s="31" t="s">
        <v>1544</v>
      </c>
      <c r="H11" s="31" t="s">
        <v>1153</v>
      </c>
    </row>
    <row r="12" spans="1:8" ht="78" customHeight="1" x14ac:dyDescent="0.2">
      <c r="A12" s="31" t="s">
        <v>836</v>
      </c>
      <c r="B12" s="31" t="s">
        <v>1546</v>
      </c>
      <c r="C12" s="31">
        <f>MIN(COMM_Beacons!Q$6:Q$66)</f>
        <v>4386219</v>
      </c>
      <c r="D12" s="31">
        <f>MAX(COMM_Beacons!Q$6:Q$66)</f>
        <v>4392705</v>
      </c>
      <c r="E12" s="31" t="s">
        <v>1542</v>
      </c>
      <c r="F12" s="31" t="s">
        <v>1547</v>
      </c>
      <c r="G12" s="31" t="s">
        <v>1548</v>
      </c>
      <c r="H12" s="31" t="s">
        <v>1153</v>
      </c>
    </row>
    <row r="13" spans="1:8" ht="78" customHeight="1" x14ac:dyDescent="0.2">
      <c r="A13" s="31" t="s">
        <v>837</v>
      </c>
      <c r="B13" s="31" t="s">
        <v>1546</v>
      </c>
      <c r="C13" s="31">
        <f>MIN(COMM_Beacons!R$6:R$66)</f>
        <v>110</v>
      </c>
      <c r="D13" s="31">
        <f>MAX(COMM_Beacons!R$6:R$66)</f>
        <v>110</v>
      </c>
      <c r="E13" s="31" t="s">
        <v>1011</v>
      </c>
      <c r="F13" s="31" t="s">
        <v>1549</v>
      </c>
      <c r="G13" s="31" t="s">
        <v>1548</v>
      </c>
      <c r="H13" s="31" t="s">
        <v>1153</v>
      </c>
    </row>
    <row r="14" spans="1:8" ht="78" customHeight="1" x14ac:dyDescent="0.2">
      <c r="A14" s="31" t="s">
        <v>838</v>
      </c>
      <c r="B14" s="31" t="s">
        <v>1533</v>
      </c>
      <c r="C14" s="31">
        <f>MIN(COMM_Beacons!S$6:S$66)</f>
        <v>2</v>
      </c>
      <c r="D14" s="31">
        <f>MAX(COMM_Beacons!S$6:S$66)</f>
        <v>2</v>
      </c>
      <c r="E14" s="31" t="s">
        <v>1011</v>
      </c>
      <c r="F14" s="31" t="s">
        <v>1550</v>
      </c>
      <c r="G14" s="31" t="s">
        <v>1551</v>
      </c>
      <c r="H14" s="31" t="s">
        <v>1153</v>
      </c>
    </row>
    <row r="15" spans="1:8" ht="78" customHeight="1" x14ac:dyDescent="0.2">
      <c r="A15" s="31" t="s">
        <v>839</v>
      </c>
      <c r="B15" s="31" t="s">
        <v>1552</v>
      </c>
      <c r="C15" s="31">
        <f>MIN(COMM_Beacons!T$6:T$66)</f>
        <v>1126</v>
      </c>
      <c r="D15" s="31">
        <f>MAX(COMM_Beacons!T$6:T$66)</f>
        <v>1126</v>
      </c>
      <c r="E15" s="31" t="s">
        <v>1011</v>
      </c>
      <c r="F15" s="31" t="s">
        <v>1553</v>
      </c>
      <c r="G15" s="31" t="s">
        <v>1554</v>
      </c>
      <c r="H15" s="31" t="s">
        <v>1153</v>
      </c>
    </row>
    <row r="16" spans="1:8" ht="78" customHeight="1" x14ac:dyDescent="0.2">
      <c r="A16" s="31" t="s">
        <v>840</v>
      </c>
      <c r="B16" s="31" t="s">
        <v>1533</v>
      </c>
      <c r="C16" s="31">
        <f>MIN(COMM_Beacons!U$6:U$66)</f>
        <v>256</v>
      </c>
      <c r="D16" s="31">
        <f>MAX(COMM_Beacons!U$6:U$66)</f>
        <v>256</v>
      </c>
      <c r="E16" s="31" t="s">
        <v>1011</v>
      </c>
      <c r="F16" s="31" t="s">
        <v>1555</v>
      </c>
      <c r="G16" s="31" t="s">
        <v>1535</v>
      </c>
      <c r="H16" s="31" t="s">
        <v>1153</v>
      </c>
    </row>
    <row r="17" spans="1:8" ht="78" customHeight="1" x14ac:dyDescent="0.2">
      <c r="A17" s="31" t="s">
        <v>841</v>
      </c>
      <c r="B17" s="31" t="s">
        <v>1533</v>
      </c>
      <c r="C17" s="31">
        <f>MIN(COMM_Beacons!V$6:V$66)</f>
        <v>1035520017</v>
      </c>
      <c r="D17" s="31">
        <f>MAX(COMM_Beacons!V$6:V$66)</f>
        <v>1035520017</v>
      </c>
      <c r="E17" s="31" t="s">
        <v>1011</v>
      </c>
      <c r="F17" s="31" t="s">
        <v>1556</v>
      </c>
      <c r="G17" s="31" t="s">
        <v>1557</v>
      </c>
      <c r="H17" s="31" t="s">
        <v>1153</v>
      </c>
    </row>
    <row r="18" spans="1:8" ht="78" customHeight="1" x14ac:dyDescent="0.2">
      <c r="A18" s="31" t="s">
        <v>842</v>
      </c>
      <c r="B18" s="31" t="s">
        <v>1558</v>
      </c>
      <c r="C18" s="31">
        <f>MIN(COMM_Beacons!W$6:W$66)</f>
        <v>-117</v>
      </c>
      <c r="D18" s="31">
        <f>MAX(COMM_Beacons!W$6:W$66)</f>
        <v>-89</v>
      </c>
      <c r="E18" s="31" t="s">
        <v>1011</v>
      </c>
      <c r="F18" s="31" t="s">
        <v>1559</v>
      </c>
      <c r="G18" s="31" t="s">
        <v>1560</v>
      </c>
      <c r="H18" s="31" t="s">
        <v>1146</v>
      </c>
    </row>
    <row r="19" spans="1:8" ht="78" customHeight="1" x14ac:dyDescent="0.2">
      <c r="A19" s="31" t="s">
        <v>843</v>
      </c>
      <c r="B19" s="31" t="s">
        <v>1533</v>
      </c>
      <c r="C19" s="31">
        <f>MIN(COMM_Beacons!X$6:X$66)</f>
        <v>1</v>
      </c>
      <c r="D19" s="31">
        <f>MAX(COMM_Beacons!X$6:X$66)</f>
        <v>1</v>
      </c>
      <c r="E19" s="31" t="s">
        <v>1011</v>
      </c>
      <c r="F19" s="31" t="s">
        <v>1561</v>
      </c>
      <c r="G19" s="31" t="s">
        <v>1562</v>
      </c>
      <c r="H19" s="31" t="s">
        <v>1153</v>
      </c>
    </row>
    <row r="20" spans="1:8" ht="78" customHeight="1" x14ac:dyDescent="0.2">
      <c r="A20" s="31" t="s">
        <v>844</v>
      </c>
      <c r="B20" s="31" t="s">
        <v>1541</v>
      </c>
      <c r="C20" s="31">
        <f>MIN(COMM_Beacons!Y$6:Y$66)</f>
        <v>17475737</v>
      </c>
      <c r="D20" s="31">
        <f>MAX(COMM_Beacons!Y$6:Y$66)</f>
        <v>17475806</v>
      </c>
      <c r="E20" s="31" t="s">
        <v>1542</v>
      </c>
      <c r="F20" s="31" t="s">
        <v>1543</v>
      </c>
      <c r="G20" s="31" t="s">
        <v>1544</v>
      </c>
      <c r="H20" s="31" t="s">
        <v>1153</v>
      </c>
    </row>
    <row r="21" spans="1:8" ht="78" customHeight="1" x14ac:dyDescent="0.2">
      <c r="A21" s="31" t="s">
        <v>845</v>
      </c>
      <c r="B21" s="31" t="s">
        <v>1541</v>
      </c>
      <c r="C21" s="31">
        <f>MIN(COMM_Beacons!Z$6:Z$66)</f>
        <v>22035</v>
      </c>
      <c r="D21" s="31">
        <f>MAX(COMM_Beacons!Z$6:Z$66)</f>
        <v>22035</v>
      </c>
      <c r="E21" s="31" t="s">
        <v>1011</v>
      </c>
      <c r="F21" s="31" t="s">
        <v>1545</v>
      </c>
      <c r="G21" s="31" t="s">
        <v>1544</v>
      </c>
      <c r="H21" s="31" t="s">
        <v>1153</v>
      </c>
    </row>
    <row r="22" spans="1:8" ht="78" customHeight="1" x14ac:dyDescent="0.2">
      <c r="A22" s="31" t="s">
        <v>846</v>
      </c>
      <c r="B22" s="31" t="s">
        <v>1546</v>
      </c>
      <c r="C22" s="31">
        <f>MIN(COMM_Beacons!AA$6:AA$66)</f>
        <v>3048166464</v>
      </c>
      <c r="D22" s="31">
        <f>MAX(COMM_Beacons!AA$6:AA$66)</f>
        <v>3048172950</v>
      </c>
      <c r="E22" s="31" t="s">
        <v>1542</v>
      </c>
      <c r="F22" s="31" t="s">
        <v>1547</v>
      </c>
      <c r="G22" s="31" t="s">
        <v>1548</v>
      </c>
      <c r="H22" s="31" t="s">
        <v>1153</v>
      </c>
    </row>
    <row r="23" spans="1:8" ht="78" customHeight="1" x14ac:dyDescent="0.2">
      <c r="A23" s="31" t="s">
        <v>847</v>
      </c>
      <c r="B23" s="31" t="s">
        <v>1546</v>
      </c>
      <c r="C23" s="31">
        <f>MIN(COMM_Beacons!AB$6:AB$66)</f>
        <v>1105712</v>
      </c>
      <c r="D23" s="31">
        <f>MAX(COMM_Beacons!AB$6:AB$66)</f>
        <v>1105712</v>
      </c>
      <c r="E23" s="31" t="s">
        <v>1011</v>
      </c>
      <c r="F23" s="31" t="s">
        <v>1549</v>
      </c>
      <c r="G23" s="31" t="s">
        <v>1548</v>
      </c>
      <c r="H23" s="31" t="s">
        <v>1153</v>
      </c>
    </row>
    <row r="24" spans="1:8" ht="78" customHeight="1" x14ac:dyDescent="0.2">
      <c r="A24" s="31" t="s">
        <v>1563</v>
      </c>
      <c r="B24" s="31" t="s">
        <v>1564</v>
      </c>
      <c r="C24" s="31">
        <f>MIN(COMM_Counter_Deltas!J6:J65)</f>
        <v>8.545454545454545</v>
      </c>
      <c r="D24" s="31">
        <f>MAX(COMM_Counter_Deltas!J6:J65)</f>
        <v>10.444444444444445</v>
      </c>
      <c r="E24" s="31" t="s">
        <v>1542</v>
      </c>
      <c r="F24" s="31" t="s">
        <v>1565</v>
      </c>
      <c r="G24" s="31" t="s">
        <v>1566</v>
      </c>
      <c r="H24" s="31" t="s">
        <v>1153</v>
      </c>
    </row>
    <row r="25" spans="1:8" ht="78" customHeight="1" x14ac:dyDescent="0.2">
      <c r="A25" s="31" t="s">
        <v>1567</v>
      </c>
      <c r="B25" s="31" t="s">
        <v>64</v>
      </c>
      <c r="C25" s="31"/>
      <c r="D25" s="31"/>
      <c r="E25" s="31" t="s">
        <v>1568</v>
      </c>
      <c r="F25" s="31" t="s">
        <v>1569</v>
      </c>
      <c r="G25" s="31" t="s">
        <v>1570</v>
      </c>
      <c r="H25" s="31" t="s">
        <v>1153</v>
      </c>
    </row>
    <row r="26" spans="1:8" ht="78" customHeight="1" x14ac:dyDescent="0.2">
      <c r="A26" s="31" t="s">
        <v>1571</v>
      </c>
      <c r="B26" s="31" t="s">
        <v>51</v>
      </c>
      <c r="C26" s="31"/>
      <c r="D26" s="31"/>
      <c r="E26" s="31" t="s">
        <v>1568</v>
      </c>
      <c r="F26" s="31" t="s">
        <v>1572</v>
      </c>
      <c r="G26" s="31" t="s">
        <v>1573</v>
      </c>
      <c r="H26" s="31" t="s">
        <v>1153</v>
      </c>
    </row>
    <row r="27" spans="1:8" ht="78" customHeight="1" x14ac:dyDescent="0.2">
      <c r="A27" s="31" t="s">
        <v>1574</v>
      </c>
      <c r="B27" s="31" t="s">
        <v>1575</v>
      </c>
      <c r="C27" s="31"/>
      <c r="D27" s="31"/>
      <c r="E27" s="31" t="s">
        <v>1568</v>
      </c>
      <c r="F27" s="31" t="s">
        <v>1576</v>
      </c>
      <c r="G27" s="31" t="s">
        <v>1577</v>
      </c>
      <c r="H27" s="31" t="s">
        <v>1153</v>
      </c>
    </row>
    <row r="28" spans="1:8" ht="78" customHeight="1" x14ac:dyDescent="0.2">
      <c r="A28" s="31" t="s">
        <v>1578</v>
      </c>
      <c r="B28" s="31" t="s">
        <v>1579</v>
      </c>
      <c r="C28" s="31"/>
      <c r="D28" s="31"/>
      <c r="E28" s="31" t="s">
        <v>1568</v>
      </c>
      <c r="F28" s="31" t="s">
        <v>1580</v>
      </c>
      <c r="G28" s="31" t="s">
        <v>1581</v>
      </c>
      <c r="H28" s="31" t="s">
        <v>1153</v>
      </c>
    </row>
  </sheetData>
  <mergeCells count="2">
    <mergeCell ref="A1:H2"/>
    <mergeCell ref="A3:H4"/>
  </mergeCells>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70C0"/>
  </sheetPr>
  <dimension ref="A1:E33"/>
  <sheetViews>
    <sheetView workbookViewId="0">
      <selection sqref="A1:E2"/>
    </sheetView>
  </sheetViews>
  <sheetFormatPr defaultRowHeight="15" x14ac:dyDescent="0.2"/>
  <cols>
    <col min="1" max="1" width="41.02734375" customWidth="1"/>
    <col min="2" max="4" width="20.984375" customWidth="1"/>
    <col min="5" max="5" width="67.93359375" customWidth="1"/>
  </cols>
  <sheetData>
    <row r="1" spans="1:5" ht="24" customHeight="1" x14ac:dyDescent="0.2">
      <c r="A1" s="104" t="s">
        <v>1582</v>
      </c>
      <c r="B1" s="80"/>
      <c r="C1" s="80"/>
      <c r="D1" s="80"/>
      <c r="E1" s="80"/>
    </row>
    <row r="2" spans="1:5" ht="24" customHeight="1" x14ac:dyDescent="0.2">
      <c r="A2" s="80"/>
      <c r="B2" s="80"/>
      <c r="C2" s="80"/>
      <c r="D2" s="80"/>
      <c r="E2" s="80"/>
    </row>
    <row r="3" spans="1:5" ht="24.95" customHeight="1" x14ac:dyDescent="0.2">
      <c r="A3" s="103" t="s">
        <v>1583</v>
      </c>
      <c r="B3" s="80"/>
      <c r="C3" s="80"/>
      <c r="D3" s="80"/>
      <c r="E3" s="80"/>
    </row>
    <row r="4" spans="1:5" ht="24.95" customHeight="1" x14ac:dyDescent="0.2">
      <c r="A4" s="80"/>
      <c r="B4" s="80"/>
      <c r="C4" s="80"/>
      <c r="D4" s="80"/>
      <c r="E4" s="80"/>
    </row>
    <row r="5" spans="1:5" ht="57.95" customHeight="1" x14ac:dyDescent="0.2">
      <c r="A5" s="28" t="s">
        <v>337</v>
      </c>
      <c r="B5" s="28" t="s">
        <v>1584</v>
      </c>
      <c r="C5" s="28" t="s">
        <v>1585</v>
      </c>
      <c r="D5" s="28" t="s">
        <v>1586</v>
      </c>
      <c r="E5" s="28" t="s">
        <v>1587</v>
      </c>
    </row>
    <row r="6" spans="1:5" ht="44.1" customHeight="1" x14ac:dyDescent="0.2">
      <c r="A6" s="31" t="s">
        <v>1588</v>
      </c>
      <c r="B6" s="42">
        <f>COUNTA(COMM_Receptions!A6:A106)</f>
        <v>101</v>
      </c>
      <c r="C6" s="42">
        <v>101</v>
      </c>
      <c r="D6" s="31" t="str">
        <f t="shared" ref="D6:D33" si="0">IF(ABS(B6-C6)&lt;0.000001,"PASS","CHECK")</f>
        <v>PASS</v>
      </c>
      <c r="E6" s="31" t="s">
        <v>1589</v>
      </c>
    </row>
    <row r="7" spans="1:5" ht="44.1" customHeight="1" x14ac:dyDescent="0.2">
      <c r="A7" s="31" t="s">
        <v>1590</v>
      </c>
      <c r="B7" s="42">
        <f>COUNTA(COMM_Decoded!A6:A105)</f>
        <v>100</v>
      </c>
      <c r="C7" s="42">
        <v>100</v>
      </c>
      <c r="D7" s="31" t="str">
        <f t="shared" si="0"/>
        <v>PASS</v>
      </c>
      <c r="E7" s="31" t="s">
        <v>1591</v>
      </c>
    </row>
    <row r="8" spans="1:5" ht="44.1" customHeight="1" x14ac:dyDescent="0.2">
      <c r="A8" s="31" t="s">
        <v>1592</v>
      </c>
      <c r="B8" s="42">
        <f>COUNTA(COMM_Rejected!A6:A6)</f>
        <v>1</v>
      </c>
      <c r="C8" s="42">
        <v>1</v>
      </c>
      <c r="D8" s="31" t="str">
        <f t="shared" si="0"/>
        <v>PASS</v>
      </c>
      <c r="E8" s="31" t="s">
        <v>1593</v>
      </c>
    </row>
    <row r="9" spans="1:5" ht="44.1" customHeight="1" x14ac:dyDescent="0.2">
      <c r="A9" s="31" t="s">
        <v>1594</v>
      </c>
      <c r="B9" s="42">
        <f>COUNTA(COMM_Beacons!A6:A66)</f>
        <v>61</v>
      </c>
      <c r="C9" s="42">
        <v>61</v>
      </c>
      <c r="D9" s="31" t="str">
        <f t="shared" si="0"/>
        <v>PASS</v>
      </c>
      <c r="E9" s="31" t="s">
        <v>1595</v>
      </c>
    </row>
    <row r="10" spans="1:5" ht="44.1" customHeight="1" x14ac:dyDescent="0.2">
      <c r="A10" s="31" t="s">
        <v>1596</v>
      </c>
      <c r="B10" s="42">
        <f>COUNTIF(COMM_Decoded!H6:H105,"PASS")</f>
        <v>65</v>
      </c>
      <c r="C10" s="42">
        <v>65</v>
      </c>
      <c r="D10" s="31" t="str">
        <f t="shared" si="0"/>
        <v>PASS</v>
      </c>
      <c r="E10" s="31" t="s">
        <v>1597</v>
      </c>
    </row>
    <row r="11" spans="1:5" ht="44.1" customHeight="1" x14ac:dyDescent="0.2">
      <c r="A11" s="31" t="s">
        <v>1598</v>
      </c>
      <c r="B11" s="42">
        <f>COUNTIF(COMM_Decoded!H6:H105,"NOT_PRESENT")</f>
        <v>35</v>
      </c>
      <c r="C11" s="42">
        <v>35</v>
      </c>
      <c r="D11" s="31" t="str">
        <f t="shared" si="0"/>
        <v>PASS</v>
      </c>
      <c r="E11" s="31" t="s">
        <v>1599</v>
      </c>
    </row>
    <row r="12" spans="1:5" ht="44.1" customHeight="1" x14ac:dyDescent="0.2">
      <c r="A12" s="31" t="s">
        <v>1600</v>
      </c>
      <c r="B12" s="42">
        <f>COUNTIF(COMM_Beacons!E6:E66,"CRC32C_VERIFIED")</f>
        <v>54</v>
      </c>
      <c r="C12" s="42">
        <v>54</v>
      </c>
      <c r="D12" s="31" t="str">
        <f t="shared" si="0"/>
        <v>PASS</v>
      </c>
      <c r="E12" s="31" t="s">
        <v>1601</v>
      </c>
    </row>
    <row r="13" spans="1:5" ht="44.1" customHeight="1" x14ac:dyDescent="0.2">
      <c r="A13" s="31" t="s">
        <v>1602</v>
      </c>
      <c r="B13" s="42">
        <f>COUNTIF(COMM_Beacons!E6:E66,"PREPROCESSED_NO_CRC")</f>
        <v>7</v>
      </c>
      <c r="C13" s="42">
        <v>7</v>
      </c>
      <c r="D13" s="31" t="str">
        <f t="shared" si="0"/>
        <v>PASS</v>
      </c>
      <c r="E13" s="31" t="s">
        <v>1603</v>
      </c>
    </row>
    <row r="14" spans="1:5" ht="44.1" customHeight="1" x14ac:dyDescent="0.2">
      <c r="A14" s="31" t="s">
        <v>1604</v>
      </c>
      <c r="B14" s="42">
        <f>COUNTIFS(COMM_Beacons!G6:G66,"&gt;0",COMM_Beacons!H6:H66,"&gt;0")</f>
        <v>25</v>
      </c>
      <c r="C14" s="42">
        <v>25</v>
      </c>
      <c r="D14" s="31" t="str">
        <f t="shared" si="0"/>
        <v>PASS</v>
      </c>
      <c r="E14" s="31" t="s">
        <v>1605</v>
      </c>
    </row>
    <row r="15" spans="1:5" ht="44.1" customHeight="1" x14ac:dyDescent="0.2">
      <c r="A15" s="31" t="s">
        <v>1606</v>
      </c>
      <c r="B15" s="42">
        <f>B7-B9</f>
        <v>39</v>
      </c>
      <c r="C15" s="42">
        <v>39</v>
      </c>
      <c r="D15" s="31" t="str">
        <f t="shared" si="0"/>
        <v>PASS</v>
      </c>
      <c r="E15" s="31" t="s">
        <v>1607</v>
      </c>
    </row>
    <row r="16" spans="1:5" ht="44.1" customHeight="1" x14ac:dyDescent="0.2">
      <c r="A16" s="31" t="s">
        <v>1608</v>
      </c>
      <c r="B16" s="42">
        <v>0</v>
      </c>
      <c r="C16" s="42">
        <v>0</v>
      </c>
      <c r="D16" s="31" t="str">
        <f t="shared" si="0"/>
        <v>PASS</v>
      </c>
      <c r="E16" s="31" t="s">
        <v>1609</v>
      </c>
    </row>
    <row r="17" spans="1:5" ht="44.1" customHeight="1" x14ac:dyDescent="0.2">
      <c r="A17" s="31" t="s">
        <v>1610</v>
      </c>
      <c r="B17" s="42">
        <v>1800</v>
      </c>
      <c r="C17" s="42">
        <v>1800</v>
      </c>
      <c r="D17" s="31" t="str">
        <f t="shared" si="0"/>
        <v>PASS</v>
      </c>
      <c r="E17" s="31" t="s">
        <v>1611</v>
      </c>
    </row>
    <row r="18" spans="1:5" ht="44.1" customHeight="1" x14ac:dyDescent="0.2">
      <c r="A18" s="31" t="s">
        <v>1612</v>
      </c>
      <c r="B18" s="42">
        <f>MIN(COMM_Beacons!W6:W66)</f>
        <v>-117</v>
      </c>
      <c r="C18" s="42">
        <v>-117</v>
      </c>
      <c r="D18" s="31" t="str">
        <f t="shared" si="0"/>
        <v>PASS</v>
      </c>
      <c r="E18" s="31" t="s">
        <v>1613</v>
      </c>
    </row>
    <row r="19" spans="1:5" ht="44.1" customHeight="1" x14ac:dyDescent="0.2">
      <c r="A19" s="31" t="s">
        <v>1614</v>
      </c>
      <c r="B19" s="42">
        <f>MAX(COMM_Beacons!W6:W66)</f>
        <v>-89</v>
      </c>
      <c r="C19" s="42">
        <v>-89</v>
      </c>
      <c r="D19" s="31" t="str">
        <f t="shared" si="0"/>
        <v>PASS</v>
      </c>
      <c r="E19" s="31" t="s">
        <v>1615</v>
      </c>
    </row>
    <row r="20" spans="1:5" ht="44.1" customHeight="1" x14ac:dyDescent="0.2">
      <c r="A20" s="31" t="s">
        <v>1616</v>
      </c>
      <c r="B20" s="42">
        <f>SUM(COMM_Counter_Deltas!E6:E65)</f>
        <v>69</v>
      </c>
      <c r="C20" s="42">
        <v>69</v>
      </c>
      <c r="D20" s="31" t="str">
        <f t="shared" si="0"/>
        <v>PASS</v>
      </c>
      <c r="E20" s="31" t="s">
        <v>1617</v>
      </c>
    </row>
    <row r="21" spans="1:5" ht="44.1" customHeight="1" x14ac:dyDescent="0.2">
      <c r="A21" s="31" t="s">
        <v>1618</v>
      </c>
      <c r="B21" s="42">
        <f>SUM(COMM_Counter_Deltas!F6:F65)</f>
        <v>6486</v>
      </c>
      <c r="C21" s="42">
        <v>6486</v>
      </c>
      <c r="D21" s="31" t="str">
        <f t="shared" si="0"/>
        <v>PASS</v>
      </c>
      <c r="E21" s="31" t="s">
        <v>1619</v>
      </c>
    </row>
    <row r="22" spans="1:5" ht="44.1" customHeight="1" x14ac:dyDescent="0.2">
      <c r="A22" s="31" t="s">
        <v>1620</v>
      </c>
      <c r="B22" s="42">
        <f>SUM(COMM_Counter_Deltas!D6:D65)</f>
        <v>690</v>
      </c>
      <c r="C22" s="42">
        <v>690</v>
      </c>
      <c r="D22" s="31" t="str">
        <f t="shared" si="0"/>
        <v>PASS</v>
      </c>
      <c r="E22" s="31" t="s">
        <v>1621</v>
      </c>
    </row>
    <row r="23" spans="1:5" ht="44.1" customHeight="1" x14ac:dyDescent="0.2">
      <c r="A23" s="31" t="s">
        <v>1622</v>
      </c>
      <c r="B23" s="43">
        <f>B21/B22</f>
        <v>9.4</v>
      </c>
      <c r="C23" s="43">
        <v>9.4</v>
      </c>
      <c r="D23" s="31" t="str">
        <f t="shared" si="0"/>
        <v>PASS</v>
      </c>
      <c r="E23" s="31" t="s">
        <v>1623</v>
      </c>
    </row>
    <row r="24" spans="1:5" ht="44.1" customHeight="1" x14ac:dyDescent="0.2">
      <c r="A24" s="31" t="s">
        <v>1624</v>
      </c>
      <c r="B24" s="42">
        <f>SUM(COMM_Counter_Deltas!G6:G65)</f>
        <v>0</v>
      </c>
      <c r="C24" s="42">
        <v>0</v>
      </c>
      <c r="D24" s="31" t="str">
        <f t="shared" si="0"/>
        <v>PASS</v>
      </c>
      <c r="E24" s="31" t="s">
        <v>1625</v>
      </c>
    </row>
    <row r="25" spans="1:5" ht="44.1" customHeight="1" x14ac:dyDescent="0.2">
      <c r="A25" s="31" t="s">
        <v>1626</v>
      </c>
      <c r="B25" s="42">
        <f>SUM(COMM_Counter_Deltas!H6:H65)</f>
        <v>0</v>
      </c>
      <c r="C25" s="42">
        <v>0</v>
      </c>
      <c r="D25" s="31" t="str">
        <f t="shared" si="0"/>
        <v>PASS</v>
      </c>
      <c r="E25" s="31" t="s">
        <v>1627</v>
      </c>
    </row>
    <row r="26" spans="1:5" ht="44.1" customHeight="1" x14ac:dyDescent="0.2">
      <c r="A26" s="31" t="s">
        <v>1628</v>
      </c>
      <c r="B26" s="42">
        <f>SUMPRODUCT(--COMM_Counter_Deltas!O6:O65)</f>
        <v>0</v>
      </c>
      <c r="C26" s="42">
        <v>0</v>
      </c>
      <c r="D26" s="31" t="str">
        <f t="shared" si="0"/>
        <v>PASS</v>
      </c>
      <c r="E26" s="31" t="s">
        <v>1629</v>
      </c>
    </row>
    <row r="27" spans="1:5" ht="44.1" customHeight="1" x14ac:dyDescent="0.2">
      <c r="A27" s="31" t="s">
        <v>1630</v>
      </c>
      <c r="B27" s="42">
        <f>SUMPRODUCT(--COMM_Counter_Deltas!P6:P65)</f>
        <v>0</v>
      </c>
      <c r="C27" s="42">
        <v>0</v>
      </c>
      <c r="D27" s="31" t="str">
        <f t="shared" si="0"/>
        <v>PASS</v>
      </c>
      <c r="E27" s="31" t="s">
        <v>1631</v>
      </c>
    </row>
    <row r="28" spans="1:5" ht="44.1" customHeight="1" x14ac:dyDescent="0.2">
      <c r="A28" s="31" t="s">
        <v>1512</v>
      </c>
      <c r="B28" s="42">
        <f>SUMPRODUCT(--COMM_Counter_Deltas!Q6:Q65)</f>
        <v>60</v>
      </c>
      <c r="C28" s="42">
        <v>60</v>
      </c>
      <c r="D28" s="31" t="str">
        <f t="shared" si="0"/>
        <v>PASS</v>
      </c>
      <c r="E28" s="31" t="s">
        <v>1632</v>
      </c>
    </row>
    <row r="29" spans="1:5" ht="44.1" customHeight="1" x14ac:dyDescent="0.2">
      <c r="A29" s="31" t="s">
        <v>1633</v>
      </c>
      <c r="B29" s="42">
        <f>COUNTA(ACE_Input!A6:A105)</f>
        <v>100</v>
      </c>
      <c r="C29" s="42">
        <v>100</v>
      </c>
      <c r="D29" s="31" t="str">
        <f t="shared" si="0"/>
        <v>PASS</v>
      </c>
      <c r="E29" s="31" t="s">
        <v>1634</v>
      </c>
    </row>
    <row r="30" spans="1:5" ht="44.1" customHeight="1" x14ac:dyDescent="0.2">
      <c r="A30" s="31" t="s">
        <v>1635</v>
      </c>
      <c r="B30" s="42">
        <f>COUNTIF(ACE_Input!AB6:AB105,"PREPROCESSED_NO_CRC")</f>
        <v>10</v>
      </c>
      <c r="C30" s="42">
        <v>10</v>
      </c>
      <c r="D30" s="31" t="str">
        <f t="shared" si="0"/>
        <v>PASS</v>
      </c>
      <c r="E30" s="31" t="s">
        <v>1636</v>
      </c>
    </row>
    <row r="31" spans="1:5" ht="44.1" customHeight="1" x14ac:dyDescent="0.2">
      <c r="A31" s="31" t="s">
        <v>1637</v>
      </c>
      <c r="B31" s="42">
        <f>SUMPRODUCT(--ACE_Input!AX6:AX105)</f>
        <v>90</v>
      </c>
      <c r="C31" s="42">
        <v>90</v>
      </c>
      <c r="D31" s="31" t="str">
        <f t="shared" si="0"/>
        <v>PASS</v>
      </c>
      <c r="E31" s="31" t="s">
        <v>1638</v>
      </c>
    </row>
    <row r="32" spans="1:5" ht="44.1" customHeight="1" x14ac:dyDescent="0.2">
      <c r="A32" s="31" t="s">
        <v>1639</v>
      </c>
      <c r="B32" s="42">
        <f>COUNTIF(ACE_Input!K6:K105,160)</f>
        <v>0</v>
      </c>
      <c r="C32" s="42">
        <v>0</v>
      </c>
      <c r="D32" s="31" t="str">
        <f t="shared" si="0"/>
        <v>PASS</v>
      </c>
      <c r="E32" s="31" t="s">
        <v>1640</v>
      </c>
    </row>
    <row r="33" spans="1:5" ht="44.1" customHeight="1" x14ac:dyDescent="0.2">
      <c r="A33" s="31" t="s">
        <v>1641</v>
      </c>
      <c r="B33" s="42">
        <v>0</v>
      </c>
      <c r="C33" s="42">
        <v>0</v>
      </c>
      <c r="D33" s="31" t="str">
        <f t="shared" si="0"/>
        <v>PASS</v>
      </c>
      <c r="E33" s="31" t="s">
        <v>1642</v>
      </c>
    </row>
  </sheetData>
  <mergeCells count="2">
    <mergeCell ref="A3:E4"/>
    <mergeCell ref="A1:E2"/>
  </mergeCells>
  <conditionalFormatting sqref="D6:D33">
    <cfRule type="expression" dxfId="1" priority="1">
      <formula>D6="PASS"</formula>
    </cfRule>
    <cfRule type="expression" dxfId="0" priority="2">
      <formula>D6="CHECK"</formula>
    </cfRule>
  </conditionalFormatting>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249977111117893"/>
  </sheetPr>
  <dimension ref="A1:F24"/>
  <sheetViews>
    <sheetView workbookViewId="0"/>
  </sheetViews>
  <sheetFormatPr defaultRowHeight="15" x14ac:dyDescent="0.2"/>
  <cols>
    <col min="1" max="1" width="6.05078125" customWidth="1"/>
    <col min="2" max="3" width="11.02734375" customWidth="1"/>
    <col min="4" max="4" width="20.04296875" customWidth="1"/>
    <col min="5" max="6" width="13.98828125" customWidth="1"/>
  </cols>
  <sheetData>
    <row r="1" spans="1:6" ht="18" x14ac:dyDescent="0.2">
      <c r="A1" s="60" t="s">
        <v>1643</v>
      </c>
    </row>
    <row r="2" spans="1:6" x14ac:dyDescent="0.2">
      <c r="A2" s="61" t="s">
        <v>1644</v>
      </c>
    </row>
    <row r="4" spans="1:6" x14ac:dyDescent="0.2">
      <c r="A4" s="62" t="s">
        <v>142</v>
      </c>
      <c r="B4" s="63">
        <v>200</v>
      </c>
      <c r="C4" s="61" t="s">
        <v>1645</v>
      </c>
    </row>
    <row r="6" spans="1:6" x14ac:dyDescent="0.2">
      <c r="A6" s="64" t="s">
        <v>1646</v>
      </c>
      <c r="B6" s="64" t="s">
        <v>1647</v>
      </c>
      <c r="C6" s="64" t="s">
        <v>1648</v>
      </c>
      <c r="D6" s="64" t="s">
        <v>1649</v>
      </c>
      <c r="E6" s="64" t="s">
        <v>1650</v>
      </c>
      <c r="F6" s="64" t="s">
        <v>1651</v>
      </c>
    </row>
    <row r="7" spans="1:6" x14ac:dyDescent="0.2">
      <c r="A7" s="65">
        <v>1</v>
      </c>
      <c r="B7" s="65">
        <f t="shared" ref="B7:B19" si="0">(A7-1)*$B$4</f>
        <v>0</v>
      </c>
      <c r="C7" s="65">
        <f t="shared" ref="C7:C18" si="1">A7*$B$4</f>
        <v>200</v>
      </c>
      <c r="D7" s="65" t="str">
        <f t="shared" ref="D7:D18" si="2">TEXT(B7,"0")&amp;" to "&amp;TEXT(C7,"0")</f>
        <v>0 to 200</v>
      </c>
      <c r="E7" s="65">
        <f>COUNTIFS(RGS_Ground_Run!$Q$6:$Q$1205,"&gt;="&amp;B7,RGS_Ground_Run!$Q$6:$Q$1205,"&lt;"&amp;C7,RGS_Ground_Run!$B$6:$B$1205,"&lt;="&amp;Settings!$B$8)</f>
        <v>165</v>
      </c>
      <c r="F7" s="65">
        <f>COUNTIFS(Edge_Run!$O$6:$O$1205,"&gt;="&amp;B7,Edge_Run!$O$6:$O$1205,"&lt;"&amp;C7,Edge_Run!$B$6:$B$1205,"&lt;="&amp;Settings!$B$8)</f>
        <v>419</v>
      </c>
    </row>
    <row r="8" spans="1:6" x14ac:dyDescent="0.2">
      <c r="A8" s="65">
        <v>2</v>
      </c>
      <c r="B8" s="65">
        <f t="shared" si="0"/>
        <v>200</v>
      </c>
      <c r="C8" s="65">
        <f t="shared" si="1"/>
        <v>400</v>
      </c>
      <c r="D8" s="65" t="str">
        <f t="shared" si="2"/>
        <v>200 to 400</v>
      </c>
      <c r="E8" s="65">
        <f>COUNTIFS(RGS_Ground_Run!$Q$6:$Q$1205,"&gt;="&amp;B8,RGS_Ground_Run!$Q$6:$Q$1205,"&lt;"&amp;C8,RGS_Ground_Run!$B$6:$B$1205,"&lt;="&amp;Settings!$B$8)</f>
        <v>75</v>
      </c>
      <c r="F8" s="65">
        <f>COUNTIFS(Edge_Run!$O$6:$O$1205,"&gt;="&amp;B8,Edge_Run!$O$6:$O$1205,"&lt;"&amp;C8,Edge_Run!$B$6:$B$1205,"&lt;="&amp;Settings!$B$8)</f>
        <v>303</v>
      </c>
    </row>
    <row r="9" spans="1:6" x14ac:dyDescent="0.2">
      <c r="A9" s="65">
        <v>3</v>
      </c>
      <c r="B9" s="65">
        <f t="shared" si="0"/>
        <v>400</v>
      </c>
      <c r="C9" s="65">
        <f t="shared" si="1"/>
        <v>600</v>
      </c>
      <c r="D9" s="65" t="str">
        <f t="shared" si="2"/>
        <v>400 to 600</v>
      </c>
      <c r="E9" s="65">
        <f>COUNTIFS(RGS_Ground_Run!$Q$6:$Q$1205,"&gt;="&amp;B9,RGS_Ground_Run!$Q$6:$Q$1205,"&lt;"&amp;C9,RGS_Ground_Run!$B$6:$B$1205,"&lt;="&amp;Settings!$B$8)</f>
        <v>60</v>
      </c>
      <c r="F9" s="65">
        <f>COUNTIFS(Edge_Run!$O$6:$O$1205,"&gt;="&amp;B9,Edge_Run!$O$6:$O$1205,"&lt;"&amp;C9,Edge_Run!$B$6:$B$1205,"&lt;="&amp;Settings!$B$8)</f>
        <v>236</v>
      </c>
    </row>
    <row r="10" spans="1:6" x14ac:dyDescent="0.2">
      <c r="A10" s="65">
        <v>4</v>
      </c>
      <c r="B10" s="65">
        <f t="shared" si="0"/>
        <v>600</v>
      </c>
      <c r="C10" s="65">
        <f t="shared" si="1"/>
        <v>800</v>
      </c>
      <c r="D10" s="65" t="str">
        <f t="shared" si="2"/>
        <v>600 to 800</v>
      </c>
      <c r="E10" s="65">
        <f>COUNTIFS(RGS_Ground_Run!$Q$6:$Q$1205,"&gt;="&amp;B10,RGS_Ground_Run!$Q$6:$Q$1205,"&lt;"&amp;C10,RGS_Ground_Run!$B$6:$B$1205,"&lt;="&amp;Settings!$B$8)</f>
        <v>110</v>
      </c>
      <c r="F10" s="65">
        <f>COUNTIFS(Edge_Run!$O$6:$O$1205,"&gt;="&amp;B10,Edge_Run!$O$6:$O$1205,"&lt;"&amp;C10,Edge_Run!$B$6:$B$1205,"&lt;="&amp;Settings!$B$8)</f>
        <v>37</v>
      </c>
    </row>
    <row r="11" spans="1:6" x14ac:dyDescent="0.2">
      <c r="A11" s="65">
        <v>5</v>
      </c>
      <c r="B11" s="65">
        <f t="shared" si="0"/>
        <v>800</v>
      </c>
      <c r="C11" s="65">
        <f t="shared" si="1"/>
        <v>1000</v>
      </c>
      <c r="D11" s="65" t="str">
        <f t="shared" si="2"/>
        <v>800 to 1000</v>
      </c>
      <c r="E11" s="65">
        <f>COUNTIFS(RGS_Ground_Run!$Q$6:$Q$1205,"&gt;="&amp;B11,RGS_Ground_Run!$Q$6:$Q$1205,"&lt;"&amp;C11,RGS_Ground_Run!$B$6:$B$1205,"&lt;="&amp;Settings!$B$8)</f>
        <v>70</v>
      </c>
      <c r="F11" s="65">
        <f>COUNTIFS(Edge_Run!$O$6:$O$1205,"&gt;="&amp;B11,Edge_Run!$O$6:$O$1205,"&lt;"&amp;C11,Edge_Run!$B$6:$B$1205,"&lt;="&amp;Settings!$B$8)</f>
        <v>5</v>
      </c>
    </row>
    <row r="12" spans="1:6" x14ac:dyDescent="0.2">
      <c r="A12" s="65">
        <v>6</v>
      </c>
      <c r="B12" s="65">
        <f t="shared" si="0"/>
        <v>1000</v>
      </c>
      <c r="C12" s="65">
        <f t="shared" si="1"/>
        <v>1200</v>
      </c>
      <c r="D12" s="65" t="str">
        <f t="shared" si="2"/>
        <v>1000 to 1200</v>
      </c>
      <c r="E12" s="65">
        <f>COUNTIFS(RGS_Ground_Run!$Q$6:$Q$1205,"&gt;="&amp;B12,RGS_Ground_Run!$Q$6:$Q$1205,"&lt;"&amp;C12,RGS_Ground_Run!$B$6:$B$1205,"&lt;="&amp;Settings!$B$8)</f>
        <v>60</v>
      </c>
      <c r="F12" s="65">
        <f>COUNTIFS(Edge_Run!$O$6:$O$1205,"&gt;="&amp;B12,Edge_Run!$O$6:$O$1205,"&lt;"&amp;C12,Edge_Run!$B$6:$B$1205,"&lt;="&amp;Settings!$B$8)</f>
        <v>0</v>
      </c>
    </row>
    <row r="13" spans="1:6" x14ac:dyDescent="0.2">
      <c r="A13" s="65">
        <v>7</v>
      </c>
      <c r="B13" s="65">
        <f t="shared" si="0"/>
        <v>1200</v>
      </c>
      <c r="C13" s="65">
        <f t="shared" si="1"/>
        <v>1400</v>
      </c>
      <c r="D13" s="65" t="str">
        <f t="shared" si="2"/>
        <v>1200 to 1400</v>
      </c>
      <c r="E13" s="65">
        <f>COUNTIFS(RGS_Ground_Run!$Q$6:$Q$1205,"&gt;="&amp;B13,RGS_Ground_Run!$Q$6:$Q$1205,"&lt;"&amp;C13,RGS_Ground_Run!$B$6:$B$1205,"&lt;="&amp;Settings!$B$8)</f>
        <v>107</v>
      </c>
      <c r="F13" s="65">
        <f>COUNTIFS(Edge_Run!$O$6:$O$1205,"&gt;="&amp;B13,Edge_Run!$O$6:$O$1205,"&lt;"&amp;C13,Edge_Run!$B$6:$B$1205,"&lt;="&amp;Settings!$B$8)</f>
        <v>0</v>
      </c>
    </row>
    <row r="14" spans="1:6" x14ac:dyDescent="0.2">
      <c r="A14" s="65">
        <v>8</v>
      </c>
      <c r="B14" s="65">
        <f t="shared" si="0"/>
        <v>1400</v>
      </c>
      <c r="C14" s="65">
        <f t="shared" si="1"/>
        <v>1600</v>
      </c>
      <c r="D14" s="65" t="str">
        <f t="shared" si="2"/>
        <v>1400 to 1600</v>
      </c>
      <c r="E14" s="65">
        <f>COUNTIFS(RGS_Ground_Run!$Q$6:$Q$1205,"&gt;="&amp;B14,RGS_Ground_Run!$Q$6:$Q$1205,"&lt;"&amp;C14,RGS_Ground_Run!$B$6:$B$1205,"&lt;="&amp;Settings!$B$8)</f>
        <v>73</v>
      </c>
      <c r="F14" s="65">
        <f>COUNTIFS(Edge_Run!$O$6:$O$1205,"&gt;="&amp;B14,Edge_Run!$O$6:$O$1205,"&lt;"&amp;C14,Edge_Run!$B$6:$B$1205,"&lt;="&amp;Settings!$B$8)</f>
        <v>0</v>
      </c>
    </row>
    <row r="15" spans="1:6" x14ac:dyDescent="0.2">
      <c r="A15" s="65">
        <v>9</v>
      </c>
      <c r="B15" s="65">
        <f t="shared" si="0"/>
        <v>1600</v>
      </c>
      <c r="C15" s="65">
        <f t="shared" si="1"/>
        <v>1800</v>
      </c>
      <c r="D15" s="65" t="str">
        <f t="shared" si="2"/>
        <v>1600 to 1800</v>
      </c>
      <c r="E15" s="65">
        <f>COUNTIFS(RGS_Ground_Run!$Q$6:$Q$1205,"&gt;="&amp;B15,RGS_Ground_Run!$Q$6:$Q$1205,"&lt;"&amp;C15,RGS_Ground_Run!$B$6:$B$1205,"&lt;="&amp;Settings!$B$8)</f>
        <v>70</v>
      </c>
      <c r="F15" s="65">
        <f>COUNTIFS(Edge_Run!$O$6:$O$1205,"&gt;="&amp;B15,Edge_Run!$O$6:$O$1205,"&lt;"&amp;C15,Edge_Run!$B$6:$B$1205,"&lt;="&amp;Settings!$B$8)</f>
        <v>0</v>
      </c>
    </row>
    <row r="16" spans="1:6" x14ac:dyDescent="0.2">
      <c r="A16" s="65">
        <v>10</v>
      </c>
      <c r="B16" s="65">
        <f t="shared" si="0"/>
        <v>1800</v>
      </c>
      <c r="C16" s="65">
        <f t="shared" si="1"/>
        <v>2000</v>
      </c>
      <c r="D16" s="65" t="str">
        <f t="shared" si="2"/>
        <v>1800 to 2000</v>
      </c>
      <c r="E16" s="65">
        <f>COUNTIFS(RGS_Ground_Run!$Q$6:$Q$1205,"&gt;="&amp;B16,RGS_Ground_Run!$Q$6:$Q$1205,"&lt;"&amp;C16,RGS_Ground_Run!$B$6:$B$1205,"&lt;="&amp;Settings!$B$8)</f>
        <v>109</v>
      </c>
      <c r="F16" s="65">
        <f>COUNTIFS(Edge_Run!$O$6:$O$1205,"&gt;="&amp;B16,Edge_Run!$O$6:$O$1205,"&lt;"&amp;C16,Edge_Run!$B$6:$B$1205,"&lt;="&amp;Settings!$B$8)</f>
        <v>0</v>
      </c>
    </row>
    <row r="17" spans="1:6" x14ac:dyDescent="0.2">
      <c r="A17" s="65">
        <v>11</v>
      </c>
      <c r="B17" s="65">
        <f t="shared" si="0"/>
        <v>2000</v>
      </c>
      <c r="C17" s="65">
        <f t="shared" si="1"/>
        <v>2200</v>
      </c>
      <c r="D17" s="65" t="str">
        <f t="shared" si="2"/>
        <v>2000 to 2200</v>
      </c>
      <c r="E17" s="65">
        <f>COUNTIFS(RGS_Ground_Run!$Q$6:$Q$1205,"&gt;="&amp;B17,RGS_Ground_Run!$Q$6:$Q$1205,"&lt;"&amp;C17,RGS_Ground_Run!$B$6:$B$1205,"&lt;="&amp;Settings!$B$8)</f>
        <v>61</v>
      </c>
      <c r="F17" s="65">
        <f>COUNTIFS(Edge_Run!$O$6:$O$1205,"&gt;="&amp;B17,Edge_Run!$O$6:$O$1205,"&lt;"&amp;C17,Edge_Run!$B$6:$B$1205,"&lt;="&amp;Settings!$B$8)</f>
        <v>0</v>
      </c>
    </row>
    <row r="18" spans="1:6" x14ac:dyDescent="0.2">
      <c r="A18" s="65">
        <v>12</v>
      </c>
      <c r="B18" s="65">
        <f t="shared" si="0"/>
        <v>2200</v>
      </c>
      <c r="C18" s="65">
        <f t="shared" si="1"/>
        <v>2400</v>
      </c>
      <c r="D18" s="65" t="str">
        <f t="shared" si="2"/>
        <v>2200 to 2400</v>
      </c>
      <c r="E18" s="65">
        <f>COUNTIFS(RGS_Ground_Run!$Q$6:$Q$1205,"&gt;="&amp;B18,RGS_Ground_Run!$Q$6:$Q$1205,"&lt;"&amp;C18,RGS_Ground_Run!$B$6:$B$1205,"&lt;="&amp;Settings!$B$8)</f>
        <v>40</v>
      </c>
      <c r="F18" s="65">
        <f>COUNTIFS(Edge_Run!$O$6:$O$1205,"&gt;="&amp;B18,Edge_Run!$O$6:$O$1205,"&lt;"&amp;C18,Edge_Run!$B$6:$B$1205,"&lt;="&amp;Settings!$B$8)</f>
        <v>0</v>
      </c>
    </row>
    <row r="19" spans="1:6" x14ac:dyDescent="0.2">
      <c r="A19" s="65">
        <v>13</v>
      </c>
      <c r="B19" s="65">
        <f t="shared" si="0"/>
        <v>2400</v>
      </c>
      <c r="C19" s="65"/>
      <c r="D19" s="65" t="str">
        <f>"over "&amp;TEXT(B19,"0")</f>
        <v>over 2400</v>
      </c>
      <c r="E19" s="65">
        <f>COUNTIFS(RGS_Ground_Run!$Q$6:$Q$1205,"&gt;="&amp;B19,RGS_Ground_Run!$B$6:$B$1205,"&lt;="&amp;Settings!$B$8)</f>
        <v>0</v>
      </c>
      <c r="F19" s="65">
        <f>COUNTIFS(Edge_Run!$O$6:$O$1205,"&gt;="&amp;B19,Edge_Run!$B$6:$B$1205,"&lt;="&amp;Settings!$B$8)</f>
        <v>0</v>
      </c>
    </row>
    <row r="20" spans="1:6" x14ac:dyDescent="0.2">
      <c r="D20" s="62" t="s">
        <v>1652</v>
      </c>
      <c r="E20" s="62">
        <f>SUM(E7:E19)</f>
        <v>1000</v>
      </c>
      <c r="F20" s="62">
        <f>SUM(F7:F19)</f>
        <v>1000</v>
      </c>
    </row>
    <row r="21" spans="1:6" x14ac:dyDescent="0.2">
      <c r="D21" s="65" t="s">
        <v>1653</v>
      </c>
      <c r="E21" s="65">
        <f>Settings!$B$8*Settings!$B$9</f>
        <v>1000</v>
      </c>
    </row>
    <row r="22" spans="1:6" x14ac:dyDescent="0.2">
      <c r="D22" s="65" t="s">
        <v>337</v>
      </c>
      <c r="E22" s="65" t="str">
        <f>IF(AND(E20=E21,F20=E21),"OK","CHECK BIN RANGE")</f>
        <v>OK</v>
      </c>
    </row>
    <row r="24" spans="1:6" x14ac:dyDescent="0.2">
      <c r="A24" s="66" t="s">
        <v>1654</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7030A0"/>
  </sheetPr>
  <dimension ref="A1:E31"/>
  <sheetViews>
    <sheetView workbookViewId="0"/>
  </sheetViews>
  <sheetFormatPr defaultRowHeight="15" x14ac:dyDescent="0.2"/>
  <cols>
    <col min="1" max="1" width="34.03125" customWidth="1"/>
    <col min="2" max="2" width="29.99609375" customWidth="1"/>
    <col min="3" max="3" width="25.9609375" customWidth="1"/>
    <col min="4" max="5" width="23.9453125" customWidth="1"/>
    <col min="6" max="6" width="22.05859375" customWidth="1"/>
  </cols>
  <sheetData>
    <row r="1" spans="1:5" ht="18" x14ac:dyDescent="0.2">
      <c r="A1" s="60" t="s">
        <v>1655</v>
      </c>
    </row>
    <row r="2" spans="1:5" x14ac:dyDescent="0.2">
      <c r="A2" s="61" t="s">
        <v>1656</v>
      </c>
    </row>
    <row r="3" spans="1:5" x14ac:dyDescent="0.2">
      <c r="A3" s="66" t="s">
        <v>1657</v>
      </c>
    </row>
    <row r="5" spans="1:5" x14ac:dyDescent="0.2">
      <c r="A5" s="67" t="s">
        <v>36</v>
      </c>
      <c r="B5" s="68"/>
      <c r="C5" s="68"/>
      <c r="D5" s="68"/>
      <c r="E5" s="68"/>
    </row>
    <row r="6" spans="1:5" x14ac:dyDescent="0.2">
      <c r="A6" s="62" t="s">
        <v>1658</v>
      </c>
      <c r="B6" s="105" t="s">
        <v>1659</v>
      </c>
      <c r="C6" s="80"/>
      <c r="D6" s="80"/>
      <c r="E6" s="80"/>
    </row>
    <row r="7" spans="1:5" x14ac:dyDescent="0.2">
      <c r="A7" s="62" t="s">
        <v>1660</v>
      </c>
      <c r="B7" s="105" t="s">
        <v>1661</v>
      </c>
      <c r="C7" s="80"/>
      <c r="D7" s="80"/>
      <c r="E7" s="80"/>
    </row>
    <row r="8" spans="1:5" x14ac:dyDescent="0.2">
      <c r="A8" s="62" t="s">
        <v>1662</v>
      </c>
      <c r="B8" s="105" t="s">
        <v>1663</v>
      </c>
      <c r="C8" s="80"/>
      <c r="D8" s="80"/>
      <c r="E8" s="80"/>
    </row>
    <row r="9" spans="1:5" x14ac:dyDescent="0.2">
      <c r="A9" s="67" t="s">
        <v>1664</v>
      </c>
      <c r="B9" s="68"/>
      <c r="C9" s="68"/>
      <c r="D9" s="68"/>
      <c r="E9" s="68"/>
    </row>
    <row r="10" spans="1:5" x14ac:dyDescent="0.2">
      <c r="A10" s="62" t="s">
        <v>1665</v>
      </c>
      <c r="B10" s="105" t="s">
        <v>1666</v>
      </c>
      <c r="C10" s="80"/>
      <c r="D10" s="80"/>
      <c r="E10" s="80"/>
    </row>
    <row r="11" spans="1:5" x14ac:dyDescent="0.2">
      <c r="A11" s="62" t="s">
        <v>1667</v>
      </c>
      <c r="B11" s="105" t="s">
        <v>1668</v>
      </c>
      <c r="C11" s="80"/>
      <c r="D11" s="80"/>
      <c r="E11" s="80"/>
    </row>
    <row r="12" spans="1:5" x14ac:dyDescent="0.2">
      <c r="A12" s="62" t="s">
        <v>1669</v>
      </c>
      <c r="B12" s="105" t="s">
        <v>1670</v>
      </c>
      <c r="C12" s="80"/>
      <c r="D12" s="80"/>
      <c r="E12" s="80"/>
    </row>
    <row r="13" spans="1:5" x14ac:dyDescent="0.2">
      <c r="A13" s="67" t="s">
        <v>1671</v>
      </c>
      <c r="B13" s="68"/>
      <c r="C13" s="68"/>
      <c r="D13" s="68"/>
      <c r="E13" s="68"/>
    </row>
    <row r="14" spans="1:5" x14ac:dyDescent="0.2">
      <c r="A14" s="62" t="s">
        <v>1672</v>
      </c>
      <c r="B14" s="105" t="s">
        <v>1673</v>
      </c>
      <c r="C14" s="80"/>
      <c r="D14" s="80"/>
      <c r="E14" s="80"/>
    </row>
    <row r="15" spans="1:5" x14ac:dyDescent="0.2">
      <c r="A15" s="62" t="s">
        <v>1674</v>
      </c>
      <c r="B15" s="105" t="s">
        <v>1675</v>
      </c>
      <c r="C15" s="80"/>
      <c r="D15" s="80"/>
      <c r="E15" s="80"/>
    </row>
    <row r="16" spans="1:5" x14ac:dyDescent="0.2">
      <c r="A16" s="62" t="s">
        <v>1676</v>
      </c>
      <c r="B16" s="105" t="s">
        <v>1677</v>
      </c>
      <c r="C16" s="80"/>
      <c r="D16" s="80"/>
      <c r="E16" s="80"/>
    </row>
    <row r="18" spans="1:4" x14ac:dyDescent="0.2">
      <c r="A18" s="69" t="s">
        <v>1678</v>
      </c>
    </row>
    <row r="19" spans="1:4" x14ac:dyDescent="0.2">
      <c r="A19" s="70" t="s">
        <v>507</v>
      </c>
      <c r="B19" s="70" t="s">
        <v>508</v>
      </c>
      <c r="C19" s="70" t="s">
        <v>509</v>
      </c>
      <c r="D19" s="70" t="s">
        <v>510</v>
      </c>
    </row>
    <row r="20" spans="1:4" x14ac:dyDescent="0.2">
      <c r="A20" s="65">
        <v>1</v>
      </c>
      <c r="B20" s="65">
        <v>1</v>
      </c>
      <c r="C20" s="65">
        <v>1</v>
      </c>
      <c r="D20" s="65" t="s">
        <v>1679</v>
      </c>
    </row>
    <row r="21" spans="1:4" x14ac:dyDescent="0.2">
      <c r="A21" s="65">
        <v>2</v>
      </c>
      <c r="B21" s="65">
        <v>1</v>
      </c>
      <c r="C21" s="65">
        <v>1</v>
      </c>
      <c r="D21" s="65" t="s">
        <v>1679</v>
      </c>
    </row>
    <row r="22" spans="1:4" x14ac:dyDescent="0.2">
      <c r="A22" s="65">
        <v>3</v>
      </c>
      <c r="B22" s="65">
        <v>1</v>
      </c>
      <c r="C22" s="65">
        <v>1</v>
      </c>
      <c r="D22" s="65" t="s">
        <v>1679</v>
      </c>
    </row>
    <row r="23" spans="1:4" x14ac:dyDescent="0.2">
      <c r="A23" s="65">
        <v>4</v>
      </c>
      <c r="B23" s="65">
        <v>1</v>
      </c>
      <c r="C23" s="65">
        <v>1</v>
      </c>
      <c r="D23" s="65" t="s">
        <v>1679</v>
      </c>
    </row>
    <row r="24" spans="1:4" x14ac:dyDescent="0.2">
      <c r="A24" s="65">
        <v>5</v>
      </c>
      <c r="B24" s="65">
        <v>0</v>
      </c>
      <c r="C24" s="65">
        <v>0</v>
      </c>
      <c r="D24" s="65" t="s">
        <v>1679</v>
      </c>
    </row>
    <row r="25" spans="1:4" x14ac:dyDescent="0.2">
      <c r="A25" s="65">
        <v>6</v>
      </c>
      <c r="B25" s="65">
        <v>0</v>
      </c>
      <c r="C25" s="65">
        <v>1</v>
      </c>
      <c r="D25" s="65" t="s">
        <v>1679</v>
      </c>
    </row>
    <row r="26" spans="1:4" x14ac:dyDescent="0.2">
      <c r="A26" s="65">
        <v>7</v>
      </c>
      <c r="B26" s="65">
        <v>0</v>
      </c>
      <c r="C26" s="65">
        <v>0</v>
      </c>
      <c r="D26" s="65" t="s">
        <v>1679</v>
      </c>
    </row>
    <row r="27" spans="1:4" x14ac:dyDescent="0.2">
      <c r="A27" s="65">
        <v>8</v>
      </c>
      <c r="B27" s="65">
        <v>1</v>
      </c>
      <c r="C27" s="65">
        <v>1</v>
      </c>
      <c r="D27" s="65" t="s">
        <v>1679</v>
      </c>
    </row>
    <row r="28" spans="1:4" x14ac:dyDescent="0.2">
      <c r="A28" s="65">
        <v>9</v>
      </c>
      <c r="B28" s="65">
        <v>1</v>
      </c>
      <c r="C28" s="65">
        <v>1</v>
      </c>
      <c r="D28" s="65" t="s">
        <v>1679</v>
      </c>
    </row>
    <row r="29" spans="1:4" x14ac:dyDescent="0.2">
      <c r="A29" s="65">
        <v>10</v>
      </c>
      <c r="B29" s="65">
        <v>0</v>
      </c>
      <c r="C29" s="65">
        <v>1</v>
      </c>
      <c r="D29" s="65" t="s">
        <v>1679</v>
      </c>
    </row>
    <row r="31" spans="1:4" ht="42.75" x14ac:dyDescent="0.2">
      <c r="A31" s="71" t="s">
        <v>1680</v>
      </c>
    </row>
  </sheetData>
  <mergeCells count="9">
    <mergeCell ref="B8:E8"/>
    <mergeCell ref="B12:E12"/>
    <mergeCell ref="B6:E6"/>
    <mergeCell ref="B16:E16"/>
    <mergeCell ref="B15:E15"/>
    <mergeCell ref="B7:E7"/>
    <mergeCell ref="B11:E11"/>
    <mergeCell ref="B10:E10"/>
    <mergeCell ref="B14:E14"/>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sheetPr>
  <dimension ref="A1:E31"/>
  <sheetViews>
    <sheetView workbookViewId="0"/>
  </sheetViews>
  <sheetFormatPr defaultRowHeight="15" x14ac:dyDescent="0.2"/>
  <cols>
    <col min="1" max="1" width="34.03125" customWidth="1"/>
    <col min="2" max="2" width="29.99609375" customWidth="1"/>
    <col min="3" max="3" width="25.9609375" customWidth="1"/>
    <col min="4" max="5" width="23.9453125" customWidth="1"/>
    <col min="6" max="6" width="22.05859375" customWidth="1"/>
  </cols>
  <sheetData>
    <row r="1" spans="1:5" ht="18" x14ac:dyDescent="0.2">
      <c r="A1" s="60" t="s">
        <v>1681</v>
      </c>
    </row>
    <row r="2" spans="1:5" x14ac:dyDescent="0.2">
      <c r="A2" s="61" t="s">
        <v>1682</v>
      </c>
    </row>
    <row r="3" spans="1:5" x14ac:dyDescent="0.2">
      <c r="A3" s="66" t="s">
        <v>1657</v>
      </c>
    </row>
    <row r="5" spans="1:5" x14ac:dyDescent="0.2">
      <c r="A5" s="67" t="s">
        <v>36</v>
      </c>
      <c r="B5" s="68"/>
      <c r="C5" s="68"/>
      <c r="D5" s="68"/>
      <c r="E5" s="68"/>
    </row>
    <row r="6" spans="1:5" x14ac:dyDescent="0.2">
      <c r="A6" s="62" t="s">
        <v>1658</v>
      </c>
      <c r="B6" s="105" t="s">
        <v>1683</v>
      </c>
      <c r="C6" s="80"/>
      <c r="D6" s="80"/>
      <c r="E6" s="80"/>
    </row>
    <row r="7" spans="1:5" x14ac:dyDescent="0.2">
      <c r="A7" s="62" t="s">
        <v>1684</v>
      </c>
      <c r="B7" s="105" t="s">
        <v>1685</v>
      </c>
      <c r="C7" s="80"/>
      <c r="D7" s="80"/>
      <c r="E7" s="80"/>
    </row>
    <row r="8" spans="1:5" x14ac:dyDescent="0.2">
      <c r="A8" s="62" t="s">
        <v>1686</v>
      </c>
      <c r="B8" s="105" t="s">
        <v>1687</v>
      </c>
      <c r="C8" s="80"/>
      <c r="D8" s="80"/>
      <c r="E8" s="80"/>
    </row>
    <row r="9" spans="1:5" x14ac:dyDescent="0.2">
      <c r="A9" s="67" t="s">
        <v>1664</v>
      </c>
      <c r="B9" s="68"/>
      <c r="C9" s="68"/>
      <c r="D9" s="68"/>
      <c r="E9" s="68"/>
    </row>
    <row r="10" spans="1:5" x14ac:dyDescent="0.2">
      <c r="A10" s="62" t="s">
        <v>1688</v>
      </c>
      <c r="B10" s="105" t="s">
        <v>1689</v>
      </c>
      <c r="C10" s="80"/>
      <c r="D10" s="80"/>
      <c r="E10" s="80"/>
    </row>
    <row r="11" spans="1:5" x14ac:dyDescent="0.2">
      <c r="A11" s="62" t="s">
        <v>1690</v>
      </c>
      <c r="B11" s="105" t="s">
        <v>1691</v>
      </c>
      <c r="C11" s="80"/>
      <c r="D11" s="80"/>
      <c r="E11" s="80"/>
    </row>
    <row r="12" spans="1:5" x14ac:dyDescent="0.2">
      <c r="A12" s="62" t="s">
        <v>1669</v>
      </c>
      <c r="B12" s="105" t="s">
        <v>1692</v>
      </c>
      <c r="C12" s="80"/>
      <c r="D12" s="80"/>
      <c r="E12" s="80"/>
    </row>
    <row r="13" spans="1:5" x14ac:dyDescent="0.2">
      <c r="A13" s="67" t="s">
        <v>1671</v>
      </c>
      <c r="B13" s="68"/>
      <c r="C13" s="68"/>
      <c r="D13" s="68"/>
      <c r="E13" s="68"/>
    </row>
    <row r="14" spans="1:5" x14ac:dyDescent="0.2">
      <c r="A14" s="62" t="s">
        <v>1672</v>
      </c>
      <c r="B14" s="105" t="s">
        <v>1693</v>
      </c>
      <c r="C14" s="80"/>
      <c r="D14" s="80"/>
      <c r="E14" s="80"/>
    </row>
    <row r="15" spans="1:5" x14ac:dyDescent="0.2">
      <c r="A15" s="62" t="s">
        <v>1674</v>
      </c>
      <c r="B15" s="105" t="s">
        <v>1694</v>
      </c>
      <c r="C15" s="80"/>
      <c r="D15" s="80"/>
      <c r="E15" s="80"/>
    </row>
    <row r="16" spans="1:5" x14ac:dyDescent="0.2">
      <c r="A16" s="62" t="s">
        <v>1676</v>
      </c>
      <c r="B16" s="105" t="s">
        <v>1695</v>
      </c>
      <c r="C16" s="80"/>
      <c r="D16" s="80"/>
      <c r="E16" s="80"/>
    </row>
    <row r="18" spans="1:4" x14ac:dyDescent="0.2">
      <c r="A18" s="69" t="s">
        <v>1678</v>
      </c>
    </row>
    <row r="19" spans="1:4" x14ac:dyDescent="0.2">
      <c r="A19" s="70" t="s">
        <v>232</v>
      </c>
      <c r="B19" s="70" t="s">
        <v>233</v>
      </c>
      <c r="C19" s="70" t="s">
        <v>790</v>
      </c>
      <c r="D19" s="70" t="s">
        <v>1696</v>
      </c>
    </row>
    <row r="20" spans="1:4" x14ac:dyDescent="0.2">
      <c r="A20" s="65">
        <v>1</v>
      </c>
      <c r="B20" s="65">
        <v>1</v>
      </c>
      <c r="C20" s="65">
        <v>2</v>
      </c>
      <c r="D20" s="65" t="s">
        <v>1697</v>
      </c>
    </row>
    <row r="21" spans="1:4" x14ac:dyDescent="0.2">
      <c r="A21" s="65">
        <v>1</v>
      </c>
      <c r="B21" s="65">
        <v>2</v>
      </c>
      <c r="C21" s="65">
        <v>59</v>
      </c>
      <c r="D21" s="65" t="s">
        <v>1697</v>
      </c>
    </row>
    <row r="22" spans="1:4" x14ac:dyDescent="0.2">
      <c r="A22" s="65">
        <v>1</v>
      </c>
      <c r="B22" s="65">
        <v>3</v>
      </c>
      <c r="C22" s="65">
        <v>115</v>
      </c>
      <c r="D22" s="65" t="s">
        <v>1697</v>
      </c>
    </row>
    <row r="23" spans="1:4" x14ac:dyDescent="0.2">
      <c r="A23" s="65">
        <v>1</v>
      </c>
      <c r="B23" s="65">
        <v>4</v>
      </c>
      <c r="C23" s="65">
        <v>173</v>
      </c>
      <c r="D23" s="65" t="s">
        <v>1697</v>
      </c>
    </row>
    <row r="24" spans="1:4" x14ac:dyDescent="0.2">
      <c r="A24" s="65">
        <v>1</v>
      </c>
      <c r="B24" s="65">
        <v>5</v>
      </c>
      <c r="C24" s="65">
        <v>230</v>
      </c>
      <c r="D24" s="65" t="s">
        <v>1697</v>
      </c>
    </row>
    <row r="25" spans="1:4" x14ac:dyDescent="0.2">
      <c r="A25" s="65">
        <v>1</v>
      </c>
      <c r="B25" s="65">
        <v>6</v>
      </c>
      <c r="C25" s="65">
        <v>287</v>
      </c>
      <c r="D25" s="65" t="s">
        <v>1697</v>
      </c>
    </row>
    <row r="26" spans="1:4" x14ac:dyDescent="0.2">
      <c r="A26" s="65">
        <v>1</v>
      </c>
      <c r="B26" s="65">
        <v>7</v>
      </c>
      <c r="C26" s="65">
        <v>343</v>
      </c>
      <c r="D26" s="65" t="s">
        <v>1697</v>
      </c>
    </row>
    <row r="27" spans="1:4" x14ac:dyDescent="0.2">
      <c r="A27" s="65">
        <v>1</v>
      </c>
      <c r="B27" s="65">
        <v>8</v>
      </c>
      <c r="C27" s="65">
        <v>401</v>
      </c>
      <c r="D27" s="65" t="s">
        <v>1697</v>
      </c>
    </row>
    <row r="28" spans="1:4" x14ac:dyDescent="0.2">
      <c r="A28" s="65">
        <v>1</v>
      </c>
      <c r="B28" s="65">
        <v>9</v>
      </c>
      <c r="C28" s="65">
        <v>459</v>
      </c>
      <c r="D28" s="65" t="s">
        <v>1697</v>
      </c>
    </row>
    <row r="29" spans="1:4" x14ac:dyDescent="0.2">
      <c r="A29" s="65">
        <v>1</v>
      </c>
      <c r="B29" s="65">
        <v>10</v>
      </c>
      <c r="C29" s="65">
        <v>515</v>
      </c>
      <c r="D29" s="65" t="s">
        <v>1697</v>
      </c>
    </row>
    <row r="31" spans="1:4" ht="42.75" x14ac:dyDescent="0.2">
      <c r="A31" s="71" t="s">
        <v>1698</v>
      </c>
    </row>
  </sheetData>
  <mergeCells count="9">
    <mergeCell ref="B8:E8"/>
    <mergeCell ref="B12:E12"/>
    <mergeCell ref="B6:E6"/>
    <mergeCell ref="B16:E16"/>
    <mergeCell ref="B15:E15"/>
    <mergeCell ref="B7:E7"/>
    <mergeCell ref="B11:E11"/>
    <mergeCell ref="B10:E10"/>
    <mergeCell ref="B14:E1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9" tint="0.39997558519241921"/>
  </sheetPr>
  <dimension ref="A1:E32"/>
  <sheetViews>
    <sheetView workbookViewId="0"/>
  </sheetViews>
  <sheetFormatPr defaultRowHeight="15" x14ac:dyDescent="0.2"/>
  <cols>
    <col min="1" max="1" width="34.03125" customWidth="1"/>
    <col min="2" max="2" width="29.99609375" customWidth="1"/>
    <col min="3" max="3" width="25.9609375" customWidth="1"/>
    <col min="4" max="5" width="23.9453125" customWidth="1"/>
    <col min="6" max="6" width="22.05859375" customWidth="1"/>
  </cols>
  <sheetData>
    <row r="1" spans="1:5" ht="18" x14ac:dyDescent="0.2">
      <c r="A1" s="60" t="s">
        <v>1699</v>
      </c>
    </row>
    <row r="2" spans="1:5" x14ac:dyDescent="0.2">
      <c r="A2" s="61" t="s">
        <v>1700</v>
      </c>
    </row>
    <row r="3" spans="1:5" x14ac:dyDescent="0.2">
      <c r="A3" s="66" t="s">
        <v>1657</v>
      </c>
    </row>
    <row r="5" spans="1:5" x14ac:dyDescent="0.2">
      <c r="A5" s="67" t="s">
        <v>36</v>
      </c>
      <c r="B5" s="68"/>
      <c r="C5" s="68"/>
      <c r="D5" s="68"/>
      <c r="E5" s="68"/>
    </row>
    <row r="6" spans="1:5" x14ac:dyDescent="0.2">
      <c r="A6" s="62" t="s">
        <v>1658</v>
      </c>
      <c r="B6" s="105" t="s">
        <v>1701</v>
      </c>
      <c r="C6" s="80"/>
      <c r="D6" s="80"/>
      <c r="E6" s="80"/>
    </row>
    <row r="7" spans="1:5" x14ac:dyDescent="0.2">
      <c r="A7" s="62" t="s">
        <v>1702</v>
      </c>
      <c r="B7" s="105" t="s">
        <v>1703</v>
      </c>
      <c r="C7" s="80"/>
      <c r="D7" s="80"/>
      <c r="E7" s="80"/>
    </row>
    <row r="8" spans="1:5" x14ac:dyDescent="0.2">
      <c r="A8" s="67" t="s">
        <v>1664</v>
      </c>
      <c r="B8" s="68"/>
      <c r="C8" s="68"/>
      <c r="D8" s="68"/>
      <c r="E8" s="68"/>
    </row>
    <row r="9" spans="1:5" x14ac:dyDescent="0.2">
      <c r="A9" s="62" t="s">
        <v>1704</v>
      </c>
      <c r="B9" s="105" t="s">
        <v>1705</v>
      </c>
      <c r="C9" s="80"/>
      <c r="D9" s="80"/>
      <c r="E9" s="80"/>
    </row>
    <row r="10" spans="1:5" x14ac:dyDescent="0.2">
      <c r="A10" s="62" t="s">
        <v>1706</v>
      </c>
      <c r="B10" s="105" t="s">
        <v>1707</v>
      </c>
      <c r="C10" s="80"/>
      <c r="D10" s="80"/>
      <c r="E10" s="80"/>
    </row>
    <row r="11" spans="1:5" x14ac:dyDescent="0.2">
      <c r="A11" s="62" t="s">
        <v>1690</v>
      </c>
      <c r="B11" s="105" t="s">
        <v>1708</v>
      </c>
      <c r="C11" s="80"/>
      <c r="D11" s="80"/>
      <c r="E11" s="80"/>
    </row>
    <row r="12" spans="1:5" x14ac:dyDescent="0.2">
      <c r="A12" s="62" t="s">
        <v>1709</v>
      </c>
      <c r="B12" s="105" t="s">
        <v>1710</v>
      </c>
      <c r="C12" s="80"/>
      <c r="D12" s="80"/>
      <c r="E12" s="80"/>
    </row>
    <row r="13" spans="1:5" x14ac:dyDescent="0.2">
      <c r="A13" s="62" t="s">
        <v>1669</v>
      </c>
      <c r="B13" s="105" t="s">
        <v>1711</v>
      </c>
      <c r="C13" s="80"/>
      <c r="D13" s="80"/>
      <c r="E13" s="80"/>
    </row>
    <row r="14" spans="1:5" x14ac:dyDescent="0.2">
      <c r="A14" s="67" t="s">
        <v>1671</v>
      </c>
      <c r="B14" s="68"/>
      <c r="C14" s="68"/>
      <c r="D14" s="68"/>
      <c r="E14" s="68"/>
    </row>
    <row r="15" spans="1:5" x14ac:dyDescent="0.2">
      <c r="A15" s="62" t="s">
        <v>1672</v>
      </c>
      <c r="B15" s="105" t="s">
        <v>1712</v>
      </c>
      <c r="C15" s="80"/>
      <c r="D15" s="80"/>
      <c r="E15" s="80"/>
    </row>
    <row r="16" spans="1:5" x14ac:dyDescent="0.2">
      <c r="A16" s="62" t="s">
        <v>1674</v>
      </c>
      <c r="B16" s="105" t="s">
        <v>1713</v>
      </c>
      <c r="C16" s="80"/>
      <c r="D16" s="80"/>
      <c r="E16" s="80"/>
    </row>
    <row r="17" spans="1:5" x14ac:dyDescent="0.2">
      <c r="A17" s="62" t="s">
        <v>1676</v>
      </c>
      <c r="B17" s="105" t="s">
        <v>1714</v>
      </c>
      <c r="C17" s="80"/>
      <c r="D17" s="80"/>
      <c r="E17" s="80"/>
    </row>
    <row r="19" spans="1:5" x14ac:dyDescent="0.2">
      <c r="A19" s="69" t="s">
        <v>1678</v>
      </c>
    </row>
    <row r="20" spans="1:5" x14ac:dyDescent="0.2">
      <c r="A20" s="70" t="s">
        <v>232</v>
      </c>
      <c r="B20" s="70" t="s">
        <v>233</v>
      </c>
      <c r="C20" s="70" t="s">
        <v>1715</v>
      </c>
      <c r="D20" s="70" t="s">
        <v>236</v>
      </c>
    </row>
    <row r="21" spans="1:5" x14ac:dyDescent="0.2">
      <c r="A21" s="65" t="s">
        <v>232</v>
      </c>
      <c r="B21" s="65" t="s">
        <v>233</v>
      </c>
      <c r="C21" s="65" t="s">
        <v>1715</v>
      </c>
      <c r="D21" s="65" t="s">
        <v>236</v>
      </c>
    </row>
    <row r="22" spans="1:5" x14ac:dyDescent="0.2">
      <c r="A22" s="65">
        <v>1</v>
      </c>
      <c r="B22" s="65">
        <v>1</v>
      </c>
      <c r="C22" s="65" t="s">
        <v>1716</v>
      </c>
      <c r="D22" s="65">
        <v>0</v>
      </c>
    </row>
    <row r="23" spans="1:5" x14ac:dyDescent="0.2">
      <c r="A23" s="65">
        <v>1</v>
      </c>
      <c r="B23" s="65">
        <v>2</v>
      </c>
      <c r="C23" s="65" t="s">
        <v>1717</v>
      </c>
      <c r="D23" s="65">
        <v>900</v>
      </c>
    </row>
    <row r="24" spans="1:5" x14ac:dyDescent="0.2">
      <c r="A24" s="65">
        <v>1</v>
      </c>
      <c r="B24" s="65">
        <v>3</v>
      </c>
      <c r="C24" s="65" t="s">
        <v>1718</v>
      </c>
      <c r="D24" s="65">
        <v>900</v>
      </c>
    </row>
    <row r="25" spans="1:5" x14ac:dyDescent="0.2">
      <c r="A25" s="65">
        <v>1</v>
      </c>
      <c r="B25" s="65">
        <v>4</v>
      </c>
      <c r="C25" s="65" t="s">
        <v>1719</v>
      </c>
      <c r="D25" s="65">
        <v>900</v>
      </c>
    </row>
    <row r="26" spans="1:5" x14ac:dyDescent="0.2">
      <c r="A26" s="65">
        <v>1</v>
      </c>
      <c r="B26" s="65">
        <v>5</v>
      </c>
      <c r="C26" s="65" t="s">
        <v>1720</v>
      </c>
      <c r="D26" s="65">
        <v>900</v>
      </c>
    </row>
    <row r="27" spans="1:5" x14ac:dyDescent="0.2">
      <c r="A27" s="65">
        <v>1</v>
      </c>
      <c r="B27" s="65">
        <v>6</v>
      </c>
      <c r="C27" s="65" t="s">
        <v>1721</v>
      </c>
      <c r="D27" s="65">
        <v>900</v>
      </c>
    </row>
    <row r="28" spans="1:5" x14ac:dyDescent="0.2">
      <c r="A28" s="65">
        <v>1</v>
      </c>
      <c r="B28" s="65">
        <v>7</v>
      </c>
      <c r="C28" s="65" t="s">
        <v>1722</v>
      </c>
      <c r="D28" s="65">
        <v>900</v>
      </c>
    </row>
    <row r="29" spans="1:5" x14ac:dyDescent="0.2">
      <c r="A29" s="65">
        <v>1</v>
      </c>
      <c r="B29" s="65">
        <v>8</v>
      </c>
      <c r="C29" s="65" t="s">
        <v>1723</v>
      </c>
      <c r="D29" s="65">
        <v>900</v>
      </c>
    </row>
    <row r="30" spans="1:5" x14ac:dyDescent="0.2">
      <c r="A30" s="65">
        <v>1</v>
      </c>
      <c r="B30" s="65">
        <v>9</v>
      </c>
      <c r="C30" s="65" t="s">
        <v>1724</v>
      </c>
      <c r="D30" s="65">
        <v>900</v>
      </c>
    </row>
    <row r="32" spans="1:5" ht="42.75" x14ac:dyDescent="0.2">
      <c r="A32" s="71" t="s">
        <v>1725</v>
      </c>
    </row>
  </sheetData>
  <mergeCells count="10">
    <mergeCell ref="B17:E17"/>
    <mergeCell ref="B9:E9"/>
    <mergeCell ref="B12:E12"/>
    <mergeCell ref="B13:E13"/>
    <mergeCell ref="B6:E6"/>
    <mergeCell ref="B16:E16"/>
    <mergeCell ref="B15:E15"/>
    <mergeCell ref="B7:E7"/>
    <mergeCell ref="B11:E11"/>
    <mergeCell ref="B10:E10"/>
  </mergeCells>
  <pageMargins left="0.75" right="0.75" top="1" bottom="1" header="0.5" footer="0.5"/>
</worksheet>
</file>

<file path=docMetadata/LabelInfo.xml><?xml version="1.0" encoding="utf-8"?>
<clbl:labelList xmlns:clbl="http://schemas.microsoft.com/office/2020/mipLabelMetadata">
  <clbl:label id="{37adc8ff-f4a3-4a14-9c0d-84b4985de0d2}" enabled="1" method="Privileged" siteId="{8331b18d-2d87-48ef-a35f-ac8818ebf9b4}" contentBits="0" removed="0"/>
</clbl:labelLis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38</vt:i4>
      </vt:variant>
      <vt:variant>
        <vt:lpstr>Named Ranges</vt:lpstr>
      </vt:variant>
      <vt:variant>
        <vt:i4>1</vt:i4>
      </vt:variant>
    </vt:vector>
  </HeadingPairs>
  <TitlesOfParts>
    <vt:vector size="39" baseType="lpstr">
      <vt:lpstr>DASHBOARD</vt:lpstr>
      <vt:lpstr>INTRO</vt:lpstr>
      <vt:lpstr>Settings</vt:lpstr>
      <vt:lpstr>Arrivals</vt:lpstr>
      <vt:lpstr>RGS_Ground_Run</vt:lpstr>
      <vt:lpstr>Edge_Run</vt:lpstr>
      <vt:lpstr>Comparison</vt:lpstr>
      <vt:lpstr>Replications</vt:lpstr>
      <vt:lpstr>Hand_Check</vt:lpstr>
      <vt:lpstr>MATLAB_Map</vt:lpstr>
      <vt:lpstr>_Build_Check</vt:lpstr>
      <vt:lpstr>v9_Original_Readme</vt:lpstr>
      <vt:lpstr>Protocol</vt:lpstr>
      <vt:lpstr>AI_Segments</vt:lpstr>
      <vt:lpstr>AI_Telemetry</vt:lpstr>
      <vt:lpstr>COMM_Receptions</vt:lpstr>
      <vt:lpstr>OMNI_Raw</vt:lpstr>
      <vt:lpstr>OMNI_Normalized</vt:lpstr>
      <vt:lpstr>Join_Audit</vt:lpstr>
      <vt:lpstr>ACE_Input</vt:lpstr>
      <vt:lpstr>Common_Timeline</vt:lpstr>
      <vt:lpstr>Fit_Decision</vt:lpstr>
      <vt:lpstr>Validation</vt:lpstr>
      <vt:lpstr>Scenario_Snapshots</vt:lpstr>
      <vt:lpstr>Sensitivity</vt:lpstr>
      <vt:lpstr>Provenance</vt:lpstr>
      <vt:lpstr>MATLAB Handoff</vt:lpstr>
      <vt:lpstr>Change_Log</vt:lpstr>
      <vt:lpstr>COMM_Decoded</vt:lpstr>
      <vt:lpstr>COMM_Beacons</vt:lpstr>
      <vt:lpstr>COMM_Counter_Deltas</vt:lpstr>
      <vt:lpstr>COMM_Rejected</vt:lpstr>
      <vt:lpstr>COMM_Field_Map</vt:lpstr>
      <vt:lpstr>COMM_Decode_QC</vt:lpstr>
      <vt:lpstr>Latency_Bins</vt:lpstr>
      <vt:lpstr>A_Run_Snapshot</vt:lpstr>
      <vt:lpstr>C_Run_Snapshot</vt:lpstr>
      <vt:lpstr>E_Run_Snapshot</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Fusion &amp; Simultaneous ACE Model</dc:title>
  <dc:subject>GWU D.Eng. Systems Engineering Praxis - Modeling Orbital Edge Processing in Degraded Communications</dc:subject>
  <dc:creator>Carlo Antonio Nino</dc:creator>
  <cp:keywords>Praxis; DES; Data Fusion; Simultaneous ACE; OPS-SAT; AI/ML; Communications; Environment; Excel v9; MATLAB; SimEvents</cp:keywords>
  <cp:lastModifiedBy>NINO, CARLO A CTR USSF SSC SYD 84/MT</cp:lastModifiedBy>
  <dcterms:created xsi:type="dcterms:W3CDTF">2026-09-28T11:35:24Z</dcterms:created>
  <dcterms:modified xsi:type="dcterms:W3CDTF">2026-09-29T18:16:03Z</dcterms:modified>
</cp:coreProperties>
</file>